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6.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8.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ml.chartshapes+xml"/>
  <Override PartName="/xl/drawings/drawing10.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11.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Ex1.xml" ContentType="application/vnd.ms-office.chartex+xml"/>
  <Override PartName="/xl/charts/style23.xml" ContentType="application/vnd.ms-office.chartstyle+xml"/>
  <Override PartName="/xl/charts/colors23.xml" ContentType="application/vnd.ms-office.chartcolorstyle+xml"/>
  <Override PartName="/xl/comments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weenks\Downloads\Ambition\"/>
    </mc:Choice>
  </mc:AlternateContent>
  <xr:revisionPtr revIDLastSave="0" documentId="13_ncr:1_{B722578D-69E7-4E32-98AA-9522E03C8D71}" xr6:coauthVersionLast="47" xr6:coauthVersionMax="47" xr10:uidLastSave="{00000000-0000-0000-0000-000000000000}"/>
  <bookViews>
    <workbookView xWindow="-120" yWindow="-120" windowWidth="29040" windowHeight="15840" activeTab="1" xr2:uid="{4ADF69B2-2385-4C3D-9693-D4A21206B165}"/>
  </bookViews>
  <sheets>
    <sheet name="Stephan" sheetId="9" r:id="rId1"/>
    <sheet name="NZ targets" sheetId="1" r:id="rId2"/>
    <sheet name="Data" sheetId="4" r:id="rId3"/>
    <sheet name="Supplementary Data 2" sheetId="12" r:id="rId4"/>
    <sheet name="input site" sheetId="3" r:id="rId5"/>
    <sheet name="NZT data" sheetId="2" r:id="rId6"/>
    <sheet name="LUC NGHGI" sheetId="5" r:id="rId7"/>
    <sheet name="Table LULUCF" sheetId="11" r:id="rId8"/>
    <sheet name="Population90 20" sheetId="6" r:id="rId9"/>
    <sheet name="Overview GDP (PPP)" sheetId="7" r:id="rId10"/>
    <sheet name="EGR2023_MASTER" sheetId="8"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_xlnm._FilterDatabase" localSheetId="4" hidden="1">'input site'!$A$12:$DM$249</definedName>
    <definedName name="_xlnm._FilterDatabase" localSheetId="6" hidden="1">'LUC NGHGI'!$A$2:$EF$229</definedName>
    <definedName name="_xlnm._FilterDatabase" localSheetId="1" hidden="1">'NZ targets'!$A$11:$G$238</definedName>
    <definedName name="_xlnm._FilterDatabase" localSheetId="5" hidden="1">'NZT data'!$A$2:$F$200</definedName>
    <definedName name="_xlnm._FilterDatabase" localSheetId="9" hidden="1">'Overview GDP (PPP)'!$A$2:$AU$226</definedName>
    <definedName name="_xlnm._FilterDatabase" localSheetId="0" hidden="1">Stephan!$A$1:$BG$77</definedName>
    <definedName name="_xlnm._FilterDatabase" localSheetId="3" hidden="1">'Supplementary Data 2'!$B$7:$AF$73</definedName>
    <definedName name="_xlnm._FilterDatabase" localSheetId="7" hidden="1">'Table LULUCF'!$A$1:$AE$28</definedName>
    <definedName name="_xlchart.v1.0" hidden="1">'[1]Simple Figure'!$F$4:$F$17</definedName>
    <definedName name="_xlchart.v1.1" hidden="1">'[1]Simple Figure'!$G$3</definedName>
    <definedName name="_xlchart.v1.2" hidden="1">'[1]Simple Figure'!$G$4:$G$17</definedName>
    <definedName name="aa"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lock.CH4">#REF!</definedName>
    <definedName name="block.CO2" localSheetId="10">#REF!</definedName>
    <definedName name="block.CO2" localSheetId="4">#REF!</definedName>
    <definedName name="block.CO2" localSheetId="6">#REF!</definedName>
    <definedName name="block.CO2" localSheetId="5">#REF!</definedName>
    <definedName name="block.CO2" localSheetId="7">#REF!</definedName>
    <definedName name="block.CO2">#REF!</definedName>
    <definedName name="block.Fgas" localSheetId="10">#REF!</definedName>
    <definedName name="block.Fgas" localSheetId="4">#REF!</definedName>
    <definedName name="block.Fgas" localSheetId="6">#REF!</definedName>
    <definedName name="block.Fgas" localSheetId="5">#REF!</definedName>
    <definedName name="block.Fgas" localSheetId="7">#REF!</definedName>
    <definedName name="block.Fgas">#REF!</definedName>
    <definedName name="block.N2O" localSheetId="10">#REF!</definedName>
    <definedName name="block.N2O" localSheetId="4">#REF!</definedName>
    <definedName name="block.N2O" localSheetId="6">#REF!</definedName>
    <definedName name="block.N2O" localSheetId="5">#REF!</definedName>
    <definedName name="block.N2O" localSheetId="7">#REF!</definedName>
    <definedName name="block.N2O">#REF!</definedName>
    <definedName name="CAAGR_tolerance">200</definedName>
    <definedName name="CO2percap" localSheetId="10">#REF!</definedName>
    <definedName name="CO2percap" localSheetId="4">#REF!</definedName>
    <definedName name="CO2percap" localSheetId="6">#REF!</definedName>
    <definedName name="CO2percap" localSheetId="5">#REF!</definedName>
    <definedName name="CO2percap" localSheetId="7">#REF!</definedName>
    <definedName name="CO2percap">#REF!</definedName>
    <definedName name="CO2perUSD_GDP" localSheetId="10">#REF!</definedName>
    <definedName name="CO2perUSD_GDP" localSheetId="4">#REF!</definedName>
    <definedName name="CO2perUSD_GDP" localSheetId="6">#REF!</definedName>
    <definedName name="CO2perUSD_GDP" localSheetId="5">#REF!</definedName>
    <definedName name="CO2perUSD_GDP" localSheetId="7">#REF!</definedName>
    <definedName name="CO2perUSD_GDP">#REF!</definedName>
    <definedName name="cost_data_2015">'[2]Input costs 2015'!$A$1:$XX$40</definedName>
    <definedName name="costdata_notrade">'[2]Input costs 2014'!$A$4:$I$35</definedName>
    <definedName name="countries_dropdownlist">[2]Lookups!$A$12:$A$37</definedName>
    <definedName name="country_id" localSheetId="10">#REF!</definedName>
    <definedName name="country_id" localSheetId="4">#REF!</definedName>
    <definedName name="country_id" localSheetId="6">#REF!</definedName>
    <definedName name="country_id" localSheetId="1">#REF!</definedName>
    <definedName name="country_id" localSheetId="5">#REF!</definedName>
    <definedName name="country_id" localSheetId="7">#REF!</definedName>
    <definedName name="country_id">#REF!</definedName>
    <definedName name="countrygroups" hidden="1">[3]Lookups!$E$42:$F$65</definedName>
    <definedName name="CountryResultsLookup" hidden="1">[3]Lookups!$A$157:$G$219</definedName>
    <definedName name="Deflator_Data">[4]GDPdeflator!$E$5:$BK$268</definedName>
    <definedName name="Deflator_ID">[4]GDPdeflator!$BN$5:$BN$268</definedName>
    <definedName name="Deflator_Year">[4]GDPdeflator!$E$4:$BL$4</definedName>
    <definedName name="EDGAR_Country">'[5]Database Emissions EDGAR_FAO'!$B$5:$B$230</definedName>
    <definedName name="EDGAR_head">'[5]Database Emissions EDGAR_FAO'!$D$4:$AE$4</definedName>
    <definedName name="EDGAR_table">'[5]Database Emissions EDGAR_FAO'!$D$5:$AE$230</definedName>
    <definedName name="elec"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fac_gdp">'[6]Emissions per GDP (MER)'!$B$1</definedName>
    <definedName name="GDP">'[2]Input Population GDP'!$F$38:$U$71</definedName>
    <definedName name="GHG" localSheetId="10">#REF!</definedName>
    <definedName name="GHG" localSheetId="4">#REF!</definedName>
    <definedName name="GHG" localSheetId="6">#REF!</definedName>
    <definedName name="GHG" localSheetId="5">#REF!</definedName>
    <definedName name="GHG" localSheetId="7">#REF!</definedName>
    <definedName name="GHG">#REF!</definedName>
    <definedName name="GHGpercap" localSheetId="10">#REF!</definedName>
    <definedName name="GHGpercap" localSheetId="4">#REF!</definedName>
    <definedName name="GHGpercap" localSheetId="6">#REF!</definedName>
    <definedName name="GHGpercap" localSheetId="5">#REF!</definedName>
    <definedName name="GHGpercap" localSheetId="7">#REF!</definedName>
    <definedName name="GHGpercap">#REF!</definedName>
    <definedName name="GHGperUSD_GDP" localSheetId="10">#REF!</definedName>
    <definedName name="GHGperUSD_GDP" localSheetId="4">#REF!</definedName>
    <definedName name="GHGperUSD_GDP" localSheetId="6">#REF!</definedName>
    <definedName name="GHGperUSD_GDP" localSheetId="5">#REF!</definedName>
    <definedName name="GHGperUSD_GDP" localSheetId="7">#REF!</definedName>
    <definedName name="GHGperUSD_GDP">#REF!</definedName>
    <definedName name="Glocaf_countries">'[2]Inpu mixed BAU'!$F$2:$F$34</definedName>
    <definedName name="Glocaf_policy">'[2]Inpu mixed BAU'!$F$70:$N$102</definedName>
    <definedName name="Glocaf_years">'[2]Inpu mixed BAU'!$F$2:$N$2</definedName>
    <definedName name="GlocafBAU" hidden="1">'[3]Input data BAU'!$F$2:$S$34</definedName>
    <definedName name="Glocafpolicy" hidden="1">'[3]Input data BAU'!$F$70:$S$102</definedName>
    <definedName name="GWP_CH4">[6]Assumptions!$B$22</definedName>
    <definedName name="GWP_N2O">[6]Assumptions!$B$23</definedName>
    <definedName name="GWP_SAR_CH4">[6]Assumptions!$B$2</definedName>
    <definedName name="GWP_SAR_N2O">[6]Assumptions!$B$3</definedName>
    <definedName name="incl_ND_Canada" localSheetId="1">[7]Canada!$E$1</definedName>
    <definedName name="incl_ND_Canada">[8]Canada!$E$1</definedName>
    <definedName name="INDCpledges">'[2]Country results'!$J$7:$N$32</definedName>
    <definedName name="ISO_country">[5]ISO!$B$3:$B$251</definedName>
    <definedName name="ISO_head">[5]ISO!$C$2:$E$2</definedName>
    <definedName name="ISO_table">[5]ISO!$C$3:$E$251</definedName>
    <definedName name="List_CATcountries">[9]Admin!$C$6:$C$38</definedName>
    <definedName name="List_Gases" localSheetId="10">OFFSET([10]Admin!$L$6,1,0,MAX(1,COUNTA([10]Admin!$L$7:$L$16)))</definedName>
    <definedName name="List_Gases">OFFSET([11]Admin!$L$6,1,0,MAX(1,COUNTA([11]Admin!$L$7:$L$16)))</definedName>
    <definedName name="List_scenarios" localSheetId="10">[10]Admin!$D$41:$D$46</definedName>
    <definedName name="List_scenarios">[11]Admin!$D$41:$D$48</definedName>
    <definedName name="List_ScenarioType" localSheetId="10">OFFSET([10]Admin!$F$6,1,0,MAX(1,COUNTA([10]Admin!$F$7:$F$16)))</definedName>
    <definedName name="List_ScenarioType">OFFSET([11]Admin!$F$6,1,0,MAX(1,COUNTA([11]Admin!$F$7:$F$16)))</definedName>
    <definedName name="List_Sectors" localSheetId="10">OFFSET([10]Admin!$J$6,1,0,MAX(1,COUNTA([10]Admin!$J$7:$J$16)))</definedName>
    <definedName name="List_Sectors">OFFSET([11]Admin!$J$6,1,0,MAX(1,COUNTA([11]Admin!$J$7:$J$16)))</definedName>
    <definedName name="List_Sources" localSheetId="10">OFFSET([10]Admin!$D$22,1,0,MAX(1,COUNTA([10]Admin!$D$23:$D$35)))</definedName>
    <definedName name="List_Sources">OFFSET([11]Admin!$D$22,1,0,MAX(1,COUNTA([11]Admin!$D$23:$D$35)))</definedName>
    <definedName name="List_StudyType" localSheetId="10">OFFSET([10]Admin!$D$6,1,0,MAX(1,COUNTA([10]Admin!$D$7:$D$16)))</definedName>
    <definedName name="List_StudyType">OFFSET([11]Admin!$D$6,1,0,MAX(1,COUNTA([11]Admin!$D$7:$D$16)))</definedName>
    <definedName name="List_YesNo" localSheetId="10">OFFSET([10]Admin!$H$6,1,0,MAX(1,COUNTA([10]Admin!$H$7:$H$16)))</definedName>
    <definedName name="List_YesNo">OFFSET([11]Admin!$H$6,1,0,MAX(1,COUNTA([11]Admin!$H$7:$H$16)))</definedName>
    <definedName name="Mixed_BAU">'[2]Inpu mixed BAU'!$F$2:$N$34</definedName>
    <definedName name="Output_scen1" localSheetId="10">#REF!</definedName>
    <definedName name="Output_scen1" localSheetId="4">#REF!</definedName>
    <definedName name="Output_scen1" localSheetId="6">#REF!</definedName>
    <definedName name="Output_scen1" localSheetId="1">#REF!</definedName>
    <definedName name="Output_scen1" localSheetId="5">#REF!</definedName>
    <definedName name="Output_scen1" localSheetId="7">#REF!</definedName>
    <definedName name="Output_scen1">#REF!</definedName>
    <definedName name="PBLdata" localSheetId="10">#REF!</definedName>
    <definedName name="PBLdata" localSheetId="4">#REF!</definedName>
    <definedName name="PBLdata" localSheetId="6">#REF!</definedName>
    <definedName name="PBLdata" localSheetId="1">#REF!</definedName>
    <definedName name="PBLdata" localSheetId="5">#REF!</definedName>
    <definedName name="PBLdata" localSheetId="7">#REF!</definedName>
    <definedName name="PBLdata">#REF!</definedName>
    <definedName name="PBLdata_country" localSheetId="10">#REF!</definedName>
    <definedName name="PBLdata_country" localSheetId="4">#REF!</definedName>
    <definedName name="PBLdata_country" localSheetId="6">#REF!</definedName>
    <definedName name="PBLdata_country" localSheetId="1">#REF!</definedName>
    <definedName name="PBLdata_country" localSheetId="5">#REF!</definedName>
    <definedName name="PBLdata_country" localSheetId="7">#REF!</definedName>
    <definedName name="PBLdata_country">#REF!</definedName>
    <definedName name="PBLdata_head" localSheetId="10">#REF!</definedName>
    <definedName name="PBLdata_head" localSheetId="4">#REF!</definedName>
    <definedName name="PBLdata_head" localSheetId="6">#REF!</definedName>
    <definedName name="PBLdata_head" localSheetId="1">#REF!</definedName>
    <definedName name="PBLdata_head" localSheetId="5">#REF!</definedName>
    <definedName name="PBLdata_head" localSheetId="7">#REF!</definedName>
    <definedName name="PBLdata_head">#REF!</definedName>
    <definedName name="pledges" localSheetId="10">#REF!</definedName>
    <definedName name="pledges" localSheetId="4">#REF!</definedName>
    <definedName name="pledges" localSheetId="6">#REF!</definedName>
    <definedName name="pledges" localSheetId="1">#REF!</definedName>
    <definedName name="pledges" localSheetId="5">#REF!</definedName>
    <definedName name="pledges" localSheetId="7">#REF!</definedName>
    <definedName name="pledges">#REF!</definedName>
    <definedName name="population">'[2]Input Population GDP'!$F$2:$S$35</definedName>
    <definedName name="Results_year" localSheetId="10">#REF!</definedName>
    <definedName name="Results_year" localSheetId="4">#REF!</definedName>
    <definedName name="Results_year" localSheetId="6">#REF!</definedName>
    <definedName name="Results_year" localSheetId="1">#REF!</definedName>
    <definedName name="Results_year" localSheetId="5">#REF!</definedName>
    <definedName name="Results_year" localSheetId="7">#REF!</definedName>
    <definedName name="Results_year">#REF!</definedName>
    <definedName name="RoundFactorLong">4</definedName>
    <definedName name="RoundFactorMed">3</definedName>
    <definedName name="RoundFactorShort">3</definedName>
    <definedName name="Scenario_list">'[2]Scenario list'!$A$3:$C$433</definedName>
    <definedName name="ScenarioName_list">'[2]Scenario list'!$A$2:$A$433</definedName>
    <definedName name="scenarios_inputs_allowedemissions">'[2]Input targets Allowed emissions'!$2:$41</definedName>
    <definedName name="scenarios2020inclREDD" hidden="1">'[3]Global results 2020 incl REDD'!$A$1:$AF$1</definedName>
    <definedName name="SmallestNonZeroValue">0.00001</definedName>
    <definedName name="Submitted_INDCs">OFFSET('[11]Submitted INDCs'!$C$3,1,0,MAX(1,COUNTA('[11]Submitted INDCs'!$C$4:$C$62)))</definedName>
    <definedName name="SumTolerance">0.005</definedName>
    <definedName name="table6"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rgetmethod2030">[2]Lookups!$A$3:$A$9</definedName>
    <definedName name="wrn.Coal._.Questionnaire." localSheetId="10"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4"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6"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1"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5"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9"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7" hidden="1">{#N/A,#N/A,FALSE,"Explanatory notes";#N/A,#N/A,FALSE,"Table 1A 1999";#N/A,#N/A,FALSE,"Table 2A 1999";#N/A,#N/A,FALSE,"Table 3A 1999";#N/A,#N/A,FALSE,"Table 4A 1999";#N/A,#N/A,FALSE,"Table 5A 1999";#N/A,#N/A,FALSE,"Table 6A 1999";#N/A,#N/A,FALSE,"Table 7A 1999";#N/A,#N/A,FALSE,"Table 8A 1999";#N/A,#N/A,FALSE,"Remarks"}</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localSheetId="1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5"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9"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7"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year_id" localSheetId="10">#REF!</definedName>
    <definedName name="year_id" localSheetId="4">#REF!</definedName>
    <definedName name="year_id" localSheetId="6">#REF!</definedName>
    <definedName name="year_id" localSheetId="1">#REF!</definedName>
    <definedName name="year_id" localSheetId="5">#REF!</definedName>
    <definedName name="year_id" localSheetId="7">#REF!</definedName>
    <definedName name="year_i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38" i="1" l="1"/>
  <c r="Y238" i="1"/>
  <c r="X238"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AW45" i="1"/>
  <c r="AW46" i="1"/>
  <c r="AW47" i="1"/>
  <c r="AW48" i="1"/>
  <c r="AW49" i="1"/>
  <c r="AW50" i="1"/>
  <c r="AW51" i="1"/>
  <c r="AW52" i="1"/>
  <c r="AW53" i="1"/>
  <c r="AW54" i="1"/>
  <c r="AW55" i="1"/>
  <c r="AW56" i="1"/>
  <c r="AW57" i="1"/>
  <c r="AW58" i="1"/>
  <c r="AW59" i="1"/>
  <c r="AW60" i="1"/>
  <c r="AW61" i="1"/>
  <c r="AW62" i="1"/>
  <c r="AW63" i="1"/>
  <c r="AW64" i="1"/>
  <c r="AW65" i="1"/>
  <c r="AW66" i="1"/>
  <c r="AW67" i="1"/>
  <c r="AW68" i="1"/>
  <c r="AW69" i="1"/>
  <c r="AW70" i="1"/>
  <c r="AW71" i="1"/>
  <c r="AW72" i="1"/>
  <c r="AW73" i="1"/>
  <c r="AW74" i="1"/>
  <c r="AW75" i="1"/>
  <c r="AW76" i="1"/>
  <c r="AW77" i="1"/>
  <c r="AW78" i="1"/>
  <c r="AW79" i="1"/>
  <c r="AW80" i="1"/>
  <c r="AW81" i="1"/>
  <c r="AW82" i="1"/>
  <c r="AW83" i="1"/>
  <c r="AW84" i="1"/>
  <c r="AW85" i="1"/>
  <c r="AW86" i="1"/>
  <c r="AW87" i="1"/>
  <c r="AW88" i="1"/>
  <c r="AW89" i="1"/>
  <c r="AW90" i="1"/>
  <c r="AW91" i="1"/>
  <c r="AW92" i="1"/>
  <c r="AW93" i="1"/>
  <c r="AW94" i="1"/>
  <c r="AW95" i="1"/>
  <c r="AW96" i="1"/>
  <c r="AW97" i="1"/>
  <c r="AW98" i="1"/>
  <c r="AW99" i="1"/>
  <c r="AW100" i="1"/>
  <c r="AW101" i="1"/>
  <c r="AW102" i="1"/>
  <c r="AW103" i="1"/>
  <c r="AW104" i="1"/>
  <c r="AW105" i="1"/>
  <c r="AW106" i="1"/>
  <c r="AW107" i="1"/>
  <c r="AW108" i="1"/>
  <c r="AW109" i="1"/>
  <c r="AW110" i="1"/>
  <c r="AW111" i="1"/>
  <c r="AW112" i="1"/>
  <c r="AW113" i="1"/>
  <c r="AW114" i="1"/>
  <c r="AW115" i="1"/>
  <c r="AW116" i="1"/>
  <c r="AW117" i="1"/>
  <c r="AW118" i="1"/>
  <c r="AW119" i="1"/>
  <c r="AW120" i="1"/>
  <c r="AW121" i="1"/>
  <c r="AW122" i="1"/>
  <c r="AW123" i="1"/>
  <c r="AW124" i="1"/>
  <c r="AW125" i="1"/>
  <c r="AW126" i="1"/>
  <c r="AW127" i="1"/>
  <c r="AW128" i="1"/>
  <c r="AW129" i="1"/>
  <c r="AW130" i="1"/>
  <c r="AW131" i="1"/>
  <c r="AW132" i="1"/>
  <c r="AW133" i="1"/>
  <c r="AW134" i="1"/>
  <c r="AW135" i="1"/>
  <c r="AW136" i="1"/>
  <c r="AW137" i="1"/>
  <c r="AW138" i="1"/>
  <c r="AW139" i="1"/>
  <c r="AW140" i="1"/>
  <c r="AW141" i="1"/>
  <c r="AW142" i="1"/>
  <c r="AW143" i="1"/>
  <c r="AW144" i="1"/>
  <c r="AW145" i="1"/>
  <c r="AW146" i="1"/>
  <c r="AW147" i="1"/>
  <c r="AW148" i="1"/>
  <c r="AW149" i="1"/>
  <c r="AW150" i="1"/>
  <c r="AW151" i="1"/>
  <c r="AW152" i="1"/>
  <c r="AW153" i="1"/>
  <c r="AW154" i="1"/>
  <c r="AW155" i="1"/>
  <c r="AW156" i="1"/>
  <c r="AW157" i="1"/>
  <c r="AW158" i="1"/>
  <c r="AW159" i="1"/>
  <c r="AW160" i="1"/>
  <c r="AW161" i="1"/>
  <c r="AW162" i="1"/>
  <c r="AW163" i="1"/>
  <c r="AW164" i="1"/>
  <c r="AW165" i="1"/>
  <c r="AW166" i="1"/>
  <c r="AW167" i="1"/>
  <c r="AW168" i="1"/>
  <c r="AW169" i="1"/>
  <c r="AW170" i="1"/>
  <c r="AW171" i="1"/>
  <c r="AW172" i="1"/>
  <c r="AW173" i="1"/>
  <c r="AW174" i="1"/>
  <c r="AW175" i="1"/>
  <c r="AW176" i="1"/>
  <c r="AW177" i="1"/>
  <c r="AW178" i="1"/>
  <c r="AW179" i="1"/>
  <c r="AW180" i="1"/>
  <c r="AW181" i="1"/>
  <c r="AW182" i="1"/>
  <c r="AW183" i="1"/>
  <c r="AW184" i="1"/>
  <c r="AW185" i="1"/>
  <c r="AW186" i="1"/>
  <c r="AW187" i="1"/>
  <c r="AW188" i="1"/>
  <c r="AW190" i="1"/>
  <c r="AW191" i="1"/>
  <c r="AW192" i="1"/>
  <c r="AW193" i="1"/>
  <c r="AW194" i="1"/>
  <c r="AW195" i="1"/>
  <c r="AW196" i="1"/>
  <c r="AW197" i="1"/>
  <c r="AW198" i="1"/>
  <c r="AW199" i="1"/>
  <c r="AW200" i="1"/>
  <c r="AW201" i="1"/>
  <c r="AW202" i="1"/>
  <c r="AW203" i="1"/>
  <c r="AW204" i="1"/>
  <c r="AW206" i="1"/>
  <c r="AW207" i="1"/>
  <c r="AW208" i="1"/>
  <c r="AW209" i="1"/>
  <c r="AW210" i="1"/>
  <c r="AW211" i="1"/>
  <c r="AW212" i="1"/>
  <c r="AW213" i="1"/>
  <c r="AW214" i="1"/>
  <c r="AW215" i="1"/>
  <c r="AW216" i="1"/>
  <c r="AW217" i="1"/>
  <c r="AW218" i="1"/>
  <c r="AW219" i="1"/>
  <c r="AW220" i="1"/>
  <c r="AW221" i="1"/>
  <c r="AW222" i="1"/>
  <c r="AW223" i="1"/>
  <c r="AW224" i="1"/>
  <c r="AW225" i="1"/>
  <c r="AW226" i="1"/>
  <c r="AW227" i="1"/>
  <c r="AW228" i="1"/>
  <c r="AW229" i="1"/>
  <c r="AW230" i="1"/>
  <c r="AW231" i="1"/>
  <c r="AW232" i="1"/>
  <c r="AW233" i="1"/>
  <c r="AW234" i="1"/>
  <c r="AW235" i="1"/>
  <c r="AW236" i="1"/>
  <c r="AW237" i="1"/>
  <c r="AW238" i="1"/>
  <c r="AW239"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45" i="1"/>
  <c r="AX46" i="1"/>
  <c r="AX47" i="1"/>
  <c r="AX48" i="1"/>
  <c r="AX49" i="1"/>
  <c r="AX50" i="1"/>
  <c r="AX51" i="1"/>
  <c r="AX52" i="1"/>
  <c r="AX53" i="1"/>
  <c r="AX54" i="1"/>
  <c r="AX55" i="1"/>
  <c r="AX56" i="1"/>
  <c r="AX57" i="1"/>
  <c r="AX58" i="1"/>
  <c r="AX59" i="1"/>
  <c r="AX60" i="1"/>
  <c r="AX61" i="1"/>
  <c r="AX62" i="1"/>
  <c r="AX63" i="1"/>
  <c r="AX64" i="1"/>
  <c r="AX65" i="1"/>
  <c r="AX66" i="1"/>
  <c r="AX67" i="1"/>
  <c r="AX68" i="1"/>
  <c r="AX69" i="1"/>
  <c r="AX70" i="1"/>
  <c r="AX71" i="1"/>
  <c r="AX72" i="1"/>
  <c r="AX73" i="1"/>
  <c r="AX74" i="1"/>
  <c r="AX75" i="1"/>
  <c r="AX76" i="1"/>
  <c r="AX77" i="1"/>
  <c r="AX78" i="1"/>
  <c r="AX79" i="1"/>
  <c r="AX80" i="1"/>
  <c r="AX81" i="1"/>
  <c r="AX82" i="1"/>
  <c r="AX83" i="1"/>
  <c r="AX84" i="1"/>
  <c r="AX85" i="1"/>
  <c r="AX86" i="1"/>
  <c r="AX87" i="1"/>
  <c r="AX88" i="1"/>
  <c r="AX89" i="1"/>
  <c r="AX90" i="1"/>
  <c r="AX91" i="1"/>
  <c r="AX92" i="1"/>
  <c r="AX93" i="1"/>
  <c r="AX94" i="1"/>
  <c r="AX95" i="1"/>
  <c r="AX96" i="1"/>
  <c r="AX97" i="1"/>
  <c r="AX98" i="1"/>
  <c r="AX99" i="1"/>
  <c r="AX100" i="1"/>
  <c r="AX101" i="1"/>
  <c r="AX102" i="1"/>
  <c r="AX103" i="1"/>
  <c r="AX104" i="1"/>
  <c r="AX105" i="1"/>
  <c r="AX106" i="1"/>
  <c r="AX107" i="1"/>
  <c r="AX108" i="1"/>
  <c r="AX109" i="1"/>
  <c r="AX110" i="1"/>
  <c r="AX111" i="1"/>
  <c r="AX112" i="1"/>
  <c r="AX113" i="1"/>
  <c r="AX114" i="1"/>
  <c r="AX115" i="1"/>
  <c r="AX116" i="1"/>
  <c r="AX117" i="1"/>
  <c r="AX118" i="1"/>
  <c r="AX119" i="1"/>
  <c r="AX120" i="1"/>
  <c r="AX121" i="1"/>
  <c r="AX122" i="1"/>
  <c r="AX123" i="1"/>
  <c r="AX124" i="1"/>
  <c r="AX125" i="1"/>
  <c r="AX126" i="1"/>
  <c r="AX127" i="1"/>
  <c r="AX128" i="1"/>
  <c r="AX129" i="1"/>
  <c r="AX130" i="1"/>
  <c r="AX131" i="1"/>
  <c r="AX132" i="1"/>
  <c r="AX133" i="1"/>
  <c r="AX134" i="1"/>
  <c r="AX135" i="1"/>
  <c r="AX136" i="1"/>
  <c r="AX137" i="1"/>
  <c r="AX138" i="1"/>
  <c r="AX139" i="1"/>
  <c r="AX140" i="1"/>
  <c r="AX141" i="1"/>
  <c r="AX142" i="1"/>
  <c r="AX143" i="1"/>
  <c r="AX144" i="1"/>
  <c r="AX145" i="1"/>
  <c r="AX146" i="1"/>
  <c r="AX147" i="1"/>
  <c r="AX148" i="1"/>
  <c r="AX149" i="1"/>
  <c r="AX150" i="1"/>
  <c r="AX151" i="1"/>
  <c r="AX152" i="1"/>
  <c r="AX153" i="1"/>
  <c r="AX154" i="1"/>
  <c r="AX155" i="1"/>
  <c r="AX156" i="1"/>
  <c r="AX157" i="1"/>
  <c r="AX158" i="1"/>
  <c r="AX159" i="1"/>
  <c r="AX160" i="1"/>
  <c r="AX161" i="1"/>
  <c r="AX162" i="1"/>
  <c r="AX163" i="1"/>
  <c r="AX164" i="1"/>
  <c r="AX165" i="1"/>
  <c r="AX166" i="1"/>
  <c r="AX167" i="1"/>
  <c r="AX168" i="1"/>
  <c r="AX169" i="1"/>
  <c r="AX170" i="1"/>
  <c r="AX171" i="1"/>
  <c r="AX172" i="1"/>
  <c r="AX173" i="1"/>
  <c r="AX174" i="1"/>
  <c r="AX175" i="1"/>
  <c r="AX176" i="1"/>
  <c r="AX177" i="1"/>
  <c r="AX178" i="1"/>
  <c r="AX179" i="1"/>
  <c r="AX180" i="1"/>
  <c r="AX181" i="1"/>
  <c r="AX182" i="1"/>
  <c r="AX183" i="1"/>
  <c r="AX184" i="1"/>
  <c r="AX185" i="1"/>
  <c r="AX186" i="1"/>
  <c r="AX187" i="1"/>
  <c r="AX188" i="1"/>
  <c r="AX190" i="1"/>
  <c r="AX191" i="1"/>
  <c r="AX192" i="1"/>
  <c r="AX193" i="1"/>
  <c r="AX194" i="1"/>
  <c r="AX195" i="1"/>
  <c r="AX196" i="1"/>
  <c r="AX197" i="1"/>
  <c r="AX198" i="1"/>
  <c r="AX199" i="1"/>
  <c r="AX200" i="1"/>
  <c r="AX201" i="1"/>
  <c r="AX202" i="1"/>
  <c r="AX203" i="1"/>
  <c r="AX204" i="1"/>
  <c r="AX206" i="1"/>
  <c r="AX207" i="1"/>
  <c r="AX208" i="1"/>
  <c r="AX209" i="1"/>
  <c r="AX210" i="1"/>
  <c r="AX211" i="1"/>
  <c r="AX212" i="1"/>
  <c r="AX213" i="1"/>
  <c r="AX214" i="1"/>
  <c r="AX215" i="1"/>
  <c r="AX216" i="1"/>
  <c r="AX217" i="1"/>
  <c r="AX218" i="1"/>
  <c r="AX219" i="1"/>
  <c r="AX220" i="1"/>
  <c r="AX221" i="1"/>
  <c r="AX222" i="1"/>
  <c r="AX223" i="1"/>
  <c r="AX224" i="1"/>
  <c r="AX225" i="1"/>
  <c r="AX226" i="1"/>
  <c r="AX227" i="1"/>
  <c r="AX228" i="1"/>
  <c r="AX229" i="1"/>
  <c r="AX230" i="1"/>
  <c r="AX231" i="1"/>
  <c r="AX232" i="1"/>
  <c r="AX233" i="1"/>
  <c r="AX234" i="1"/>
  <c r="AX235" i="1"/>
  <c r="AX236" i="1"/>
  <c r="AX237" i="1"/>
  <c r="AX238" i="1"/>
  <c r="AX239"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45" i="1"/>
  <c r="AY46" i="1"/>
  <c r="AY47" i="1"/>
  <c r="AY48" i="1"/>
  <c r="AY49" i="1"/>
  <c r="AY50" i="1"/>
  <c r="AY51" i="1"/>
  <c r="AY52" i="1"/>
  <c r="AY53" i="1"/>
  <c r="AY54" i="1"/>
  <c r="AY55" i="1"/>
  <c r="AY56" i="1"/>
  <c r="AY57" i="1"/>
  <c r="AY58" i="1"/>
  <c r="AY59" i="1"/>
  <c r="AY60" i="1"/>
  <c r="AY61" i="1"/>
  <c r="AY62" i="1"/>
  <c r="AY63" i="1"/>
  <c r="AY64" i="1"/>
  <c r="AY65" i="1"/>
  <c r="AY66" i="1"/>
  <c r="AY67" i="1"/>
  <c r="AY68" i="1"/>
  <c r="AY69" i="1"/>
  <c r="AY70" i="1"/>
  <c r="AY71" i="1"/>
  <c r="AY72" i="1"/>
  <c r="AY73" i="1"/>
  <c r="AY74" i="1"/>
  <c r="AY75" i="1"/>
  <c r="AY76" i="1"/>
  <c r="AY77" i="1"/>
  <c r="AY78" i="1"/>
  <c r="AY79" i="1"/>
  <c r="AY80" i="1"/>
  <c r="AY81" i="1"/>
  <c r="AY82" i="1"/>
  <c r="AY83" i="1"/>
  <c r="AY84" i="1"/>
  <c r="AY85" i="1"/>
  <c r="AY86" i="1"/>
  <c r="AY87" i="1"/>
  <c r="AY88" i="1"/>
  <c r="AY89" i="1"/>
  <c r="AY90" i="1"/>
  <c r="AY91" i="1"/>
  <c r="AY92" i="1"/>
  <c r="AY93" i="1"/>
  <c r="AY94" i="1"/>
  <c r="AY95" i="1"/>
  <c r="AY96" i="1"/>
  <c r="AY97" i="1"/>
  <c r="AY98" i="1"/>
  <c r="AY99" i="1"/>
  <c r="AY100" i="1"/>
  <c r="AY101" i="1"/>
  <c r="AY102" i="1"/>
  <c r="AY103" i="1"/>
  <c r="AY104" i="1"/>
  <c r="AY105" i="1"/>
  <c r="AY106" i="1"/>
  <c r="AY107" i="1"/>
  <c r="AY108" i="1"/>
  <c r="AY109" i="1"/>
  <c r="AY110" i="1"/>
  <c r="AY111" i="1"/>
  <c r="AY112" i="1"/>
  <c r="AY113" i="1"/>
  <c r="AY114" i="1"/>
  <c r="AY115" i="1"/>
  <c r="AY116" i="1"/>
  <c r="AY117" i="1"/>
  <c r="AY118" i="1"/>
  <c r="AY119" i="1"/>
  <c r="AY120" i="1"/>
  <c r="AY121" i="1"/>
  <c r="AY122" i="1"/>
  <c r="AY123" i="1"/>
  <c r="AY124" i="1"/>
  <c r="AY125" i="1"/>
  <c r="AY126" i="1"/>
  <c r="AY127" i="1"/>
  <c r="AY128" i="1"/>
  <c r="AY129" i="1"/>
  <c r="AY130" i="1"/>
  <c r="AY131" i="1"/>
  <c r="AY132" i="1"/>
  <c r="AY133" i="1"/>
  <c r="AY134" i="1"/>
  <c r="AY135" i="1"/>
  <c r="AY136" i="1"/>
  <c r="AY137" i="1"/>
  <c r="AY138" i="1"/>
  <c r="AY139" i="1"/>
  <c r="AY140" i="1"/>
  <c r="AY141" i="1"/>
  <c r="AY142" i="1"/>
  <c r="AY143" i="1"/>
  <c r="AY144" i="1"/>
  <c r="AY145" i="1"/>
  <c r="AY146" i="1"/>
  <c r="AY147" i="1"/>
  <c r="AY148" i="1"/>
  <c r="AY149" i="1"/>
  <c r="AY150" i="1"/>
  <c r="AY151" i="1"/>
  <c r="AY152" i="1"/>
  <c r="AY153" i="1"/>
  <c r="AY154" i="1"/>
  <c r="AY155" i="1"/>
  <c r="AY156" i="1"/>
  <c r="AY157" i="1"/>
  <c r="AY158" i="1"/>
  <c r="AY159" i="1"/>
  <c r="AY160" i="1"/>
  <c r="AY161" i="1"/>
  <c r="AY162" i="1"/>
  <c r="AY163" i="1"/>
  <c r="AY164" i="1"/>
  <c r="AY165" i="1"/>
  <c r="AY166" i="1"/>
  <c r="AY167" i="1"/>
  <c r="AY168" i="1"/>
  <c r="AY169" i="1"/>
  <c r="AY170" i="1"/>
  <c r="AY171" i="1"/>
  <c r="AY172" i="1"/>
  <c r="AY173" i="1"/>
  <c r="AY174" i="1"/>
  <c r="AY175" i="1"/>
  <c r="AY176" i="1"/>
  <c r="AY177" i="1"/>
  <c r="AY178" i="1"/>
  <c r="AY179" i="1"/>
  <c r="AY180" i="1"/>
  <c r="AY181" i="1"/>
  <c r="AY182" i="1"/>
  <c r="AY183" i="1"/>
  <c r="AY184" i="1"/>
  <c r="AY185" i="1"/>
  <c r="AY186" i="1"/>
  <c r="AY187" i="1"/>
  <c r="AY188" i="1"/>
  <c r="AY190" i="1"/>
  <c r="AY191" i="1"/>
  <c r="AY192" i="1"/>
  <c r="AY193" i="1"/>
  <c r="AY194" i="1"/>
  <c r="AY195" i="1"/>
  <c r="AY196" i="1"/>
  <c r="AY197" i="1"/>
  <c r="AY198" i="1"/>
  <c r="AY199" i="1"/>
  <c r="AY200" i="1"/>
  <c r="AY201" i="1"/>
  <c r="AY202" i="1"/>
  <c r="AY203" i="1"/>
  <c r="AY204" i="1"/>
  <c r="AY206" i="1"/>
  <c r="AY207" i="1"/>
  <c r="AY208" i="1"/>
  <c r="AY209" i="1"/>
  <c r="AY210" i="1"/>
  <c r="AY211" i="1"/>
  <c r="AY212" i="1"/>
  <c r="AY213" i="1"/>
  <c r="AY214" i="1"/>
  <c r="AY215" i="1"/>
  <c r="AY216" i="1"/>
  <c r="AY217" i="1"/>
  <c r="AY218" i="1"/>
  <c r="AY219" i="1"/>
  <c r="AY220" i="1"/>
  <c r="AY221" i="1"/>
  <c r="AY222" i="1"/>
  <c r="AY223" i="1"/>
  <c r="AY224" i="1"/>
  <c r="AY225" i="1"/>
  <c r="AY226" i="1"/>
  <c r="AY227" i="1"/>
  <c r="AY228" i="1"/>
  <c r="AY229" i="1"/>
  <c r="AY230" i="1"/>
  <c r="AY231" i="1"/>
  <c r="AY232" i="1"/>
  <c r="AY233" i="1"/>
  <c r="AY234" i="1"/>
  <c r="AY235" i="1"/>
  <c r="AY236" i="1"/>
  <c r="AY237" i="1"/>
  <c r="AY238" i="1"/>
  <c r="AY239"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45" i="1"/>
  <c r="AZ46" i="1"/>
  <c r="AZ47" i="1"/>
  <c r="AZ48" i="1"/>
  <c r="AZ49" i="1"/>
  <c r="AZ50" i="1"/>
  <c r="AZ51" i="1"/>
  <c r="AZ52" i="1"/>
  <c r="AZ53" i="1"/>
  <c r="AZ54" i="1"/>
  <c r="AZ55" i="1"/>
  <c r="AZ56" i="1"/>
  <c r="AZ57" i="1"/>
  <c r="AZ58" i="1"/>
  <c r="AZ59" i="1"/>
  <c r="AZ60" i="1"/>
  <c r="AZ61" i="1"/>
  <c r="AZ62" i="1"/>
  <c r="AZ63" i="1"/>
  <c r="AZ64" i="1"/>
  <c r="AZ65" i="1"/>
  <c r="AZ66" i="1"/>
  <c r="AZ67" i="1"/>
  <c r="AZ68" i="1"/>
  <c r="AZ69" i="1"/>
  <c r="AZ70" i="1"/>
  <c r="AZ71" i="1"/>
  <c r="AZ72" i="1"/>
  <c r="AZ73" i="1"/>
  <c r="AZ74" i="1"/>
  <c r="AZ75" i="1"/>
  <c r="AZ76" i="1"/>
  <c r="AZ77" i="1"/>
  <c r="AZ78" i="1"/>
  <c r="AZ79" i="1"/>
  <c r="AZ80" i="1"/>
  <c r="AZ81" i="1"/>
  <c r="AZ82" i="1"/>
  <c r="AZ83" i="1"/>
  <c r="AZ84" i="1"/>
  <c r="AZ85" i="1"/>
  <c r="AZ86" i="1"/>
  <c r="AZ87" i="1"/>
  <c r="AZ88" i="1"/>
  <c r="AZ89" i="1"/>
  <c r="AZ90" i="1"/>
  <c r="AZ91" i="1"/>
  <c r="AZ92" i="1"/>
  <c r="AZ93" i="1"/>
  <c r="AZ94" i="1"/>
  <c r="AZ95" i="1"/>
  <c r="AZ96" i="1"/>
  <c r="AZ97" i="1"/>
  <c r="AZ98" i="1"/>
  <c r="AZ99" i="1"/>
  <c r="AZ100" i="1"/>
  <c r="AZ101" i="1"/>
  <c r="AZ102" i="1"/>
  <c r="AZ103" i="1"/>
  <c r="AZ104" i="1"/>
  <c r="AZ105" i="1"/>
  <c r="AZ106" i="1"/>
  <c r="AZ107" i="1"/>
  <c r="AZ108" i="1"/>
  <c r="AZ109" i="1"/>
  <c r="AZ110" i="1"/>
  <c r="AZ111" i="1"/>
  <c r="AZ112" i="1"/>
  <c r="AZ113" i="1"/>
  <c r="AZ114" i="1"/>
  <c r="AZ115" i="1"/>
  <c r="AZ116" i="1"/>
  <c r="AZ117" i="1"/>
  <c r="AZ118" i="1"/>
  <c r="AZ119" i="1"/>
  <c r="AZ120" i="1"/>
  <c r="AZ121" i="1"/>
  <c r="AZ122" i="1"/>
  <c r="AZ123" i="1"/>
  <c r="AZ124" i="1"/>
  <c r="AZ125" i="1"/>
  <c r="AZ126" i="1"/>
  <c r="AZ127" i="1"/>
  <c r="AZ128" i="1"/>
  <c r="AZ129" i="1"/>
  <c r="AZ130" i="1"/>
  <c r="AZ131" i="1"/>
  <c r="AZ132" i="1"/>
  <c r="AZ133" i="1"/>
  <c r="AZ134" i="1"/>
  <c r="AZ135" i="1"/>
  <c r="AZ136" i="1"/>
  <c r="AZ137" i="1"/>
  <c r="AZ138" i="1"/>
  <c r="AZ139" i="1"/>
  <c r="AZ140" i="1"/>
  <c r="AZ141" i="1"/>
  <c r="AZ142" i="1"/>
  <c r="AZ143" i="1"/>
  <c r="AZ144" i="1"/>
  <c r="AZ145" i="1"/>
  <c r="AZ146" i="1"/>
  <c r="AZ147" i="1"/>
  <c r="AZ148" i="1"/>
  <c r="AZ149" i="1"/>
  <c r="AZ150" i="1"/>
  <c r="AZ151" i="1"/>
  <c r="AZ152" i="1"/>
  <c r="AZ153" i="1"/>
  <c r="AZ154" i="1"/>
  <c r="AZ155" i="1"/>
  <c r="AZ156" i="1"/>
  <c r="AZ157" i="1"/>
  <c r="AZ158" i="1"/>
  <c r="AZ159" i="1"/>
  <c r="AZ160" i="1"/>
  <c r="AZ161" i="1"/>
  <c r="AZ162" i="1"/>
  <c r="AZ163" i="1"/>
  <c r="AZ164" i="1"/>
  <c r="AZ165" i="1"/>
  <c r="AZ166" i="1"/>
  <c r="AZ167" i="1"/>
  <c r="AZ168" i="1"/>
  <c r="AZ169" i="1"/>
  <c r="AZ170" i="1"/>
  <c r="AZ171" i="1"/>
  <c r="AZ172" i="1"/>
  <c r="AZ173" i="1"/>
  <c r="AZ174" i="1"/>
  <c r="AZ175" i="1"/>
  <c r="AZ176" i="1"/>
  <c r="AZ177" i="1"/>
  <c r="AZ178" i="1"/>
  <c r="AZ179" i="1"/>
  <c r="AZ180" i="1"/>
  <c r="AZ181" i="1"/>
  <c r="AZ182" i="1"/>
  <c r="AZ183" i="1"/>
  <c r="AZ184" i="1"/>
  <c r="AZ185" i="1"/>
  <c r="AZ186" i="1"/>
  <c r="AZ187" i="1"/>
  <c r="AZ188" i="1"/>
  <c r="AZ190" i="1"/>
  <c r="AZ191" i="1"/>
  <c r="AZ192" i="1"/>
  <c r="AZ193" i="1"/>
  <c r="AZ194" i="1"/>
  <c r="AZ195" i="1"/>
  <c r="AZ196" i="1"/>
  <c r="AZ197" i="1"/>
  <c r="AZ198" i="1"/>
  <c r="AZ199" i="1"/>
  <c r="AZ200" i="1"/>
  <c r="AZ201" i="1"/>
  <c r="AZ202" i="1"/>
  <c r="AZ203" i="1"/>
  <c r="AZ204" i="1"/>
  <c r="AZ206" i="1"/>
  <c r="AZ207" i="1"/>
  <c r="AZ208" i="1"/>
  <c r="AZ209" i="1"/>
  <c r="AZ210" i="1"/>
  <c r="AZ211" i="1"/>
  <c r="AZ212" i="1"/>
  <c r="AZ213" i="1"/>
  <c r="AZ214" i="1"/>
  <c r="AZ215" i="1"/>
  <c r="AZ216" i="1"/>
  <c r="AZ217" i="1"/>
  <c r="AZ218" i="1"/>
  <c r="AZ219" i="1"/>
  <c r="AZ220" i="1"/>
  <c r="AZ221" i="1"/>
  <c r="AZ222" i="1"/>
  <c r="AZ223" i="1"/>
  <c r="AZ224" i="1"/>
  <c r="AZ225" i="1"/>
  <c r="AZ226" i="1"/>
  <c r="AZ227" i="1"/>
  <c r="AZ228" i="1"/>
  <c r="AZ229" i="1"/>
  <c r="AZ230" i="1"/>
  <c r="AZ231" i="1"/>
  <c r="AZ232" i="1"/>
  <c r="AZ233" i="1"/>
  <c r="AZ234" i="1"/>
  <c r="AZ235" i="1"/>
  <c r="AZ236" i="1"/>
  <c r="AZ237" i="1"/>
  <c r="AZ238" i="1"/>
  <c r="AZ239" i="1"/>
  <c r="Z239" i="1"/>
  <c r="Y239" i="1"/>
  <c r="X239" i="1"/>
  <c r="Z237" i="1"/>
  <c r="Y237" i="1"/>
  <c r="X237" i="1"/>
  <c r="Z236" i="1"/>
  <c r="Y236" i="1"/>
  <c r="X236" i="1"/>
  <c r="Z235" i="1"/>
  <c r="Y235" i="1"/>
  <c r="X235" i="1"/>
  <c r="Z234" i="1"/>
  <c r="Y234" i="1"/>
  <c r="X234" i="1"/>
  <c r="Z233" i="1"/>
  <c r="Y233" i="1"/>
  <c r="X233" i="1"/>
  <c r="Z232" i="1"/>
  <c r="Y232" i="1"/>
  <c r="X232" i="1"/>
  <c r="Z231" i="1"/>
  <c r="Y231" i="1"/>
  <c r="X231" i="1"/>
  <c r="Z230" i="1"/>
  <c r="Y230" i="1"/>
  <c r="X230" i="1"/>
  <c r="Z229" i="1"/>
  <c r="Y229" i="1"/>
  <c r="X229" i="1"/>
  <c r="Z228" i="1"/>
  <c r="Y228" i="1"/>
  <c r="X228" i="1"/>
  <c r="Z227" i="1"/>
  <c r="Y227" i="1"/>
  <c r="X227" i="1"/>
  <c r="Z226" i="1"/>
  <c r="Y226" i="1"/>
  <c r="X226" i="1"/>
  <c r="Z225" i="1"/>
  <c r="Y225" i="1"/>
  <c r="X225" i="1"/>
  <c r="Z224" i="1"/>
  <c r="Y224" i="1"/>
  <c r="X224" i="1"/>
  <c r="Z223" i="1"/>
  <c r="Y223" i="1"/>
  <c r="X223" i="1"/>
  <c r="Z222" i="1"/>
  <c r="Y222" i="1"/>
  <c r="X222" i="1"/>
  <c r="Z221" i="1"/>
  <c r="Y221" i="1"/>
  <c r="X221" i="1"/>
  <c r="Z220" i="1"/>
  <c r="Y220" i="1"/>
  <c r="X220" i="1"/>
  <c r="Z219" i="1"/>
  <c r="Y219" i="1"/>
  <c r="X219" i="1"/>
  <c r="Z218" i="1"/>
  <c r="Y218" i="1"/>
  <c r="X218" i="1"/>
  <c r="Z217" i="1"/>
  <c r="Y217" i="1"/>
  <c r="X217" i="1"/>
  <c r="Z216" i="1"/>
  <c r="Y216" i="1"/>
  <c r="X216" i="1"/>
  <c r="Z215" i="1"/>
  <c r="Y215" i="1"/>
  <c r="X215" i="1"/>
  <c r="Z214" i="1"/>
  <c r="Y214" i="1"/>
  <c r="X214" i="1"/>
  <c r="Z213" i="1"/>
  <c r="Y213" i="1"/>
  <c r="X213" i="1"/>
  <c r="Z212" i="1"/>
  <c r="Y212" i="1"/>
  <c r="X212" i="1"/>
  <c r="Z211" i="1"/>
  <c r="Y211" i="1"/>
  <c r="X211" i="1"/>
  <c r="Z210" i="1"/>
  <c r="Y210" i="1"/>
  <c r="X210" i="1"/>
  <c r="Z209" i="1"/>
  <c r="Y209" i="1"/>
  <c r="X209" i="1"/>
  <c r="Z208" i="1"/>
  <c r="Y208" i="1"/>
  <c r="X208" i="1"/>
  <c r="Z207" i="1"/>
  <c r="Y207" i="1"/>
  <c r="X207" i="1"/>
  <c r="Z206" i="1"/>
  <c r="Y206" i="1"/>
  <c r="X206" i="1"/>
  <c r="Z205" i="1"/>
  <c r="Y205" i="1"/>
  <c r="X205" i="1"/>
  <c r="Z204" i="1"/>
  <c r="Y204" i="1"/>
  <c r="X204" i="1"/>
  <c r="Z203" i="1"/>
  <c r="Y203" i="1"/>
  <c r="X203" i="1"/>
  <c r="Z202" i="1"/>
  <c r="Y202" i="1"/>
  <c r="X202" i="1"/>
  <c r="Z201" i="1"/>
  <c r="Y201" i="1"/>
  <c r="X201" i="1"/>
  <c r="Z200" i="1"/>
  <c r="Y200" i="1"/>
  <c r="X200" i="1"/>
  <c r="Z199" i="1"/>
  <c r="Y199" i="1"/>
  <c r="X199" i="1"/>
  <c r="Z198" i="1"/>
  <c r="Y198" i="1"/>
  <c r="X198" i="1"/>
  <c r="Z197" i="1"/>
  <c r="Y197" i="1"/>
  <c r="X197" i="1"/>
  <c r="Z196" i="1"/>
  <c r="Y196" i="1"/>
  <c r="X196" i="1"/>
  <c r="Z195" i="1"/>
  <c r="Y195" i="1"/>
  <c r="X195" i="1"/>
  <c r="Z194" i="1"/>
  <c r="Y194" i="1"/>
  <c r="X194" i="1"/>
  <c r="Z193" i="1"/>
  <c r="Y193" i="1"/>
  <c r="X193" i="1"/>
  <c r="Z192" i="1"/>
  <c r="Y192" i="1"/>
  <c r="X192" i="1"/>
  <c r="Z191" i="1"/>
  <c r="Y191" i="1"/>
  <c r="X191" i="1"/>
  <c r="Z190" i="1"/>
  <c r="Y190" i="1"/>
  <c r="X190" i="1"/>
  <c r="Z189" i="1"/>
  <c r="Y189" i="1"/>
  <c r="X189" i="1"/>
  <c r="Z188" i="1"/>
  <c r="Y188" i="1"/>
  <c r="X188" i="1"/>
  <c r="Z187" i="1"/>
  <c r="Y187" i="1"/>
  <c r="X187" i="1"/>
  <c r="Z186" i="1"/>
  <c r="Y186" i="1"/>
  <c r="X186" i="1"/>
  <c r="Z185" i="1"/>
  <c r="Y185" i="1"/>
  <c r="X185" i="1"/>
  <c r="Z184" i="1"/>
  <c r="Y184" i="1"/>
  <c r="X184" i="1"/>
  <c r="Z183" i="1"/>
  <c r="Y183" i="1"/>
  <c r="X183" i="1"/>
  <c r="Z182" i="1"/>
  <c r="Y182" i="1"/>
  <c r="X182" i="1"/>
  <c r="Z181" i="1"/>
  <c r="Y181" i="1"/>
  <c r="X181" i="1"/>
  <c r="Z180" i="1"/>
  <c r="Y180" i="1"/>
  <c r="X180" i="1"/>
  <c r="Z179" i="1"/>
  <c r="Y179" i="1"/>
  <c r="X179" i="1"/>
  <c r="Z178" i="1"/>
  <c r="Y178" i="1"/>
  <c r="X178" i="1"/>
  <c r="Z177" i="1"/>
  <c r="Y177" i="1"/>
  <c r="X177" i="1"/>
  <c r="Z176" i="1"/>
  <c r="Y176" i="1"/>
  <c r="X176" i="1"/>
  <c r="Z175" i="1"/>
  <c r="Y175" i="1"/>
  <c r="X175" i="1"/>
  <c r="Z174" i="1"/>
  <c r="Y174" i="1"/>
  <c r="X174" i="1"/>
  <c r="Z173" i="1"/>
  <c r="Y173" i="1"/>
  <c r="X173" i="1"/>
  <c r="Z172" i="1"/>
  <c r="Y172" i="1"/>
  <c r="X172" i="1"/>
  <c r="Z171" i="1"/>
  <c r="Y171" i="1"/>
  <c r="X171" i="1"/>
  <c r="Z170" i="1"/>
  <c r="Y170" i="1"/>
  <c r="X170" i="1"/>
  <c r="Z169" i="1"/>
  <c r="Y169" i="1"/>
  <c r="X169" i="1"/>
  <c r="Z168" i="1"/>
  <c r="Y168" i="1"/>
  <c r="X168" i="1"/>
  <c r="Z167" i="1"/>
  <c r="Y167" i="1"/>
  <c r="X167" i="1"/>
  <c r="Z166" i="1"/>
  <c r="Y166" i="1"/>
  <c r="X166" i="1"/>
  <c r="Z165" i="1"/>
  <c r="Y165" i="1"/>
  <c r="X165" i="1"/>
  <c r="Z164" i="1"/>
  <c r="Y164" i="1"/>
  <c r="X164" i="1"/>
  <c r="Z163" i="1"/>
  <c r="Y163" i="1"/>
  <c r="X163" i="1"/>
  <c r="Z162" i="1"/>
  <c r="Y162" i="1"/>
  <c r="X162" i="1"/>
  <c r="Z161" i="1"/>
  <c r="Y161" i="1"/>
  <c r="X161" i="1"/>
  <c r="Z160" i="1"/>
  <c r="Y160" i="1"/>
  <c r="X160" i="1"/>
  <c r="Z159" i="1"/>
  <c r="Y159" i="1"/>
  <c r="X159" i="1"/>
  <c r="Z158" i="1"/>
  <c r="Y158" i="1"/>
  <c r="X158" i="1"/>
  <c r="Z157" i="1"/>
  <c r="Y157" i="1"/>
  <c r="X157" i="1"/>
  <c r="Z156" i="1"/>
  <c r="Y156" i="1"/>
  <c r="X156" i="1"/>
  <c r="Z155" i="1"/>
  <c r="Y155" i="1"/>
  <c r="X155" i="1"/>
  <c r="Z154" i="1"/>
  <c r="Y154" i="1"/>
  <c r="X154" i="1"/>
  <c r="Z153" i="1"/>
  <c r="Y153" i="1"/>
  <c r="X153" i="1"/>
  <c r="Z152" i="1"/>
  <c r="Y152" i="1"/>
  <c r="X152" i="1"/>
  <c r="Z151" i="1"/>
  <c r="Y151" i="1"/>
  <c r="X151" i="1"/>
  <c r="Z150" i="1"/>
  <c r="Y150" i="1"/>
  <c r="X150" i="1"/>
  <c r="Z149" i="1"/>
  <c r="Y149" i="1"/>
  <c r="X149" i="1"/>
  <c r="Z148" i="1"/>
  <c r="Y148" i="1"/>
  <c r="X148" i="1"/>
  <c r="Z147" i="1"/>
  <c r="Y147" i="1"/>
  <c r="X147" i="1"/>
  <c r="Z146" i="1"/>
  <c r="Y146" i="1"/>
  <c r="X146" i="1"/>
  <c r="Z145" i="1"/>
  <c r="Y145" i="1"/>
  <c r="X145" i="1"/>
  <c r="Z144" i="1"/>
  <c r="Y144" i="1"/>
  <c r="X144" i="1"/>
  <c r="Z143" i="1"/>
  <c r="Y143" i="1"/>
  <c r="X143" i="1"/>
  <c r="Z142" i="1"/>
  <c r="Y142" i="1"/>
  <c r="X142" i="1"/>
  <c r="Z141" i="1"/>
  <c r="Y141" i="1"/>
  <c r="X141" i="1"/>
  <c r="Z140" i="1"/>
  <c r="Y140" i="1"/>
  <c r="X140" i="1"/>
  <c r="Z139" i="1"/>
  <c r="Y139" i="1"/>
  <c r="X139" i="1"/>
  <c r="Z138" i="1"/>
  <c r="Y138" i="1"/>
  <c r="X138" i="1"/>
  <c r="Z137" i="1"/>
  <c r="Y137" i="1"/>
  <c r="X137" i="1"/>
  <c r="Z136" i="1"/>
  <c r="Y136" i="1"/>
  <c r="X136" i="1"/>
  <c r="Z135" i="1"/>
  <c r="Y135" i="1"/>
  <c r="X135" i="1"/>
  <c r="Z134" i="1"/>
  <c r="Y134" i="1"/>
  <c r="X134" i="1"/>
  <c r="Z133" i="1"/>
  <c r="Y133" i="1"/>
  <c r="X133" i="1"/>
  <c r="Z132" i="1"/>
  <c r="Y132" i="1"/>
  <c r="X132" i="1"/>
  <c r="Z131" i="1"/>
  <c r="Y131" i="1"/>
  <c r="X131" i="1"/>
  <c r="Z130" i="1"/>
  <c r="Y130" i="1"/>
  <c r="X130" i="1"/>
  <c r="Z129" i="1"/>
  <c r="Y129" i="1"/>
  <c r="X129" i="1"/>
  <c r="Z128" i="1"/>
  <c r="Y128" i="1"/>
  <c r="X128" i="1"/>
  <c r="Z127" i="1"/>
  <c r="Y127" i="1"/>
  <c r="X127" i="1"/>
  <c r="Z126" i="1"/>
  <c r="Y126" i="1"/>
  <c r="X126" i="1"/>
  <c r="Z125" i="1"/>
  <c r="Y125" i="1"/>
  <c r="X125" i="1"/>
  <c r="Z124" i="1"/>
  <c r="Y124" i="1"/>
  <c r="X124" i="1"/>
  <c r="Z123" i="1"/>
  <c r="Y123" i="1"/>
  <c r="X123" i="1"/>
  <c r="Z122" i="1"/>
  <c r="Y122" i="1"/>
  <c r="X122" i="1"/>
  <c r="Z121" i="1"/>
  <c r="Y121" i="1"/>
  <c r="X121" i="1"/>
  <c r="Z120" i="1"/>
  <c r="Y120" i="1"/>
  <c r="X120" i="1"/>
  <c r="Z119" i="1"/>
  <c r="Y119" i="1"/>
  <c r="X119" i="1"/>
  <c r="Z118" i="1"/>
  <c r="Y118" i="1"/>
  <c r="X118" i="1"/>
  <c r="Z117" i="1"/>
  <c r="Y117" i="1"/>
  <c r="X117" i="1"/>
  <c r="Z116" i="1"/>
  <c r="Y116" i="1"/>
  <c r="X116" i="1"/>
  <c r="Z115" i="1"/>
  <c r="Y115" i="1"/>
  <c r="X115" i="1"/>
  <c r="Z114" i="1"/>
  <c r="Y114" i="1"/>
  <c r="X114" i="1"/>
  <c r="Z113" i="1"/>
  <c r="Y113" i="1"/>
  <c r="X113" i="1"/>
  <c r="Z112" i="1"/>
  <c r="Y112" i="1"/>
  <c r="X112" i="1"/>
  <c r="Z111" i="1"/>
  <c r="Y111" i="1"/>
  <c r="X111" i="1"/>
  <c r="Z110" i="1"/>
  <c r="Y110" i="1"/>
  <c r="X110" i="1"/>
  <c r="Z109" i="1"/>
  <c r="Y109" i="1"/>
  <c r="X109" i="1"/>
  <c r="Z108" i="1"/>
  <c r="Y108" i="1"/>
  <c r="X108" i="1"/>
  <c r="Z107" i="1"/>
  <c r="Y107" i="1"/>
  <c r="X107" i="1"/>
  <c r="Z106" i="1"/>
  <c r="Y106" i="1"/>
  <c r="X106" i="1"/>
  <c r="Z105" i="1"/>
  <c r="Y105" i="1"/>
  <c r="X105" i="1"/>
  <c r="Z104" i="1"/>
  <c r="Y104" i="1"/>
  <c r="X104" i="1"/>
  <c r="Z103" i="1"/>
  <c r="Y103" i="1"/>
  <c r="X103" i="1"/>
  <c r="Z102" i="1"/>
  <c r="Y102" i="1"/>
  <c r="X102" i="1"/>
  <c r="Z101" i="1"/>
  <c r="Y101" i="1"/>
  <c r="X101" i="1"/>
  <c r="Z100" i="1"/>
  <c r="Y100" i="1"/>
  <c r="X100" i="1"/>
  <c r="Z99" i="1"/>
  <c r="Y99" i="1"/>
  <c r="X99" i="1"/>
  <c r="Z98" i="1"/>
  <c r="Y98" i="1"/>
  <c r="X98" i="1"/>
  <c r="Z97" i="1"/>
  <c r="Y97" i="1"/>
  <c r="X97" i="1"/>
  <c r="Z96" i="1"/>
  <c r="Y96" i="1"/>
  <c r="X96" i="1"/>
  <c r="Z95" i="1"/>
  <c r="Y95" i="1"/>
  <c r="X95" i="1"/>
  <c r="Z94" i="1"/>
  <c r="Y94" i="1"/>
  <c r="X94" i="1"/>
  <c r="Z93" i="1"/>
  <c r="Y93" i="1"/>
  <c r="X93" i="1"/>
  <c r="Z92" i="1"/>
  <c r="Y92" i="1"/>
  <c r="X92" i="1"/>
  <c r="Z91" i="1"/>
  <c r="Y91" i="1"/>
  <c r="X91" i="1"/>
  <c r="Z90" i="1"/>
  <c r="Y90" i="1"/>
  <c r="X90" i="1"/>
  <c r="Z89" i="1"/>
  <c r="Y89" i="1"/>
  <c r="X89" i="1"/>
  <c r="Z88" i="1"/>
  <c r="Y88" i="1"/>
  <c r="X88" i="1"/>
  <c r="Z87" i="1"/>
  <c r="Y87" i="1"/>
  <c r="X87" i="1"/>
  <c r="Z86" i="1"/>
  <c r="Y86" i="1"/>
  <c r="X86" i="1"/>
  <c r="Z85" i="1"/>
  <c r="Y85" i="1"/>
  <c r="X85" i="1"/>
  <c r="Z84" i="1"/>
  <c r="Y84" i="1"/>
  <c r="X84" i="1"/>
  <c r="Z83" i="1"/>
  <c r="Y83" i="1"/>
  <c r="X83" i="1"/>
  <c r="Z82" i="1"/>
  <c r="Y82" i="1"/>
  <c r="X82" i="1"/>
  <c r="Z81" i="1"/>
  <c r="Y81" i="1"/>
  <c r="X81" i="1"/>
  <c r="Z80" i="1"/>
  <c r="Y80" i="1"/>
  <c r="X80" i="1"/>
  <c r="Z79" i="1"/>
  <c r="Y79" i="1"/>
  <c r="X79" i="1"/>
  <c r="Z78" i="1"/>
  <c r="Y78" i="1"/>
  <c r="X78" i="1"/>
  <c r="Z77" i="1"/>
  <c r="Y77" i="1"/>
  <c r="X77" i="1"/>
  <c r="Z76" i="1"/>
  <c r="Y76" i="1"/>
  <c r="X76" i="1"/>
  <c r="Z75" i="1"/>
  <c r="Y75" i="1"/>
  <c r="X75" i="1"/>
  <c r="Z74" i="1"/>
  <c r="Y74" i="1"/>
  <c r="X74" i="1"/>
  <c r="Z73" i="1"/>
  <c r="Y73" i="1"/>
  <c r="X73" i="1"/>
  <c r="Z72" i="1"/>
  <c r="Y72" i="1"/>
  <c r="X72" i="1"/>
  <c r="Z71" i="1"/>
  <c r="Y71" i="1"/>
  <c r="X71" i="1"/>
  <c r="Z70" i="1"/>
  <c r="Y70" i="1"/>
  <c r="X70" i="1"/>
  <c r="Z69" i="1"/>
  <c r="Y69" i="1"/>
  <c r="X69" i="1"/>
  <c r="Z68" i="1"/>
  <c r="Y68" i="1"/>
  <c r="X68" i="1"/>
  <c r="Z67" i="1"/>
  <c r="Y67" i="1"/>
  <c r="X67" i="1"/>
  <c r="Z66" i="1"/>
  <c r="Y66" i="1"/>
  <c r="X66" i="1"/>
  <c r="Z65" i="1"/>
  <c r="Y65" i="1"/>
  <c r="X65" i="1"/>
  <c r="Z64" i="1"/>
  <c r="Y64" i="1"/>
  <c r="X64" i="1"/>
  <c r="Z63" i="1"/>
  <c r="Y63" i="1"/>
  <c r="X63" i="1"/>
  <c r="Z62" i="1"/>
  <c r="Y62" i="1"/>
  <c r="X62" i="1"/>
  <c r="Z61" i="1"/>
  <c r="Y61" i="1"/>
  <c r="X61" i="1"/>
  <c r="Z60" i="1"/>
  <c r="Y60" i="1"/>
  <c r="X60" i="1"/>
  <c r="Z59" i="1"/>
  <c r="Y59" i="1"/>
  <c r="X59" i="1"/>
  <c r="Z58" i="1"/>
  <c r="Y58" i="1"/>
  <c r="X58" i="1"/>
  <c r="Z57" i="1"/>
  <c r="Y57" i="1"/>
  <c r="X57" i="1"/>
  <c r="Z56" i="1"/>
  <c r="Y56" i="1"/>
  <c r="X56" i="1"/>
  <c r="Z55" i="1"/>
  <c r="Y55" i="1"/>
  <c r="X55" i="1"/>
  <c r="Z54" i="1"/>
  <c r="Y54" i="1"/>
  <c r="X54" i="1"/>
  <c r="Z53" i="1"/>
  <c r="Y53" i="1"/>
  <c r="X53" i="1"/>
  <c r="Z52" i="1"/>
  <c r="Y52" i="1"/>
  <c r="X52" i="1"/>
  <c r="Z51" i="1"/>
  <c r="Y51" i="1"/>
  <c r="X51" i="1"/>
  <c r="Z50" i="1"/>
  <c r="Y50" i="1"/>
  <c r="X50" i="1"/>
  <c r="Z49" i="1"/>
  <c r="Y49" i="1"/>
  <c r="X49" i="1"/>
  <c r="Z48" i="1"/>
  <c r="Y48" i="1"/>
  <c r="X48" i="1"/>
  <c r="Z47" i="1"/>
  <c r="Y47" i="1"/>
  <c r="X47" i="1"/>
  <c r="Z46" i="1"/>
  <c r="Y46" i="1"/>
  <c r="X46" i="1"/>
  <c r="Z45" i="1"/>
  <c r="Y45" i="1"/>
  <c r="X45" i="1"/>
  <c r="Z44" i="1"/>
  <c r="Y44" i="1"/>
  <c r="X44" i="1"/>
  <c r="Z43" i="1"/>
  <c r="Y43" i="1"/>
  <c r="X43" i="1"/>
  <c r="Z42" i="1"/>
  <c r="Y42" i="1"/>
  <c r="X42" i="1"/>
  <c r="Z41" i="1"/>
  <c r="Y41" i="1"/>
  <c r="X41" i="1"/>
  <c r="Z40" i="1"/>
  <c r="Y40" i="1"/>
  <c r="X40" i="1"/>
  <c r="Z39" i="1"/>
  <c r="Y39" i="1"/>
  <c r="X39" i="1"/>
  <c r="Z38" i="1"/>
  <c r="Y38" i="1"/>
  <c r="X38" i="1"/>
  <c r="Z37" i="1"/>
  <c r="Y37" i="1"/>
  <c r="X37" i="1"/>
  <c r="Z36" i="1"/>
  <c r="Y36" i="1"/>
  <c r="X36" i="1"/>
  <c r="Z35" i="1"/>
  <c r="Y35" i="1"/>
  <c r="X35" i="1"/>
  <c r="Z34" i="1"/>
  <c r="Y34" i="1"/>
  <c r="X34" i="1"/>
  <c r="Z33" i="1"/>
  <c r="Y33" i="1"/>
  <c r="X33" i="1"/>
  <c r="Z32" i="1"/>
  <c r="Y32" i="1"/>
  <c r="X32" i="1"/>
  <c r="Z31" i="1"/>
  <c r="Y31" i="1"/>
  <c r="X31" i="1"/>
  <c r="Z30" i="1"/>
  <c r="Y30" i="1"/>
  <c r="X30" i="1"/>
  <c r="Z29" i="1"/>
  <c r="Y29" i="1"/>
  <c r="X29" i="1"/>
  <c r="Z28" i="1"/>
  <c r="Y28" i="1"/>
  <c r="X28" i="1"/>
  <c r="Z27" i="1"/>
  <c r="Y27" i="1"/>
  <c r="X27" i="1"/>
  <c r="Z26" i="1"/>
  <c r="Y26" i="1"/>
  <c r="X26" i="1"/>
  <c r="Z25" i="1"/>
  <c r="Y25" i="1"/>
  <c r="X25" i="1"/>
  <c r="Z24" i="1"/>
  <c r="Y24" i="1"/>
  <c r="X24" i="1"/>
  <c r="Z23" i="1"/>
  <c r="Y23" i="1"/>
  <c r="X23" i="1"/>
  <c r="Z22" i="1"/>
  <c r="Y22" i="1"/>
  <c r="X22" i="1"/>
  <c r="Z21" i="1"/>
  <c r="Y21" i="1"/>
  <c r="X21" i="1"/>
  <c r="Z20" i="1"/>
  <c r="Y20" i="1"/>
  <c r="X20" i="1"/>
  <c r="Z19" i="1"/>
  <c r="Y19" i="1"/>
  <c r="X19" i="1"/>
  <c r="Z18" i="1"/>
  <c r="Y18" i="1"/>
  <c r="X18" i="1"/>
  <c r="Z17" i="1"/>
  <c r="Y17" i="1"/>
  <c r="X17" i="1"/>
  <c r="Z16" i="1"/>
  <c r="Y16" i="1"/>
  <c r="X16" i="1"/>
  <c r="Z15" i="1"/>
  <c r="Y15" i="1"/>
  <c r="X15" i="1"/>
  <c r="Z14" i="1"/>
  <c r="Y14" i="1"/>
  <c r="X14" i="1"/>
  <c r="X13" i="1"/>
  <c r="Z13" i="1"/>
  <c r="Y13" i="1"/>
  <c r="AC237" i="1"/>
  <c r="AI237" i="1" s="1"/>
  <c r="AC239" i="1"/>
  <c r="W52" i="1"/>
  <c r="W215" i="1"/>
  <c r="W238" i="1"/>
  <c r="W223" i="1"/>
  <c r="E150" i="2"/>
  <c r="AP238" i="1"/>
  <c r="AP237" i="1"/>
  <c r="AQ237" i="1" s="1"/>
  <c r="AQ12" i="1"/>
  <c r="AP239" i="1"/>
  <c r="W239" i="1"/>
  <c r="W236" i="1"/>
  <c r="W235" i="1"/>
  <c r="W234" i="1"/>
  <c r="W233" i="1"/>
  <c r="W232" i="1"/>
  <c r="W231" i="1"/>
  <c r="W230" i="1"/>
  <c r="W229" i="1"/>
  <c r="W228" i="1"/>
  <c r="W227" i="1"/>
  <c r="W226" i="1"/>
  <c r="W225" i="1"/>
  <c r="W224" i="1"/>
  <c r="W222" i="1"/>
  <c r="W221" i="1"/>
  <c r="W220" i="1"/>
  <c r="W219" i="1"/>
  <c r="W218" i="1"/>
  <c r="W217" i="1"/>
  <c r="W216"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BQ223" i="1" l="1"/>
  <c r="BP223" i="1"/>
  <c r="BQ23" i="1"/>
  <c r="BP23" i="1"/>
  <c r="BO23" i="1"/>
  <c r="BN23" i="1"/>
  <c r="BN223" i="1"/>
  <c r="BO223" i="1" s="1"/>
  <c r="BQ46" i="1"/>
  <c r="BP46" i="1"/>
  <c r="BO46" i="1"/>
  <c r="BN46" i="1"/>
  <c r="BF43" i="1"/>
  <c r="BF42" i="1"/>
  <c r="BF41" i="1"/>
  <c r="BF40" i="1"/>
  <c r="BF38" i="1"/>
  <c r="BF37" i="1"/>
  <c r="BF36" i="1"/>
  <c r="BF35" i="1"/>
  <c r="BF34" i="1"/>
  <c r="BF33" i="1"/>
  <c r="BF32" i="1"/>
  <c r="BF31" i="1"/>
  <c r="BF30" i="1"/>
  <c r="BF29" i="1"/>
  <c r="BF28" i="1"/>
  <c r="BF27" i="1"/>
  <c r="BF26" i="1"/>
  <c r="BF25" i="1"/>
  <c r="BF24" i="1"/>
  <c r="BF22" i="1"/>
  <c r="BF21" i="1"/>
  <c r="BF19" i="1"/>
  <c r="BF18" i="1"/>
  <c r="BF17" i="1"/>
  <c r="BF16" i="1"/>
  <c r="BF15" i="1"/>
  <c r="BF14" i="1"/>
  <c r="BF13" i="1"/>
  <c r="BG238" i="1"/>
  <c r="BE238" i="1"/>
  <c r="AG237" i="1"/>
  <c r="AG236" i="1"/>
  <c r="AG233" i="1"/>
  <c r="AG232" i="1"/>
  <c r="AG231" i="1"/>
  <c r="AG230" i="1"/>
  <c r="AG227" i="1"/>
  <c r="AG217" i="1"/>
  <c r="AG211" i="1"/>
  <c r="AG205" i="1"/>
  <c r="AG197" i="1"/>
  <c r="AG194" i="1"/>
  <c r="AG183" i="1"/>
  <c r="AG174" i="1"/>
  <c r="AG172" i="1"/>
  <c r="AG169" i="1"/>
  <c r="AG159" i="1"/>
  <c r="AG153" i="1"/>
  <c r="AG152" i="1"/>
  <c r="AG144" i="1"/>
  <c r="AG136" i="1"/>
  <c r="AG127" i="1"/>
  <c r="AG98" i="1"/>
  <c r="AG91" i="1"/>
  <c r="AG89" i="1"/>
  <c r="AG87" i="1"/>
  <c r="AG81" i="1"/>
  <c r="AG80" i="1"/>
  <c r="AG76" i="1"/>
  <c r="AG75" i="1"/>
  <c r="AG57" i="1"/>
  <c r="AG22" i="1"/>
  <c r="AG19" i="1"/>
  <c r="AG16" i="1"/>
  <c r="AG14" i="1"/>
  <c r="BB238" i="1"/>
  <c r="BA238" i="1"/>
  <c r="F142" i="2"/>
  <c r="F141" i="2"/>
  <c r="F140" i="2"/>
  <c r="F139" i="2"/>
  <c r="F138" i="2"/>
  <c r="F137" i="2"/>
  <c r="F136" i="2"/>
  <c r="F135" i="2"/>
  <c r="V15" i="1"/>
  <c r="T239" i="1"/>
  <c r="V239" i="1"/>
  <c r="AR239" i="1"/>
  <c r="AB239" i="1"/>
  <c r="AD239" i="1"/>
  <c r="AQ239" i="1" s="1"/>
  <c r="AN239" i="1"/>
  <c r="BA239" i="1"/>
  <c r="BB239" i="1"/>
  <c r="BC239" i="1"/>
  <c r="BE239" i="1"/>
  <c r="BF239" i="1"/>
  <c r="BG239" i="1"/>
  <c r="AG239" i="1"/>
  <c r="BI239" i="1" l="1"/>
  <c r="BH239" i="1"/>
  <c r="AO237" i="1"/>
  <c r="AN237" i="1"/>
  <c r="AM237" i="1"/>
  <c r="AL237" i="1"/>
  <c r="AO236" i="1"/>
  <c r="AN236" i="1"/>
  <c r="AM236" i="1"/>
  <c r="AO233" i="1"/>
  <c r="AN233" i="1"/>
  <c r="AM233" i="1"/>
  <c r="AO232" i="1"/>
  <c r="AN232" i="1"/>
  <c r="AM232" i="1"/>
  <c r="AO231" i="1"/>
  <c r="AN231" i="1"/>
  <c r="AM231" i="1"/>
  <c r="AO230" i="1"/>
  <c r="AN230" i="1"/>
  <c r="AM230" i="1"/>
  <c r="AO227" i="1"/>
  <c r="AN227" i="1"/>
  <c r="AM227" i="1"/>
  <c r="AO217" i="1"/>
  <c r="AN217" i="1"/>
  <c r="AM217" i="1"/>
  <c r="AO211" i="1"/>
  <c r="AN211" i="1"/>
  <c r="AM211" i="1"/>
  <c r="AO205" i="1"/>
  <c r="AN205" i="1"/>
  <c r="AM205" i="1"/>
  <c r="AO197" i="1"/>
  <c r="AN197" i="1"/>
  <c r="AM197" i="1"/>
  <c r="AO194" i="1"/>
  <c r="AN194" i="1"/>
  <c r="AM194" i="1"/>
  <c r="AO183" i="1"/>
  <c r="AN183" i="1"/>
  <c r="AM183" i="1"/>
  <c r="AO174" i="1"/>
  <c r="AN174" i="1"/>
  <c r="AM174" i="1"/>
  <c r="AO172" i="1"/>
  <c r="AN172" i="1"/>
  <c r="AM172" i="1"/>
  <c r="AO169" i="1"/>
  <c r="AN169" i="1"/>
  <c r="AM169" i="1"/>
  <c r="AO159" i="1"/>
  <c r="AN159" i="1"/>
  <c r="AM159" i="1"/>
  <c r="AO153" i="1"/>
  <c r="AN153" i="1"/>
  <c r="AM153" i="1"/>
  <c r="AO152" i="1"/>
  <c r="AN152" i="1"/>
  <c r="AM152" i="1"/>
  <c r="AO144" i="1"/>
  <c r="AN144" i="1"/>
  <c r="AM144" i="1"/>
  <c r="AO136" i="1"/>
  <c r="AN136" i="1"/>
  <c r="AM136" i="1"/>
  <c r="AO127" i="1"/>
  <c r="AN127" i="1"/>
  <c r="AM127" i="1"/>
  <c r="AO98" i="1"/>
  <c r="AN98" i="1"/>
  <c r="AM98" i="1"/>
  <c r="AO91" i="1"/>
  <c r="AN91" i="1"/>
  <c r="AM91" i="1"/>
  <c r="AO89" i="1"/>
  <c r="AN89" i="1"/>
  <c r="AM89" i="1"/>
  <c r="AO87" i="1"/>
  <c r="AN87" i="1"/>
  <c r="AM87" i="1"/>
  <c r="AO81" i="1"/>
  <c r="AN81" i="1"/>
  <c r="AM81" i="1"/>
  <c r="AO80" i="1"/>
  <c r="AN80" i="1"/>
  <c r="AM80" i="1"/>
  <c r="AO76" i="1"/>
  <c r="AN76" i="1"/>
  <c r="AM76" i="1"/>
  <c r="AO75" i="1"/>
  <c r="AN75" i="1"/>
  <c r="AM75" i="1"/>
  <c r="AO57" i="1"/>
  <c r="AN57" i="1"/>
  <c r="AM57" i="1"/>
  <c r="AO22" i="1"/>
  <c r="AN22" i="1"/>
  <c r="AM22" i="1"/>
  <c r="AO19" i="1"/>
  <c r="AN19" i="1"/>
  <c r="AM19" i="1"/>
  <c r="AO16" i="1"/>
  <c r="AN16" i="1"/>
  <c r="AM16" i="1"/>
  <c r="AO14" i="1"/>
  <c r="AN14" i="1"/>
  <c r="AM14" i="1"/>
  <c r="BM237" i="1"/>
  <c r="BL237" i="1"/>
  <c r="BK237" i="1"/>
  <c r="BJ237" i="1"/>
  <c r="BM236" i="1"/>
  <c r="BL236" i="1"/>
  <c r="BK236" i="1"/>
  <c r="BM233" i="1"/>
  <c r="BL233" i="1"/>
  <c r="BK233" i="1"/>
  <c r="BM232" i="1"/>
  <c r="BL232" i="1"/>
  <c r="BK232" i="1"/>
  <c r="BM231" i="1"/>
  <c r="BL231" i="1"/>
  <c r="BK231" i="1"/>
  <c r="BM230" i="1"/>
  <c r="BL230" i="1"/>
  <c r="BK230" i="1"/>
  <c r="BM227" i="1"/>
  <c r="BL227" i="1"/>
  <c r="BK227" i="1"/>
  <c r="BM217" i="1"/>
  <c r="BL217" i="1"/>
  <c r="BK217" i="1"/>
  <c r="BM211" i="1"/>
  <c r="BL211" i="1"/>
  <c r="BK211" i="1"/>
  <c r="BM205" i="1"/>
  <c r="BL205" i="1"/>
  <c r="BK205" i="1"/>
  <c r="BM197" i="1"/>
  <c r="BL197" i="1"/>
  <c r="BK197" i="1"/>
  <c r="BM194" i="1"/>
  <c r="BL194" i="1"/>
  <c r="BK194" i="1"/>
  <c r="BM183" i="1"/>
  <c r="BL183" i="1"/>
  <c r="BK183" i="1"/>
  <c r="BM174" i="1"/>
  <c r="BL174" i="1"/>
  <c r="BK174" i="1"/>
  <c r="BM172" i="1"/>
  <c r="BL172" i="1"/>
  <c r="BK172" i="1"/>
  <c r="BM169" i="1"/>
  <c r="BL169" i="1"/>
  <c r="BK169" i="1"/>
  <c r="BM159" i="1"/>
  <c r="BL159" i="1"/>
  <c r="BK159" i="1"/>
  <c r="BM153" i="1"/>
  <c r="BL153" i="1"/>
  <c r="BK153" i="1"/>
  <c r="BM152" i="1"/>
  <c r="BL152" i="1"/>
  <c r="BK152" i="1"/>
  <c r="BM144" i="1"/>
  <c r="BL144" i="1"/>
  <c r="BK144" i="1"/>
  <c r="BM136" i="1"/>
  <c r="BL136" i="1"/>
  <c r="BK136" i="1"/>
  <c r="BM127" i="1"/>
  <c r="BL127" i="1"/>
  <c r="BK127" i="1"/>
  <c r="BM98" i="1"/>
  <c r="BL98" i="1"/>
  <c r="BK98" i="1"/>
  <c r="BM91" i="1"/>
  <c r="BL91" i="1"/>
  <c r="BK91" i="1"/>
  <c r="BM89" i="1"/>
  <c r="BL89" i="1"/>
  <c r="BK89" i="1"/>
  <c r="BM87" i="1"/>
  <c r="BL87" i="1"/>
  <c r="BK87" i="1"/>
  <c r="BM81" i="1"/>
  <c r="BL81" i="1"/>
  <c r="BK81" i="1"/>
  <c r="BM80" i="1"/>
  <c r="BL80" i="1"/>
  <c r="BK80" i="1"/>
  <c r="BM76" i="1"/>
  <c r="BL76" i="1"/>
  <c r="BK76" i="1"/>
  <c r="BM75" i="1"/>
  <c r="BL75" i="1"/>
  <c r="BK75" i="1"/>
  <c r="BM57" i="1"/>
  <c r="BL57" i="1"/>
  <c r="BK57" i="1"/>
  <c r="BM22" i="1"/>
  <c r="BL22" i="1"/>
  <c r="BK22" i="1"/>
  <c r="BM19" i="1"/>
  <c r="BL19" i="1"/>
  <c r="BK19" i="1"/>
  <c r="BM16" i="1"/>
  <c r="BL16" i="1"/>
  <c r="BK16" i="1"/>
  <c r="BM14" i="1"/>
  <c r="BL14" i="1"/>
  <c r="BK14" i="1"/>
  <c r="BD237" i="1"/>
  <c r="AR237" i="1"/>
  <c r="AR236" i="1"/>
  <c r="AR233" i="1"/>
  <c r="AR232" i="1"/>
  <c r="AR231" i="1"/>
  <c r="AR230" i="1"/>
  <c r="AR227" i="1"/>
  <c r="AR217" i="1"/>
  <c r="AR211" i="1"/>
  <c r="AR205" i="1"/>
  <c r="AR197" i="1"/>
  <c r="AR194" i="1"/>
  <c r="AR183" i="1"/>
  <c r="AR174" i="1"/>
  <c r="AR172" i="1"/>
  <c r="AR169" i="1"/>
  <c r="AR159" i="1"/>
  <c r="AR153" i="1"/>
  <c r="AR152" i="1"/>
  <c r="AR144" i="1"/>
  <c r="AR136" i="1"/>
  <c r="AR127" i="1"/>
  <c r="AR98" i="1"/>
  <c r="AR91" i="1"/>
  <c r="AR89" i="1"/>
  <c r="AR87" i="1"/>
  <c r="AR81" i="1"/>
  <c r="AR80" i="1"/>
  <c r="AR76" i="1"/>
  <c r="AR75" i="1"/>
  <c r="AR57" i="1"/>
  <c r="AR22" i="1"/>
  <c r="AR19" i="1"/>
  <c r="AR16" i="1"/>
  <c r="AR14" i="1"/>
  <c r="AB13" i="1"/>
  <c r="AB14" i="1"/>
  <c r="AB15" i="1"/>
  <c r="AB16" i="1"/>
  <c r="AB17" i="1"/>
  <c r="AB18" i="1"/>
  <c r="AB19" i="1"/>
  <c r="AB20" i="1"/>
  <c r="AB21" i="1"/>
  <c r="AB22" i="1"/>
  <c r="AB23" i="1"/>
  <c r="AE23" i="1" s="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167" i="1"/>
  <c r="AB168" i="1"/>
  <c r="AB169" i="1"/>
  <c r="AB170" i="1"/>
  <c r="AB171" i="1"/>
  <c r="AB172"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AB206" i="1"/>
  <c r="AB207" i="1"/>
  <c r="AB208" i="1"/>
  <c r="AB209" i="1"/>
  <c r="AB210" i="1"/>
  <c r="AB211" i="1"/>
  <c r="AB212" i="1"/>
  <c r="AB213" i="1"/>
  <c r="AB214" i="1"/>
  <c r="AB215" i="1"/>
  <c r="AB216" i="1"/>
  <c r="AB217" i="1"/>
  <c r="AB218" i="1"/>
  <c r="AB219" i="1"/>
  <c r="AB220" i="1"/>
  <c r="AB221" i="1"/>
  <c r="AB222" i="1"/>
  <c r="AB223" i="1"/>
  <c r="AB224" i="1"/>
  <c r="AB225" i="1"/>
  <c r="AB226" i="1"/>
  <c r="AB227" i="1"/>
  <c r="AB228" i="1"/>
  <c r="AB229" i="1"/>
  <c r="AB230" i="1"/>
  <c r="AB231" i="1"/>
  <c r="AB232" i="1"/>
  <c r="AB233" i="1"/>
  <c r="AB234" i="1"/>
  <c r="AB235" i="1"/>
  <c r="AB236" i="1"/>
  <c r="AB238" i="1"/>
  <c r="AE19" i="1"/>
  <c r="AE18" i="1"/>
  <c r="AE17" i="1"/>
  <c r="AE16" i="1"/>
  <c r="AE15" i="1"/>
  <c r="AE14" i="1"/>
  <c r="AE13" i="1"/>
  <c r="AE238" i="1"/>
  <c r="AE236" i="1"/>
  <c r="AE235" i="1"/>
  <c r="AE234" i="1"/>
  <c r="AE233" i="1"/>
  <c r="AE232" i="1"/>
  <c r="AE231" i="1"/>
  <c r="AE230" i="1"/>
  <c r="AE229" i="1"/>
  <c r="AE228" i="1"/>
  <c r="AE227" i="1"/>
  <c r="AE226" i="1"/>
  <c r="AE225" i="1"/>
  <c r="AE224" i="1"/>
  <c r="AE223" i="1"/>
  <c r="AE222" i="1"/>
  <c r="AE221" i="1"/>
  <c r="AE220" i="1"/>
  <c r="AE219" i="1"/>
  <c r="AE218" i="1"/>
  <c r="AE217" i="1"/>
  <c r="AE216" i="1"/>
  <c r="AE215" i="1"/>
  <c r="AE214" i="1"/>
  <c r="AE213" i="1"/>
  <c r="AE212" i="1"/>
  <c r="AE211" i="1"/>
  <c r="AE210" i="1"/>
  <c r="AE209" i="1"/>
  <c r="AE208" i="1"/>
  <c r="AE207" i="1"/>
  <c r="AE206" i="1"/>
  <c r="AE205" i="1"/>
  <c r="AE204" i="1"/>
  <c r="AE203" i="1"/>
  <c r="AE202" i="1"/>
  <c r="AE201" i="1"/>
  <c r="AE200" i="1"/>
  <c r="AE199" i="1"/>
  <c r="AE198" i="1"/>
  <c r="AE197" i="1"/>
  <c r="AE196" i="1"/>
  <c r="AE195" i="1"/>
  <c r="AE194" i="1"/>
  <c r="AE193" i="1"/>
  <c r="AE192" i="1"/>
  <c r="AE191" i="1"/>
  <c r="AE190" i="1"/>
  <c r="AE189" i="1"/>
  <c r="AE188" i="1"/>
  <c r="AE187" i="1"/>
  <c r="AE186" i="1"/>
  <c r="AE185" i="1"/>
  <c r="AE184" i="1"/>
  <c r="AE183" i="1"/>
  <c r="AE182" i="1"/>
  <c r="AE181" i="1"/>
  <c r="AE180" i="1"/>
  <c r="AE179" i="1"/>
  <c r="AE178" i="1"/>
  <c r="AE177" i="1"/>
  <c r="AE176" i="1"/>
  <c r="AE175" i="1"/>
  <c r="AE174" i="1"/>
  <c r="AE173" i="1"/>
  <c r="AE172" i="1"/>
  <c r="AE171" i="1"/>
  <c r="AE170" i="1"/>
  <c r="AE169" i="1"/>
  <c r="AE168" i="1"/>
  <c r="AE167" i="1"/>
  <c r="AE166" i="1"/>
  <c r="AE165" i="1"/>
  <c r="AE164" i="1"/>
  <c r="AE163" i="1"/>
  <c r="AE162" i="1"/>
  <c r="AE161" i="1"/>
  <c r="AE160" i="1"/>
  <c r="AE159" i="1"/>
  <c r="AE158" i="1"/>
  <c r="AE157" i="1"/>
  <c r="AE156" i="1"/>
  <c r="AE155" i="1"/>
  <c r="AE154" i="1"/>
  <c r="AE153" i="1"/>
  <c r="AE152" i="1"/>
  <c r="AE151" i="1"/>
  <c r="AE150" i="1"/>
  <c r="AE149" i="1"/>
  <c r="AE148" i="1"/>
  <c r="AE147" i="1"/>
  <c r="AE146" i="1"/>
  <c r="AE145" i="1"/>
  <c r="AE144" i="1"/>
  <c r="AE143" i="1"/>
  <c r="AE142" i="1"/>
  <c r="AE141" i="1"/>
  <c r="AE140" i="1"/>
  <c r="AE139" i="1"/>
  <c r="AE138" i="1"/>
  <c r="AE137" i="1"/>
  <c r="AE136" i="1"/>
  <c r="AE135" i="1"/>
  <c r="AE134" i="1"/>
  <c r="AE133" i="1"/>
  <c r="AE132" i="1"/>
  <c r="AE131" i="1"/>
  <c r="AE130" i="1"/>
  <c r="AE129" i="1"/>
  <c r="AE128" i="1"/>
  <c r="AE127" i="1"/>
  <c r="AE126" i="1"/>
  <c r="AE125" i="1"/>
  <c r="AE124" i="1"/>
  <c r="AE123" i="1"/>
  <c r="AE122" i="1"/>
  <c r="AE121" i="1"/>
  <c r="AE120" i="1"/>
  <c r="AE119" i="1"/>
  <c r="AE118" i="1"/>
  <c r="AE117" i="1"/>
  <c r="AE116" i="1"/>
  <c r="AE115" i="1"/>
  <c r="AE114" i="1"/>
  <c r="AE113" i="1"/>
  <c r="AE112" i="1"/>
  <c r="AE111" i="1"/>
  <c r="AE110" i="1"/>
  <c r="AE109" i="1"/>
  <c r="AE108" i="1"/>
  <c r="AE107" i="1"/>
  <c r="AE106" i="1"/>
  <c r="AE105" i="1"/>
  <c r="AE104" i="1"/>
  <c r="AE103" i="1"/>
  <c r="AE102" i="1"/>
  <c r="AE101" i="1"/>
  <c r="AE100" i="1"/>
  <c r="AE99" i="1"/>
  <c r="AE98" i="1"/>
  <c r="AE97" i="1"/>
  <c r="AE96" i="1"/>
  <c r="AE95" i="1"/>
  <c r="AE94" i="1"/>
  <c r="AE93" i="1"/>
  <c r="AE92" i="1"/>
  <c r="AE91" i="1"/>
  <c r="AE90" i="1"/>
  <c r="AE89" i="1"/>
  <c r="AE88" i="1"/>
  <c r="AE87" i="1"/>
  <c r="AE86" i="1"/>
  <c r="AE85" i="1"/>
  <c r="AE84" i="1"/>
  <c r="AE83" i="1"/>
  <c r="AE82" i="1"/>
  <c r="AE81" i="1"/>
  <c r="AE80" i="1"/>
  <c r="AE79" i="1"/>
  <c r="AE78" i="1"/>
  <c r="AE77" i="1"/>
  <c r="AE76" i="1"/>
  <c r="AE75" i="1"/>
  <c r="AE74" i="1"/>
  <c r="AE73" i="1"/>
  <c r="AE72" i="1"/>
  <c r="AE71" i="1"/>
  <c r="AE70" i="1"/>
  <c r="AE69" i="1"/>
  <c r="AE68" i="1"/>
  <c r="AE67" i="1"/>
  <c r="AE66" i="1"/>
  <c r="AE65" i="1"/>
  <c r="AE64" i="1"/>
  <c r="AE63" i="1"/>
  <c r="AE62" i="1"/>
  <c r="AE61" i="1"/>
  <c r="AE60" i="1"/>
  <c r="AE59" i="1"/>
  <c r="AE58" i="1"/>
  <c r="AE57" i="1"/>
  <c r="AE56" i="1"/>
  <c r="AE55" i="1"/>
  <c r="AE54" i="1"/>
  <c r="AE53" i="1"/>
  <c r="AE52" i="1"/>
  <c r="AE51" i="1"/>
  <c r="AE50" i="1"/>
  <c r="AE49" i="1"/>
  <c r="AE48" i="1"/>
  <c r="AE47" i="1"/>
  <c r="AE46" i="1"/>
  <c r="AE45" i="1"/>
  <c r="AE44" i="1"/>
  <c r="AE43" i="1"/>
  <c r="AE42" i="1"/>
  <c r="AE41" i="1"/>
  <c r="AE40" i="1"/>
  <c r="AE39" i="1"/>
  <c r="AE38" i="1"/>
  <c r="AE37" i="1"/>
  <c r="AE36" i="1"/>
  <c r="AE35" i="1"/>
  <c r="AE34" i="1"/>
  <c r="AE33" i="1"/>
  <c r="AE32" i="1"/>
  <c r="AE31" i="1"/>
  <c r="AE30" i="1"/>
  <c r="AE29" i="1"/>
  <c r="AE28" i="1"/>
  <c r="AE27" i="1"/>
  <c r="AE26" i="1"/>
  <c r="AE25" i="1"/>
  <c r="AE24" i="1"/>
  <c r="AE22" i="1"/>
  <c r="AE21" i="1"/>
  <c r="AE20" i="1"/>
  <c r="AJ237" i="1" l="1"/>
  <c r="AK237" i="1" s="1"/>
  <c r="AH237" i="1"/>
  <c r="B77" i="9"/>
  <c r="B76" i="9"/>
  <c r="B75" i="9"/>
  <c r="B74" i="9"/>
  <c r="B73" i="9"/>
  <c r="B72" i="9"/>
  <c r="B71" i="9"/>
  <c r="B70" i="9"/>
  <c r="B69" i="9"/>
  <c r="B68" i="9"/>
  <c r="B67" i="9"/>
  <c r="B66" i="9"/>
  <c r="B65" i="9"/>
  <c r="B64" i="9"/>
  <c r="B63" i="9"/>
  <c r="B62" i="9"/>
  <c r="B61" i="9"/>
  <c r="B60" i="9"/>
  <c r="B59" i="9"/>
  <c r="B58" i="9"/>
  <c r="B57" i="9"/>
  <c r="B56" i="9"/>
  <c r="B55" i="9"/>
  <c r="B54" i="9"/>
  <c r="B53" i="9"/>
  <c r="B52" i="9"/>
  <c r="B51" i="9"/>
  <c r="B50" i="9"/>
  <c r="B49" i="9"/>
  <c r="B48" i="9"/>
  <c r="B47" i="9"/>
  <c r="B46" i="9"/>
  <c r="B45" i="9"/>
  <c r="B44" i="9"/>
  <c r="B43" i="9"/>
  <c r="B42" i="9"/>
  <c r="B41" i="9"/>
  <c r="B40" i="9"/>
  <c r="B39" i="9"/>
  <c r="B38" i="9"/>
  <c r="B37" i="9"/>
  <c r="B36" i="9"/>
  <c r="B35" i="9"/>
  <c r="B34" i="9"/>
  <c r="B33" i="9"/>
  <c r="B32" i="9"/>
  <c r="B31" i="9"/>
  <c r="B30" i="9"/>
  <c r="B29" i="9"/>
  <c r="B28" i="9"/>
  <c r="B27" i="9"/>
  <c r="B26" i="9"/>
  <c r="B25" i="9"/>
  <c r="B24" i="9"/>
  <c r="B23" i="9"/>
  <c r="B22" i="9"/>
  <c r="B21" i="9"/>
  <c r="B20" i="9"/>
  <c r="B19" i="9"/>
  <c r="B18" i="9"/>
  <c r="B17" i="9"/>
  <c r="B16" i="9"/>
  <c r="B15" i="9"/>
  <c r="B14" i="9"/>
  <c r="B13" i="9"/>
  <c r="B12" i="9"/>
  <c r="B11" i="9"/>
  <c r="B10" i="9"/>
  <c r="B9" i="9"/>
  <c r="B8" i="9"/>
  <c r="B7" i="9"/>
  <c r="B6" i="9"/>
  <c r="B5" i="9"/>
  <c r="B4" i="9"/>
  <c r="B3" i="9"/>
  <c r="B2" i="9"/>
  <c r="G10" i="1"/>
  <c r="H10" i="1" s="1"/>
  <c r="I10" i="1" s="1"/>
  <c r="J10" i="1" s="1"/>
  <c r="K10" i="1" s="1"/>
  <c r="L10" i="1" s="1"/>
  <c r="M10" i="1" s="1"/>
  <c r="N10" i="1" s="1"/>
  <c r="O10" i="1" s="1"/>
  <c r="P10" i="1" s="1"/>
  <c r="Q10" i="1" s="1"/>
  <c r="R10" i="1" s="1"/>
  <c r="S10" i="1" s="1"/>
  <c r="T10" i="1" s="1"/>
  <c r="U10" i="1" s="1"/>
  <c r="V10" i="1" s="1"/>
  <c r="W10" i="1" s="1"/>
  <c r="AL10" i="1" s="1"/>
  <c r="AN10" i="1" s="1"/>
  <c r="AQ10" i="1" s="1"/>
  <c r="AR10" i="1" s="1"/>
  <c r="AS10" i="1" s="1"/>
  <c r="AT10" i="1" s="1"/>
  <c r="AU10" i="1" s="1"/>
  <c r="AV10" i="1" s="1"/>
  <c r="BA10" i="1" s="1"/>
  <c r="BB10" i="1" s="1"/>
  <c r="BC10" i="1" s="1"/>
  <c r="BD10" i="1" s="1"/>
  <c r="BE10" i="1" s="1"/>
  <c r="BF10" i="1" s="1"/>
  <c r="BG10" i="1" s="1"/>
  <c r="BE13" i="1"/>
  <c r="K4" i="8" l="1"/>
  <c r="P4" i="8" a="1"/>
  <c r="P4" i="8" s="1"/>
  <c r="BF20" i="1" s="1"/>
  <c r="AI4" i="8"/>
  <c r="K5" i="8"/>
  <c r="P5" i="8" a="1"/>
  <c r="P5" i="8" s="1"/>
  <c r="BF23" i="1" s="1"/>
  <c r="AI5" i="8"/>
  <c r="K6" i="8"/>
  <c r="P6" i="8" a="1"/>
  <c r="P6" i="8" s="1"/>
  <c r="BF39" i="1" s="1"/>
  <c r="AI6" i="8"/>
  <c r="K7" i="8"/>
  <c r="P7" i="8" a="1"/>
  <c r="P7" i="8" s="1"/>
  <c r="AI7" i="8"/>
  <c r="K8" i="8"/>
  <c r="P8" i="8" a="1"/>
  <c r="P8" i="8" s="1"/>
  <c r="AI8" i="8"/>
  <c r="K9" i="8"/>
  <c r="P9" i="8" a="1"/>
  <c r="P9" i="8" s="1"/>
  <c r="BF238" i="1" s="1"/>
  <c r="AI9" i="8"/>
  <c r="K10" i="8"/>
  <c r="P10" i="8" a="1"/>
  <c r="P10" i="8" s="1"/>
  <c r="AI10" i="8"/>
  <c r="K11" i="8"/>
  <c r="P11" i="8" a="1"/>
  <c r="P11" i="8" s="1"/>
  <c r="AI11" i="8"/>
  <c r="K12" i="8"/>
  <c r="P12" i="8" a="1"/>
  <c r="P12" i="8" s="1"/>
  <c r="AI12" i="8"/>
  <c r="K13" i="8"/>
  <c r="M13" i="8"/>
  <c r="P13" i="8" a="1"/>
  <c r="P13" i="8" s="1"/>
  <c r="AI13" i="8"/>
  <c r="K14" i="8"/>
  <c r="P14" i="8" a="1"/>
  <c r="P14" i="8" s="1"/>
  <c r="AI14" i="8"/>
  <c r="K15" i="8"/>
  <c r="P15" i="8" a="1"/>
  <c r="P15" i="8" s="1"/>
  <c r="AI15" i="8"/>
  <c r="K16" i="8"/>
  <c r="P16" i="8" a="1"/>
  <c r="P16" i="8" s="1"/>
  <c r="AI16" i="8"/>
  <c r="K17" i="8"/>
  <c r="P17" i="8" a="1"/>
  <c r="P17" i="8" s="1"/>
  <c r="AI17" i="8"/>
  <c r="K18" i="8"/>
  <c r="P18" i="8" a="1"/>
  <c r="P18" i="8" s="1"/>
  <c r="T18" i="8" s="1"/>
  <c r="AI18" i="8"/>
  <c r="K19" i="8"/>
  <c r="P19" i="8" a="1"/>
  <c r="P19" i="8" s="1"/>
  <c r="V19" i="8" s="1"/>
  <c r="AI19" i="8"/>
  <c r="K20" i="8"/>
  <c r="P20" i="8" a="1"/>
  <c r="P20" i="8" s="1"/>
  <c r="AI20" i="8"/>
  <c r="K21" i="8"/>
  <c r="T21" i="8"/>
  <c r="U21" i="8"/>
  <c r="V21" i="8"/>
  <c r="W21" i="8"/>
  <c r="X21" i="8"/>
  <c r="Y21" i="8"/>
  <c r="AI21" i="8"/>
  <c r="K22" i="8"/>
  <c r="P22" i="8" a="1"/>
  <c r="P22" i="8" s="1"/>
  <c r="AI22" i="8"/>
  <c r="K23" i="8"/>
  <c r="P23" i="8" a="1"/>
  <c r="P23" i="8" s="1"/>
  <c r="AI23" i="8"/>
  <c r="K24" i="8"/>
  <c r="P24" i="8" a="1"/>
  <c r="P24" i="8" s="1"/>
  <c r="V24" i="8" s="1"/>
  <c r="AI24" i="8"/>
  <c r="K25" i="8"/>
  <c r="T25" i="8"/>
  <c r="U25" i="8"/>
  <c r="V25" i="8"/>
  <c r="W25" i="8"/>
  <c r="X25" i="8"/>
  <c r="Y25" i="8"/>
  <c r="AI25" i="8"/>
  <c r="K26" i="8"/>
  <c r="P26" i="8" a="1"/>
  <c r="P26" i="8" s="1"/>
  <c r="AI26" i="8"/>
  <c r="K27" i="8"/>
  <c r="P27" i="8" a="1"/>
  <c r="P27" i="8" s="1"/>
  <c r="AI27" i="8"/>
  <c r="K28" i="8"/>
  <c r="P28" i="8" a="1"/>
  <c r="P28" i="8" s="1"/>
  <c r="T28" i="8" s="1"/>
  <c r="AI28" i="8"/>
  <c r="K29" i="8"/>
  <c r="P29" i="8" a="1"/>
  <c r="P29" i="8" s="1"/>
  <c r="V29" i="8" s="1"/>
  <c r="AI29" i="8"/>
  <c r="K30" i="8"/>
  <c r="P30" i="8" a="1"/>
  <c r="P30" i="8" s="1"/>
  <c r="AI30" i="8"/>
  <c r="K31" i="8"/>
  <c r="P31" i="8" a="1"/>
  <c r="P31" i="8" s="1"/>
  <c r="AI31" i="8"/>
  <c r="K32" i="8"/>
  <c r="P32" i="8" a="1"/>
  <c r="P32" i="8" s="1"/>
  <c r="AI32" i="8"/>
  <c r="K33" i="8"/>
  <c r="P33" i="8" a="1"/>
  <c r="P33" i="8" s="1"/>
  <c r="AI33" i="8"/>
  <c r="K34" i="8"/>
  <c r="T34" i="8"/>
  <c r="U34" i="8"/>
  <c r="V34" i="8"/>
  <c r="W34" i="8"/>
  <c r="X34" i="8"/>
  <c r="Y34" i="8"/>
  <c r="AI34" i="8"/>
  <c r="K35" i="8"/>
  <c r="P35" i="8" a="1"/>
  <c r="P35" i="8" s="1"/>
  <c r="X35" i="8" s="1"/>
  <c r="AI35" i="8"/>
  <c r="K36" i="8"/>
  <c r="T36" i="8"/>
  <c r="U36" i="8"/>
  <c r="V36" i="8"/>
  <c r="W36" i="8"/>
  <c r="X36" i="8"/>
  <c r="Y36" i="8"/>
  <c r="AI36" i="8"/>
  <c r="K37" i="8"/>
  <c r="P37" i="8" a="1"/>
  <c r="P37" i="8" s="1"/>
  <c r="AI37" i="8"/>
  <c r="K38" i="8"/>
  <c r="T38" i="8"/>
  <c r="U38" i="8"/>
  <c r="V38" i="8"/>
  <c r="W38" i="8"/>
  <c r="X38" i="8"/>
  <c r="Y38" i="8"/>
  <c r="AI38" i="8"/>
  <c r="BE14" i="1"/>
  <c r="BE15" i="1"/>
  <c r="BE16" i="1"/>
  <c r="BE17" i="1"/>
  <c r="BE18" i="1"/>
  <c r="BE19" i="1"/>
  <c r="BE20" i="1"/>
  <c r="BE21" i="1"/>
  <c r="BE22" i="1"/>
  <c r="BE23" i="1"/>
  <c r="BE24" i="1"/>
  <c r="BE25" i="1"/>
  <c r="BE26" i="1"/>
  <c r="BE27" i="1"/>
  <c r="BE28" i="1"/>
  <c r="BE29" i="1"/>
  <c r="BE30" i="1"/>
  <c r="BE31" i="1"/>
  <c r="BE32" i="1"/>
  <c r="BE33" i="1"/>
  <c r="BE34" i="1"/>
  <c r="BE35" i="1"/>
  <c r="BE36" i="1"/>
  <c r="BE37" i="1"/>
  <c r="BE38" i="1"/>
  <c r="BE39" i="1"/>
  <c r="BE40" i="1"/>
  <c r="BE41" i="1"/>
  <c r="BE42" i="1"/>
  <c r="BE43" i="1"/>
  <c r="BE44" i="1"/>
  <c r="BE45" i="1"/>
  <c r="BE46" i="1"/>
  <c r="BE47" i="1"/>
  <c r="BE48" i="1"/>
  <c r="BE49" i="1"/>
  <c r="BE50" i="1"/>
  <c r="BE51" i="1"/>
  <c r="BE52" i="1"/>
  <c r="BE53" i="1"/>
  <c r="BE54" i="1"/>
  <c r="BE55" i="1"/>
  <c r="BE56" i="1"/>
  <c r="BE57" i="1"/>
  <c r="BE58" i="1"/>
  <c r="BE59" i="1"/>
  <c r="BE60" i="1"/>
  <c r="BE61" i="1"/>
  <c r="BE62" i="1"/>
  <c r="BE63" i="1"/>
  <c r="BE64" i="1"/>
  <c r="BE65" i="1"/>
  <c r="BE66" i="1"/>
  <c r="BE67" i="1"/>
  <c r="BE68" i="1"/>
  <c r="BE69" i="1"/>
  <c r="BE70" i="1"/>
  <c r="BE71" i="1"/>
  <c r="BE72" i="1"/>
  <c r="BE73" i="1"/>
  <c r="BE74" i="1"/>
  <c r="BE75" i="1"/>
  <c r="BE76" i="1"/>
  <c r="BE77" i="1"/>
  <c r="BE78" i="1"/>
  <c r="BE79" i="1"/>
  <c r="BE80" i="1"/>
  <c r="BE81" i="1"/>
  <c r="BE82" i="1"/>
  <c r="BE83" i="1"/>
  <c r="BE84" i="1"/>
  <c r="BE85" i="1"/>
  <c r="BE86" i="1"/>
  <c r="BE87" i="1"/>
  <c r="BE88" i="1"/>
  <c r="BE89" i="1"/>
  <c r="BE90" i="1"/>
  <c r="BE91" i="1"/>
  <c r="BE92" i="1"/>
  <c r="BE93" i="1"/>
  <c r="BE94" i="1"/>
  <c r="BE95" i="1"/>
  <c r="BE96" i="1"/>
  <c r="BE97" i="1"/>
  <c r="BE98" i="1"/>
  <c r="BE99" i="1"/>
  <c r="BE100" i="1"/>
  <c r="BE101" i="1"/>
  <c r="BE102" i="1"/>
  <c r="BE103" i="1"/>
  <c r="BE104" i="1"/>
  <c r="BE105" i="1"/>
  <c r="BE106" i="1"/>
  <c r="BE107" i="1"/>
  <c r="BE108" i="1"/>
  <c r="BE109" i="1"/>
  <c r="BE110" i="1"/>
  <c r="BE111" i="1"/>
  <c r="BE112" i="1"/>
  <c r="BE113" i="1"/>
  <c r="BE114" i="1"/>
  <c r="BE115" i="1"/>
  <c r="BE116" i="1"/>
  <c r="BE117" i="1"/>
  <c r="BE118" i="1"/>
  <c r="BE119" i="1"/>
  <c r="BE120" i="1"/>
  <c r="BE121" i="1"/>
  <c r="BE122" i="1"/>
  <c r="BE123" i="1"/>
  <c r="BE124" i="1"/>
  <c r="BE125" i="1"/>
  <c r="BE126" i="1"/>
  <c r="BE127" i="1"/>
  <c r="BE128" i="1"/>
  <c r="BE129" i="1"/>
  <c r="BE130" i="1"/>
  <c r="BE131" i="1"/>
  <c r="BE132" i="1"/>
  <c r="BE133" i="1"/>
  <c r="BE134" i="1"/>
  <c r="BE135" i="1"/>
  <c r="BE136" i="1"/>
  <c r="BE137" i="1"/>
  <c r="BE138" i="1"/>
  <c r="BE139" i="1"/>
  <c r="BE140" i="1"/>
  <c r="BE141" i="1"/>
  <c r="BE142" i="1"/>
  <c r="BE143" i="1"/>
  <c r="BE144" i="1"/>
  <c r="BE145" i="1"/>
  <c r="BE146" i="1"/>
  <c r="BE147" i="1"/>
  <c r="BE148" i="1"/>
  <c r="BE149" i="1"/>
  <c r="BE150" i="1"/>
  <c r="BE151" i="1"/>
  <c r="BE152" i="1"/>
  <c r="BE153" i="1"/>
  <c r="BE154" i="1"/>
  <c r="BE155" i="1"/>
  <c r="BE156" i="1"/>
  <c r="BE157" i="1"/>
  <c r="BE158" i="1"/>
  <c r="BE159" i="1"/>
  <c r="BE160" i="1"/>
  <c r="BE161" i="1"/>
  <c r="BE162" i="1"/>
  <c r="BE163" i="1"/>
  <c r="BE164" i="1"/>
  <c r="BE165" i="1"/>
  <c r="BE166" i="1"/>
  <c r="BE167" i="1"/>
  <c r="BE168" i="1"/>
  <c r="BE169" i="1"/>
  <c r="BE170" i="1"/>
  <c r="BE171" i="1"/>
  <c r="BE172" i="1"/>
  <c r="BE173" i="1"/>
  <c r="BE174" i="1"/>
  <c r="BE175" i="1"/>
  <c r="BE176" i="1"/>
  <c r="BE177" i="1"/>
  <c r="BE178" i="1"/>
  <c r="BE179" i="1"/>
  <c r="BE180" i="1"/>
  <c r="BE181" i="1"/>
  <c r="BE182" i="1"/>
  <c r="BE183" i="1"/>
  <c r="BE184" i="1"/>
  <c r="BE185" i="1"/>
  <c r="BE186" i="1"/>
  <c r="BE187" i="1"/>
  <c r="BE188" i="1"/>
  <c r="BE189" i="1"/>
  <c r="BE190" i="1"/>
  <c r="BE191" i="1"/>
  <c r="BE192" i="1"/>
  <c r="BE193" i="1"/>
  <c r="BE194" i="1"/>
  <c r="BE195" i="1"/>
  <c r="BE196" i="1"/>
  <c r="BE197" i="1"/>
  <c r="BE198" i="1"/>
  <c r="BE199" i="1"/>
  <c r="BE200" i="1"/>
  <c r="BE201" i="1"/>
  <c r="BE202" i="1"/>
  <c r="BE203" i="1"/>
  <c r="BE204" i="1"/>
  <c r="BE205" i="1"/>
  <c r="BE206" i="1"/>
  <c r="BE207" i="1"/>
  <c r="BE208" i="1"/>
  <c r="BE209" i="1"/>
  <c r="BE210" i="1"/>
  <c r="BE211" i="1"/>
  <c r="BE212" i="1"/>
  <c r="BE213" i="1"/>
  <c r="BE214" i="1"/>
  <c r="BE215" i="1"/>
  <c r="BE216" i="1"/>
  <c r="BE217" i="1"/>
  <c r="BE218" i="1"/>
  <c r="BE219" i="1"/>
  <c r="BE220" i="1"/>
  <c r="BE221" i="1"/>
  <c r="BE222" i="1"/>
  <c r="BE223" i="1"/>
  <c r="BE224" i="1"/>
  <c r="BE225" i="1"/>
  <c r="BE226" i="1"/>
  <c r="BE227" i="1"/>
  <c r="BE228" i="1"/>
  <c r="BE229" i="1"/>
  <c r="BE230" i="1"/>
  <c r="BE231" i="1"/>
  <c r="BE232" i="1"/>
  <c r="BE233" i="1"/>
  <c r="BE234" i="1"/>
  <c r="BE235" i="1"/>
  <c r="BE236" i="1"/>
  <c r="BE237" i="1"/>
  <c r="BF44" i="1"/>
  <c r="BF45" i="1"/>
  <c r="BF47" i="1"/>
  <c r="BF48" i="1"/>
  <c r="BF49" i="1"/>
  <c r="BF50" i="1"/>
  <c r="BF54" i="1"/>
  <c r="BF55" i="1"/>
  <c r="BF56" i="1"/>
  <c r="BF57" i="1"/>
  <c r="BF58" i="1"/>
  <c r="BF59" i="1"/>
  <c r="BF60" i="1"/>
  <c r="BF61" i="1"/>
  <c r="BF62" i="1"/>
  <c r="BF63" i="1"/>
  <c r="BF64" i="1"/>
  <c r="BF65" i="1"/>
  <c r="BF66" i="1"/>
  <c r="BF67" i="1"/>
  <c r="BF68" i="1"/>
  <c r="BF70" i="1"/>
  <c r="BF71" i="1"/>
  <c r="BF72" i="1"/>
  <c r="BF73" i="1"/>
  <c r="BF75" i="1"/>
  <c r="BF76" i="1"/>
  <c r="BF77" i="1"/>
  <c r="BF78" i="1"/>
  <c r="BF79" i="1"/>
  <c r="BF80" i="1"/>
  <c r="BF81" i="1"/>
  <c r="BF82" i="1"/>
  <c r="BF83" i="1"/>
  <c r="BF84" i="1"/>
  <c r="BF85" i="1"/>
  <c r="BF86" i="1"/>
  <c r="BF87" i="1"/>
  <c r="BF88" i="1"/>
  <c r="BF89" i="1"/>
  <c r="BF90" i="1"/>
  <c r="BF91" i="1"/>
  <c r="BF92" i="1"/>
  <c r="BF93" i="1"/>
  <c r="BF94" i="1"/>
  <c r="BF95" i="1"/>
  <c r="BF96" i="1"/>
  <c r="BF97" i="1"/>
  <c r="BF98" i="1"/>
  <c r="BF99" i="1"/>
  <c r="BF100" i="1"/>
  <c r="BF104" i="1"/>
  <c r="BF105" i="1"/>
  <c r="BF106" i="1"/>
  <c r="BF107" i="1"/>
  <c r="BF108" i="1"/>
  <c r="BF110" i="1"/>
  <c r="BF112" i="1"/>
  <c r="BF113" i="1"/>
  <c r="BF114" i="1"/>
  <c r="BF116" i="1"/>
  <c r="BF117" i="1"/>
  <c r="BF118" i="1"/>
  <c r="BF119" i="1"/>
  <c r="BF120" i="1"/>
  <c r="BF121" i="1"/>
  <c r="BF122" i="1"/>
  <c r="BF123" i="1"/>
  <c r="BF124" i="1"/>
  <c r="BF125" i="1"/>
  <c r="BF126" i="1"/>
  <c r="BF127" i="1"/>
  <c r="BF128" i="1"/>
  <c r="BF129" i="1"/>
  <c r="BF130" i="1"/>
  <c r="BF131" i="1"/>
  <c r="BF132" i="1"/>
  <c r="BF133" i="1"/>
  <c r="BF134" i="1"/>
  <c r="BF135" i="1"/>
  <c r="BF136" i="1"/>
  <c r="BF137" i="1"/>
  <c r="BF138" i="1"/>
  <c r="BF140" i="1"/>
  <c r="BF141" i="1"/>
  <c r="BF142" i="1"/>
  <c r="BF143" i="1"/>
  <c r="BF144" i="1"/>
  <c r="BF146" i="1"/>
  <c r="BF147" i="1"/>
  <c r="BF148" i="1"/>
  <c r="BF149" i="1"/>
  <c r="BF150" i="1"/>
  <c r="BF151" i="1"/>
  <c r="BF152" i="1"/>
  <c r="BF153" i="1"/>
  <c r="BF155" i="1"/>
  <c r="BF156" i="1"/>
  <c r="BF158" i="1"/>
  <c r="BF159" i="1"/>
  <c r="BF160" i="1"/>
  <c r="BF161" i="1"/>
  <c r="BF162" i="1"/>
  <c r="BF163" i="1"/>
  <c r="BF164" i="1"/>
  <c r="BF165" i="1"/>
  <c r="BF166" i="1"/>
  <c r="BF167" i="1"/>
  <c r="BF168" i="1"/>
  <c r="BF169" i="1"/>
  <c r="BF170" i="1"/>
  <c r="BF171" i="1"/>
  <c r="BF172" i="1"/>
  <c r="BF173" i="1"/>
  <c r="BF174" i="1"/>
  <c r="BF175" i="1"/>
  <c r="BF177" i="1"/>
  <c r="BF178" i="1"/>
  <c r="BF179" i="1"/>
  <c r="BF180" i="1"/>
  <c r="BF182" i="1"/>
  <c r="BF183" i="1"/>
  <c r="BF184" i="1"/>
  <c r="BF185" i="1"/>
  <c r="BF187" i="1"/>
  <c r="BF188" i="1"/>
  <c r="BF189" i="1"/>
  <c r="BF190" i="1"/>
  <c r="BF192" i="1"/>
  <c r="BF193" i="1"/>
  <c r="BF194" i="1"/>
  <c r="BF195" i="1"/>
  <c r="BF196" i="1"/>
  <c r="BF197" i="1"/>
  <c r="BF198" i="1"/>
  <c r="BF199" i="1"/>
  <c r="BF200" i="1"/>
  <c r="BF201" i="1"/>
  <c r="BF202" i="1"/>
  <c r="BF203" i="1"/>
  <c r="BF204" i="1"/>
  <c r="BF205" i="1"/>
  <c r="BF206" i="1"/>
  <c r="BF207" i="1"/>
  <c r="BF209" i="1"/>
  <c r="BF210" i="1"/>
  <c r="BF211" i="1"/>
  <c r="BF212" i="1"/>
  <c r="BF213" i="1"/>
  <c r="BF214" i="1"/>
  <c r="BF216" i="1"/>
  <c r="BF217" i="1"/>
  <c r="BF218" i="1"/>
  <c r="BF219" i="1"/>
  <c r="BF220" i="1"/>
  <c r="BF224" i="1"/>
  <c r="BF225" i="1"/>
  <c r="BF226" i="1"/>
  <c r="BF227" i="1"/>
  <c r="BF228" i="1"/>
  <c r="BF230" i="1"/>
  <c r="BF231" i="1"/>
  <c r="BF232" i="1"/>
  <c r="BF233" i="1"/>
  <c r="BF234" i="1"/>
  <c r="BF235" i="1"/>
  <c r="BF236" i="1"/>
  <c r="BF237" i="1"/>
  <c r="BG13" i="1"/>
  <c r="BI13" i="1" s="1"/>
  <c r="BG14" i="1"/>
  <c r="BI14" i="1" s="1"/>
  <c r="BG15" i="1"/>
  <c r="BI15" i="1" s="1"/>
  <c r="BG16" i="1"/>
  <c r="BI16" i="1" s="1"/>
  <c r="BG17" i="1"/>
  <c r="BI17" i="1" s="1"/>
  <c r="BG18" i="1"/>
  <c r="BI18" i="1" s="1"/>
  <c r="BG19" i="1"/>
  <c r="BI19" i="1" s="1"/>
  <c r="BG20" i="1"/>
  <c r="BG21" i="1"/>
  <c r="BI21" i="1" s="1"/>
  <c r="BG22" i="1"/>
  <c r="BI22" i="1" s="1"/>
  <c r="BG23" i="1"/>
  <c r="BG24" i="1"/>
  <c r="BI24" i="1" s="1"/>
  <c r="BG25" i="1"/>
  <c r="BI25" i="1" s="1"/>
  <c r="BG26" i="1"/>
  <c r="BI26" i="1" s="1"/>
  <c r="BG27" i="1"/>
  <c r="BI27" i="1" s="1"/>
  <c r="BG28" i="1"/>
  <c r="BI28" i="1" s="1"/>
  <c r="BG29" i="1"/>
  <c r="BI29" i="1" s="1"/>
  <c r="BG30" i="1"/>
  <c r="BI30" i="1" s="1"/>
  <c r="BG31" i="1"/>
  <c r="BI31" i="1" s="1"/>
  <c r="BG32" i="1"/>
  <c r="BI32" i="1" s="1"/>
  <c r="BG33" i="1"/>
  <c r="BI33" i="1" s="1"/>
  <c r="BG34" i="1"/>
  <c r="BI34" i="1" s="1"/>
  <c r="BG35" i="1"/>
  <c r="BI35" i="1" s="1"/>
  <c r="BG36" i="1"/>
  <c r="BI36" i="1" s="1"/>
  <c r="BG37" i="1"/>
  <c r="BI37" i="1" s="1"/>
  <c r="BG38" i="1"/>
  <c r="BI38" i="1" s="1"/>
  <c r="BG39" i="1"/>
  <c r="BG40" i="1"/>
  <c r="BI40" i="1" s="1"/>
  <c r="BG41" i="1"/>
  <c r="BI41" i="1" s="1"/>
  <c r="BG42" i="1"/>
  <c r="BI42" i="1" s="1"/>
  <c r="BG43" i="1"/>
  <c r="BI43" i="1" s="1"/>
  <c r="BG44" i="1"/>
  <c r="BG45" i="1"/>
  <c r="BG46" i="1"/>
  <c r="BG47" i="1"/>
  <c r="BG48" i="1"/>
  <c r="BG49" i="1"/>
  <c r="BG50" i="1"/>
  <c r="BG51" i="1"/>
  <c r="BG52" i="1"/>
  <c r="BG53" i="1"/>
  <c r="BG54" i="1"/>
  <c r="BG55" i="1"/>
  <c r="BG56" i="1"/>
  <c r="BG57" i="1"/>
  <c r="BG58" i="1"/>
  <c r="BG59" i="1"/>
  <c r="BG60" i="1"/>
  <c r="BG61" i="1"/>
  <c r="BG62" i="1"/>
  <c r="BG63" i="1"/>
  <c r="BG64" i="1"/>
  <c r="BG65" i="1"/>
  <c r="BG66" i="1"/>
  <c r="BG67" i="1"/>
  <c r="BG68" i="1"/>
  <c r="BG69" i="1"/>
  <c r="BG70" i="1"/>
  <c r="BG71" i="1"/>
  <c r="BG72" i="1"/>
  <c r="BG73" i="1"/>
  <c r="BG74" i="1"/>
  <c r="BG75" i="1"/>
  <c r="BG76" i="1"/>
  <c r="BG77" i="1"/>
  <c r="BG78" i="1"/>
  <c r="BG79" i="1"/>
  <c r="BG80" i="1"/>
  <c r="BG81" i="1"/>
  <c r="BG82" i="1"/>
  <c r="BG83" i="1"/>
  <c r="BG84" i="1"/>
  <c r="BG85" i="1"/>
  <c r="BG86" i="1"/>
  <c r="BG87" i="1"/>
  <c r="BG88" i="1"/>
  <c r="BG89" i="1"/>
  <c r="BG90" i="1"/>
  <c r="BG91" i="1"/>
  <c r="BG92" i="1"/>
  <c r="BG93" i="1"/>
  <c r="BG94" i="1"/>
  <c r="BG95" i="1"/>
  <c r="BG96" i="1"/>
  <c r="BG97" i="1"/>
  <c r="BG98" i="1"/>
  <c r="BG99" i="1"/>
  <c r="BG100" i="1"/>
  <c r="BG101" i="1"/>
  <c r="BG102" i="1"/>
  <c r="BG103" i="1"/>
  <c r="BG104" i="1"/>
  <c r="BG105" i="1"/>
  <c r="BG106" i="1"/>
  <c r="BG107" i="1"/>
  <c r="BG108" i="1"/>
  <c r="BG109" i="1"/>
  <c r="BG110" i="1"/>
  <c r="BG111" i="1"/>
  <c r="BG112" i="1"/>
  <c r="BG113" i="1"/>
  <c r="BG114" i="1"/>
  <c r="BG115" i="1"/>
  <c r="BG116" i="1"/>
  <c r="BG117" i="1"/>
  <c r="BG118" i="1"/>
  <c r="BG119" i="1"/>
  <c r="BG120" i="1"/>
  <c r="BG121" i="1"/>
  <c r="BG122" i="1"/>
  <c r="BG123" i="1"/>
  <c r="BG124" i="1"/>
  <c r="BG125" i="1"/>
  <c r="BG126" i="1"/>
  <c r="BG127" i="1"/>
  <c r="BG128" i="1"/>
  <c r="BG129" i="1"/>
  <c r="BG130" i="1"/>
  <c r="BG131" i="1"/>
  <c r="BG132" i="1"/>
  <c r="BG133" i="1"/>
  <c r="BG134" i="1"/>
  <c r="BG135" i="1"/>
  <c r="BG136" i="1"/>
  <c r="BG137" i="1"/>
  <c r="BG138" i="1"/>
  <c r="BG139" i="1"/>
  <c r="BG140" i="1"/>
  <c r="BG141" i="1"/>
  <c r="BG142" i="1"/>
  <c r="BG143" i="1"/>
  <c r="BG144" i="1"/>
  <c r="BG145" i="1"/>
  <c r="BG146" i="1"/>
  <c r="BG147" i="1"/>
  <c r="BG148" i="1"/>
  <c r="BG149" i="1"/>
  <c r="BG150" i="1"/>
  <c r="BG151" i="1"/>
  <c r="BG152" i="1"/>
  <c r="BG153" i="1"/>
  <c r="BG154" i="1"/>
  <c r="BG155" i="1"/>
  <c r="BG156" i="1"/>
  <c r="BG157" i="1"/>
  <c r="BG158" i="1"/>
  <c r="BG159" i="1"/>
  <c r="BG160" i="1"/>
  <c r="BG161" i="1"/>
  <c r="BG162" i="1"/>
  <c r="BG163" i="1"/>
  <c r="BG164" i="1"/>
  <c r="BG165" i="1"/>
  <c r="BG166" i="1"/>
  <c r="BG167" i="1"/>
  <c r="BG168" i="1"/>
  <c r="BG169" i="1"/>
  <c r="BG170" i="1"/>
  <c r="BG171" i="1"/>
  <c r="BG172" i="1"/>
  <c r="BG173" i="1"/>
  <c r="BG174" i="1"/>
  <c r="BG175" i="1"/>
  <c r="BG176" i="1"/>
  <c r="BG177" i="1"/>
  <c r="BG178" i="1"/>
  <c r="BG179" i="1"/>
  <c r="BG180" i="1"/>
  <c r="BG181" i="1"/>
  <c r="BG182" i="1"/>
  <c r="BG183" i="1"/>
  <c r="BG184" i="1"/>
  <c r="BG185" i="1"/>
  <c r="BG186" i="1"/>
  <c r="BG187" i="1"/>
  <c r="BG188" i="1"/>
  <c r="BG189" i="1"/>
  <c r="BG190" i="1"/>
  <c r="BG191" i="1"/>
  <c r="BG192" i="1"/>
  <c r="BG193" i="1"/>
  <c r="BG194" i="1"/>
  <c r="BG195" i="1"/>
  <c r="BG196" i="1"/>
  <c r="BG197" i="1"/>
  <c r="BG198" i="1"/>
  <c r="BG199" i="1"/>
  <c r="BG200" i="1"/>
  <c r="BG201" i="1"/>
  <c r="BG202" i="1"/>
  <c r="BG203" i="1"/>
  <c r="BG204" i="1"/>
  <c r="BG205" i="1"/>
  <c r="BG206" i="1"/>
  <c r="BG207" i="1"/>
  <c r="BG208" i="1"/>
  <c r="BG209" i="1"/>
  <c r="BG210" i="1"/>
  <c r="BG211" i="1"/>
  <c r="BG212" i="1"/>
  <c r="BG213" i="1"/>
  <c r="BG214" i="1"/>
  <c r="BG215" i="1"/>
  <c r="BG216" i="1"/>
  <c r="BG217" i="1"/>
  <c r="BG218" i="1"/>
  <c r="BG219" i="1"/>
  <c r="BG220" i="1"/>
  <c r="BG221" i="1"/>
  <c r="BG222" i="1"/>
  <c r="BG223" i="1"/>
  <c r="BG224" i="1"/>
  <c r="BG225" i="1"/>
  <c r="BG226" i="1"/>
  <c r="BG227" i="1"/>
  <c r="BG228" i="1"/>
  <c r="BG229" i="1"/>
  <c r="BG230" i="1"/>
  <c r="BG231" i="1"/>
  <c r="BG232" i="1"/>
  <c r="BG233" i="1"/>
  <c r="BG234" i="1"/>
  <c r="BG235" i="1"/>
  <c r="BG236" i="1"/>
  <c r="BG237" i="1"/>
  <c r="BC238" i="1"/>
  <c r="BB13" i="1"/>
  <c r="BB14" i="1"/>
  <c r="BB15" i="1"/>
  <c r="BB16" i="1"/>
  <c r="BB17" i="1"/>
  <c r="BB18" i="1"/>
  <c r="BB19" i="1"/>
  <c r="BB20" i="1"/>
  <c r="BB21" i="1"/>
  <c r="BB22" i="1"/>
  <c r="BB23" i="1"/>
  <c r="BB24" i="1"/>
  <c r="BB25" i="1"/>
  <c r="BB26" i="1"/>
  <c r="BB27" i="1"/>
  <c r="BB28" i="1"/>
  <c r="BB29" i="1"/>
  <c r="BB30" i="1"/>
  <c r="BB31" i="1"/>
  <c r="BB32" i="1"/>
  <c r="BB33" i="1"/>
  <c r="BB34" i="1"/>
  <c r="BB35" i="1"/>
  <c r="BB36" i="1"/>
  <c r="BB37" i="1"/>
  <c r="BB38" i="1"/>
  <c r="BB39" i="1"/>
  <c r="BB40" i="1"/>
  <c r="BB41" i="1"/>
  <c r="BB42" i="1"/>
  <c r="BB43" i="1"/>
  <c r="BB44" i="1"/>
  <c r="BB45" i="1"/>
  <c r="BB46" i="1"/>
  <c r="BB47" i="1"/>
  <c r="BB48" i="1"/>
  <c r="BB49" i="1"/>
  <c r="BB50" i="1"/>
  <c r="BB51" i="1"/>
  <c r="BB52" i="1"/>
  <c r="BB53" i="1"/>
  <c r="BB54" i="1"/>
  <c r="BB55" i="1"/>
  <c r="BB56" i="1"/>
  <c r="BB58" i="1"/>
  <c r="BB59" i="1"/>
  <c r="BB60" i="1"/>
  <c r="BB61" i="1"/>
  <c r="BB62" i="1"/>
  <c r="BB63" i="1"/>
  <c r="BB64" i="1"/>
  <c r="BB65" i="1"/>
  <c r="BB66" i="1"/>
  <c r="BB67" i="1"/>
  <c r="BB68" i="1"/>
  <c r="BB69" i="1"/>
  <c r="BB70" i="1"/>
  <c r="BB71" i="1"/>
  <c r="BB72" i="1"/>
  <c r="BB73" i="1"/>
  <c r="BB74" i="1"/>
  <c r="BB75" i="1"/>
  <c r="BB76" i="1"/>
  <c r="BB77" i="1"/>
  <c r="BB78" i="1"/>
  <c r="BB79" i="1"/>
  <c r="BB80" i="1"/>
  <c r="BB81" i="1"/>
  <c r="BB82" i="1"/>
  <c r="BB83" i="1"/>
  <c r="BB84" i="1"/>
  <c r="BB85" i="1"/>
  <c r="BB86" i="1"/>
  <c r="BB87" i="1"/>
  <c r="BB88" i="1"/>
  <c r="BB89" i="1"/>
  <c r="BB90" i="1"/>
  <c r="BB91" i="1"/>
  <c r="BB92" i="1"/>
  <c r="BB93" i="1"/>
  <c r="BB94" i="1"/>
  <c r="BB95" i="1"/>
  <c r="BB96" i="1"/>
  <c r="BB97" i="1"/>
  <c r="BB98" i="1"/>
  <c r="BB99" i="1"/>
  <c r="BB100" i="1"/>
  <c r="BB101" i="1"/>
  <c r="BB102" i="1"/>
  <c r="BB103" i="1"/>
  <c r="BB104" i="1"/>
  <c r="BB105" i="1"/>
  <c r="BB106" i="1"/>
  <c r="BB107" i="1"/>
  <c r="BB108" i="1"/>
  <c r="BB109" i="1"/>
  <c r="BB110" i="1"/>
  <c r="BB111" i="1"/>
  <c r="BB112" i="1"/>
  <c r="BB113" i="1"/>
  <c r="BB114" i="1"/>
  <c r="BB115" i="1"/>
  <c r="BB116" i="1"/>
  <c r="BB117" i="1"/>
  <c r="BB118" i="1"/>
  <c r="BB119" i="1"/>
  <c r="BB120" i="1"/>
  <c r="BB121" i="1"/>
  <c r="BB122" i="1"/>
  <c r="BB123" i="1"/>
  <c r="BB124" i="1"/>
  <c r="BB125" i="1"/>
  <c r="BB126" i="1"/>
  <c r="BB127" i="1"/>
  <c r="BB128" i="1"/>
  <c r="BB129" i="1"/>
  <c r="BB130" i="1"/>
  <c r="BB131" i="1"/>
  <c r="BB132" i="1"/>
  <c r="BB133" i="1"/>
  <c r="BB134" i="1"/>
  <c r="BB135" i="1"/>
  <c r="BB137" i="1"/>
  <c r="BB138" i="1"/>
  <c r="BB139" i="1"/>
  <c r="BB140" i="1"/>
  <c r="BB141" i="1"/>
  <c r="BB143" i="1"/>
  <c r="BB144" i="1"/>
  <c r="BB145" i="1"/>
  <c r="BB146" i="1"/>
  <c r="BB147" i="1"/>
  <c r="BB148" i="1"/>
  <c r="BB149" i="1"/>
  <c r="BB150" i="1"/>
  <c r="BB151" i="1"/>
  <c r="BB153" i="1"/>
  <c r="BB154" i="1"/>
  <c r="BB155" i="1"/>
  <c r="BB156" i="1"/>
  <c r="BB157" i="1"/>
  <c r="BB159" i="1"/>
  <c r="BB160" i="1"/>
  <c r="BB161" i="1"/>
  <c r="BB162" i="1"/>
  <c r="BB163" i="1"/>
  <c r="BB164" i="1"/>
  <c r="BB165" i="1"/>
  <c r="BB166" i="1"/>
  <c r="BB167" i="1"/>
  <c r="BB168" i="1"/>
  <c r="BB170" i="1"/>
  <c r="BB171" i="1"/>
  <c r="BB172" i="1"/>
  <c r="BB173" i="1"/>
  <c r="BB175" i="1"/>
  <c r="BB176" i="1"/>
  <c r="BB177" i="1"/>
  <c r="BB178" i="1"/>
  <c r="BB180" i="1"/>
  <c r="BB181" i="1"/>
  <c r="BB182" i="1"/>
  <c r="BB184" i="1"/>
  <c r="BB185" i="1"/>
  <c r="BB186" i="1"/>
  <c r="BB187" i="1"/>
  <c r="BB188" i="1"/>
  <c r="BB189" i="1"/>
  <c r="BB190" i="1"/>
  <c r="BB191" i="1"/>
  <c r="BB192" i="1"/>
  <c r="BB193" i="1"/>
  <c r="BB194" i="1"/>
  <c r="BB195" i="1"/>
  <c r="BB196" i="1"/>
  <c r="BB203" i="1"/>
  <c r="BB204" i="1"/>
  <c r="BB205" i="1"/>
  <c r="BB206" i="1"/>
  <c r="BB207" i="1"/>
  <c r="BB208" i="1"/>
  <c r="BB209" i="1"/>
  <c r="BB210" i="1"/>
  <c r="BB212" i="1"/>
  <c r="BB213" i="1"/>
  <c r="BB214" i="1"/>
  <c r="BB215" i="1"/>
  <c r="BB216" i="1"/>
  <c r="BB217" i="1"/>
  <c r="BB218" i="1"/>
  <c r="BB219" i="1"/>
  <c r="BB220" i="1"/>
  <c r="BB221" i="1"/>
  <c r="BB222" i="1"/>
  <c r="BB223" i="1"/>
  <c r="BB224" i="1"/>
  <c r="BB225" i="1"/>
  <c r="BB226" i="1"/>
  <c r="BB228" i="1"/>
  <c r="BB229" i="1"/>
  <c r="BB230" i="1"/>
  <c r="BB231" i="1"/>
  <c r="BB234" i="1"/>
  <c r="BB235" i="1"/>
  <c r="BB236" i="1"/>
  <c r="BA13" i="1"/>
  <c r="BA14" i="1"/>
  <c r="BA15" i="1"/>
  <c r="BA16" i="1"/>
  <c r="BA18" i="1"/>
  <c r="BA19" i="1"/>
  <c r="BA20" i="1"/>
  <c r="BA21" i="1"/>
  <c r="BA22" i="1"/>
  <c r="BA23" i="1"/>
  <c r="BA24" i="1"/>
  <c r="BA25" i="1"/>
  <c r="BA26" i="1"/>
  <c r="BA27" i="1"/>
  <c r="BA28" i="1"/>
  <c r="BA29" i="1"/>
  <c r="BA30" i="1"/>
  <c r="BA31" i="1"/>
  <c r="BA32" i="1"/>
  <c r="BA33" i="1"/>
  <c r="BA34" i="1"/>
  <c r="BA35" i="1"/>
  <c r="BA36" i="1"/>
  <c r="BA37" i="1"/>
  <c r="BA38" i="1"/>
  <c r="BA39" i="1"/>
  <c r="BA40" i="1"/>
  <c r="BA41" i="1"/>
  <c r="BA42" i="1"/>
  <c r="BA43" i="1"/>
  <c r="BA44" i="1"/>
  <c r="BA45" i="1"/>
  <c r="BA46" i="1"/>
  <c r="BA47" i="1"/>
  <c r="BA48" i="1"/>
  <c r="BA49" i="1"/>
  <c r="BA50" i="1"/>
  <c r="BA51" i="1"/>
  <c r="BA52" i="1"/>
  <c r="BA53" i="1"/>
  <c r="BC53" i="1" s="1"/>
  <c r="BA54" i="1"/>
  <c r="BA55" i="1"/>
  <c r="BA56" i="1"/>
  <c r="BA58" i="1"/>
  <c r="BA59" i="1"/>
  <c r="BA60" i="1"/>
  <c r="BA61" i="1"/>
  <c r="BA62" i="1"/>
  <c r="BA63" i="1"/>
  <c r="BA64" i="1"/>
  <c r="BA65" i="1"/>
  <c r="BA66" i="1"/>
  <c r="BA67" i="1"/>
  <c r="BA68" i="1"/>
  <c r="BA69" i="1"/>
  <c r="BA70" i="1"/>
  <c r="BA71" i="1"/>
  <c r="BA72" i="1"/>
  <c r="BA73" i="1"/>
  <c r="BA74" i="1"/>
  <c r="BA75" i="1"/>
  <c r="BA76" i="1"/>
  <c r="BA77" i="1"/>
  <c r="BA78" i="1"/>
  <c r="BA79" i="1"/>
  <c r="BA80" i="1"/>
  <c r="BA81" i="1"/>
  <c r="BA82" i="1"/>
  <c r="BA83" i="1"/>
  <c r="BA84" i="1"/>
  <c r="BA85" i="1"/>
  <c r="BA86" i="1"/>
  <c r="BA87" i="1"/>
  <c r="BA88" i="1"/>
  <c r="BA89" i="1"/>
  <c r="BA90" i="1"/>
  <c r="BA91" i="1"/>
  <c r="BA92" i="1"/>
  <c r="BA93" i="1"/>
  <c r="BA94" i="1"/>
  <c r="BA95" i="1"/>
  <c r="BA96" i="1"/>
  <c r="BA97" i="1"/>
  <c r="BA98" i="1"/>
  <c r="BA99" i="1"/>
  <c r="BA100" i="1"/>
  <c r="BA101" i="1"/>
  <c r="BA102" i="1"/>
  <c r="BA103" i="1"/>
  <c r="BA104" i="1"/>
  <c r="BA105" i="1"/>
  <c r="BA106" i="1"/>
  <c r="BA107" i="1"/>
  <c r="BA108" i="1"/>
  <c r="BA109" i="1"/>
  <c r="BA110" i="1"/>
  <c r="BA111" i="1"/>
  <c r="BA112" i="1"/>
  <c r="BA113" i="1"/>
  <c r="BA114" i="1"/>
  <c r="BA115" i="1"/>
  <c r="BA116" i="1"/>
  <c r="BA117" i="1"/>
  <c r="BA118" i="1"/>
  <c r="BA119" i="1"/>
  <c r="BA120" i="1"/>
  <c r="BA121" i="1"/>
  <c r="BA122" i="1"/>
  <c r="BA123" i="1"/>
  <c r="BA124" i="1"/>
  <c r="BA125" i="1"/>
  <c r="BA126" i="1"/>
  <c r="BA127" i="1"/>
  <c r="BA128" i="1"/>
  <c r="BA129" i="1"/>
  <c r="BA130" i="1"/>
  <c r="BA131" i="1"/>
  <c r="BA132" i="1"/>
  <c r="BA133" i="1"/>
  <c r="BA134" i="1"/>
  <c r="BA135" i="1"/>
  <c r="BA137" i="1"/>
  <c r="BA138" i="1"/>
  <c r="BA139" i="1"/>
  <c r="BA140" i="1"/>
  <c r="BA141" i="1"/>
  <c r="BA143" i="1"/>
  <c r="BA144" i="1"/>
  <c r="BA145" i="1"/>
  <c r="BA146" i="1"/>
  <c r="BA147" i="1"/>
  <c r="BA148" i="1"/>
  <c r="BA149" i="1"/>
  <c r="BA150" i="1"/>
  <c r="BA151" i="1"/>
  <c r="BA153" i="1"/>
  <c r="BA154" i="1"/>
  <c r="BA155" i="1"/>
  <c r="BA156" i="1"/>
  <c r="BA157" i="1"/>
  <c r="BA159" i="1"/>
  <c r="BA160" i="1"/>
  <c r="BA161" i="1"/>
  <c r="BA162" i="1"/>
  <c r="BA163" i="1"/>
  <c r="BA164" i="1"/>
  <c r="BA165" i="1"/>
  <c r="BA166" i="1"/>
  <c r="BA167" i="1"/>
  <c r="BA168" i="1"/>
  <c r="BA170" i="1"/>
  <c r="BA171" i="1"/>
  <c r="BA172" i="1"/>
  <c r="BA173" i="1"/>
  <c r="BA175" i="1"/>
  <c r="BA176" i="1"/>
  <c r="BA177" i="1"/>
  <c r="BA178" i="1"/>
  <c r="BA180" i="1"/>
  <c r="BA181" i="1"/>
  <c r="BA182" i="1"/>
  <c r="BA184" i="1"/>
  <c r="BA185" i="1"/>
  <c r="BA186" i="1"/>
  <c r="BA187" i="1"/>
  <c r="BA188" i="1"/>
  <c r="BA189" i="1"/>
  <c r="BA190" i="1"/>
  <c r="BA191" i="1"/>
  <c r="BA192" i="1"/>
  <c r="BA193" i="1"/>
  <c r="BA194" i="1"/>
  <c r="BC194" i="1" s="1"/>
  <c r="BA195" i="1"/>
  <c r="BA196" i="1"/>
  <c r="BA203" i="1"/>
  <c r="BA204" i="1"/>
  <c r="BA205" i="1"/>
  <c r="BA206" i="1"/>
  <c r="BA207" i="1"/>
  <c r="BA208" i="1"/>
  <c r="BA209" i="1"/>
  <c r="BA210" i="1"/>
  <c r="BA212" i="1"/>
  <c r="BA213" i="1"/>
  <c r="BA214" i="1"/>
  <c r="BA215" i="1"/>
  <c r="BA216" i="1"/>
  <c r="BA217" i="1"/>
  <c r="BA218" i="1"/>
  <c r="BA219" i="1"/>
  <c r="BA220" i="1"/>
  <c r="BA221" i="1"/>
  <c r="BA222" i="1"/>
  <c r="BA223" i="1"/>
  <c r="BA224" i="1"/>
  <c r="BA225" i="1"/>
  <c r="BA226" i="1"/>
  <c r="BA228" i="1"/>
  <c r="BA229" i="1"/>
  <c r="BA230" i="1"/>
  <c r="BA231" i="1"/>
  <c r="BA234" i="1"/>
  <c r="BA235" i="1"/>
  <c r="BA236" i="1"/>
  <c r="BI39" i="1" l="1"/>
  <c r="BI200" i="1"/>
  <c r="BI212" i="1"/>
  <c r="BI236" i="1"/>
  <c r="BI235" i="1"/>
  <c r="BI165" i="1"/>
  <c r="BI151" i="1"/>
  <c r="BI57" i="1"/>
  <c r="BI218" i="1"/>
  <c r="BI164" i="1"/>
  <c r="BI136" i="1"/>
  <c r="BI124" i="1"/>
  <c r="BI110" i="1"/>
  <c r="BI68" i="1"/>
  <c r="BI56" i="1"/>
  <c r="BI219" i="1"/>
  <c r="BI83" i="1"/>
  <c r="BI95" i="1"/>
  <c r="BI92" i="1"/>
  <c r="BI80" i="1"/>
  <c r="BI112" i="1"/>
  <c r="T37" i="8"/>
  <c r="V37" i="8"/>
  <c r="BI193" i="1"/>
  <c r="BI125" i="1"/>
  <c r="BI234" i="1"/>
  <c r="BI204" i="1"/>
  <c r="BI192" i="1"/>
  <c r="BI150" i="1"/>
  <c r="BI20" i="1"/>
  <c r="BI205" i="1"/>
  <c r="BI232" i="1"/>
  <c r="BI216" i="1"/>
  <c r="BI174" i="1"/>
  <c r="BI162" i="1"/>
  <c r="BI148" i="1"/>
  <c r="BI134" i="1"/>
  <c r="BI122" i="1"/>
  <c r="BI107" i="1"/>
  <c r="BI66" i="1"/>
  <c r="BI54" i="1"/>
  <c r="BI137" i="1"/>
  <c r="BI228" i="1"/>
  <c r="BI238" i="1"/>
  <c r="BH238" i="1"/>
  <c r="BI233" i="1"/>
  <c r="BI217" i="1"/>
  <c r="BI203" i="1"/>
  <c r="BI190" i="1"/>
  <c r="BI175" i="1"/>
  <c r="BI163" i="1"/>
  <c r="BI149" i="1"/>
  <c r="BI135" i="1"/>
  <c r="BI123" i="1"/>
  <c r="BI108" i="1"/>
  <c r="BI93" i="1"/>
  <c r="BI81" i="1"/>
  <c r="BI67" i="1"/>
  <c r="BI55" i="1"/>
  <c r="BI70" i="1"/>
  <c r="BI82" i="1"/>
  <c r="BI231" i="1"/>
  <c r="BI214" i="1"/>
  <c r="BI201" i="1"/>
  <c r="BI188" i="1"/>
  <c r="BI173" i="1"/>
  <c r="BI161" i="1"/>
  <c r="BI147" i="1"/>
  <c r="BI133" i="1"/>
  <c r="BI121" i="1"/>
  <c r="BI106" i="1"/>
  <c r="BI91" i="1"/>
  <c r="BI79" i="1"/>
  <c r="BI65" i="1"/>
  <c r="BI50" i="1"/>
  <c r="BI177" i="1"/>
  <c r="BI202" i="1"/>
  <c r="BI230" i="1"/>
  <c r="BI213" i="1"/>
  <c r="BI187" i="1"/>
  <c r="BI172" i="1"/>
  <c r="BI160" i="1"/>
  <c r="BI146" i="1"/>
  <c r="BI132" i="1"/>
  <c r="BI120" i="1"/>
  <c r="BI105" i="1"/>
  <c r="BI90" i="1"/>
  <c r="BI78" i="1"/>
  <c r="BI64" i="1"/>
  <c r="BI49" i="1"/>
  <c r="BI94" i="1"/>
  <c r="BI199" i="1"/>
  <c r="BI185" i="1"/>
  <c r="BI171" i="1"/>
  <c r="BI159" i="1"/>
  <c r="BI144" i="1"/>
  <c r="BI131" i="1"/>
  <c r="BI119" i="1"/>
  <c r="BI104" i="1"/>
  <c r="BI89" i="1"/>
  <c r="BI77" i="1"/>
  <c r="BI63" i="1"/>
  <c r="BI48" i="1"/>
  <c r="BI227" i="1"/>
  <c r="BI211" i="1"/>
  <c r="BI198" i="1"/>
  <c r="BI184" i="1"/>
  <c r="BI170" i="1"/>
  <c r="BI158" i="1"/>
  <c r="BI143" i="1"/>
  <c r="BI130" i="1"/>
  <c r="BI118" i="1"/>
  <c r="BI100" i="1"/>
  <c r="BI88" i="1"/>
  <c r="BI76" i="1"/>
  <c r="BI62" i="1"/>
  <c r="BI47" i="1"/>
  <c r="BI189" i="1"/>
  <c r="BI226" i="1"/>
  <c r="BI210" i="1"/>
  <c r="BI197" i="1"/>
  <c r="BI183" i="1"/>
  <c r="BI169" i="1"/>
  <c r="BI156" i="1"/>
  <c r="BI142" i="1"/>
  <c r="BI129" i="1"/>
  <c r="BI117" i="1"/>
  <c r="BI99" i="1"/>
  <c r="BI87" i="1"/>
  <c r="BI75" i="1"/>
  <c r="BI61" i="1"/>
  <c r="BI45" i="1"/>
  <c r="BI178" i="1"/>
  <c r="BI225" i="1"/>
  <c r="BI209" i="1"/>
  <c r="BI196" i="1"/>
  <c r="BI182" i="1"/>
  <c r="BI168" i="1"/>
  <c r="BI155" i="1"/>
  <c r="BI141" i="1"/>
  <c r="BI128" i="1"/>
  <c r="BI116" i="1"/>
  <c r="BI98" i="1"/>
  <c r="BI86" i="1"/>
  <c r="BI73" i="1"/>
  <c r="BI60" i="1"/>
  <c r="BI44" i="1"/>
  <c r="BI237" i="1"/>
  <c r="BI224" i="1"/>
  <c r="BI207" i="1"/>
  <c r="BI195" i="1"/>
  <c r="BI180" i="1"/>
  <c r="BI167" i="1"/>
  <c r="BI153" i="1"/>
  <c r="BI140" i="1"/>
  <c r="BI127" i="1"/>
  <c r="BI114" i="1"/>
  <c r="BI97" i="1"/>
  <c r="BI85" i="1"/>
  <c r="BI72" i="1"/>
  <c r="BI59" i="1"/>
  <c r="BI220" i="1"/>
  <c r="BI206" i="1"/>
  <c r="BI194" i="1"/>
  <c r="BI179" i="1"/>
  <c r="BI166" i="1"/>
  <c r="BI152" i="1"/>
  <c r="BI138" i="1"/>
  <c r="BI126" i="1"/>
  <c r="BI113" i="1"/>
  <c r="BI96" i="1"/>
  <c r="BI84" i="1"/>
  <c r="BI71" i="1"/>
  <c r="BI58" i="1"/>
  <c r="BH207" i="1"/>
  <c r="BH135" i="1"/>
  <c r="BH219" i="1"/>
  <c r="BH171" i="1"/>
  <c r="BH123" i="1"/>
  <c r="BH15" i="1"/>
  <c r="BH195" i="1"/>
  <c r="BH147" i="1"/>
  <c r="BH63" i="1"/>
  <c r="BH13" i="1"/>
  <c r="BH231" i="1"/>
  <c r="BH159" i="1"/>
  <c r="BH27" i="1"/>
  <c r="BH99" i="1"/>
  <c r="BH170" i="1"/>
  <c r="BH62" i="1"/>
  <c r="BH214" i="1"/>
  <c r="BH178" i="1"/>
  <c r="BH166" i="1"/>
  <c r="BH130" i="1"/>
  <c r="BH106" i="1"/>
  <c r="BH70" i="1"/>
  <c r="BH22" i="1"/>
  <c r="BH237" i="1"/>
  <c r="BH225" i="1"/>
  <c r="BH213" i="1"/>
  <c r="BH201" i="1"/>
  <c r="BH189" i="1"/>
  <c r="BH177" i="1"/>
  <c r="BH165" i="1"/>
  <c r="BH153" i="1"/>
  <c r="BH141" i="1"/>
  <c r="BH129" i="1"/>
  <c r="BH117" i="1"/>
  <c r="BH105" i="1"/>
  <c r="BH93" i="1"/>
  <c r="BH81" i="1"/>
  <c r="BH57" i="1"/>
  <c r="BH45" i="1"/>
  <c r="BH33" i="1"/>
  <c r="BH21" i="1"/>
  <c r="BH230" i="1"/>
  <c r="BH182" i="1"/>
  <c r="BH122" i="1"/>
  <c r="BH86" i="1"/>
  <c r="BH26" i="1"/>
  <c r="BH205" i="1"/>
  <c r="BH61" i="1"/>
  <c r="BH25" i="1"/>
  <c r="BH228" i="1"/>
  <c r="BH192" i="1"/>
  <c r="BH144" i="1"/>
  <c r="BH108" i="1"/>
  <c r="BH84" i="1"/>
  <c r="BH60" i="1"/>
  <c r="BH24" i="1"/>
  <c r="BH143" i="1"/>
  <c r="BH107" i="1"/>
  <c r="BH71" i="1"/>
  <c r="BH35" i="1"/>
  <c r="BH226" i="1"/>
  <c r="BH202" i="1"/>
  <c r="BH118" i="1"/>
  <c r="BH94" i="1"/>
  <c r="BH82" i="1"/>
  <c r="BH58" i="1"/>
  <c r="BH34" i="1"/>
  <c r="BH236" i="1"/>
  <c r="BH224" i="1"/>
  <c r="BH212" i="1"/>
  <c r="BH200" i="1"/>
  <c r="BH188" i="1"/>
  <c r="BH164" i="1"/>
  <c r="BH152" i="1"/>
  <c r="BH140" i="1"/>
  <c r="BH128" i="1"/>
  <c r="BH116" i="1"/>
  <c r="BH104" i="1"/>
  <c r="BH92" i="1"/>
  <c r="BH80" i="1"/>
  <c r="BH68" i="1"/>
  <c r="BH56" i="1"/>
  <c r="BH44" i="1"/>
  <c r="BH32" i="1"/>
  <c r="BH146" i="1"/>
  <c r="BH193" i="1"/>
  <c r="BH97" i="1"/>
  <c r="BH168" i="1"/>
  <c r="BH155" i="1"/>
  <c r="BH235" i="1"/>
  <c r="BH211" i="1"/>
  <c r="BH199" i="1"/>
  <c r="BH187" i="1"/>
  <c r="BH175" i="1"/>
  <c r="BH163" i="1"/>
  <c r="BH151" i="1"/>
  <c r="BH127" i="1"/>
  <c r="BH91" i="1"/>
  <c r="BH79" i="1"/>
  <c r="BH67" i="1"/>
  <c r="BH55" i="1"/>
  <c r="BH43" i="1"/>
  <c r="BH31" i="1"/>
  <c r="BH19" i="1"/>
  <c r="BH183" i="1"/>
  <c r="BH87" i="1"/>
  <c r="BH218" i="1"/>
  <c r="BH158" i="1"/>
  <c r="BH98" i="1"/>
  <c r="BH50" i="1"/>
  <c r="BH14" i="1"/>
  <c r="BH217" i="1"/>
  <c r="BH169" i="1"/>
  <c r="BH121" i="1"/>
  <c r="BH73" i="1"/>
  <c r="BH37" i="1"/>
  <c r="BH216" i="1"/>
  <c r="BH180" i="1"/>
  <c r="BH156" i="1"/>
  <c r="BH120" i="1"/>
  <c r="BH96" i="1"/>
  <c r="BH72" i="1"/>
  <c r="BH36" i="1"/>
  <c r="BH167" i="1"/>
  <c r="BH119" i="1"/>
  <c r="BH83" i="1"/>
  <c r="BH47" i="1"/>
  <c r="BH190" i="1"/>
  <c r="BH234" i="1"/>
  <c r="BH210" i="1"/>
  <c r="BH198" i="1"/>
  <c r="BH174" i="1"/>
  <c r="BH162" i="1"/>
  <c r="BH150" i="1"/>
  <c r="BH138" i="1"/>
  <c r="BH126" i="1"/>
  <c r="BH114" i="1"/>
  <c r="BH90" i="1"/>
  <c r="BH78" i="1"/>
  <c r="BH66" i="1"/>
  <c r="BH54" i="1"/>
  <c r="BH42" i="1"/>
  <c r="BH30" i="1"/>
  <c r="BH18" i="1"/>
  <c r="BH75" i="1"/>
  <c r="BH194" i="1"/>
  <c r="BH134" i="1"/>
  <c r="BH133" i="1"/>
  <c r="BH85" i="1"/>
  <c r="BH49" i="1"/>
  <c r="BH204" i="1"/>
  <c r="BH132" i="1"/>
  <c r="BH227" i="1"/>
  <c r="BH179" i="1"/>
  <c r="BH131" i="1"/>
  <c r="BH59" i="1"/>
  <c r="BH142" i="1"/>
  <c r="BH233" i="1"/>
  <c r="BH209" i="1"/>
  <c r="BH197" i="1"/>
  <c r="BH185" i="1"/>
  <c r="BH173" i="1"/>
  <c r="BH161" i="1"/>
  <c r="BH149" i="1"/>
  <c r="BH137" i="1"/>
  <c r="BH125" i="1"/>
  <c r="BH113" i="1"/>
  <c r="BH89" i="1"/>
  <c r="BH77" i="1"/>
  <c r="BH65" i="1"/>
  <c r="BH41" i="1"/>
  <c r="BH29" i="1"/>
  <c r="BH17" i="1"/>
  <c r="BH206" i="1"/>
  <c r="BH110" i="1"/>
  <c r="BH38" i="1"/>
  <c r="BH48" i="1"/>
  <c r="BH203" i="1"/>
  <c r="BH95" i="1"/>
  <c r="BH232" i="1"/>
  <c r="BH220" i="1"/>
  <c r="BH196" i="1"/>
  <c r="BH184" i="1"/>
  <c r="BH172" i="1"/>
  <c r="BH160" i="1"/>
  <c r="BH148" i="1"/>
  <c r="BH136" i="1"/>
  <c r="BH124" i="1"/>
  <c r="BH112" i="1"/>
  <c r="BH100" i="1"/>
  <c r="BH88" i="1"/>
  <c r="BH76" i="1"/>
  <c r="BH64" i="1"/>
  <c r="BH40" i="1"/>
  <c r="BH28" i="1"/>
  <c r="BH16" i="1"/>
  <c r="T17" i="8"/>
  <c r="BF191" i="1"/>
  <c r="BI191" i="1" s="1"/>
  <c r="Y17" i="8"/>
  <c r="X20" i="8"/>
  <c r="T20" i="8"/>
  <c r="U20" i="8"/>
  <c r="T22" i="8"/>
  <c r="Y22" i="8"/>
  <c r="Y37" i="8"/>
  <c r="X37" i="8"/>
  <c r="U35" i="8"/>
  <c r="T35" i="8"/>
  <c r="X28" i="8"/>
  <c r="U28" i="8"/>
  <c r="T33" i="8"/>
  <c r="Y33" i="8"/>
  <c r="BF145" i="1"/>
  <c r="BI145" i="1" s="1"/>
  <c r="X30" i="8"/>
  <c r="T30" i="8"/>
  <c r="U30" i="8"/>
  <c r="T27" i="8"/>
  <c r="Y27" i="8"/>
  <c r="T23" i="8"/>
  <c r="X23" i="8"/>
  <c r="U23" i="8"/>
  <c r="BF208" i="1"/>
  <c r="BI208" i="1" s="1"/>
  <c r="BF215" i="1"/>
  <c r="BI215" i="1" s="1"/>
  <c r="BF186" i="1"/>
  <c r="BI186" i="1" s="1"/>
  <c r="BF157" i="1"/>
  <c r="BI157" i="1" s="1"/>
  <c r="U18" i="8"/>
  <c r="BF176" i="1"/>
  <c r="BI176" i="1" s="1"/>
  <c r="U15" i="8"/>
  <c r="V15" i="8"/>
  <c r="T15" i="8"/>
  <c r="X15" i="8"/>
  <c r="Y15" i="8"/>
  <c r="W15" i="8"/>
  <c r="V9" i="8"/>
  <c r="T9" i="8"/>
  <c r="X9" i="8"/>
  <c r="U9" i="8"/>
  <c r="W9" i="8"/>
  <c r="Y9" i="8"/>
  <c r="T5" i="8"/>
  <c r="U5" i="8"/>
  <c r="V5" i="8"/>
  <c r="W5" i="8"/>
  <c r="X5" i="8"/>
  <c r="Y5" i="8"/>
  <c r="W7" i="8"/>
  <c r="T7" i="8"/>
  <c r="X7" i="8"/>
  <c r="Y7" i="8"/>
  <c r="BF46" i="1"/>
  <c r="BI46" i="1" s="1"/>
  <c r="U7" i="8"/>
  <c r="V7" i="8"/>
  <c r="U31" i="8"/>
  <c r="BF74" i="1"/>
  <c r="BI74" i="1" s="1"/>
  <c r="V31" i="8"/>
  <c r="T31" i="8"/>
  <c r="X31" i="8"/>
  <c r="Y31" i="8"/>
  <c r="W31" i="8"/>
  <c r="T10" i="8"/>
  <c r="U10" i="8"/>
  <c r="V10" i="8"/>
  <c r="X10" i="8"/>
  <c r="W10" i="8"/>
  <c r="Y10" i="8"/>
  <c r="BF101" i="1"/>
  <c r="BI101" i="1" s="1"/>
  <c r="V13" i="8"/>
  <c r="BF139" i="1"/>
  <c r="BI139" i="1" s="1"/>
  <c r="W13" i="8"/>
  <c r="X13" i="8"/>
  <c r="Y13" i="8"/>
  <c r="T13" i="8"/>
  <c r="U13" i="8"/>
  <c r="BF103" i="1"/>
  <c r="BI103" i="1" s="1"/>
  <c r="W32" i="8"/>
  <c r="T32" i="8"/>
  <c r="U32" i="8"/>
  <c r="V32" i="8"/>
  <c r="X32" i="8"/>
  <c r="Y32" i="8"/>
  <c r="Y16" i="8"/>
  <c r="T16" i="8"/>
  <c r="X16" i="8"/>
  <c r="U16" i="8"/>
  <c r="V16" i="8"/>
  <c r="BF181" i="1"/>
  <c r="BI181" i="1" s="1"/>
  <c r="W16" i="8"/>
  <c r="T11" i="8"/>
  <c r="U11" i="8"/>
  <c r="V11" i="8"/>
  <c r="W11" i="8"/>
  <c r="X11" i="8"/>
  <c r="Y11" i="8"/>
  <c r="BF102" i="1"/>
  <c r="BI102" i="1" s="1"/>
  <c r="X14" i="8"/>
  <c r="BF115" i="1"/>
  <c r="BI115" i="1" s="1"/>
  <c r="Y14" i="8"/>
  <c r="T14" i="8"/>
  <c r="U14" i="8"/>
  <c r="V14" i="8"/>
  <c r="W14" i="8"/>
  <c r="U12" i="8"/>
  <c r="V12" i="8"/>
  <c r="W12" i="8"/>
  <c r="X12" i="8"/>
  <c r="Y12" i="8"/>
  <c r="BF109" i="1"/>
  <c r="BI109" i="1" s="1"/>
  <c r="T12" i="8"/>
  <c r="Y8" i="8"/>
  <c r="T8" i="8"/>
  <c r="BF52" i="1"/>
  <c r="BI52" i="1" s="1"/>
  <c r="U8" i="8"/>
  <c r="W8" i="8"/>
  <c r="V8" i="8"/>
  <c r="X8" i="8"/>
  <c r="T4" i="8"/>
  <c r="U4" i="8"/>
  <c r="V4" i="8"/>
  <c r="W4" i="8"/>
  <c r="X4" i="8"/>
  <c r="Y4" i="8"/>
  <c r="Y26" i="8"/>
  <c r="W26" i="8"/>
  <c r="X26" i="8"/>
  <c r="T26" i="8"/>
  <c r="U26" i="8"/>
  <c r="V26" i="8"/>
  <c r="BF229" i="1"/>
  <c r="BI229" i="1" s="1"/>
  <c r="U6" i="8"/>
  <c r="V6" i="8"/>
  <c r="W6" i="8"/>
  <c r="X6" i="8"/>
  <c r="Y6" i="8"/>
  <c r="T6" i="8"/>
  <c r="BF51" i="1"/>
  <c r="BI51" i="1" s="1"/>
  <c r="BF222" i="1"/>
  <c r="BI222" i="1" s="1"/>
  <c r="W35" i="8"/>
  <c r="W30" i="8"/>
  <c r="U29" i="8"/>
  <c r="U24" i="8"/>
  <c r="W20" i="8"/>
  <c r="U19" i="8"/>
  <c r="BF221" i="1"/>
  <c r="BI221" i="1" s="1"/>
  <c r="BF53" i="1"/>
  <c r="BI53" i="1" s="1"/>
  <c r="V35" i="8"/>
  <c r="V30" i="8"/>
  <c r="T29" i="8"/>
  <c r="T24" i="8"/>
  <c r="V20" i="8"/>
  <c r="T19" i="8"/>
  <c r="BF111" i="1"/>
  <c r="BI111" i="1" s="1"/>
  <c r="X33" i="8"/>
  <c r="X27" i="8"/>
  <c r="X22" i="8"/>
  <c r="X17" i="8"/>
  <c r="W37" i="8"/>
  <c r="W33" i="8"/>
  <c r="Y28" i="8"/>
  <c r="W27" i="8"/>
  <c r="Y23" i="8"/>
  <c r="W22" i="8"/>
  <c r="Y18" i="8"/>
  <c r="W17" i="8"/>
  <c r="V33" i="8"/>
  <c r="V27" i="8"/>
  <c r="V22" i="8"/>
  <c r="X18" i="8"/>
  <c r="V17" i="8"/>
  <c r="BF154" i="1"/>
  <c r="BI154" i="1" s="1"/>
  <c r="U37" i="8"/>
  <c r="U33" i="8"/>
  <c r="Y29" i="8"/>
  <c r="W28" i="8"/>
  <c r="U27" i="8"/>
  <c r="Y24" i="8"/>
  <c r="W23" i="8"/>
  <c r="U22" i="8"/>
  <c r="Y19" i="8"/>
  <c r="W18" i="8"/>
  <c r="U17" i="8"/>
  <c r="BF69" i="1"/>
  <c r="BI69" i="1" s="1"/>
  <c r="X29" i="8"/>
  <c r="V28" i="8"/>
  <c r="X24" i="8"/>
  <c r="V23" i="8"/>
  <c r="X19" i="8"/>
  <c r="V18" i="8"/>
  <c r="Y35" i="8"/>
  <c r="Y30" i="8"/>
  <c r="W29" i="8"/>
  <c r="W24" i="8"/>
  <c r="Y20" i="8"/>
  <c r="W19" i="8"/>
  <c r="BF223" i="1"/>
  <c r="BI223" i="1" s="1"/>
  <c r="BC206" i="1"/>
  <c r="BC160" i="1"/>
  <c r="BC146" i="1"/>
  <c r="BC134" i="1"/>
  <c r="BC122" i="1"/>
  <c r="BC110" i="1"/>
  <c r="BC98" i="1"/>
  <c r="BC86" i="1"/>
  <c r="BC74" i="1"/>
  <c r="BC62" i="1"/>
  <c r="BC16" i="1"/>
  <c r="BC50" i="1"/>
  <c r="BC38" i="1"/>
  <c r="BC26" i="1"/>
  <c r="BC13" i="1"/>
  <c r="BC218" i="1"/>
  <c r="BC124" i="1"/>
  <c r="BC88" i="1"/>
  <c r="BC51" i="1"/>
  <c r="BC15" i="1"/>
  <c r="BC25" i="1"/>
  <c r="BC61" i="1"/>
  <c r="BC172" i="1"/>
  <c r="BC137" i="1"/>
  <c r="BC76" i="1"/>
  <c r="BC87" i="1"/>
  <c r="BC170" i="1"/>
  <c r="BC112" i="1"/>
  <c r="BC64" i="1"/>
  <c r="BC27" i="1"/>
  <c r="BC14" i="1"/>
  <c r="BC97" i="1"/>
  <c r="BC100" i="1"/>
  <c r="BC39" i="1"/>
  <c r="BC123" i="1"/>
  <c r="BC182" i="1"/>
  <c r="BC135" i="1"/>
  <c r="BC99" i="1"/>
  <c r="BC148" i="1"/>
  <c r="BC49" i="1"/>
  <c r="BC220" i="1"/>
  <c r="BC175" i="1"/>
  <c r="BC133" i="1"/>
  <c r="BC48" i="1"/>
  <c r="BC24" i="1"/>
  <c r="BC173" i="1"/>
  <c r="BC186" i="1"/>
  <c r="BC144" i="1"/>
  <c r="BC106" i="1"/>
  <c r="BC70" i="1"/>
  <c r="BC58" i="1"/>
  <c r="BC21" i="1"/>
  <c r="BC229" i="1"/>
  <c r="BC228" i="1"/>
  <c r="BC215" i="1"/>
  <c r="BC196" i="1"/>
  <c r="BC184" i="1"/>
  <c r="BC168" i="1"/>
  <c r="BC155" i="1"/>
  <c r="BC141" i="1"/>
  <c r="BC128" i="1"/>
  <c r="BC116" i="1"/>
  <c r="BC104" i="1"/>
  <c r="BC92" i="1"/>
  <c r="BC111" i="1"/>
  <c r="BC63" i="1"/>
  <c r="BC37" i="1"/>
  <c r="BC189" i="1"/>
  <c r="BC109" i="1"/>
  <c r="BC205" i="1"/>
  <c r="BC171" i="1"/>
  <c r="BC94" i="1"/>
  <c r="BC195" i="1"/>
  <c r="BC75" i="1"/>
  <c r="BC221" i="1"/>
  <c r="BC207" i="1"/>
  <c r="BC161" i="1"/>
  <c r="BC121" i="1"/>
  <c r="BC85" i="1"/>
  <c r="BC36" i="1"/>
  <c r="BC231" i="1"/>
  <c r="BC145" i="1"/>
  <c r="BC217" i="1"/>
  <c r="BC157" i="1"/>
  <c r="BC118" i="1"/>
  <c r="BC82" i="1"/>
  <c r="BC33" i="1"/>
  <c r="BC185" i="1"/>
  <c r="BC181" i="1"/>
  <c r="BC41" i="1"/>
  <c r="BC29" i="1"/>
  <c r="BC209" i="1"/>
  <c r="BC149" i="1"/>
  <c r="BC208" i="1"/>
  <c r="BC235" i="1"/>
  <c r="BC147" i="1"/>
  <c r="BC73" i="1"/>
  <c r="BC219" i="1"/>
  <c r="BC159" i="1"/>
  <c r="BC204" i="1"/>
  <c r="BC130" i="1"/>
  <c r="BC45" i="1"/>
  <c r="BC193" i="1"/>
  <c r="BC125" i="1"/>
  <c r="BC113" i="1"/>
  <c r="BC101" i="1"/>
  <c r="BC89" i="1"/>
  <c r="BC77" i="1"/>
  <c r="BC65" i="1"/>
  <c r="BC52" i="1"/>
  <c r="BC40" i="1"/>
  <c r="BC28" i="1"/>
  <c r="BC236" i="1"/>
  <c r="BC190" i="1"/>
  <c r="BC176" i="1"/>
  <c r="BC162" i="1"/>
  <c r="BC234" i="1"/>
  <c r="BC188" i="1"/>
  <c r="BC132" i="1"/>
  <c r="BC120" i="1"/>
  <c r="BC108" i="1"/>
  <c r="BC96" i="1"/>
  <c r="BC84" i="1"/>
  <c r="BC72" i="1"/>
  <c r="BC60" i="1"/>
  <c r="BC47" i="1"/>
  <c r="BC35" i="1"/>
  <c r="BC23" i="1"/>
  <c r="BC230" i="1"/>
  <c r="BC187" i="1"/>
  <c r="BC131" i="1"/>
  <c r="BC119" i="1"/>
  <c r="BC107" i="1"/>
  <c r="BC95" i="1"/>
  <c r="BC83" i="1"/>
  <c r="BC71" i="1"/>
  <c r="BC59" i="1"/>
  <c r="BC46" i="1"/>
  <c r="BC34" i="1"/>
  <c r="BC22" i="1"/>
  <c r="BC216" i="1"/>
  <c r="BC203" i="1"/>
  <c r="BC156" i="1"/>
  <c r="BC143" i="1"/>
  <c r="BC129" i="1"/>
  <c r="BC117" i="1"/>
  <c r="BC105" i="1"/>
  <c r="BC93" i="1"/>
  <c r="BC81" i="1"/>
  <c r="BC69" i="1"/>
  <c r="BC56" i="1"/>
  <c r="BC44" i="1"/>
  <c r="BC32" i="1"/>
  <c r="BC20" i="1"/>
  <c r="BC80" i="1"/>
  <c r="BC68" i="1"/>
  <c r="BC55" i="1"/>
  <c r="BC43" i="1"/>
  <c r="BC31" i="1"/>
  <c r="BC19" i="1"/>
  <c r="BC226" i="1"/>
  <c r="BC214" i="1"/>
  <c r="BC167" i="1"/>
  <c r="BC154" i="1"/>
  <c r="BC140" i="1"/>
  <c r="BC127" i="1"/>
  <c r="BC115" i="1"/>
  <c r="BC103" i="1"/>
  <c r="BC91" i="1"/>
  <c r="BC79" i="1"/>
  <c r="BC67" i="1"/>
  <c r="BC54" i="1"/>
  <c r="BC42" i="1"/>
  <c r="BC30" i="1"/>
  <c r="BC18" i="1"/>
  <c r="BC225" i="1"/>
  <c r="BC213" i="1"/>
  <c r="BC166" i="1"/>
  <c r="BC153" i="1"/>
  <c r="BC139" i="1"/>
  <c r="BC126" i="1"/>
  <c r="BC114" i="1"/>
  <c r="BC102" i="1"/>
  <c r="BC90" i="1"/>
  <c r="BC78" i="1"/>
  <c r="BC66" i="1"/>
  <c r="BC224" i="1"/>
  <c r="BC212" i="1"/>
  <c r="BC180" i="1"/>
  <c r="BC165" i="1"/>
  <c r="BC151" i="1"/>
  <c r="BC138" i="1"/>
  <c r="BC223" i="1"/>
  <c r="BC210" i="1"/>
  <c r="BC192" i="1"/>
  <c r="BC178" i="1"/>
  <c r="BC164" i="1"/>
  <c r="BC150" i="1"/>
  <c r="BC222" i="1"/>
  <c r="BC191" i="1"/>
  <c r="BC177" i="1"/>
  <c r="BC163" i="1"/>
  <c r="BH101" i="1" l="1"/>
  <c r="BH74" i="1"/>
  <c r="BH23" i="1"/>
  <c r="BI23" i="1"/>
  <c r="BH51" i="1"/>
  <c r="BH223" i="1"/>
  <c r="BH53" i="1"/>
  <c r="BH181" i="1"/>
  <c r="BH103" i="1"/>
  <c r="BH46" i="1"/>
  <c r="BH176" i="1"/>
  <c r="BH222" i="1"/>
  <c r="BH52" i="1"/>
  <c r="BH221" i="1"/>
  <c r="BH20" i="1"/>
  <c r="BH154" i="1"/>
  <c r="BH115" i="1"/>
  <c r="BH157" i="1"/>
  <c r="BH145" i="1"/>
  <c r="BH69" i="1"/>
  <c r="BH39" i="1"/>
  <c r="BH109" i="1"/>
  <c r="BH186" i="1"/>
  <c r="BH139" i="1"/>
  <c r="BH102" i="1"/>
  <c r="BH215" i="1"/>
  <c r="BH111" i="1"/>
  <c r="BH229" i="1"/>
  <c r="BH208" i="1"/>
  <c r="BH191" i="1"/>
  <c r="U103" i="1"/>
  <c r="V69" i="1"/>
  <c r="V61" i="1"/>
  <c r="V59" i="1"/>
  <c r="O52" i="1"/>
  <c r="V48" i="1"/>
  <c r="V45" i="1"/>
  <c r="V40" i="1"/>
  <c r="V38" i="1"/>
  <c r="DU239" i="5"/>
  <c r="DT239" i="5"/>
  <c r="C238" i="5"/>
  <c r="D238" i="5" s="1"/>
  <c r="E238" i="5" s="1"/>
  <c r="F238" i="5" s="1"/>
  <c r="G238" i="5" s="1"/>
  <c r="H238" i="5" s="1"/>
  <c r="I238" i="5" s="1"/>
  <c r="J238" i="5" s="1"/>
  <c r="K238" i="5" s="1"/>
  <c r="L238" i="5" s="1"/>
  <c r="M238" i="5" s="1"/>
  <c r="N238" i="5" s="1"/>
  <c r="O238" i="5" s="1"/>
  <c r="P238" i="5" s="1"/>
  <c r="Q238" i="5" s="1"/>
  <c r="R238" i="5" s="1"/>
  <c r="S238" i="5" s="1"/>
  <c r="T238" i="5" s="1"/>
  <c r="U238" i="5" s="1"/>
  <c r="V238" i="5" s="1"/>
  <c r="W238" i="5" s="1"/>
  <c r="X238" i="5" s="1"/>
  <c r="Y238" i="5" s="1"/>
  <c r="Z238" i="5" s="1"/>
  <c r="AA238" i="5" s="1"/>
  <c r="AB238" i="5" s="1"/>
  <c r="AC238" i="5" s="1"/>
  <c r="AD238" i="5" s="1"/>
  <c r="AE238" i="5" s="1"/>
  <c r="AF238" i="5" s="1"/>
  <c r="AG238" i="5" s="1"/>
  <c r="AH238" i="5" s="1"/>
  <c r="AI238" i="5" s="1"/>
  <c r="AJ238" i="5" s="1"/>
  <c r="AK238" i="5" s="1"/>
  <c r="AL238" i="5" s="1"/>
  <c r="AM238" i="5" s="1"/>
  <c r="AN238" i="5" s="1"/>
  <c r="AO238" i="5" s="1"/>
  <c r="AP238" i="5" s="1"/>
  <c r="AQ238" i="5" s="1"/>
  <c r="AR238" i="5" s="1"/>
  <c r="AS238" i="5" s="1"/>
  <c r="AT238" i="5" s="1"/>
  <c r="AU238" i="5" s="1"/>
  <c r="AV238" i="5" s="1"/>
  <c r="AW238" i="5" s="1"/>
  <c r="AX238" i="5" s="1"/>
  <c r="AY238" i="5" s="1"/>
  <c r="AZ238" i="5" s="1"/>
  <c r="BA238" i="5" s="1"/>
  <c r="BB238" i="5" s="1"/>
  <c r="BC238" i="5" s="1"/>
  <c r="BD238" i="5" s="1"/>
  <c r="BE238" i="5" s="1"/>
  <c r="BF238" i="5" s="1"/>
  <c r="BG238" i="5" s="1"/>
  <c r="BH238" i="5" s="1"/>
  <c r="BI238" i="5" s="1"/>
  <c r="BJ238" i="5" s="1"/>
  <c r="BK238" i="5" s="1"/>
  <c r="BL238" i="5" s="1"/>
  <c r="BM238" i="5" s="1"/>
  <c r="BN238" i="5" s="1"/>
  <c r="BO238" i="5" s="1"/>
  <c r="BP238" i="5" s="1"/>
  <c r="BQ238" i="5" s="1"/>
  <c r="BR238" i="5" s="1"/>
  <c r="BS238" i="5" s="1"/>
  <c r="BT238" i="5" s="1"/>
  <c r="BU238" i="5" s="1"/>
  <c r="BV238" i="5" s="1"/>
  <c r="BW238" i="5" s="1"/>
  <c r="BX238" i="5" s="1"/>
  <c r="BY238" i="5" s="1"/>
  <c r="BZ238" i="5" s="1"/>
  <c r="CA238" i="5" s="1"/>
  <c r="CB238" i="5" s="1"/>
  <c r="CC238" i="5" s="1"/>
  <c r="CD238" i="5" s="1"/>
  <c r="CE238" i="5" s="1"/>
  <c r="CF238" i="5" s="1"/>
  <c r="CG238" i="5" s="1"/>
  <c r="CH238" i="5" s="1"/>
  <c r="CI238" i="5" s="1"/>
  <c r="CJ238" i="5" s="1"/>
  <c r="CK238" i="5" s="1"/>
  <c r="CL238" i="5" s="1"/>
  <c r="CM238" i="5" s="1"/>
  <c r="CN238" i="5" s="1"/>
  <c r="CO238" i="5" s="1"/>
  <c r="CP238" i="5" s="1"/>
  <c r="CQ238" i="5" s="1"/>
  <c r="CR238" i="5" s="1"/>
  <c r="CS238" i="5" s="1"/>
  <c r="CT238" i="5" s="1"/>
  <c r="CU238" i="5" s="1"/>
  <c r="CV238" i="5" s="1"/>
  <c r="CW238" i="5" s="1"/>
  <c r="CX238" i="5" s="1"/>
  <c r="CY238" i="5" s="1"/>
  <c r="CZ238" i="5" s="1"/>
  <c r="DA238" i="5" s="1"/>
  <c r="DB238" i="5" s="1"/>
  <c r="DC238" i="5" s="1"/>
  <c r="DD238" i="5" s="1"/>
  <c r="DE238" i="5" s="1"/>
  <c r="DF238" i="5" s="1"/>
  <c r="DG238" i="5" s="1"/>
  <c r="DH238" i="5" s="1"/>
  <c r="DI238" i="5" s="1"/>
  <c r="DJ238" i="5" s="1"/>
  <c r="DK238" i="5" s="1"/>
  <c r="DL238" i="5" s="1"/>
  <c r="DM238" i="5" s="1"/>
  <c r="DN238" i="5" s="1"/>
  <c r="DO238" i="5" s="1"/>
  <c r="DP238" i="5" s="1"/>
  <c r="DQ238" i="5" s="1"/>
  <c r="DR238" i="5" s="1"/>
  <c r="DS238" i="5" s="1"/>
  <c r="DT238" i="5" s="1"/>
  <c r="DU238" i="5" s="1"/>
  <c r="EG229" i="5"/>
  <c r="EF229" i="5"/>
  <c r="EE229" i="5"/>
  <c r="ED229" i="5"/>
  <c r="EC229" i="5"/>
  <c r="EB229" i="5"/>
  <c r="EA229" i="5"/>
  <c r="DZ229" i="5"/>
  <c r="DY229" i="5"/>
  <c r="DX229" i="5"/>
  <c r="DW229" i="5"/>
  <c r="DV229" i="5"/>
  <c r="DU229" i="5"/>
  <c r="DT229" i="5"/>
  <c r="DS229" i="5"/>
  <c r="DR229" i="5"/>
  <c r="DQ229" i="5"/>
  <c r="DP229" i="5"/>
  <c r="DO229" i="5"/>
  <c r="DN229" i="5"/>
  <c r="DM229" i="5"/>
  <c r="DL229" i="5"/>
  <c r="DK229" i="5"/>
  <c r="DJ229" i="5"/>
  <c r="DI229" i="5"/>
  <c r="DH229" i="5"/>
  <c r="DG229" i="5"/>
  <c r="DF229" i="5"/>
  <c r="DE229" i="5"/>
  <c r="DD229" i="5"/>
  <c r="DC229" i="5"/>
  <c r="DB229" i="5"/>
  <c r="DA229" i="5"/>
  <c r="CZ229" i="5"/>
  <c r="CY229" i="5"/>
  <c r="CX229" i="5"/>
  <c r="CW229" i="5"/>
  <c r="CV229" i="5"/>
  <c r="CU229" i="5"/>
  <c r="CT229" i="5"/>
  <c r="CS229" i="5"/>
  <c r="CR229" i="5"/>
  <c r="EI227" i="5"/>
  <c r="EJ227" i="5" s="1"/>
  <c r="EI226" i="5"/>
  <c r="EJ226" i="5" s="1"/>
  <c r="EI225" i="5"/>
  <c r="EJ225" i="5" s="1"/>
  <c r="EI224" i="5"/>
  <c r="EJ224" i="5" s="1"/>
  <c r="EI223" i="5"/>
  <c r="EJ223" i="5" s="1"/>
  <c r="EI222" i="5"/>
  <c r="EJ222" i="5" s="1"/>
  <c r="EI221" i="5"/>
  <c r="EJ221" i="5" s="1"/>
  <c r="EI220" i="5"/>
  <c r="EJ220" i="5" s="1"/>
  <c r="EI219" i="5"/>
  <c r="EJ219" i="5" s="1"/>
  <c r="EI218" i="5"/>
  <c r="EJ218" i="5" s="1"/>
  <c r="EI216" i="5"/>
  <c r="EJ216" i="5" s="1"/>
  <c r="EI215" i="5"/>
  <c r="EJ215" i="5" s="1"/>
  <c r="EI214" i="5"/>
  <c r="EJ214" i="5" s="1"/>
  <c r="EJ213" i="5"/>
  <c r="EI213" i="5"/>
  <c r="EI212" i="5"/>
  <c r="EJ212" i="5" s="1"/>
  <c r="EI211" i="5"/>
  <c r="EJ211" i="5" s="1"/>
  <c r="EI210" i="5"/>
  <c r="EJ210" i="5" s="1"/>
  <c r="EI209" i="5"/>
  <c r="EJ209" i="5" s="1"/>
  <c r="EJ208" i="5"/>
  <c r="EI208" i="5"/>
  <c r="EI207" i="5"/>
  <c r="EJ207" i="5" s="1"/>
  <c r="EI206" i="5"/>
  <c r="EJ206" i="5" s="1"/>
  <c r="EI205" i="5"/>
  <c r="EJ205" i="5" s="1"/>
  <c r="EI204" i="5"/>
  <c r="EJ204" i="5" s="1"/>
  <c r="EI203" i="5"/>
  <c r="EJ203" i="5" s="1"/>
  <c r="EJ202" i="5"/>
  <c r="EI202" i="5"/>
  <c r="EI201" i="5"/>
  <c r="EJ201" i="5" s="1"/>
  <c r="EI200" i="5"/>
  <c r="EJ200" i="5" s="1"/>
  <c r="EI199" i="5"/>
  <c r="EJ199" i="5" s="1"/>
  <c r="EI198" i="5"/>
  <c r="EJ198" i="5" s="1"/>
  <c r="EI197" i="5"/>
  <c r="EJ197" i="5" s="1"/>
  <c r="EI196" i="5"/>
  <c r="EJ196" i="5" s="1"/>
  <c r="EI195" i="5"/>
  <c r="EJ195" i="5" s="1"/>
  <c r="EI194" i="5"/>
  <c r="EJ194" i="5" s="1"/>
  <c r="EI193" i="5"/>
  <c r="EJ193" i="5" s="1"/>
  <c r="EI192" i="5"/>
  <c r="EJ192" i="5" s="1"/>
  <c r="EI191" i="5"/>
  <c r="EJ191" i="5" s="1"/>
  <c r="EI190" i="5"/>
  <c r="EJ190" i="5" s="1"/>
  <c r="EJ189" i="5"/>
  <c r="EI189" i="5"/>
  <c r="EI188" i="5"/>
  <c r="EJ188" i="5" s="1"/>
  <c r="EI187" i="5"/>
  <c r="EJ187" i="5" s="1"/>
  <c r="EI186" i="5"/>
  <c r="EJ186" i="5" s="1"/>
  <c r="EI185" i="5"/>
  <c r="EJ185" i="5" s="1"/>
  <c r="EJ184" i="5"/>
  <c r="EI184" i="5"/>
  <c r="EI183" i="5"/>
  <c r="EJ183" i="5" s="1"/>
  <c r="EJ182" i="5"/>
  <c r="EI182" i="5"/>
  <c r="EI181" i="5"/>
  <c r="EJ181" i="5" s="1"/>
  <c r="EI180" i="5"/>
  <c r="EJ180" i="5" s="1"/>
  <c r="EI179" i="5"/>
  <c r="EJ179" i="5" s="1"/>
  <c r="EJ178" i="5"/>
  <c r="EI178" i="5"/>
  <c r="EI177" i="5"/>
  <c r="EJ177" i="5" s="1"/>
  <c r="EI176" i="5"/>
  <c r="EJ176" i="5" s="1"/>
  <c r="EI175" i="5"/>
  <c r="EJ175" i="5" s="1"/>
  <c r="EI174" i="5"/>
  <c r="EJ174" i="5" s="1"/>
  <c r="EI173" i="5"/>
  <c r="EJ173" i="5" s="1"/>
  <c r="EI172" i="5"/>
  <c r="EJ172" i="5" s="1"/>
  <c r="EI171" i="5"/>
  <c r="EJ171" i="5" s="1"/>
  <c r="EI170" i="5"/>
  <c r="EJ170" i="5" s="1"/>
  <c r="EI168" i="5"/>
  <c r="EJ168" i="5" s="1"/>
  <c r="EI167" i="5"/>
  <c r="EJ167" i="5" s="1"/>
  <c r="EI166" i="5"/>
  <c r="EJ166" i="5" s="1"/>
  <c r="EI165" i="5"/>
  <c r="EJ165" i="5" s="1"/>
  <c r="EJ164" i="5"/>
  <c r="EI164" i="5"/>
  <c r="EI163" i="5"/>
  <c r="EJ163" i="5" s="1"/>
  <c r="EI162" i="5"/>
  <c r="EJ162" i="5" s="1"/>
  <c r="EI161" i="5"/>
  <c r="EJ161" i="5" s="1"/>
  <c r="EI160" i="5"/>
  <c r="EJ160" i="5" s="1"/>
  <c r="EJ159" i="5"/>
  <c r="EI159" i="5"/>
  <c r="EJ158" i="5"/>
  <c r="EI158" i="5"/>
  <c r="EJ157" i="5"/>
  <c r="EI157" i="5"/>
  <c r="EI156" i="5"/>
  <c r="EJ156" i="5" s="1"/>
  <c r="EI155" i="5"/>
  <c r="EJ155" i="5" s="1"/>
  <c r="EI154" i="5"/>
  <c r="EJ154" i="5" s="1"/>
  <c r="EJ153" i="5"/>
  <c r="EI153" i="5"/>
  <c r="EI152" i="5"/>
  <c r="EJ152" i="5" s="1"/>
  <c r="EI151" i="5"/>
  <c r="EJ151" i="5" s="1"/>
  <c r="EI150" i="5"/>
  <c r="EJ150" i="5" s="1"/>
  <c r="EI149" i="5"/>
  <c r="EJ149" i="5" s="1"/>
  <c r="EI148" i="5"/>
  <c r="EJ148" i="5" s="1"/>
  <c r="EI147" i="5"/>
  <c r="EJ147" i="5" s="1"/>
  <c r="EI146" i="5"/>
  <c r="EJ146" i="5" s="1"/>
  <c r="EI145" i="5"/>
  <c r="EJ145" i="5" s="1"/>
  <c r="EI144" i="5"/>
  <c r="EJ144" i="5" s="1"/>
  <c r="EI143" i="5"/>
  <c r="EJ143" i="5" s="1"/>
  <c r="EI142" i="5"/>
  <c r="EJ142" i="5" s="1"/>
  <c r="EI141" i="5"/>
  <c r="EJ141" i="5" s="1"/>
  <c r="EJ140" i="5"/>
  <c r="EI140" i="5"/>
  <c r="EI139" i="5"/>
  <c r="EJ139" i="5" s="1"/>
  <c r="EI138" i="5"/>
  <c r="EJ138" i="5" s="1"/>
  <c r="EI137" i="5"/>
  <c r="EJ137" i="5" s="1"/>
  <c r="EI136" i="5"/>
  <c r="EJ136" i="5" s="1"/>
  <c r="EJ135" i="5"/>
  <c r="EI135" i="5"/>
  <c r="EJ134" i="5"/>
  <c r="EI134" i="5"/>
  <c r="EJ133" i="5"/>
  <c r="EI133" i="5"/>
  <c r="EI131" i="5"/>
  <c r="EJ131" i="5" s="1"/>
  <c r="EI130" i="5"/>
  <c r="EJ130" i="5" s="1"/>
  <c r="EI129" i="5"/>
  <c r="EJ129" i="5" s="1"/>
  <c r="EJ128" i="5"/>
  <c r="EI128" i="5"/>
  <c r="EI127" i="5"/>
  <c r="EJ127" i="5" s="1"/>
  <c r="EI126" i="5"/>
  <c r="EJ126" i="5" s="1"/>
  <c r="EI125" i="5"/>
  <c r="EJ125" i="5" s="1"/>
  <c r="EI124" i="5"/>
  <c r="EJ124" i="5" s="1"/>
  <c r="EI123" i="5"/>
  <c r="EJ123" i="5" s="1"/>
  <c r="EI122" i="5"/>
  <c r="EJ122" i="5" s="1"/>
  <c r="EI121" i="5"/>
  <c r="EJ121" i="5" s="1"/>
  <c r="EI120" i="5"/>
  <c r="EJ120" i="5" s="1"/>
  <c r="EI119" i="5"/>
  <c r="EJ119" i="5" s="1"/>
  <c r="EI118" i="5"/>
  <c r="EJ118" i="5" s="1"/>
  <c r="EI117" i="5"/>
  <c r="EJ117" i="5" s="1"/>
  <c r="EI116" i="5"/>
  <c r="EJ116" i="5" s="1"/>
  <c r="EJ115" i="5"/>
  <c r="EI115" i="5"/>
  <c r="EI113" i="5"/>
  <c r="EJ113" i="5" s="1"/>
  <c r="EI112" i="5"/>
  <c r="EJ112" i="5" s="1"/>
  <c r="EI111" i="5"/>
  <c r="EJ111" i="5" s="1"/>
  <c r="EI110" i="5"/>
  <c r="EJ110" i="5" s="1"/>
  <c r="EJ109" i="5"/>
  <c r="EI109" i="5"/>
  <c r="EJ108" i="5"/>
  <c r="EI108" i="5"/>
  <c r="EJ107" i="5"/>
  <c r="EI107" i="5"/>
  <c r="EI106" i="5"/>
  <c r="EJ106" i="5" s="1"/>
  <c r="EI105" i="5"/>
  <c r="EJ105" i="5" s="1"/>
  <c r="EI104" i="5"/>
  <c r="EJ104" i="5" s="1"/>
  <c r="EJ103" i="5"/>
  <c r="EI103" i="5"/>
  <c r="EI102" i="5"/>
  <c r="EJ102" i="5" s="1"/>
  <c r="EI101" i="5"/>
  <c r="EJ101" i="5" s="1"/>
  <c r="EI100" i="5"/>
  <c r="EJ100" i="5" s="1"/>
  <c r="EI99" i="5"/>
  <c r="EJ99" i="5" s="1"/>
  <c r="EI98" i="5"/>
  <c r="EJ98" i="5" s="1"/>
  <c r="EI97" i="5"/>
  <c r="EJ97" i="5" s="1"/>
  <c r="EI96" i="5"/>
  <c r="EJ96" i="5" s="1"/>
  <c r="EI95" i="5"/>
  <c r="EJ95" i="5" s="1"/>
  <c r="EI94" i="5"/>
  <c r="EJ94" i="5" s="1"/>
  <c r="EI93" i="5"/>
  <c r="EJ93" i="5" s="1"/>
  <c r="EI92" i="5"/>
  <c r="EJ92" i="5" s="1"/>
  <c r="EI91" i="5"/>
  <c r="EJ91" i="5" s="1"/>
  <c r="EJ90" i="5"/>
  <c r="EI90" i="5"/>
  <c r="EI89" i="5"/>
  <c r="EJ89" i="5" s="1"/>
  <c r="EI88" i="5"/>
  <c r="EJ88" i="5" s="1"/>
  <c r="EI87" i="5"/>
  <c r="EJ87" i="5" s="1"/>
  <c r="EI86" i="5"/>
  <c r="EJ86" i="5" s="1"/>
  <c r="EJ85" i="5"/>
  <c r="EI85" i="5"/>
  <c r="EJ84" i="5"/>
  <c r="EI84" i="5"/>
  <c r="EJ83" i="5"/>
  <c r="EI83" i="5"/>
  <c r="EI82" i="5"/>
  <c r="EJ82" i="5" s="1"/>
  <c r="EI81" i="5"/>
  <c r="EJ81" i="5" s="1"/>
  <c r="EI80" i="5"/>
  <c r="EJ80" i="5" s="1"/>
  <c r="EJ79" i="5"/>
  <c r="EI79" i="5"/>
  <c r="EI78" i="5"/>
  <c r="EJ78" i="5" s="1"/>
  <c r="EI77" i="5"/>
  <c r="EJ77" i="5" s="1"/>
  <c r="EI76" i="5"/>
  <c r="EJ76" i="5" s="1"/>
  <c r="EI75" i="5"/>
  <c r="EJ75" i="5" s="1"/>
  <c r="EI74" i="5"/>
  <c r="EJ74" i="5" s="1"/>
  <c r="EI73" i="5"/>
  <c r="EJ73" i="5" s="1"/>
  <c r="EI72" i="5"/>
  <c r="EJ72" i="5" s="1"/>
  <c r="EI71" i="5"/>
  <c r="EJ71" i="5" s="1"/>
  <c r="EI70" i="5"/>
  <c r="EJ70" i="5" s="1"/>
  <c r="EI69" i="5"/>
  <c r="EJ69" i="5" s="1"/>
  <c r="EI68" i="5"/>
  <c r="EJ68" i="5" s="1"/>
  <c r="EI67" i="5"/>
  <c r="EJ67" i="5" s="1"/>
  <c r="EJ66" i="5"/>
  <c r="EI66" i="5"/>
  <c r="EI65" i="5"/>
  <c r="EJ65" i="5" s="1"/>
  <c r="EI64" i="5"/>
  <c r="EJ64" i="5" s="1"/>
  <c r="EI63" i="5"/>
  <c r="EJ63" i="5" s="1"/>
  <c r="EI62" i="5"/>
  <c r="EJ62" i="5" s="1"/>
  <c r="EJ61" i="5"/>
  <c r="EI61" i="5"/>
  <c r="EJ60" i="5"/>
  <c r="EI60" i="5"/>
  <c r="EJ59" i="5"/>
  <c r="EI59" i="5"/>
  <c r="EI58" i="5"/>
  <c r="EJ58" i="5" s="1"/>
  <c r="EI57" i="5"/>
  <c r="EJ57" i="5" s="1"/>
  <c r="EI56" i="5"/>
  <c r="EJ56" i="5" s="1"/>
  <c r="EJ55" i="5"/>
  <c r="EI55" i="5"/>
  <c r="EI54" i="5"/>
  <c r="EJ54" i="5" s="1"/>
  <c r="EI53" i="5"/>
  <c r="EJ53" i="5" s="1"/>
  <c r="EI52" i="5"/>
  <c r="EJ52" i="5" s="1"/>
  <c r="EI51" i="5"/>
  <c r="EJ51" i="5" s="1"/>
  <c r="EI50" i="5"/>
  <c r="EJ50" i="5" s="1"/>
  <c r="EI49" i="5"/>
  <c r="EJ49" i="5" s="1"/>
  <c r="EI48" i="5"/>
  <c r="EJ48" i="5" s="1"/>
  <c r="EI47" i="5"/>
  <c r="EJ47" i="5" s="1"/>
  <c r="EI46" i="5"/>
  <c r="EJ46" i="5" s="1"/>
  <c r="EI45" i="5"/>
  <c r="EJ45" i="5" s="1"/>
  <c r="EI44" i="5"/>
  <c r="EJ44" i="5" s="1"/>
  <c r="EI43" i="5"/>
  <c r="EJ43" i="5" s="1"/>
  <c r="EJ42" i="5"/>
  <c r="EI42" i="5"/>
  <c r="EI41" i="5"/>
  <c r="EJ41" i="5" s="1"/>
  <c r="EI40" i="5"/>
  <c r="EJ40" i="5" s="1"/>
  <c r="EI39" i="5"/>
  <c r="EJ39" i="5" s="1"/>
  <c r="EI38" i="5"/>
  <c r="EJ38" i="5" s="1"/>
  <c r="EJ37" i="5"/>
  <c r="EI37" i="5"/>
  <c r="EJ36" i="5"/>
  <c r="EI36" i="5"/>
  <c r="EJ35" i="5"/>
  <c r="EI35" i="5"/>
  <c r="EI34" i="5"/>
  <c r="EJ34" i="5" s="1"/>
  <c r="EI33" i="5"/>
  <c r="EJ33" i="5" s="1"/>
  <c r="EI32" i="5"/>
  <c r="EJ32" i="5" s="1"/>
  <c r="EJ31" i="5"/>
  <c r="EI31" i="5"/>
  <c r="EI30" i="5"/>
  <c r="EJ30" i="5" s="1"/>
  <c r="EI29" i="5"/>
  <c r="EJ29" i="5" s="1"/>
  <c r="EI28" i="5"/>
  <c r="EJ28" i="5" s="1"/>
  <c r="EI27" i="5"/>
  <c r="EJ27" i="5" s="1"/>
  <c r="EI26" i="5"/>
  <c r="EJ26" i="5" s="1"/>
  <c r="EI25" i="5"/>
  <c r="EJ25" i="5" s="1"/>
  <c r="EI24" i="5"/>
  <c r="EJ24" i="5" s="1"/>
  <c r="EI23" i="5"/>
  <c r="EJ23" i="5" s="1"/>
  <c r="EI22" i="5"/>
  <c r="EJ22" i="5" s="1"/>
  <c r="EI21" i="5"/>
  <c r="EJ21" i="5" s="1"/>
  <c r="EI20" i="5"/>
  <c r="EJ20" i="5" s="1"/>
  <c r="EI19" i="5"/>
  <c r="EJ19" i="5" s="1"/>
  <c r="EJ18" i="5"/>
  <c r="EI18" i="5"/>
  <c r="EI17" i="5"/>
  <c r="EJ17" i="5" s="1"/>
  <c r="EI16" i="5"/>
  <c r="EJ16" i="5" s="1"/>
  <c r="EI15" i="5"/>
  <c r="EJ15" i="5" s="1"/>
  <c r="EI14" i="5"/>
  <c r="EJ14" i="5" s="1"/>
  <c r="EJ13" i="5"/>
  <c r="EI13" i="5"/>
  <c r="EJ12" i="5"/>
  <c r="EI12" i="5"/>
  <c r="EJ11" i="5"/>
  <c r="EI11" i="5"/>
  <c r="EI10" i="5"/>
  <c r="EJ10" i="5" s="1"/>
  <c r="EI9" i="5"/>
  <c r="EJ9" i="5" s="1"/>
  <c r="EI8" i="5"/>
  <c r="EJ8" i="5" s="1"/>
  <c r="EJ7" i="5"/>
  <c r="EI7" i="5"/>
  <c r="EI6" i="5"/>
  <c r="EJ6" i="5" s="1"/>
  <c r="EI5" i="5"/>
  <c r="EJ5" i="5" s="1"/>
  <c r="EI4" i="5"/>
  <c r="EJ4" i="5" s="1"/>
  <c r="EI3" i="5"/>
  <c r="EI229" i="5" l="1"/>
  <c r="EJ3" i="5"/>
  <c r="EJ229" i="5" s="1"/>
  <c r="E200" i="2" l="1"/>
  <c r="U158" i="1" s="1"/>
  <c r="E199" i="2"/>
  <c r="E198" i="2"/>
  <c r="U186" i="1" s="1"/>
  <c r="E197" i="2"/>
  <c r="E196" i="2"/>
  <c r="U229" i="1" s="1"/>
  <c r="E195" i="2"/>
  <c r="U228" i="1" s="1"/>
  <c r="E194" i="2"/>
  <c r="U225" i="1" s="1"/>
  <c r="E193" i="2"/>
  <c r="U220" i="1" s="1"/>
  <c r="E192" i="2"/>
  <c r="U207" i="1" s="1"/>
  <c r="E191" i="2"/>
  <c r="U215" i="1" s="1"/>
  <c r="E190" i="2"/>
  <c r="U214" i="1" s="1"/>
  <c r="E189" i="2"/>
  <c r="U216" i="1" s="1"/>
  <c r="E188" i="2"/>
  <c r="U206" i="1" s="1"/>
  <c r="E187" i="2"/>
  <c r="U208" i="1" s="1"/>
  <c r="E186" i="2"/>
  <c r="U204" i="1" s="1"/>
  <c r="E185" i="2"/>
  <c r="U201" i="1" s="1"/>
  <c r="E184" i="2"/>
  <c r="E183" i="2"/>
  <c r="U190" i="1" s="1"/>
  <c r="E182" i="2"/>
  <c r="U179" i="1" s="1"/>
  <c r="E181" i="2"/>
  <c r="U70" i="1" s="1"/>
  <c r="E180" i="2"/>
  <c r="U199" i="1" s="1"/>
  <c r="E179" i="2"/>
  <c r="U181" i="1" s="1"/>
  <c r="E178" i="2"/>
  <c r="U176" i="1" s="1"/>
  <c r="E177" i="2"/>
  <c r="U175" i="1" s="1"/>
  <c r="E176" i="2"/>
  <c r="U173" i="1" s="1"/>
  <c r="E175" i="2"/>
  <c r="E174" i="2"/>
  <c r="U166" i="1" s="1"/>
  <c r="E173" i="2"/>
  <c r="U114" i="1" s="1"/>
  <c r="E172" i="2"/>
  <c r="U170" i="1" s="1"/>
  <c r="E171" i="2"/>
  <c r="U168" i="1" s="1"/>
  <c r="E170" i="2"/>
  <c r="U164" i="1" s="1"/>
  <c r="E169" i="2"/>
  <c r="U161" i="1" s="1"/>
  <c r="E168" i="2"/>
  <c r="U151" i="1" s="1"/>
  <c r="E167" i="2"/>
  <c r="U157" i="1" s="1"/>
  <c r="E166" i="2"/>
  <c r="U131" i="1" s="1"/>
  <c r="E165" i="2"/>
  <c r="U143" i="1" s="1"/>
  <c r="E164" i="2"/>
  <c r="E163" i="2"/>
  <c r="U128" i="1" s="1"/>
  <c r="E162" i="2"/>
  <c r="U141" i="1" s="1"/>
  <c r="E161" i="2"/>
  <c r="U145" i="1" s="1"/>
  <c r="E160" i="2"/>
  <c r="U193" i="1" s="1"/>
  <c r="E159" i="2"/>
  <c r="U124" i="1" s="1"/>
  <c r="E158" i="2"/>
  <c r="E157" i="2"/>
  <c r="U116" i="1" s="1"/>
  <c r="E156" i="2"/>
  <c r="U117" i="1" s="1"/>
  <c r="E155" i="2"/>
  <c r="U112" i="1" s="1"/>
  <c r="E154" i="2"/>
  <c r="U111" i="1" s="1"/>
  <c r="E153" i="2"/>
  <c r="U110" i="1" s="1"/>
  <c r="E152" i="2"/>
  <c r="U106" i="1" s="1"/>
  <c r="E151" i="2"/>
  <c r="U104" i="1" s="1"/>
  <c r="E149" i="2"/>
  <c r="U101" i="1" s="1"/>
  <c r="E148" i="2"/>
  <c r="U102" i="1" s="1"/>
  <c r="E147" i="2"/>
  <c r="U97" i="1" s="1"/>
  <c r="E146" i="2"/>
  <c r="U92" i="1" s="1"/>
  <c r="E145" i="2"/>
  <c r="U71" i="1" s="1"/>
  <c r="E144" i="2"/>
  <c r="U86" i="1" s="1"/>
  <c r="E143" i="2"/>
  <c r="U84" i="1" s="1"/>
  <c r="E142" i="2"/>
  <c r="U69" i="1" s="1"/>
  <c r="E141" i="2"/>
  <c r="U15" i="1" s="1"/>
  <c r="E140" i="2"/>
  <c r="U48" i="1" s="1"/>
  <c r="E139" i="2"/>
  <c r="U61" i="1" s="1"/>
  <c r="E138" i="2"/>
  <c r="U45" i="1" s="1"/>
  <c r="E137" i="2"/>
  <c r="U59" i="1" s="1"/>
  <c r="E136" i="2"/>
  <c r="U38" i="1" s="1"/>
  <c r="E135" i="2"/>
  <c r="U40" i="1" s="1"/>
  <c r="E134" i="2"/>
  <c r="U39" i="1" s="1"/>
  <c r="E133" i="2"/>
  <c r="E132" i="2"/>
  <c r="U34" i="1" s="1"/>
  <c r="E131" i="2"/>
  <c r="U30" i="1" s="1"/>
  <c r="E130" i="2"/>
  <c r="U37" i="1" s="1"/>
  <c r="E129" i="2"/>
  <c r="U27" i="1" s="1"/>
  <c r="E128" i="2"/>
  <c r="U41" i="1" s="1"/>
  <c r="E127" i="2"/>
  <c r="U43" i="1" s="1"/>
  <c r="E126" i="2"/>
  <c r="U25" i="1" s="1"/>
  <c r="E125" i="2"/>
  <c r="U23" i="1" s="1"/>
  <c r="E124" i="2"/>
  <c r="U221" i="1" s="1"/>
  <c r="E123" i="2"/>
  <c r="U17" i="1" s="1"/>
  <c r="E122" i="2"/>
  <c r="U14" i="1" s="1"/>
  <c r="E121" i="2"/>
  <c r="U236" i="1" s="1"/>
  <c r="E120" i="2"/>
  <c r="U235" i="1" s="1"/>
  <c r="E119" i="2"/>
  <c r="U191" i="1" s="1"/>
  <c r="E118" i="2"/>
  <c r="U234" i="1" s="1"/>
  <c r="E117" i="2"/>
  <c r="U178" i="1" s="1"/>
  <c r="E116" i="2"/>
  <c r="U226" i="1" s="1"/>
  <c r="E115" i="2"/>
  <c r="U198" i="1" s="1"/>
  <c r="E114" i="2"/>
  <c r="U223" i="1" s="1"/>
  <c r="E113" i="2"/>
  <c r="U224" i="1" s="1"/>
  <c r="E112" i="2"/>
  <c r="U219" i="1" s="1"/>
  <c r="E111" i="2"/>
  <c r="U218" i="1" s="1"/>
  <c r="E110" i="2"/>
  <c r="U213" i="1" s="1"/>
  <c r="E109" i="2"/>
  <c r="U212" i="1" s="1"/>
  <c r="E108" i="2"/>
  <c r="U209" i="1" s="1"/>
  <c r="E107" i="2"/>
  <c r="U210" i="1" s="1"/>
  <c r="E106" i="2"/>
  <c r="U50" i="1" s="1"/>
  <c r="E105" i="2"/>
  <c r="U184" i="1" s="1"/>
  <c r="E104" i="2"/>
  <c r="U202" i="1" s="1"/>
  <c r="E103" i="2"/>
  <c r="U188" i="1" s="1"/>
  <c r="E102" i="2"/>
  <c r="U187" i="1" s="1"/>
  <c r="E101" i="2"/>
  <c r="U200" i="1" s="1"/>
  <c r="E100" i="2"/>
  <c r="U180" i="1" s="1"/>
  <c r="E99" i="2"/>
  <c r="U185" i="1" s="1"/>
  <c r="E98" i="2"/>
  <c r="U189" i="1" s="1"/>
  <c r="E97" i="2"/>
  <c r="U182" i="1" s="1"/>
  <c r="E96" i="2"/>
  <c r="U177" i="1" s="1"/>
  <c r="E95" i="2"/>
  <c r="U171" i="1" s="1"/>
  <c r="E94" i="2"/>
  <c r="U165" i="1" s="1"/>
  <c r="E93" i="2"/>
  <c r="U163" i="1" s="1"/>
  <c r="E92" i="2"/>
  <c r="U167" i="1" s="1"/>
  <c r="E91" i="2"/>
  <c r="U162" i="1" s="1"/>
  <c r="E90" i="2"/>
  <c r="U154" i="1" s="1"/>
  <c r="E89" i="2"/>
  <c r="U149" i="1" s="1"/>
  <c r="E88" i="2"/>
  <c r="U150" i="1" s="1"/>
  <c r="E87" i="2"/>
  <c r="U160" i="1" s="1"/>
  <c r="E86" i="2"/>
  <c r="U155" i="1" s="1"/>
  <c r="E85" i="2"/>
  <c r="U156" i="1" s="1"/>
  <c r="E84" i="2"/>
  <c r="U148" i="1" s="1"/>
  <c r="E83" i="2"/>
  <c r="U130" i="1" s="1"/>
  <c r="E82" i="2"/>
  <c r="U138" i="1" s="1"/>
  <c r="E81" i="2"/>
  <c r="U137" i="1" s="1"/>
  <c r="E80" i="2"/>
  <c r="U146" i="1" s="1"/>
  <c r="E79" i="2"/>
  <c r="U147" i="1" s="1"/>
  <c r="E78" i="2"/>
  <c r="U134" i="1" s="1"/>
  <c r="E77" i="2"/>
  <c r="U133" i="1" s="1"/>
  <c r="E76" i="2"/>
  <c r="U135" i="1" s="1"/>
  <c r="E75" i="2"/>
  <c r="U139" i="1" s="1"/>
  <c r="E74" i="2"/>
  <c r="U132" i="1" s="1"/>
  <c r="E73" i="2"/>
  <c r="U129" i="1" s="1"/>
  <c r="E72" i="2"/>
  <c r="U142" i="1" s="1"/>
  <c r="E71" i="2"/>
  <c r="U119" i="1" s="1"/>
  <c r="E70" i="2"/>
  <c r="U126" i="1" s="1"/>
  <c r="E69" i="2"/>
  <c r="U125" i="1" s="1"/>
  <c r="E68" i="2"/>
  <c r="U121" i="1" s="1"/>
  <c r="E67" i="2"/>
  <c r="U196" i="1" s="1"/>
  <c r="E66" i="2"/>
  <c r="U122" i="1" s="1"/>
  <c r="E65" i="2"/>
  <c r="U120" i="1" s="1"/>
  <c r="E64" i="2"/>
  <c r="U118" i="1" s="1"/>
  <c r="E63" i="2"/>
  <c r="U115" i="1" s="1"/>
  <c r="E62" i="2"/>
  <c r="U195" i="1" s="1"/>
  <c r="E61" i="2"/>
  <c r="U113" i="1" s="1"/>
  <c r="E60" i="2"/>
  <c r="U44" i="1" s="1"/>
  <c r="E59" i="2"/>
  <c r="U109" i="1" s="1"/>
  <c r="E58" i="2"/>
  <c r="U108" i="1" s="1"/>
  <c r="E57" i="2"/>
  <c r="U107" i="1" s="1"/>
  <c r="E56" i="2"/>
  <c r="U100" i="1" s="1"/>
  <c r="E55" i="2"/>
  <c r="U105" i="1" s="1"/>
  <c r="E54" i="2"/>
  <c r="U99" i="1" s="1"/>
  <c r="E53" i="2"/>
  <c r="U96" i="1" s="1"/>
  <c r="E52" i="2"/>
  <c r="U60" i="1" s="1"/>
  <c r="E51" i="2"/>
  <c r="U95" i="1" s="1"/>
  <c r="E50" i="2"/>
  <c r="U90" i="1" s="1"/>
  <c r="E49" i="2"/>
  <c r="U88" i="1" s="1"/>
  <c r="E48" i="2"/>
  <c r="U94" i="1" s="1"/>
  <c r="E47" i="2"/>
  <c r="U83" i="1" s="1"/>
  <c r="E46" i="2"/>
  <c r="U93" i="1" s="1"/>
  <c r="E45" i="2"/>
  <c r="U222" i="1" s="1"/>
  <c r="E44" i="2"/>
  <c r="U82" i="1" s="1"/>
  <c r="E43" i="2"/>
  <c r="U140" i="1" s="1"/>
  <c r="E42" i="2"/>
  <c r="U79" i="1" s="1"/>
  <c r="E41" i="2"/>
  <c r="U77" i="1" s="1"/>
  <c r="E40" i="2"/>
  <c r="U78" i="1" s="1"/>
  <c r="E39" i="2"/>
  <c r="U74" i="1" s="1"/>
  <c r="E38" i="2"/>
  <c r="U73" i="1" s="1"/>
  <c r="E37" i="2"/>
  <c r="U192" i="1" s="1"/>
  <c r="E36" i="2"/>
  <c r="U72" i="1" s="1"/>
  <c r="E35" i="2"/>
  <c r="U68" i="1" s="1"/>
  <c r="E34" i="2"/>
  <c r="U67" i="1" s="1"/>
  <c r="E33" i="2"/>
  <c r="U64" i="1" s="1"/>
  <c r="E32" i="2"/>
  <c r="U66" i="1" s="1"/>
  <c r="E31" i="2"/>
  <c r="U65" i="1" s="1"/>
  <c r="E30" i="2"/>
  <c r="U85" i="1" s="1"/>
  <c r="E29" i="2"/>
  <c r="U63" i="1" s="1"/>
  <c r="E28" i="2"/>
  <c r="U62" i="1" s="1"/>
  <c r="E27" i="2"/>
  <c r="U58" i="1" s="1"/>
  <c r="E26" i="2"/>
  <c r="U47" i="1" s="1"/>
  <c r="E25" i="2"/>
  <c r="U54" i="1" s="1"/>
  <c r="E24" i="2"/>
  <c r="U53" i="1" s="1"/>
  <c r="E23" i="2"/>
  <c r="U56" i="1" s="1"/>
  <c r="E22" i="2"/>
  <c r="U55" i="1" s="1"/>
  <c r="E21" i="2"/>
  <c r="U52" i="1" s="1"/>
  <c r="E20" i="2"/>
  <c r="U51" i="1" s="1"/>
  <c r="E19" i="2"/>
  <c r="U203" i="1" s="1"/>
  <c r="E18" i="2"/>
  <c r="U46" i="1" s="1"/>
  <c r="E17" i="2"/>
  <c r="U49" i="1" s="1"/>
  <c r="E16" i="2"/>
  <c r="U35" i="1" s="1"/>
  <c r="E15" i="2"/>
  <c r="U29" i="1" s="1"/>
  <c r="E14" i="2"/>
  <c r="U32" i="1" s="1"/>
  <c r="E13" i="2"/>
  <c r="U26" i="1" s="1"/>
  <c r="E12" i="2"/>
  <c r="U28" i="1" s="1"/>
  <c r="E11" i="2"/>
  <c r="U42" i="1" s="1"/>
  <c r="E10" i="2"/>
  <c r="U33" i="1" s="1"/>
  <c r="E9" i="2"/>
  <c r="U31" i="1" s="1"/>
  <c r="E8" i="2"/>
  <c r="U24" i="1" s="1"/>
  <c r="E7" i="2"/>
  <c r="E6" i="2"/>
  <c r="U21" i="1" s="1"/>
  <c r="E5" i="2"/>
  <c r="U20" i="1" s="1"/>
  <c r="E4" i="2"/>
  <c r="U18" i="1" s="1"/>
  <c r="E3" i="2"/>
  <c r="I235" i="1"/>
  <c r="I234" i="1"/>
  <c r="I229" i="1"/>
  <c r="I228" i="1"/>
  <c r="I226" i="1"/>
  <c r="I225" i="1"/>
  <c r="I224" i="1"/>
  <c r="I223" i="1"/>
  <c r="I222" i="1"/>
  <c r="I221" i="1"/>
  <c r="I220" i="1"/>
  <c r="I219" i="1"/>
  <c r="I218" i="1"/>
  <c r="I216" i="1"/>
  <c r="I215" i="1"/>
  <c r="I214" i="1"/>
  <c r="I213" i="1"/>
  <c r="I212" i="1"/>
  <c r="I210" i="1"/>
  <c r="I209" i="1"/>
  <c r="I208" i="1"/>
  <c r="I207" i="1"/>
  <c r="I206" i="1"/>
  <c r="I204" i="1"/>
  <c r="I203" i="1"/>
  <c r="I202" i="1"/>
  <c r="I201" i="1"/>
  <c r="I200" i="1"/>
  <c r="I199" i="1"/>
  <c r="I198" i="1"/>
  <c r="I196" i="1"/>
  <c r="I195" i="1"/>
  <c r="I193" i="1"/>
  <c r="I192" i="1"/>
  <c r="I191" i="1"/>
  <c r="I190" i="1"/>
  <c r="I189" i="1"/>
  <c r="I188" i="1"/>
  <c r="I187" i="1"/>
  <c r="I186" i="1"/>
  <c r="I185" i="1"/>
  <c r="I184" i="1"/>
  <c r="I182" i="1"/>
  <c r="I181" i="1"/>
  <c r="I180" i="1"/>
  <c r="I179" i="1"/>
  <c r="I178" i="1"/>
  <c r="I177" i="1"/>
  <c r="I176" i="1"/>
  <c r="I175" i="1"/>
  <c r="I173" i="1"/>
  <c r="I171" i="1"/>
  <c r="I170" i="1"/>
  <c r="I168" i="1"/>
  <c r="I167" i="1"/>
  <c r="I166" i="1"/>
  <c r="I165" i="1"/>
  <c r="I164" i="1"/>
  <c r="I163" i="1"/>
  <c r="I162" i="1"/>
  <c r="I161" i="1"/>
  <c r="I160" i="1"/>
  <c r="I158" i="1"/>
  <c r="I157" i="1"/>
  <c r="I156" i="1"/>
  <c r="I155" i="1"/>
  <c r="I154" i="1"/>
  <c r="I151" i="1"/>
  <c r="I150" i="1"/>
  <c r="I149" i="1"/>
  <c r="I148" i="1"/>
  <c r="I147" i="1"/>
  <c r="I146" i="1"/>
  <c r="I145" i="1"/>
  <c r="I143" i="1"/>
  <c r="I142" i="1"/>
  <c r="I141" i="1"/>
  <c r="I140" i="1"/>
  <c r="I139" i="1"/>
  <c r="I138" i="1"/>
  <c r="I137" i="1"/>
  <c r="I135" i="1"/>
  <c r="I134" i="1"/>
  <c r="I133" i="1"/>
  <c r="I132" i="1"/>
  <c r="I131" i="1"/>
  <c r="I130" i="1"/>
  <c r="I129" i="1"/>
  <c r="I128" i="1"/>
  <c r="I126" i="1"/>
  <c r="I125" i="1"/>
  <c r="I124" i="1"/>
  <c r="I123" i="1"/>
  <c r="I122" i="1"/>
  <c r="I121" i="1"/>
  <c r="I120" i="1"/>
  <c r="I119" i="1"/>
  <c r="I118" i="1"/>
  <c r="I117" i="1"/>
  <c r="I116" i="1"/>
  <c r="I115" i="1"/>
  <c r="I114" i="1"/>
  <c r="I113" i="1"/>
  <c r="I112" i="1"/>
  <c r="I111" i="1"/>
  <c r="I110" i="1"/>
  <c r="I109" i="1"/>
  <c r="I108" i="1"/>
  <c r="I107" i="1"/>
  <c r="I105" i="1"/>
  <c r="I104" i="1"/>
  <c r="I101" i="1"/>
  <c r="I100" i="1"/>
  <c r="I99" i="1"/>
  <c r="I97" i="1"/>
  <c r="I96" i="1"/>
  <c r="I95" i="1"/>
  <c r="I94" i="1"/>
  <c r="I93" i="1"/>
  <c r="I92" i="1"/>
  <c r="I90" i="1"/>
  <c r="I88" i="1"/>
  <c r="I86" i="1"/>
  <c r="I85" i="1"/>
  <c r="I84" i="1"/>
  <c r="I83" i="1"/>
  <c r="I82" i="1"/>
  <c r="I79" i="1"/>
  <c r="I78" i="1"/>
  <c r="I77" i="1"/>
  <c r="I74" i="1"/>
  <c r="I73" i="1"/>
  <c r="I72" i="1"/>
  <c r="I71" i="1"/>
  <c r="I70" i="1"/>
  <c r="I69" i="1"/>
  <c r="I68" i="1"/>
  <c r="I67" i="1"/>
  <c r="I66" i="1"/>
  <c r="I65" i="1"/>
  <c r="I64" i="1"/>
  <c r="I63" i="1"/>
  <c r="I62" i="1"/>
  <c r="I61" i="1"/>
  <c r="I60" i="1"/>
  <c r="I59" i="1"/>
  <c r="I58" i="1"/>
  <c r="I56" i="1"/>
  <c r="I55" i="1"/>
  <c r="I54" i="1"/>
  <c r="I53" i="1"/>
  <c r="I52" i="1"/>
  <c r="I51" i="1"/>
  <c r="I50" i="1"/>
  <c r="I49" i="1"/>
  <c r="I48" i="1"/>
  <c r="I47" i="1"/>
  <c r="I46" i="1"/>
  <c r="I45" i="1"/>
  <c r="I44" i="1"/>
  <c r="I43" i="1"/>
  <c r="I42" i="1"/>
  <c r="I41" i="1"/>
  <c r="I40" i="1"/>
  <c r="I39" i="1"/>
  <c r="I38" i="1"/>
  <c r="I37" i="1"/>
  <c r="I36" i="1"/>
  <c r="I35" i="1"/>
  <c r="I34" i="1"/>
  <c r="I33" i="1"/>
  <c r="I32" i="1"/>
  <c r="I31" i="1"/>
  <c r="I30" i="1"/>
  <c r="I29" i="1"/>
  <c r="I28" i="1"/>
  <c r="I27" i="1"/>
  <c r="I26" i="1"/>
  <c r="I25" i="1"/>
  <c r="I24" i="1"/>
  <c r="I23" i="1"/>
  <c r="I21" i="1"/>
  <c r="I20" i="1"/>
  <c r="I18" i="1"/>
  <c r="I17" i="1"/>
  <c r="I13" i="1"/>
  <c r="I15" i="1"/>
  <c r="R263" i="1"/>
  <c r="R246" i="1"/>
  <c r="Q246" i="1"/>
  <c r="P246" i="1"/>
  <c r="R244" i="1"/>
  <c r="Q244" i="1"/>
  <c r="P244" i="1"/>
  <c r="R243" i="1"/>
  <c r="Q243" i="1"/>
  <c r="P243" i="1"/>
  <c r="S223" i="1"/>
  <c r="S222" i="1"/>
  <c r="S221" i="1"/>
  <c r="S220" i="1"/>
  <c r="S219" i="1"/>
  <c r="S218" i="1"/>
  <c r="S217" i="1"/>
  <c r="S216" i="1"/>
  <c r="S215" i="1"/>
  <c r="S214" i="1"/>
  <c r="S213" i="1"/>
  <c r="S212" i="1"/>
  <c r="S211" i="1"/>
  <c r="S210" i="1"/>
  <c r="AV209" i="1"/>
  <c r="AT209" i="1"/>
  <c r="S209" i="1"/>
  <c r="S208" i="1"/>
  <c r="S207" i="1"/>
  <c r="S206" i="1"/>
  <c r="S205" i="1"/>
  <c r="S204" i="1"/>
  <c r="S203" i="1"/>
  <c r="S202" i="1"/>
  <c r="S201" i="1"/>
  <c r="S200" i="1"/>
  <c r="S199" i="1"/>
  <c r="S198" i="1"/>
  <c r="S197" i="1"/>
  <c r="S196" i="1"/>
  <c r="S195" i="1"/>
  <c r="S194" i="1"/>
  <c r="S193" i="1"/>
  <c r="S192" i="1"/>
  <c r="S191" i="1"/>
  <c r="O191" i="1"/>
  <c r="S190" i="1"/>
  <c r="S189" i="1"/>
  <c r="S188" i="1"/>
  <c r="S187" i="1"/>
  <c r="S186" i="1"/>
  <c r="S185" i="1"/>
  <c r="S184" i="1"/>
  <c r="S183" i="1"/>
  <c r="S182" i="1"/>
  <c r="S181" i="1"/>
  <c r="S180" i="1"/>
  <c r="S179" i="1"/>
  <c r="S178" i="1"/>
  <c r="S177" i="1"/>
  <c r="S176" i="1"/>
  <c r="S175" i="1"/>
  <c r="S174" i="1"/>
  <c r="S173" i="1"/>
  <c r="S172" i="1"/>
  <c r="S171" i="1"/>
  <c r="S170" i="1"/>
  <c r="S169" i="1"/>
  <c r="S168" i="1"/>
  <c r="S167" i="1"/>
  <c r="S166" i="1"/>
  <c r="S165" i="1"/>
  <c r="S164" i="1"/>
  <c r="S163" i="1"/>
  <c r="S162" i="1"/>
  <c r="S161" i="1"/>
  <c r="S160" i="1"/>
  <c r="S159" i="1"/>
  <c r="S158" i="1"/>
  <c r="S157" i="1"/>
  <c r="S156" i="1"/>
  <c r="S155" i="1"/>
  <c r="S154" i="1"/>
  <c r="S153" i="1"/>
  <c r="S152" i="1"/>
  <c r="S151" i="1"/>
  <c r="S150" i="1"/>
  <c r="S149" i="1"/>
  <c r="AT148" i="1"/>
  <c r="AS148" i="1"/>
  <c r="S148" i="1"/>
  <c r="S147" i="1"/>
  <c r="S146" i="1"/>
  <c r="S145" i="1"/>
  <c r="S144" i="1"/>
  <c r="S143" i="1"/>
  <c r="S142" i="1"/>
  <c r="S141" i="1"/>
  <c r="S140" i="1"/>
  <c r="S139" i="1"/>
  <c r="S138" i="1"/>
  <c r="S137" i="1"/>
  <c r="S136" i="1"/>
  <c r="S135" i="1"/>
  <c r="S134" i="1"/>
  <c r="S133" i="1"/>
  <c r="S132" i="1"/>
  <c r="S131" i="1"/>
  <c r="S130" i="1"/>
  <c r="AV129" i="1"/>
  <c r="AU129" i="1"/>
  <c r="AT129" i="1"/>
  <c r="AS129"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O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AU12" i="1"/>
  <c r="AT12" i="1"/>
  <c r="AS12" i="1"/>
  <c r="AG55" i="1" l="1"/>
  <c r="AG18" i="1"/>
  <c r="AG156" i="1"/>
  <c r="AG104" i="1"/>
  <c r="AG117" i="1"/>
  <c r="AG130" i="1"/>
  <c r="AG158" i="1"/>
  <c r="AG199" i="1"/>
  <c r="AG90" i="1"/>
  <c r="AG48" i="1"/>
  <c r="AG189" i="1"/>
  <c r="AG49" i="1"/>
  <c r="AG93" i="1"/>
  <c r="AG108" i="1"/>
  <c r="AG133" i="1"/>
  <c r="AG147" i="1"/>
  <c r="AG162" i="1"/>
  <c r="AG177" i="1"/>
  <c r="AG190" i="1"/>
  <c r="AG204" i="1"/>
  <c r="AG219" i="1"/>
  <c r="AG43" i="1"/>
  <c r="AG59" i="1"/>
  <c r="AG26" i="1"/>
  <c r="AG38" i="1"/>
  <c r="AG50" i="1"/>
  <c r="AG63" i="1"/>
  <c r="AG94" i="1"/>
  <c r="AG121" i="1"/>
  <c r="AG163" i="1"/>
  <c r="AG178" i="1"/>
  <c r="AG184" i="1"/>
  <c r="AG110" i="1"/>
  <c r="AG149" i="1"/>
  <c r="AG207" i="1"/>
  <c r="AG69" i="1"/>
  <c r="AG129" i="1"/>
  <c r="AG234" i="1"/>
  <c r="AG28" i="1"/>
  <c r="AG40" i="1"/>
  <c r="AG65" i="1"/>
  <c r="AG123" i="1"/>
  <c r="AG137" i="1"/>
  <c r="AG180" i="1"/>
  <c r="AG198" i="1"/>
  <c r="AG185" i="1"/>
  <c r="AG61" i="1"/>
  <c r="AG235" i="1"/>
  <c r="AG15" i="1"/>
  <c r="AG41" i="1"/>
  <c r="AG112" i="1"/>
  <c r="AG138" i="1"/>
  <c r="AG195" i="1"/>
  <c r="AG209" i="1"/>
  <c r="AG155" i="1"/>
  <c r="AG213" i="1"/>
  <c r="AG45" i="1"/>
  <c r="AG21" i="1"/>
  <c r="AG72" i="1"/>
  <c r="AG146" i="1"/>
  <c r="AG13" i="1"/>
  <c r="AG42" i="1"/>
  <c r="AG67" i="1"/>
  <c r="AG113" i="1"/>
  <c r="AG139" i="1"/>
  <c r="AG182" i="1"/>
  <c r="AG196" i="1"/>
  <c r="AG210" i="1"/>
  <c r="AM15" i="1"/>
  <c r="AO59" i="1"/>
  <c r="AN59" i="1"/>
  <c r="BK59" i="1"/>
  <c r="AM59" i="1"/>
  <c r="BL59" i="1"/>
  <c r="BM59" i="1"/>
  <c r="AO185" i="1"/>
  <c r="AN185" i="1"/>
  <c r="BK185" i="1"/>
  <c r="AM185" i="1"/>
  <c r="BM185" i="1"/>
  <c r="BL185" i="1"/>
  <c r="AO129" i="1"/>
  <c r="AN129" i="1"/>
  <c r="BT129" i="1" s="1"/>
  <c r="AM129" i="1"/>
  <c r="BM129" i="1"/>
  <c r="BL129" i="1"/>
  <c r="BK129" i="1"/>
  <c r="AO61" i="1"/>
  <c r="AN61" i="1"/>
  <c r="AM61" i="1"/>
  <c r="BM61" i="1"/>
  <c r="BL61" i="1"/>
  <c r="BK61" i="1"/>
  <c r="AO117" i="1"/>
  <c r="AN117" i="1"/>
  <c r="AM117" i="1"/>
  <c r="BM117" i="1"/>
  <c r="BL117" i="1"/>
  <c r="BK117" i="1"/>
  <c r="AO130" i="1"/>
  <c r="AN130" i="1"/>
  <c r="AM130" i="1"/>
  <c r="BM130" i="1"/>
  <c r="BL130" i="1"/>
  <c r="BK130" i="1"/>
  <c r="AO158" i="1"/>
  <c r="AN158" i="1"/>
  <c r="BK158" i="1"/>
  <c r="AM158" i="1"/>
  <c r="BL158" i="1"/>
  <c r="BM158" i="1"/>
  <c r="AO156" i="1"/>
  <c r="AN156" i="1"/>
  <c r="AM156" i="1"/>
  <c r="BM156" i="1"/>
  <c r="BL156" i="1"/>
  <c r="BK156" i="1"/>
  <c r="AO49" i="1"/>
  <c r="AN49" i="1"/>
  <c r="AM49" i="1"/>
  <c r="BM49" i="1"/>
  <c r="BL49" i="1"/>
  <c r="BK49" i="1"/>
  <c r="AO93" i="1"/>
  <c r="AN93" i="1"/>
  <c r="AM93" i="1"/>
  <c r="BM93" i="1"/>
  <c r="BL93" i="1"/>
  <c r="BK93" i="1"/>
  <c r="AO234" i="1"/>
  <c r="AN234" i="1"/>
  <c r="AM234" i="1"/>
  <c r="BM234" i="1"/>
  <c r="BL234" i="1"/>
  <c r="BK234" i="1"/>
  <c r="AO45" i="1"/>
  <c r="AN45" i="1"/>
  <c r="AM45" i="1"/>
  <c r="BM45" i="1"/>
  <c r="BL45" i="1"/>
  <c r="BK45" i="1"/>
  <c r="AN21" i="1"/>
  <c r="BT21" i="1" s="1"/>
  <c r="AM21" i="1"/>
  <c r="AO21" i="1"/>
  <c r="BM21" i="1"/>
  <c r="BL21" i="1"/>
  <c r="BK21" i="1"/>
  <c r="AO199" i="1"/>
  <c r="AN199" i="1"/>
  <c r="BT199" i="1" s="1"/>
  <c r="AM199" i="1"/>
  <c r="BM199" i="1"/>
  <c r="BL199" i="1"/>
  <c r="BK199" i="1"/>
  <c r="AO104" i="1"/>
  <c r="AN104" i="1"/>
  <c r="BK104" i="1"/>
  <c r="AM104" i="1"/>
  <c r="BL104" i="1"/>
  <c r="BM104" i="1"/>
  <c r="AO38" i="1"/>
  <c r="AN38" i="1"/>
  <c r="BK38" i="1"/>
  <c r="AM38" i="1"/>
  <c r="BM38" i="1"/>
  <c r="BL38" i="1"/>
  <c r="AO50" i="1"/>
  <c r="AN50" i="1"/>
  <c r="BT50" i="1" s="1"/>
  <c r="BK50" i="1"/>
  <c r="AM50" i="1"/>
  <c r="BL50" i="1"/>
  <c r="BM50" i="1"/>
  <c r="AO63" i="1"/>
  <c r="AN63" i="1"/>
  <c r="AM63" i="1"/>
  <c r="BM63" i="1"/>
  <c r="BL63" i="1"/>
  <c r="BK63" i="1"/>
  <c r="AO94" i="1"/>
  <c r="AN94" i="1"/>
  <c r="BT94" i="1" s="1"/>
  <c r="AM94" i="1"/>
  <c r="BM94" i="1"/>
  <c r="BL94" i="1"/>
  <c r="BK94" i="1"/>
  <c r="AO146" i="1"/>
  <c r="AN146" i="1"/>
  <c r="BK146" i="1"/>
  <c r="AM146" i="1"/>
  <c r="BM146" i="1"/>
  <c r="BL146" i="1"/>
  <c r="AO189" i="1"/>
  <c r="AN189" i="1"/>
  <c r="AM189" i="1"/>
  <c r="BM189" i="1"/>
  <c r="BL189" i="1"/>
  <c r="BK189" i="1"/>
  <c r="AO235" i="1"/>
  <c r="AN235" i="1"/>
  <c r="AM235" i="1"/>
  <c r="BM235" i="1"/>
  <c r="BL235" i="1"/>
  <c r="BK235" i="1"/>
  <c r="AO155" i="1"/>
  <c r="AN155" i="1"/>
  <c r="BK155" i="1"/>
  <c r="AM155" i="1"/>
  <c r="BM155" i="1"/>
  <c r="BL155" i="1"/>
  <c r="AO108" i="1"/>
  <c r="AN108" i="1"/>
  <c r="AM108" i="1"/>
  <c r="BM108" i="1"/>
  <c r="BL108" i="1"/>
  <c r="BK108" i="1"/>
  <c r="AO133" i="1"/>
  <c r="AN133" i="1"/>
  <c r="AM133" i="1"/>
  <c r="BM133" i="1"/>
  <c r="BL133" i="1"/>
  <c r="BK133" i="1"/>
  <c r="AO147" i="1"/>
  <c r="AN147" i="1"/>
  <c r="BT147" i="1" s="1"/>
  <c r="AM147" i="1"/>
  <c r="BM147" i="1"/>
  <c r="BL147" i="1"/>
  <c r="BK147" i="1"/>
  <c r="AO162" i="1"/>
  <c r="AN162" i="1"/>
  <c r="AM162" i="1"/>
  <c r="BM162" i="1"/>
  <c r="BL162" i="1"/>
  <c r="BK162" i="1"/>
  <c r="AO177" i="1"/>
  <c r="AN177" i="1"/>
  <c r="AM177" i="1"/>
  <c r="BM177" i="1"/>
  <c r="BL177" i="1"/>
  <c r="BK177" i="1"/>
  <c r="AO190" i="1"/>
  <c r="AN190" i="1"/>
  <c r="AM190" i="1"/>
  <c r="BM190" i="1"/>
  <c r="BL190" i="1"/>
  <c r="BK190" i="1"/>
  <c r="AO204" i="1"/>
  <c r="AN204" i="1"/>
  <c r="BT204" i="1" s="1"/>
  <c r="AM204" i="1"/>
  <c r="BM204" i="1"/>
  <c r="BL204" i="1"/>
  <c r="BK204" i="1"/>
  <c r="AO219" i="1"/>
  <c r="AN219" i="1"/>
  <c r="AM219" i="1"/>
  <c r="BM219" i="1"/>
  <c r="BK219" i="1"/>
  <c r="BL219" i="1"/>
  <c r="AO184" i="1"/>
  <c r="AN184" i="1"/>
  <c r="BT184" i="1" s="1"/>
  <c r="AM184" i="1"/>
  <c r="BM184" i="1"/>
  <c r="BL184" i="1"/>
  <c r="BK184" i="1"/>
  <c r="AN26" i="1"/>
  <c r="BK26" i="1"/>
  <c r="AM26" i="1"/>
  <c r="AO26" i="1"/>
  <c r="BL26" i="1"/>
  <c r="BM26" i="1"/>
  <c r="AO28" i="1"/>
  <c r="AN28" i="1"/>
  <c r="AM28" i="1"/>
  <c r="BM28" i="1"/>
  <c r="BL28" i="1"/>
  <c r="BK28" i="1"/>
  <c r="AO40" i="1"/>
  <c r="AN40" i="1"/>
  <c r="AM40" i="1"/>
  <c r="BM40" i="1"/>
  <c r="BL40" i="1"/>
  <c r="BK40" i="1"/>
  <c r="AO65" i="1"/>
  <c r="AN65" i="1"/>
  <c r="BK65" i="1"/>
  <c r="AM65" i="1"/>
  <c r="BM65" i="1"/>
  <c r="BL65" i="1"/>
  <c r="AO121" i="1"/>
  <c r="AN121" i="1"/>
  <c r="BT121" i="1" s="1"/>
  <c r="AM121" i="1"/>
  <c r="BM121" i="1"/>
  <c r="BL121" i="1"/>
  <c r="BK121" i="1"/>
  <c r="AO163" i="1"/>
  <c r="AN163" i="1"/>
  <c r="AM163" i="1"/>
  <c r="BM163" i="1"/>
  <c r="BL163" i="1"/>
  <c r="BK163" i="1"/>
  <c r="AO178" i="1"/>
  <c r="AN178" i="1"/>
  <c r="AM178" i="1"/>
  <c r="BM178" i="1"/>
  <c r="BL178" i="1"/>
  <c r="BK178" i="1"/>
  <c r="AO213" i="1"/>
  <c r="AN213" i="1"/>
  <c r="AM213" i="1"/>
  <c r="BM213" i="1"/>
  <c r="BL213" i="1"/>
  <c r="BK213" i="1"/>
  <c r="AO72" i="1"/>
  <c r="AN72" i="1"/>
  <c r="AM72" i="1"/>
  <c r="BM72" i="1"/>
  <c r="BL72" i="1"/>
  <c r="BK72" i="1"/>
  <c r="AO41" i="1"/>
  <c r="AN41" i="1"/>
  <c r="BK41" i="1"/>
  <c r="AM41" i="1"/>
  <c r="BL41" i="1"/>
  <c r="BM41" i="1"/>
  <c r="AO110" i="1"/>
  <c r="AN110" i="1"/>
  <c r="BK110" i="1"/>
  <c r="AM110" i="1"/>
  <c r="BM110" i="1"/>
  <c r="BL110" i="1"/>
  <c r="AO149" i="1"/>
  <c r="AN149" i="1"/>
  <c r="BK149" i="1"/>
  <c r="AM149" i="1"/>
  <c r="BL149" i="1"/>
  <c r="BM149" i="1"/>
  <c r="AO207" i="1"/>
  <c r="AN207" i="1"/>
  <c r="BT207" i="1" s="1"/>
  <c r="AM207" i="1"/>
  <c r="BM207" i="1"/>
  <c r="BL207" i="1"/>
  <c r="BK207" i="1"/>
  <c r="AO42" i="1"/>
  <c r="AN42" i="1"/>
  <c r="AM42" i="1"/>
  <c r="BM42" i="1"/>
  <c r="BL42" i="1"/>
  <c r="BK42" i="1"/>
  <c r="AO67" i="1"/>
  <c r="AN67" i="1"/>
  <c r="AM67" i="1"/>
  <c r="BM67" i="1"/>
  <c r="BL67" i="1"/>
  <c r="BK67" i="1"/>
  <c r="AO123" i="1"/>
  <c r="AN123" i="1"/>
  <c r="BT123" i="1" s="1"/>
  <c r="AM123" i="1"/>
  <c r="BM123" i="1"/>
  <c r="BL123" i="1"/>
  <c r="BK123" i="1"/>
  <c r="AO137" i="1"/>
  <c r="AN137" i="1"/>
  <c r="BK137" i="1"/>
  <c r="AM137" i="1"/>
  <c r="BM137" i="1"/>
  <c r="BL137" i="1"/>
  <c r="AO180" i="1"/>
  <c r="AN180" i="1"/>
  <c r="AM180" i="1"/>
  <c r="BM180" i="1"/>
  <c r="BL180" i="1"/>
  <c r="BK180" i="1"/>
  <c r="AO48" i="1"/>
  <c r="AN48" i="1"/>
  <c r="AM48" i="1"/>
  <c r="BM48" i="1"/>
  <c r="BL48" i="1"/>
  <c r="BK48" i="1"/>
  <c r="AO43" i="1"/>
  <c r="AN43" i="1"/>
  <c r="AM43" i="1"/>
  <c r="BM43" i="1"/>
  <c r="BL43" i="1"/>
  <c r="BK43" i="1"/>
  <c r="AO55" i="1"/>
  <c r="AN55" i="1"/>
  <c r="BT55" i="1" s="1"/>
  <c r="AM55" i="1"/>
  <c r="BM55" i="1"/>
  <c r="BL55" i="1"/>
  <c r="BK55" i="1"/>
  <c r="AO112" i="1"/>
  <c r="AN112" i="1"/>
  <c r="AM112" i="1"/>
  <c r="BM112" i="1"/>
  <c r="BL112" i="1"/>
  <c r="BK112" i="1"/>
  <c r="AO138" i="1"/>
  <c r="AN138" i="1"/>
  <c r="BT138" i="1" s="1"/>
  <c r="AM138" i="1"/>
  <c r="BM138" i="1"/>
  <c r="BL138" i="1"/>
  <c r="BK138" i="1"/>
  <c r="AO195" i="1"/>
  <c r="AN195" i="1"/>
  <c r="AM195" i="1"/>
  <c r="BM195" i="1"/>
  <c r="BL195" i="1"/>
  <c r="BK195" i="1"/>
  <c r="BM209" i="1"/>
  <c r="BL209" i="1"/>
  <c r="AO209" i="1"/>
  <c r="AN209" i="1"/>
  <c r="BK209" i="1"/>
  <c r="AM209" i="1"/>
  <c r="AO198" i="1"/>
  <c r="AN198" i="1"/>
  <c r="AM198" i="1"/>
  <c r="BM198" i="1"/>
  <c r="BL198" i="1"/>
  <c r="BK198" i="1"/>
  <c r="AO90" i="1"/>
  <c r="AN90" i="1"/>
  <c r="AM90" i="1"/>
  <c r="BM90" i="1"/>
  <c r="BL90" i="1"/>
  <c r="BK90" i="1"/>
  <c r="AO15" i="1"/>
  <c r="AN15" i="1"/>
  <c r="BM15" i="1"/>
  <c r="BL15" i="1"/>
  <c r="BK15" i="1"/>
  <c r="BK13" i="1"/>
  <c r="AO13" i="1"/>
  <c r="AN13" i="1"/>
  <c r="AM13" i="1"/>
  <c r="BL13" i="1"/>
  <c r="BM13" i="1"/>
  <c r="AO18" i="1"/>
  <c r="AN18" i="1"/>
  <c r="BM18" i="1"/>
  <c r="BL18" i="1"/>
  <c r="BK18" i="1"/>
  <c r="AM18" i="1"/>
  <c r="AO69" i="1"/>
  <c r="AN69" i="1"/>
  <c r="AM69" i="1"/>
  <c r="BM69" i="1"/>
  <c r="BL69" i="1"/>
  <c r="BK69" i="1"/>
  <c r="AO113" i="1"/>
  <c r="AN113" i="1"/>
  <c r="BK113" i="1"/>
  <c r="AM113" i="1"/>
  <c r="BL113" i="1"/>
  <c r="BM113" i="1"/>
  <c r="AO139" i="1"/>
  <c r="AN139" i="1"/>
  <c r="AM139" i="1"/>
  <c r="BM139" i="1"/>
  <c r="BL139" i="1"/>
  <c r="BK139" i="1"/>
  <c r="AO182" i="1"/>
  <c r="AN182" i="1"/>
  <c r="BK182" i="1"/>
  <c r="AM182" i="1"/>
  <c r="BM182" i="1"/>
  <c r="BL182" i="1"/>
  <c r="AO196" i="1"/>
  <c r="AN196" i="1"/>
  <c r="AM196" i="1"/>
  <c r="BM196" i="1"/>
  <c r="BL196" i="1"/>
  <c r="BK196" i="1"/>
  <c r="AO210" i="1"/>
  <c r="AN210" i="1"/>
  <c r="AM210" i="1"/>
  <c r="BL210" i="1"/>
  <c r="BK210" i="1"/>
  <c r="BM210" i="1"/>
  <c r="AR213" i="1"/>
  <c r="AR117" i="1"/>
  <c r="AR156" i="1"/>
  <c r="AR146" i="1"/>
  <c r="AR235" i="1"/>
  <c r="AR147" i="1"/>
  <c r="AR162" i="1"/>
  <c r="AR155" i="1"/>
  <c r="AR28" i="1"/>
  <c r="AR41" i="1"/>
  <c r="AR207" i="1"/>
  <c r="AR67" i="1"/>
  <c r="AR55" i="1"/>
  <c r="AR138" i="1"/>
  <c r="AR139" i="1"/>
  <c r="AR182" i="1"/>
  <c r="AR210" i="1"/>
  <c r="AR184" i="1"/>
  <c r="AR198" i="1"/>
  <c r="AR21" i="1"/>
  <c r="AR185" i="1"/>
  <c r="AR199" i="1"/>
  <c r="AR72" i="1"/>
  <c r="AR90" i="1"/>
  <c r="AR129" i="1"/>
  <c r="AR130" i="1"/>
  <c r="AR158" i="1"/>
  <c r="AR49" i="1"/>
  <c r="AR93" i="1"/>
  <c r="AR234" i="1"/>
  <c r="AR26" i="1"/>
  <c r="AR50" i="1"/>
  <c r="AR63" i="1"/>
  <c r="AR94" i="1"/>
  <c r="AR189" i="1"/>
  <c r="AR108" i="1"/>
  <c r="AR133" i="1"/>
  <c r="AR177" i="1"/>
  <c r="AR190" i="1"/>
  <c r="AR204" i="1"/>
  <c r="AR219" i="1"/>
  <c r="AR65" i="1"/>
  <c r="AR121" i="1"/>
  <c r="AR163" i="1"/>
  <c r="AR178" i="1"/>
  <c r="AR149" i="1"/>
  <c r="AR13" i="1"/>
  <c r="AR42" i="1"/>
  <c r="AR123" i="1"/>
  <c r="AR137" i="1"/>
  <c r="AR180" i="1"/>
  <c r="AR43" i="1"/>
  <c r="AR195" i="1"/>
  <c r="AR209" i="1"/>
  <c r="AR18" i="1"/>
  <c r="AR113" i="1"/>
  <c r="AR196" i="1"/>
  <c r="BG29" i="9"/>
  <c r="BG40" i="9"/>
  <c r="BG44" i="9"/>
  <c r="BG54" i="9"/>
  <c r="BG10" i="9"/>
  <c r="BG77" i="9"/>
  <c r="BG15" i="9"/>
  <c r="BG74" i="9"/>
  <c r="BG9" i="9"/>
  <c r="BG4" i="9"/>
  <c r="BG75" i="9"/>
  <c r="BG16" i="9"/>
  <c r="BG7" i="9"/>
  <c r="BG14" i="9"/>
  <c r="BG23" i="9"/>
  <c r="BG56" i="9"/>
  <c r="BG20" i="9"/>
  <c r="BG70" i="9"/>
  <c r="BG2" i="9"/>
  <c r="BG25" i="9"/>
  <c r="BG37" i="9"/>
  <c r="BG69" i="9"/>
  <c r="BG21" i="9"/>
  <c r="BG46" i="9"/>
  <c r="BG8" i="9"/>
  <c r="BG22" i="9"/>
  <c r="BG55" i="9"/>
  <c r="BG33" i="9"/>
  <c r="BG76" i="9"/>
  <c r="BG18" i="9"/>
  <c r="BG28" i="9"/>
  <c r="BG34" i="9"/>
  <c r="BG52" i="9"/>
  <c r="BG38" i="9"/>
  <c r="BG66" i="9"/>
  <c r="BG24" i="9"/>
  <c r="BG50" i="9"/>
  <c r="BG48" i="9"/>
  <c r="BG67" i="9"/>
  <c r="BG3" i="9"/>
  <c r="BG49" i="9"/>
  <c r="BG32" i="9"/>
  <c r="BG51" i="9"/>
  <c r="BG63" i="9"/>
  <c r="BG43" i="9"/>
  <c r="BG6" i="9"/>
  <c r="BG12" i="9"/>
  <c r="BG27" i="9"/>
  <c r="BG47" i="9"/>
  <c r="BG71" i="9"/>
  <c r="BG5" i="9"/>
  <c r="BG13" i="9"/>
  <c r="BG19" i="9"/>
  <c r="BG31" i="9"/>
  <c r="BG45" i="9"/>
  <c r="BG59" i="9"/>
  <c r="BG73" i="9"/>
  <c r="BG61" i="9"/>
  <c r="BG26" i="9"/>
  <c r="BG68" i="9"/>
  <c r="BG35" i="9"/>
  <c r="BG62" i="9"/>
  <c r="BG58" i="9"/>
  <c r="BG64" i="9"/>
  <c r="BG11" i="9"/>
  <c r="BG42" i="9"/>
  <c r="BG36" i="9"/>
  <c r="BG17" i="9"/>
  <c r="BG30" i="9"/>
  <c r="BG39" i="9"/>
  <c r="BG41" i="9"/>
  <c r="BG53" i="9"/>
  <c r="BG57" i="9"/>
  <c r="BG60" i="9"/>
  <c r="BG65" i="9"/>
  <c r="BG72" i="9"/>
  <c r="U13" i="1"/>
  <c r="O260" i="1"/>
  <c r="Q238" i="1"/>
  <c r="Q260" i="1" s="1"/>
  <c r="M238" i="1"/>
  <c r="M260" i="1" s="1"/>
  <c r="L238" i="1"/>
  <c r="L260" i="1" s="1"/>
  <c r="BT236" i="1"/>
  <c r="T236" i="1"/>
  <c r="R236" i="1"/>
  <c r="Q236" i="1" s="1"/>
  <c r="T235" i="1"/>
  <c r="R235" i="1"/>
  <c r="T234" i="1"/>
  <c r="R234" i="1"/>
  <c r="M234" i="1"/>
  <c r="BT233" i="1"/>
  <c r="T233" i="1"/>
  <c r="R233" i="1"/>
  <c r="Q233" i="1" s="1"/>
  <c r="BT232" i="1"/>
  <c r="T232" i="1"/>
  <c r="R232" i="1"/>
  <c r="Q232" i="1" s="1"/>
  <c r="BT231" i="1"/>
  <c r="T231" i="1"/>
  <c r="R231" i="1"/>
  <c r="Q231" i="1" s="1"/>
  <c r="BT230" i="1"/>
  <c r="T230" i="1"/>
  <c r="R230" i="1"/>
  <c r="Q230" i="1" s="1"/>
  <c r="T229" i="1"/>
  <c r="R229" i="1"/>
  <c r="T228" i="1"/>
  <c r="R228" i="1"/>
  <c r="BT227" i="1"/>
  <c r="T227" i="1"/>
  <c r="R227" i="1"/>
  <c r="Q227" i="1" s="1"/>
  <c r="T226" i="1"/>
  <c r="Q226" i="1"/>
  <c r="T225" i="1"/>
  <c r="R225" i="1"/>
  <c r="T224" i="1"/>
  <c r="Q224" i="1"/>
  <c r="M224" i="1"/>
  <c r="T223" i="1"/>
  <c r="M223" i="1"/>
  <c r="M253" i="1" s="1"/>
  <c r="T222" i="1"/>
  <c r="L222" i="1"/>
  <c r="T221" i="1"/>
  <c r="Q221" i="1"/>
  <c r="M221" i="1"/>
  <c r="L221" i="1"/>
  <c r="T220" i="1"/>
  <c r="Q220" i="1"/>
  <c r="T219" i="1"/>
  <c r="Q219" i="1"/>
  <c r="T218" i="1"/>
  <c r="Q218" i="1"/>
  <c r="BT217" i="1"/>
  <c r="T217" i="1"/>
  <c r="T216" i="1"/>
  <c r="T215" i="1"/>
  <c r="T214" i="1"/>
  <c r="M214" i="1"/>
  <c r="L214" i="1"/>
  <c r="Q214" i="1"/>
  <c r="T213" i="1"/>
  <c r="Q213" i="1"/>
  <c r="T212" i="1"/>
  <c r="BT211" i="1"/>
  <c r="T211" i="1"/>
  <c r="T210" i="1"/>
  <c r="T209" i="1"/>
  <c r="Q209" i="1"/>
  <c r="T208" i="1"/>
  <c r="Q208" i="1"/>
  <c r="T207" i="1"/>
  <c r="T206" i="1"/>
  <c r="BT205" i="1"/>
  <c r="T205" i="1"/>
  <c r="T204" i="1"/>
  <c r="T203" i="1"/>
  <c r="L203" i="1"/>
  <c r="T202" i="1"/>
  <c r="T201" i="1"/>
  <c r="T200" i="1"/>
  <c r="Q200" i="1"/>
  <c r="T199" i="1"/>
  <c r="T198" i="1"/>
  <c r="M198" i="1"/>
  <c r="BT197" i="1"/>
  <c r="T197" i="1"/>
  <c r="T196" i="1"/>
  <c r="T195" i="1"/>
  <c r="BT194" i="1"/>
  <c r="T194" i="1"/>
  <c r="T193" i="1"/>
  <c r="Q193" i="1"/>
  <c r="T192" i="1"/>
  <c r="T191" i="1"/>
  <c r="T190" i="1"/>
  <c r="T189" i="1"/>
  <c r="T188" i="1"/>
  <c r="M188" i="1"/>
  <c r="T187" i="1"/>
  <c r="Q187" i="1"/>
  <c r="T186" i="1"/>
  <c r="Q186" i="1"/>
  <c r="T185" i="1"/>
  <c r="T184" i="1"/>
  <c r="BT183" i="1"/>
  <c r="T183" i="1"/>
  <c r="T182" i="1"/>
  <c r="M182" i="1"/>
  <c r="T181" i="1"/>
  <c r="T180" i="1"/>
  <c r="Q180" i="1"/>
  <c r="T179" i="1"/>
  <c r="T178" i="1"/>
  <c r="Q178" i="1"/>
  <c r="T177" i="1"/>
  <c r="M177" i="1"/>
  <c r="T176" i="1"/>
  <c r="T175" i="1"/>
  <c r="BT174" i="1"/>
  <c r="T174" i="1"/>
  <c r="T173" i="1"/>
  <c r="BT172" i="1"/>
  <c r="T172" i="1"/>
  <c r="T171" i="1"/>
  <c r="M171" i="1"/>
  <c r="T170" i="1"/>
  <c r="BT169" i="1"/>
  <c r="T169" i="1"/>
  <c r="T168" i="1"/>
  <c r="T167" i="1"/>
  <c r="Q167" i="1"/>
  <c r="T166" i="1"/>
  <c r="T165" i="1"/>
  <c r="L165" i="1"/>
  <c r="T164" i="1"/>
  <c r="L164" i="1"/>
  <c r="T163" i="1"/>
  <c r="Q163" i="1"/>
  <c r="T162" i="1"/>
  <c r="L162" i="1"/>
  <c r="T161" i="1"/>
  <c r="T160" i="1"/>
  <c r="BT159" i="1"/>
  <c r="T159" i="1"/>
  <c r="T158" i="1"/>
  <c r="T157" i="1"/>
  <c r="Q157" i="1"/>
  <c r="T156" i="1"/>
  <c r="Q156" i="1"/>
  <c r="T155" i="1"/>
  <c r="T154" i="1"/>
  <c r="Q154" i="1"/>
  <c r="BT153" i="1"/>
  <c r="T153" i="1"/>
  <c r="BT152" i="1"/>
  <c r="T152" i="1"/>
  <c r="T151" i="1"/>
  <c r="Q151" i="1"/>
  <c r="T150" i="1"/>
  <c r="T149" i="1"/>
  <c r="Q149" i="1"/>
  <c r="T148" i="1"/>
  <c r="Q148" i="1"/>
  <c r="T147" i="1"/>
  <c r="T146" i="1"/>
  <c r="T145" i="1"/>
  <c r="BT144" i="1"/>
  <c r="T144" i="1"/>
  <c r="T143" i="1"/>
  <c r="T142" i="1"/>
  <c r="T141" i="1"/>
  <c r="T140" i="1"/>
  <c r="L140" i="1"/>
  <c r="T139" i="1"/>
  <c r="Q139" i="1"/>
  <c r="T138" i="1"/>
  <c r="T137" i="1"/>
  <c r="Q137" i="1"/>
  <c r="BT136" i="1"/>
  <c r="T136" i="1"/>
  <c r="T135" i="1"/>
  <c r="P135" i="1"/>
  <c r="M135" i="1"/>
  <c r="T134" i="1"/>
  <c r="L134" i="1"/>
  <c r="T133" i="1"/>
  <c r="T132" i="1"/>
  <c r="T131" i="1"/>
  <c r="Q131" i="1"/>
  <c r="T130" i="1"/>
  <c r="T129" i="1"/>
  <c r="T128" i="1"/>
  <c r="BT127" i="1"/>
  <c r="T127" i="1"/>
  <c r="T126" i="1"/>
  <c r="Q126" i="1"/>
  <c r="T125" i="1"/>
  <c r="T124" i="1"/>
  <c r="T123" i="1"/>
  <c r="T122" i="1"/>
  <c r="Q122" i="1"/>
  <c r="T121" i="1"/>
  <c r="T120" i="1"/>
  <c r="M120" i="1"/>
  <c r="T119" i="1"/>
  <c r="Q119" i="1"/>
  <c r="T118" i="1"/>
  <c r="Q118" i="1"/>
  <c r="T117" i="1"/>
  <c r="L117" i="1"/>
  <c r="T116" i="1"/>
  <c r="M116" i="1"/>
  <c r="T115" i="1"/>
  <c r="T114" i="1"/>
  <c r="T113" i="1"/>
  <c r="T112" i="1"/>
  <c r="T111" i="1"/>
  <c r="Q111" i="1"/>
  <c r="T110" i="1"/>
  <c r="T109" i="1"/>
  <c r="T108" i="1"/>
  <c r="L108" i="1"/>
  <c r="T107" i="1"/>
  <c r="T106" i="1"/>
  <c r="T105" i="1"/>
  <c r="T104" i="1"/>
  <c r="T103" i="1"/>
  <c r="T102" i="1"/>
  <c r="T101" i="1"/>
  <c r="T100" i="1"/>
  <c r="T99" i="1"/>
  <c r="L99" i="1"/>
  <c r="BT98" i="1"/>
  <c r="T98" i="1"/>
  <c r="T97" i="1"/>
  <c r="T96" i="1"/>
  <c r="Q96" i="1"/>
  <c r="T95" i="1"/>
  <c r="T94" i="1"/>
  <c r="T93" i="1"/>
  <c r="T92" i="1"/>
  <c r="BT91" i="1"/>
  <c r="T91" i="1"/>
  <c r="T90" i="1"/>
  <c r="BT89" i="1"/>
  <c r="T89" i="1"/>
  <c r="T88" i="1"/>
  <c r="Q88" i="1"/>
  <c r="BT87" i="1"/>
  <c r="T87" i="1"/>
  <c r="T86" i="1"/>
  <c r="Q86" i="1"/>
  <c r="T85" i="1"/>
  <c r="L85" i="1"/>
  <c r="T84" i="1"/>
  <c r="T83" i="1"/>
  <c r="Q83" i="1"/>
  <c r="T82" i="1"/>
  <c r="Q82" i="1"/>
  <c r="BT81" i="1"/>
  <c r="T81" i="1"/>
  <c r="BT80" i="1"/>
  <c r="T80" i="1"/>
  <c r="T79" i="1"/>
  <c r="T78" i="1"/>
  <c r="M78" i="1"/>
  <c r="T77" i="1"/>
  <c r="BT76" i="1"/>
  <c r="T76" i="1"/>
  <c r="BT75" i="1"/>
  <c r="T75" i="1"/>
  <c r="T74" i="1"/>
  <c r="T73" i="1"/>
  <c r="Q73" i="1"/>
  <c r="L73" i="1"/>
  <c r="T72" i="1"/>
  <c r="T71" i="1"/>
  <c r="T70" i="1"/>
  <c r="T69" i="1"/>
  <c r="T68" i="1"/>
  <c r="M68" i="1"/>
  <c r="T67" i="1"/>
  <c r="Q67" i="1"/>
  <c r="T66" i="1"/>
  <c r="T65" i="1"/>
  <c r="T64" i="1"/>
  <c r="T63" i="1"/>
  <c r="M63" i="1"/>
  <c r="T62" i="1"/>
  <c r="Q62" i="1"/>
  <c r="T61" i="1"/>
  <c r="T60" i="1"/>
  <c r="L60" i="1"/>
  <c r="T59" i="1"/>
  <c r="T58" i="1"/>
  <c r="BT57" i="1"/>
  <c r="T57" i="1"/>
  <c r="T56" i="1"/>
  <c r="T55" i="1"/>
  <c r="T54" i="1"/>
  <c r="Q54" i="1"/>
  <c r="T53" i="1"/>
  <c r="Q53" i="1"/>
  <c r="T52" i="1"/>
  <c r="T51" i="1"/>
  <c r="Q51" i="1"/>
  <c r="T50" i="1"/>
  <c r="T49" i="1"/>
  <c r="Q49" i="1"/>
  <c r="T48" i="1"/>
  <c r="T47" i="1"/>
  <c r="T46" i="1"/>
  <c r="T45" i="1"/>
  <c r="T44" i="1"/>
  <c r="T43" i="1"/>
  <c r="Q43" i="1"/>
  <c r="T42" i="1"/>
  <c r="T41" i="1"/>
  <c r="T40" i="1"/>
  <c r="T39" i="1"/>
  <c r="Q39" i="1"/>
  <c r="T38" i="1"/>
  <c r="T37" i="1"/>
  <c r="T36" i="1"/>
  <c r="T35" i="1"/>
  <c r="Q35" i="1"/>
  <c r="T34" i="1"/>
  <c r="T33" i="1"/>
  <c r="Q33" i="1"/>
  <c r="T32" i="1"/>
  <c r="T31" i="1"/>
  <c r="T30" i="1"/>
  <c r="T29" i="1"/>
  <c r="Q29" i="1"/>
  <c r="T28" i="1"/>
  <c r="T27" i="1"/>
  <c r="T26" i="1"/>
  <c r="T25" i="1"/>
  <c r="T24" i="1"/>
  <c r="L24" i="1"/>
  <c r="T23" i="1"/>
  <c r="Q23" i="1"/>
  <c r="BT22" i="1"/>
  <c r="T22" i="1"/>
  <c r="T21" i="1"/>
  <c r="T20" i="1"/>
  <c r="BT19" i="1"/>
  <c r="T19" i="1"/>
  <c r="R19" i="1"/>
  <c r="Q19" i="1" s="1"/>
  <c r="T18" i="1"/>
  <c r="R18" i="1"/>
  <c r="M18" i="1"/>
  <c r="T17" i="1"/>
  <c r="R17" i="1"/>
  <c r="M17" i="1"/>
  <c r="BT16" i="1"/>
  <c r="T16" i="1"/>
  <c r="R16" i="1"/>
  <c r="Q16" i="1" s="1"/>
  <c r="T15" i="1"/>
  <c r="R15" i="1"/>
  <c r="BT14" i="1"/>
  <c r="T14" i="1"/>
  <c r="R14" i="1"/>
  <c r="Q14" i="1" s="1"/>
  <c r="T13" i="1"/>
  <c r="R13" i="1"/>
  <c r="L13" i="1"/>
  <c r="T12" i="1"/>
  <c r="N263" i="1"/>
  <c r="K263" i="1"/>
  <c r="J263" i="1"/>
  <c r="AD238" i="1"/>
  <c r="AQ238" i="1" s="1"/>
  <c r="AS238" i="1"/>
  <c r="J238" i="1"/>
  <c r="DG237" i="3"/>
  <c r="CY237" i="3"/>
  <c r="AS236" i="1"/>
  <c r="AZ236" i="3"/>
  <c r="AY236" i="3"/>
  <c r="M236" i="3"/>
  <c r="B236" i="3"/>
  <c r="A236" i="3"/>
  <c r="AX236" i="3" s="1"/>
  <c r="CO235" i="3"/>
  <c r="CQ235" i="3" s="1"/>
  <c r="BL235" i="3"/>
  <c r="BK235" i="3"/>
  <c r="BJ235" i="3"/>
  <c r="BI235" i="3"/>
  <c r="AV235" i="1"/>
  <c r="AU235" i="1"/>
  <c r="AT235" i="1"/>
  <c r="AZ235" i="3"/>
  <c r="AY235" i="3"/>
  <c r="M235" i="3"/>
  <c r="B235" i="3"/>
  <c r="A235" i="3"/>
  <c r="G235" i="3" s="1"/>
  <c r="BL234" i="3"/>
  <c r="BK234" i="3"/>
  <c r="BJ234" i="3"/>
  <c r="BI234" i="3"/>
  <c r="AS234" i="1"/>
  <c r="AZ234" i="3"/>
  <c r="AY234" i="3"/>
  <c r="M234" i="3"/>
  <c r="B234" i="3"/>
  <c r="A234" i="3"/>
  <c r="CR233" i="3"/>
  <c r="CP233" i="3"/>
  <c r="BL233" i="3"/>
  <c r="BJ233" i="3"/>
  <c r="BI233" i="3"/>
  <c r="AS233" i="1"/>
  <c r="AZ233" i="3"/>
  <c r="AY233" i="3"/>
  <c r="M233" i="3"/>
  <c r="B233" i="3"/>
  <c r="A233" i="3"/>
  <c r="AW233" i="3" s="1"/>
  <c r="CR232" i="3"/>
  <c r="CP232" i="3"/>
  <c r="BL232" i="3"/>
  <c r="BJ232" i="3"/>
  <c r="BI232" i="3"/>
  <c r="AZ232" i="3"/>
  <c r="AY232" i="3"/>
  <c r="M232" i="3"/>
  <c r="AE232" i="3" s="1"/>
  <c r="B232" i="3"/>
  <c r="A232" i="3"/>
  <c r="AX232" i="3" s="1"/>
  <c r="CR231" i="3"/>
  <c r="CP231" i="3"/>
  <c r="BL231" i="3"/>
  <c r="BJ231" i="3"/>
  <c r="BI231" i="3"/>
  <c r="AZ231" i="3"/>
  <c r="AY231" i="3"/>
  <c r="M231" i="3"/>
  <c r="B231" i="3"/>
  <c r="A231" i="3"/>
  <c r="CR230" i="3"/>
  <c r="CP230" i="3"/>
  <c r="BL230" i="3"/>
  <c r="BJ230" i="3"/>
  <c r="BI230" i="3"/>
  <c r="AZ230" i="3"/>
  <c r="AY230" i="3"/>
  <c r="M230" i="3"/>
  <c r="AR230" i="3" s="1"/>
  <c r="B230" i="3"/>
  <c r="A230" i="3"/>
  <c r="AX230" i="3" s="1"/>
  <c r="EY229" i="3"/>
  <c r="EU229" i="3"/>
  <c r="ET229" i="3"/>
  <c r="BU229" i="3"/>
  <c r="BT229" i="3"/>
  <c r="BS229" i="3"/>
  <c r="AD229" i="1" s="1"/>
  <c r="BR229" i="3"/>
  <c r="BQ229" i="3"/>
  <c r="BP229" i="3"/>
  <c r="BO229" i="3"/>
  <c r="BN229" i="3"/>
  <c r="BM229" i="3"/>
  <c r="BL229" i="3"/>
  <c r="BK229" i="3"/>
  <c r="BJ229" i="3"/>
  <c r="BI229" i="3"/>
  <c r="AV229" i="1"/>
  <c r="AT229" i="1"/>
  <c r="AS229" i="1"/>
  <c r="AZ229" i="3"/>
  <c r="AY229" i="3"/>
  <c r="AX229" i="3"/>
  <c r="M229" i="3"/>
  <c r="DT229" i="3" s="1"/>
  <c r="A229" i="3"/>
  <c r="G229" i="3" s="1"/>
  <c r="CP228" i="3"/>
  <c r="BL228" i="3"/>
  <c r="BK228" i="3"/>
  <c r="BJ228" i="3"/>
  <c r="BI228" i="3"/>
  <c r="AV228" i="1"/>
  <c r="AZ228" i="3"/>
  <c r="AY228" i="3"/>
  <c r="M228" i="3"/>
  <c r="F228" i="1" s="1"/>
  <c r="B228" i="3"/>
  <c r="A228" i="3"/>
  <c r="AW228" i="3" s="1"/>
  <c r="CR227" i="3"/>
  <c r="CP227" i="3"/>
  <c r="BL227" i="3"/>
  <c r="BJ227" i="3"/>
  <c r="BI227" i="3"/>
  <c r="AS227" i="1"/>
  <c r="AZ227" i="3"/>
  <c r="AY227" i="3"/>
  <c r="M227" i="3"/>
  <c r="R227" i="3" s="1"/>
  <c r="B227" i="3"/>
  <c r="A227" i="3"/>
  <c r="AX227" i="3" s="1"/>
  <c r="EY226" i="3"/>
  <c r="ET226" i="3"/>
  <c r="CR226" i="3"/>
  <c r="CP226" i="3"/>
  <c r="BL226" i="3"/>
  <c r="BJ226" i="3"/>
  <c r="BI226" i="3"/>
  <c r="BA226" i="3"/>
  <c r="AZ226" i="3"/>
  <c r="AY226" i="3"/>
  <c r="M226" i="3"/>
  <c r="B226" i="3"/>
  <c r="A226" i="3"/>
  <c r="BL225" i="3"/>
  <c r="BK225" i="3"/>
  <c r="BJ225" i="3"/>
  <c r="BI225" i="3"/>
  <c r="AV225" i="1"/>
  <c r="AU225" i="1"/>
  <c r="AT225" i="1"/>
  <c r="AS225" i="1"/>
  <c r="AZ225" i="3"/>
  <c r="AY225" i="3"/>
  <c r="M225" i="3"/>
  <c r="F225" i="1" s="1"/>
  <c r="B225" i="3"/>
  <c r="A225" i="3"/>
  <c r="AW225" i="3" s="1"/>
  <c r="EY224" i="3"/>
  <c r="EU224" i="3"/>
  <c r="ET224" i="3"/>
  <c r="CR224" i="3"/>
  <c r="CP224" i="3"/>
  <c r="BL224" i="3"/>
  <c r="BJ224" i="3"/>
  <c r="BI224" i="3"/>
  <c r="AS224" i="1"/>
  <c r="AZ224" i="3"/>
  <c r="AY224" i="3"/>
  <c r="M224" i="3"/>
  <c r="B224" i="3"/>
  <c r="A224" i="3"/>
  <c r="G224" i="3" s="1"/>
  <c r="EY223" i="3"/>
  <c r="EU223" i="3"/>
  <c r="ET223" i="3"/>
  <c r="DR223" i="3"/>
  <c r="DQ223" i="3"/>
  <c r="DF223" i="3"/>
  <c r="DE223" i="3"/>
  <c r="DD223" i="3"/>
  <c r="DC223" i="3"/>
  <c r="DB223" i="3"/>
  <c r="DA223" i="3"/>
  <c r="BU223" i="3"/>
  <c r="BT223" i="3"/>
  <c r="BS223" i="3"/>
  <c r="AD223" i="1" s="1"/>
  <c r="BR223" i="3"/>
  <c r="BQ223" i="3"/>
  <c r="BP223" i="3"/>
  <c r="BO223" i="3"/>
  <c r="BN223" i="3"/>
  <c r="BM223" i="3"/>
  <c r="BJ223" i="3"/>
  <c r="BL223" i="3" s="1"/>
  <c r="BI223" i="3"/>
  <c r="BK223" i="3" s="1"/>
  <c r="BD223" i="3"/>
  <c r="BC223" i="3"/>
  <c r="BB223" i="3"/>
  <c r="BA223" i="3"/>
  <c r="AZ223" i="3"/>
  <c r="AY223" i="3"/>
  <c r="AV223" i="3"/>
  <c r="AU223" i="3"/>
  <c r="M223" i="3"/>
  <c r="F223" i="1" s="1"/>
  <c r="A223" i="3"/>
  <c r="AW223" i="3" s="1"/>
  <c r="BU222" i="3"/>
  <c r="BT222" i="3"/>
  <c r="BS222" i="3"/>
  <c r="AD222" i="1" s="1"/>
  <c r="BR222" i="3"/>
  <c r="BQ222" i="3"/>
  <c r="BP222" i="3"/>
  <c r="BO222" i="3"/>
  <c r="BN222" i="3"/>
  <c r="BM222" i="3"/>
  <c r="BL222" i="3"/>
  <c r="BK222" i="3"/>
  <c r="BJ222" i="3"/>
  <c r="BI222" i="3"/>
  <c r="AV222" i="1"/>
  <c r="AU222" i="1"/>
  <c r="M222" i="3"/>
  <c r="F222" i="1" s="1"/>
  <c r="A222" i="3"/>
  <c r="EY221" i="3"/>
  <c r="EU221" i="3"/>
  <c r="ET221" i="3"/>
  <c r="BU221" i="3"/>
  <c r="BT221" i="3"/>
  <c r="BS221" i="3"/>
  <c r="AD221" i="1" s="1"/>
  <c r="BR221" i="3"/>
  <c r="BQ221" i="3"/>
  <c r="BP221" i="3"/>
  <c r="BO221" i="3"/>
  <c r="BN221" i="3"/>
  <c r="BM221" i="3"/>
  <c r="BL221" i="3"/>
  <c r="BK221" i="3"/>
  <c r="BJ221" i="3"/>
  <c r="BI221" i="3"/>
  <c r="AU221" i="1"/>
  <c r="AT221" i="1"/>
  <c r="AS221" i="1"/>
  <c r="AZ221" i="3"/>
  <c r="AY221" i="3"/>
  <c r="M221" i="3"/>
  <c r="F221" i="1" s="1"/>
  <c r="A221" i="3"/>
  <c r="G221" i="3" s="1"/>
  <c r="EY220" i="3"/>
  <c r="EU220" i="3"/>
  <c r="ET220" i="3"/>
  <c r="DR220" i="3"/>
  <c r="DQ220" i="3"/>
  <c r="DF220" i="3"/>
  <c r="DE220" i="3"/>
  <c r="DD220" i="3"/>
  <c r="DC220" i="3"/>
  <c r="BU220" i="3"/>
  <c r="BT220" i="3"/>
  <c r="BJ220" i="3"/>
  <c r="BL220" i="3" s="1"/>
  <c r="BI220" i="3"/>
  <c r="BK220" i="3" s="1"/>
  <c r="AT220" i="1"/>
  <c r="AS220" i="1"/>
  <c r="AZ220" i="3"/>
  <c r="AY220" i="3"/>
  <c r="AV220" i="3"/>
  <c r="AU220" i="3"/>
  <c r="M220" i="3"/>
  <c r="A220" i="3"/>
  <c r="CP219" i="3"/>
  <c r="BL219" i="3"/>
  <c r="BK219" i="3"/>
  <c r="BJ219" i="3"/>
  <c r="BI219" i="3"/>
  <c r="AV219" i="1"/>
  <c r="AZ219" i="3"/>
  <c r="AY219" i="3"/>
  <c r="M219" i="3"/>
  <c r="AP219" i="3" s="1"/>
  <c r="ES219" i="3" s="1"/>
  <c r="ET219" i="3" s="1"/>
  <c r="B219" i="3"/>
  <c r="A219" i="3"/>
  <c r="EY218" i="3"/>
  <c r="ET218" i="3"/>
  <c r="CR218" i="3"/>
  <c r="CP218" i="3"/>
  <c r="BL218" i="3"/>
  <c r="BJ218" i="3"/>
  <c r="BI218" i="3"/>
  <c r="AS218" i="1"/>
  <c r="AZ218" i="3"/>
  <c r="AY218" i="3"/>
  <c r="M218" i="3"/>
  <c r="B218" i="3"/>
  <c r="A218" i="3"/>
  <c r="CR217" i="3"/>
  <c r="CP217" i="3"/>
  <c r="BL217" i="3"/>
  <c r="BJ217" i="3"/>
  <c r="BI217" i="3"/>
  <c r="AZ217" i="3"/>
  <c r="AY217" i="3"/>
  <c r="M217" i="3"/>
  <c r="F217" i="1" s="1"/>
  <c r="B217" i="3"/>
  <c r="A217" i="3"/>
  <c r="CR216" i="3"/>
  <c r="CP216" i="3"/>
  <c r="BL216" i="3"/>
  <c r="BJ216" i="3"/>
  <c r="BI216" i="3"/>
  <c r="AZ216" i="3"/>
  <c r="AY216" i="3"/>
  <c r="M216" i="3"/>
  <c r="V216" i="3" s="1"/>
  <c r="B216" i="3"/>
  <c r="A216" i="3"/>
  <c r="AX216" i="3" s="1"/>
  <c r="EW215" i="3"/>
  <c r="O215" i="1" s="1"/>
  <c r="Q215" i="1" s="1"/>
  <c r="DR215" i="3"/>
  <c r="DQ215" i="3"/>
  <c r="DF215" i="3"/>
  <c r="DE215" i="3"/>
  <c r="DD215" i="3"/>
  <c r="DC215" i="3"/>
  <c r="DB215" i="3"/>
  <c r="DA215" i="3"/>
  <c r="BU215" i="3"/>
  <c r="BT215" i="3"/>
  <c r="BS215" i="3"/>
  <c r="AD215" i="1" s="1"/>
  <c r="BR215" i="3"/>
  <c r="BQ215" i="3"/>
  <c r="BP215" i="3"/>
  <c r="BO215" i="3"/>
  <c r="BN215" i="3"/>
  <c r="BM215" i="3"/>
  <c r="BL215" i="3"/>
  <c r="BK215" i="3"/>
  <c r="BJ215" i="3"/>
  <c r="BI215" i="3"/>
  <c r="AV215" i="1"/>
  <c r="AU215" i="1"/>
  <c r="AT215" i="1"/>
  <c r="AS215" i="1"/>
  <c r="BC215" i="3"/>
  <c r="BA215" i="3"/>
  <c r="AZ215" i="3"/>
  <c r="AY215" i="3"/>
  <c r="AV215" i="3"/>
  <c r="AU215" i="3"/>
  <c r="M215" i="3"/>
  <c r="F215" i="1" s="1"/>
  <c r="A215" i="3"/>
  <c r="G215" i="3" s="1"/>
  <c r="BL214" i="3"/>
  <c r="BK214" i="3"/>
  <c r="BJ214" i="3"/>
  <c r="BI214" i="3"/>
  <c r="AV214" i="1"/>
  <c r="AU214" i="1"/>
  <c r="AZ214" i="3"/>
  <c r="AY214" i="3"/>
  <c r="M214" i="3"/>
  <c r="AN214" i="3" s="1"/>
  <c r="B214" i="3"/>
  <c r="A214" i="3"/>
  <c r="AX214" i="3" s="1"/>
  <c r="EY213" i="3"/>
  <c r="ET213" i="3"/>
  <c r="BL213" i="3"/>
  <c r="BK213" i="3"/>
  <c r="BJ213" i="3"/>
  <c r="BI213" i="3"/>
  <c r="AV213" i="1"/>
  <c r="AU213" i="1"/>
  <c r="AS213" i="1"/>
  <c r="AZ213" i="3"/>
  <c r="AY213" i="3"/>
  <c r="M213" i="3"/>
  <c r="B213" i="3"/>
  <c r="A213" i="3"/>
  <c r="EY212" i="3"/>
  <c r="ET212" i="3"/>
  <c r="BJ212" i="3"/>
  <c r="BI212" i="3"/>
  <c r="AV212" i="1"/>
  <c r="AS212" i="1"/>
  <c r="AZ212" i="3"/>
  <c r="AY212" i="3"/>
  <c r="M212" i="3"/>
  <c r="F212" i="1" s="1"/>
  <c r="B212" i="3"/>
  <c r="A212" i="3"/>
  <c r="BJ211" i="3"/>
  <c r="BI211" i="3"/>
  <c r="AZ211" i="3"/>
  <c r="AY211" i="3"/>
  <c r="M211" i="3"/>
  <c r="F211" i="1" s="1"/>
  <c r="B211" i="3"/>
  <c r="A211" i="3"/>
  <c r="G211" i="3" s="1"/>
  <c r="BL210" i="3"/>
  <c r="BK210" i="3"/>
  <c r="BJ210" i="3"/>
  <c r="BI210" i="3"/>
  <c r="AV210" i="1"/>
  <c r="AU210" i="1"/>
  <c r="AT210" i="1"/>
  <c r="AS210" i="1"/>
  <c r="AZ210" i="3"/>
  <c r="AY210" i="3"/>
  <c r="M210" i="3"/>
  <c r="F210" i="1" s="1"/>
  <c r="B210" i="3"/>
  <c r="A210" i="3"/>
  <c r="EY209" i="3"/>
  <c r="ET209" i="3"/>
  <c r="CR209" i="3"/>
  <c r="CP209" i="3"/>
  <c r="BL209" i="3"/>
  <c r="BJ209" i="3"/>
  <c r="BI209" i="3"/>
  <c r="AS209" i="1"/>
  <c r="AZ209" i="3"/>
  <c r="AY209" i="3"/>
  <c r="M209" i="3"/>
  <c r="F209" i="1" s="1"/>
  <c r="B209" i="3"/>
  <c r="A209" i="3"/>
  <c r="EY208" i="3"/>
  <c r="EU208" i="3"/>
  <c r="ET208" i="3"/>
  <c r="BU208" i="3"/>
  <c r="BT208" i="3"/>
  <c r="BR208" i="3"/>
  <c r="BQ208" i="3"/>
  <c r="BO208" i="3"/>
  <c r="BN208" i="3"/>
  <c r="BL208" i="3"/>
  <c r="BK208" i="3"/>
  <c r="BJ208" i="3"/>
  <c r="BI208" i="3"/>
  <c r="AV208" i="1"/>
  <c r="AU208" i="1"/>
  <c r="AT208" i="1"/>
  <c r="AZ208" i="3"/>
  <c r="AY208" i="3"/>
  <c r="AV208" i="3"/>
  <c r="AU208" i="3"/>
  <c r="AT208" i="3"/>
  <c r="M208" i="3"/>
  <c r="F208" i="1" s="1"/>
  <c r="A208" i="3"/>
  <c r="BL207" i="3"/>
  <c r="BK207" i="3"/>
  <c r="BJ207" i="3"/>
  <c r="BI207" i="3"/>
  <c r="AV207" i="1"/>
  <c r="AZ207" i="3"/>
  <c r="AY207" i="3"/>
  <c r="M207" i="3"/>
  <c r="Q207" i="3" s="1"/>
  <c r="B207" i="3"/>
  <c r="A207" i="3"/>
  <c r="BL206" i="3"/>
  <c r="BK206" i="3"/>
  <c r="BJ206" i="3"/>
  <c r="BI206" i="3"/>
  <c r="AV206" i="1"/>
  <c r="AU206" i="1"/>
  <c r="AT206" i="1"/>
  <c r="AS206" i="1"/>
  <c r="AZ206" i="3"/>
  <c r="AY206" i="3"/>
  <c r="M206" i="3"/>
  <c r="F206" i="1" s="1"/>
  <c r="B206" i="3"/>
  <c r="A206" i="3"/>
  <c r="BJ205" i="3"/>
  <c r="BI205" i="3"/>
  <c r="AT205" i="1"/>
  <c r="AS205" i="1"/>
  <c r="AZ205" i="3"/>
  <c r="AY205" i="3"/>
  <c r="M205" i="3"/>
  <c r="F205" i="1" s="1"/>
  <c r="B205" i="3"/>
  <c r="A205" i="3"/>
  <c r="CR204" i="3"/>
  <c r="CP204" i="3"/>
  <c r="BL204" i="3"/>
  <c r="BJ204" i="3"/>
  <c r="BI204" i="3"/>
  <c r="AZ204" i="3"/>
  <c r="AY204" i="3"/>
  <c r="M204" i="3"/>
  <c r="B204" i="3"/>
  <c r="A204" i="3"/>
  <c r="G204" i="3" s="1"/>
  <c r="EY203" i="3"/>
  <c r="EU203" i="3"/>
  <c r="ET203" i="3"/>
  <c r="BS203" i="3"/>
  <c r="AD203" i="1" s="1"/>
  <c r="BP203" i="3"/>
  <c r="BJ203" i="3"/>
  <c r="BI203" i="3"/>
  <c r="AV203" i="1"/>
  <c r="AS203" i="1"/>
  <c r="AZ203" i="3"/>
  <c r="AY203" i="3"/>
  <c r="M203" i="3"/>
  <c r="B203" i="3"/>
  <c r="A203" i="3"/>
  <c r="AX203" i="3" s="1"/>
  <c r="CR202" i="3"/>
  <c r="CP202" i="3"/>
  <c r="BL202" i="3"/>
  <c r="BJ202" i="3"/>
  <c r="BI202" i="3"/>
  <c r="BA202" i="3"/>
  <c r="AZ202" i="3"/>
  <c r="AY202" i="3"/>
  <c r="M202" i="3"/>
  <c r="B202" i="3"/>
  <c r="A202" i="3"/>
  <c r="CR201" i="3"/>
  <c r="CP201" i="3"/>
  <c r="BL201" i="3"/>
  <c r="BJ201" i="3"/>
  <c r="BI201" i="3"/>
  <c r="AZ201" i="3"/>
  <c r="AY201" i="3"/>
  <c r="M201" i="3"/>
  <c r="B201" i="3"/>
  <c r="A201" i="3"/>
  <c r="AX201" i="3" s="1"/>
  <c r="EY200" i="3"/>
  <c r="EU200" i="3"/>
  <c r="ET200" i="3"/>
  <c r="CR200" i="3"/>
  <c r="CP200" i="3"/>
  <c r="BL200" i="3"/>
  <c r="BJ200" i="3"/>
  <c r="BI200" i="3"/>
  <c r="AZ200" i="3"/>
  <c r="AY200" i="3"/>
  <c r="M200" i="3"/>
  <c r="B200" i="3"/>
  <c r="A200" i="3"/>
  <c r="AW200" i="3" s="1"/>
  <c r="CR199" i="3"/>
  <c r="CP199" i="3"/>
  <c r="BL199" i="3"/>
  <c r="BJ199" i="3"/>
  <c r="BI199" i="3"/>
  <c r="AZ199" i="3"/>
  <c r="AY199" i="3"/>
  <c r="M199" i="3"/>
  <c r="F199" i="1" s="1"/>
  <c r="B199" i="3"/>
  <c r="A199" i="3"/>
  <c r="CR198" i="3"/>
  <c r="CP198" i="3"/>
  <c r="BL198" i="3"/>
  <c r="BJ198" i="3"/>
  <c r="BI198" i="3"/>
  <c r="AS198" i="1"/>
  <c r="AZ198" i="3"/>
  <c r="AY198" i="3"/>
  <c r="M198" i="3"/>
  <c r="B198" i="3"/>
  <c r="A198" i="3"/>
  <c r="AW198" i="3" s="1"/>
  <c r="CR197" i="3"/>
  <c r="CP197" i="3"/>
  <c r="BL197" i="3"/>
  <c r="BJ197" i="3"/>
  <c r="BI197" i="3"/>
  <c r="AZ197" i="3"/>
  <c r="AY197" i="3"/>
  <c r="M197" i="3"/>
  <c r="AM197" i="3" s="1"/>
  <c r="B197" i="3"/>
  <c r="A197" i="3"/>
  <c r="EY196" i="3"/>
  <c r="ET196" i="3"/>
  <c r="CP196" i="3"/>
  <c r="BL196" i="3"/>
  <c r="BK196" i="3"/>
  <c r="BJ196" i="3"/>
  <c r="BI196" i="3"/>
  <c r="AV196" i="1"/>
  <c r="AU196" i="1"/>
  <c r="AS196" i="1"/>
  <c r="AZ196" i="3"/>
  <c r="AY196" i="3"/>
  <c r="M196" i="3"/>
  <c r="B196" i="3"/>
  <c r="A196" i="3"/>
  <c r="EY195" i="3"/>
  <c r="ET195" i="3"/>
  <c r="CP195" i="3"/>
  <c r="BL195" i="3"/>
  <c r="BK195" i="3"/>
  <c r="BJ195" i="3"/>
  <c r="BI195" i="3"/>
  <c r="AZ195" i="3"/>
  <c r="AY195" i="3"/>
  <c r="M195" i="3"/>
  <c r="B195" i="3"/>
  <c r="A195" i="3"/>
  <c r="G195" i="3" s="1"/>
  <c r="CR194" i="3"/>
  <c r="CP194" i="3"/>
  <c r="BL194" i="3"/>
  <c r="BJ194" i="3"/>
  <c r="BI194" i="3"/>
  <c r="AS194" i="1"/>
  <c r="AZ194" i="3"/>
  <c r="AY194" i="3"/>
  <c r="M194" i="3"/>
  <c r="U194" i="3" s="1"/>
  <c r="B194" i="3"/>
  <c r="A194" i="3"/>
  <c r="EY193" i="3"/>
  <c r="EU193" i="3"/>
  <c r="ET193" i="3"/>
  <c r="CR193" i="3"/>
  <c r="CP193" i="3"/>
  <c r="BL193" i="3"/>
  <c r="BJ193" i="3"/>
  <c r="BI193" i="3"/>
  <c r="AZ193" i="3"/>
  <c r="AY193" i="3"/>
  <c r="M193" i="3"/>
  <c r="AL193" i="3" s="1"/>
  <c r="B193" i="3"/>
  <c r="A193" i="3"/>
  <c r="AX193" i="3" s="1"/>
  <c r="CR192" i="3"/>
  <c r="CP192" i="3"/>
  <c r="BL192" i="3"/>
  <c r="BJ192" i="3"/>
  <c r="BI192" i="3"/>
  <c r="AZ192" i="3"/>
  <c r="AY192" i="3"/>
  <c r="M192" i="3"/>
  <c r="Q192" i="3" s="1"/>
  <c r="B192" i="3"/>
  <c r="A192" i="3"/>
  <c r="EY191" i="3"/>
  <c r="ET191" i="3"/>
  <c r="DR191" i="3"/>
  <c r="DQ191" i="3"/>
  <c r="DF191" i="3"/>
  <c r="DE191" i="3"/>
  <c r="DD191" i="3"/>
  <c r="DC191" i="3"/>
  <c r="DB191" i="3"/>
  <c r="DA191" i="3"/>
  <c r="BU191" i="3"/>
  <c r="BT191" i="3"/>
  <c r="BS191" i="3"/>
  <c r="AD191" i="1" s="1"/>
  <c r="BR191" i="3"/>
  <c r="BQ191" i="3"/>
  <c r="BP191" i="3"/>
  <c r="BO191" i="3"/>
  <c r="BN191" i="3"/>
  <c r="BM191" i="3"/>
  <c r="BL191" i="3"/>
  <c r="BK191" i="3"/>
  <c r="BJ191" i="3"/>
  <c r="BI191" i="3"/>
  <c r="CP191" i="3"/>
  <c r="AS191" i="1"/>
  <c r="BB191" i="3"/>
  <c r="BD191" i="3" s="1"/>
  <c r="BA191" i="3"/>
  <c r="BC191" i="3" s="1"/>
  <c r="AZ191" i="3"/>
  <c r="AY191" i="3"/>
  <c r="AV191" i="3"/>
  <c r="AU191" i="3"/>
  <c r="AT191" i="3"/>
  <c r="M191" i="3"/>
  <c r="W191" i="3" s="1"/>
  <c r="A191" i="3"/>
  <c r="CR190" i="3"/>
  <c r="CP190" i="3"/>
  <c r="BL190" i="3"/>
  <c r="BJ190" i="3"/>
  <c r="BI190" i="3"/>
  <c r="AZ190" i="3"/>
  <c r="AY190" i="3"/>
  <c r="M190" i="3"/>
  <c r="F190" i="1" s="1"/>
  <c r="B190" i="3"/>
  <c r="A190" i="3"/>
  <c r="EY189" i="3"/>
  <c r="EU189" i="3"/>
  <c r="ET189" i="3"/>
  <c r="BL189" i="3"/>
  <c r="BK189" i="3"/>
  <c r="BJ189" i="3"/>
  <c r="BI189" i="3"/>
  <c r="AV189" i="1"/>
  <c r="AZ189" i="3"/>
  <c r="AY189" i="3"/>
  <c r="M189" i="3"/>
  <c r="B189" i="3"/>
  <c r="A189" i="3"/>
  <c r="CR188" i="3"/>
  <c r="CP188" i="3"/>
  <c r="BL188" i="3"/>
  <c r="BJ188" i="3"/>
  <c r="BI188" i="3"/>
  <c r="AZ188" i="3"/>
  <c r="AY188" i="3"/>
  <c r="M188" i="3"/>
  <c r="B188" i="3"/>
  <c r="A188" i="3"/>
  <c r="AX188" i="3" s="1"/>
  <c r="CR187" i="3"/>
  <c r="CP187" i="3"/>
  <c r="BL187" i="3"/>
  <c r="BJ187" i="3"/>
  <c r="BI187" i="3"/>
  <c r="AZ187" i="3"/>
  <c r="AY187" i="3"/>
  <c r="M187" i="3"/>
  <c r="B187" i="3"/>
  <c r="A187" i="3"/>
  <c r="AX187" i="3" s="1"/>
  <c r="EY186" i="3"/>
  <c r="EU186" i="3"/>
  <c r="ET186" i="3"/>
  <c r="BS186" i="3"/>
  <c r="AD186" i="1" s="1"/>
  <c r="BP186" i="3"/>
  <c r="BJ186" i="3"/>
  <c r="BI186" i="3"/>
  <c r="AZ186" i="3"/>
  <c r="AY186" i="3"/>
  <c r="M186" i="3"/>
  <c r="F186" i="1" s="1"/>
  <c r="A186" i="3"/>
  <c r="AX186" i="3" s="1"/>
  <c r="CR185" i="3"/>
  <c r="CP185" i="3"/>
  <c r="BL185" i="3"/>
  <c r="BJ185" i="3"/>
  <c r="BI185" i="3"/>
  <c r="AZ185" i="3"/>
  <c r="AY185" i="3"/>
  <c r="M185" i="3"/>
  <c r="F185" i="1" s="1"/>
  <c r="B185" i="3"/>
  <c r="A185" i="3"/>
  <c r="AX185" i="3" s="1"/>
  <c r="EY184" i="3"/>
  <c r="EU184" i="3"/>
  <c r="ET184" i="3"/>
  <c r="CP184" i="3"/>
  <c r="BL184" i="3"/>
  <c r="BK184" i="3"/>
  <c r="BJ184" i="3"/>
  <c r="BI184" i="3"/>
  <c r="AZ184" i="3"/>
  <c r="AY184" i="3"/>
  <c r="M184" i="3"/>
  <c r="F184" i="1" s="1"/>
  <c r="B184" i="3"/>
  <c r="A184" i="3"/>
  <c r="EY183" i="3"/>
  <c r="EU183" i="3"/>
  <c r="ET183" i="3"/>
  <c r="BJ183" i="3"/>
  <c r="BI183" i="3"/>
  <c r="AS183" i="1"/>
  <c r="AZ183" i="3"/>
  <c r="AY183" i="3"/>
  <c r="M183" i="3"/>
  <c r="F183" i="1" s="1"/>
  <c r="B183" i="3"/>
  <c r="A183" i="3"/>
  <c r="G183" i="3" s="1"/>
  <c r="BL182" i="3"/>
  <c r="BK182" i="3"/>
  <c r="BJ182" i="3"/>
  <c r="BI182" i="3"/>
  <c r="AZ182" i="3"/>
  <c r="AY182" i="3"/>
  <c r="M182" i="3"/>
  <c r="F182" i="1" s="1"/>
  <c r="B182" i="3"/>
  <c r="A182" i="3"/>
  <c r="EW181" i="3"/>
  <c r="ET181" i="3" s="1"/>
  <c r="DR181" i="3"/>
  <c r="DQ181" i="3"/>
  <c r="DF181" i="3"/>
  <c r="DE181" i="3"/>
  <c r="BU181" i="3"/>
  <c r="BT181" i="3"/>
  <c r="BR181" i="3"/>
  <c r="BQ181" i="3"/>
  <c r="BO181" i="3"/>
  <c r="BN181" i="3"/>
  <c r="BL181" i="3"/>
  <c r="BK181" i="3"/>
  <c r="BJ181" i="3"/>
  <c r="BI181" i="3"/>
  <c r="AU181" i="1"/>
  <c r="AT181" i="1"/>
  <c r="AS181" i="1"/>
  <c r="BC181" i="3"/>
  <c r="BA181" i="3"/>
  <c r="AZ181" i="3"/>
  <c r="AY181" i="3"/>
  <c r="AV181" i="3"/>
  <c r="AU181" i="3"/>
  <c r="AT181" i="3"/>
  <c r="M181" i="3"/>
  <c r="F181" i="1" s="1"/>
  <c r="A181" i="3"/>
  <c r="G181" i="3" s="1"/>
  <c r="CP180" i="3"/>
  <c r="BL180" i="3"/>
  <c r="BK180" i="3"/>
  <c r="BJ180" i="3"/>
  <c r="BI180" i="3"/>
  <c r="AS180" i="1"/>
  <c r="AZ180" i="3"/>
  <c r="AY180" i="3"/>
  <c r="M180" i="3"/>
  <c r="B180" i="3"/>
  <c r="A180" i="3"/>
  <c r="G180" i="3" s="1"/>
  <c r="CP179" i="3"/>
  <c r="BL179" i="3"/>
  <c r="BK179" i="3"/>
  <c r="BJ179" i="3"/>
  <c r="BI179" i="3"/>
  <c r="AV179" i="1"/>
  <c r="AU179" i="1"/>
  <c r="AZ179" i="3"/>
  <c r="AY179" i="3"/>
  <c r="M179" i="3"/>
  <c r="V179" i="3" s="1"/>
  <c r="B179" i="3"/>
  <c r="A179" i="3"/>
  <c r="EY178" i="3"/>
  <c r="ET178" i="3"/>
  <c r="CR178" i="3"/>
  <c r="CP178" i="3"/>
  <c r="BL178" i="3"/>
  <c r="BJ178" i="3"/>
  <c r="BI178" i="3"/>
  <c r="AS178" i="1"/>
  <c r="AZ178" i="3"/>
  <c r="AY178" i="3"/>
  <c r="M178" i="3"/>
  <c r="B178" i="3"/>
  <c r="A178" i="3"/>
  <c r="EY177" i="3"/>
  <c r="EU177" i="3"/>
  <c r="ET177" i="3"/>
  <c r="CR177" i="3"/>
  <c r="CP177" i="3"/>
  <c r="BL177" i="3"/>
  <c r="BJ177" i="3"/>
  <c r="BI177" i="3"/>
  <c r="AZ177" i="3"/>
  <c r="AY177" i="3"/>
  <c r="M177" i="3"/>
  <c r="B177" i="3"/>
  <c r="A177" i="3"/>
  <c r="AX177" i="3" s="1"/>
  <c r="EW176" i="3"/>
  <c r="DQ176" i="3"/>
  <c r="DF176" i="3"/>
  <c r="DE176" i="3"/>
  <c r="DD176" i="3"/>
  <c r="DC176" i="3"/>
  <c r="DB176" i="3"/>
  <c r="DA176" i="3"/>
  <c r="BU176" i="3"/>
  <c r="BT176" i="3"/>
  <c r="BS176" i="3"/>
  <c r="AD176" i="1" s="1"/>
  <c r="BR176" i="3"/>
  <c r="BQ176" i="3"/>
  <c r="BP176" i="3"/>
  <c r="BO176" i="3"/>
  <c r="BN176" i="3"/>
  <c r="BM176" i="3"/>
  <c r="BJ176" i="3"/>
  <c r="BI176" i="3"/>
  <c r="AU176" i="1"/>
  <c r="AT176" i="1"/>
  <c r="AS176" i="1"/>
  <c r="BC176" i="3"/>
  <c r="BA176" i="3"/>
  <c r="AZ176" i="3"/>
  <c r="AY176" i="3"/>
  <c r="AV176" i="3"/>
  <c r="AU176" i="3"/>
  <c r="M176" i="3"/>
  <c r="F176" i="1" s="1"/>
  <c r="A176" i="3"/>
  <c r="CR175" i="3"/>
  <c r="CP175" i="3"/>
  <c r="BL175" i="3"/>
  <c r="BJ175" i="3"/>
  <c r="BI175" i="3"/>
  <c r="AZ175" i="3"/>
  <c r="AY175" i="3"/>
  <c r="M175" i="3"/>
  <c r="F175" i="1" s="1"/>
  <c r="B175" i="3"/>
  <c r="A175" i="3"/>
  <c r="CR174" i="3"/>
  <c r="CP174" i="3"/>
  <c r="BL174" i="3"/>
  <c r="BJ174" i="3"/>
  <c r="BI174" i="3"/>
  <c r="AS174" i="1"/>
  <c r="AZ174" i="3"/>
  <c r="AY174" i="3"/>
  <c r="M174" i="3"/>
  <c r="B174" i="3"/>
  <c r="A174" i="3"/>
  <c r="CR173" i="3"/>
  <c r="CP173" i="3"/>
  <c r="BL173" i="3"/>
  <c r="BJ173" i="3"/>
  <c r="BI173" i="3"/>
  <c r="AS173" i="1"/>
  <c r="AZ173" i="3"/>
  <c r="AY173" i="3"/>
  <c r="M173" i="3"/>
  <c r="B173" i="3"/>
  <c r="A173" i="3"/>
  <c r="AX173" i="3" s="1"/>
  <c r="CR172" i="3"/>
  <c r="CP172" i="3"/>
  <c r="BL172" i="3"/>
  <c r="BJ172" i="3"/>
  <c r="BI172" i="3"/>
  <c r="AS172" i="1"/>
  <c r="AZ172" i="3"/>
  <c r="AY172" i="3"/>
  <c r="M172" i="3"/>
  <c r="B172" i="3"/>
  <c r="A172" i="3"/>
  <c r="AX172" i="3" s="1"/>
  <c r="CR171" i="3"/>
  <c r="CP171" i="3"/>
  <c r="BL171" i="3"/>
  <c r="BJ171" i="3"/>
  <c r="BI171" i="3"/>
  <c r="AS171" i="1"/>
  <c r="AZ171" i="3"/>
  <c r="AY171" i="3"/>
  <c r="M171" i="3"/>
  <c r="F171" i="1" s="1"/>
  <c r="B171" i="3"/>
  <c r="A171" i="3"/>
  <c r="G171" i="3" s="1"/>
  <c r="CR170" i="3"/>
  <c r="CP170" i="3"/>
  <c r="BL170" i="3"/>
  <c r="BJ170" i="3"/>
  <c r="BI170" i="3"/>
  <c r="AZ170" i="3"/>
  <c r="AY170" i="3"/>
  <c r="M170" i="3"/>
  <c r="B170" i="3"/>
  <c r="A170" i="3"/>
  <c r="CR169" i="3"/>
  <c r="CP169" i="3"/>
  <c r="BL169" i="3"/>
  <c r="BJ169" i="3"/>
  <c r="BI169" i="3"/>
  <c r="AS169" i="1"/>
  <c r="AZ169" i="3"/>
  <c r="AY169" i="3"/>
  <c r="M169" i="3"/>
  <c r="B169" i="3"/>
  <c r="A169" i="3"/>
  <c r="DR168" i="3"/>
  <c r="DQ168" i="3"/>
  <c r="DF168" i="3"/>
  <c r="DE168" i="3"/>
  <c r="CP168" i="3"/>
  <c r="BU168" i="3"/>
  <c r="BT168" i="3"/>
  <c r="BR168" i="3"/>
  <c r="BQ168" i="3"/>
  <c r="BO168" i="3"/>
  <c r="BN168" i="3"/>
  <c r="BL168" i="3"/>
  <c r="BK168" i="3"/>
  <c r="BJ168" i="3"/>
  <c r="BI168" i="3"/>
  <c r="BC168" i="3"/>
  <c r="BA168" i="3"/>
  <c r="AZ168" i="3"/>
  <c r="AY168" i="3"/>
  <c r="AV168" i="3"/>
  <c r="AU168" i="3"/>
  <c r="AT168" i="3"/>
  <c r="M168" i="3"/>
  <c r="F168" i="1" s="1"/>
  <c r="A168" i="3"/>
  <c r="G168" i="3" s="1"/>
  <c r="EY167" i="3"/>
  <c r="ET167" i="3"/>
  <c r="BL167" i="3"/>
  <c r="BK167" i="3"/>
  <c r="BJ167" i="3"/>
  <c r="BI167" i="3"/>
  <c r="AV167" i="1"/>
  <c r="AU167" i="1"/>
  <c r="AT167" i="1"/>
  <c r="AS167" i="1"/>
  <c r="AZ167" i="3"/>
  <c r="AY167" i="3"/>
  <c r="M167" i="3"/>
  <c r="B167" i="3"/>
  <c r="A167" i="3"/>
  <c r="BL166" i="3"/>
  <c r="BK166" i="3"/>
  <c r="BJ166" i="3"/>
  <c r="BI166" i="3"/>
  <c r="AT166" i="1"/>
  <c r="AS166" i="1"/>
  <c r="AZ166" i="3"/>
  <c r="AY166" i="3"/>
  <c r="AX166" i="3"/>
  <c r="M166" i="3"/>
  <c r="F166" i="1" s="1"/>
  <c r="B166" i="3"/>
  <c r="A166" i="3"/>
  <c r="EY165" i="3"/>
  <c r="ET165" i="3"/>
  <c r="CR165" i="3"/>
  <c r="CP165" i="3"/>
  <c r="BL165" i="3"/>
  <c r="BJ165" i="3"/>
  <c r="BI165" i="3"/>
  <c r="AZ165" i="3"/>
  <c r="AY165" i="3"/>
  <c r="M165" i="3"/>
  <c r="F165" i="1" s="1"/>
  <c r="B165" i="3"/>
  <c r="A165" i="3"/>
  <c r="G165" i="3" s="1"/>
  <c r="EY164" i="3"/>
  <c r="EU164" i="3"/>
  <c r="ET164" i="3"/>
  <c r="CR164" i="3"/>
  <c r="CP164" i="3"/>
  <c r="BL164" i="3"/>
  <c r="BJ164" i="3"/>
  <c r="BI164" i="3"/>
  <c r="AS164" i="1"/>
  <c r="AZ164" i="3"/>
  <c r="AY164" i="3"/>
  <c r="M164" i="3"/>
  <c r="AF164" i="3" s="1"/>
  <c r="B164" i="3"/>
  <c r="A164" i="3"/>
  <c r="AX164" i="3" s="1"/>
  <c r="EY163" i="3"/>
  <c r="ET163" i="3"/>
  <c r="CR163" i="3"/>
  <c r="CP163" i="3"/>
  <c r="BL163" i="3"/>
  <c r="BJ163" i="3"/>
  <c r="BI163" i="3"/>
  <c r="AZ163" i="3"/>
  <c r="AY163" i="3"/>
  <c r="M163" i="3"/>
  <c r="B163" i="3"/>
  <c r="A163" i="3"/>
  <c r="EY162" i="3"/>
  <c r="ET162" i="3"/>
  <c r="CP162" i="3"/>
  <c r="BL162" i="3"/>
  <c r="BK162" i="3"/>
  <c r="BJ162" i="3"/>
  <c r="BI162" i="3"/>
  <c r="AV162" i="1"/>
  <c r="AU162" i="1"/>
  <c r="AS162" i="1"/>
  <c r="AZ162" i="3"/>
  <c r="AY162" i="3"/>
  <c r="AX162" i="3"/>
  <c r="M162" i="3"/>
  <c r="AA162" i="3" s="1"/>
  <c r="B162" i="3"/>
  <c r="A162" i="3"/>
  <c r="AW162" i="3" s="1"/>
  <c r="CP161" i="3"/>
  <c r="BL161" i="3"/>
  <c r="BK161" i="3"/>
  <c r="BJ161" i="3"/>
  <c r="BI161" i="3"/>
  <c r="AV161" i="1"/>
  <c r="AU161" i="1"/>
  <c r="AS161" i="1"/>
  <c r="AZ161" i="3"/>
  <c r="AY161" i="3"/>
  <c r="M161" i="3"/>
  <c r="F161" i="1" s="1"/>
  <c r="B161" i="3"/>
  <c r="A161" i="3"/>
  <c r="EY160" i="3"/>
  <c r="EU160" i="3"/>
  <c r="ET160" i="3"/>
  <c r="BS160" i="3"/>
  <c r="AD160" i="1" s="1"/>
  <c r="BP160" i="3"/>
  <c r="BM160" i="3"/>
  <c r="BJ160" i="3"/>
  <c r="BI160" i="3"/>
  <c r="AV160" i="1"/>
  <c r="AU160" i="1"/>
  <c r="AT160" i="1"/>
  <c r="AS160" i="1"/>
  <c r="AZ160" i="3"/>
  <c r="AY160" i="3"/>
  <c r="M160" i="3"/>
  <c r="B160" i="3"/>
  <c r="A160" i="3"/>
  <c r="CR159" i="3"/>
  <c r="CP159" i="3"/>
  <c r="BL159" i="3"/>
  <c r="BJ159" i="3"/>
  <c r="BI159" i="3"/>
  <c r="AS159" i="1"/>
  <c r="AZ159" i="3"/>
  <c r="AY159" i="3"/>
  <c r="M159" i="3"/>
  <c r="AH159" i="3" s="1"/>
  <c r="B159" i="3"/>
  <c r="A159" i="3"/>
  <c r="EY158" i="3"/>
  <c r="ET158" i="3"/>
  <c r="CR158" i="3"/>
  <c r="CP158" i="3"/>
  <c r="BL158" i="3"/>
  <c r="BJ158" i="3"/>
  <c r="BI158" i="3"/>
  <c r="AS158" i="1"/>
  <c r="AZ158" i="3"/>
  <c r="AY158" i="3"/>
  <c r="M158" i="3"/>
  <c r="B158" i="3"/>
  <c r="A158" i="3"/>
  <c r="EY157" i="3"/>
  <c r="EU157" i="3"/>
  <c r="ET157" i="3"/>
  <c r="BL157" i="3"/>
  <c r="BK157" i="3"/>
  <c r="BJ157" i="3"/>
  <c r="BI157" i="3"/>
  <c r="AV157" i="1"/>
  <c r="AU157" i="1"/>
  <c r="AT157" i="1"/>
  <c r="AZ157" i="3"/>
  <c r="AY157" i="3"/>
  <c r="M157" i="3"/>
  <c r="B157" i="3"/>
  <c r="A157" i="3"/>
  <c r="BL156" i="3"/>
  <c r="BK156" i="3"/>
  <c r="BJ156" i="3"/>
  <c r="BI156" i="3"/>
  <c r="AV156" i="1"/>
  <c r="AU156" i="1"/>
  <c r="AZ156" i="3"/>
  <c r="AY156" i="3"/>
  <c r="M156" i="3"/>
  <c r="AI156" i="3" s="1"/>
  <c r="B156" i="3"/>
  <c r="A156" i="3"/>
  <c r="EY155" i="3"/>
  <c r="ET155" i="3"/>
  <c r="CR155" i="3"/>
  <c r="CP155" i="3"/>
  <c r="BL155" i="3"/>
  <c r="BJ155" i="3"/>
  <c r="BI155" i="3"/>
  <c r="AZ155" i="3"/>
  <c r="AY155" i="3"/>
  <c r="M155" i="3"/>
  <c r="R155" i="3" s="1"/>
  <c r="B155" i="3"/>
  <c r="A155" i="3"/>
  <c r="AX155" i="3" s="1"/>
  <c r="EY154" i="3"/>
  <c r="EU154" i="3"/>
  <c r="ET154" i="3"/>
  <c r="BS154" i="3"/>
  <c r="AD154" i="1" s="1"/>
  <c r="BP154" i="3"/>
  <c r="BL154" i="3"/>
  <c r="BK154" i="3"/>
  <c r="BJ154" i="3"/>
  <c r="BI154" i="3"/>
  <c r="AV154" i="1"/>
  <c r="AU154" i="1"/>
  <c r="AT154" i="1"/>
  <c r="AS154" i="1"/>
  <c r="AZ154" i="3"/>
  <c r="AY154" i="3"/>
  <c r="M154" i="3"/>
  <c r="F154" i="1" s="1"/>
  <c r="B154" i="3"/>
  <c r="A154" i="3"/>
  <c r="AW154" i="3" s="1"/>
  <c r="CR153" i="3"/>
  <c r="CP153" i="3"/>
  <c r="BL153" i="3"/>
  <c r="BJ153" i="3"/>
  <c r="BI153" i="3"/>
  <c r="AZ153" i="3"/>
  <c r="AY153" i="3"/>
  <c r="M153" i="3"/>
  <c r="F153" i="1" s="1"/>
  <c r="B153" i="3"/>
  <c r="A153" i="3"/>
  <c r="CR152" i="3"/>
  <c r="CP152" i="3"/>
  <c r="BL152" i="3"/>
  <c r="BJ152" i="3"/>
  <c r="BI152" i="3"/>
  <c r="AZ152" i="3"/>
  <c r="AY152" i="3"/>
  <c r="M152" i="3"/>
  <c r="B152" i="3"/>
  <c r="A152" i="3"/>
  <c r="G152" i="3" s="1"/>
  <c r="CR151" i="3"/>
  <c r="CP151" i="3"/>
  <c r="BL151" i="3"/>
  <c r="BJ151" i="3"/>
  <c r="BI151" i="3"/>
  <c r="AZ151" i="3"/>
  <c r="AY151" i="3"/>
  <c r="M151" i="3"/>
  <c r="B151" i="3"/>
  <c r="A151" i="3"/>
  <c r="EY150" i="3"/>
  <c r="EU150" i="3"/>
  <c r="ET150" i="3"/>
  <c r="CR150" i="3"/>
  <c r="CP150" i="3"/>
  <c r="BL150" i="3"/>
  <c r="BJ150" i="3"/>
  <c r="BI150" i="3"/>
  <c r="AZ150" i="3"/>
  <c r="AY150" i="3"/>
  <c r="M150" i="3"/>
  <c r="AQ150" i="3" s="1"/>
  <c r="B150" i="3"/>
  <c r="A150" i="3"/>
  <c r="AW150" i="3" s="1"/>
  <c r="EY149" i="3"/>
  <c r="EU149" i="3"/>
  <c r="ET149" i="3"/>
  <c r="CR149" i="3"/>
  <c r="CP149" i="3"/>
  <c r="BL149" i="3"/>
  <c r="BJ149" i="3"/>
  <c r="BI149" i="3"/>
  <c r="AS149" i="1"/>
  <c r="AZ149" i="3"/>
  <c r="AY149" i="3"/>
  <c r="M149" i="3"/>
  <c r="B149" i="3"/>
  <c r="A149" i="3"/>
  <c r="EY148" i="3"/>
  <c r="EU148" i="3"/>
  <c r="ET148" i="3"/>
  <c r="CP148" i="3"/>
  <c r="CO148" i="3"/>
  <c r="BL148" i="3"/>
  <c r="BK148" i="3"/>
  <c r="BJ148" i="3"/>
  <c r="BI148" i="3"/>
  <c r="AV148" i="1"/>
  <c r="BB148" i="3"/>
  <c r="BA148" i="3"/>
  <c r="AZ148" i="3"/>
  <c r="AY148" i="3"/>
  <c r="M148" i="3"/>
  <c r="B148" i="3"/>
  <c r="A148" i="3"/>
  <c r="G148" i="3" s="1"/>
  <c r="CR147" i="3"/>
  <c r="CP147" i="3"/>
  <c r="BL147" i="3"/>
  <c r="BJ147" i="3"/>
  <c r="BI147" i="3"/>
  <c r="CQ147" i="3"/>
  <c r="AZ147" i="3"/>
  <c r="AY147" i="3"/>
  <c r="M147" i="3"/>
  <c r="B147" i="3"/>
  <c r="A147" i="3"/>
  <c r="CR146" i="3"/>
  <c r="CP146" i="3"/>
  <c r="BL146" i="3"/>
  <c r="BJ146" i="3"/>
  <c r="BI146" i="3"/>
  <c r="AZ146" i="3"/>
  <c r="AY146" i="3"/>
  <c r="M146" i="3"/>
  <c r="B146" i="3"/>
  <c r="A146" i="3"/>
  <c r="BU145" i="3"/>
  <c r="BT145" i="3"/>
  <c r="BR145" i="3"/>
  <c r="BQ145" i="3"/>
  <c r="BO145" i="3"/>
  <c r="BN145" i="3"/>
  <c r="BL145" i="3"/>
  <c r="BK145" i="3"/>
  <c r="BJ145" i="3"/>
  <c r="BI145" i="3"/>
  <c r="AU145" i="1"/>
  <c r="AT145" i="1"/>
  <c r="BC145" i="3"/>
  <c r="BA145" i="3"/>
  <c r="AZ145" i="3"/>
  <c r="AY145" i="3"/>
  <c r="AX145" i="3"/>
  <c r="AV145" i="3"/>
  <c r="AU145" i="3"/>
  <c r="AT145" i="3"/>
  <c r="M145" i="3"/>
  <c r="A145" i="3"/>
  <c r="CR144" i="3"/>
  <c r="CP144" i="3"/>
  <c r="BL144" i="3"/>
  <c r="BJ144" i="3"/>
  <c r="BI144" i="3"/>
  <c r="BK144" i="3"/>
  <c r="AZ144" i="3"/>
  <c r="AY144" i="3"/>
  <c r="M144" i="3"/>
  <c r="F144" i="1" s="1"/>
  <c r="B144" i="3"/>
  <c r="A144" i="3"/>
  <c r="BL143" i="3"/>
  <c r="BK143" i="3"/>
  <c r="BJ143" i="3"/>
  <c r="BI143" i="3"/>
  <c r="AV143" i="1"/>
  <c r="AU143" i="1"/>
  <c r="AT143" i="1"/>
  <c r="AS143" i="1"/>
  <c r="AZ143" i="3"/>
  <c r="AY143" i="3"/>
  <c r="AX143" i="3"/>
  <c r="M143" i="3"/>
  <c r="AQ143" i="3" s="1"/>
  <c r="B143" i="3"/>
  <c r="A143" i="3"/>
  <c r="EY142" i="3"/>
  <c r="ET142" i="3"/>
  <c r="BJ142" i="3"/>
  <c r="BI142" i="3"/>
  <c r="AZ142" i="3"/>
  <c r="AY142" i="3"/>
  <c r="M142" i="3"/>
  <c r="B142" i="3"/>
  <c r="A142" i="3"/>
  <c r="G142" i="3" s="1"/>
  <c r="BL141" i="3"/>
  <c r="BK141" i="3"/>
  <c r="BJ141" i="3"/>
  <c r="BI141" i="3"/>
  <c r="AT141" i="1"/>
  <c r="AZ141" i="3"/>
  <c r="AY141" i="3"/>
  <c r="M141" i="3"/>
  <c r="B141" i="3"/>
  <c r="A141" i="3"/>
  <c r="BL140" i="3"/>
  <c r="BK140" i="3"/>
  <c r="BJ140" i="3"/>
  <c r="BI140" i="3"/>
  <c r="AV140" i="1"/>
  <c r="AU140" i="1"/>
  <c r="AT140" i="1"/>
  <c r="AZ140" i="3"/>
  <c r="AY140" i="3"/>
  <c r="M140" i="3"/>
  <c r="B140" i="3"/>
  <c r="A140" i="3"/>
  <c r="AX140" i="3" s="1"/>
  <c r="DR139" i="3"/>
  <c r="DQ139" i="3"/>
  <c r="DF139" i="3"/>
  <c r="DE139" i="3"/>
  <c r="DD139" i="3"/>
  <c r="DC139" i="3"/>
  <c r="DB139" i="3"/>
  <c r="DA139" i="3"/>
  <c r="BU139" i="3"/>
  <c r="BT139" i="3"/>
  <c r="BS139" i="3"/>
  <c r="AD139" i="1" s="1"/>
  <c r="BR139" i="3"/>
  <c r="BQ139" i="3"/>
  <c r="BP139" i="3"/>
  <c r="BO139" i="3"/>
  <c r="BN139" i="3"/>
  <c r="BM139" i="3"/>
  <c r="BL139" i="3"/>
  <c r="BK139" i="3"/>
  <c r="BJ139" i="3"/>
  <c r="BI139" i="3"/>
  <c r="AS139" i="1"/>
  <c r="BC139" i="3"/>
  <c r="BA139" i="3"/>
  <c r="AZ139" i="3"/>
  <c r="AY139" i="3"/>
  <c r="AX139" i="3"/>
  <c r="AV139" i="3"/>
  <c r="AU139" i="3"/>
  <c r="AT139" i="3"/>
  <c r="M139" i="3"/>
  <c r="A139" i="3"/>
  <c r="G139" i="3" s="1"/>
  <c r="EY138" i="3"/>
  <c r="EU138" i="3"/>
  <c r="ET138" i="3"/>
  <c r="CP138" i="3"/>
  <c r="BL138" i="3"/>
  <c r="BK138" i="3"/>
  <c r="BJ138" i="3"/>
  <c r="BI138" i="3"/>
  <c r="AZ138" i="3"/>
  <c r="AY138" i="3"/>
  <c r="M138" i="3"/>
  <c r="F138" i="1" s="1"/>
  <c r="B138" i="3"/>
  <c r="A138" i="3"/>
  <c r="EY137" i="3"/>
  <c r="EU137" i="3"/>
  <c r="ET137" i="3"/>
  <c r="BL137" i="3"/>
  <c r="BK137" i="3"/>
  <c r="BJ137" i="3"/>
  <c r="BI137" i="3"/>
  <c r="AV137" i="1"/>
  <c r="AU137" i="1"/>
  <c r="AT137" i="1"/>
  <c r="AZ137" i="3"/>
  <c r="AY137" i="3"/>
  <c r="M137" i="3"/>
  <c r="X137" i="3" s="1"/>
  <c r="B137" i="3"/>
  <c r="A137" i="3"/>
  <c r="G137" i="3" s="1"/>
  <c r="CR136" i="3"/>
  <c r="CP136" i="3"/>
  <c r="BL136" i="3"/>
  <c r="BJ136" i="3"/>
  <c r="BI136" i="3"/>
  <c r="AS136" i="1"/>
  <c r="AZ136" i="3"/>
  <c r="AY136" i="3"/>
  <c r="M136" i="3"/>
  <c r="F136" i="1" s="1"/>
  <c r="B136" i="3"/>
  <c r="A136" i="3"/>
  <c r="AX136" i="3" s="1"/>
  <c r="EY135" i="3"/>
  <c r="EU135" i="3"/>
  <c r="ET135" i="3"/>
  <c r="BJ135" i="3"/>
  <c r="BI135" i="3"/>
  <c r="AV135" i="1"/>
  <c r="AT135" i="1"/>
  <c r="AS135" i="1"/>
  <c r="AZ135" i="3"/>
  <c r="AY135" i="3"/>
  <c r="M135" i="3"/>
  <c r="AI135" i="3" s="1"/>
  <c r="B135" i="3"/>
  <c r="A135" i="3"/>
  <c r="G135" i="3" s="1"/>
  <c r="CR134" i="3"/>
  <c r="CP134" i="3"/>
  <c r="BL134" i="3"/>
  <c r="BJ134" i="3"/>
  <c r="BI134" i="3"/>
  <c r="AS134" i="1"/>
  <c r="AZ134" i="3"/>
  <c r="AY134" i="3"/>
  <c r="M134" i="3"/>
  <c r="B134" i="3"/>
  <c r="A134" i="3"/>
  <c r="AX134" i="3" s="1"/>
  <c r="CR133" i="3"/>
  <c r="CP133" i="3"/>
  <c r="BL133" i="3"/>
  <c r="BJ133" i="3"/>
  <c r="BI133" i="3"/>
  <c r="AZ133" i="3"/>
  <c r="AY133" i="3"/>
  <c r="M133" i="3"/>
  <c r="B133" i="3"/>
  <c r="A133" i="3"/>
  <c r="EY132" i="3"/>
  <c r="EU132" i="3"/>
  <c r="ET132" i="3"/>
  <c r="BL132" i="3"/>
  <c r="BK132" i="3"/>
  <c r="BJ132" i="3"/>
  <c r="BI132" i="3"/>
  <c r="AZ132" i="3"/>
  <c r="AY132" i="3"/>
  <c r="M132" i="3"/>
  <c r="F132" i="1" s="1"/>
  <c r="B132" i="3"/>
  <c r="A132" i="3"/>
  <c r="G132" i="3" s="1"/>
  <c r="EY131" i="3"/>
  <c r="EU131" i="3"/>
  <c r="ET131" i="3"/>
  <c r="BL131" i="3"/>
  <c r="BK131" i="3"/>
  <c r="BJ131" i="3"/>
  <c r="BI131" i="3"/>
  <c r="AU131" i="1"/>
  <c r="AT131" i="1"/>
  <c r="AS131" i="1"/>
  <c r="AZ131" i="3"/>
  <c r="AY131" i="3"/>
  <c r="M131" i="3"/>
  <c r="B131" i="3"/>
  <c r="A131" i="3"/>
  <c r="AX131" i="3" s="1"/>
  <c r="EY130" i="3"/>
  <c r="EU130" i="3"/>
  <c r="ET130" i="3"/>
  <c r="BJ130" i="3"/>
  <c r="BI130" i="3"/>
  <c r="AZ130" i="3"/>
  <c r="AY130" i="3"/>
  <c r="M130" i="3"/>
  <c r="F130" i="1" s="1"/>
  <c r="B130" i="3"/>
  <c r="A130" i="3"/>
  <c r="CR129" i="3"/>
  <c r="CQ129" i="3"/>
  <c r="CP129" i="3"/>
  <c r="CO129" i="3"/>
  <c r="BI129" i="3"/>
  <c r="BA129" i="3"/>
  <c r="AZ129" i="3"/>
  <c r="AY129" i="3"/>
  <c r="M129" i="3"/>
  <c r="F129" i="1" s="1"/>
  <c r="B129" i="3"/>
  <c r="A129" i="3"/>
  <c r="BL128" i="3"/>
  <c r="BK128" i="3"/>
  <c r="BJ128" i="3"/>
  <c r="BI128" i="3"/>
  <c r="AV128" i="1"/>
  <c r="AU128" i="1"/>
  <c r="AT128" i="1"/>
  <c r="AS128" i="1"/>
  <c r="AZ128" i="3"/>
  <c r="AY128" i="3"/>
  <c r="M128" i="3"/>
  <c r="F128" i="1" s="1"/>
  <c r="B128" i="3"/>
  <c r="A128" i="3"/>
  <c r="BJ127" i="3"/>
  <c r="BI127" i="3"/>
  <c r="AT127" i="1"/>
  <c r="AZ127" i="3"/>
  <c r="AY127" i="3"/>
  <c r="M127" i="3"/>
  <c r="Q127" i="3" s="1"/>
  <c r="B127" i="3"/>
  <c r="A127" i="3"/>
  <c r="AX127" i="3" s="1"/>
  <c r="BJ126" i="3"/>
  <c r="BI126" i="3"/>
  <c r="AT126" i="1"/>
  <c r="AZ126" i="3"/>
  <c r="AY126" i="3"/>
  <c r="M126" i="3"/>
  <c r="B126" i="3"/>
  <c r="A126" i="3"/>
  <c r="BJ125" i="3"/>
  <c r="BI125" i="3"/>
  <c r="AZ125" i="3"/>
  <c r="AY125" i="3"/>
  <c r="M125" i="3"/>
  <c r="B125" i="3"/>
  <c r="A125" i="3"/>
  <c r="BJ124" i="3"/>
  <c r="BI124" i="3"/>
  <c r="AZ124" i="3"/>
  <c r="AY124" i="3"/>
  <c r="M124" i="3"/>
  <c r="F124" i="1" s="1"/>
  <c r="B124" i="3"/>
  <c r="A124" i="3"/>
  <c r="G124" i="3" s="1"/>
  <c r="BJ123" i="3"/>
  <c r="BI123" i="3"/>
  <c r="AZ123" i="3"/>
  <c r="AY123" i="3"/>
  <c r="M123" i="3"/>
  <c r="AS123" i="3" s="1"/>
  <c r="B123" i="3"/>
  <c r="A123" i="3"/>
  <c r="EY122" i="3"/>
  <c r="EU122" i="3"/>
  <c r="ET122" i="3"/>
  <c r="BL122" i="3"/>
  <c r="BK122" i="3"/>
  <c r="BJ122" i="3"/>
  <c r="BI122" i="3"/>
  <c r="AV122" i="1"/>
  <c r="AU122" i="1"/>
  <c r="AZ122" i="3"/>
  <c r="AY122" i="3"/>
  <c r="M122" i="3"/>
  <c r="F122" i="1" s="1"/>
  <c r="B122" i="3"/>
  <c r="A122" i="3"/>
  <c r="G122" i="3" s="1"/>
  <c r="BL121" i="3"/>
  <c r="BK121" i="3"/>
  <c r="BJ121" i="3"/>
  <c r="BI121" i="3"/>
  <c r="AZ121" i="3"/>
  <c r="AY121" i="3"/>
  <c r="M121" i="3"/>
  <c r="B121" i="3"/>
  <c r="A121" i="3"/>
  <c r="G121" i="3" s="1"/>
  <c r="EY120" i="3"/>
  <c r="ET120" i="3"/>
  <c r="BL120" i="3"/>
  <c r="BK120" i="3"/>
  <c r="BJ120" i="3"/>
  <c r="BI120" i="3"/>
  <c r="AU120" i="1"/>
  <c r="AT120" i="1"/>
  <c r="AS120" i="1"/>
  <c r="AZ120" i="3"/>
  <c r="AY120" i="3"/>
  <c r="M120" i="3"/>
  <c r="B120" i="3"/>
  <c r="A120" i="3"/>
  <c r="CR119" i="3"/>
  <c r="CP119" i="3"/>
  <c r="BL119" i="3"/>
  <c r="BJ119" i="3"/>
  <c r="BI119" i="3"/>
  <c r="AZ119" i="3"/>
  <c r="AY119" i="3"/>
  <c r="M119" i="3"/>
  <c r="B119" i="3"/>
  <c r="A119" i="3"/>
  <c r="EY118" i="3"/>
  <c r="EU118" i="3"/>
  <c r="ET118" i="3"/>
  <c r="CR118" i="3"/>
  <c r="CP118" i="3"/>
  <c r="BL118" i="3"/>
  <c r="BJ118" i="3"/>
  <c r="BI118" i="3"/>
  <c r="AZ118" i="3"/>
  <c r="AY118" i="3"/>
  <c r="M118" i="3"/>
  <c r="B118" i="3"/>
  <c r="A118" i="3"/>
  <c r="BL117" i="3"/>
  <c r="BK117" i="3"/>
  <c r="BJ117" i="3"/>
  <c r="BI117" i="3"/>
  <c r="AV117" i="1"/>
  <c r="AU117" i="1"/>
  <c r="AT117" i="1"/>
  <c r="AS117" i="1"/>
  <c r="AZ117" i="3"/>
  <c r="AY117" i="3"/>
  <c r="M117" i="3"/>
  <c r="AO117" i="3" s="1"/>
  <c r="B117" i="3"/>
  <c r="A117" i="3"/>
  <c r="G117" i="3" s="1"/>
  <c r="BJ116" i="3"/>
  <c r="BI116" i="3"/>
  <c r="AV116" i="1"/>
  <c r="AU116" i="1"/>
  <c r="AT116" i="1"/>
  <c r="AZ116" i="3"/>
  <c r="AY116" i="3"/>
  <c r="M116" i="3"/>
  <c r="B116" i="3"/>
  <c r="A116" i="3"/>
  <c r="EY115" i="3"/>
  <c r="EU115" i="3"/>
  <c r="ET115" i="3"/>
  <c r="DR115" i="3"/>
  <c r="DQ115" i="3"/>
  <c r="DF115" i="3"/>
  <c r="DE115" i="3"/>
  <c r="DD115" i="3"/>
  <c r="DC115" i="3"/>
  <c r="DB115" i="3"/>
  <c r="DA115" i="3"/>
  <c r="BU115" i="3"/>
  <c r="BT115" i="3"/>
  <c r="BS115" i="3"/>
  <c r="AD115" i="1" s="1"/>
  <c r="BR115" i="3"/>
  <c r="BQ115" i="3"/>
  <c r="BP115" i="3"/>
  <c r="BO115" i="3"/>
  <c r="BN115" i="3"/>
  <c r="BM115" i="3"/>
  <c r="BL115" i="3"/>
  <c r="BK115" i="3"/>
  <c r="BJ115" i="3"/>
  <c r="BI115" i="3"/>
  <c r="AV115" i="1"/>
  <c r="AU115" i="1"/>
  <c r="AT115" i="1"/>
  <c r="AS115" i="1"/>
  <c r="BC115" i="3"/>
  <c r="BA115" i="3"/>
  <c r="AZ115" i="3"/>
  <c r="AY115" i="3"/>
  <c r="AV115" i="3"/>
  <c r="AU115" i="3"/>
  <c r="M115" i="3"/>
  <c r="A115" i="3"/>
  <c r="G115" i="3" s="1"/>
  <c r="BL114" i="3"/>
  <c r="BK114" i="3"/>
  <c r="BJ114" i="3"/>
  <c r="BI114" i="3"/>
  <c r="AU114" i="1"/>
  <c r="AT114" i="1"/>
  <c r="AZ114" i="3"/>
  <c r="AY114" i="3"/>
  <c r="M114" i="3"/>
  <c r="B114" i="3"/>
  <c r="A114" i="3"/>
  <c r="EY113" i="3"/>
  <c r="ET113" i="3"/>
  <c r="BL113" i="3"/>
  <c r="BK113" i="3"/>
  <c r="BJ113" i="3"/>
  <c r="BI113" i="3"/>
  <c r="AV113" i="1"/>
  <c r="AU113" i="1"/>
  <c r="AT113" i="1"/>
  <c r="AZ113" i="3"/>
  <c r="AY113" i="3"/>
  <c r="M113" i="3"/>
  <c r="B113" i="3"/>
  <c r="A113" i="3"/>
  <c r="EY112" i="3"/>
  <c r="EU112" i="3"/>
  <c r="ET112" i="3"/>
  <c r="DS112" i="3"/>
  <c r="BU112" i="3"/>
  <c r="BT112" i="3"/>
  <c r="BR112" i="3"/>
  <c r="BQ112" i="3"/>
  <c r="BL112" i="3"/>
  <c r="BK112" i="3"/>
  <c r="BJ112" i="3"/>
  <c r="BI112" i="3"/>
  <c r="AV112" i="1"/>
  <c r="AU112" i="1"/>
  <c r="AZ112" i="3"/>
  <c r="AY112" i="3"/>
  <c r="M112" i="3"/>
  <c r="B112" i="3"/>
  <c r="A112" i="3"/>
  <c r="EW111" i="3"/>
  <c r="ET111" i="3" s="1"/>
  <c r="DR111" i="3"/>
  <c r="DQ111" i="3"/>
  <c r="DF111" i="3"/>
  <c r="DE111" i="3"/>
  <c r="BU111" i="3"/>
  <c r="BT111" i="3"/>
  <c r="BS111" i="3"/>
  <c r="AD111" i="1" s="1"/>
  <c r="BR111" i="3"/>
  <c r="BQ111" i="3"/>
  <c r="BP111" i="3"/>
  <c r="BO111" i="3"/>
  <c r="BN111" i="3"/>
  <c r="BM111" i="3"/>
  <c r="BL111" i="3"/>
  <c r="BK111" i="3"/>
  <c r="BJ111" i="3"/>
  <c r="BI111" i="3"/>
  <c r="AT111" i="1"/>
  <c r="AS111" i="1"/>
  <c r="BC111" i="3"/>
  <c r="BA111" i="3"/>
  <c r="AZ111" i="3"/>
  <c r="AY111" i="3"/>
  <c r="AV111" i="3"/>
  <c r="AU111" i="3"/>
  <c r="M111" i="3"/>
  <c r="AL111" i="3" s="1"/>
  <c r="A111" i="3"/>
  <c r="BL110" i="3"/>
  <c r="BK110" i="3"/>
  <c r="BJ110" i="3"/>
  <c r="BI110" i="3"/>
  <c r="AT110" i="1"/>
  <c r="AS110" i="1"/>
  <c r="AZ110" i="3"/>
  <c r="AY110" i="3"/>
  <c r="AX110" i="3"/>
  <c r="M110" i="3"/>
  <c r="F110" i="1" s="1"/>
  <c r="B110" i="3"/>
  <c r="A110" i="3"/>
  <c r="G110" i="3" s="1"/>
  <c r="EW109" i="3"/>
  <c r="O109" i="1" s="1"/>
  <c r="DR109" i="3"/>
  <c r="DQ109" i="3"/>
  <c r="DF109" i="3"/>
  <c r="DE109" i="3"/>
  <c r="DD109" i="3"/>
  <c r="DC109" i="3"/>
  <c r="DB109" i="3"/>
  <c r="DA109" i="3"/>
  <c r="BU109" i="3"/>
  <c r="BT109" i="3"/>
  <c r="BS109" i="3"/>
  <c r="AD109" i="1" s="1"/>
  <c r="BR109" i="3"/>
  <c r="BQ109" i="3"/>
  <c r="BP109" i="3"/>
  <c r="BO109" i="3"/>
  <c r="BN109" i="3"/>
  <c r="BM109" i="3"/>
  <c r="BL109" i="3"/>
  <c r="BK109" i="3"/>
  <c r="BJ109" i="3"/>
  <c r="BI109" i="3"/>
  <c r="BC109" i="3"/>
  <c r="BA109" i="3"/>
  <c r="AZ109" i="3"/>
  <c r="AY109" i="3"/>
  <c r="AV109" i="3"/>
  <c r="AU109" i="3"/>
  <c r="M109" i="3"/>
  <c r="A109" i="3"/>
  <c r="AW109" i="3" s="1"/>
  <c r="EY108" i="3"/>
  <c r="EU108" i="3"/>
  <c r="ET108" i="3"/>
  <c r="BL108" i="3"/>
  <c r="BK108" i="3"/>
  <c r="BJ108" i="3"/>
  <c r="BI108" i="3"/>
  <c r="AZ108" i="3"/>
  <c r="AY108" i="3"/>
  <c r="AX108" i="3"/>
  <c r="M108" i="3"/>
  <c r="F108" i="1" s="1"/>
  <c r="B108" i="3"/>
  <c r="A108" i="3"/>
  <c r="CR107" i="3"/>
  <c r="CP107" i="3"/>
  <c r="BL107" i="3"/>
  <c r="BJ107" i="3"/>
  <c r="BI107" i="3"/>
  <c r="AZ107" i="3"/>
  <c r="AY107" i="3"/>
  <c r="M107" i="3"/>
  <c r="R107" i="3" s="1"/>
  <c r="B107" i="3"/>
  <c r="A107" i="3"/>
  <c r="AX107" i="3" s="1"/>
  <c r="EY106" i="3"/>
  <c r="EU106" i="3"/>
  <c r="ET106" i="3"/>
  <c r="BL106" i="3"/>
  <c r="BK106" i="3"/>
  <c r="BJ106" i="3"/>
  <c r="BI106" i="3"/>
  <c r="AV106" i="1"/>
  <c r="AU106" i="1"/>
  <c r="AT106" i="1"/>
  <c r="AS106" i="1"/>
  <c r="AZ106" i="3"/>
  <c r="AY106" i="3"/>
  <c r="M106" i="3"/>
  <c r="B106" i="3"/>
  <c r="A106" i="3"/>
  <c r="G106" i="3" s="1"/>
  <c r="BJ105" i="3"/>
  <c r="BI105" i="3"/>
  <c r="AT105" i="1"/>
  <c r="AS105" i="1"/>
  <c r="AZ105" i="3"/>
  <c r="AY105" i="3"/>
  <c r="M105" i="3"/>
  <c r="B105" i="3"/>
  <c r="A105" i="3"/>
  <c r="BJ104" i="3"/>
  <c r="BI104" i="3"/>
  <c r="AT104" i="1"/>
  <c r="AZ104" i="3"/>
  <c r="AY104" i="3"/>
  <c r="M104" i="3"/>
  <c r="B104" i="3"/>
  <c r="A104" i="3"/>
  <c r="G104" i="3" s="1"/>
  <c r="BU103" i="3"/>
  <c r="BT103" i="3"/>
  <c r="BS103" i="3"/>
  <c r="AD103" i="1" s="1"/>
  <c r="BR103" i="3"/>
  <c r="BQ103" i="3"/>
  <c r="BP103" i="3"/>
  <c r="BO103" i="3"/>
  <c r="BN103" i="3"/>
  <c r="BM103" i="3"/>
  <c r="BL103" i="3"/>
  <c r="BK103" i="3"/>
  <c r="BJ103" i="3"/>
  <c r="BI103" i="3"/>
  <c r="AV103" i="1"/>
  <c r="AT103" i="1"/>
  <c r="AZ103" i="3"/>
  <c r="AY103" i="3"/>
  <c r="M103" i="3"/>
  <c r="Y103" i="3" s="1"/>
  <c r="A103" i="3"/>
  <c r="AW103" i="3" s="1"/>
  <c r="DR102" i="3"/>
  <c r="DQ102" i="3"/>
  <c r="DF102" i="3"/>
  <c r="DE102" i="3"/>
  <c r="DD102" i="3"/>
  <c r="DC102" i="3"/>
  <c r="DB102" i="3"/>
  <c r="DA102" i="3"/>
  <c r="BU102" i="3"/>
  <c r="BT102" i="3"/>
  <c r="BS102" i="3"/>
  <c r="AD102" i="1" s="1"/>
  <c r="BR102" i="3"/>
  <c r="BQ102" i="3"/>
  <c r="BP102" i="3"/>
  <c r="BO102" i="3"/>
  <c r="BN102" i="3"/>
  <c r="BM102" i="3"/>
  <c r="BL102" i="3"/>
  <c r="BK102" i="3"/>
  <c r="BJ102" i="3"/>
  <c r="BI102" i="3"/>
  <c r="AV102" i="1"/>
  <c r="AU102" i="1"/>
  <c r="AT102" i="1"/>
  <c r="BC102" i="3"/>
  <c r="BA102" i="3"/>
  <c r="AZ102" i="3"/>
  <c r="AY102" i="3"/>
  <c r="AV102" i="3"/>
  <c r="AU102" i="3"/>
  <c r="AT102" i="3"/>
  <c r="M102" i="3"/>
  <c r="F102" i="1" s="1"/>
  <c r="A102" i="3"/>
  <c r="G102" i="3" s="1"/>
  <c r="EW101" i="3"/>
  <c r="O101" i="1" s="1"/>
  <c r="DF101" i="3"/>
  <c r="DE101" i="3"/>
  <c r="DD101" i="3"/>
  <c r="DC101" i="3"/>
  <c r="DB101" i="3"/>
  <c r="DA101" i="3"/>
  <c r="BU101" i="3"/>
  <c r="BT101" i="3"/>
  <c r="BS101" i="3"/>
  <c r="AD101" i="1" s="1"/>
  <c r="BR101" i="3"/>
  <c r="BQ101" i="3"/>
  <c r="BP101" i="3"/>
  <c r="BO101" i="3"/>
  <c r="BN101" i="3"/>
  <c r="BM101" i="3"/>
  <c r="BL101" i="3"/>
  <c r="BK101" i="3"/>
  <c r="BJ101" i="3"/>
  <c r="BI101" i="3"/>
  <c r="BC101" i="3"/>
  <c r="BA101" i="3"/>
  <c r="AZ101" i="3"/>
  <c r="AY101" i="3"/>
  <c r="AV101" i="3"/>
  <c r="AU101" i="3"/>
  <c r="M101" i="3"/>
  <c r="F101" i="1" s="1"/>
  <c r="A101" i="3"/>
  <c r="AX101" i="3" s="1"/>
  <c r="EY100" i="3"/>
  <c r="EU100" i="3"/>
  <c r="ET100" i="3"/>
  <c r="DS100" i="3"/>
  <c r="BL100" i="3"/>
  <c r="BK100" i="3"/>
  <c r="BJ100" i="3"/>
  <c r="BI100" i="3"/>
  <c r="AV100" i="1"/>
  <c r="AZ100" i="3"/>
  <c r="AY100" i="3"/>
  <c r="M100" i="3"/>
  <c r="B100" i="3"/>
  <c r="A100" i="3"/>
  <c r="AX100" i="3" s="1"/>
  <c r="CR99" i="3"/>
  <c r="CP99" i="3"/>
  <c r="BL99" i="3"/>
  <c r="BJ99" i="3"/>
  <c r="BI99" i="3"/>
  <c r="AS99" i="1"/>
  <c r="AZ99" i="3"/>
  <c r="AY99" i="3"/>
  <c r="M99" i="3"/>
  <c r="AR99" i="3" s="1"/>
  <c r="B99" i="3"/>
  <c r="A99" i="3"/>
  <c r="CR98" i="3"/>
  <c r="CP98" i="3"/>
  <c r="BL98" i="3"/>
  <c r="BJ98" i="3"/>
  <c r="BI98" i="3"/>
  <c r="AS98" i="1"/>
  <c r="AZ98" i="3"/>
  <c r="AY98" i="3"/>
  <c r="M98" i="3"/>
  <c r="B98" i="3"/>
  <c r="A98" i="3"/>
  <c r="CP97" i="3"/>
  <c r="BL97" i="3"/>
  <c r="BK97" i="3"/>
  <c r="BJ97" i="3"/>
  <c r="BI97" i="3"/>
  <c r="AV97" i="1"/>
  <c r="AU97" i="1"/>
  <c r="AS97" i="1"/>
  <c r="AZ97" i="3"/>
  <c r="AY97" i="3"/>
  <c r="M97" i="3"/>
  <c r="B97" i="3"/>
  <c r="A97" i="3"/>
  <c r="BL96" i="3"/>
  <c r="BK96" i="3"/>
  <c r="BJ96" i="3"/>
  <c r="BI96" i="3"/>
  <c r="AZ96" i="3"/>
  <c r="AY96" i="3"/>
  <c r="M96" i="3"/>
  <c r="P96" i="3" s="1"/>
  <c r="B96" i="3"/>
  <c r="A96" i="3"/>
  <c r="EY95" i="3"/>
  <c r="ET95" i="3"/>
  <c r="BJ95" i="3"/>
  <c r="BI95" i="3"/>
  <c r="AT95" i="1"/>
  <c r="AS95" i="1"/>
  <c r="AZ95" i="3"/>
  <c r="AY95" i="3"/>
  <c r="M95" i="3"/>
  <c r="AH95" i="3" s="1"/>
  <c r="B95" i="3"/>
  <c r="A95" i="3"/>
  <c r="AW95" i="3" s="1"/>
  <c r="BJ94" i="3"/>
  <c r="BI94" i="3"/>
  <c r="AT94" i="1"/>
  <c r="AZ94" i="3"/>
  <c r="AY94" i="3"/>
  <c r="M94" i="3"/>
  <c r="F94" i="1" s="1"/>
  <c r="B94" i="3"/>
  <c r="A94" i="3"/>
  <c r="AX94" i="3" s="1"/>
  <c r="BL93" i="3"/>
  <c r="BK93" i="3"/>
  <c r="BJ93" i="3"/>
  <c r="BI93" i="3"/>
  <c r="AS93" i="1"/>
  <c r="AZ93" i="3"/>
  <c r="AY93" i="3"/>
  <c r="AX93" i="3"/>
  <c r="AR93" i="3"/>
  <c r="BM93" i="3" s="1"/>
  <c r="M93" i="3"/>
  <c r="AQ93" i="3" s="1"/>
  <c r="B93" i="3"/>
  <c r="A93" i="3"/>
  <c r="BL92" i="3"/>
  <c r="BK92" i="3"/>
  <c r="BJ92" i="3"/>
  <c r="BI92" i="3"/>
  <c r="AV92" i="1"/>
  <c r="AU92" i="1"/>
  <c r="AS92" i="1"/>
  <c r="AZ92" i="3"/>
  <c r="AY92" i="3"/>
  <c r="M92" i="3"/>
  <c r="F92" i="1" s="1"/>
  <c r="B92" i="3"/>
  <c r="A92" i="3"/>
  <c r="G92" i="3" s="1"/>
  <c r="CR91" i="3"/>
  <c r="CP91" i="3"/>
  <c r="BL91" i="3"/>
  <c r="BJ91" i="3"/>
  <c r="BI91" i="3"/>
  <c r="BD91" i="3"/>
  <c r="AZ91" i="3"/>
  <c r="AY91" i="3"/>
  <c r="M91" i="3"/>
  <c r="F91" i="1" s="1"/>
  <c r="B91" i="3"/>
  <c r="A91" i="3"/>
  <c r="BJ90" i="3"/>
  <c r="BI90" i="3"/>
  <c r="AU90" i="1"/>
  <c r="AT90" i="1"/>
  <c r="AS90" i="1"/>
  <c r="AZ90" i="3"/>
  <c r="AY90" i="3"/>
  <c r="M90" i="3"/>
  <c r="B90" i="3"/>
  <c r="A90" i="3"/>
  <c r="AX90" i="3" s="1"/>
  <c r="CR89" i="3"/>
  <c r="CP89" i="3"/>
  <c r="BL89" i="3"/>
  <c r="BJ89" i="3"/>
  <c r="BI89" i="3"/>
  <c r="CO89" i="3"/>
  <c r="AZ89" i="3"/>
  <c r="AY89" i="3"/>
  <c r="M89" i="3"/>
  <c r="B89" i="3"/>
  <c r="A89" i="3"/>
  <c r="AW89" i="3" s="1"/>
  <c r="CR88" i="3"/>
  <c r="CP88" i="3"/>
  <c r="BL88" i="3"/>
  <c r="BJ88" i="3"/>
  <c r="BI88" i="3"/>
  <c r="BA88" i="3"/>
  <c r="AZ88" i="3"/>
  <c r="AY88" i="3"/>
  <c r="M88" i="3"/>
  <c r="AJ88" i="3" s="1"/>
  <c r="B88" i="3"/>
  <c r="A88" i="3"/>
  <c r="AX88" i="3" s="1"/>
  <c r="CR87" i="3"/>
  <c r="CP87" i="3"/>
  <c r="BL87" i="3"/>
  <c r="BJ87" i="3"/>
  <c r="BI87" i="3"/>
  <c r="AZ87" i="3"/>
  <c r="AY87" i="3"/>
  <c r="M87" i="3"/>
  <c r="F87" i="1" s="1"/>
  <c r="B87" i="3"/>
  <c r="A87" i="3"/>
  <c r="BL86" i="3"/>
  <c r="BK86" i="3"/>
  <c r="BJ86" i="3"/>
  <c r="BI86" i="3"/>
  <c r="AV86" i="1"/>
  <c r="AU86" i="1"/>
  <c r="AZ86" i="3"/>
  <c r="AY86" i="3"/>
  <c r="M86" i="3"/>
  <c r="B86" i="3"/>
  <c r="A86" i="3"/>
  <c r="G86" i="3" s="1"/>
  <c r="BJ85" i="3"/>
  <c r="BI85" i="3"/>
  <c r="AZ85" i="3"/>
  <c r="AY85" i="3"/>
  <c r="M85" i="3"/>
  <c r="B85" i="3"/>
  <c r="A85" i="3"/>
  <c r="BL84" i="3"/>
  <c r="BK84" i="3"/>
  <c r="BJ84" i="3"/>
  <c r="BI84" i="3"/>
  <c r="AV84" i="1"/>
  <c r="AU84" i="1"/>
  <c r="AT84" i="1"/>
  <c r="AS84" i="1"/>
  <c r="AZ84" i="3"/>
  <c r="AY84" i="3"/>
  <c r="M84" i="3"/>
  <c r="B84" i="3"/>
  <c r="A84" i="3"/>
  <c r="EY83" i="3"/>
  <c r="ET83" i="3"/>
  <c r="CP83" i="3"/>
  <c r="BL83" i="3"/>
  <c r="BK83" i="3"/>
  <c r="BJ83" i="3"/>
  <c r="BI83" i="3"/>
  <c r="AV83" i="1"/>
  <c r="AZ83" i="3"/>
  <c r="AY83" i="3"/>
  <c r="M83" i="3"/>
  <c r="O83" i="3" s="1"/>
  <c r="B83" i="3"/>
  <c r="A83" i="3"/>
  <c r="CR82" i="3"/>
  <c r="CP82" i="3"/>
  <c r="BL82" i="3"/>
  <c r="BJ82" i="3"/>
  <c r="BI82" i="3"/>
  <c r="AZ82" i="3"/>
  <c r="AY82" i="3"/>
  <c r="M82" i="3"/>
  <c r="F82" i="1" s="1"/>
  <c r="B82" i="3"/>
  <c r="A82" i="3"/>
  <c r="AX82" i="3" s="1"/>
  <c r="CR81" i="3"/>
  <c r="CP81" i="3"/>
  <c r="BL81" i="3"/>
  <c r="BJ81" i="3"/>
  <c r="BI81" i="3"/>
  <c r="AZ81" i="3"/>
  <c r="AY81" i="3"/>
  <c r="M81" i="3"/>
  <c r="B81" i="3"/>
  <c r="A81" i="3"/>
  <c r="AX81" i="3" s="1"/>
  <c r="CR80" i="3"/>
  <c r="CP80" i="3"/>
  <c r="BL80" i="3"/>
  <c r="BJ80" i="3"/>
  <c r="BI80" i="3"/>
  <c r="AZ80" i="3"/>
  <c r="AY80" i="3"/>
  <c r="M80" i="3"/>
  <c r="AG80" i="3" s="1"/>
  <c r="B80" i="3"/>
  <c r="A80" i="3"/>
  <c r="CR79" i="3"/>
  <c r="CP79" i="3"/>
  <c r="BL79" i="3"/>
  <c r="BJ79" i="3"/>
  <c r="BI79" i="3"/>
  <c r="AZ79" i="3"/>
  <c r="AY79" i="3"/>
  <c r="M79" i="3"/>
  <c r="AJ79" i="3" s="1"/>
  <c r="B79" i="3"/>
  <c r="A79" i="3"/>
  <c r="CR78" i="3"/>
  <c r="CP78" i="3"/>
  <c r="BL78" i="3"/>
  <c r="BJ78" i="3"/>
  <c r="BI78" i="3"/>
  <c r="AZ78" i="3"/>
  <c r="AY78" i="3"/>
  <c r="M78" i="3"/>
  <c r="AH78" i="3" s="1"/>
  <c r="B78" i="3"/>
  <c r="A78" i="3"/>
  <c r="EY77" i="3"/>
  <c r="EU77" i="3"/>
  <c r="ET77" i="3"/>
  <c r="CR77" i="3"/>
  <c r="CP77" i="3"/>
  <c r="BL77" i="3"/>
  <c r="BJ77" i="3"/>
  <c r="BI77" i="3"/>
  <c r="AS77" i="1"/>
  <c r="AZ77" i="3"/>
  <c r="AY77" i="3"/>
  <c r="M77" i="3"/>
  <c r="B77" i="3"/>
  <c r="A77" i="3"/>
  <c r="CR76" i="3"/>
  <c r="CP76" i="3"/>
  <c r="BL76" i="3"/>
  <c r="BJ76" i="3"/>
  <c r="BI76" i="3"/>
  <c r="AS76" i="1"/>
  <c r="AZ76" i="3"/>
  <c r="AY76" i="3"/>
  <c r="M76" i="3"/>
  <c r="F76" i="1" s="1"/>
  <c r="B76" i="3"/>
  <c r="A76" i="3"/>
  <c r="AX76" i="3" s="1"/>
  <c r="CR75" i="3"/>
  <c r="CP75" i="3"/>
  <c r="BL75" i="3"/>
  <c r="BJ75" i="3"/>
  <c r="BI75" i="3"/>
  <c r="AZ75" i="3"/>
  <c r="AY75" i="3"/>
  <c r="M75" i="3"/>
  <c r="F75" i="1" s="1"/>
  <c r="B75" i="3"/>
  <c r="A75" i="3"/>
  <c r="AX75" i="3" s="1"/>
  <c r="DR74" i="3"/>
  <c r="DQ74" i="3"/>
  <c r="DJ74" i="3"/>
  <c r="DI74" i="3"/>
  <c r="DF74" i="3"/>
  <c r="DE74" i="3"/>
  <c r="BU74" i="3"/>
  <c r="BT74" i="3"/>
  <c r="BR74" i="3"/>
  <c r="BQ74" i="3"/>
  <c r="BO74" i="3"/>
  <c r="BN74" i="3"/>
  <c r="BL74" i="3"/>
  <c r="BK74" i="3"/>
  <c r="BJ74" i="3"/>
  <c r="BI74" i="3"/>
  <c r="AS74" i="1"/>
  <c r="AZ74" i="3"/>
  <c r="AY74" i="3"/>
  <c r="M74" i="3"/>
  <c r="F74" i="1" s="1"/>
  <c r="A74" i="3"/>
  <c r="CR73" i="3"/>
  <c r="CP73" i="3"/>
  <c r="BL73" i="3"/>
  <c r="BJ73" i="3"/>
  <c r="BI73" i="3"/>
  <c r="AS73" i="1"/>
  <c r="AZ73" i="3"/>
  <c r="AY73" i="3"/>
  <c r="M73" i="3"/>
  <c r="B73" i="3"/>
  <c r="A73" i="3"/>
  <c r="CR72" i="3"/>
  <c r="CP72" i="3"/>
  <c r="BL72" i="3"/>
  <c r="BJ72" i="3"/>
  <c r="BI72" i="3"/>
  <c r="AS72" i="1"/>
  <c r="AZ72" i="3"/>
  <c r="AY72" i="3"/>
  <c r="M72" i="3"/>
  <c r="B72" i="3"/>
  <c r="A72" i="3"/>
  <c r="CP71" i="3"/>
  <c r="BL71" i="3"/>
  <c r="BK71" i="3"/>
  <c r="BJ71" i="3"/>
  <c r="BI71" i="3"/>
  <c r="AS71" i="1"/>
  <c r="AZ71" i="3"/>
  <c r="AY71" i="3"/>
  <c r="M71" i="3"/>
  <c r="B71" i="3"/>
  <c r="A71" i="3"/>
  <c r="CR70" i="3"/>
  <c r="CP70" i="3"/>
  <c r="BL70" i="3"/>
  <c r="BJ70" i="3"/>
  <c r="BI70" i="3"/>
  <c r="AZ70" i="3"/>
  <c r="AY70" i="3"/>
  <c r="M70" i="3"/>
  <c r="B70" i="3"/>
  <c r="A70" i="3"/>
  <c r="CP69" i="3"/>
  <c r="BU69" i="3"/>
  <c r="BT69" i="3"/>
  <c r="BS69" i="3"/>
  <c r="AD69" i="1" s="1"/>
  <c r="BR69" i="3"/>
  <c r="BQ69" i="3"/>
  <c r="BP69" i="3"/>
  <c r="BO69" i="3"/>
  <c r="BN69" i="3"/>
  <c r="BM69" i="3"/>
  <c r="BL69" i="3"/>
  <c r="BJ69" i="3"/>
  <c r="BI69" i="3"/>
  <c r="AZ69" i="3"/>
  <c r="AY69" i="3"/>
  <c r="M69" i="3"/>
  <c r="F69" i="1" s="1"/>
  <c r="A69" i="3"/>
  <c r="G69" i="3" s="1"/>
  <c r="EY68" i="3"/>
  <c r="ET68" i="3"/>
  <c r="CR68" i="3"/>
  <c r="CP68" i="3"/>
  <c r="BL68" i="3"/>
  <c r="BJ68" i="3"/>
  <c r="BI68" i="3"/>
  <c r="AZ68" i="3"/>
  <c r="AY68" i="3"/>
  <c r="M68" i="3"/>
  <c r="F68" i="1" s="1"/>
  <c r="B68" i="3"/>
  <c r="A68" i="3"/>
  <c r="EY67" i="3"/>
  <c r="EU67" i="3"/>
  <c r="ET67" i="3"/>
  <c r="BJ67" i="3"/>
  <c r="BI67" i="3"/>
  <c r="AV67" i="1"/>
  <c r="AU67" i="1"/>
  <c r="AT67" i="1"/>
  <c r="AS67" i="1"/>
  <c r="AZ67" i="3"/>
  <c r="AY67" i="3"/>
  <c r="M67" i="3"/>
  <c r="X67" i="3" s="1"/>
  <c r="B67" i="3"/>
  <c r="A67" i="3"/>
  <c r="EY66" i="3"/>
  <c r="ET66" i="3"/>
  <c r="CP66" i="3"/>
  <c r="BL66" i="3"/>
  <c r="BK66" i="3"/>
  <c r="BJ66" i="3"/>
  <c r="BI66" i="3"/>
  <c r="AS66" i="1"/>
  <c r="AZ66" i="3"/>
  <c r="AY66" i="3"/>
  <c r="M66" i="3"/>
  <c r="B66" i="3"/>
  <c r="A66" i="3"/>
  <c r="BL65" i="3"/>
  <c r="BK65" i="3"/>
  <c r="BJ65" i="3"/>
  <c r="BI65" i="3"/>
  <c r="AV65" i="1"/>
  <c r="AU65" i="1"/>
  <c r="AT65" i="1"/>
  <c r="AS65" i="1"/>
  <c r="AZ65" i="3"/>
  <c r="AY65" i="3"/>
  <c r="M65" i="3"/>
  <c r="B65" i="3"/>
  <c r="A65" i="3"/>
  <c r="G65" i="3" s="1"/>
  <c r="CR64" i="3"/>
  <c r="CP64" i="3"/>
  <c r="BL64" i="3"/>
  <c r="BJ64" i="3"/>
  <c r="BI64" i="3"/>
  <c r="AS64" i="1"/>
  <c r="AZ64" i="3"/>
  <c r="AY64" i="3"/>
  <c r="M64" i="3"/>
  <c r="F64" i="1" s="1"/>
  <c r="B64" i="3"/>
  <c r="A64" i="3"/>
  <c r="CR63" i="3"/>
  <c r="CP63" i="3"/>
  <c r="BL63" i="3"/>
  <c r="BJ63" i="3"/>
  <c r="BI63" i="3"/>
  <c r="AS63" i="1"/>
  <c r="AZ63" i="3"/>
  <c r="AY63" i="3"/>
  <c r="M63" i="3"/>
  <c r="F63" i="1" s="1"/>
  <c r="B63" i="3"/>
  <c r="A63" i="3"/>
  <c r="AX63" i="3" s="1"/>
  <c r="CR62" i="3"/>
  <c r="CP62" i="3"/>
  <c r="BL62" i="3"/>
  <c r="BJ62" i="3"/>
  <c r="BI62" i="3"/>
  <c r="AZ62" i="3"/>
  <c r="AY62" i="3"/>
  <c r="M62" i="3"/>
  <c r="F62" i="1" s="1"/>
  <c r="B62" i="3"/>
  <c r="A62" i="3"/>
  <c r="G62" i="3" s="1"/>
  <c r="CR61" i="3"/>
  <c r="CP61" i="3"/>
  <c r="BL61" i="3"/>
  <c r="BJ61" i="3"/>
  <c r="BI61" i="3"/>
  <c r="AZ61" i="3"/>
  <c r="AY61" i="3"/>
  <c r="M61" i="3"/>
  <c r="AJ61" i="3" s="1"/>
  <c r="B61" i="3"/>
  <c r="A61" i="3"/>
  <c r="AW61" i="3" s="1"/>
  <c r="CR60" i="3"/>
  <c r="CP60" i="3"/>
  <c r="BL60" i="3"/>
  <c r="BJ60" i="3"/>
  <c r="BI60" i="3"/>
  <c r="AZ60" i="3"/>
  <c r="AY60" i="3"/>
  <c r="M60" i="3"/>
  <c r="X60" i="3" s="1"/>
  <c r="B60" i="3"/>
  <c r="A60" i="3"/>
  <c r="G60" i="3" s="1"/>
  <c r="BJ59" i="3"/>
  <c r="BI59" i="3"/>
  <c r="AZ59" i="3"/>
  <c r="AY59" i="3"/>
  <c r="M59" i="3"/>
  <c r="F59" i="1" s="1"/>
  <c r="B59" i="3"/>
  <c r="A59" i="3"/>
  <c r="EY58" i="3"/>
  <c r="EU58" i="3"/>
  <c r="ET58" i="3"/>
  <c r="DS58" i="3"/>
  <c r="BS58" i="3"/>
  <c r="AD58" i="1" s="1"/>
  <c r="BP58" i="3"/>
  <c r="BL58" i="3"/>
  <c r="BK58" i="3"/>
  <c r="BJ58" i="3"/>
  <c r="BI58" i="3"/>
  <c r="AU58" i="1"/>
  <c r="AT58" i="1"/>
  <c r="AZ58" i="3"/>
  <c r="AY58" i="3"/>
  <c r="M58" i="3"/>
  <c r="U58" i="3" s="1"/>
  <c r="A58" i="3"/>
  <c r="CR57" i="3"/>
  <c r="CP57" i="3"/>
  <c r="BL57" i="3"/>
  <c r="BJ57" i="3"/>
  <c r="BI57" i="3"/>
  <c r="AS57" i="1"/>
  <c r="AZ57" i="3"/>
  <c r="AY57" i="3"/>
  <c r="M57" i="3"/>
  <c r="F57" i="1" s="1"/>
  <c r="B57" i="3"/>
  <c r="A57" i="3"/>
  <c r="G57" i="3" s="1"/>
  <c r="CP56" i="3"/>
  <c r="BL56" i="3"/>
  <c r="BK56" i="3"/>
  <c r="BJ56" i="3"/>
  <c r="BI56" i="3"/>
  <c r="AV56" i="1"/>
  <c r="AU56" i="1"/>
  <c r="AZ56" i="3"/>
  <c r="AY56" i="3"/>
  <c r="M56" i="3"/>
  <c r="B56" i="3"/>
  <c r="A56" i="3"/>
  <c r="EY55" i="3"/>
  <c r="ET55" i="3"/>
  <c r="DR55" i="3"/>
  <c r="DQ55" i="3"/>
  <c r="DF55" i="3"/>
  <c r="DE55" i="3"/>
  <c r="BU55" i="3"/>
  <c r="BT55" i="3"/>
  <c r="BR55" i="3"/>
  <c r="BQ55" i="3"/>
  <c r="BO55" i="3"/>
  <c r="BN55" i="3"/>
  <c r="BL55" i="3"/>
  <c r="BK55" i="3"/>
  <c r="BJ55" i="3"/>
  <c r="BI55" i="3"/>
  <c r="BC55" i="3"/>
  <c r="BA55" i="3"/>
  <c r="BB55" i="3" s="1"/>
  <c r="AZ55" i="3"/>
  <c r="AY55" i="3"/>
  <c r="AV55" i="3"/>
  <c r="AU55" i="3"/>
  <c r="AT55" i="3"/>
  <c r="M55" i="3"/>
  <c r="A55" i="3"/>
  <c r="G55" i="3" s="1"/>
  <c r="EY54" i="3"/>
  <c r="ET54" i="3"/>
  <c r="CP54" i="3"/>
  <c r="BL54" i="3"/>
  <c r="BK54" i="3"/>
  <c r="BJ54" i="3"/>
  <c r="BI54" i="3"/>
  <c r="AV54" i="1"/>
  <c r="AU54" i="1"/>
  <c r="AZ54" i="3"/>
  <c r="AY54" i="3"/>
  <c r="M54" i="3"/>
  <c r="U54" i="3" s="1"/>
  <c r="B54" i="3"/>
  <c r="A54" i="3"/>
  <c r="G54" i="3" s="1"/>
  <c r="EY53" i="3"/>
  <c r="EU53" i="3"/>
  <c r="ET53" i="3"/>
  <c r="DR53" i="3"/>
  <c r="DQ53" i="3"/>
  <c r="DF53" i="3"/>
  <c r="DE53" i="3"/>
  <c r="BU53" i="3"/>
  <c r="BT53" i="3"/>
  <c r="BR53" i="3"/>
  <c r="BQ53" i="3"/>
  <c r="BO53" i="3"/>
  <c r="BN53" i="3"/>
  <c r="BL53" i="3"/>
  <c r="BK53" i="3"/>
  <c r="BJ53" i="3"/>
  <c r="BI53" i="3"/>
  <c r="AV53" i="1"/>
  <c r="AS53" i="1"/>
  <c r="AZ53" i="3"/>
  <c r="AY53" i="3"/>
  <c r="AX53" i="3"/>
  <c r="AV53" i="3"/>
  <c r="AU53" i="3"/>
  <c r="AT53" i="3"/>
  <c r="M53" i="3"/>
  <c r="F53" i="1" s="1"/>
  <c r="A53" i="3"/>
  <c r="G53" i="3" s="1"/>
  <c r="EW52" i="3"/>
  <c r="ET52" i="3" s="1"/>
  <c r="DF52" i="3"/>
  <c r="DN52" i="3" s="1"/>
  <c r="DE52" i="3"/>
  <c r="DM52" i="3" s="1"/>
  <c r="DD52" i="3"/>
  <c r="DL52" i="3" s="1"/>
  <c r="DC52" i="3"/>
  <c r="DK52" i="3" s="1"/>
  <c r="DB52" i="3"/>
  <c r="DJ52" i="3" s="1"/>
  <c r="DA52" i="3"/>
  <c r="DI52" i="3" s="1"/>
  <c r="BU52" i="3"/>
  <c r="BT52" i="3"/>
  <c r="BS52" i="3"/>
  <c r="AD52" i="1" s="1"/>
  <c r="BR52" i="3"/>
  <c r="BQ52" i="3"/>
  <c r="BP52" i="3"/>
  <c r="BO52" i="3"/>
  <c r="BN52" i="3"/>
  <c r="BM52" i="3"/>
  <c r="BL52" i="3"/>
  <c r="BK52" i="3"/>
  <c r="BJ52" i="3"/>
  <c r="BI52" i="3"/>
  <c r="AV52" i="1"/>
  <c r="AU52" i="1"/>
  <c r="BA52" i="3"/>
  <c r="AZ52" i="3"/>
  <c r="AY52" i="3"/>
  <c r="AV52" i="3"/>
  <c r="AU52" i="3"/>
  <c r="M52" i="3"/>
  <c r="Q52" i="3" s="1"/>
  <c r="A52" i="3"/>
  <c r="EY51" i="3"/>
  <c r="EU51" i="3"/>
  <c r="ET51" i="3"/>
  <c r="DR51" i="3"/>
  <c r="DQ51" i="3"/>
  <c r="DF51" i="3"/>
  <c r="DE51" i="3"/>
  <c r="BU51" i="3"/>
  <c r="BT51" i="3"/>
  <c r="BR51" i="3"/>
  <c r="BQ51" i="3"/>
  <c r="BO51" i="3"/>
  <c r="BN51" i="3"/>
  <c r="BL51" i="3"/>
  <c r="BK51" i="3"/>
  <c r="BJ51" i="3"/>
  <c r="BI51" i="3"/>
  <c r="AV51" i="1"/>
  <c r="AU51" i="1"/>
  <c r="AT51" i="1"/>
  <c r="BC51" i="3"/>
  <c r="BA51" i="3"/>
  <c r="AZ51" i="3"/>
  <c r="AY51" i="3"/>
  <c r="AV51" i="3"/>
  <c r="AU51" i="3"/>
  <c r="AT51" i="3"/>
  <c r="M51" i="3"/>
  <c r="A51" i="3"/>
  <c r="G51" i="3" s="1"/>
  <c r="BL50" i="3"/>
  <c r="BK50" i="3"/>
  <c r="BJ50" i="3"/>
  <c r="BI50" i="3"/>
  <c r="AZ50" i="3"/>
  <c r="AY50" i="3"/>
  <c r="AX50" i="3"/>
  <c r="M50" i="3"/>
  <c r="F50" i="1" s="1"/>
  <c r="B50" i="3"/>
  <c r="A50" i="3"/>
  <c r="BL49" i="3"/>
  <c r="BK49" i="3"/>
  <c r="BJ49" i="3"/>
  <c r="BI49" i="3"/>
  <c r="AV49" i="1"/>
  <c r="AU49" i="1"/>
  <c r="AT49" i="1"/>
  <c r="AZ49" i="3"/>
  <c r="AY49" i="3"/>
  <c r="M49" i="3"/>
  <c r="AL49" i="3" s="1"/>
  <c r="B49" i="3"/>
  <c r="A49" i="3"/>
  <c r="CR48" i="3"/>
  <c r="BJ48" i="3"/>
  <c r="BI48" i="3"/>
  <c r="AZ48" i="3"/>
  <c r="AY48" i="3"/>
  <c r="M48" i="3"/>
  <c r="F48" i="1" s="1"/>
  <c r="B48" i="3"/>
  <c r="A48" i="3"/>
  <c r="EY47" i="3"/>
  <c r="EU47" i="3"/>
  <c r="ET47" i="3"/>
  <c r="CR47" i="3"/>
  <c r="BJ47" i="3"/>
  <c r="BI47" i="3"/>
  <c r="AT47" i="1"/>
  <c r="AZ47" i="3"/>
  <c r="AY47" i="3"/>
  <c r="M47" i="3"/>
  <c r="F47" i="1" s="1"/>
  <c r="B47" i="3"/>
  <c r="A47" i="3"/>
  <c r="EY46" i="3"/>
  <c r="EU46" i="3"/>
  <c r="ET46" i="3"/>
  <c r="DR46" i="3"/>
  <c r="DQ46" i="3"/>
  <c r="DF46" i="3"/>
  <c r="DE46" i="3"/>
  <c r="DD46" i="3"/>
  <c r="DC46" i="3"/>
  <c r="DB46" i="3"/>
  <c r="DA46" i="3"/>
  <c r="BU46" i="3"/>
  <c r="BT46" i="3"/>
  <c r="BS46" i="3"/>
  <c r="AD46" i="1" s="1"/>
  <c r="BR46" i="3"/>
  <c r="BQ46" i="3"/>
  <c r="BP46" i="3"/>
  <c r="BO46" i="3"/>
  <c r="BN46" i="3"/>
  <c r="BM46" i="3"/>
  <c r="BL46" i="3"/>
  <c r="BK46" i="3"/>
  <c r="BJ46" i="3"/>
  <c r="BI46" i="3"/>
  <c r="AU46" i="1"/>
  <c r="AT46" i="1"/>
  <c r="AS46" i="1"/>
  <c r="BC46" i="3"/>
  <c r="BA46" i="3"/>
  <c r="AZ46" i="3"/>
  <c r="AY46" i="3"/>
  <c r="AV46" i="3"/>
  <c r="AU46" i="3"/>
  <c r="M46" i="3"/>
  <c r="A46" i="3"/>
  <c r="AW46" i="3" s="1"/>
  <c r="BL45" i="3"/>
  <c r="BK45" i="3"/>
  <c r="BJ45" i="3"/>
  <c r="BI45" i="3"/>
  <c r="AV45" i="1"/>
  <c r="AU45" i="1"/>
  <c r="AT45" i="1"/>
  <c r="AS45" i="1"/>
  <c r="AZ45" i="3"/>
  <c r="AY45" i="3"/>
  <c r="AX45" i="3"/>
  <c r="M45" i="3"/>
  <c r="F45" i="1" s="1"/>
  <c r="B45" i="3"/>
  <c r="A45" i="3"/>
  <c r="BJ44" i="3"/>
  <c r="BI44" i="3"/>
  <c r="BL44" i="3"/>
  <c r="AZ44" i="3"/>
  <c r="AY44" i="3"/>
  <c r="AX44" i="3"/>
  <c r="M44" i="3"/>
  <c r="B44" i="3"/>
  <c r="A44" i="3"/>
  <c r="G44" i="3" s="1"/>
  <c r="BL43" i="3"/>
  <c r="BK43" i="3"/>
  <c r="BJ43" i="3"/>
  <c r="BI43" i="3"/>
  <c r="AS43" i="1"/>
  <c r="AZ43" i="3"/>
  <c r="AY43" i="3"/>
  <c r="M43" i="3"/>
  <c r="B43" i="3"/>
  <c r="A43" i="3"/>
  <c r="G43" i="3" s="1"/>
  <c r="BL42" i="3"/>
  <c r="BK42" i="3"/>
  <c r="BJ42" i="3"/>
  <c r="BI42" i="3"/>
  <c r="AZ42" i="3"/>
  <c r="AY42" i="3"/>
  <c r="M42" i="3"/>
  <c r="AO42" i="3" s="1"/>
  <c r="B42" i="3"/>
  <c r="A42" i="3"/>
  <c r="G42" i="3" s="1"/>
  <c r="CR41" i="3"/>
  <c r="CP41" i="3"/>
  <c r="BL41" i="3"/>
  <c r="BJ41" i="3"/>
  <c r="BI41" i="3"/>
  <c r="AZ41" i="3"/>
  <c r="AY41" i="3"/>
  <c r="M41" i="3"/>
  <c r="B41" i="3"/>
  <c r="A41" i="3"/>
  <c r="CR40" i="3"/>
  <c r="CP40" i="3"/>
  <c r="BL40" i="3"/>
  <c r="BJ40" i="3"/>
  <c r="BI40" i="3"/>
  <c r="AZ40" i="3"/>
  <c r="AY40" i="3"/>
  <c r="M40" i="3"/>
  <c r="DG40" i="3" s="1"/>
  <c r="B40" i="3"/>
  <c r="A40" i="3"/>
  <c r="AX40" i="3" s="1"/>
  <c r="EY39" i="3"/>
  <c r="ET39" i="3"/>
  <c r="DR39" i="3"/>
  <c r="DQ39" i="3"/>
  <c r="DF39" i="3"/>
  <c r="DE39" i="3"/>
  <c r="DD39" i="3"/>
  <c r="DC39" i="3"/>
  <c r="DB39" i="3"/>
  <c r="DA39" i="3"/>
  <c r="BU39" i="3"/>
  <c r="BT39" i="3"/>
  <c r="BS39" i="3"/>
  <c r="AD39" i="1" s="1"/>
  <c r="BR39" i="3"/>
  <c r="BQ39" i="3"/>
  <c r="BP39" i="3"/>
  <c r="BO39" i="3"/>
  <c r="BN39" i="3"/>
  <c r="BM39" i="3"/>
  <c r="BL39" i="3"/>
  <c r="BK39" i="3"/>
  <c r="BJ39" i="3"/>
  <c r="BI39" i="3"/>
  <c r="BD39" i="3"/>
  <c r="BC39" i="3"/>
  <c r="BB39" i="3"/>
  <c r="BA39" i="3"/>
  <c r="AZ39" i="3"/>
  <c r="AY39" i="3"/>
  <c r="AV39" i="3"/>
  <c r="AU39" i="3"/>
  <c r="AT39" i="3"/>
  <c r="M39" i="3"/>
  <c r="A39" i="3"/>
  <c r="CP38" i="3"/>
  <c r="CO38" i="3"/>
  <c r="BL38" i="3"/>
  <c r="BK38" i="3"/>
  <c r="AZ38" i="3"/>
  <c r="AY38" i="3"/>
  <c r="M38" i="3"/>
  <c r="B38" i="3"/>
  <c r="A38" i="3"/>
  <c r="AX38" i="3" s="1"/>
  <c r="BL37" i="3"/>
  <c r="BK37" i="3"/>
  <c r="BJ37" i="3"/>
  <c r="BI37" i="3"/>
  <c r="AU37" i="1"/>
  <c r="AT37" i="1"/>
  <c r="AS37" i="1"/>
  <c r="AZ37" i="3"/>
  <c r="AY37" i="3"/>
  <c r="M37" i="3"/>
  <c r="B37" i="3"/>
  <c r="A37" i="3"/>
  <c r="AX37" i="3" s="1"/>
  <c r="CR36" i="3"/>
  <c r="CP36" i="3"/>
  <c r="BL36" i="3"/>
  <c r="BJ36" i="3"/>
  <c r="BI36" i="3"/>
  <c r="AZ36" i="3"/>
  <c r="AY36" i="3"/>
  <c r="M36" i="3"/>
  <c r="B36" i="3"/>
  <c r="A36" i="3"/>
  <c r="G36" i="3" s="1"/>
  <c r="EY35" i="3"/>
  <c r="EU35" i="3"/>
  <c r="ET35" i="3"/>
  <c r="CR35" i="3"/>
  <c r="CP35" i="3"/>
  <c r="BL35" i="3"/>
  <c r="BJ35" i="3"/>
  <c r="BI35" i="3"/>
  <c r="AZ35" i="3"/>
  <c r="AY35" i="3"/>
  <c r="M35" i="3"/>
  <c r="B35" i="3"/>
  <c r="A35" i="3"/>
  <c r="AX35" i="3" s="1"/>
  <c r="CR34" i="3"/>
  <c r="CP34" i="3"/>
  <c r="BL34" i="3"/>
  <c r="BJ34" i="3"/>
  <c r="BI34" i="3"/>
  <c r="AZ34" i="3"/>
  <c r="AY34" i="3"/>
  <c r="M34" i="3"/>
  <c r="B34" i="3"/>
  <c r="A34" i="3"/>
  <c r="EY33" i="3"/>
  <c r="ET33" i="3"/>
  <c r="CP33" i="3"/>
  <c r="BL33" i="3"/>
  <c r="BK33" i="3"/>
  <c r="BJ33" i="3"/>
  <c r="BI33" i="3"/>
  <c r="AU33" i="1"/>
  <c r="AS33" i="1"/>
  <c r="AZ33" i="3"/>
  <c r="AY33" i="3"/>
  <c r="M33" i="3"/>
  <c r="F33" i="1" s="1"/>
  <c r="B33" i="3"/>
  <c r="A33" i="3"/>
  <c r="AX33" i="3" s="1"/>
  <c r="EY32" i="3"/>
  <c r="ET32" i="3"/>
  <c r="CR32" i="3"/>
  <c r="CP32" i="3"/>
  <c r="BL32" i="3"/>
  <c r="BJ32" i="3"/>
  <c r="BI32" i="3"/>
  <c r="AZ32" i="3"/>
  <c r="AY32" i="3"/>
  <c r="M32" i="3"/>
  <c r="B32" i="3"/>
  <c r="A32" i="3"/>
  <c r="CR31" i="3"/>
  <c r="CP31" i="3"/>
  <c r="BL31" i="3"/>
  <c r="BJ31" i="3"/>
  <c r="BI31" i="3"/>
  <c r="AZ31" i="3"/>
  <c r="AY31" i="3"/>
  <c r="M31" i="3"/>
  <c r="B31" i="3"/>
  <c r="A31" i="3"/>
  <c r="G31" i="3" s="1"/>
  <c r="BJ30" i="3"/>
  <c r="BL30" i="3" s="1"/>
  <c r="BI30" i="3"/>
  <c r="AV30" i="1"/>
  <c r="AU30" i="1"/>
  <c r="AZ30" i="3"/>
  <c r="AY30" i="3"/>
  <c r="M30" i="3"/>
  <c r="F30" i="1" s="1"/>
  <c r="B30" i="3"/>
  <c r="A30" i="3"/>
  <c r="G30" i="3" s="1"/>
  <c r="EY29" i="3"/>
  <c r="EU29" i="3"/>
  <c r="ET29" i="3"/>
  <c r="CP29" i="3"/>
  <c r="BL29" i="3"/>
  <c r="BK29" i="3"/>
  <c r="BJ29" i="3"/>
  <c r="BI29" i="3"/>
  <c r="AU29" i="1"/>
  <c r="AZ29" i="3"/>
  <c r="AY29" i="3"/>
  <c r="AX29" i="3"/>
  <c r="M29" i="3"/>
  <c r="AD29" i="3" s="1"/>
  <c r="B29" i="3"/>
  <c r="A29" i="3"/>
  <c r="BL28" i="3"/>
  <c r="BK28" i="3"/>
  <c r="BJ28" i="3"/>
  <c r="BI28" i="3"/>
  <c r="AV28" i="1"/>
  <c r="AU28" i="1"/>
  <c r="AT28" i="1"/>
  <c r="AZ28" i="3"/>
  <c r="AY28" i="3"/>
  <c r="AX28" i="3"/>
  <c r="M28" i="3"/>
  <c r="B28" i="3"/>
  <c r="A28" i="3"/>
  <c r="G28" i="3" s="1"/>
  <c r="EY27" i="3"/>
  <c r="EU27" i="3"/>
  <c r="ET27" i="3"/>
  <c r="CR27" i="3"/>
  <c r="CP27" i="3"/>
  <c r="BL27" i="3"/>
  <c r="BJ27" i="3"/>
  <c r="BI27" i="3"/>
  <c r="AZ27" i="3"/>
  <c r="AY27" i="3"/>
  <c r="M27" i="3"/>
  <c r="AJ27" i="3" s="1"/>
  <c r="B27" i="3"/>
  <c r="A27" i="3"/>
  <c r="EY26" i="3"/>
  <c r="ET26" i="3"/>
  <c r="CP26" i="3"/>
  <c r="BL26" i="3"/>
  <c r="BK26" i="3"/>
  <c r="BJ26" i="3"/>
  <c r="BI26" i="3"/>
  <c r="AS26" i="1"/>
  <c r="AZ26" i="3"/>
  <c r="AY26" i="3"/>
  <c r="M26" i="3"/>
  <c r="F26" i="1" s="1"/>
  <c r="B26" i="3"/>
  <c r="A26" i="3"/>
  <c r="AW26" i="3" s="1"/>
  <c r="BJ25" i="3"/>
  <c r="BI25" i="3"/>
  <c r="AS25" i="1"/>
  <c r="AZ25" i="3"/>
  <c r="AY25" i="3"/>
  <c r="AP25" i="3"/>
  <c r="ER25" i="3" s="1"/>
  <c r="M25" i="3"/>
  <c r="Q25" i="3" s="1"/>
  <c r="B25" i="3"/>
  <c r="A25" i="3"/>
  <c r="AX25" i="3" s="1"/>
  <c r="CR24" i="3"/>
  <c r="CP24" i="3"/>
  <c r="BL24" i="3"/>
  <c r="BJ24" i="3"/>
  <c r="BI24" i="3"/>
  <c r="AS24" i="1"/>
  <c r="AZ24" i="3"/>
  <c r="AY24" i="3"/>
  <c r="M24" i="3"/>
  <c r="T24" i="3" s="1"/>
  <c r="B24" i="3"/>
  <c r="A24" i="3"/>
  <c r="EY23" i="3"/>
  <c r="EU23" i="3"/>
  <c r="ET23" i="3"/>
  <c r="DR23" i="3"/>
  <c r="DQ23" i="3"/>
  <c r="DF23" i="3"/>
  <c r="DN23" i="3" s="1"/>
  <c r="DE23" i="3"/>
  <c r="DM23" i="3" s="1"/>
  <c r="DD23" i="3"/>
  <c r="DL23" i="3" s="1"/>
  <c r="DC23" i="3"/>
  <c r="DK23" i="3" s="1"/>
  <c r="DB23" i="3"/>
  <c r="DJ23" i="3" s="1"/>
  <c r="DA23" i="3"/>
  <c r="DI23" i="3" s="1"/>
  <c r="BU23" i="3"/>
  <c r="BT23" i="3"/>
  <c r="BS23" i="3"/>
  <c r="AD23" i="1" s="1"/>
  <c r="BR23" i="3"/>
  <c r="BQ23" i="3"/>
  <c r="BP23" i="3"/>
  <c r="BO23" i="3"/>
  <c r="BN23" i="3"/>
  <c r="BM23" i="3"/>
  <c r="BL23" i="3"/>
  <c r="BK23" i="3"/>
  <c r="BJ23" i="3"/>
  <c r="BI23" i="3"/>
  <c r="AV23" i="1"/>
  <c r="AU23" i="1"/>
  <c r="AT23" i="1"/>
  <c r="BC23" i="3"/>
  <c r="BA23" i="3"/>
  <c r="AZ23" i="3"/>
  <c r="AY23" i="3"/>
  <c r="AV23" i="3"/>
  <c r="AU23" i="3"/>
  <c r="M23" i="3"/>
  <c r="A23" i="3"/>
  <c r="CR22" i="3"/>
  <c r="CP22" i="3"/>
  <c r="BL22" i="3"/>
  <c r="BJ22" i="3"/>
  <c r="BI22" i="3"/>
  <c r="CQ22" i="3"/>
  <c r="AZ22" i="3"/>
  <c r="AY22" i="3"/>
  <c r="M22" i="3"/>
  <c r="B22" i="3"/>
  <c r="A22" i="3"/>
  <c r="EY21" i="3"/>
  <c r="EU21" i="3"/>
  <c r="ET21" i="3"/>
  <c r="CR21" i="3"/>
  <c r="CP21" i="3"/>
  <c r="BL21" i="3"/>
  <c r="BJ21" i="3"/>
  <c r="BI21" i="3"/>
  <c r="BA21" i="3"/>
  <c r="AZ21" i="3"/>
  <c r="AY21" i="3"/>
  <c r="M21" i="3"/>
  <c r="B21" i="3"/>
  <c r="A21" i="3"/>
  <c r="AX21" i="3" s="1"/>
  <c r="EY20" i="3"/>
  <c r="ET20" i="3"/>
  <c r="DR20" i="3"/>
  <c r="DQ20" i="3"/>
  <c r="DF20" i="3"/>
  <c r="DN20" i="3" s="1"/>
  <c r="DE20" i="3"/>
  <c r="DM20" i="3" s="1"/>
  <c r="DD20" i="3"/>
  <c r="DL20" i="3" s="1"/>
  <c r="DC20" i="3"/>
  <c r="DK20" i="3" s="1"/>
  <c r="DB20" i="3"/>
  <c r="DJ20" i="3" s="1"/>
  <c r="DA20" i="3"/>
  <c r="DI20" i="3" s="1"/>
  <c r="BU20" i="3"/>
  <c r="BT20" i="3"/>
  <c r="BS20" i="3"/>
  <c r="AD20" i="1" s="1"/>
  <c r="BR20" i="3"/>
  <c r="BQ20" i="3"/>
  <c r="BP20" i="3"/>
  <c r="BO20" i="3"/>
  <c r="BN20" i="3"/>
  <c r="BM20" i="3"/>
  <c r="BL20" i="3"/>
  <c r="BK20" i="3"/>
  <c r="BJ20" i="3"/>
  <c r="BI20" i="3"/>
  <c r="AV20" i="1"/>
  <c r="AU20" i="1"/>
  <c r="AT20" i="1"/>
  <c r="AS20" i="1"/>
  <c r="BC20" i="3"/>
  <c r="BA20" i="3"/>
  <c r="AZ20" i="3"/>
  <c r="AY20" i="3"/>
  <c r="AX20" i="3"/>
  <c r="AV20" i="3"/>
  <c r="AU20" i="3"/>
  <c r="AT20" i="3"/>
  <c r="M20" i="3"/>
  <c r="AQ20" i="3" s="1"/>
  <c r="A20" i="3"/>
  <c r="G20" i="3" s="1"/>
  <c r="CR19" i="3"/>
  <c r="CP19" i="3"/>
  <c r="BL19" i="3"/>
  <c r="BJ19" i="3"/>
  <c r="BI19" i="3"/>
  <c r="BA19" i="3"/>
  <c r="AZ19" i="3"/>
  <c r="AY19" i="3"/>
  <c r="M19" i="3"/>
  <c r="B19" i="3"/>
  <c r="A19" i="3"/>
  <c r="G19" i="3" s="1"/>
  <c r="BL18" i="3"/>
  <c r="BK18" i="3"/>
  <c r="BJ18" i="3"/>
  <c r="BI18" i="3"/>
  <c r="AZ18" i="3"/>
  <c r="AY18" i="3"/>
  <c r="M18" i="3"/>
  <c r="DG18" i="3" s="1"/>
  <c r="B18" i="3"/>
  <c r="A18" i="3"/>
  <c r="G18" i="3" s="1"/>
  <c r="EY17" i="3"/>
  <c r="EU17" i="3"/>
  <c r="ET17" i="3"/>
  <c r="BJ17" i="3"/>
  <c r="BI17" i="3"/>
  <c r="AZ17" i="3"/>
  <c r="AY17" i="3"/>
  <c r="M17" i="3"/>
  <c r="F17" i="1" s="1"/>
  <c r="B17" i="3"/>
  <c r="A17" i="3"/>
  <c r="CR16" i="3"/>
  <c r="CP16" i="3"/>
  <c r="BL16" i="3"/>
  <c r="BJ16" i="3"/>
  <c r="BI16" i="3"/>
  <c r="CO16" i="3"/>
  <c r="AZ16" i="3"/>
  <c r="AY16" i="3"/>
  <c r="M16" i="3"/>
  <c r="B16" i="3"/>
  <c r="A16" i="3"/>
  <c r="AX16" i="3" s="1"/>
  <c r="BL15" i="3"/>
  <c r="BK15" i="3"/>
  <c r="BJ15" i="3"/>
  <c r="BI15" i="3"/>
  <c r="AV15" i="1"/>
  <c r="AU15" i="1"/>
  <c r="AZ15" i="3"/>
  <c r="AY15" i="3"/>
  <c r="AX15" i="3"/>
  <c r="M15" i="3"/>
  <c r="AS15" i="3" s="1"/>
  <c r="B15" i="3"/>
  <c r="A15" i="3"/>
  <c r="CP14" i="3"/>
  <c r="BL14" i="3"/>
  <c r="BK14" i="3"/>
  <c r="BJ14" i="3"/>
  <c r="BI14" i="3"/>
  <c r="AV14" i="1"/>
  <c r="AU14" i="1"/>
  <c r="CO14" i="3"/>
  <c r="AZ14" i="3"/>
  <c r="AY14" i="3"/>
  <c r="AX14" i="3"/>
  <c r="M14" i="3"/>
  <c r="F14" i="1" s="1"/>
  <c r="B14" i="3"/>
  <c r="A14" i="3"/>
  <c r="G14" i="3" s="1"/>
  <c r="CP13" i="3"/>
  <c r="BL13" i="3"/>
  <c r="BK13" i="3"/>
  <c r="BJ13" i="3"/>
  <c r="BI13" i="3"/>
  <c r="BA13" i="3"/>
  <c r="AZ13" i="3"/>
  <c r="AY13" i="3"/>
  <c r="M13" i="3"/>
  <c r="B13" i="3"/>
  <c r="A13" i="3"/>
  <c r="G13" i="3" s="1"/>
  <c r="DL12" i="3"/>
  <c r="DK12" i="3"/>
  <c r="DJ12" i="3"/>
  <c r="DI12" i="3"/>
  <c r="DM11" i="3"/>
  <c r="DK11" i="3"/>
  <c r="DI11" i="3"/>
  <c r="AJ9" i="3"/>
  <c r="AI9" i="3"/>
  <c r="AJ3" i="3" s="1"/>
  <c r="AH9" i="3"/>
  <c r="AL4" i="3"/>
  <c r="AK4" i="3"/>
  <c r="AF186" i="1" l="1"/>
  <c r="BM168" i="3"/>
  <c r="CY168" i="3" s="1"/>
  <c r="AF154" i="1"/>
  <c r="AF221" i="1"/>
  <c r="AF222" i="1"/>
  <c r="AF101" i="1"/>
  <c r="AF69" i="1"/>
  <c r="DX114" i="3"/>
  <c r="AA238" i="1"/>
  <c r="AC238" i="1" s="1"/>
  <c r="AF176" i="1"/>
  <c r="AF102" i="1"/>
  <c r="AF215" i="1"/>
  <c r="AF223" i="1"/>
  <c r="U216" i="3"/>
  <c r="AK216" i="3"/>
  <c r="W58" i="3"/>
  <c r="AJ216" i="3"/>
  <c r="BS208" i="3"/>
  <c r="DP208" i="3" s="1"/>
  <c r="V58" i="3"/>
  <c r="W229" i="3"/>
  <c r="AF238" i="1"/>
  <c r="AI238" i="1" s="1"/>
  <c r="AE229" i="3"/>
  <c r="EU52" i="3"/>
  <c r="DP154" i="3"/>
  <c r="DW229" i="3"/>
  <c r="AQ15" i="3"/>
  <c r="DW92" i="3"/>
  <c r="AM193" i="3"/>
  <c r="AT193" i="3" s="1"/>
  <c r="AF229" i="3"/>
  <c r="Y49" i="3"/>
  <c r="BA33" i="3"/>
  <c r="BA136" i="3"/>
  <c r="AS229" i="3"/>
  <c r="J229" i="1" s="1"/>
  <c r="DI229" i="3"/>
  <c r="Y64" i="3"/>
  <c r="AO159" i="3"/>
  <c r="AH61" i="3"/>
  <c r="CO88" i="3"/>
  <c r="BM53" i="3"/>
  <c r="CY53" i="3" s="1"/>
  <c r="DI93" i="3"/>
  <c r="DW93" i="3"/>
  <c r="CY102" i="3"/>
  <c r="AP159" i="3"/>
  <c r="EZ159" i="3" s="1"/>
  <c r="EY159" i="3" s="1"/>
  <c r="U57" i="3"/>
  <c r="R18" i="3"/>
  <c r="P24" i="3"/>
  <c r="AD54" i="3"/>
  <c r="W67" i="3"/>
  <c r="Q107" i="3"/>
  <c r="AF54" i="3"/>
  <c r="N159" i="3"/>
  <c r="AO20" i="3"/>
  <c r="R24" i="3"/>
  <c r="Y67" i="3"/>
  <c r="AP99" i="3"/>
  <c r="T15" i="3"/>
  <c r="AL27" i="3"/>
  <c r="AQ80" i="3"/>
  <c r="T107" i="3"/>
  <c r="U179" i="3"/>
  <c r="CO22" i="3"/>
  <c r="U24" i="3"/>
  <c r="AS80" i="3"/>
  <c r="J80" i="1" s="1"/>
  <c r="T129" i="3"/>
  <c r="S156" i="3"/>
  <c r="P175" i="3"/>
  <c r="Q232" i="3"/>
  <c r="V15" i="3"/>
  <c r="AB25" i="3"/>
  <c r="DG25" i="3"/>
  <c r="Q60" i="3"/>
  <c r="DZ65" i="3"/>
  <c r="S93" i="3"/>
  <c r="Z143" i="3"/>
  <c r="AI150" i="3"/>
  <c r="DX157" i="3"/>
  <c r="T159" i="3"/>
  <c r="AL175" i="3"/>
  <c r="U229" i="3"/>
  <c r="X232" i="3"/>
  <c r="X27" i="3"/>
  <c r="AE18" i="3"/>
  <c r="AI27" i="3"/>
  <c r="AE80" i="3"/>
  <c r="AN99" i="3"/>
  <c r="AF135" i="3"/>
  <c r="R15" i="3"/>
  <c r="AG54" i="3"/>
  <c r="AA103" i="3"/>
  <c r="S107" i="3"/>
  <c r="AG128" i="3"/>
  <c r="AG135" i="3"/>
  <c r="AD103" i="3"/>
  <c r="U15" i="3"/>
  <c r="AR20" i="3"/>
  <c r="V25" i="3"/>
  <c r="AB130" i="3"/>
  <c r="R143" i="3"/>
  <c r="S159" i="3"/>
  <c r="W15" i="3"/>
  <c r="AC25" i="3"/>
  <c r="W60" i="3"/>
  <c r="AI93" i="3"/>
  <c r="AJ137" i="3"/>
  <c r="AG143" i="3"/>
  <c r="AL150" i="3"/>
  <c r="U159" i="3"/>
  <c r="G188" i="3"/>
  <c r="BS220" i="3"/>
  <c r="AD220" i="1" s="1"/>
  <c r="V229" i="3"/>
  <c r="X135" i="3"/>
  <c r="AC138" i="3"/>
  <c r="AD80" i="3"/>
  <c r="AC135" i="3"/>
  <c r="Q24" i="3"/>
  <c r="P159" i="3"/>
  <c r="AH15" i="3"/>
  <c r="AF25" i="3"/>
  <c r="DY143" i="3"/>
  <c r="AM150" i="3"/>
  <c r="AU150" i="3" s="1"/>
  <c r="V159" i="3"/>
  <c r="AI15" i="3"/>
  <c r="AM25" i="3"/>
  <c r="AV25" i="3" s="1"/>
  <c r="AG29" i="3"/>
  <c r="AP93" i="3"/>
  <c r="AX138" i="3"/>
  <c r="DZ143" i="3"/>
  <c r="AN150" i="3"/>
  <c r="AA159" i="3"/>
  <c r="X229" i="3"/>
  <c r="AA128" i="3"/>
  <c r="BK22" i="3"/>
  <c r="R159" i="3"/>
  <c r="DO58" i="3"/>
  <c r="AO93" i="3"/>
  <c r="AX171" i="3"/>
  <c r="AL15" i="3"/>
  <c r="AN25" i="3"/>
  <c r="AS29" i="3"/>
  <c r="J29" i="1" s="1"/>
  <c r="DP58" i="3"/>
  <c r="AX74" i="3"/>
  <c r="BM74" i="3"/>
  <c r="BP168" i="3"/>
  <c r="Y229" i="3"/>
  <c r="DY223" i="3"/>
  <c r="AU223" i="1"/>
  <c r="BR123" i="3"/>
  <c r="J123" i="1"/>
  <c r="CO44" i="3"/>
  <c r="AS44" i="1"/>
  <c r="DW59" i="3"/>
  <c r="AS59" i="1"/>
  <c r="AA113" i="3"/>
  <c r="F113" i="1"/>
  <c r="O126" i="3"/>
  <c r="F126" i="1"/>
  <c r="AR126" i="3"/>
  <c r="BM126" i="3" s="1"/>
  <c r="DI126" i="3" s="1"/>
  <c r="AN126" i="3"/>
  <c r="N126" i="3"/>
  <c r="S126" i="3"/>
  <c r="R126" i="3"/>
  <c r="P126" i="3"/>
  <c r="DY184" i="3"/>
  <c r="AU184" i="1"/>
  <c r="AQ218" i="3"/>
  <c r="F218" i="1"/>
  <c r="DX18" i="3"/>
  <c r="AT18" i="1"/>
  <c r="CO202" i="3"/>
  <c r="AS202" i="1"/>
  <c r="AI34" i="3"/>
  <c r="F34" i="1"/>
  <c r="W84" i="3"/>
  <c r="F84" i="1"/>
  <c r="DZ101" i="3"/>
  <c r="AV101" i="1"/>
  <c r="BK104" i="3"/>
  <c r="AS104" i="1"/>
  <c r="F114" i="1"/>
  <c r="AN114" i="3"/>
  <c r="AS114" i="3"/>
  <c r="J114" i="1" s="1"/>
  <c r="K222" i="1"/>
  <c r="CP223" i="3"/>
  <c r="K223" i="1"/>
  <c r="K253" i="1" s="1"/>
  <c r="N227" i="3"/>
  <c r="DW100" i="3"/>
  <c r="AS100" i="1"/>
  <c r="DZ33" i="3"/>
  <c r="AV33" i="1"/>
  <c r="AL40" i="3"/>
  <c r="F40" i="1"/>
  <c r="AG40" i="3"/>
  <c r="AE40" i="3"/>
  <c r="AJ40" i="3"/>
  <c r="DY111" i="3"/>
  <c r="AU111" i="1"/>
  <c r="K176" i="1"/>
  <c r="U40" i="3"/>
  <c r="DX50" i="3"/>
  <c r="AT50" i="1"/>
  <c r="DG70" i="3"/>
  <c r="F70" i="1"/>
  <c r="T205" i="3"/>
  <c r="BA219" i="3"/>
  <c r="AS219" i="1"/>
  <c r="W13" i="3"/>
  <c r="F13" i="1"/>
  <c r="DZ46" i="3"/>
  <c r="AV46" i="1"/>
  <c r="DX108" i="3"/>
  <c r="AT108" i="1"/>
  <c r="AF123" i="3"/>
  <c r="F134" i="1"/>
  <c r="AS134" i="3"/>
  <c r="AR134" i="3"/>
  <c r="BM134" i="3" s="1"/>
  <c r="DJ134" i="3" s="1"/>
  <c r="Y134" i="3"/>
  <c r="X134" i="3"/>
  <c r="AK134" i="3"/>
  <c r="P192" i="3"/>
  <c r="DY219" i="3"/>
  <c r="AU219" i="1"/>
  <c r="AQ233" i="3"/>
  <c r="F233" i="1"/>
  <c r="AR234" i="3"/>
  <c r="F234" i="1"/>
  <c r="DZ50" i="3"/>
  <c r="AV50" i="1"/>
  <c r="AL52" i="3"/>
  <c r="F52" i="1"/>
  <c r="AF52" i="1" s="1"/>
  <c r="AE52" i="3"/>
  <c r="AD52" i="3"/>
  <c r="AB52" i="3"/>
  <c r="U52" i="3"/>
  <c r="X52" i="3"/>
  <c r="T52" i="3"/>
  <c r="DZ58" i="3"/>
  <c r="AV58" i="1"/>
  <c r="AK61" i="3"/>
  <c r="F61" i="1"/>
  <c r="AG70" i="3"/>
  <c r="AE78" i="3"/>
  <c r="F78" i="1"/>
  <c r="DZ90" i="3"/>
  <c r="AV90" i="1"/>
  <c r="DY108" i="3"/>
  <c r="AU108" i="1"/>
  <c r="O118" i="3"/>
  <c r="F118" i="1"/>
  <c r="AN123" i="3"/>
  <c r="AT132" i="1"/>
  <c r="DX132" i="3"/>
  <c r="AJ133" i="3"/>
  <c r="F133" i="1"/>
  <c r="V134" i="3"/>
  <c r="DW137" i="3"/>
  <c r="AS137" i="1"/>
  <c r="DZ141" i="3"/>
  <c r="AV141" i="1"/>
  <c r="DG145" i="3"/>
  <c r="F145" i="1"/>
  <c r="AJ145" i="3"/>
  <c r="AB145" i="3"/>
  <c r="AA145" i="3"/>
  <c r="W145" i="3"/>
  <c r="Y145" i="3"/>
  <c r="V145" i="3"/>
  <c r="AF157" i="3"/>
  <c r="F157" i="1"/>
  <c r="V162" i="3"/>
  <c r="BA190" i="3"/>
  <c r="AS190" i="1"/>
  <c r="AP198" i="3"/>
  <c r="EV198" i="3" s="1"/>
  <c r="N198" i="1" s="1"/>
  <c r="P198" i="1" s="1"/>
  <c r="F198" i="1"/>
  <c r="AO198" i="3"/>
  <c r="AD198" i="3"/>
  <c r="DY229" i="3"/>
  <c r="AU229" i="1"/>
  <c r="K229" i="1"/>
  <c r="AK233" i="3"/>
  <c r="N235" i="3"/>
  <c r="F235" i="1"/>
  <c r="BL25" i="3"/>
  <c r="AT25" i="1"/>
  <c r="DZ42" i="3"/>
  <c r="AV42" i="1"/>
  <c r="CO60" i="3"/>
  <c r="AS60" i="1"/>
  <c r="N104" i="3"/>
  <c r="F104" i="1"/>
  <c r="AG131" i="3"/>
  <c r="F131" i="1"/>
  <c r="F173" i="1"/>
  <c r="AP173" i="3"/>
  <c r="EV173" i="3" s="1"/>
  <c r="AE173" i="3"/>
  <c r="DZ181" i="3"/>
  <c r="AV181" i="1"/>
  <c r="CP213" i="3"/>
  <c r="AT213" i="1"/>
  <c r="DW18" i="3"/>
  <c r="AS18" i="1"/>
  <c r="K20" i="1"/>
  <c r="DW23" i="3"/>
  <c r="AS23" i="1"/>
  <c r="DW55" i="3"/>
  <c r="AS55" i="1"/>
  <c r="DX59" i="3"/>
  <c r="AT59" i="1"/>
  <c r="AN81" i="3"/>
  <c r="F81" i="1"/>
  <c r="AN86" i="3"/>
  <c r="F86" i="1"/>
  <c r="DX101" i="3"/>
  <c r="AT101" i="1"/>
  <c r="DY166" i="3"/>
  <c r="AU166" i="1"/>
  <c r="DZ182" i="3"/>
  <c r="AV182" i="1"/>
  <c r="DZ184" i="3"/>
  <c r="AV184" i="1"/>
  <c r="DT189" i="3"/>
  <c r="F189" i="1"/>
  <c r="BA201" i="3"/>
  <c r="AS201" i="1"/>
  <c r="AU238" i="1"/>
  <c r="Y35" i="3"/>
  <c r="F35" i="1"/>
  <c r="DY39" i="3"/>
  <c r="AU39" i="1"/>
  <c r="BK44" i="3"/>
  <c r="AU44" i="1"/>
  <c r="DY53" i="3"/>
  <c r="AU53" i="1"/>
  <c r="K101" i="1"/>
  <c r="AP204" i="3"/>
  <c r="F204" i="1"/>
  <c r="BK211" i="3"/>
  <c r="AS211" i="1"/>
  <c r="L243" i="1"/>
  <c r="K243" i="1"/>
  <c r="AJ28" i="3"/>
  <c r="F28" i="1"/>
  <c r="U37" i="3"/>
  <c r="F37" i="1"/>
  <c r="BK82" i="3"/>
  <c r="AS82" i="1"/>
  <c r="DW113" i="3"/>
  <c r="AS113" i="1"/>
  <c r="DG169" i="3"/>
  <c r="F169" i="1"/>
  <c r="BA185" i="3"/>
  <c r="AS185" i="1"/>
  <c r="AS214" i="1"/>
  <c r="CQ226" i="3"/>
  <c r="AS226" i="1"/>
  <c r="DX30" i="3"/>
  <c r="AT30" i="1"/>
  <c r="DZ120" i="3"/>
  <c r="AV120" i="1"/>
  <c r="AS121" i="1"/>
  <c r="DW121" i="3"/>
  <c r="AS217" i="1"/>
  <c r="CO217" i="3"/>
  <c r="BC217" i="3"/>
  <c r="P227" i="3"/>
  <c r="DW103" i="3"/>
  <c r="AS103" i="1"/>
  <c r="DX121" i="3"/>
  <c r="AT121" i="1"/>
  <c r="DW141" i="3"/>
  <c r="AS141" i="1"/>
  <c r="AL192" i="3"/>
  <c r="F192" i="1"/>
  <c r="DG192" i="3"/>
  <c r="AS192" i="3"/>
  <c r="W192" i="3"/>
  <c r="AJ192" i="3"/>
  <c r="X192" i="3"/>
  <c r="AG204" i="3"/>
  <c r="DZ207" i="3"/>
  <c r="AS108" i="1"/>
  <c r="DW108" i="3"/>
  <c r="AU121" i="1"/>
  <c r="DY121" i="3"/>
  <c r="AK197" i="3"/>
  <c r="F197" i="1"/>
  <c r="BA36" i="3"/>
  <c r="AS36" i="1"/>
  <c r="DY38" i="3"/>
  <c r="AU38" i="1"/>
  <c r="AB40" i="3"/>
  <c r="DZ121" i="3"/>
  <c r="AV121" i="1"/>
  <c r="AV125" i="1"/>
  <c r="AT125" i="1"/>
  <c r="CO226" i="3"/>
  <c r="X16" i="3"/>
  <c r="F16" i="1"/>
  <c r="AN24" i="3"/>
  <c r="F24" i="1"/>
  <c r="AH24" i="3"/>
  <c r="AF24" i="3"/>
  <c r="AI24" i="3"/>
  <c r="AK46" i="3"/>
  <c r="F46" i="1"/>
  <c r="AF46" i="1" s="1"/>
  <c r="AH49" i="3"/>
  <c r="F49" i="1"/>
  <c r="AN49" i="3"/>
  <c r="AA61" i="3"/>
  <c r="AQ70" i="3"/>
  <c r="R71" i="3"/>
  <c r="F71" i="1"/>
  <c r="AS73" i="3"/>
  <c r="BR73" i="3" s="1"/>
  <c r="F73" i="1"/>
  <c r="BP74" i="3"/>
  <c r="AG78" i="3"/>
  <c r="R79" i="3"/>
  <c r="F79" i="1"/>
  <c r="AO79" i="3"/>
  <c r="AP79" i="3"/>
  <c r="EV79" i="3" s="1"/>
  <c r="AR79" i="3"/>
  <c r="BO79" i="3" s="1"/>
  <c r="AF95" i="3"/>
  <c r="F95" i="1"/>
  <c r="S96" i="3"/>
  <c r="F96" i="1"/>
  <c r="V96" i="3"/>
  <c r="DZ108" i="3"/>
  <c r="AV108" i="1"/>
  <c r="BK124" i="3"/>
  <c r="AS124" i="1"/>
  <c r="DY132" i="3"/>
  <c r="AU132" i="1"/>
  <c r="W134" i="3"/>
  <c r="AM145" i="3"/>
  <c r="AW145" i="3" s="1"/>
  <c r="X148" i="3"/>
  <c r="F148" i="1"/>
  <c r="G174" i="3"/>
  <c r="AX174" i="3"/>
  <c r="AW174" i="3"/>
  <c r="V192" i="3"/>
  <c r="AO197" i="3"/>
  <c r="AB198" i="3"/>
  <c r="BA228" i="3"/>
  <c r="AS228" i="1"/>
  <c r="CO228" i="3"/>
  <c r="BC231" i="3"/>
  <c r="AS231" i="1"/>
  <c r="AV43" i="1"/>
  <c r="DZ43" i="3"/>
  <c r="BA56" i="3"/>
  <c r="AS56" i="1"/>
  <c r="AF172" i="3"/>
  <c r="F172" i="1"/>
  <c r="DW208" i="3"/>
  <c r="AS208" i="1"/>
  <c r="AK219" i="3"/>
  <c r="F219" i="1"/>
  <c r="AG219" i="3"/>
  <c r="AE219" i="3"/>
  <c r="Q219" i="3"/>
  <c r="AB219" i="3"/>
  <c r="T219" i="3"/>
  <c r="S219" i="3"/>
  <c r="AM39" i="3"/>
  <c r="F39" i="1"/>
  <c r="AF39" i="1" s="1"/>
  <c r="K39" i="1"/>
  <c r="CQ101" i="3"/>
  <c r="AU101" i="1"/>
  <c r="BK127" i="3"/>
  <c r="AS127" i="1"/>
  <c r="CO179" i="3"/>
  <c r="AS179" i="1"/>
  <c r="U187" i="3"/>
  <c r="F187" i="1"/>
  <c r="AO187" i="3"/>
  <c r="DX203" i="3"/>
  <c r="AT203" i="1"/>
  <c r="N219" i="3"/>
  <c r="AV238" i="1"/>
  <c r="DZ39" i="3"/>
  <c r="AV39" i="1"/>
  <c r="DY109" i="3"/>
  <c r="AU109" i="1"/>
  <c r="AU126" i="1"/>
  <c r="AS126" i="1"/>
  <c r="AS151" i="1"/>
  <c r="BA151" i="3"/>
  <c r="N155" i="3"/>
  <c r="F155" i="1"/>
  <c r="AH155" i="3"/>
  <c r="AE155" i="3"/>
  <c r="AD155" i="3"/>
  <c r="AC155" i="3"/>
  <c r="W155" i="3"/>
  <c r="AE164" i="3"/>
  <c r="F164" i="1"/>
  <c r="CO175" i="3"/>
  <c r="AS175" i="1"/>
  <c r="DY203" i="3"/>
  <c r="AU203" i="1"/>
  <c r="DX208" i="3"/>
  <c r="AO38" i="3"/>
  <c r="F38" i="1"/>
  <c r="DZ96" i="3"/>
  <c r="AV96" i="1"/>
  <c r="DZ109" i="3"/>
  <c r="AV109" i="1"/>
  <c r="AB114" i="3"/>
  <c r="BK201" i="3"/>
  <c r="AD204" i="3"/>
  <c r="AK207" i="3"/>
  <c r="F207" i="1"/>
  <c r="AQ207" i="3"/>
  <c r="DX92" i="3"/>
  <c r="AT92" i="1"/>
  <c r="DX100" i="3"/>
  <c r="AT100" i="1"/>
  <c r="K111" i="1"/>
  <c r="AF114" i="3"/>
  <c r="AT223" i="1"/>
  <c r="J260" i="1"/>
  <c r="DY100" i="3"/>
  <c r="AU100" i="1"/>
  <c r="AS107" i="1"/>
  <c r="F111" i="1"/>
  <c r="AF111" i="1" s="1"/>
  <c r="AP111" i="3"/>
  <c r="ER111" i="3" s="1"/>
  <c r="AN111" i="3"/>
  <c r="AQ111" i="3"/>
  <c r="AG123" i="3"/>
  <c r="F123" i="1"/>
  <c r="V123" i="3"/>
  <c r="O123" i="3"/>
  <c r="U123" i="3"/>
  <c r="N123" i="3"/>
  <c r="S123" i="3"/>
  <c r="Q123" i="3"/>
  <c r="F162" i="1"/>
  <c r="AG162" i="3"/>
  <c r="AC162" i="3"/>
  <c r="DT162" i="3"/>
  <c r="AQ162" i="3"/>
  <c r="AM162" i="3"/>
  <c r="AT162" i="3" s="1"/>
  <c r="AH162" i="3"/>
  <c r="O192" i="3"/>
  <c r="AR204" i="3"/>
  <c r="BO204" i="3" s="1"/>
  <c r="AD207" i="3"/>
  <c r="AB70" i="3"/>
  <c r="DY141" i="3"/>
  <c r="AU141" i="1"/>
  <c r="BA155" i="3"/>
  <c r="AS155" i="1"/>
  <c r="T197" i="3"/>
  <c r="AS20" i="3"/>
  <c r="J20" i="1" s="1"/>
  <c r="F20" i="1"/>
  <c r="AF20" i="1" s="1"/>
  <c r="AS51" i="1"/>
  <c r="DW51" i="3"/>
  <c r="AB56" i="3"/>
  <c r="F56" i="1"/>
  <c r="AN58" i="3"/>
  <c r="F58" i="1"/>
  <c r="AF58" i="1" s="1"/>
  <c r="AC58" i="3"/>
  <c r="AS70" i="3"/>
  <c r="J70" i="1" s="1"/>
  <c r="AK72" i="3"/>
  <c r="F72" i="1"/>
  <c r="AL107" i="3"/>
  <c r="F107" i="1"/>
  <c r="AS107" i="3"/>
  <c r="J107" i="1" s="1"/>
  <c r="AE107" i="3"/>
  <c r="V107" i="3"/>
  <c r="AR107" i="3"/>
  <c r="AQ107" i="3"/>
  <c r="AP107" i="3"/>
  <c r="EZ107" i="3" s="1"/>
  <c r="DW116" i="3"/>
  <c r="AS116" i="1"/>
  <c r="AA119" i="3"/>
  <c r="F119" i="1"/>
  <c r="AM119" i="3"/>
  <c r="F120" i="1"/>
  <c r="N120" i="3"/>
  <c r="DX124" i="3"/>
  <c r="AT124" i="1"/>
  <c r="AV132" i="1"/>
  <c r="DZ132" i="3"/>
  <c r="AN145" i="3"/>
  <c r="DZ145" i="3"/>
  <c r="AV145" i="1"/>
  <c r="N147" i="3"/>
  <c r="F147" i="1"/>
  <c r="G151" i="3"/>
  <c r="AW151" i="3"/>
  <c r="DW156" i="3"/>
  <c r="AS156" i="1"/>
  <c r="AB162" i="3"/>
  <c r="DW182" i="3"/>
  <c r="AS182" i="1"/>
  <c r="AC198" i="3"/>
  <c r="DY228" i="3"/>
  <c r="AU228" i="1"/>
  <c r="CO230" i="3"/>
  <c r="AS230" i="1"/>
  <c r="AF236" i="3"/>
  <c r="F236" i="1"/>
  <c r="AJ236" i="3"/>
  <c r="W236" i="3"/>
  <c r="AI236" i="3"/>
  <c r="T236" i="3"/>
  <c r="AT15" i="1"/>
  <c r="DX15" i="3"/>
  <c r="AV17" i="1"/>
  <c r="AT17" i="1"/>
  <c r="AI19" i="3"/>
  <c r="F19" i="1"/>
  <c r="DY43" i="3"/>
  <c r="AU43" i="1"/>
  <c r="DY123" i="3"/>
  <c r="AS123" i="1"/>
  <c r="DY182" i="3"/>
  <c r="AU182" i="1"/>
  <c r="AV183" i="1"/>
  <c r="AT183" i="1"/>
  <c r="CO192" i="3"/>
  <c r="AS192" i="1"/>
  <c r="AK194" i="3"/>
  <c r="F194" i="1"/>
  <c r="V194" i="3"/>
  <c r="AD194" i="3"/>
  <c r="Z194" i="3"/>
  <c r="BL212" i="3"/>
  <c r="AT212" i="1"/>
  <c r="AT44" i="1"/>
  <c r="CP44" i="3"/>
  <c r="DX53" i="3"/>
  <c r="AT53" i="1"/>
  <c r="AS79" i="1"/>
  <c r="BA79" i="3"/>
  <c r="O88" i="3"/>
  <c r="F88" i="1"/>
  <c r="AK88" i="3"/>
  <c r="AQ100" i="3"/>
  <c r="F100" i="1"/>
  <c r="BK153" i="3"/>
  <c r="AS153" i="1"/>
  <c r="AC180" i="3"/>
  <c r="F180" i="1"/>
  <c r="CO186" i="3"/>
  <c r="AS186" i="1"/>
  <c r="BA193" i="3"/>
  <c r="AS193" i="1"/>
  <c r="DX55" i="3"/>
  <c r="AT55" i="1"/>
  <c r="DY148" i="3"/>
  <c r="AU148" i="1"/>
  <c r="AJ163" i="3"/>
  <c r="F163" i="1"/>
  <c r="DZ166" i="3"/>
  <c r="AV166" i="1"/>
  <c r="AH170" i="3"/>
  <c r="F170" i="1"/>
  <c r="AT186" i="1"/>
  <c r="BL186" i="3"/>
  <c r="AR227" i="3"/>
  <c r="BO227" i="3" s="1"/>
  <c r="F227" i="1"/>
  <c r="AA227" i="3"/>
  <c r="AM227" i="3"/>
  <c r="AT227" i="3" s="1"/>
  <c r="AC227" i="3"/>
  <c r="AL227" i="3"/>
  <c r="AF227" i="3"/>
  <c r="DW52" i="3"/>
  <c r="AS52" i="1"/>
  <c r="BA83" i="3"/>
  <c r="AS83" i="1"/>
  <c r="K109" i="1"/>
  <c r="AQ112" i="3"/>
  <c r="F112" i="1"/>
  <c r="ET176" i="3"/>
  <c r="O176" i="1"/>
  <c r="Q176" i="1" s="1"/>
  <c r="DY186" i="3"/>
  <c r="AU186" i="1"/>
  <c r="V204" i="3"/>
  <c r="BL211" i="3"/>
  <c r="AT211" i="1"/>
  <c r="CP211" i="3"/>
  <c r="BM220" i="3"/>
  <c r="F220" i="1"/>
  <c r="AL36" i="3"/>
  <c r="F36" i="1"/>
  <c r="DW223" i="3"/>
  <c r="AS223" i="1"/>
  <c r="BA35" i="3"/>
  <c r="AS35" i="1"/>
  <c r="BA91" i="3"/>
  <c r="AS91" i="1"/>
  <c r="CO122" i="3"/>
  <c r="AS122" i="1"/>
  <c r="DZ195" i="3"/>
  <c r="AV195" i="1"/>
  <c r="K221" i="1"/>
  <c r="Q227" i="3"/>
  <c r="CO34" i="3"/>
  <c r="AS34" i="1"/>
  <c r="AR77" i="3"/>
  <c r="BO77" i="3" s="1"/>
  <c r="F77" i="1"/>
  <c r="V109" i="3"/>
  <c r="F109" i="1"/>
  <c r="AF109" i="1" s="1"/>
  <c r="AT122" i="1"/>
  <c r="CP122" i="3"/>
  <c r="DZ221" i="3"/>
  <c r="AV221" i="1"/>
  <c r="BT29" i="3"/>
  <c r="DY50" i="3"/>
  <c r="AU50" i="1"/>
  <c r="AC111" i="3"/>
  <c r="DW132" i="3"/>
  <c r="AS132" i="1"/>
  <c r="S162" i="3"/>
  <c r="S227" i="3"/>
  <c r="BQ15" i="3"/>
  <c r="J15" i="1"/>
  <c r="DX42" i="3"/>
  <c r="AT42" i="1"/>
  <c r="DW15" i="3"/>
  <c r="AS15" i="1"/>
  <c r="AS17" i="1"/>
  <c r="AM20" i="3"/>
  <c r="DZ26" i="3"/>
  <c r="AV26" i="1"/>
  <c r="CO29" i="3"/>
  <c r="AS29" i="1"/>
  <c r="DY42" i="3"/>
  <c r="AU42" i="1"/>
  <c r="DX43" i="3"/>
  <c r="AT43" i="1"/>
  <c r="Z49" i="3"/>
  <c r="AQ54" i="3"/>
  <c r="F54" i="1"/>
  <c r="AS54" i="3"/>
  <c r="J54" i="1" s="1"/>
  <c r="Q58" i="3"/>
  <c r="AI61" i="3"/>
  <c r="W64" i="3"/>
  <c r="AJ65" i="3"/>
  <c r="F65" i="1"/>
  <c r="Z83" i="3"/>
  <c r="F83" i="1"/>
  <c r="AW91" i="3"/>
  <c r="AX91" i="3"/>
  <c r="O107" i="3"/>
  <c r="AV114" i="1"/>
  <c r="DZ114" i="3"/>
  <c r="BK118" i="3"/>
  <c r="AS118" i="1"/>
  <c r="Z119" i="3"/>
  <c r="AC146" i="3"/>
  <c r="F146" i="1"/>
  <c r="DX156" i="3"/>
  <c r="AT156" i="1"/>
  <c r="DW157" i="3"/>
  <c r="AS157" i="1"/>
  <c r="DX182" i="3"/>
  <c r="AT182" i="1"/>
  <c r="BA184" i="3"/>
  <c r="AS184" i="1"/>
  <c r="AK214" i="3"/>
  <c r="F214" i="1"/>
  <c r="AX219" i="3"/>
  <c r="BC232" i="3"/>
  <c r="AS232" i="1"/>
  <c r="DY18" i="3"/>
  <c r="AU18" i="1"/>
  <c r="AP32" i="3"/>
  <c r="F32" i="1"/>
  <c r="DY55" i="3"/>
  <c r="AU55" i="1"/>
  <c r="AL66" i="3"/>
  <c r="F66" i="1"/>
  <c r="DZ111" i="3"/>
  <c r="AV111" i="1"/>
  <c r="CO133" i="3"/>
  <c r="AS133" i="1"/>
  <c r="T149" i="3"/>
  <c r="F149" i="1"/>
  <c r="AM151" i="3"/>
  <c r="F151" i="1"/>
  <c r="AS174" i="3"/>
  <c r="BR174" i="3" s="1"/>
  <c r="F174" i="1"/>
  <c r="EY181" i="3"/>
  <c r="O181" i="1"/>
  <c r="AQ25" i="3"/>
  <c r="AG31" i="3"/>
  <c r="F31" i="1"/>
  <c r="DX69" i="3"/>
  <c r="K69" i="1"/>
  <c r="DY74" i="3"/>
  <c r="AU74" i="1"/>
  <c r="AH90" i="3"/>
  <c r="F90" i="1"/>
  <c r="CP112" i="3"/>
  <c r="AT112" i="1"/>
  <c r="N137" i="3"/>
  <c r="CP139" i="3"/>
  <c r="K139" i="1"/>
  <c r="BA150" i="3"/>
  <c r="AS150" i="1"/>
  <c r="P151" i="3"/>
  <c r="AO158" i="3"/>
  <c r="F158" i="1"/>
  <c r="AC174" i="3"/>
  <c r="DY180" i="3"/>
  <c r="AU180" i="1"/>
  <c r="BA197" i="3"/>
  <c r="AS197" i="1"/>
  <c r="DY234" i="3"/>
  <c r="AU234" i="1"/>
  <c r="AG14" i="3"/>
  <c r="AR15" i="3"/>
  <c r="BO15" i="3" s="1"/>
  <c r="P25" i="3"/>
  <c r="AR25" i="3"/>
  <c r="Z29" i="3"/>
  <c r="Y30" i="3"/>
  <c r="O33" i="3"/>
  <c r="AG41" i="3"/>
  <c r="F41" i="1"/>
  <c r="CP48" i="3"/>
  <c r="AT48" i="1"/>
  <c r="AB51" i="3"/>
  <c r="F51" i="1"/>
  <c r="Q55" i="3"/>
  <c r="F55" i="1"/>
  <c r="CQ62" i="3"/>
  <c r="AS62" i="1"/>
  <c r="CO70" i="3"/>
  <c r="AS70" i="1"/>
  <c r="DY71" i="3"/>
  <c r="AU71" i="1"/>
  <c r="DZ74" i="3"/>
  <c r="AV74" i="1"/>
  <c r="BA78" i="3"/>
  <c r="AS78" i="1"/>
  <c r="V98" i="3"/>
  <c r="F98" i="1"/>
  <c r="AB99" i="3"/>
  <c r="F99" i="1"/>
  <c r="DW102" i="3"/>
  <c r="AS102" i="1"/>
  <c r="AI106" i="3"/>
  <c r="F106" i="1"/>
  <c r="DY110" i="3"/>
  <c r="AU110" i="1"/>
  <c r="AQ125" i="3"/>
  <c r="F125" i="1"/>
  <c r="AB127" i="3"/>
  <c r="F127" i="1"/>
  <c r="AQ132" i="3"/>
  <c r="P137" i="3"/>
  <c r="BA138" i="3"/>
  <c r="AS138" i="1"/>
  <c r="AK139" i="3"/>
  <c r="F139" i="1"/>
  <c r="AF139" i="1" s="1"/>
  <c r="DZ139" i="3"/>
  <c r="AV139" i="1"/>
  <c r="AJ140" i="3"/>
  <c r="F140" i="1"/>
  <c r="Q152" i="3"/>
  <c r="F152" i="1"/>
  <c r="AA153" i="3"/>
  <c r="AK159" i="3"/>
  <c r="F159" i="1"/>
  <c r="AR159" i="3"/>
  <c r="BM159" i="3" s="1"/>
  <c r="DJ159" i="3" s="1"/>
  <c r="BA169" i="3"/>
  <c r="BA170" i="3"/>
  <c r="AS170" i="1"/>
  <c r="BL176" i="3"/>
  <c r="AV176" i="1"/>
  <c r="AJ178" i="3"/>
  <c r="F178" i="1"/>
  <c r="DZ180" i="3"/>
  <c r="AV180" i="1"/>
  <c r="DW189" i="3"/>
  <c r="AS189" i="1"/>
  <c r="S191" i="3"/>
  <c r="DX191" i="3"/>
  <c r="AT191" i="1"/>
  <c r="N201" i="3"/>
  <c r="F201" i="1"/>
  <c r="BA204" i="3"/>
  <c r="AS204" i="1"/>
  <c r="DZ234" i="3"/>
  <c r="AV234" i="1"/>
  <c r="J243" i="1"/>
  <c r="K23" i="1"/>
  <c r="BK27" i="3"/>
  <c r="AS27" i="1"/>
  <c r="DZ38" i="3"/>
  <c r="AV38" i="1"/>
  <c r="K58" i="1"/>
  <c r="DY83" i="3"/>
  <c r="AU83" i="1"/>
  <c r="AT123" i="1"/>
  <c r="Q177" i="3"/>
  <c r="F177" i="1"/>
  <c r="AI200" i="3"/>
  <c r="F200" i="1"/>
  <c r="DW235" i="3"/>
  <c r="AS235" i="1"/>
  <c r="AK21" i="3"/>
  <c r="F21" i="1"/>
  <c r="DM69" i="3"/>
  <c r="AS69" i="1"/>
  <c r="CO80" i="3"/>
  <c r="AS80" i="1"/>
  <c r="BL130" i="3"/>
  <c r="AT130" i="1"/>
  <c r="K203" i="1"/>
  <c r="DY13" i="3"/>
  <c r="AU13" i="1"/>
  <c r="AN22" i="3"/>
  <c r="F22" i="1"/>
  <c r="Y23" i="3"/>
  <c r="F23" i="1"/>
  <c r="AF23" i="1" s="1"/>
  <c r="DW28" i="3"/>
  <c r="AS28" i="1"/>
  <c r="AB29" i="3"/>
  <c r="BA32" i="3"/>
  <c r="AS32" i="1"/>
  <c r="P33" i="3"/>
  <c r="U43" i="3"/>
  <c r="F43" i="1"/>
  <c r="DW49" i="3"/>
  <c r="AS49" i="1"/>
  <c r="AH51" i="3"/>
  <c r="CO54" i="3"/>
  <c r="AS54" i="1"/>
  <c r="DW58" i="3"/>
  <c r="AS58" i="1"/>
  <c r="CQ61" i="3"/>
  <c r="AS61" i="1"/>
  <c r="N67" i="3"/>
  <c r="F67" i="1"/>
  <c r="DZ71" i="3"/>
  <c r="AV71" i="1"/>
  <c r="AL80" i="3"/>
  <c r="F80" i="1"/>
  <c r="BA85" i="3"/>
  <c r="AS85" i="1"/>
  <c r="DX93" i="3"/>
  <c r="AT93" i="1"/>
  <c r="DW96" i="3"/>
  <c r="AS96" i="1"/>
  <c r="AR98" i="3"/>
  <c r="Q99" i="3"/>
  <c r="DZ110" i="3"/>
  <c r="AV110" i="1"/>
  <c r="O115" i="3"/>
  <c r="F115" i="1"/>
  <c r="AF115" i="1" s="1"/>
  <c r="AG117" i="3"/>
  <c r="F117" i="1"/>
  <c r="BK119" i="3"/>
  <c r="AS119" i="1"/>
  <c r="P121" i="3"/>
  <c r="F121" i="1"/>
  <c r="N127" i="3"/>
  <c r="DZ131" i="3"/>
  <c r="AV131" i="1"/>
  <c r="AR132" i="3"/>
  <c r="BK133" i="3"/>
  <c r="DY135" i="3"/>
  <c r="AU135" i="1"/>
  <c r="W137" i="3"/>
  <c r="DY138" i="3"/>
  <c r="AU138" i="1"/>
  <c r="CY139" i="3"/>
  <c r="AK141" i="3"/>
  <c r="DS141" i="3" s="1"/>
  <c r="F141" i="1"/>
  <c r="AC150" i="3"/>
  <c r="F150" i="1"/>
  <c r="AB153" i="3"/>
  <c r="CO168" i="3"/>
  <c r="AS168" i="1"/>
  <c r="BK177" i="3"/>
  <c r="AS177" i="1"/>
  <c r="DT179" i="3"/>
  <c r="F179" i="1"/>
  <c r="BA187" i="3"/>
  <c r="AS187" i="1"/>
  <c r="BA188" i="3"/>
  <c r="AS188" i="1"/>
  <c r="DX189" i="3"/>
  <c r="AT189" i="1"/>
  <c r="U191" i="3"/>
  <c r="DY191" i="3"/>
  <c r="AU191" i="1"/>
  <c r="K191" i="1"/>
  <c r="AS193" i="3"/>
  <c r="J193" i="1" s="1"/>
  <c r="F193" i="1"/>
  <c r="BK200" i="3"/>
  <c r="AS200" i="1"/>
  <c r="AM202" i="3"/>
  <c r="F202" i="1"/>
  <c r="Z203" i="3"/>
  <c r="F203" i="1"/>
  <c r="AF203" i="1" s="1"/>
  <c r="DW207" i="3"/>
  <c r="AS207" i="1"/>
  <c r="AQ213" i="3"/>
  <c r="F213" i="1"/>
  <c r="K215" i="1"/>
  <c r="K220" i="1"/>
  <c r="O226" i="3"/>
  <c r="F226" i="1"/>
  <c r="DZ44" i="3"/>
  <c r="AV44" i="1"/>
  <c r="BA47" i="3"/>
  <c r="AS47" i="1"/>
  <c r="DX74" i="3"/>
  <c r="AT74" i="1"/>
  <c r="BA75" i="3"/>
  <c r="AS75" i="1"/>
  <c r="DW86" i="3"/>
  <c r="AS86" i="1"/>
  <c r="BA130" i="3"/>
  <c r="AS130" i="1"/>
  <c r="K160" i="1"/>
  <c r="CO163" i="3"/>
  <c r="AS163" i="1"/>
  <c r="DZ186" i="3"/>
  <c r="AV186" i="1"/>
  <c r="AO224" i="3"/>
  <c r="F224" i="1"/>
  <c r="AK25" i="3"/>
  <c r="F25" i="1"/>
  <c r="AC26" i="3"/>
  <c r="DZ29" i="3"/>
  <c r="AV29" i="1"/>
  <c r="BA68" i="3"/>
  <c r="AS68" i="1"/>
  <c r="DX86" i="3"/>
  <c r="AT86" i="1"/>
  <c r="N89" i="3"/>
  <c r="F89" i="1"/>
  <c r="DY103" i="3"/>
  <c r="AU103" i="1"/>
  <c r="R159" i="1"/>
  <c r="Q159" i="1" s="1"/>
  <c r="AC195" i="3"/>
  <c r="F195" i="1"/>
  <c r="AK15" i="3"/>
  <c r="F15" i="1"/>
  <c r="R25" i="3"/>
  <c r="AB27" i="3"/>
  <c r="F27" i="1"/>
  <c r="BA31" i="3"/>
  <c r="AS31" i="1"/>
  <c r="DW39" i="3"/>
  <c r="AS39" i="1"/>
  <c r="AA60" i="3"/>
  <c r="F60" i="1"/>
  <c r="DY66" i="3"/>
  <c r="AU66" i="1"/>
  <c r="O67" i="3"/>
  <c r="T80" i="3"/>
  <c r="BL85" i="3"/>
  <c r="AT85" i="1"/>
  <c r="CQ88" i="3"/>
  <c r="AS88" i="1"/>
  <c r="BC89" i="3"/>
  <c r="AS89" i="1"/>
  <c r="AG93" i="3"/>
  <c r="F93" i="1"/>
  <c r="DY93" i="3"/>
  <c r="AU93" i="1"/>
  <c r="BA94" i="3"/>
  <c r="AS94" i="1"/>
  <c r="DX96" i="3"/>
  <c r="AT96" i="1"/>
  <c r="AG99" i="3"/>
  <c r="K102" i="1"/>
  <c r="AO103" i="3"/>
  <c r="F103" i="1"/>
  <c r="AF103" i="1" s="1"/>
  <c r="DX103" i="3"/>
  <c r="DW109" i="3"/>
  <c r="AS109" i="1"/>
  <c r="DW114" i="3"/>
  <c r="AS114" i="1"/>
  <c r="AN116" i="3"/>
  <c r="F116" i="1"/>
  <c r="AB117" i="3"/>
  <c r="O127" i="3"/>
  <c r="AN135" i="3"/>
  <c r="F135" i="1"/>
  <c r="DZ138" i="3"/>
  <c r="AV138" i="1"/>
  <c r="AQ141" i="3"/>
  <c r="AN143" i="3"/>
  <c r="F143" i="1"/>
  <c r="DW145" i="3"/>
  <c r="AS145" i="1"/>
  <c r="CQ149" i="3"/>
  <c r="O150" i="3"/>
  <c r="AI153" i="3"/>
  <c r="K154" i="1"/>
  <c r="DY168" i="3"/>
  <c r="AU168" i="1"/>
  <c r="AI175" i="3"/>
  <c r="O179" i="3"/>
  <c r="DY189" i="3"/>
  <c r="AU189" i="1"/>
  <c r="DZ191" i="3"/>
  <c r="AV191" i="1"/>
  <c r="P193" i="3"/>
  <c r="DG193" i="3"/>
  <c r="BA195" i="3"/>
  <c r="AS195" i="1"/>
  <c r="W196" i="3"/>
  <c r="F196" i="1"/>
  <c r="BK199" i="3"/>
  <c r="AS199" i="1"/>
  <c r="DX207" i="3"/>
  <c r="AT207" i="1"/>
  <c r="DW222" i="3"/>
  <c r="AS222" i="1"/>
  <c r="AH229" i="3"/>
  <c r="F229" i="1"/>
  <c r="AF229" i="1" s="1"/>
  <c r="AL232" i="3"/>
  <c r="F232" i="1"/>
  <c r="DX52" i="3"/>
  <c r="AT52" i="1"/>
  <c r="BC81" i="3"/>
  <c r="AS81" i="1"/>
  <c r="AN85" i="3"/>
  <c r="F85" i="1"/>
  <c r="BA112" i="3"/>
  <c r="AS112" i="1"/>
  <c r="K115" i="1"/>
  <c r="AL137" i="3"/>
  <c r="F137" i="1"/>
  <c r="DX139" i="3"/>
  <c r="AT139" i="1"/>
  <c r="AO188" i="3"/>
  <c r="F188" i="1"/>
  <c r="CQ216" i="3"/>
  <c r="AS216" i="1"/>
  <c r="DX234" i="3"/>
  <c r="AT234" i="1"/>
  <c r="W14" i="3"/>
  <c r="DZ18" i="3"/>
  <c r="AV18" i="1"/>
  <c r="T29" i="3"/>
  <c r="F29" i="1"/>
  <c r="X30" i="3"/>
  <c r="DZ37" i="3"/>
  <c r="AV37" i="1"/>
  <c r="DS42" i="3"/>
  <c r="F42" i="1"/>
  <c r="BA48" i="3"/>
  <c r="AS48" i="1"/>
  <c r="K52" i="1"/>
  <c r="K250" i="1" s="1"/>
  <c r="BA87" i="3"/>
  <c r="AS87" i="1"/>
  <c r="AR91" i="3"/>
  <c r="U97" i="3"/>
  <c r="F97" i="1"/>
  <c r="K103" i="1"/>
  <c r="DY139" i="3"/>
  <c r="AU139" i="1"/>
  <c r="N160" i="3"/>
  <c r="F160" i="1"/>
  <c r="AF160" i="1" s="1"/>
  <c r="AK191" i="3"/>
  <c r="F191" i="1"/>
  <c r="AF191" i="1" s="1"/>
  <c r="DZ13" i="3"/>
  <c r="AV13" i="1"/>
  <c r="AM18" i="3"/>
  <c r="AU18" i="3" s="1"/>
  <c r="F18" i="1"/>
  <c r="U25" i="3"/>
  <c r="DY26" i="3"/>
  <c r="AU26" i="1"/>
  <c r="W27" i="3"/>
  <c r="AF29" i="3"/>
  <c r="DW30" i="3"/>
  <c r="AS30" i="1"/>
  <c r="DX39" i="3"/>
  <c r="AT39" i="1"/>
  <c r="AS40" i="1"/>
  <c r="AS41" i="1"/>
  <c r="DW42" i="3"/>
  <c r="AS42" i="1"/>
  <c r="N44" i="3"/>
  <c r="F44" i="1"/>
  <c r="K46" i="1"/>
  <c r="DW50" i="3"/>
  <c r="AS50" i="1"/>
  <c r="P60" i="3"/>
  <c r="DZ66" i="3"/>
  <c r="AV66" i="1"/>
  <c r="V67" i="3"/>
  <c r="W80" i="3"/>
  <c r="DZ93" i="3"/>
  <c r="AV93" i="1"/>
  <c r="DY96" i="3"/>
  <c r="AU96" i="1"/>
  <c r="DW101" i="3"/>
  <c r="AS101" i="1"/>
  <c r="X103" i="3"/>
  <c r="DZ103" i="3"/>
  <c r="AG105" i="3"/>
  <c r="F105" i="1"/>
  <c r="DX109" i="3"/>
  <c r="AT109" i="1"/>
  <c r="AI117" i="3"/>
  <c r="DT117" i="3"/>
  <c r="BK125" i="3"/>
  <c r="AS125" i="1"/>
  <c r="P127" i="3"/>
  <c r="Z128" i="3"/>
  <c r="T135" i="3"/>
  <c r="AI137" i="3"/>
  <c r="DW140" i="3"/>
  <c r="AS140" i="1"/>
  <c r="AN142" i="3"/>
  <c r="F142" i="1"/>
  <c r="N143" i="3"/>
  <c r="AF150" i="3"/>
  <c r="BK152" i="3"/>
  <c r="AS152" i="1"/>
  <c r="AK153" i="3"/>
  <c r="AF156" i="3"/>
  <c r="F156" i="1"/>
  <c r="AU165" i="1"/>
  <c r="AS165" i="1"/>
  <c r="AL167" i="3"/>
  <c r="F167" i="1"/>
  <c r="DZ168" i="3"/>
  <c r="AV168" i="1"/>
  <c r="BK171" i="3"/>
  <c r="BK172" i="3"/>
  <c r="AJ175" i="3"/>
  <c r="T179" i="3"/>
  <c r="K186" i="1"/>
  <c r="Z191" i="3"/>
  <c r="Q193" i="3"/>
  <c r="DY195" i="3"/>
  <c r="AU195" i="1"/>
  <c r="DY207" i="3"/>
  <c r="AU207" i="1"/>
  <c r="AI216" i="3"/>
  <c r="F216" i="1"/>
  <c r="DX222" i="3"/>
  <c r="AT222" i="1"/>
  <c r="T229" i="3"/>
  <c r="AQ230" i="3"/>
  <c r="F230" i="1"/>
  <c r="DG231" i="3"/>
  <c r="F231" i="1"/>
  <c r="P232" i="3"/>
  <c r="DG232" i="3"/>
  <c r="AT238" i="1"/>
  <c r="AW41" i="3"/>
  <c r="G41" i="3"/>
  <c r="DG17" i="3"/>
  <c r="AI17" i="3"/>
  <c r="AG17" i="3"/>
  <c r="AH17" i="3"/>
  <c r="AF17" i="3"/>
  <c r="X17" i="3"/>
  <c r="V17" i="3"/>
  <c r="U17" i="3"/>
  <c r="Q65" i="1"/>
  <c r="M65" i="1"/>
  <c r="L65" i="1"/>
  <c r="AH64" i="3"/>
  <c r="AE64" i="3"/>
  <c r="AK132" i="3"/>
  <c r="AL132" i="3"/>
  <c r="AE132" i="3"/>
  <c r="AB132" i="3"/>
  <c r="AA132" i="3"/>
  <c r="Z132" i="3"/>
  <c r="R132" i="3"/>
  <c r="Q132" i="3"/>
  <c r="P132" i="3"/>
  <c r="N132" i="3"/>
  <c r="BA178" i="3"/>
  <c r="CO178" i="3"/>
  <c r="Z172" i="3"/>
  <c r="AJ186" i="3"/>
  <c r="T186" i="3"/>
  <c r="DT186" i="3"/>
  <c r="AK186" i="3"/>
  <c r="AG186" i="3"/>
  <c r="BC194" i="3"/>
  <c r="BA194" i="3"/>
  <c r="BL127" i="3"/>
  <c r="BL142" i="3"/>
  <c r="DX142" i="3"/>
  <c r="AK226" i="3"/>
  <c r="AJ226" i="3"/>
  <c r="AH226" i="3"/>
  <c r="P226" i="3"/>
  <c r="AG226" i="3"/>
  <c r="AB226" i="3"/>
  <c r="U226" i="3"/>
  <c r="T226" i="3"/>
  <c r="R226" i="3"/>
  <c r="Q226" i="3"/>
  <c r="AJ34" i="3"/>
  <c r="AP50" i="3"/>
  <c r="ER50" i="3" s="1"/>
  <c r="DT50" i="3"/>
  <c r="AS50" i="3"/>
  <c r="AO50" i="3"/>
  <c r="AN50" i="3"/>
  <c r="AJ50" i="3"/>
  <c r="AF50" i="3"/>
  <c r="DY52" i="3"/>
  <c r="CQ52" i="3"/>
  <c r="BA63" i="3"/>
  <c r="CO63" i="3"/>
  <c r="BK63" i="3"/>
  <c r="G85" i="3"/>
  <c r="AX85" i="3"/>
  <c r="AW85" i="3"/>
  <c r="CO136" i="3"/>
  <c r="BK136" i="3"/>
  <c r="O160" i="3"/>
  <c r="AE172" i="3"/>
  <c r="Z185" i="3"/>
  <c r="AB185" i="3"/>
  <c r="AN226" i="3"/>
  <c r="DT43" i="3"/>
  <c r="AS43" i="3"/>
  <c r="BP43" i="3" s="1"/>
  <c r="BQ43" i="3" s="1"/>
  <c r="AI43" i="3"/>
  <c r="AE43" i="3"/>
  <c r="AF43" i="3"/>
  <c r="AD43" i="3"/>
  <c r="X43" i="3"/>
  <c r="W43" i="3"/>
  <c r="V43" i="3"/>
  <c r="AJ82" i="3"/>
  <c r="AL82" i="3"/>
  <c r="N82" i="3"/>
  <c r="AK82" i="3"/>
  <c r="AC82" i="3"/>
  <c r="AA82" i="3"/>
  <c r="P82" i="3"/>
  <c r="W62" i="3"/>
  <c r="DG62" i="3"/>
  <c r="S43" i="3"/>
  <c r="AX132" i="3"/>
  <c r="AQ14" i="3"/>
  <c r="AR14" i="3"/>
  <c r="BO14" i="3" s="1"/>
  <c r="AJ14" i="3"/>
  <c r="AI14" i="3"/>
  <c r="AH14" i="3"/>
  <c r="CR52" i="3"/>
  <c r="G118" i="3"/>
  <c r="AX118" i="3"/>
  <c r="AP165" i="3"/>
  <c r="EV165" i="3" s="1"/>
  <c r="N165" i="1" s="1"/>
  <c r="P165" i="1" s="1"/>
  <c r="X165" i="3"/>
  <c r="AG165" i="3"/>
  <c r="W185" i="3"/>
  <c r="AO226" i="3"/>
  <c r="G176" i="3"/>
  <c r="AW176" i="3"/>
  <c r="AP226" i="3"/>
  <c r="EZ226" i="3" s="1"/>
  <c r="R226" i="1" s="1"/>
  <c r="DS71" i="3"/>
  <c r="AO71" i="3"/>
  <c r="AN71" i="3"/>
  <c r="AL71" i="3"/>
  <c r="AG71" i="3"/>
  <c r="Z71" i="3"/>
  <c r="AF91" i="3"/>
  <c r="AP91" i="3"/>
  <c r="ES91" i="3" s="1"/>
  <c r="ET91" i="3" s="1"/>
  <c r="AO91" i="3"/>
  <c r="AB91" i="3"/>
  <c r="AD91" i="3"/>
  <c r="AA91" i="3"/>
  <c r="Z91" i="3"/>
  <c r="U91" i="3"/>
  <c r="S91" i="3"/>
  <c r="Q91" i="3"/>
  <c r="X14" i="3"/>
  <c r="AM44" i="3"/>
  <c r="AT44" i="3" s="1"/>
  <c r="N91" i="3"/>
  <c r="AP129" i="3"/>
  <c r="ER129" i="3" s="1"/>
  <c r="AQ129" i="3"/>
  <c r="AL129" i="3"/>
  <c r="AK129" i="3"/>
  <c r="DG129" i="3"/>
  <c r="AJ129" i="3"/>
  <c r="V129" i="3"/>
  <c r="AI129" i="3"/>
  <c r="X129" i="3"/>
  <c r="AW189" i="3"/>
  <c r="AX189" i="3"/>
  <c r="G189" i="3"/>
  <c r="AO217" i="3"/>
  <c r="R217" i="3"/>
  <c r="AJ217" i="3"/>
  <c r="AE217" i="3"/>
  <c r="W217" i="3"/>
  <c r="V217" i="3"/>
  <c r="AL97" i="3"/>
  <c r="AA97" i="3"/>
  <c r="AG97" i="3"/>
  <c r="AN149" i="3"/>
  <c r="AS149" i="3"/>
  <c r="BT149" i="3" s="1"/>
  <c r="G105" i="3"/>
  <c r="AX105" i="3"/>
  <c r="CO224" i="3"/>
  <c r="BA224" i="3"/>
  <c r="BK224" i="3"/>
  <c r="AH35" i="3"/>
  <c r="Z35" i="3"/>
  <c r="AR26" i="3"/>
  <c r="BM26" i="3" s="1"/>
  <c r="DJ26" i="3" s="1"/>
  <c r="AQ26" i="3"/>
  <c r="AD26" i="3"/>
  <c r="AO44" i="3"/>
  <c r="P91" i="3"/>
  <c r="AK175" i="3"/>
  <c r="AG175" i="3"/>
  <c r="AD175" i="3"/>
  <c r="Q175" i="3"/>
  <c r="AC175" i="3"/>
  <c r="AB175" i="3"/>
  <c r="X175" i="3"/>
  <c r="V175" i="3"/>
  <c r="AP175" i="3"/>
  <c r="T175" i="3"/>
  <c r="AQ175" i="3"/>
  <c r="R175" i="3"/>
  <c r="BK176" i="3"/>
  <c r="DY176" i="3"/>
  <c r="AP205" i="3"/>
  <c r="EZ205" i="3" s="1"/>
  <c r="U205" i="3"/>
  <c r="AR205" i="3"/>
  <c r="AH205" i="3"/>
  <c r="AE205" i="3"/>
  <c r="DT205" i="3"/>
  <c r="X205" i="3"/>
  <c r="DS205" i="3"/>
  <c r="W205" i="3"/>
  <c r="DG205" i="3"/>
  <c r="V205" i="3"/>
  <c r="AW224" i="3"/>
  <c r="AX224" i="3"/>
  <c r="R43" i="3"/>
  <c r="AN172" i="3"/>
  <c r="Y172" i="3"/>
  <c r="X172" i="3"/>
  <c r="W172" i="3"/>
  <c r="AR172" i="3"/>
  <c r="BM172" i="3" s="1"/>
  <c r="DJ172" i="3" s="1"/>
  <c r="T172" i="3"/>
  <c r="AQ172" i="3"/>
  <c r="S172" i="3"/>
  <c r="AM172" i="3"/>
  <c r="AU172" i="3" s="1"/>
  <c r="Q172" i="3"/>
  <c r="N172" i="3"/>
  <c r="AJ172" i="3"/>
  <c r="P172" i="3"/>
  <c r="AI172" i="3"/>
  <c r="O172" i="3"/>
  <c r="AG172" i="3"/>
  <c r="AX22" i="3"/>
  <c r="AW22" i="3"/>
  <c r="G22" i="3"/>
  <c r="AM33" i="3"/>
  <c r="AT33" i="3" s="1"/>
  <c r="DG33" i="3"/>
  <c r="AS33" i="3"/>
  <c r="BP33" i="3" s="1"/>
  <c r="DK33" i="3" s="1"/>
  <c r="AJ33" i="3"/>
  <c r="AG33" i="3"/>
  <c r="AF33" i="3"/>
  <c r="Q33" i="3"/>
  <c r="AQ91" i="3"/>
  <c r="DG91" i="3"/>
  <c r="O175" i="3"/>
  <c r="AW199" i="3"/>
  <c r="AX199" i="3"/>
  <c r="Q205" i="3"/>
  <c r="Z15" i="3"/>
  <c r="AD24" i="3"/>
  <c r="W25" i="3"/>
  <c r="AS25" i="3"/>
  <c r="AN27" i="3"/>
  <c r="AH29" i="3"/>
  <c r="AM40" i="3"/>
  <c r="AU40" i="3" s="1"/>
  <c r="DY44" i="3"/>
  <c r="AO52" i="3"/>
  <c r="DO52" i="3"/>
  <c r="AE58" i="3"/>
  <c r="Z60" i="3"/>
  <c r="DG60" i="3"/>
  <c r="AM67" i="3"/>
  <c r="T85" i="3"/>
  <c r="CO87" i="3"/>
  <c r="AP103" i="3"/>
  <c r="EV103" i="3" s="1"/>
  <c r="S127" i="3"/>
  <c r="AJ135" i="3"/>
  <c r="S178" i="3"/>
  <c r="AB179" i="3"/>
  <c r="AW188" i="3"/>
  <c r="AE191" i="3"/>
  <c r="AP193" i="3"/>
  <c r="EZ193" i="3" s="1"/>
  <c r="R193" i="1" s="1"/>
  <c r="AE194" i="3"/>
  <c r="W200" i="3"/>
  <c r="N224" i="3"/>
  <c r="AF232" i="3"/>
  <c r="AK236" i="3"/>
  <c r="AB15" i="3"/>
  <c r="AA20" i="3"/>
  <c r="AE24" i="3"/>
  <c r="Z25" i="3"/>
  <c r="AO27" i="3"/>
  <c r="AI29" i="3"/>
  <c r="CP39" i="3"/>
  <c r="AQ40" i="3"/>
  <c r="AQ52" i="3"/>
  <c r="AF58" i="3"/>
  <c r="AB60" i="3"/>
  <c r="AS67" i="3"/>
  <c r="BC70" i="3"/>
  <c r="BA81" i="3"/>
  <c r="AB85" i="3"/>
  <c r="AX103" i="3"/>
  <c r="W105" i="3"/>
  <c r="AA107" i="3"/>
  <c r="EY111" i="3"/>
  <c r="R117" i="3"/>
  <c r="AA123" i="3"/>
  <c r="Z127" i="3"/>
  <c r="O135" i="3"/>
  <c r="AQ135" i="3"/>
  <c r="AM137" i="3"/>
  <c r="AT137" i="3" s="1"/>
  <c r="R146" i="3"/>
  <c r="AJ155" i="3"/>
  <c r="AB159" i="3"/>
  <c r="T178" i="3"/>
  <c r="AC179" i="3"/>
  <c r="AF191" i="3"/>
  <c r="AD192" i="3"/>
  <c r="AH194" i="3"/>
  <c r="O224" i="3"/>
  <c r="AN227" i="3"/>
  <c r="AO232" i="3"/>
  <c r="CY39" i="3"/>
  <c r="AX49" i="3"/>
  <c r="AS52" i="3"/>
  <c r="J52" i="1" s="1"/>
  <c r="DP52" i="3"/>
  <c r="DN53" i="3"/>
  <c r="AH58" i="3"/>
  <c r="AJ60" i="3"/>
  <c r="P70" i="3"/>
  <c r="AC85" i="3"/>
  <c r="P93" i="3"/>
  <c r="Z95" i="3"/>
  <c r="Z105" i="3"/>
  <c r="AB107" i="3"/>
  <c r="T117" i="3"/>
  <c r="P119" i="3"/>
  <c r="AB123" i="3"/>
  <c r="AA127" i="3"/>
  <c r="Q135" i="3"/>
  <c r="AR135" i="3"/>
  <c r="BM135" i="3" s="1"/>
  <c r="AC141" i="3"/>
  <c r="O145" i="3"/>
  <c r="AK146" i="3"/>
  <c r="N148" i="3"/>
  <c r="BC153" i="3"/>
  <c r="AL155" i="3"/>
  <c r="AF159" i="3"/>
  <c r="U178" i="3"/>
  <c r="AE179" i="3"/>
  <c r="AG191" i="3"/>
  <c r="AE192" i="3"/>
  <c r="AM194" i="3"/>
  <c r="AT194" i="3" s="1"/>
  <c r="O204" i="3"/>
  <c r="BK204" i="3"/>
  <c r="AS219" i="3"/>
  <c r="J219" i="1" s="1"/>
  <c r="DI221" i="3"/>
  <c r="Q224" i="3"/>
  <c r="AO227" i="3"/>
  <c r="BK230" i="3"/>
  <c r="Z233" i="3"/>
  <c r="AM41" i="3"/>
  <c r="AT41" i="3" s="1"/>
  <c r="AM42" i="3"/>
  <c r="AV42" i="3" s="1"/>
  <c r="BA44" i="3"/>
  <c r="AO58" i="3"/>
  <c r="AL60" i="3"/>
  <c r="U70" i="3"/>
  <c r="G75" i="3"/>
  <c r="V80" i="3"/>
  <c r="Q93" i="3"/>
  <c r="AG95" i="3"/>
  <c r="AX104" i="3"/>
  <c r="AC107" i="3"/>
  <c r="V117" i="3"/>
  <c r="V119" i="3"/>
  <c r="AD123" i="3"/>
  <c r="DG123" i="3"/>
  <c r="AL127" i="3"/>
  <c r="S135" i="3"/>
  <c r="AS135" i="3"/>
  <c r="BP135" i="3" s="1"/>
  <c r="AL141" i="3"/>
  <c r="P145" i="3"/>
  <c r="N151" i="3"/>
  <c r="AG159" i="3"/>
  <c r="CO177" i="3"/>
  <c r="AD178" i="3"/>
  <c r="AI179" i="3"/>
  <c r="BP181" i="3"/>
  <c r="AS191" i="3"/>
  <c r="J191" i="1" s="1"/>
  <c r="AH192" i="3"/>
  <c r="AN194" i="3"/>
  <c r="S197" i="3"/>
  <c r="T204" i="3"/>
  <c r="DJ221" i="3"/>
  <c r="W224" i="3"/>
  <c r="O227" i="3"/>
  <c r="AP227" i="3"/>
  <c r="ES227" i="3" s="1"/>
  <c r="ET227" i="3" s="1"/>
  <c r="AA233" i="3"/>
  <c r="DO160" i="3"/>
  <c r="AI178" i="3"/>
  <c r="AP179" i="3"/>
  <c r="ES179" i="3" s="1"/>
  <c r="ET179" i="3" s="1"/>
  <c r="DS179" i="3"/>
  <c r="AS194" i="3"/>
  <c r="AM127" i="3"/>
  <c r="AV127" i="3" s="1"/>
  <c r="AM15" i="3"/>
  <c r="AV15" i="3" s="1"/>
  <c r="CQ19" i="3"/>
  <c r="CT20" i="3"/>
  <c r="AM24" i="3"/>
  <c r="AT24" i="3" s="1"/>
  <c r="AI25" i="3"/>
  <c r="BC27" i="3"/>
  <c r="P40" i="3"/>
  <c r="V49" i="3"/>
  <c r="R52" i="3"/>
  <c r="AB61" i="3"/>
  <c r="AD70" i="3"/>
  <c r="AW75" i="3"/>
  <c r="AA80" i="3"/>
  <c r="W83" i="3"/>
  <c r="AF93" i="3"/>
  <c r="Q96" i="3"/>
  <c r="T99" i="3"/>
  <c r="CP103" i="3"/>
  <c r="AG107" i="3"/>
  <c r="CR111" i="3"/>
  <c r="AE117" i="3"/>
  <c r="AI123" i="3"/>
  <c r="AQ127" i="3"/>
  <c r="U135" i="3"/>
  <c r="BM145" i="3"/>
  <c r="DI145" i="3" s="1"/>
  <c r="P150" i="3"/>
  <c r="Q151" i="3"/>
  <c r="Y156" i="3"/>
  <c r="O159" i="3"/>
  <c r="AI159" i="3"/>
  <c r="AP159" i="1" s="1"/>
  <c r="AR179" i="3"/>
  <c r="BO179" i="3" s="1"/>
  <c r="P191" i="3"/>
  <c r="CQ191" i="3"/>
  <c r="AM192" i="3"/>
  <c r="AU192" i="3" s="1"/>
  <c r="N194" i="3"/>
  <c r="Z195" i="3"/>
  <c r="U197" i="3"/>
  <c r="S202" i="3"/>
  <c r="BL203" i="3"/>
  <c r="X204" i="3"/>
  <c r="BA211" i="3"/>
  <c r="O214" i="3"/>
  <c r="S230" i="3"/>
  <c r="AX233" i="3"/>
  <c r="L249" i="1"/>
  <c r="Q15" i="3"/>
  <c r="AN15" i="3"/>
  <c r="O24" i="3"/>
  <c r="O25" i="3"/>
  <c r="AL25" i="3"/>
  <c r="V27" i="3"/>
  <c r="R40" i="3"/>
  <c r="W49" i="3"/>
  <c r="BS53" i="3"/>
  <c r="AD53" i="1" s="1"/>
  <c r="BP55" i="3"/>
  <c r="DK55" i="3" s="1"/>
  <c r="BA69" i="3"/>
  <c r="DK69" i="3" s="1"/>
  <c r="AE70" i="3"/>
  <c r="AB80" i="3"/>
  <c r="AC88" i="3"/>
  <c r="AN107" i="3"/>
  <c r="AL123" i="3"/>
  <c r="W135" i="3"/>
  <c r="R151" i="3"/>
  <c r="CO153" i="3"/>
  <c r="DO154" i="3"/>
  <c r="AG156" i="3"/>
  <c r="AN159" i="3"/>
  <c r="Q191" i="3"/>
  <c r="AR192" i="3"/>
  <c r="BO192" i="3" s="1"/>
  <c r="O194" i="3"/>
  <c r="AD195" i="3"/>
  <c r="DS195" i="3"/>
  <c r="AL197" i="3"/>
  <c r="AK202" i="3"/>
  <c r="Y214" i="3"/>
  <c r="G216" i="3"/>
  <c r="DP229" i="3"/>
  <c r="AG230" i="3"/>
  <c r="M249" i="1"/>
  <c r="AX84" i="3"/>
  <c r="R191" i="3"/>
  <c r="P194" i="3"/>
  <c r="AP195" i="3"/>
  <c r="EZ195" i="3" s="1"/>
  <c r="R195" i="1" s="1"/>
  <c r="Z214" i="3"/>
  <c r="AH230" i="3"/>
  <c r="M99" i="1"/>
  <c r="Q147" i="1"/>
  <c r="M23" i="1"/>
  <c r="Q60" i="1"/>
  <c r="Q78" i="1"/>
  <c r="L131" i="1"/>
  <c r="L156" i="1"/>
  <c r="M226" i="1"/>
  <c r="L100" i="1"/>
  <c r="Q117" i="1"/>
  <c r="Q42" i="1"/>
  <c r="M131" i="1"/>
  <c r="Q210" i="1"/>
  <c r="L163" i="1"/>
  <c r="L220" i="1"/>
  <c r="Q158" i="1"/>
  <c r="L226" i="1"/>
  <c r="M82" i="1"/>
  <c r="L151" i="1"/>
  <c r="M187" i="1"/>
  <c r="M117" i="1"/>
  <c r="Q171" i="1"/>
  <c r="L180" i="1"/>
  <c r="M151" i="1"/>
  <c r="O28" i="3"/>
  <c r="P28" i="3"/>
  <c r="U62" i="3"/>
  <c r="CP176" i="3"/>
  <c r="Y170" i="3"/>
  <c r="DG87" i="3"/>
  <c r="AR87" i="3"/>
  <c r="AH87" i="3"/>
  <c r="AK108" i="3"/>
  <c r="AN108" i="3"/>
  <c r="AL108" i="3"/>
  <c r="AE108" i="3"/>
  <c r="Z108" i="3"/>
  <c r="T108" i="3"/>
  <c r="R108" i="3"/>
  <c r="O108" i="3"/>
  <c r="V113" i="3"/>
  <c r="AH28" i="3"/>
  <c r="AF47" i="3"/>
  <c r="AM47" i="3"/>
  <c r="AV47" i="3" s="1"/>
  <c r="AE47" i="3"/>
  <c r="AB47" i="3"/>
  <c r="P47" i="3"/>
  <c r="AF81" i="3"/>
  <c r="AC87" i="3"/>
  <c r="AH100" i="3"/>
  <c r="T106" i="3"/>
  <c r="CT111" i="3"/>
  <c r="AM112" i="3"/>
  <c r="AV112" i="3" s="1"/>
  <c r="AE188" i="3"/>
  <c r="AC188" i="3"/>
  <c r="AB188" i="3"/>
  <c r="S68" i="3"/>
  <c r="AQ68" i="3"/>
  <c r="AO68" i="3"/>
  <c r="AN68" i="3"/>
  <c r="AB68" i="3"/>
  <c r="AA68" i="3"/>
  <c r="Z68" i="3"/>
  <c r="Y68" i="3"/>
  <c r="R68" i="3"/>
  <c r="Z22" i="3"/>
  <c r="AM59" i="3"/>
  <c r="AR59" i="3"/>
  <c r="BM59" i="3" s="1"/>
  <c r="DI59" i="3" s="1"/>
  <c r="AN59" i="3"/>
  <c r="AD59" i="3"/>
  <c r="AC59" i="3"/>
  <c r="DG59" i="3"/>
  <c r="AH89" i="3"/>
  <c r="U89" i="3"/>
  <c r="AM89" i="3"/>
  <c r="AL89" i="3"/>
  <c r="AK89" i="3"/>
  <c r="AJ89" i="3"/>
  <c r="Y89" i="3"/>
  <c r="X89" i="3"/>
  <c r="W89" i="3"/>
  <c r="V89" i="3"/>
  <c r="G73" i="3"/>
  <c r="AX73" i="3"/>
  <c r="AQ19" i="3"/>
  <c r="AH19" i="3"/>
  <c r="X19" i="3"/>
  <c r="W19" i="3"/>
  <c r="V19" i="3"/>
  <c r="T19" i="3"/>
  <c r="V59" i="3"/>
  <c r="AL171" i="3"/>
  <c r="U171" i="3"/>
  <c r="AM171" i="3"/>
  <c r="AU171" i="3" s="1"/>
  <c r="Z171" i="3"/>
  <c r="Y171" i="3"/>
  <c r="V171" i="3"/>
  <c r="DG171" i="3"/>
  <c r="AN171" i="3"/>
  <c r="AH171" i="3"/>
  <c r="AG171" i="3"/>
  <c r="AF171" i="3"/>
  <c r="X171" i="3"/>
  <c r="AL22" i="3"/>
  <c r="AG28" i="3"/>
  <c r="S32" i="3"/>
  <c r="X36" i="3"/>
  <c r="AX52" i="3"/>
  <c r="G52" i="3"/>
  <c r="AB72" i="3"/>
  <c r="AA112" i="3"/>
  <c r="AP100" i="3"/>
  <c r="DG100" i="3"/>
  <c r="BL104" i="3"/>
  <c r="CP104" i="3"/>
  <c r="V106" i="3"/>
  <c r="AX144" i="3"/>
  <c r="AW144" i="3"/>
  <c r="G144" i="3"/>
  <c r="DT148" i="3"/>
  <c r="V148" i="3"/>
  <c r="AL148" i="3"/>
  <c r="AK148" i="3"/>
  <c r="AJ148" i="3"/>
  <c r="R196" i="3"/>
  <c r="Z41" i="3"/>
  <c r="AD41" i="3"/>
  <c r="DG41" i="3"/>
  <c r="AK66" i="3"/>
  <c r="AK199" i="3"/>
  <c r="AI199" i="3"/>
  <c r="AH199" i="3"/>
  <c r="AL199" i="3"/>
  <c r="AJ199" i="3"/>
  <c r="AO31" i="3"/>
  <c r="AF31" i="3"/>
  <c r="AD31" i="3"/>
  <c r="W31" i="3"/>
  <c r="AP215" i="3"/>
  <c r="EV215" i="3" s="1"/>
  <c r="N215" i="1" s="1"/>
  <c r="AI215" i="3"/>
  <c r="DF221" i="3"/>
  <c r="DY221" i="3"/>
  <c r="CQ221" i="3"/>
  <c r="AN32" i="3"/>
  <c r="AH32" i="3"/>
  <c r="AF32" i="3"/>
  <c r="AE32" i="3"/>
  <c r="AL32" i="3"/>
  <c r="Z32" i="3"/>
  <c r="AJ32" i="3"/>
  <c r="W32" i="3"/>
  <c r="X32" i="3"/>
  <c r="AH62" i="3"/>
  <c r="AL62" i="3"/>
  <c r="X62" i="3"/>
  <c r="CO139" i="3"/>
  <c r="DW139" i="3"/>
  <c r="AW175" i="3"/>
  <c r="G175" i="3"/>
  <c r="AX175" i="3"/>
  <c r="AK210" i="3"/>
  <c r="W210" i="3"/>
  <c r="U215" i="3"/>
  <c r="AS31" i="3"/>
  <c r="J31" i="1" s="1"/>
  <c r="AM166" i="3"/>
  <c r="AT166" i="3" s="1"/>
  <c r="AS166" i="3"/>
  <c r="J166" i="1" s="1"/>
  <c r="AM169" i="3"/>
  <c r="Q32" i="3"/>
  <c r="G37" i="3"/>
  <c r="AH45" i="3"/>
  <c r="X45" i="3"/>
  <c r="W45" i="3"/>
  <c r="U45" i="3"/>
  <c r="S45" i="3"/>
  <c r="AR45" i="3"/>
  <c r="AF45" i="3"/>
  <c r="AE45" i="3"/>
  <c r="Y45" i="3"/>
  <c r="BM51" i="3"/>
  <c r="Z81" i="3"/>
  <c r="T81" i="3"/>
  <c r="AR81" i="3"/>
  <c r="BN81" i="3" s="1"/>
  <c r="S81" i="3"/>
  <c r="AQ81" i="3"/>
  <c r="R81" i="3"/>
  <c r="AC81" i="3"/>
  <c r="P81" i="3"/>
  <c r="AA81" i="3"/>
  <c r="Q81" i="3"/>
  <c r="O81" i="3"/>
  <c r="AX97" i="3"/>
  <c r="G97" i="3"/>
  <c r="U166" i="3"/>
  <c r="AS210" i="3"/>
  <c r="BP210" i="3" s="1"/>
  <c r="AM213" i="3"/>
  <c r="Q213" i="3"/>
  <c r="N213" i="3"/>
  <c r="AR213" i="3"/>
  <c r="AF213" i="3"/>
  <c r="AD213" i="3"/>
  <c r="AC213" i="3"/>
  <c r="V213" i="3"/>
  <c r="U19" i="3"/>
  <c r="G23" i="3"/>
  <c r="AX23" i="3"/>
  <c r="AW23" i="3"/>
  <c r="AM73" i="3"/>
  <c r="AV73" i="3" s="1"/>
  <c r="AA75" i="3"/>
  <c r="AL75" i="3"/>
  <c r="AJ75" i="3"/>
  <c r="AC75" i="3"/>
  <c r="DG75" i="3"/>
  <c r="Z75" i="3"/>
  <c r="X75" i="3"/>
  <c r="N75" i="3"/>
  <c r="N81" i="3"/>
  <c r="AM92" i="3"/>
  <c r="AT92" i="3" s="1"/>
  <c r="AI92" i="3"/>
  <c r="AJ92" i="3"/>
  <c r="W92" i="3"/>
  <c r="P92" i="3"/>
  <c r="N92" i="3"/>
  <c r="AO92" i="3"/>
  <c r="DT92" i="3"/>
  <c r="DG106" i="3"/>
  <c r="AD106" i="3"/>
  <c r="AG106" i="3"/>
  <c r="AF106" i="3"/>
  <c r="X106" i="3"/>
  <c r="W106" i="3"/>
  <c r="AS106" i="3"/>
  <c r="J106" i="1" s="1"/>
  <c r="AR106" i="3"/>
  <c r="BO106" i="3" s="1"/>
  <c r="AQ106" i="3"/>
  <c r="AP106" i="3"/>
  <c r="AC152" i="3"/>
  <c r="X152" i="3"/>
  <c r="AN152" i="3"/>
  <c r="DG152" i="3"/>
  <c r="AL152" i="3"/>
  <c r="AP152" i="3"/>
  <c r="AJ152" i="3"/>
  <c r="AB152" i="3"/>
  <c r="AI170" i="3"/>
  <c r="T171" i="3"/>
  <c r="AO211" i="3"/>
  <c r="AP211" i="3"/>
  <c r="AB211" i="3"/>
  <c r="W213" i="3"/>
  <c r="BK16" i="3"/>
  <c r="U32" i="3"/>
  <c r="BP51" i="3"/>
  <c r="AD81" i="3"/>
  <c r="T87" i="3"/>
  <c r="AK92" i="3"/>
  <c r="AL100" i="3"/>
  <c r="AC100" i="3"/>
  <c r="V100" i="3"/>
  <c r="T100" i="3"/>
  <c r="DT100" i="3"/>
  <c r="R100" i="3"/>
  <c r="AS100" i="3"/>
  <c r="BS100" i="3" s="1"/>
  <c r="AD100" i="1" s="1"/>
  <c r="Q100" i="3"/>
  <c r="AG100" i="3"/>
  <c r="AF100" i="3"/>
  <c r="AE100" i="3"/>
  <c r="AA100" i="3"/>
  <c r="P100" i="3"/>
  <c r="O100" i="3"/>
  <c r="R106" i="3"/>
  <c r="N152" i="3"/>
  <c r="Z16" i="3"/>
  <c r="AK16" i="3"/>
  <c r="AH16" i="3"/>
  <c r="AJ16" i="3"/>
  <c r="AI16" i="3"/>
  <c r="AL20" i="3"/>
  <c r="AJ20" i="3"/>
  <c r="AE20" i="3"/>
  <c r="AD20" i="3"/>
  <c r="AC20" i="3"/>
  <c r="AX30" i="3"/>
  <c r="AW30" i="3"/>
  <c r="V16" i="3"/>
  <c r="O20" i="3"/>
  <c r="AO32" i="3"/>
  <c r="AN38" i="3"/>
  <c r="BA73" i="3"/>
  <c r="CO73" i="3"/>
  <c r="BK73" i="3"/>
  <c r="BC76" i="3"/>
  <c r="CO76" i="3"/>
  <c r="DG79" i="3"/>
  <c r="AE79" i="3"/>
  <c r="AC79" i="3"/>
  <c r="X79" i="3"/>
  <c r="W79" i="3"/>
  <c r="AG79" i="3"/>
  <c r="V79" i="3"/>
  <c r="U79" i="3"/>
  <c r="T79" i="3"/>
  <c r="S79" i="3"/>
  <c r="AG87" i="3"/>
  <c r="AN100" i="3"/>
  <c r="U106" i="3"/>
  <c r="R152" i="3"/>
  <c r="DG196" i="3"/>
  <c r="S196" i="3"/>
  <c r="AP196" i="3"/>
  <c r="ER196" i="3" s="1"/>
  <c r="AJ196" i="3"/>
  <c r="AD196" i="3"/>
  <c r="X196" i="3"/>
  <c r="T196" i="3"/>
  <c r="AS196" i="3"/>
  <c r="J196" i="1" s="1"/>
  <c r="AI196" i="3"/>
  <c r="AG196" i="3"/>
  <c r="AE196" i="3"/>
  <c r="AQ203" i="3"/>
  <c r="R203" i="3"/>
  <c r="O203" i="3"/>
  <c r="AO203" i="3"/>
  <c r="AF203" i="3"/>
  <c r="W16" i="3"/>
  <c r="P20" i="3"/>
  <c r="P79" i="3"/>
  <c r="AM81" i="3"/>
  <c r="AV81" i="3" s="1"/>
  <c r="DG81" i="3"/>
  <c r="Q20" i="3"/>
  <c r="AC30" i="3"/>
  <c r="Q30" i="3"/>
  <c r="P30" i="3"/>
  <c r="N30" i="3"/>
  <c r="AN30" i="3"/>
  <c r="AK30" i="3"/>
  <c r="AL30" i="3"/>
  <c r="AQ32" i="3"/>
  <c r="Y16" i="3"/>
  <c r="V20" i="3"/>
  <c r="DG24" i="3"/>
  <c r="AC24" i="3"/>
  <c r="W24" i="3"/>
  <c r="AS24" i="3"/>
  <c r="J24" i="1" s="1"/>
  <c r="X24" i="3"/>
  <c r="AR24" i="3"/>
  <c r="BO24" i="3" s="1"/>
  <c r="AQ24" i="3"/>
  <c r="V24" i="3"/>
  <c r="AJ24" i="3"/>
  <c r="AX27" i="3"/>
  <c r="G27" i="3"/>
  <c r="AW27" i="3"/>
  <c r="W30" i="3"/>
  <c r="AL33" i="3"/>
  <c r="AP33" i="3"/>
  <c r="U33" i="3"/>
  <c r="AO33" i="3"/>
  <c r="T33" i="3"/>
  <c r="AN33" i="3"/>
  <c r="R33" i="3"/>
  <c r="AE33" i="3"/>
  <c r="AA33" i="3"/>
  <c r="X33" i="3"/>
  <c r="AD33" i="3"/>
  <c r="V33" i="3"/>
  <c r="G68" i="3"/>
  <c r="AX68" i="3"/>
  <c r="AH79" i="3"/>
  <c r="AO81" i="3"/>
  <c r="AF84" i="3"/>
  <c r="AS84" i="3"/>
  <c r="BQ84" i="3" s="1"/>
  <c r="DG84" i="3"/>
  <c r="AG84" i="3"/>
  <c r="Y84" i="3"/>
  <c r="AE84" i="3"/>
  <c r="X84" i="3"/>
  <c r="AM96" i="3"/>
  <c r="AT96" i="3" s="1"/>
  <c r="U96" i="3"/>
  <c r="AG96" i="3"/>
  <c r="AF96" i="3"/>
  <c r="AD96" i="3"/>
  <c r="AB96" i="3"/>
  <c r="AR96" i="3"/>
  <c r="BO96" i="3" s="1"/>
  <c r="DS96" i="3"/>
  <c r="AQ96" i="3"/>
  <c r="AI96" i="3"/>
  <c r="AP96" i="3"/>
  <c r="AO96" i="3"/>
  <c r="W96" i="3"/>
  <c r="AK126" i="3"/>
  <c r="AI126" i="3"/>
  <c r="T126" i="3"/>
  <c r="AP126" i="3"/>
  <c r="X126" i="3"/>
  <c r="AO126" i="3"/>
  <c r="W126" i="3"/>
  <c r="AB126" i="3"/>
  <c r="AA126" i="3"/>
  <c r="V126" i="3"/>
  <c r="AS126" i="3"/>
  <c r="J126" i="1" s="1"/>
  <c r="U126" i="3"/>
  <c r="AL126" i="3"/>
  <c r="AH126" i="3"/>
  <c r="AG126" i="3"/>
  <c r="AF126" i="3"/>
  <c r="AE126" i="3"/>
  <c r="AC126" i="3"/>
  <c r="O148" i="3"/>
  <c r="AX182" i="3"/>
  <c r="AW182" i="3"/>
  <c r="G182" i="3"/>
  <c r="AW194" i="3"/>
  <c r="AX194" i="3"/>
  <c r="W199" i="3"/>
  <c r="AB22" i="3"/>
  <c r="N32" i="3"/>
  <c r="R59" i="3"/>
  <c r="BK94" i="3"/>
  <c r="CO94" i="3"/>
  <c r="AL210" i="3"/>
  <c r="AK22" i="3"/>
  <c r="AB28" i="3"/>
  <c r="AH113" i="3"/>
  <c r="AM113" i="3"/>
  <c r="AC166" i="3"/>
  <c r="AP108" i="3"/>
  <c r="ER108" i="3" s="1"/>
  <c r="AH112" i="3"/>
  <c r="Y113" i="3"/>
  <c r="AO166" i="3"/>
  <c r="AG213" i="3"/>
  <c r="AJ19" i="3"/>
  <c r="AK23" i="3"/>
  <c r="V32" i="3"/>
  <c r="AC38" i="3"/>
  <c r="X38" i="3"/>
  <c r="R38" i="3"/>
  <c r="Q38" i="3"/>
  <c r="O38" i="3"/>
  <c r="AK38" i="3"/>
  <c r="Z38" i="3"/>
  <c r="DG38" i="3"/>
  <c r="AJ38" i="3"/>
  <c r="Y38" i="3"/>
  <c r="N38" i="3"/>
  <c r="AR19" i="3"/>
  <c r="AK41" i="3"/>
  <c r="X41" i="3"/>
  <c r="U41" i="3"/>
  <c r="S41" i="3"/>
  <c r="P41" i="3"/>
  <c r="AR41" i="3"/>
  <c r="BM41" i="3" s="1"/>
  <c r="DJ41" i="3" s="1"/>
  <c r="AN41" i="3"/>
  <c r="X47" i="3"/>
  <c r="CO69" i="3"/>
  <c r="AL81" i="3"/>
  <c r="AL16" i="3"/>
  <c r="W20" i="3"/>
  <c r="AJ41" i="3"/>
  <c r="AI79" i="3"/>
  <c r="AL120" i="3"/>
  <c r="AA120" i="3"/>
  <c r="AK120" i="3"/>
  <c r="AI120" i="3"/>
  <c r="AH120" i="3"/>
  <c r="AG120" i="3"/>
  <c r="CO147" i="3"/>
  <c r="BK147" i="3"/>
  <c r="P148" i="3"/>
  <c r="DX176" i="3"/>
  <c r="AG67" i="3"/>
  <c r="AK67" i="3"/>
  <c r="AJ67" i="3"/>
  <c r="AH67" i="3"/>
  <c r="Z67" i="3"/>
  <c r="BS74" i="3"/>
  <c r="AD74" i="1" s="1"/>
  <c r="AV95" i="1"/>
  <c r="BL95" i="3"/>
  <c r="AH119" i="3"/>
  <c r="AL119" i="3"/>
  <c r="BA123" i="3"/>
  <c r="DW124" i="3"/>
  <c r="AB140" i="3"/>
  <c r="W140" i="3"/>
  <c r="AL140" i="3"/>
  <c r="AK140" i="3"/>
  <c r="Y140" i="3"/>
  <c r="V140" i="3"/>
  <c r="P140" i="3"/>
  <c r="O140" i="3"/>
  <c r="BP145" i="3"/>
  <c r="DK145" i="3" s="1"/>
  <c r="AK150" i="3"/>
  <c r="AS150" i="3"/>
  <c r="BP150" i="3" s="1"/>
  <c r="X150" i="3"/>
  <c r="AE150" i="3"/>
  <c r="AD150" i="3"/>
  <c r="W150" i="3"/>
  <c r="T150" i="3"/>
  <c r="R150" i="3"/>
  <c r="AR150" i="3"/>
  <c r="Q150" i="3"/>
  <c r="BA152" i="3"/>
  <c r="AX157" i="3"/>
  <c r="AX160" i="3"/>
  <c r="G160" i="3"/>
  <c r="AR183" i="3"/>
  <c r="BO183" i="3" s="1"/>
  <c r="AJ183" i="3"/>
  <c r="AK183" i="3"/>
  <c r="AX222" i="3"/>
  <c r="G222" i="3"/>
  <c r="AX34" i="3"/>
  <c r="AW34" i="3"/>
  <c r="N26" i="3"/>
  <c r="AX111" i="3"/>
  <c r="G111" i="3"/>
  <c r="DG176" i="3"/>
  <c r="AK176" i="3"/>
  <c r="U176" i="3"/>
  <c r="AL176" i="3"/>
  <c r="AQ176" i="3"/>
  <c r="Z176" i="3"/>
  <c r="Y176" i="3"/>
  <c r="AQ221" i="3"/>
  <c r="AC221" i="3"/>
  <c r="AB221" i="3"/>
  <c r="N88" i="3"/>
  <c r="AO98" i="3"/>
  <c r="AP98" i="3"/>
  <c r="EZ98" i="3" s="1"/>
  <c r="AI98" i="3"/>
  <c r="AF98" i="3"/>
  <c r="AD98" i="3"/>
  <c r="AB111" i="3"/>
  <c r="AE111" i="3"/>
  <c r="AO111" i="3"/>
  <c r="S111" i="3"/>
  <c r="R111" i="3"/>
  <c r="DG111" i="3"/>
  <c r="Q111" i="3"/>
  <c r="P111" i="3"/>
  <c r="DS114" i="3"/>
  <c r="Q114" i="3"/>
  <c r="BA134" i="3"/>
  <c r="BK134" i="3"/>
  <c r="CQ134" i="3"/>
  <c r="DZ142" i="3"/>
  <c r="AG154" i="3"/>
  <c r="Z154" i="3"/>
  <c r="X154" i="3"/>
  <c r="W176" i="3"/>
  <c r="AL190" i="3"/>
  <c r="AF190" i="3"/>
  <c r="R190" i="3"/>
  <c r="DG190" i="3"/>
  <c r="BK198" i="3"/>
  <c r="BA198" i="3"/>
  <c r="AC44" i="3"/>
  <c r="AK44" i="3"/>
  <c r="AJ44" i="3"/>
  <c r="W44" i="3"/>
  <c r="Q44" i="3"/>
  <c r="AC15" i="3"/>
  <c r="AC42" i="3"/>
  <c r="R42" i="3"/>
  <c r="Q42" i="3"/>
  <c r="P42" i="3"/>
  <c r="N42" i="3"/>
  <c r="AB50" i="3"/>
  <c r="W50" i="3"/>
  <c r="U50" i="3"/>
  <c r="S50" i="3"/>
  <c r="P50" i="3"/>
  <c r="AX61" i="3"/>
  <c r="G61" i="3"/>
  <c r="CO173" i="3"/>
  <c r="BK173" i="3"/>
  <c r="N15" i="3"/>
  <c r="DG15" i="3"/>
  <c r="O26" i="3"/>
  <c r="N27" i="3"/>
  <c r="O44" i="3"/>
  <c r="N50" i="3"/>
  <c r="U14" i="3"/>
  <c r="O15" i="3"/>
  <c r="AE15" i="3"/>
  <c r="DS15" i="3"/>
  <c r="AX18" i="3"/>
  <c r="AR21" i="3"/>
  <c r="AD25" i="3"/>
  <c r="P26" i="3"/>
  <c r="P27" i="3"/>
  <c r="Y42" i="3"/>
  <c r="P44" i="3"/>
  <c r="AX47" i="3"/>
  <c r="Z50" i="3"/>
  <c r="BS55" i="3"/>
  <c r="AD55" i="1" s="1"/>
  <c r="AO57" i="3"/>
  <c r="AS57" i="3"/>
  <c r="BR57" i="3" s="1"/>
  <c r="AQ57" i="3"/>
  <c r="X57" i="3"/>
  <c r="W57" i="3"/>
  <c r="BL59" i="3"/>
  <c r="T65" i="3"/>
  <c r="U67" i="3"/>
  <c r="BK88" i="3"/>
  <c r="AM93" i="3"/>
  <c r="AT93" i="3" s="1"/>
  <c r="W93" i="3"/>
  <c r="AD93" i="3"/>
  <c r="AB93" i="3"/>
  <c r="V93" i="3"/>
  <c r="U93" i="3"/>
  <c r="R98" i="3"/>
  <c r="AM104" i="3"/>
  <c r="AT104" i="3" s="1"/>
  <c r="AL104" i="3"/>
  <c r="AJ104" i="3"/>
  <c r="AD104" i="3"/>
  <c r="R104" i="3"/>
  <c r="P104" i="3"/>
  <c r="N111" i="3"/>
  <c r="O114" i="3"/>
  <c r="X119" i="3"/>
  <c r="AI128" i="3"/>
  <c r="AH128" i="3"/>
  <c r="O141" i="3"/>
  <c r="G146" i="3"/>
  <c r="AX146" i="3"/>
  <c r="AW146" i="3"/>
  <c r="Z150" i="3"/>
  <c r="V154" i="3"/>
  <c r="AG157" i="3"/>
  <c r="CQ174" i="3"/>
  <c r="CO174" i="3"/>
  <c r="AK193" i="3"/>
  <c r="AC193" i="3"/>
  <c r="AR193" i="3"/>
  <c r="BO193" i="3" s="1"/>
  <c r="V193" i="3"/>
  <c r="AQ193" i="3"/>
  <c r="U193" i="3"/>
  <c r="AI193" i="3"/>
  <c r="O193" i="3"/>
  <c r="AG193" i="3"/>
  <c r="N193" i="3"/>
  <c r="AD193" i="3"/>
  <c r="AE193" i="3"/>
  <c r="AB193" i="3"/>
  <c r="W193" i="3"/>
  <c r="S193" i="3"/>
  <c r="DT29" i="3"/>
  <c r="AQ29" i="3"/>
  <c r="S29" i="3"/>
  <c r="AP29" i="3"/>
  <c r="R29" i="3"/>
  <c r="AL29" i="3"/>
  <c r="Q29" i="3"/>
  <c r="P88" i="3"/>
  <c r="AL88" i="3"/>
  <c r="T14" i="3"/>
  <c r="AD15" i="3"/>
  <c r="AA21" i="3"/>
  <c r="N29" i="3"/>
  <c r="G34" i="3"/>
  <c r="S42" i="3"/>
  <c r="CY51" i="3"/>
  <c r="V14" i="3"/>
  <c r="P15" i="3"/>
  <c r="AF15" i="3"/>
  <c r="DT15" i="3"/>
  <c r="O18" i="3"/>
  <c r="N25" i="3"/>
  <c r="AE25" i="3"/>
  <c r="AA26" i="3"/>
  <c r="Q27" i="3"/>
  <c r="U29" i="3"/>
  <c r="AC34" i="3"/>
  <c r="G39" i="3"/>
  <c r="AX39" i="3"/>
  <c r="AL42" i="3"/>
  <c r="AL44" i="3"/>
  <c r="AC50" i="3"/>
  <c r="AP65" i="3"/>
  <c r="G66" i="3"/>
  <c r="AX66" i="3"/>
  <c r="AM83" i="3"/>
  <c r="AN83" i="3"/>
  <c r="AK83" i="3"/>
  <c r="AH83" i="3"/>
  <c r="AB83" i="3"/>
  <c r="T88" i="3"/>
  <c r="T98" i="3"/>
  <c r="DI103" i="3"/>
  <c r="Z111" i="3"/>
  <c r="V114" i="3"/>
  <c r="V141" i="3"/>
  <c r="BA164" i="3"/>
  <c r="BK164" i="3"/>
  <c r="BA171" i="3"/>
  <c r="CO171" i="3"/>
  <c r="BA177" i="3"/>
  <c r="DG181" i="3"/>
  <c r="AL181" i="3"/>
  <c r="AA185" i="3"/>
  <c r="AN185" i="3"/>
  <c r="Y185" i="3"/>
  <c r="X185" i="3"/>
  <c r="AO185" i="3"/>
  <c r="DG185" i="3"/>
  <c r="AK187" i="3"/>
  <c r="Q187" i="3"/>
  <c r="AL187" i="3"/>
  <c r="DG187" i="3"/>
  <c r="AG187" i="3"/>
  <c r="R187" i="3"/>
  <c r="AX198" i="3"/>
  <c r="G198" i="3"/>
  <c r="AK201" i="3"/>
  <c r="AC201" i="3"/>
  <c r="P201" i="3"/>
  <c r="O201" i="3"/>
  <c r="AQ201" i="3"/>
  <c r="AP201" i="3"/>
  <c r="AD201" i="3"/>
  <c r="AF201" i="3"/>
  <c r="AB201" i="3"/>
  <c r="R201" i="3"/>
  <c r="W88" i="3"/>
  <c r="AW104" i="3"/>
  <c r="CP111" i="3"/>
  <c r="DX111" i="3"/>
  <c r="AO178" i="3"/>
  <c r="W178" i="3"/>
  <c r="AQ178" i="3"/>
  <c r="R178" i="3"/>
  <c r="AH178" i="3"/>
  <c r="AE178" i="3"/>
  <c r="AB178" i="3"/>
  <c r="AS178" i="3"/>
  <c r="J178" i="1" s="1"/>
  <c r="AN178" i="3"/>
  <c r="AJ43" i="3"/>
  <c r="AF52" i="3"/>
  <c r="DG52" i="3"/>
  <c r="AQ58" i="3"/>
  <c r="AN60" i="3"/>
  <c r="AI80" i="3"/>
  <c r="DJ103" i="3"/>
  <c r="BL105" i="3"/>
  <c r="BL124" i="3"/>
  <c r="CO160" i="3"/>
  <c r="AO165" i="3"/>
  <c r="AD165" i="3"/>
  <c r="AJ165" i="3"/>
  <c r="AI165" i="3"/>
  <c r="AE165" i="3"/>
  <c r="CO191" i="3"/>
  <c r="CS191" i="3"/>
  <c r="AW209" i="3"/>
  <c r="AX209" i="3"/>
  <c r="BA41" i="3"/>
  <c r="AP43" i="3"/>
  <c r="ER43" i="3" s="1"/>
  <c r="AG52" i="3"/>
  <c r="AR58" i="3"/>
  <c r="BM58" i="3" s="1"/>
  <c r="AO60" i="3"/>
  <c r="O80" i="3"/>
  <c r="AN80" i="3"/>
  <c r="AW88" i="3"/>
  <c r="AE91" i="3"/>
  <c r="AK97" i="3"/>
  <c r="AH97" i="3"/>
  <c r="O144" i="3"/>
  <c r="P144" i="3"/>
  <c r="N144" i="3"/>
  <c r="AW159" i="3"/>
  <c r="AX159" i="3"/>
  <c r="DX160" i="3"/>
  <c r="CP160" i="3"/>
  <c r="R165" i="3"/>
  <c r="AG173" i="3"/>
  <c r="O173" i="3"/>
  <c r="AA173" i="3"/>
  <c r="S173" i="3"/>
  <c r="Q173" i="3"/>
  <c r="P35" i="3"/>
  <c r="AQ43" i="3"/>
  <c r="O49" i="3"/>
  <c r="Z51" i="3"/>
  <c r="O52" i="3"/>
  <c r="AJ52" i="3"/>
  <c r="AS58" i="3"/>
  <c r="J58" i="1" s="1"/>
  <c r="BA70" i="3"/>
  <c r="T71" i="3"/>
  <c r="P80" i="3"/>
  <c r="AO80" i="3"/>
  <c r="G82" i="3"/>
  <c r="G91" i="3"/>
  <c r="DJ93" i="3"/>
  <c r="N97" i="3"/>
  <c r="DC111" i="3"/>
  <c r="AH153" i="3"/>
  <c r="AL153" i="3"/>
  <c r="S165" i="3"/>
  <c r="R173" i="3"/>
  <c r="X209" i="3"/>
  <c r="AR209" i="3"/>
  <c r="BN209" i="3" s="1"/>
  <c r="AO209" i="3"/>
  <c r="Y209" i="3"/>
  <c r="N209" i="3"/>
  <c r="W35" i="3"/>
  <c r="T40" i="3"/>
  <c r="T43" i="3"/>
  <c r="AR43" i="3"/>
  <c r="P49" i="3"/>
  <c r="P52" i="3"/>
  <c r="AM52" i="3"/>
  <c r="CS52" i="3"/>
  <c r="S58" i="3"/>
  <c r="N60" i="3"/>
  <c r="O61" i="3"/>
  <c r="BK61" i="3"/>
  <c r="X71" i="3"/>
  <c r="R80" i="3"/>
  <c r="AP80" i="3"/>
  <c r="EV80" i="3" s="1"/>
  <c r="G89" i="3"/>
  <c r="AK91" i="3"/>
  <c r="AM91" i="3"/>
  <c r="AT91" i="3" s="1"/>
  <c r="O91" i="3"/>
  <c r="AG91" i="3"/>
  <c r="O97" i="3"/>
  <c r="DG99" i="3"/>
  <c r="V99" i="3"/>
  <c r="G103" i="3"/>
  <c r="CO103" i="3"/>
  <c r="CP105" i="3"/>
  <c r="DS117" i="3"/>
  <c r="AR117" i="3"/>
  <c r="O117" i="3"/>
  <c r="AK123" i="3"/>
  <c r="AJ123" i="3"/>
  <c r="T123" i="3"/>
  <c r="AQ123" i="3"/>
  <c r="X123" i="3"/>
  <c r="AO123" i="3"/>
  <c r="W123" i="3"/>
  <c r="AH123" i="3"/>
  <c r="AI147" i="3"/>
  <c r="DG149" i="3"/>
  <c r="AC149" i="3"/>
  <c r="P153" i="3"/>
  <c r="DG155" i="3"/>
  <c r="AN155" i="3"/>
  <c r="O155" i="3"/>
  <c r="V155" i="3"/>
  <c r="U155" i="3"/>
  <c r="AS155" i="3"/>
  <c r="BS155" i="3" s="1"/>
  <c r="AD155" i="1" s="1"/>
  <c r="P155" i="3"/>
  <c r="CR160" i="3"/>
  <c r="DS162" i="3"/>
  <c r="AO162" i="3"/>
  <c r="Q162" i="3"/>
  <c r="AS162" i="3"/>
  <c r="J162" i="1" s="1"/>
  <c r="U162" i="3"/>
  <c r="AR162" i="3"/>
  <c r="BO162" i="3" s="1"/>
  <c r="T162" i="3"/>
  <c r="AP162" i="3"/>
  <c r="ER162" i="3" s="1"/>
  <c r="R162" i="3"/>
  <c r="T165" i="3"/>
  <c r="AO168" i="3"/>
  <c r="AP168" i="3"/>
  <c r="EV168" i="3" s="1"/>
  <c r="R168" i="3"/>
  <c r="AD173" i="3"/>
  <c r="AN202" i="3"/>
  <c r="AQ202" i="3"/>
  <c r="Y202" i="3"/>
  <c r="U202" i="3"/>
  <c r="Z209" i="3"/>
  <c r="AC172" i="3"/>
  <c r="AE175" i="3"/>
  <c r="CT176" i="3"/>
  <c r="N179" i="3"/>
  <c r="AH179" i="3"/>
  <c r="Y189" i="3"/>
  <c r="AC192" i="3"/>
  <c r="AC194" i="3"/>
  <c r="Y195" i="3"/>
  <c r="V200" i="3"/>
  <c r="O217" i="3"/>
  <c r="AI217" i="3"/>
  <c r="CP221" i="3"/>
  <c r="AH107" i="3"/>
  <c r="AP107" i="1" s="1"/>
  <c r="AW118" i="3"/>
  <c r="AN127" i="3"/>
  <c r="DG127" i="3"/>
  <c r="W129" i="3"/>
  <c r="AM132" i="3"/>
  <c r="AT132" i="3" s="1"/>
  <c r="R135" i="3"/>
  <c r="AO135" i="3"/>
  <c r="V137" i="3"/>
  <c r="AC159" i="3"/>
  <c r="AE160" i="3"/>
  <c r="AH164" i="3"/>
  <c r="P179" i="3"/>
  <c r="AN179" i="3"/>
  <c r="BK190" i="3"/>
  <c r="AA195" i="3"/>
  <c r="X200" i="3"/>
  <c r="S217" i="3"/>
  <c r="AM217" i="3"/>
  <c r="T231" i="3"/>
  <c r="AQ234" i="3"/>
  <c r="AO127" i="3"/>
  <c r="AN132" i="3"/>
  <c r="AE159" i="3"/>
  <c r="R179" i="3"/>
  <c r="AO179" i="3"/>
  <c r="BM181" i="3"/>
  <c r="CY181" i="3" s="1"/>
  <c r="AF192" i="3"/>
  <c r="AF194" i="3"/>
  <c r="AB195" i="3"/>
  <c r="R197" i="3"/>
  <c r="AU199" i="1"/>
  <c r="AA200" i="3"/>
  <c r="T217" i="3"/>
  <c r="AQ217" i="3"/>
  <c r="U231" i="3"/>
  <c r="Q228" i="1"/>
  <c r="CP212" i="3"/>
  <c r="U217" i="3"/>
  <c r="AR217" i="3"/>
  <c r="BO217" i="3" s="1"/>
  <c r="AH219" i="3"/>
  <c r="W226" i="3"/>
  <c r="AQ226" i="3"/>
  <c r="T227" i="3"/>
  <c r="AQ227" i="3"/>
  <c r="AR229" i="3"/>
  <c r="AP231" i="3"/>
  <c r="EV231" i="3" s="1"/>
  <c r="AW235" i="3"/>
  <c r="M21" i="1"/>
  <c r="M180" i="1"/>
  <c r="Q182" i="1"/>
  <c r="M203" i="1"/>
  <c r="AA226" i="3"/>
  <c r="AR226" i="3"/>
  <c r="BN226" i="3" s="1"/>
  <c r="Z227" i="3"/>
  <c r="AS227" i="3"/>
  <c r="BS227" i="3" s="1"/>
  <c r="AD227" i="1" s="1"/>
  <c r="AX228" i="3"/>
  <c r="AQ231" i="3"/>
  <c r="AX235" i="3"/>
  <c r="Q140" i="1"/>
  <c r="L157" i="1"/>
  <c r="M164" i="1"/>
  <c r="Q188" i="1"/>
  <c r="M215" i="1"/>
  <c r="Q102" i="1"/>
  <c r="BT156" i="1"/>
  <c r="M157" i="1"/>
  <c r="L218" i="1"/>
  <c r="U172" i="3"/>
  <c r="W175" i="3"/>
  <c r="AR175" i="3"/>
  <c r="BM175" i="3" s="1"/>
  <c r="DJ175" i="3" s="1"/>
  <c r="AA179" i="3"/>
  <c r="BS181" i="3"/>
  <c r="AI191" i="3"/>
  <c r="DG191" i="3"/>
  <c r="R192" i="3"/>
  <c r="AN192" i="3"/>
  <c r="Q194" i="3"/>
  <c r="AO194" i="3"/>
  <c r="Z197" i="3"/>
  <c r="AW203" i="3"/>
  <c r="AJ204" i="3"/>
  <c r="AK205" i="3"/>
  <c r="X217" i="3"/>
  <c r="AC226" i="3"/>
  <c r="AB227" i="3"/>
  <c r="M52" i="1"/>
  <c r="M250" i="1" s="1"/>
  <c r="Q130" i="1"/>
  <c r="Q164" i="1"/>
  <c r="M218" i="1"/>
  <c r="AM191" i="3"/>
  <c r="T192" i="3"/>
  <c r="AQ192" i="3"/>
  <c r="S194" i="3"/>
  <c r="AR194" i="3"/>
  <c r="AH197" i="3"/>
  <c r="DG197" i="3"/>
  <c r="AL204" i="3"/>
  <c r="AN205" i="3"/>
  <c r="AX207" i="3"/>
  <c r="AD217" i="3"/>
  <c r="AD226" i="3"/>
  <c r="BT61" i="1"/>
  <c r="N226" i="3"/>
  <c r="AE226" i="3"/>
  <c r="AE227" i="3"/>
  <c r="AW204" i="3"/>
  <c r="AG217" i="3"/>
  <c r="AC127" i="3"/>
  <c r="AC132" i="3"/>
  <c r="AH135" i="3"/>
  <c r="AG179" i="3"/>
  <c r="AH217" i="3"/>
  <c r="CS221" i="3"/>
  <c r="AA46" i="3"/>
  <c r="AO46" i="3"/>
  <c r="CS46" i="3"/>
  <c r="AI53" i="3"/>
  <c r="AH53" i="3"/>
  <c r="CO66" i="3"/>
  <c r="BA66" i="3"/>
  <c r="DY15" i="3"/>
  <c r="P18" i="3"/>
  <c r="AF18" i="3"/>
  <c r="DS18" i="3"/>
  <c r="AB20" i="3"/>
  <c r="AP20" i="3"/>
  <c r="EZ20" i="3" s="1"/>
  <c r="R20" i="1" s="1"/>
  <c r="DG20" i="3"/>
  <c r="AB21" i="3"/>
  <c r="AW21" i="3"/>
  <c r="AJ22" i="3"/>
  <c r="CO27" i="3"/>
  <c r="AE31" i="3"/>
  <c r="DY33" i="3"/>
  <c r="X35" i="3"/>
  <c r="AU36" i="1"/>
  <c r="AK37" i="3"/>
  <c r="S40" i="3"/>
  <c r="AH40" i="3"/>
  <c r="W41" i="3"/>
  <c r="AL41" i="3"/>
  <c r="N46" i="3"/>
  <c r="AB46" i="3"/>
  <c r="AP46" i="3"/>
  <c r="DX46" i="3"/>
  <c r="CP46" i="3"/>
  <c r="AG53" i="3"/>
  <c r="W54" i="3"/>
  <c r="AH65" i="3"/>
  <c r="AK69" i="3"/>
  <c r="AJ69" i="3"/>
  <c r="AI69" i="3"/>
  <c r="BD69" i="3" s="1"/>
  <c r="AC69" i="3"/>
  <c r="AB69" i="3"/>
  <c r="AA69" i="3"/>
  <c r="Z69" i="3"/>
  <c r="AJ72" i="3"/>
  <c r="DZ15" i="3"/>
  <c r="Q18" i="3"/>
  <c r="AG18" i="3"/>
  <c r="DT18" i="3"/>
  <c r="G21" i="3"/>
  <c r="AC21" i="3"/>
  <c r="DG21" i="3"/>
  <c r="DX25" i="3"/>
  <c r="AQ37" i="3"/>
  <c r="AW39" i="3"/>
  <c r="CT39" i="3"/>
  <c r="O46" i="3"/>
  <c r="AC46" i="3"/>
  <c r="AQ46" i="3"/>
  <c r="AL47" i="3"/>
  <c r="AN47" i="3"/>
  <c r="AJ47" i="3"/>
  <c r="T47" i="3"/>
  <c r="AG47" i="3"/>
  <c r="R47" i="3"/>
  <c r="AS47" i="3"/>
  <c r="BS47" i="3" s="1"/>
  <c r="AD47" i="3"/>
  <c r="O47" i="3"/>
  <c r="AH47" i="3"/>
  <c r="AA55" i="3"/>
  <c r="Y55" i="3"/>
  <c r="DG55" i="3"/>
  <c r="AP55" i="3"/>
  <c r="EV55" i="3" s="1"/>
  <c r="EU55" i="3" s="1"/>
  <c r="R55" i="3"/>
  <c r="AN55" i="3"/>
  <c r="P55" i="3"/>
  <c r="AM55" i="3"/>
  <c r="O55" i="3"/>
  <c r="BA64" i="3"/>
  <c r="CQ64" i="3"/>
  <c r="CO64" i="3"/>
  <c r="BK64" i="3"/>
  <c r="O69" i="3"/>
  <c r="AX26" i="3"/>
  <c r="BK35" i="3"/>
  <c r="AR37" i="3"/>
  <c r="BN37" i="3" s="1"/>
  <c r="CO39" i="3"/>
  <c r="P46" i="3"/>
  <c r="AD46" i="3"/>
  <c r="AR46" i="3"/>
  <c r="AT46" i="3" s="1"/>
  <c r="CY46" i="3" s="1"/>
  <c r="DG46" i="3"/>
  <c r="BB15" i="3"/>
  <c r="S18" i="3"/>
  <c r="AN18" i="3"/>
  <c r="N21" i="3"/>
  <c r="AE21" i="3"/>
  <c r="AH31" i="3"/>
  <c r="AJ35" i="3"/>
  <c r="Y36" i="3"/>
  <c r="BK36" i="3"/>
  <c r="Y39" i="3"/>
  <c r="V40" i="3"/>
  <c r="AN40" i="3"/>
  <c r="AA41" i="3"/>
  <c r="AO41" i="3"/>
  <c r="Q46" i="3"/>
  <c r="AE46" i="3"/>
  <c r="AS46" i="3"/>
  <c r="J46" i="1" s="1"/>
  <c r="Q47" i="3"/>
  <c r="AO47" i="3"/>
  <c r="DG47" i="3"/>
  <c r="X55" i="3"/>
  <c r="CO13" i="3"/>
  <c r="AF14" i="3"/>
  <c r="AA15" i="3"/>
  <c r="AO15" i="3"/>
  <c r="G16" i="3"/>
  <c r="AW16" i="3"/>
  <c r="AJ17" i="3"/>
  <c r="T18" i="3"/>
  <c r="AO18" i="3"/>
  <c r="AF19" i="3"/>
  <c r="R20" i="3"/>
  <c r="AF20" i="3"/>
  <c r="CY20" i="3"/>
  <c r="O21" i="3"/>
  <c r="AF21" i="3"/>
  <c r="AA24" i="3"/>
  <c r="AO24" i="3"/>
  <c r="S25" i="3"/>
  <c r="AG25" i="3"/>
  <c r="G26" i="3"/>
  <c r="Y27" i="3"/>
  <c r="AI28" i="3"/>
  <c r="V29" i="3"/>
  <c r="AN29" i="3"/>
  <c r="Z30" i="3"/>
  <c r="R31" i="3"/>
  <c r="AI31" i="3"/>
  <c r="AC32" i="3"/>
  <c r="AR32" i="3"/>
  <c r="BM32" i="3" s="1"/>
  <c r="AB33" i="3"/>
  <c r="AQ33" i="3"/>
  <c r="BA34" i="3"/>
  <c r="AK35" i="3"/>
  <c r="CO35" i="3"/>
  <c r="Z36" i="3"/>
  <c r="G38" i="3"/>
  <c r="AL38" i="3"/>
  <c r="Z39" i="3"/>
  <c r="CQ39" i="3"/>
  <c r="X40" i="3"/>
  <c r="AO40" i="3"/>
  <c r="N41" i="3"/>
  <c r="AB41" i="3"/>
  <c r="AP41" i="3"/>
  <c r="EV41" i="3" s="1"/>
  <c r="AE42" i="3"/>
  <c r="AG43" i="3"/>
  <c r="DG43" i="3"/>
  <c r="X44" i="3"/>
  <c r="AJ45" i="3"/>
  <c r="R46" i="3"/>
  <c r="AF46" i="3"/>
  <c r="CO46" i="3"/>
  <c r="S47" i="3"/>
  <c r="AP47" i="3"/>
  <c r="EV47" i="3" s="1"/>
  <c r="N47" i="1" s="1"/>
  <c r="AA50" i="3"/>
  <c r="DG50" i="3"/>
  <c r="CP52" i="3"/>
  <c r="AH54" i="3"/>
  <c r="Z55" i="3"/>
  <c r="AB66" i="3"/>
  <c r="AE66" i="3"/>
  <c r="Z66" i="3"/>
  <c r="DG66" i="3"/>
  <c r="Y66" i="3"/>
  <c r="S66" i="3"/>
  <c r="AQ66" i="3"/>
  <c r="R66" i="3"/>
  <c r="AP66" i="3"/>
  <c r="ER66" i="3" s="1"/>
  <c r="Q66" i="3"/>
  <c r="AO66" i="3"/>
  <c r="P66" i="3"/>
  <c r="AN66" i="3"/>
  <c r="O66" i="3"/>
  <c r="AM66" i="3"/>
  <c r="AU66" i="3" s="1"/>
  <c r="N66" i="3"/>
  <c r="CO72" i="3"/>
  <c r="BK72" i="3"/>
  <c r="G76" i="3"/>
  <c r="AX77" i="3"/>
  <c r="G77" i="3"/>
  <c r="AP15" i="3"/>
  <c r="BP15" i="3"/>
  <c r="AR17" i="3"/>
  <c r="BO17" i="3" s="1"/>
  <c r="U18" i="3"/>
  <c r="AP18" i="3"/>
  <c r="EZ18" i="3" s="1"/>
  <c r="EY18" i="3" s="1"/>
  <c r="AG19" i="3"/>
  <c r="BK19" i="3"/>
  <c r="S20" i="3"/>
  <c r="AG20" i="3"/>
  <c r="P21" i="3"/>
  <c r="AL21" i="3"/>
  <c r="DG22" i="3"/>
  <c r="AB24" i="3"/>
  <c r="AP24" i="3"/>
  <c r="T25" i="3"/>
  <c r="AH25" i="3"/>
  <c r="AH27" i="3"/>
  <c r="BA27" i="3"/>
  <c r="W29" i="3"/>
  <c r="AO29" i="3"/>
  <c r="AA30" i="3"/>
  <c r="S31" i="3"/>
  <c r="AJ31" i="3"/>
  <c r="AD32" i="3"/>
  <c r="AS32" i="3"/>
  <c r="J32" i="1" s="1"/>
  <c r="AC33" i="3"/>
  <c r="AR33" i="3"/>
  <c r="G35" i="3"/>
  <c r="AL35" i="3"/>
  <c r="AF36" i="3"/>
  <c r="CO36" i="3"/>
  <c r="AM38" i="3"/>
  <c r="AU38" i="3" s="1"/>
  <c r="AA39" i="3"/>
  <c r="CR39" i="3"/>
  <c r="AA40" i="3"/>
  <c r="AP40" i="3"/>
  <c r="EZ40" i="3" s="1"/>
  <c r="O41" i="3"/>
  <c r="AC41" i="3"/>
  <c r="AQ41" i="3"/>
  <c r="AK42" i="3"/>
  <c r="AH43" i="3"/>
  <c r="Y44" i="3"/>
  <c r="AK45" i="3"/>
  <c r="S46" i="3"/>
  <c r="AG46" i="3"/>
  <c r="CQ46" i="3"/>
  <c r="U47" i="3"/>
  <c r="AQ47" i="3"/>
  <c r="AI54" i="3"/>
  <c r="AB55" i="3"/>
  <c r="AC66" i="3"/>
  <c r="DG76" i="3"/>
  <c r="AN76" i="3"/>
  <c r="AH76" i="3"/>
  <c r="AB76" i="3"/>
  <c r="AA76" i="3"/>
  <c r="Z76" i="3"/>
  <c r="Y76" i="3"/>
  <c r="X76" i="3"/>
  <c r="W76" i="3"/>
  <c r="BK78" i="3"/>
  <c r="AS17" i="3"/>
  <c r="BP17" i="3" s="1"/>
  <c r="Z18" i="3"/>
  <c r="AQ18" i="3"/>
  <c r="T20" i="3"/>
  <c r="AH20" i="3"/>
  <c r="Q21" i="3"/>
  <c r="AM21" i="3"/>
  <c r="T31" i="3"/>
  <c r="AP31" i="3"/>
  <c r="CO32" i="3"/>
  <c r="AM35" i="3"/>
  <c r="AT35" i="3" s="1"/>
  <c r="AG36" i="3"/>
  <c r="AB39" i="3"/>
  <c r="AQ45" i="3"/>
  <c r="T46" i="3"/>
  <c r="AI46" i="3"/>
  <c r="AX46" i="3"/>
  <c r="CR46" i="3"/>
  <c r="V47" i="3"/>
  <c r="AR47" i="3"/>
  <c r="BL48" i="3"/>
  <c r="CT52" i="3"/>
  <c r="DZ52" i="3"/>
  <c r="AC55" i="3"/>
  <c r="AQ56" i="3"/>
  <c r="AA56" i="3"/>
  <c r="AG56" i="3"/>
  <c r="AF56" i="3"/>
  <c r="CO56" i="3"/>
  <c r="Z63" i="3"/>
  <c r="AK63" i="3"/>
  <c r="AJ63" i="3"/>
  <c r="DY69" i="3"/>
  <c r="CT69" i="3"/>
  <c r="CW69" i="3" s="1"/>
  <c r="CQ69" i="3"/>
  <c r="AW76" i="3"/>
  <c r="AD21" i="3"/>
  <c r="T17" i="3"/>
  <c r="AA18" i="3"/>
  <c r="AR18" i="3"/>
  <c r="CO19" i="3"/>
  <c r="U20" i="3"/>
  <c r="AI20" i="3"/>
  <c r="R21" i="3"/>
  <c r="AN21" i="3"/>
  <c r="BA22" i="3"/>
  <c r="U31" i="3"/>
  <c r="AQ31" i="3"/>
  <c r="AU34" i="1"/>
  <c r="N35" i="3"/>
  <c r="AN35" i="3"/>
  <c r="DG35" i="3"/>
  <c r="AH36" i="3"/>
  <c r="AC39" i="3"/>
  <c r="AC40" i="3"/>
  <c r="AR40" i="3"/>
  <c r="Q41" i="3"/>
  <c r="AE41" i="3"/>
  <c r="AS41" i="3"/>
  <c r="J41" i="1" s="1"/>
  <c r="U46" i="3"/>
  <c r="AJ46" i="3"/>
  <c r="CT46" i="3"/>
  <c r="G48" i="3"/>
  <c r="AW48" i="3"/>
  <c r="AK55" i="3"/>
  <c r="DZ69" i="3"/>
  <c r="CR69" i="3"/>
  <c r="G72" i="3"/>
  <c r="AX72" i="3"/>
  <c r="AW72" i="3"/>
  <c r="CO75" i="3"/>
  <c r="BK75" i="3"/>
  <c r="AB18" i="3"/>
  <c r="AS18" i="3"/>
  <c r="BS18" i="3" s="1"/>
  <c r="AD18" i="1" s="1"/>
  <c r="S21" i="3"/>
  <c r="AO21" i="3"/>
  <c r="AK27" i="3"/>
  <c r="AC29" i="3"/>
  <c r="AR29" i="3"/>
  <c r="BO29" i="3" s="1"/>
  <c r="AM30" i="3"/>
  <c r="AU30" i="3" s="1"/>
  <c r="V31" i="3"/>
  <c r="AR31" i="3"/>
  <c r="BN31" i="3" s="1"/>
  <c r="CO31" i="3"/>
  <c r="R32" i="3"/>
  <c r="AG32" i="3"/>
  <c r="AA34" i="3"/>
  <c r="O35" i="3"/>
  <c r="P38" i="3"/>
  <c r="AP38" i="3"/>
  <c r="ER38" i="3" s="1"/>
  <c r="AP39" i="3"/>
  <c r="ES39" i="3" s="1"/>
  <c r="O40" i="3"/>
  <c r="AD40" i="3"/>
  <c r="AS40" i="3"/>
  <c r="J40" i="1" s="1"/>
  <c r="R41" i="3"/>
  <c r="AF41" i="3"/>
  <c r="AX41" i="3"/>
  <c r="AN42" i="3"/>
  <c r="T45" i="3"/>
  <c r="AS45" i="3"/>
  <c r="DG45" i="3"/>
  <c r="W46" i="3"/>
  <c r="AL46" i="3"/>
  <c r="AA47" i="3"/>
  <c r="DS50" i="3"/>
  <c r="AL50" i="3"/>
  <c r="X50" i="3"/>
  <c r="AI50" i="3"/>
  <c r="V50" i="3"/>
  <c r="AG50" i="3"/>
  <c r="T50" i="3"/>
  <c r="AR50" i="3"/>
  <c r="AE50" i="3"/>
  <c r="R50" i="3"/>
  <c r="AQ50" i="3"/>
  <c r="AD50" i="3"/>
  <c r="Q50" i="3"/>
  <c r="AH50" i="3"/>
  <c r="AL55" i="3"/>
  <c r="AE56" i="3"/>
  <c r="BA62" i="3"/>
  <c r="CO62" i="3"/>
  <c r="BK62" i="3"/>
  <c r="AO78" i="3"/>
  <c r="AF78" i="3"/>
  <c r="AD78" i="3"/>
  <c r="X78" i="3"/>
  <c r="AS78" i="3"/>
  <c r="BS78" i="3" s="1"/>
  <c r="AD78" i="1" s="1"/>
  <c r="W78" i="3"/>
  <c r="AR78" i="3"/>
  <c r="BM78" i="3" s="1"/>
  <c r="V78" i="3"/>
  <c r="AQ78" i="3"/>
  <c r="U78" i="3"/>
  <c r="AP78" i="3"/>
  <c r="ES78" i="3" s="1"/>
  <c r="ET78" i="3" s="1"/>
  <c r="T78" i="3"/>
  <c r="AJ78" i="3"/>
  <c r="S78" i="3"/>
  <c r="AI78" i="3"/>
  <c r="AP78" i="1" s="1"/>
  <c r="R78" i="3"/>
  <c r="CO79" i="3"/>
  <c r="BK79" i="3"/>
  <c r="AC18" i="3"/>
  <c r="T21" i="3"/>
  <c r="AP21" i="3"/>
  <c r="ER21" i="3" s="1"/>
  <c r="AW38" i="3"/>
  <c r="AQ39" i="3"/>
  <c r="X46" i="3"/>
  <c r="AM46" i="3"/>
  <c r="DG54" i="3"/>
  <c r="AE54" i="3"/>
  <c r="X54" i="3"/>
  <c r="AR54" i="3"/>
  <c r="BO54" i="3" s="1"/>
  <c r="V54" i="3"/>
  <c r="AP54" i="3"/>
  <c r="EZ54" i="3" s="1"/>
  <c r="R54" i="1" s="1"/>
  <c r="T54" i="3"/>
  <c r="AJ54" i="3"/>
  <c r="S54" i="3"/>
  <c r="AO55" i="3"/>
  <c r="AO65" i="3"/>
  <c r="AI65" i="3"/>
  <c r="R65" i="3"/>
  <c r="DG65" i="3"/>
  <c r="AG65" i="3"/>
  <c r="AF65" i="3"/>
  <c r="AE65" i="3"/>
  <c r="AD65" i="3"/>
  <c r="X65" i="3"/>
  <c r="AS65" i="3"/>
  <c r="J65" i="1" s="1"/>
  <c r="W65" i="3"/>
  <c r="AR65" i="3"/>
  <c r="BO65" i="3" s="1"/>
  <c r="V65" i="3"/>
  <c r="AQ65" i="3"/>
  <c r="U65" i="3"/>
  <c r="AX71" i="3"/>
  <c r="G71" i="3"/>
  <c r="AH72" i="3"/>
  <c r="AA72" i="3"/>
  <c r="DG72" i="3"/>
  <c r="Z72" i="3"/>
  <c r="Y72" i="3"/>
  <c r="X72" i="3"/>
  <c r="W72" i="3"/>
  <c r="AN72" i="3"/>
  <c r="V72" i="3"/>
  <c r="AM72" i="3"/>
  <c r="P72" i="3"/>
  <c r="AL72" i="3"/>
  <c r="O72" i="3"/>
  <c r="BA77" i="3"/>
  <c r="CQ77" i="3"/>
  <c r="CO77" i="3"/>
  <c r="BK77" i="3"/>
  <c r="AS14" i="3"/>
  <c r="BP14" i="3" s="1"/>
  <c r="S15" i="3"/>
  <c r="AG15" i="3"/>
  <c r="W17" i="3"/>
  <c r="N18" i="3"/>
  <c r="AD18" i="3"/>
  <c r="AS19" i="3"/>
  <c r="J19" i="1" s="1"/>
  <c r="X20" i="3"/>
  <c r="AN20" i="3"/>
  <c r="Z21" i="3"/>
  <c r="AQ21" i="3"/>
  <c r="AA22" i="3"/>
  <c r="AL23" i="3"/>
  <c r="S24" i="3"/>
  <c r="AG24" i="3"/>
  <c r="AA25" i="3"/>
  <c r="AO25" i="3"/>
  <c r="AB26" i="3"/>
  <c r="O27" i="3"/>
  <c r="AM27" i="3"/>
  <c r="AU27" i="3" s="1"/>
  <c r="P29" i="3"/>
  <c r="AE29" i="3"/>
  <c r="DG29" i="3"/>
  <c r="O30" i="3"/>
  <c r="AO30" i="3"/>
  <c r="X31" i="3"/>
  <c r="T32" i="3"/>
  <c r="AI32" i="3"/>
  <c r="S33" i="3"/>
  <c r="AH33" i="3"/>
  <c r="BK34" i="3"/>
  <c r="V35" i="3"/>
  <c r="Q40" i="3"/>
  <c r="AF40" i="3"/>
  <c r="T41" i="3"/>
  <c r="AI41" i="3"/>
  <c r="O42" i="3"/>
  <c r="AP42" i="3"/>
  <c r="DT42" i="3"/>
  <c r="AN44" i="3"/>
  <c r="V45" i="3"/>
  <c r="G46" i="3"/>
  <c r="Z46" i="3"/>
  <c r="AN46" i="3"/>
  <c r="AC47" i="3"/>
  <c r="AX48" i="3"/>
  <c r="G49" i="3"/>
  <c r="O50" i="3"/>
  <c r="AM50" i="3"/>
  <c r="AW50" i="3" s="1"/>
  <c r="AM51" i="3"/>
  <c r="AA51" i="3"/>
  <c r="Y51" i="3"/>
  <c r="R54" i="3"/>
  <c r="S65" i="3"/>
  <c r="AW67" i="3"/>
  <c r="AX67" i="3"/>
  <c r="G67" i="3"/>
  <c r="DN69" i="3"/>
  <c r="N72" i="3"/>
  <c r="BA95" i="3"/>
  <c r="AU95" i="1"/>
  <c r="CO95" i="3"/>
  <c r="BK95" i="3"/>
  <c r="DZ100" i="3"/>
  <c r="EY101" i="3"/>
  <c r="ET101" i="3"/>
  <c r="CS111" i="3"/>
  <c r="DW111" i="3"/>
  <c r="AG115" i="3"/>
  <c r="AL115" i="3"/>
  <c r="N115" i="3"/>
  <c r="AJ115" i="3"/>
  <c r="AH115" i="3"/>
  <c r="Z115" i="3"/>
  <c r="Y115" i="3"/>
  <c r="X115" i="3"/>
  <c r="W115" i="3"/>
  <c r="AS115" i="3"/>
  <c r="J115" i="1" s="1"/>
  <c r="U115" i="3"/>
  <c r="AX125" i="3"/>
  <c r="G125" i="3"/>
  <c r="AM94" i="3"/>
  <c r="O94" i="3"/>
  <c r="DG94" i="3"/>
  <c r="AI94" i="3"/>
  <c r="X94" i="3"/>
  <c r="Q94" i="3"/>
  <c r="DY114" i="3"/>
  <c r="AH122" i="3"/>
  <c r="AL122" i="3"/>
  <c r="AJ122" i="3"/>
  <c r="AG122" i="3"/>
  <c r="X122" i="3"/>
  <c r="W122" i="3"/>
  <c r="V122" i="3"/>
  <c r="U122" i="3"/>
  <c r="AS122" i="3"/>
  <c r="BR122" i="3" s="1"/>
  <c r="N122" i="3"/>
  <c r="AD57" i="3"/>
  <c r="AE59" i="3"/>
  <c r="CO61" i="3"/>
  <c r="Y62" i="3"/>
  <c r="AF64" i="3"/>
  <c r="DO69" i="3"/>
  <c r="AF70" i="3"/>
  <c r="AA71" i="3"/>
  <c r="AP71" i="3"/>
  <c r="AK75" i="3"/>
  <c r="BA76" i="3"/>
  <c r="AD85" i="3"/>
  <c r="AL87" i="3"/>
  <c r="AS87" i="3"/>
  <c r="J87" i="1" s="1"/>
  <c r="AD87" i="3"/>
  <c r="O87" i="3"/>
  <c r="AP87" i="3"/>
  <c r="EZ87" i="3" s="1"/>
  <c r="AA87" i="3"/>
  <c r="AN87" i="3"/>
  <c r="V87" i="3"/>
  <c r="AF87" i="3"/>
  <c r="Q87" i="3"/>
  <c r="AI87" i="3"/>
  <c r="P94" i="3"/>
  <c r="BA99" i="3"/>
  <c r="CO99" i="3"/>
  <c r="AN102" i="3"/>
  <c r="AM102" i="3"/>
  <c r="N102" i="3"/>
  <c r="AO112" i="3"/>
  <c r="V115" i="3"/>
  <c r="T122" i="3"/>
  <c r="AG125" i="3"/>
  <c r="AR125" i="3"/>
  <c r="BN125" i="3" s="1"/>
  <c r="S125" i="3"/>
  <c r="AK125" i="3"/>
  <c r="AJ125" i="3"/>
  <c r="AE125" i="3"/>
  <c r="Y125" i="3"/>
  <c r="X125" i="3"/>
  <c r="W125" i="3"/>
  <c r="U125" i="3"/>
  <c r="AE57" i="3"/>
  <c r="AF59" i="3"/>
  <c r="AW60" i="3"/>
  <c r="Z62" i="3"/>
  <c r="AG64" i="3"/>
  <c r="AB71" i="3"/>
  <c r="AQ71" i="3"/>
  <c r="CO83" i="3"/>
  <c r="AF85" i="3"/>
  <c r="P87" i="3"/>
  <c r="AM87" i="3"/>
  <c r="AU87" i="3" s="1"/>
  <c r="W94" i="3"/>
  <c r="AG101" i="3"/>
  <c r="X101" i="3"/>
  <c r="AL102" i="3"/>
  <c r="BA105" i="3"/>
  <c r="CO105" i="3"/>
  <c r="BK105" i="3"/>
  <c r="AA115" i="3"/>
  <c r="BA119" i="3"/>
  <c r="CO119" i="3"/>
  <c r="Y122" i="3"/>
  <c r="T125" i="3"/>
  <c r="X49" i="3"/>
  <c r="S52" i="3"/>
  <c r="AH52" i="3"/>
  <c r="AF57" i="3"/>
  <c r="AD58" i="3"/>
  <c r="CS58" i="3"/>
  <c r="P59" i="3"/>
  <c r="AG59" i="3"/>
  <c r="Y60" i="3"/>
  <c r="AX60" i="3"/>
  <c r="AA62" i="3"/>
  <c r="AJ64" i="3"/>
  <c r="AL67" i="3"/>
  <c r="AC68" i="3"/>
  <c r="BK69" i="3"/>
  <c r="DP69" i="3" s="1"/>
  <c r="Q70" i="3"/>
  <c r="AH70" i="3"/>
  <c r="N71" i="3"/>
  <c r="AC71" i="3"/>
  <c r="AR71" i="3"/>
  <c r="BO71" i="3" s="1"/>
  <c r="DG71" i="3"/>
  <c r="O75" i="3"/>
  <c r="AM75" i="3"/>
  <c r="AT75" i="3" s="1"/>
  <c r="AJ77" i="3"/>
  <c r="AN79" i="3"/>
  <c r="AC80" i="3"/>
  <c r="AR80" i="3"/>
  <c r="AM85" i="3"/>
  <c r="R87" i="3"/>
  <c r="AO87" i="3"/>
  <c r="DG88" i="3"/>
  <c r="AF88" i="3"/>
  <c r="V88" i="3"/>
  <c r="Q88" i="3"/>
  <c r="AI88" i="3"/>
  <c r="BO93" i="3"/>
  <c r="BN93" i="3"/>
  <c r="AJ94" i="3"/>
  <c r="AH101" i="3"/>
  <c r="CT101" i="3"/>
  <c r="AD114" i="3"/>
  <c r="AK115" i="3"/>
  <c r="AK122" i="3"/>
  <c r="V125" i="3"/>
  <c r="AG57" i="3"/>
  <c r="DM58" i="3"/>
  <c r="Q59" i="3"/>
  <c r="AH59" i="3"/>
  <c r="AK62" i="3"/>
  <c r="AQ64" i="3"/>
  <c r="R70" i="3"/>
  <c r="AN70" i="3"/>
  <c r="O71" i="3"/>
  <c r="AD71" i="3"/>
  <c r="AS71" i="3"/>
  <c r="DT71" i="3"/>
  <c r="P75" i="3"/>
  <c r="AN75" i="3"/>
  <c r="AK77" i="3"/>
  <c r="G83" i="3"/>
  <c r="S87" i="3"/>
  <c r="AQ87" i="3"/>
  <c r="CQ103" i="3"/>
  <c r="AU105" i="1"/>
  <c r="CO111" i="3"/>
  <c r="AM115" i="3"/>
  <c r="AR122" i="3"/>
  <c r="BO122" i="3" s="1"/>
  <c r="AH125" i="3"/>
  <c r="AH57" i="3"/>
  <c r="AR64" i="3"/>
  <c r="BM64" i="3" s="1"/>
  <c r="DJ64" i="3" s="1"/>
  <c r="S70" i="3"/>
  <c r="AO70" i="3"/>
  <c r="P71" i="3"/>
  <c r="AE71" i="3"/>
  <c r="Q75" i="3"/>
  <c r="AO75" i="3"/>
  <c r="BK76" i="3"/>
  <c r="AL77" i="3"/>
  <c r="AW82" i="3"/>
  <c r="AK85" i="3"/>
  <c r="AO85" i="3"/>
  <c r="S85" i="3"/>
  <c r="AL85" i="3"/>
  <c r="P85" i="3"/>
  <c r="AE85" i="3"/>
  <c r="N85" i="3"/>
  <c r="AQ85" i="3"/>
  <c r="Z85" i="3"/>
  <c r="AP85" i="3"/>
  <c r="EV85" i="3" s="1"/>
  <c r="DG85" i="3"/>
  <c r="DN103" i="3"/>
  <c r="AK112" i="3"/>
  <c r="AN112" i="3"/>
  <c r="Z112" i="3"/>
  <c r="AL112" i="3"/>
  <c r="V112" i="3"/>
  <c r="DT112" i="3"/>
  <c r="AI112" i="3"/>
  <c r="U112" i="3"/>
  <c r="AG112" i="3"/>
  <c r="S112" i="3"/>
  <c r="AF112" i="3"/>
  <c r="R112" i="3"/>
  <c r="DG112" i="3"/>
  <c r="AS112" i="3"/>
  <c r="J112" i="1" s="1"/>
  <c r="AE112" i="3"/>
  <c r="Q112" i="3"/>
  <c r="AR112" i="3"/>
  <c r="BM112" i="3" s="1"/>
  <c r="BN112" i="3" s="1"/>
  <c r="BO112" i="3" s="1"/>
  <c r="AD112" i="3"/>
  <c r="P112" i="3"/>
  <c r="AP112" i="3"/>
  <c r="AB112" i="3"/>
  <c r="N112" i="3"/>
  <c r="AH116" i="3"/>
  <c r="AA116" i="3"/>
  <c r="Z116" i="3"/>
  <c r="X116" i="3"/>
  <c r="W116" i="3"/>
  <c r="V116" i="3"/>
  <c r="O116" i="3"/>
  <c r="AM116" i="3"/>
  <c r="AX122" i="3"/>
  <c r="AX130" i="3"/>
  <c r="AW130" i="3"/>
  <c r="G130" i="3"/>
  <c r="AK49" i="3"/>
  <c r="V52" i="3"/>
  <c r="AN52" i="3"/>
  <c r="BC52" i="3"/>
  <c r="AX56" i="3"/>
  <c r="R57" i="3"/>
  <c r="AI57" i="3"/>
  <c r="AG58" i="3"/>
  <c r="S59" i="3"/>
  <c r="AO59" i="3"/>
  <c r="AC60" i="3"/>
  <c r="BA60" i="3"/>
  <c r="BA61" i="3"/>
  <c r="AM62" i="3"/>
  <c r="AV62" i="3" s="1"/>
  <c r="CQ63" i="3"/>
  <c r="S64" i="3"/>
  <c r="AS64" i="3"/>
  <c r="AW66" i="3"/>
  <c r="AP68" i="3"/>
  <c r="EZ68" i="3" s="1"/>
  <c r="R68" i="1" s="1"/>
  <c r="DG68" i="3"/>
  <c r="CS69" i="3"/>
  <c r="CV69" i="3" s="1"/>
  <c r="B69" i="3" s="1"/>
  <c r="T70" i="3"/>
  <c r="AP70" i="3"/>
  <c r="EZ70" i="3" s="1"/>
  <c r="Q71" i="3"/>
  <c r="AF71" i="3"/>
  <c r="AU73" i="1"/>
  <c r="R75" i="3"/>
  <c r="AP75" i="3"/>
  <c r="EZ75" i="3" s="1"/>
  <c r="AB79" i="3"/>
  <c r="AQ79" i="3"/>
  <c r="Q80" i="3"/>
  <c r="AF80" i="3"/>
  <c r="DG80" i="3"/>
  <c r="AA83" i="3"/>
  <c r="DG83" i="3"/>
  <c r="V83" i="3"/>
  <c r="AL83" i="3"/>
  <c r="N83" i="3"/>
  <c r="AJ83" i="3"/>
  <c r="X83" i="3"/>
  <c r="O85" i="3"/>
  <c r="AR85" i="3"/>
  <c r="BN85" i="3" s="1"/>
  <c r="U87" i="3"/>
  <c r="AF90" i="3"/>
  <c r="CO98" i="3"/>
  <c r="BK98" i="3"/>
  <c r="AU98" i="1"/>
  <c r="AA105" i="3"/>
  <c r="Y105" i="3"/>
  <c r="X105" i="3"/>
  <c r="AS105" i="3"/>
  <c r="BT105" i="3" s="1"/>
  <c r="V105" i="3"/>
  <c r="AM105" i="3"/>
  <c r="AV105" i="3" s="1"/>
  <c r="U105" i="3"/>
  <c r="AL105" i="3"/>
  <c r="O105" i="3"/>
  <c r="AK105" i="3"/>
  <c r="N105" i="3"/>
  <c r="AH105" i="3"/>
  <c r="O112" i="3"/>
  <c r="AQ114" i="3"/>
  <c r="Y116" i="3"/>
  <c r="AS125" i="3"/>
  <c r="BU125" i="3" s="1"/>
  <c r="S57" i="3"/>
  <c r="AJ57" i="3"/>
  <c r="T59" i="3"/>
  <c r="AP59" i="3"/>
  <c r="EZ59" i="3" s="1"/>
  <c r="AS62" i="3"/>
  <c r="U64" i="3"/>
  <c r="Q85" i="3"/>
  <c r="W87" i="3"/>
  <c r="AG90" i="3"/>
  <c r="T112" i="3"/>
  <c r="AB116" i="3"/>
  <c r="AM49" i="3"/>
  <c r="AT49" i="3" s="1"/>
  <c r="BS51" i="3"/>
  <c r="AD51" i="1" s="1"/>
  <c r="AA52" i="3"/>
  <c r="AP52" i="3"/>
  <c r="ES52" i="3" s="1"/>
  <c r="CO52" i="3"/>
  <c r="G56" i="3"/>
  <c r="T57" i="3"/>
  <c r="AP57" i="3"/>
  <c r="ER57" i="3" s="1"/>
  <c r="R58" i="3"/>
  <c r="AI58" i="3"/>
  <c r="DT58" i="3"/>
  <c r="U59" i="3"/>
  <c r="AQ59" i="3"/>
  <c r="AK60" i="3"/>
  <c r="Z61" i="3"/>
  <c r="O62" i="3"/>
  <c r="V64" i="3"/>
  <c r="AW68" i="3"/>
  <c r="DJ69" i="3"/>
  <c r="V70" i="3"/>
  <c r="AR70" i="3"/>
  <c r="BO70" i="3" s="1"/>
  <c r="S71" i="3"/>
  <c r="AJ71" i="3"/>
  <c r="Y75" i="3"/>
  <c r="AD79" i="3"/>
  <c r="AS79" i="3"/>
  <c r="S80" i="3"/>
  <c r="AH80" i="3"/>
  <c r="G81" i="3"/>
  <c r="AW81" i="3"/>
  <c r="P83" i="3"/>
  <c r="R85" i="3"/>
  <c r="AB87" i="3"/>
  <c r="AL109" i="3"/>
  <c r="U109" i="3"/>
  <c r="T109" i="3"/>
  <c r="W112" i="3"/>
  <c r="AK116" i="3"/>
  <c r="AN121" i="3"/>
  <c r="AM121" i="3"/>
  <c r="AU121" i="3" s="1"/>
  <c r="AL121" i="3"/>
  <c r="Q121" i="3"/>
  <c r="O121" i="3"/>
  <c r="BS123" i="3"/>
  <c r="AD123" i="1" s="1"/>
  <c r="BQ123" i="3"/>
  <c r="BP123" i="3"/>
  <c r="AX124" i="3"/>
  <c r="AW124" i="3"/>
  <c r="CO82" i="3"/>
  <c r="BA82" i="3"/>
  <c r="DZ83" i="3"/>
  <c r="CP94" i="3"/>
  <c r="BL94" i="3"/>
  <c r="BA97" i="3"/>
  <c r="CO97" i="3"/>
  <c r="CO104" i="3"/>
  <c r="BA104" i="3"/>
  <c r="EU109" i="3"/>
  <c r="EY109" i="3"/>
  <c r="ET109" i="3"/>
  <c r="AC52" i="3"/>
  <c r="AR52" i="3"/>
  <c r="AT52" i="3" s="1"/>
  <c r="CY52" i="3" s="1"/>
  <c r="BM55" i="3"/>
  <c r="DI55" i="3" s="1"/>
  <c r="V57" i="3"/>
  <c r="AR57" i="3"/>
  <c r="BM57" i="3" s="1"/>
  <c r="T58" i="3"/>
  <c r="AP58" i="3"/>
  <c r="ER58" i="3" s="1"/>
  <c r="AB59" i="3"/>
  <c r="AS59" i="3"/>
  <c r="BS59" i="3" s="1"/>
  <c r="O60" i="3"/>
  <c r="AM60" i="3"/>
  <c r="AU60" i="3" s="1"/>
  <c r="BK60" i="3"/>
  <c r="V62" i="3"/>
  <c r="X64" i="3"/>
  <c r="DW69" i="3"/>
  <c r="AC70" i="3"/>
  <c r="U71" i="3"/>
  <c r="AM71" i="3"/>
  <c r="AB75" i="3"/>
  <c r="Q79" i="3"/>
  <c r="AF79" i="3"/>
  <c r="U80" i="3"/>
  <c r="AM80" i="3"/>
  <c r="AK81" i="3"/>
  <c r="AB81" i="3"/>
  <c r="AP81" i="3"/>
  <c r="AE81" i="3"/>
  <c r="Y83" i="3"/>
  <c r="AA85" i="3"/>
  <c r="AE87" i="3"/>
  <c r="AH88" i="3"/>
  <c r="BK89" i="3"/>
  <c r="G94" i="3"/>
  <c r="AW94" i="3"/>
  <c r="DY101" i="3"/>
  <c r="AJ105" i="3"/>
  <c r="AR109" i="3"/>
  <c r="AT109" i="3" s="1"/>
  <c r="CY109" i="3" s="1"/>
  <c r="AC112" i="3"/>
  <c r="AM114" i="3"/>
  <c r="AV114" i="3" s="1"/>
  <c r="AR114" i="3"/>
  <c r="BO114" i="3" s="1"/>
  <c r="AC114" i="3"/>
  <c r="N114" i="3"/>
  <c r="AP114" i="3"/>
  <c r="EV114" i="3" s="1"/>
  <c r="Z114" i="3"/>
  <c r="AO114" i="3"/>
  <c r="W114" i="3"/>
  <c r="AL114" i="3"/>
  <c r="U114" i="3"/>
  <c r="AI114" i="3"/>
  <c r="T114" i="3"/>
  <c r="AH114" i="3"/>
  <c r="S114" i="3"/>
  <c r="DT114" i="3"/>
  <c r="AG114" i="3"/>
  <c r="R114" i="3"/>
  <c r="DG114" i="3"/>
  <c r="AE114" i="3"/>
  <c r="P114" i="3"/>
  <c r="AD82" i="3"/>
  <c r="AH84" i="3"/>
  <c r="G88" i="3"/>
  <c r="O89" i="3"/>
  <c r="AX89" i="3"/>
  <c r="T91" i="3"/>
  <c r="AN91" i="3"/>
  <c r="X92" i="3"/>
  <c r="T93" i="3"/>
  <c r="AN93" i="3"/>
  <c r="DG93" i="3"/>
  <c r="T96" i="3"/>
  <c r="AN96" i="3"/>
  <c r="DT96" i="3"/>
  <c r="U98" i="3"/>
  <c r="AQ98" i="3"/>
  <c r="W99" i="3"/>
  <c r="AQ99" i="3"/>
  <c r="AD100" i="3"/>
  <c r="DM103" i="3"/>
  <c r="Q104" i="3"/>
  <c r="S106" i="3"/>
  <c r="AJ106" i="3"/>
  <c r="U107" i="3"/>
  <c r="AO107" i="3"/>
  <c r="U108" i="3"/>
  <c r="AO108" i="3"/>
  <c r="O111" i="3"/>
  <c r="AM111" i="3"/>
  <c r="DD111" i="3"/>
  <c r="AL113" i="3"/>
  <c r="U117" i="3"/>
  <c r="AH117" i="3"/>
  <c r="Y119" i="3"/>
  <c r="U120" i="3"/>
  <c r="R123" i="3"/>
  <c r="AE123" i="3"/>
  <c r="AR123" i="3"/>
  <c r="BK146" i="3"/>
  <c r="BA146" i="3"/>
  <c r="W98" i="3"/>
  <c r="AS98" i="3"/>
  <c r="BS98" i="3" s="1"/>
  <c r="AD98" i="1" s="1"/>
  <c r="AC99" i="3"/>
  <c r="AS99" i="3"/>
  <c r="X104" i="3"/>
  <c r="AA108" i="3"/>
  <c r="AQ108" i="3"/>
  <c r="AX109" i="3"/>
  <c r="AN113" i="3"/>
  <c r="W117" i="3"/>
  <c r="AJ117" i="3"/>
  <c r="AN130" i="3"/>
  <c r="Y130" i="3"/>
  <c r="DG130" i="3"/>
  <c r="X130" i="3"/>
  <c r="AP130" i="3"/>
  <c r="EV130" i="3" s="1"/>
  <c r="N130" i="1" s="1"/>
  <c r="G133" i="3"/>
  <c r="AX133" i="3"/>
  <c r="DX141" i="3"/>
  <c r="AP142" i="3"/>
  <c r="EZ142" i="3" s="1"/>
  <c r="R142" i="1" s="1"/>
  <c r="AM142" i="3"/>
  <c r="AU142" i="3" s="1"/>
  <c r="AL142" i="3"/>
  <c r="AK142" i="3"/>
  <c r="AC142" i="3"/>
  <c r="W142" i="3"/>
  <c r="P142" i="3"/>
  <c r="CQ160" i="3"/>
  <c r="DY160" i="3"/>
  <c r="DN160" i="3"/>
  <c r="AX95" i="3"/>
  <c r="X98" i="3"/>
  <c r="AD99" i="3"/>
  <c r="AB108" i="3"/>
  <c r="AR108" i="3"/>
  <c r="X117" i="3"/>
  <c r="AL117" i="3"/>
  <c r="R130" i="3"/>
  <c r="AE99" i="3"/>
  <c r="AC108" i="3"/>
  <c r="AS108" i="3"/>
  <c r="Z117" i="3"/>
  <c r="AM117" i="3"/>
  <c r="Z130" i="3"/>
  <c r="AI131" i="3"/>
  <c r="Y131" i="3"/>
  <c r="AK138" i="3"/>
  <c r="AR138" i="3"/>
  <c r="AB138" i="3"/>
  <c r="DT138" i="3"/>
  <c r="AQ138" i="3"/>
  <c r="AA138" i="3"/>
  <c r="DS138" i="3"/>
  <c r="AP138" i="3"/>
  <c r="EZ138" i="3" s="1"/>
  <c r="R138" i="1" s="1"/>
  <c r="Z138" i="3"/>
  <c r="DG138" i="3"/>
  <c r="AO138" i="3"/>
  <c r="U138" i="3"/>
  <c r="AM138" i="3"/>
  <c r="AV138" i="3" s="1"/>
  <c r="S138" i="3"/>
  <c r="AL138" i="3"/>
  <c r="R138" i="3"/>
  <c r="AG138" i="3"/>
  <c r="Q138" i="3"/>
  <c r="AF138" i="3"/>
  <c r="P138" i="3"/>
  <c r="AE138" i="3"/>
  <c r="O138" i="3"/>
  <c r="AD138" i="3"/>
  <c r="N138" i="3"/>
  <c r="AF161" i="3"/>
  <c r="AE161" i="3"/>
  <c r="AD161" i="3"/>
  <c r="Y161" i="3"/>
  <c r="AS161" i="3"/>
  <c r="J161" i="1" s="1"/>
  <c r="X161" i="3"/>
  <c r="AR161" i="3"/>
  <c r="BO161" i="3" s="1"/>
  <c r="W161" i="3"/>
  <c r="AQ161" i="3"/>
  <c r="V161" i="3"/>
  <c r="AP161" i="3"/>
  <c r="ES161" i="3" s="1"/>
  <c r="ET161" i="3" s="1"/>
  <c r="U161" i="3"/>
  <c r="AK161" i="3"/>
  <c r="T161" i="3"/>
  <c r="AJ161" i="3"/>
  <c r="S161" i="3"/>
  <c r="AI161" i="3"/>
  <c r="R161" i="3"/>
  <c r="DN203" i="3"/>
  <c r="CP203" i="3"/>
  <c r="AC91" i="3"/>
  <c r="AS91" i="3"/>
  <c r="AC93" i="3"/>
  <c r="AS93" i="3"/>
  <c r="J93" i="1" s="1"/>
  <c r="AC96" i="3"/>
  <c r="AS96" i="3"/>
  <c r="J96" i="1" s="1"/>
  <c r="AI97" i="3"/>
  <c r="AE98" i="3"/>
  <c r="P99" i="3"/>
  <c r="AF99" i="3"/>
  <c r="S100" i="3"/>
  <c r="AM100" i="3"/>
  <c r="AV100" i="3" s="1"/>
  <c r="Z103" i="3"/>
  <c r="AK104" i="3"/>
  <c r="AD107" i="3"/>
  <c r="N108" i="3"/>
  <c r="AD108" i="3"/>
  <c r="G109" i="3"/>
  <c r="Y111" i="3"/>
  <c r="P113" i="3"/>
  <c r="N117" i="3"/>
  <c r="AA117" i="3"/>
  <c r="AN117" i="3"/>
  <c r="AN119" i="3"/>
  <c r="AJ120" i="3"/>
  <c r="G127" i="3"/>
  <c r="AW127" i="3"/>
  <c r="AA130" i="3"/>
  <c r="AA131" i="3"/>
  <c r="T138" i="3"/>
  <c r="AH161" i="3"/>
  <c r="DZ162" i="3"/>
  <c r="AX167" i="3"/>
  <c r="G167" i="3"/>
  <c r="BK130" i="3"/>
  <c r="G147" i="3"/>
  <c r="AX147" i="3"/>
  <c r="AW147" i="3"/>
  <c r="AX156" i="3"/>
  <c r="G156" i="3"/>
  <c r="DW176" i="3"/>
  <c r="CS176" i="3"/>
  <c r="O82" i="3"/>
  <c r="AE93" i="3"/>
  <c r="AE96" i="3"/>
  <c r="AG98" i="3"/>
  <c r="R99" i="3"/>
  <c r="AH99" i="3"/>
  <c r="U100" i="3"/>
  <c r="AO100" i="3"/>
  <c r="AB103" i="3"/>
  <c r="AO104" i="3"/>
  <c r="AE106" i="3"/>
  <c r="P107" i="3"/>
  <c r="AF107" i="3"/>
  <c r="BA107" i="3"/>
  <c r="DG107" i="3"/>
  <c r="P108" i="3"/>
  <c r="AF108" i="3"/>
  <c r="AA111" i="3"/>
  <c r="AW111" i="3"/>
  <c r="W113" i="3"/>
  <c r="AX115" i="3"/>
  <c r="P117" i="3"/>
  <c r="AC117" i="3"/>
  <c r="AP117" i="3"/>
  <c r="BA118" i="3"/>
  <c r="DG119" i="3"/>
  <c r="Z123" i="3"/>
  <c r="AM123" i="3"/>
  <c r="AC130" i="3"/>
  <c r="CO130" i="3"/>
  <c r="AH131" i="3"/>
  <c r="AH134" i="3"/>
  <c r="AE134" i="3"/>
  <c r="U134" i="3"/>
  <c r="T134" i="3"/>
  <c r="AQ134" i="3"/>
  <c r="AN138" i="3"/>
  <c r="AH98" i="3"/>
  <c r="S99" i="3"/>
  <c r="AI99" i="3"/>
  <c r="AC103" i="3"/>
  <c r="DO103" i="3"/>
  <c r="Q108" i="3"/>
  <c r="AG108" i="3"/>
  <c r="DG108" i="3"/>
  <c r="CQ111" i="3"/>
  <c r="DZ112" i="3"/>
  <c r="X113" i="3"/>
  <c r="Q117" i="3"/>
  <c r="AD117" i="3"/>
  <c r="AQ117" i="3"/>
  <c r="DG117" i="3"/>
  <c r="AO130" i="3"/>
  <c r="CP130" i="3"/>
  <c r="BA133" i="3"/>
  <c r="AS138" i="3"/>
  <c r="AB82" i="3"/>
  <c r="AS89" i="3"/>
  <c r="R91" i="3"/>
  <c r="AL91" i="3"/>
  <c r="Q92" i="3"/>
  <c r="R93" i="3"/>
  <c r="AH93" i="3"/>
  <c r="R96" i="3"/>
  <c r="AH96" i="3"/>
  <c r="DG96" i="3"/>
  <c r="S98" i="3"/>
  <c r="AJ98" i="3"/>
  <c r="U99" i="3"/>
  <c r="AO99" i="3"/>
  <c r="AB100" i="3"/>
  <c r="AR100" i="3"/>
  <c r="DP103" i="3"/>
  <c r="O104" i="3"/>
  <c r="AH106" i="3"/>
  <c r="AM107" i="3"/>
  <c r="AU107" i="3" s="1"/>
  <c r="S108" i="3"/>
  <c r="AM108" i="3"/>
  <c r="AV108" i="3" s="1"/>
  <c r="CR109" i="3"/>
  <c r="AK111" i="3"/>
  <c r="Z113" i="3"/>
  <c r="S117" i="3"/>
  <c r="AF117" i="3"/>
  <c r="AS117" i="3"/>
  <c r="J117" i="1" s="1"/>
  <c r="W119" i="3"/>
  <c r="P123" i="3"/>
  <c r="AC123" i="3"/>
  <c r="AP123" i="3"/>
  <c r="ER123" i="3" s="1"/>
  <c r="BA180" i="3"/>
  <c r="CO180" i="3"/>
  <c r="Z126" i="3"/>
  <c r="AM126" i="3"/>
  <c r="DG126" i="3"/>
  <c r="Y127" i="3"/>
  <c r="U129" i="3"/>
  <c r="AR129" i="3"/>
  <c r="O132" i="3"/>
  <c r="AF132" i="3"/>
  <c r="V135" i="3"/>
  <c r="AP135" i="3"/>
  <c r="O137" i="3"/>
  <c r="AH140" i="3"/>
  <c r="P141" i="3"/>
  <c r="AD141" i="3"/>
  <c r="AR141" i="3"/>
  <c r="S143" i="3"/>
  <c r="AH143" i="3"/>
  <c r="Q144" i="3"/>
  <c r="Z145" i="3"/>
  <c r="AL146" i="3"/>
  <c r="Y148" i="3"/>
  <c r="AD149" i="3"/>
  <c r="U150" i="3"/>
  <c r="AJ150" i="3"/>
  <c r="DG150" i="3"/>
  <c r="O151" i="3"/>
  <c r="P152" i="3"/>
  <c r="AO152" i="3"/>
  <c r="AJ153" i="3"/>
  <c r="W154" i="3"/>
  <c r="S155" i="3"/>
  <c r="AI155" i="3"/>
  <c r="AH156" i="3"/>
  <c r="G157" i="3"/>
  <c r="AI157" i="3"/>
  <c r="AS159" i="3"/>
  <c r="J159" i="1" s="1"/>
  <c r="P160" i="3"/>
  <c r="DG160" i="3"/>
  <c r="DG162" i="3"/>
  <c r="AG164" i="3"/>
  <c r="AH165" i="3"/>
  <c r="AD166" i="3"/>
  <c r="S168" i="3"/>
  <c r="AQ168" i="3"/>
  <c r="AN169" i="3"/>
  <c r="AK170" i="3"/>
  <c r="AD174" i="3"/>
  <c r="AR181" i="3"/>
  <c r="AU185" i="1"/>
  <c r="CO185" i="3"/>
  <c r="BK185" i="3"/>
  <c r="AP189" i="3"/>
  <c r="Q141" i="3"/>
  <c r="AE141" i="3"/>
  <c r="AS141" i="3"/>
  <c r="DG141" i="3"/>
  <c r="T143" i="3"/>
  <c r="AI143" i="3"/>
  <c r="DG143" i="3"/>
  <c r="AL144" i="3"/>
  <c r="AM146" i="3"/>
  <c r="AV146" i="3" s="1"/>
  <c r="AE149" i="3"/>
  <c r="AJ157" i="3"/>
  <c r="DM160" i="3"/>
  <c r="AE166" i="3"/>
  <c r="Y168" i="3"/>
  <c r="AL170" i="3"/>
  <c r="DG170" i="3"/>
  <c r="R141" i="3"/>
  <c r="AF141" i="3"/>
  <c r="U143" i="3"/>
  <c r="AJ143" i="3"/>
  <c r="AM144" i="3"/>
  <c r="AU144" i="3" s="1"/>
  <c r="N146" i="3"/>
  <c r="AN146" i="3"/>
  <c r="P149" i="3"/>
  <c r="AF149" i="3"/>
  <c r="Y154" i="3"/>
  <c r="AJ156" i="3"/>
  <c r="R157" i="3"/>
  <c r="AK157" i="3"/>
  <c r="AL158" i="3"/>
  <c r="AJ160" i="3"/>
  <c r="AJ164" i="3"/>
  <c r="P166" i="3"/>
  <c r="AF166" i="3"/>
  <c r="Z168" i="3"/>
  <c r="R170" i="3"/>
  <c r="AM170" i="3"/>
  <c r="AL184" i="3"/>
  <c r="AD184" i="3"/>
  <c r="AC184" i="3"/>
  <c r="AQ184" i="3"/>
  <c r="U184" i="3"/>
  <c r="AP184" i="3"/>
  <c r="T184" i="3"/>
  <c r="AO184" i="3"/>
  <c r="S184" i="3"/>
  <c r="AN184" i="3"/>
  <c r="R184" i="3"/>
  <c r="AM184" i="3"/>
  <c r="AU184" i="3" s="1"/>
  <c r="Q184" i="3"/>
  <c r="AG184" i="3"/>
  <c r="P184" i="3"/>
  <c r="AF184" i="3"/>
  <c r="O184" i="3"/>
  <c r="AW197" i="3"/>
  <c r="AX197" i="3"/>
  <c r="G140" i="3"/>
  <c r="S141" i="3"/>
  <c r="AG141" i="3"/>
  <c r="DT141" i="3"/>
  <c r="V143" i="3"/>
  <c r="AL143" i="3"/>
  <c r="AN144" i="3"/>
  <c r="O146" i="3"/>
  <c r="AO146" i="3"/>
  <c r="Q149" i="3"/>
  <c r="AG149" i="3"/>
  <c r="G150" i="3"/>
  <c r="AW152" i="3"/>
  <c r="AK156" i="3"/>
  <c r="S157" i="3"/>
  <c r="AL157" i="3"/>
  <c r="AN158" i="3"/>
  <c r="AK160" i="3"/>
  <c r="BK160" i="3"/>
  <c r="DP160" i="3" s="1"/>
  <c r="DW160" i="3"/>
  <c r="S164" i="3"/>
  <c r="AK164" i="3"/>
  <c r="CO164" i="3"/>
  <c r="Q166" i="3"/>
  <c r="AG166" i="3"/>
  <c r="AJ167" i="3"/>
  <c r="AA168" i="3"/>
  <c r="S170" i="3"/>
  <c r="AN170" i="3"/>
  <c r="CR176" i="3"/>
  <c r="DZ176" i="3"/>
  <c r="AA184" i="3"/>
  <c r="AN206" i="3"/>
  <c r="AM206" i="3"/>
  <c r="AV206" i="3" s="1"/>
  <c r="AL206" i="3"/>
  <c r="AK206" i="3"/>
  <c r="AC206" i="3"/>
  <c r="AB206" i="3"/>
  <c r="AA206" i="3"/>
  <c r="Q126" i="3"/>
  <c r="AD126" i="3"/>
  <c r="AQ126" i="3"/>
  <c r="AE127" i="3"/>
  <c r="Y129" i="3"/>
  <c r="S132" i="3"/>
  <c r="AO132" i="3"/>
  <c r="AD135" i="3"/>
  <c r="AM140" i="3"/>
  <c r="T141" i="3"/>
  <c r="AH141" i="3"/>
  <c r="W143" i="3"/>
  <c r="AO143" i="3"/>
  <c r="AK145" i="3"/>
  <c r="BS145" i="3"/>
  <c r="AD145" i="1" s="1"/>
  <c r="P146" i="3"/>
  <c r="AP146" i="3"/>
  <c r="EZ146" i="3" s="1"/>
  <c r="BA147" i="3"/>
  <c r="AM148" i="3"/>
  <c r="R149" i="3"/>
  <c r="AH149" i="3"/>
  <c r="AA150" i="3"/>
  <c r="AO150" i="3"/>
  <c r="S151" i="3"/>
  <c r="Y152" i="3"/>
  <c r="AX152" i="3"/>
  <c r="AH154" i="3"/>
  <c r="Y155" i="3"/>
  <c r="AO155" i="3"/>
  <c r="T156" i="3"/>
  <c r="AL156" i="3"/>
  <c r="T157" i="3"/>
  <c r="AR157" i="3"/>
  <c r="W159" i="3"/>
  <c r="AJ159" i="3"/>
  <c r="DG159" i="3"/>
  <c r="AQ160" i="3"/>
  <c r="BL160" i="3"/>
  <c r="AD162" i="3"/>
  <c r="T164" i="3"/>
  <c r="AQ164" i="3"/>
  <c r="U165" i="3"/>
  <c r="AQ165" i="3"/>
  <c r="R166" i="3"/>
  <c r="AH166" i="3"/>
  <c r="AK167" i="3"/>
  <c r="AB168" i="3"/>
  <c r="U170" i="3"/>
  <c r="AJ171" i="3"/>
  <c r="AB184" i="3"/>
  <c r="AK127" i="3"/>
  <c r="Z129" i="3"/>
  <c r="T132" i="3"/>
  <c r="AP132" i="3"/>
  <c r="AE135" i="3"/>
  <c r="DG135" i="3"/>
  <c r="G136" i="3"/>
  <c r="N140" i="3"/>
  <c r="AN140" i="3"/>
  <c r="U141" i="3"/>
  <c r="AI141" i="3"/>
  <c r="X143" i="3"/>
  <c r="AP143" i="3"/>
  <c r="EZ143" i="3" s="1"/>
  <c r="N145" i="3"/>
  <c r="AL145" i="3"/>
  <c r="Q146" i="3"/>
  <c r="DG146" i="3"/>
  <c r="AN148" i="3"/>
  <c r="S149" i="3"/>
  <c r="AI149" i="3"/>
  <c r="N150" i="3"/>
  <c r="AB150" i="3"/>
  <c r="AP150" i="3"/>
  <c r="EV150" i="3" s="1"/>
  <c r="N150" i="1" s="1"/>
  <c r="AD151" i="3"/>
  <c r="Z152" i="3"/>
  <c r="BA153" i="3"/>
  <c r="AJ154" i="3"/>
  <c r="G155" i="3"/>
  <c r="AA155" i="3"/>
  <c r="AP155" i="3"/>
  <c r="ER155" i="3" s="1"/>
  <c r="U156" i="3"/>
  <c r="AS156" i="3"/>
  <c r="J156" i="1" s="1"/>
  <c r="U157" i="3"/>
  <c r="AS157" i="3"/>
  <c r="J157" i="1" s="1"/>
  <c r="DS157" i="3"/>
  <c r="G159" i="3"/>
  <c r="X159" i="3"/>
  <c r="AL159" i="3"/>
  <c r="ER159" i="3"/>
  <c r="AW160" i="3"/>
  <c r="O162" i="3"/>
  <c r="AE162" i="3"/>
  <c r="BK163" i="3"/>
  <c r="U164" i="3"/>
  <c r="AR164" i="3"/>
  <c r="BM164" i="3" s="1"/>
  <c r="V165" i="3"/>
  <c r="AR165" i="3"/>
  <c r="BM165" i="3" s="1"/>
  <c r="S166" i="3"/>
  <c r="AI166" i="3"/>
  <c r="AC168" i="3"/>
  <c r="V170" i="3"/>
  <c r="Q171" i="3"/>
  <c r="AK171" i="3"/>
  <c r="G172" i="3"/>
  <c r="AE184" i="3"/>
  <c r="AO151" i="3"/>
  <c r="DG151" i="3"/>
  <c r="AA152" i="3"/>
  <c r="O153" i="3"/>
  <c r="G154" i="3"/>
  <c r="AK154" i="3"/>
  <c r="AB155" i="3"/>
  <c r="AQ155" i="3"/>
  <c r="V156" i="3"/>
  <c r="W157" i="3"/>
  <c r="DT157" i="3"/>
  <c r="Z159" i="3"/>
  <c r="AM159" i="3"/>
  <c r="P162" i="3"/>
  <c r="AF162" i="3"/>
  <c r="V164" i="3"/>
  <c r="AS164" i="3"/>
  <c r="BU164" i="3" s="1"/>
  <c r="W165" i="3"/>
  <c r="AS165" i="3"/>
  <c r="J165" i="1" s="1"/>
  <c r="T166" i="3"/>
  <c r="AN166" i="3"/>
  <c r="DG166" i="3"/>
  <c r="AE168" i="3"/>
  <c r="W170" i="3"/>
  <c r="R171" i="3"/>
  <c r="AS172" i="3"/>
  <c r="AL172" i="3"/>
  <c r="AK172" i="3"/>
  <c r="AB172" i="3"/>
  <c r="AW172" i="3"/>
  <c r="DG172" i="3"/>
  <c r="BK174" i="3"/>
  <c r="BA174" i="3"/>
  <c r="AX176" i="3"/>
  <c r="AR184" i="3"/>
  <c r="BO184" i="3" s="1"/>
  <c r="AW136" i="3"/>
  <c r="W141" i="3"/>
  <c r="AM141" i="3"/>
  <c r="AC143" i="3"/>
  <c r="AR143" i="3"/>
  <c r="X146" i="3"/>
  <c r="U149" i="3"/>
  <c r="AO149" i="3"/>
  <c r="AL154" i="3"/>
  <c r="W156" i="3"/>
  <c r="DS156" i="3"/>
  <c r="X157" i="3"/>
  <c r="W164" i="3"/>
  <c r="DS166" i="3"/>
  <c r="AL168" i="3"/>
  <c r="G173" i="3"/>
  <c r="AW173" i="3"/>
  <c r="R174" i="3"/>
  <c r="AR174" i="3"/>
  <c r="BM174" i="3" s="1"/>
  <c r="DI174" i="3" s="1"/>
  <c r="AG174" i="3"/>
  <c r="AF174" i="3"/>
  <c r="U174" i="3"/>
  <c r="T177" i="3"/>
  <c r="S177" i="3"/>
  <c r="AJ177" i="3"/>
  <c r="AB180" i="3"/>
  <c r="N180" i="3"/>
  <c r="AL180" i="3"/>
  <c r="AK180" i="3"/>
  <c r="AJ180" i="3"/>
  <c r="AI180" i="3"/>
  <c r="AS184" i="3"/>
  <c r="DG184" i="3"/>
  <c r="DO203" i="3"/>
  <c r="Z141" i="3"/>
  <c r="AN141" i="3"/>
  <c r="AD143" i="3"/>
  <c r="AS143" i="3"/>
  <c r="BT143" i="3" s="1"/>
  <c r="BA144" i="3"/>
  <c r="Y146" i="3"/>
  <c r="V149" i="3"/>
  <c r="AP149" i="3"/>
  <c r="EV149" i="3" s="1"/>
  <c r="AX151" i="3"/>
  <c r="N154" i="3"/>
  <c r="AR154" i="3"/>
  <c r="X156" i="3"/>
  <c r="Y157" i="3"/>
  <c r="X164" i="3"/>
  <c r="V166" i="3"/>
  <c r="AP166" i="3"/>
  <c r="ER166" i="3" s="1"/>
  <c r="DT166" i="3"/>
  <c r="N168" i="3"/>
  <c r="AM168" i="3"/>
  <c r="BS168" i="3"/>
  <c r="AD168" i="1" s="1"/>
  <c r="N169" i="3"/>
  <c r="Z170" i="3"/>
  <c r="Q174" i="3"/>
  <c r="CQ175" i="3"/>
  <c r="V181" i="3"/>
  <c r="AS181" i="3"/>
  <c r="J181" i="1" s="1"/>
  <c r="U181" i="3"/>
  <c r="AK181" i="3"/>
  <c r="AH181" i="3"/>
  <c r="AG181" i="3"/>
  <c r="AF181" i="3"/>
  <c r="Z181" i="3"/>
  <c r="Y181" i="3"/>
  <c r="X181" i="3"/>
  <c r="G202" i="3"/>
  <c r="AX202" i="3"/>
  <c r="AW202" i="3"/>
  <c r="AA141" i="3"/>
  <c r="AO141" i="3"/>
  <c r="AE143" i="3"/>
  <c r="Z146" i="3"/>
  <c r="W149" i="3"/>
  <c r="AQ149" i="3"/>
  <c r="AX150" i="3"/>
  <c r="T154" i="3"/>
  <c r="AS154" i="3"/>
  <c r="BQ154" i="3" s="1"/>
  <c r="AE157" i="3"/>
  <c r="AX161" i="3"/>
  <c r="Y164" i="3"/>
  <c r="W166" i="3"/>
  <c r="AQ166" i="3"/>
  <c r="P168" i="3"/>
  <c r="AN168" i="3"/>
  <c r="O169" i="3"/>
  <c r="AG170" i="3"/>
  <c r="T174" i="3"/>
  <c r="AI177" i="3"/>
  <c r="T181" i="3"/>
  <c r="AD208" i="3"/>
  <c r="AH208" i="3"/>
  <c r="AA208" i="3"/>
  <c r="Z208" i="3"/>
  <c r="Y208" i="3"/>
  <c r="X208" i="3"/>
  <c r="AS208" i="3"/>
  <c r="J208" i="1" s="1"/>
  <c r="W208" i="3"/>
  <c r="AP208" i="3"/>
  <c r="ER208" i="3" s="1"/>
  <c r="V208" i="3"/>
  <c r="AM208" i="3"/>
  <c r="U208" i="3"/>
  <c r="DG208" i="3"/>
  <c r="AL208" i="3"/>
  <c r="R208" i="3"/>
  <c r="AK208" i="3"/>
  <c r="O208" i="3"/>
  <c r="AJ208" i="3"/>
  <c r="N208" i="3"/>
  <c r="AJ126" i="3"/>
  <c r="R127" i="3"/>
  <c r="AP127" i="3"/>
  <c r="EV127" i="3" s="1"/>
  <c r="CP127" i="3"/>
  <c r="AD132" i="3"/>
  <c r="DG132" i="3"/>
  <c r="X140" i="3"/>
  <c r="N141" i="3"/>
  <c r="AB141" i="3"/>
  <c r="AP141" i="3"/>
  <c r="EZ141" i="3" s="1"/>
  <c r="Q143" i="3"/>
  <c r="AF143" i="3"/>
  <c r="X145" i="3"/>
  <c r="AJ146" i="3"/>
  <c r="W148" i="3"/>
  <c r="AB149" i="3"/>
  <c r="AR149" i="3"/>
  <c r="BO149" i="3" s="1"/>
  <c r="S150" i="3"/>
  <c r="AG150" i="3"/>
  <c r="AM152" i="3"/>
  <c r="AV152" i="3" s="1"/>
  <c r="U154" i="3"/>
  <c r="AX154" i="3"/>
  <c r="Q155" i="3"/>
  <c r="AG155" i="3"/>
  <c r="Q159" i="3"/>
  <c r="AD159" i="3"/>
  <c r="AQ159" i="3"/>
  <c r="AN162" i="3"/>
  <c r="AF165" i="3"/>
  <c r="AB166" i="3"/>
  <c r="AR166" i="3"/>
  <c r="Q168" i="3"/>
  <c r="CS168" i="3"/>
  <c r="U169" i="3"/>
  <c r="AW171" i="3"/>
  <c r="CO172" i="3"/>
  <c r="BA172" i="3"/>
  <c r="AB174" i="3"/>
  <c r="W181" i="3"/>
  <c r="DS189" i="3"/>
  <c r="X189" i="3"/>
  <c r="S189" i="3"/>
  <c r="AQ189" i="3"/>
  <c r="R189" i="3"/>
  <c r="AO189" i="3"/>
  <c r="AN189" i="3"/>
  <c r="AM189" i="3"/>
  <c r="AV189" i="3" s="1"/>
  <c r="AL189" i="3"/>
  <c r="AB189" i="3"/>
  <c r="AA189" i="3"/>
  <c r="Z189" i="3"/>
  <c r="AI208" i="3"/>
  <c r="DW220" i="3"/>
  <c r="AC173" i="3"/>
  <c r="U175" i="3"/>
  <c r="AH175" i="3"/>
  <c r="V176" i="3"/>
  <c r="X178" i="3"/>
  <c r="AR178" i="3"/>
  <c r="BO178" i="3" s="1"/>
  <c r="S179" i="3"/>
  <c r="AF179" i="3"/>
  <c r="AS179" i="3"/>
  <c r="J179" i="1" s="1"/>
  <c r="DG179" i="3"/>
  <c r="AC185" i="3"/>
  <c r="U186" i="3"/>
  <c r="AL186" i="3"/>
  <c r="DS186" i="3" s="1"/>
  <c r="Z187" i="3"/>
  <c r="AP187" i="3"/>
  <c r="AP188" i="3"/>
  <c r="EV188" i="3" s="1"/>
  <c r="S190" i="3"/>
  <c r="AG190" i="3"/>
  <c r="V191" i="3"/>
  <c r="AL191" i="3"/>
  <c r="CT191" i="3"/>
  <c r="U192" i="3"/>
  <c r="AI192" i="3"/>
  <c r="T193" i="3"/>
  <c r="AH193" i="3"/>
  <c r="T194" i="3"/>
  <c r="AL194" i="3"/>
  <c r="DG194" i="3"/>
  <c r="AJ195" i="3"/>
  <c r="CO195" i="3"/>
  <c r="AH196" i="3"/>
  <c r="AA197" i="3"/>
  <c r="AP197" i="3"/>
  <c r="ES197" i="3" s="1"/>
  <c r="ET197" i="3" s="1"/>
  <c r="G199" i="3"/>
  <c r="AM199" i="3"/>
  <c r="AV199" i="3" s="1"/>
  <c r="CO199" i="3"/>
  <c r="AB200" i="3"/>
  <c r="S201" i="3"/>
  <c r="AG201" i="3"/>
  <c r="AB202" i="3"/>
  <c r="AR202" i="3"/>
  <c r="BN202" i="3" s="1"/>
  <c r="G203" i="3"/>
  <c r="AE204" i="3"/>
  <c r="AF205" i="3"/>
  <c r="R207" i="3"/>
  <c r="AE207" i="3"/>
  <c r="AR207" i="3"/>
  <c r="BO207" i="3" s="1"/>
  <c r="G209" i="3"/>
  <c r="CO209" i="3"/>
  <c r="BA209" i="3"/>
  <c r="AR210" i="3"/>
  <c r="BO210" i="3" s="1"/>
  <c r="AF210" i="3"/>
  <c r="AC210" i="3"/>
  <c r="Y210" i="3"/>
  <c r="V210" i="3"/>
  <c r="AC211" i="3"/>
  <c r="V215" i="3"/>
  <c r="CP215" i="3"/>
  <c r="DX215" i="3"/>
  <c r="DX220" i="3"/>
  <c r="V186" i="3"/>
  <c r="AM186" i="3"/>
  <c r="AU186" i="3" s="1"/>
  <c r="AA187" i="3"/>
  <c r="AQ187" i="3"/>
  <c r="AR188" i="3"/>
  <c r="BN188" i="3" s="1"/>
  <c r="T190" i="3"/>
  <c r="AH190" i="3"/>
  <c r="AB197" i="3"/>
  <c r="AQ197" i="3"/>
  <c r="AH200" i="3"/>
  <c r="T201" i="3"/>
  <c r="AH201" i="3"/>
  <c r="AC202" i="3"/>
  <c r="AS202" i="3"/>
  <c r="BR202" i="3" s="1"/>
  <c r="CQ203" i="3"/>
  <c r="N204" i="3"/>
  <c r="AF204" i="3"/>
  <c r="P205" i="3"/>
  <c r="AG205" i="3"/>
  <c r="S207" i="3"/>
  <c r="AF207" i="3"/>
  <c r="AS207" i="3"/>
  <c r="U210" i="3"/>
  <c r="AF215" i="3"/>
  <c r="CQ215" i="3"/>
  <c r="DY215" i="3"/>
  <c r="CT215" i="3"/>
  <c r="EU215" i="3"/>
  <c r="ET215" i="3"/>
  <c r="CO227" i="3"/>
  <c r="BK227" i="3"/>
  <c r="BA227" i="3"/>
  <c r="W186" i="3"/>
  <c r="AN186" i="3"/>
  <c r="BK186" i="3"/>
  <c r="DP186" i="3" s="1"/>
  <c r="AB187" i="3"/>
  <c r="AR187" i="3"/>
  <c r="BN187" i="3" s="1"/>
  <c r="DG188" i="3"/>
  <c r="U190" i="3"/>
  <c r="AI190" i="3"/>
  <c r="AN191" i="3"/>
  <c r="BA192" i="3"/>
  <c r="DG195" i="3"/>
  <c r="N197" i="3"/>
  <c r="AC197" i="3"/>
  <c r="AR197" i="3"/>
  <c r="BO197" i="3" s="1"/>
  <c r="N199" i="3"/>
  <c r="AO200" i="3"/>
  <c r="U201" i="3"/>
  <c r="AI201" i="3"/>
  <c r="DG201" i="3"/>
  <c r="N202" i="3"/>
  <c r="AD202" i="3"/>
  <c r="T207" i="3"/>
  <c r="AG207" i="3"/>
  <c r="BA218" i="3"/>
  <c r="CO218" i="3"/>
  <c r="AW185" i="3"/>
  <c r="X186" i="3"/>
  <c r="AS186" i="3"/>
  <c r="J186" i="1" s="1"/>
  <c r="AC187" i="3"/>
  <c r="AS187" i="3"/>
  <c r="J187" i="1" s="1"/>
  <c r="V190" i="3"/>
  <c r="AJ190" i="3"/>
  <c r="AA191" i="3"/>
  <c r="AO191" i="3"/>
  <c r="O197" i="3"/>
  <c r="AD197" i="3"/>
  <c r="AS197" i="3"/>
  <c r="J197" i="1" s="1"/>
  <c r="O199" i="3"/>
  <c r="V201" i="3"/>
  <c r="AL201" i="3"/>
  <c r="O202" i="3"/>
  <c r="AE202" i="3"/>
  <c r="P203" i="3"/>
  <c r="R204" i="3"/>
  <c r="AH204" i="3"/>
  <c r="AX204" i="3"/>
  <c r="R205" i="3"/>
  <c r="AI205" i="3"/>
  <c r="U207" i="3"/>
  <c r="AH207" i="3"/>
  <c r="DG207" i="3"/>
  <c r="X210" i="3"/>
  <c r="AW211" i="3"/>
  <c r="AA214" i="3"/>
  <c r="X214" i="3"/>
  <c r="W214" i="3"/>
  <c r="AR214" i="3"/>
  <c r="BO214" i="3" s="1"/>
  <c r="T214" i="3"/>
  <c r="AO214" i="3"/>
  <c r="R214" i="3"/>
  <c r="AL214" i="3"/>
  <c r="AF214" i="3"/>
  <c r="AM215" i="3"/>
  <c r="AQ173" i="3"/>
  <c r="Z175" i="3"/>
  <c r="AM175" i="3"/>
  <c r="AV175" i="3" s="1"/>
  <c r="DG175" i="3"/>
  <c r="AA176" i="3"/>
  <c r="AF178" i="3"/>
  <c r="W179" i="3"/>
  <c r="AJ179" i="3"/>
  <c r="W183" i="3"/>
  <c r="G185" i="3"/>
  <c r="Y186" i="3"/>
  <c r="N187" i="3"/>
  <c r="AD187" i="3"/>
  <c r="N188" i="3"/>
  <c r="W190" i="3"/>
  <c r="AM190" i="3"/>
  <c r="CQ190" i="3"/>
  <c r="N191" i="3"/>
  <c r="AB191" i="3"/>
  <c r="AP191" i="3"/>
  <c r="AA192" i="3"/>
  <c r="AO192" i="3"/>
  <c r="Z193" i="3"/>
  <c r="AN193" i="3"/>
  <c r="AA194" i="3"/>
  <c r="AP194" i="3"/>
  <c r="EV194" i="3" s="1"/>
  <c r="DT195" i="3"/>
  <c r="U196" i="3"/>
  <c r="AQ196" i="3"/>
  <c r="P197" i="3"/>
  <c r="AE197" i="3"/>
  <c r="Z198" i="3"/>
  <c r="P199" i="3"/>
  <c r="BA199" i="3"/>
  <c r="W201" i="3"/>
  <c r="AM201" i="3"/>
  <c r="P202" i="3"/>
  <c r="AF202" i="3"/>
  <c r="Q203" i="3"/>
  <c r="S204" i="3"/>
  <c r="AI204" i="3"/>
  <c r="S205" i="3"/>
  <c r="AJ205" i="3"/>
  <c r="V207" i="3"/>
  <c r="AI207" i="3"/>
  <c r="BK209" i="3"/>
  <c r="Z210" i="3"/>
  <c r="AX211" i="3"/>
  <c r="AS173" i="3"/>
  <c r="N175" i="3"/>
  <c r="AA175" i="3"/>
  <c r="AN175" i="3"/>
  <c r="AC176" i="3"/>
  <c r="P178" i="3"/>
  <c r="AG178" i="3"/>
  <c r="X179" i="3"/>
  <c r="AL179" i="3"/>
  <c r="X183" i="3"/>
  <c r="Z186" i="3"/>
  <c r="O187" i="3"/>
  <c r="AE187" i="3"/>
  <c r="Z188" i="3"/>
  <c r="X190" i="3"/>
  <c r="AN190" i="3"/>
  <c r="O191" i="3"/>
  <c r="AC191" i="3"/>
  <c r="AQ191" i="3"/>
  <c r="AB192" i="3"/>
  <c r="AP192" i="3"/>
  <c r="ES192" i="3" s="1"/>
  <c r="ET192" i="3" s="1"/>
  <c r="AA193" i="3"/>
  <c r="AO193" i="3"/>
  <c r="AB194" i="3"/>
  <c r="AQ194" i="3"/>
  <c r="N195" i="3"/>
  <c r="V196" i="3"/>
  <c r="AR196" i="3"/>
  <c r="BO196" i="3" s="1"/>
  <c r="Q197" i="3"/>
  <c r="AF197" i="3"/>
  <c r="AA198" i="3"/>
  <c r="V199" i="3"/>
  <c r="Z201" i="3"/>
  <c r="AN201" i="3"/>
  <c r="Q202" i="3"/>
  <c r="AG202" i="3"/>
  <c r="DG202" i="3"/>
  <c r="CO204" i="3"/>
  <c r="W207" i="3"/>
  <c r="AJ207" i="3"/>
  <c r="AR218" i="3"/>
  <c r="BO218" i="3" s="1"/>
  <c r="Y218" i="3"/>
  <c r="AP218" i="3"/>
  <c r="EV218" i="3" s="1"/>
  <c r="N218" i="1" s="1"/>
  <c r="P218" i="1" s="1"/>
  <c r="U218" i="3"/>
  <c r="AO218" i="3"/>
  <c r="T218" i="3"/>
  <c r="AN218" i="3"/>
  <c r="S218" i="3"/>
  <c r="AK218" i="3"/>
  <c r="R218" i="3"/>
  <c r="AH218" i="3"/>
  <c r="Q218" i="3"/>
  <c r="AD218" i="3"/>
  <c r="AS218" i="3"/>
  <c r="J218" i="1" s="1"/>
  <c r="AB218" i="3"/>
  <c r="AW220" i="3"/>
  <c r="G220" i="3"/>
  <c r="AX220" i="3"/>
  <c r="AO175" i="3"/>
  <c r="AI176" i="3"/>
  <c r="Z179" i="3"/>
  <c r="AM179" i="3"/>
  <c r="BA179" i="3"/>
  <c r="AI183" i="3"/>
  <c r="AE186" i="3"/>
  <c r="P187" i="3"/>
  <c r="AF187" i="3"/>
  <c r="AA188" i="3"/>
  <c r="AA190" i="3"/>
  <c r="AO190" i="3"/>
  <c r="AD191" i="3"/>
  <c r="AR191" i="3"/>
  <c r="AG197" i="3"/>
  <c r="BA200" i="3"/>
  <c r="AA201" i="3"/>
  <c r="AO201" i="3"/>
  <c r="R202" i="3"/>
  <c r="AH202" i="3"/>
  <c r="U204" i="3"/>
  <c r="AK204" i="3"/>
  <c r="X207" i="3"/>
  <c r="AL207" i="3"/>
  <c r="P218" i="3"/>
  <c r="AB190" i="3"/>
  <c r="AP190" i="3"/>
  <c r="ER190" i="3" s="1"/>
  <c r="Z207" i="3"/>
  <c r="AM207" i="3"/>
  <c r="V218" i="3"/>
  <c r="DZ219" i="3"/>
  <c r="AA225" i="3"/>
  <c r="Z225" i="3"/>
  <c r="Y225" i="3"/>
  <c r="X225" i="3"/>
  <c r="W225" i="3"/>
  <c r="V225" i="3"/>
  <c r="AS225" i="3"/>
  <c r="J225" i="1" s="1"/>
  <c r="U225" i="3"/>
  <c r="AK225" i="3"/>
  <c r="AH225" i="3"/>
  <c r="AG225" i="3"/>
  <c r="AK234" i="3"/>
  <c r="DG234" i="3"/>
  <c r="AM234" i="3"/>
  <c r="AV234" i="3" s="1"/>
  <c r="U234" i="3"/>
  <c r="AL234" i="3"/>
  <c r="T234" i="3"/>
  <c r="AH234" i="3"/>
  <c r="S234" i="3"/>
  <c r="AG234" i="3"/>
  <c r="R234" i="3"/>
  <c r="AF234" i="3"/>
  <c r="Q234" i="3"/>
  <c r="AE234" i="3"/>
  <c r="P234" i="3"/>
  <c r="AS234" i="3"/>
  <c r="BT234" i="3" s="1"/>
  <c r="AD234" i="3"/>
  <c r="O234" i="3"/>
  <c r="AP234" i="3"/>
  <c r="AA234" i="3"/>
  <c r="AO234" i="3"/>
  <c r="Z234" i="3"/>
  <c r="AN234" i="3"/>
  <c r="V234" i="3"/>
  <c r="AH186" i="3"/>
  <c r="O190" i="3"/>
  <c r="AC190" i="3"/>
  <c r="AQ190" i="3"/>
  <c r="BC197" i="3"/>
  <c r="T202" i="3"/>
  <c r="AL202" i="3"/>
  <c r="AN203" i="3"/>
  <c r="W204" i="3"/>
  <c r="AM204" i="3"/>
  <c r="AS205" i="3"/>
  <c r="N207" i="3"/>
  <c r="AA207" i="3"/>
  <c r="AN207" i="3"/>
  <c r="BM208" i="3"/>
  <c r="DJ208" i="3" s="1"/>
  <c r="AM214" i="3"/>
  <c r="AT214" i="3" s="1"/>
  <c r="AC218" i="3"/>
  <c r="O225" i="3"/>
  <c r="N234" i="3"/>
  <c r="AO176" i="3"/>
  <c r="AL183" i="3"/>
  <c r="AX184" i="3"/>
  <c r="O186" i="3"/>
  <c r="AI186" i="3"/>
  <c r="S187" i="3"/>
  <c r="AM187" i="3"/>
  <c r="AV187" i="3" s="1"/>
  <c r="AD188" i="3"/>
  <c r="P190" i="3"/>
  <c r="AD190" i="3"/>
  <c r="AR190" i="3"/>
  <c r="AR201" i="3"/>
  <c r="O207" i="3"/>
  <c r="AB207" i="3"/>
  <c r="AO207" i="3"/>
  <c r="AN211" i="3"/>
  <c r="AA211" i="3"/>
  <c r="Z211" i="3"/>
  <c r="Y211" i="3"/>
  <c r="DG211" i="3"/>
  <c r="S211" i="3"/>
  <c r="AQ211" i="3"/>
  <c r="BA212" i="3"/>
  <c r="CO212" i="3"/>
  <c r="BK212" i="3"/>
  <c r="AO215" i="3"/>
  <c r="AG215" i="3"/>
  <c r="O215" i="3"/>
  <c r="AE215" i="3"/>
  <c r="AD215" i="3"/>
  <c r="AS215" i="3"/>
  <c r="J215" i="1" s="1"/>
  <c r="AA215" i="3"/>
  <c r="AR215" i="3"/>
  <c r="AT215" i="3" s="1"/>
  <c r="CY215" i="3" s="1"/>
  <c r="X215" i="3"/>
  <c r="AQ215" i="3"/>
  <c r="W215" i="3"/>
  <c r="AJ215" i="3"/>
  <c r="T215" i="3"/>
  <c r="AH215" i="3"/>
  <c r="AP215" i="1" s="1"/>
  <c r="AQ215" i="1" s="1"/>
  <c r="R215" i="3"/>
  <c r="AF218" i="3"/>
  <c r="AL225" i="3"/>
  <c r="AB234" i="3"/>
  <c r="U173" i="3"/>
  <c r="S175" i="3"/>
  <c r="AF175" i="3"/>
  <c r="AS175" i="3"/>
  <c r="J175" i="1" s="1"/>
  <c r="N176" i="3"/>
  <c r="AP176" i="3"/>
  <c r="ER176" i="3" s="1"/>
  <c r="V178" i="3"/>
  <c r="AP178" i="3"/>
  <c r="EV178" i="3" s="1"/>
  <c r="N178" i="1" s="1"/>
  <c r="P178" i="1" s="1"/>
  <c r="Q179" i="3"/>
  <c r="AD179" i="3"/>
  <c r="AQ179" i="3"/>
  <c r="S186" i="3"/>
  <c r="T187" i="3"/>
  <c r="AN187" i="3"/>
  <c r="Q190" i="3"/>
  <c r="AE190" i="3"/>
  <c r="AS190" i="3"/>
  <c r="T191" i="3"/>
  <c r="AH191" i="3"/>
  <c r="CR191" i="3"/>
  <c r="DW191" i="3"/>
  <c r="S192" i="3"/>
  <c r="AG192" i="3"/>
  <c r="R193" i="3"/>
  <c r="AF193" i="3"/>
  <c r="R194" i="3"/>
  <c r="AG194" i="3"/>
  <c r="AF196" i="3"/>
  <c r="V197" i="3"/>
  <c r="AN197" i="3"/>
  <c r="Y200" i="3"/>
  <c r="Q201" i="3"/>
  <c r="AE201" i="3"/>
  <c r="AS201" i="3"/>
  <c r="BP201" i="3" s="1"/>
  <c r="V202" i="3"/>
  <c r="AP202" i="3"/>
  <c r="AP203" i="3"/>
  <c r="Y204" i="3"/>
  <c r="AS204" i="3"/>
  <c r="AX205" i="3"/>
  <c r="AD205" i="3"/>
  <c r="P207" i="3"/>
  <c r="AC207" i="3"/>
  <c r="AP207" i="3"/>
  <c r="EV207" i="3" s="1"/>
  <c r="AX208" i="3"/>
  <c r="R211" i="3"/>
  <c r="S215" i="3"/>
  <c r="DG215" i="3"/>
  <c r="AG218" i="3"/>
  <c r="AM225" i="3"/>
  <c r="AU225" i="3" s="1"/>
  <c r="AC234" i="3"/>
  <c r="P219" i="3"/>
  <c r="AD219" i="3"/>
  <c r="AR219" i="3"/>
  <c r="G228" i="3"/>
  <c r="DO229" i="3"/>
  <c r="Q231" i="3"/>
  <c r="AH231" i="3"/>
  <c r="G232" i="3"/>
  <c r="AB232" i="3"/>
  <c r="AQ232" i="3"/>
  <c r="AC233" i="3"/>
  <c r="AP236" i="3"/>
  <c r="EV236" i="3" s="1"/>
  <c r="M163" i="1"/>
  <c r="L186" i="1"/>
  <c r="M220" i="1"/>
  <c r="R231" i="3"/>
  <c r="AI231" i="3"/>
  <c r="AC232" i="3"/>
  <c r="AR232" i="3"/>
  <c r="BO232" i="3" s="1"/>
  <c r="AD233" i="3"/>
  <c r="R236" i="3"/>
  <c r="AQ236" i="3"/>
  <c r="M13" i="1"/>
  <c r="M29" i="1"/>
  <c r="M158" i="1"/>
  <c r="L171" i="1"/>
  <c r="M186" i="1"/>
  <c r="L188" i="1"/>
  <c r="BT210" i="1"/>
  <c r="AE213" i="3"/>
  <c r="G214" i="3"/>
  <c r="R219" i="3"/>
  <c r="AF219" i="3"/>
  <c r="G223" i="3"/>
  <c r="DX223" i="3"/>
  <c r="P224" i="3"/>
  <c r="G225" i="3"/>
  <c r="S226" i="3"/>
  <c r="AF226" i="3"/>
  <c r="AS226" i="3"/>
  <c r="J226" i="1" s="1"/>
  <c r="AD227" i="3"/>
  <c r="AG229" i="3"/>
  <c r="DS229" i="3"/>
  <c r="T230" i="3"/>
  <c r="S231" i="3"/>
  <c r="AO231" i="3"/>
  <c r="BK231" i="3"/>
  <c r="O232" i="3"/>
  <c r="AD232" i="3"/>
  <c r="AS232" i="3"/>
  <c r="AE233" i="3"/>
  <c r="S236" i="3"/>
  <c r="AR236" i="3"/>
  <c r="BN236" i="3" s="1"/>
  <c r="BT28" i="1"/>
  <c r="L130" i="1"/>
  <c r="M140" i="1"/>
  <c r="L147" i="1"/>
  <c r="L209" i="1"/>
  <c r="BT209" i="1"/>
  <c r="L210" i="1"/>
  <c r="BT234" i="1"/>
  <c r="Q13" i="1"/>
  <c r="Q52" i="1"/>
  <c r="O250" i="1" s="1"/>
  <c r="M130" i="1"/>
  <c r="Q135" i="1"/>
  <c r="M147" i="1"/>
  <c r="M209" i="1"/>
  <c r="M210" i="1"/>
  <c r="U236" i="3"/>
  <c r="R213" i="3"/>
  <c r="AH213" i="3"/>
  <c r="CR215" i="3"/>
  <c r="AF216" i="3"/>
  <c r="AP217" i="3"/>
  <c r="EZ217" i="3" s="1"/>
  <c r="U219" i="3"/>
  <c r="AI219" i="3"/>
  <c r="AD221" i="3"/>
  <c r="CR221" i="3"/>
  <c r="AW222" i="3"/>
  <c r="AM224" i="3"/>
  <c r="AT224" i="3" s="1"/>
  <c r="V226" i="3"/>
  <c r="AI226" i="3"/>
  <c r="AI230" i="3"/>
  <c r="V231" i="3"/>
  <c r="AR231" i="3"/>
  <c r="BM231" i="3" s="1"/>
  <c r="CO231" i="3"/>
  <c r="R232" i="3"/>
  <c r="AG232" i="3"/>
  <c r="BA232" i="3"/>
  <c r="V236" i="3"/>
  <c r="Q225" i="1"/>
  <c r="O249" i="1"/>
  <c r="S213" i="3"/>
  <c r="AI213" i="3"/>
  <c r="DW214" i="3"/>
  <c r="AG216" i="3"/>
  <c r="V219" i="3"/>
  <c r="AL219" i="3"/>
  <c r="AE221" i="3"/>
  <c r="AX223" i="3"/>
  <c r="AN224" i="3"/>
  <c r="AJ230" i="3"/>
  <c r="W231" i="3"/>
  <c r="AS231" i="3"/>
  <c r="S232" i="3"/>
  <c r="AI232" i="3"/>
  <c r="L52" i="1"/>
  <c r="L250" i="1" s="1"/>
  <c r="M100" i="1"/>
  <c r="M156" i="1"/>
  <c r="L212" i="1"/>
  <c r="T213" i="3"/>
  <c r="AL213" i="3"/>
  <c r="AW214" i="3"/>
  <c r="AH216" i="3"/>
  <c r="W219" i="3"/>
  <c r="AM219" i="3"/>
  <c r="AA220" i="3"/>
  <c r="AP221" i="3"/>
  <c r="ER221" i="3" s="1"/>
  <c r="CT221" i="3"/>
  <c r="AX225" i="3"/>
  <c r="X226" i="3"/>
  <c r="AL226" i="3"/>
  <c r="DG226" i="3"/>
  <c r="DJ229" i="3"/>
  <c r="AK230" i="3"/>
  <c r="AC231" i="3"/>
  <c r="T232" i="3"/>
  <c r="AJ232" i="3"/>
  <c r="X236" i="3"/>
  <c r="Q21" i="1"/>
  <c r="Q198" i="1"/>
  <c r="Q223" i="1"/>
  <c r="O253" i="1" s="1"/>
  <c r="BT235" i="1"/>
  <c r="U213" i="3"/>
  <c r="AP213" i="3"/>
  <c r="EV213" i="3" s="1"/>
  <c r="N213" i="1" s="1"/>
  <c r="P213" i="1" s="1"/>
  <c r="DZ215" i="3"/>
  <c r="AA217" i="3"/>
  <c r="AS217" i="3"/>
  <c r="J217" i="1" s="1"/>
  <c r="Z219" i="3"/>
  <c r="AN219" i="3"/>
  <c r="AB220" i="3"/>
  <c r="DR221" i="3"/>
  <c r="Z226" i="3"/>
  <c r="AM226" i="3"/>
  <c r="AU226" i="3" s="1"/>
  <c r="ER226" i="3"/>
  <c r="AD231" i="3"/>
  <c r="U232" i="3"/>
  <c r="AM232" i="3"/>
  <c r="AV232" i="3" s="1"/>
  <c r="AH236" i="3"/>
  <c r="Q18" i="1"/>
  <c r="L51" i="1"/>
  <c r="Q100" i="1"/>
  <c r="M108" i="1"/>
  <c r="L154" i="1"/>
  <c r="L208" i="1"/>
  <c r="M222" i="1"/>
  <c r="Q234" i="1"/>
  <c r="AA219" i="3"/>
  <c r="AO219" i="3"/>
  <c r="DX221" i="3"/>
  <c r="AE231" i="3"/>
  <c r="BA231" i="3"/>
  <c r="W232" i="3"/>
  <c r="AN232" i="3"/>
  <c r="M51" i="1"/>
  <c r="BT63" i="1"/>
  <c r="Q120" i="1"/>
  <c r="M154" i="1"/>
  <c r="Q177" i="1"/>
  <c r="M208" i="1"/>
  <c r="AF231" i="3"/>
  <c r="Q108" i="1"/>
  <c r="Q222" i="1"/>
  <c r="Z213" i="3"/>
  <c r="AS213" i="3"/>
  <c r="J213" i="1" s="1"/>
  <c r="AW216" i="3"/>
  <c r="AF217" i="3"/>
  <c r="O219" i="3"/>
  <c r="AC219" i="3"/>
  <c r="AQ219" i="3"/>
  <c r="DG219" i="3"/>
  <c r="G230" i="3"/>
  <c r="N231" i="3"/>
  <c r="AG231" i="3"/>
  <c r="AA232" i="3"/>
  <c r="AP232" i="3"/>
  <c r="AB233" i="3"/>
  <c r="L150" i="1"/>
  <c r="Q150" i="1"/>
  <c r="M150" i="1"/>
  <c r="Q132" i="1"/>
  <c r="L132" i="1"/>
  <c r="M132" i="1"/>
  <c r="Q28" i="1"/>
  <c r="L28" i="1"/>
  <c r="M28" i="1"/>
  <c r="M129" i="1"/>
  <c r="Q129" i="1"/>
  <c r="M160" i="1"/>
  <c r="L160" i="1"/>
  <c r="BT162" i="1"/>
  <c r="Q50" i="1"/>
  <c r="M50" i="1"/>
  <c r="L178" i="1"/>
  <c r="L200" i="1"/>
  <c r="M178" i="1"/>
  <c r="M200" i="1"/>
  <c r="M20" i="1"/>
  <c r="Q20" i="1"/>
  <c r="M96" i="1"/>
  <c r="L50" i="1"/>
  <c r="Q146" i="1"/>
  <c r="M146" i="1"/>
  <c r="L146" i="1"/>
  <c r="Q160" i="1"/>
  <c r="M185" i="1"/>
  <c r="L185" i="1"/>
  <c r="BT185" i="1"/>
  <c r="BT219" i="1"/>
  <c r="L229" i="1"/>
  <c r="Q229" i="1"/>
  <c r="M229" i="1"/>
  <c r="M115" i="1"/>
  <c r="Q115" i="1"/>
  <c r="L115" i="1"/>
  <c r="BT139" i="1"/>
  <c r="Q134" i="1"/>
  <c r="M134" i="1"/>
  <c r="BT155" i="1"/>
  <c r="Q155" i="1"/>
  <c r="M155" i="1"/>
  <c r="M165" i="1"/>
  <c r="Q165" i="1"/>
  <c r="L191" i="1"/>
  <c r="L219" i="1"/>
  <c r="BT49" i="1"/>
  <c r="M49" i="1"/>
  <c r="L49" i="1"/>
  <c r="Q77" i="1"/>
  <c r="M77" i="1"/>
  <c r="L77" i="1"/>
  <c r="M119" i="1"/>
  <c r="BT130" i="1"/>
  <c r="L139" i="1"/>
  <c r="BT163" i="1"/>
  <c r="Q185" i="1"/>
  <c r="M191" i="1"/>
  <c r="M193" i="1"/>
  <c r="M219" i="1"/>
  <c r="L116" i="1"/>
  <c r="Q116" i="1"/>
  <c r="Q41" i="1"/>
  <c r="M41" i="1"/>
  <c r="L41" i="1"/>
  <c r="BT178" i="1"/>
  <c r="Q138" i="1"/>
  <c r="M138" i="1"/>
  <c r="L138" i="1"/>
  <c r="Q162" i="1"/>
  <c r="M162" i="1"/>
  <c r="Q207" i="1"/>
  <c r="M207" i="1"/>
  <c r="L207" i="1"/>
  <c r="M72" i="1"/>
  <c r="L72" i="1"/>
  <c r="L96" i="1"/>
  <c r="BT213" i="1"/>
  <c r="L129" i="1"/>
  <c r="L31" i="1"/>
  <c r="Q31" i="1"/>
  <c r="M31" i="1"/>
  <c r="L63" i="1"/>
  <c r="Q63" i="1"/>
  <c r="Q199" i="1"/>
  <c r="L199" i="1"/>
  <c r="M199" i="1"/>
  <c r="L213" i="1"/>
  <c r="I7" i="1"/>
  <c r="Q295" i="1" s="1"/>
  <c r="Q66" i="1"/>
  <c r="L66" i="1"/>
  <c r="M66" i="1"/>
  <c r="M137" i="1"/>
  <c r="L137" i="1"/>
  <c r="BT137" i="1"/>
  <c r="M213" i="1"/>
  <c r="Q17" i="1"/>
  <c r="Q161" i="1"/>
  <c r="L161" i="1"/>
  <c r="M161" i="1"/>
  <c r="BT180" i="1"/>
  <c r="Q212" i="1"/>
  <c r="M212" i="1"/>
  <c r="Q235" i="1"/>
  <c r="M235" i="1"/>
  <c r="L235" i="1"/>
  <c r="L29" i="1"/>
  <c r="BT41" i="1"/>
  <c r="M139" i="1"/>
  <c r="Q175" i="1"/>
  <c r="L175" i="1"/>
  <c r="M175" i="1"/>
  <c r="L187" i="1"/>
  <c r="BT182" i="1"/>
  <c r="I3" i="1"/>
  <c r="Q291" i="1" s="1"/>
  <c r="BT108" i="1"/>
  <c r="L234" i="1"/>
  <c r="BT18" i="1"/>
  <c r="BT13" i="1"/>
  <c r="BT177" i="1"/>
  <c r="L18" i="1"/>
  <c r="M60" i="1"/>
  <c r="L120" i="1"/>
  <c r="L135" i="1"/>
  <c r="BT158" i="1"/>
  <c r="L177" i="1"/>
  <c r="L182" i="1"/>
  <c r="L198" i="1"/>
  <c r="BT198" i="1"/>
  <c r="L215" i="1"/>
  <c r="L223" i="1"/>
  <c r="L253" i="1" s="1"/>
  <c r="L224" i="1"/>
  <c r="L23" i="1"/>
  <c r="M35" i="1"/>
  <c r="L78" i="1"/>
  <c r="L82" i="1"/>
  <c r="BT117" i="1"/>
  <c r="M118" i="1"/>
  <c r="L158" i="1"/>
  <c r="BT110" i="1"/>
  <c r="L69" i="1"/>
  <c r="BT45" i="1"/>
  <c r="M27" i="1"/>
  <c r="Q27" i="1"/>
  <c r="L27" i="1"/>
  <c r="L107" i="1"/>
  <c r="Q107" i="1"/>
  <c r="Q26" i="1"/>
  <c r="L26" i="1"/>
  <c r="BT26" i="1"/>
  <c r="M26" i="1"/>
  <c r="M47" i="1"/>
  <c r="Q47" i="1"/>
  <c r="L47" i="1"/>
  <c r="M93" i="1"/>
  <c r="L93" i="1"/>
  <c r="BT93" i="1"/>
  <c r="Q93" i="1"/>
  <c r="Q55" i="1"/>
  <c r="L55" i="1"/>
  <c r="M55" i="1"/>
  <c r="Q184" i="1"/>
  <c r="M184" i="1"/>
  <c r="L184" i="1"/>
  <c r="BT69" i="1"/>
  <c r="Q15" i="1"/>
  <c r="I2" i="1"/>
  <c r="BT15" i="1"/>
  <c r="I5" i="1"/>
  <c r="Q293" i="1" s="1"/>
  <c r="I8" i="1"/>
  <c r="I4" i="1"/>
  <c r="Q292" i="1" s="1"/>
  <c r="M32" i="1"/>
  <c r="L32" i="1"/>
  <c r="Q32" i="1"/>
  <c r="BT48" i="1"/>
  <c r="Q44" i="1"/>
  <c r="M44" i="1"/>
  <c r="L44" i="1"/>
  <c r="BT104" i="1"/>
  <c r="M39" i="1"/>
  <c r="L39" i="1"/>
  <c r="M95" i="1"/>
  <c r="L95" i="1"/>
  <c r="Q95" i="1"/>
  <c r="I6" i="1"/>
  <c r="M107" i="1"/>
  <c r="BT38" i="1"/>
  <c r="Q84" i="1"/>
  <c r="M84" i="1"/>
  <c r="L84" i="1"/>
  <c r="M46" i="1"/>
  <c r="Q46" i="1"/>
  <c r="L46" i="1"/>
  <c r="M58" i="1"/>
  <c r="L58" i="1"/>
  <c r="Q58" i="1"/>
  <c r="BT113" i="1"/>
  <c r="L113" i="1"/>
  <c r="M113" i="1"/>
  <c r="Q113" i="1"/>
  <c r="L106" i="1"/>
  <c r="Q106" i="1"/>
  <c r="BT40" i="1"/>
  <c r="BT43" i="1"/>
  <c r="M94" i="1"/>
  <c r="L94" i="1"/>
  <c r="Q105" i="1"/>
  <c r="M105" i="1"/>
  <c r="M106" i="1"/>
  <c r="M121" i="1"/>
  <c r="L121" i="1"/>
  <c r="Q121" i="1"/>
  <c r="M79" i="1"/>
  <c r="L79" i="1"/>
  <c r="Q64" i="1"/>
  <c r="M64" i="1"/>
  <c r="L64" i="1"/>
  <c r="R259" i="1"/>
  <c r="Q259" i="1"/>
  <c r="O259" i="1"/>
  <c r="N259" i="1"/>
  <c r="M259" i="1"/>
  <c r="K259" i="1"/>
  <c r="J259" i="1"/>
  <c r="BT42" i="1"/>
  <c r="L43" i="1"/>
  <c r="L62" i="1"/>
  <c r="BT67" i="1"/>
  <c r="M83" i="1"/>
  <c r="L83" i="1"/>
  <c r="L111" i="1"/>
  <c r="Q125" i="1"/>
  <c r="M125" i="1"/>
  <c r="Q202" i="1"/>
  <c r="M202" i="1"/>
  <c r="L202" i="1"/>
  <c r="L259" i="1"/>
  <c r="Q190" i="1"/>
  <c r="M190" i="1"/>
  <c r="L190" i="1"/>
  <c r="BT190" i="1"/>
  <c r="L17" i="1"/>
  <c r="Q24" i="1"/>
  <c r="M24" i="1"/>
  <c r="M33" i="1"/>
  <c r="L33" i="1"/>
  <c r="L42" i="1"/>
  <c r="M43" i="1"/>
  <c r="L53" i="1"/>
  <c r="L54" i="1"/>
  <c r="M62" i="1"/>
  <c r="L68" i="1"/>
  <c r="Q79" i="1"/>
  <c r="Q99" i="1"/>
  <c r="M102" i="1"/>
  <c r="L102" i="1"/>
  <c r="L126" i="1"/>
  <c r="M148" i="1"/>
  <c r="L148" i="1"/>
  <c r="M109" i="1"/>
  <c r="L109" i="1"/>
  <c r="Q90" i="1"/>
  <c r="BT90" i="1"/>
  <c r="M90" i="1"/>
  <c r="L90" i="1"/>
  <c r="Q133" i="1"/>
  <c r="M133" i="1"/>
  <c r="L133" i="1"/>
  <c r="BT133" i="1"/>
  <c r="L20" i="1"/>
  <c r="M42" i="1"/>
  <c r="M53" i="1"/>
  <c r="M54" i="1"/>
  <c r="L67" i="1"/>
  <c r="Q72" i="1"/>
  <c r="BT72" i="1"/>
  <c r="Q85" i="1"/>
  <c r="M85" i="1"/>
  <c r="L86" i="1"/>
  <c r="M88" i="1"/>
  <c r="L88" i="1"/>
  <c r="L105" i="1"/>
  <c r="Q109" i="1"/>
  <c r="M122" i="1"/>
  <c r="L122" i="1"/>
  <c r="M126" i="1"/>
  <c r="Q142" i="1"/>
  <c r="M142" i="1"/>
  <c r="L142" i="1"/>
  <c r="L103" i="1"/>
  <c r="Q68" i="1"/>
  <c r="L21" i="1"/>
  <c r="L35" i="1"/>
  <c r="BT65" i="1"/>
  <c r="M67" i="1"/>
  <c r="Q74" i="1"/>
  <c r="M74" i="1"/>
  <c r="L74" i="1"/>
  <c r="M86" i="1"/>
  <c r="Q94" i="1"/>
  <c r="M111" i="1"/>
  <c r="L125" i="1"/>
  <c r="BT146" i="1"/>
  <c r="L193" i="1"/>
  <c r="Q196" i="1"/>
  <c r="M196" i="1"/>
  <c r="BT196" i="1"/>
  <c r="L196" i="1"/>
  <c r="J249" i="1"/>
  <c r="Q101" i="1"/>
  <c r="L101" i="1"/>
  <c r="BT112" i="1"/>
  <c r="M149" i="1"/>
  <c r="BT149" i="1"/>
  <c r="L149" i="1"/>
  <c r="Q191" i="1"/>
  <c r="Q192" i="1"/>
  <c r="M192" i="1"/>
  <c r="L192" i="1"/>
  <c r="Q203" i="1"/>
  <c r="BT59" i="1"/>
  <c r="M167" i="1"/>
  <c r="L167" i="1"/>
  <c r="Q189" i="1"/>
  <c r="M189" i="1"/>
  <c r="BT189" i="1"/>
  <c r="L189" i="1"/>
  <c r="M73" i="1"/>
  <c r="M101" i="1"/>
  <c r="L119" i="1"/>
  <c r="Q195" i="1"/>
  <c r="M195" i="1"/>
  <c r="BT195" i="1"/>
  <c r="L195" i="1"/>
  <c r="L118" i="1"/>
  <c r="L155" i="1"/>
  <c r="J246" i="1"/>
  <c r="BA24" i="3"/>
  <c r="BK24" i="3"/>
  <c r="DY65" i="3"/>
  <c r="AJ48" i="3"/>
  <c r="X48" i="3"/>
  <c r="AI48" i="3"/>
  <c r="W48" i="3"/>
  <c r="AH48" i="3"/>
  <c r="V48" i="3"/>
  <c r="AS48" i="3"/>
  <c r="J48" i="1" s="1"/>
  <c r="AG48" i="3"/>
  <c r="U48" i="3"/>
  <c r="AR48" i="3"/>
  <c r="AF48" i="3"/>
  <c r="T48" i="3"/>
  <c r="AQ48" i="3"/>
  <c r="Z48" i="3"/>
  <c r="P48" i="3"/>
  <c r="AK48" i="3"/>
  <c r="AP48" i="3"/>
  <c r="Y48" i="3"/>
  <c r="O48" i="3"/>
  <c r="DG48" i="3"/>
  <c r="AO48" i="3"/>
  <c r="S48" i="3"/>
  <c r="AN48" i="3"/>
  <c r="R48" i="3"/>
  <c r="AL48" i="3"/>
  <c r="AM48" i="3"/>
  <c r="Q48" i="3"/>
  <c r="DY49" i="3"/>
  <c r="AW51" i="3"/>
  <c r="AX114" i="3"/>
  <c r="G114" i="3"/>
  <c r="O13" i="3"/>
  <c r="CS20" i="3"/>
  <c r="DW20" i="3"/>
  <c r="CO20" i="3"/>
  <c r="N48" i="3"/>
  <c r="DZ49" i="3"/>
  <c r="G63" i="3"/>
  <c r="AH13" i="3"/>
  <c r="V13" i="3"/>
  <c r="AC13" i="3"/>
  <c r="AN13" i="3"/>
  <c r="AS13" i="3"/>
  <c r="J13" i="1" s="1"/>
  <c r="AG13" i="3"/>
  <c r="U13" i="3"/>
  <c r="P13" i="3"/>
  <c r="AR13" i="3"/>
  <c r="AF13" i="3"/>
  <c r="T13" i="3"/>
  <c r="AO13" i="3"/>
  <c r="AQ13" i="3"/>
  <c r="AE13" i="3"/>
  <c r="S13" i="3"/>
  <c r="DG13" i="3"/>
  <c r="Q13" i="3"/>
  <c r="AP13" i="3"/>
  <c r="AD13" i="3"/>
  <c r="R13" i="3"/>
  <c r="AB13" i="3"/>
  <c r="G24" i="3"/>
  <c r="AX24" i="3"/>
  <c r="AW24" i="3"/>
  <c r="AV67" i="3"/>
  <c r="AT67" i="3"/>
  <c r="AU67" i="3"/>
  <c r="G119" i="3"/>
  <c r="AX119" i="3"/>
  <c r="AW119" i="3"/>
  <c r="DX145" i="3"/>
  <c r="DZ23" i="3"/>
  <c r="CR23" i="3"/>
  <c r="DY29" i="3"/>
  <c r="DZ45" i="3"/>
  <c r="AA48" i="3"/>
  <c r="DY54" i="3"/>
  <c r="DY56" i="3"/>
  <c r="ER65" i="3"/>
  <c r="X13" i="3"/>
  <c r="AB48" i="3"/>
  <c r="BA57" i="3"/>
  <c r="BK57" i="3"/>
  <c r="CO57" i="3"/>
  <c r="Y13" i="3"/>
  <c r="AX36" i="3"/>
  <c r="Z13" i="3"/>
  <c r="X23" i="3"/>
  <c r="AX59" i="3"/>
  <c r="G59" i="3"/>
  <c r="AL86" i="3"/>
  <c r="AA13" i="3"/>
  <c r="EV20" i="3"/>
  <c r="N20" i="1" s="1"/>
  <c r="P20" i="1" s="1"/>
  <c r="N22" i="3"/>
  <c r="ES25" i="3"/>
  <c r="ET25" i="3" s="1"/>
  <c r="AE26" i="3"/>
  <c r="AH34" i="3"/>
  <c r="V34" i="3"/>
  <c r="AS34" i="3"/>
  <c r="J34" i="1" s="1"/>
  <c r="AG34" i="3"/>
  <c r="U34" i="3"/>
  <c r="AR34" i="3"/>
  <c r="AF34" i="3"/>
  <c r="T34" i="3"/>
  <c r="AQ34" i="3"/>
  <c r="AE34" i="3"/>
  <c r="S34" i="3"/>
  <c r="AP34" i="3"/>
  <c r="AD34" i="3"/>
  <c r="R34" i="3"/>
  <c r="Z34" i="3"/>
  <c r="Y34" i="3"/>
  <c r="DG34" i="3"/>
  <c r="AO34" i="3"/>
  <c r="X34" i="3"/>
  <c r="AL34" i="3"/>
  <c r="O34" i="3"/>
  <c r="AN34" i="3"/>
  <c r="W34" i="3"/>
  <c r="AK34" i="3"/>
  <c r="AM34" i="3"/>
  <c r="Q34" i="3"/>
  <c r="P34" i="3"/>
  <c r="T37" i="3"/>
  <c r="DW37" i="3"/>
  <c r="AE48" i="3"/>
  <c r="BA59" i="3"/>
  <c r="DY67" i="3"/>
  <c r="BK67" i="3"/>
  <c r="G74" i="3"/>
  <c r="AX78" i="3"/>
  <c r="AW78" i="3"/>
  <c r="G78" i="3"/>
  <c r="AM86" i="3"/>
  <c r="AI118" i="3"/>
  <c r="W118" i="3"/>
  <c r="AH118" i="3"/>
  <c r="V118" i="3"/>
  <c r="AS118" i="3"/>
  <c r="J118" i="1" s="1"/>
  <c r="AG118" i="3"/>
  <c r="U118" i="3"/>
  <c r="AR118" i="3"/>
  <c r="AF118" i="3"/>
  <c r="T118" i="3"/>
  <c r="AQ118" i="3"/>
  <c r="AE118" i="3"/>
  <c r="S118" i="3"/>
  <c r="AC118" i="3"/>
  <c r="AB118" i="3"/>
  <c r="AA118" i="3"/>
  <c r="Z118" i="3"/>
  <c r="AP118" i="3"/>
  <c r="Y118" i="3"/>
  <c r="AJ118" i="3"/>
  <c r="AD118" i="3"/>
  <c r="X118" i="3"/>
  <c r="DG118" i="3"/>
  <c r="R118" i="3"/>
  <c r="Q118" i="3"/>
  <c r="AM118" i="3"/>
  <c r="AK118" i="3"/>
  <c r="AO118" i="3"/>
  <c r="AN118" i="3"/>
  <c r="AL118" i="3"/>
  <c r="AX120" i="3"/>
  <c r="G120" i="3"/>
  <c r="AM13" i="3"/>
  <c r="CP23" i="3"/>
  <c r="DX23" i="3"/>
  <c r="DW45" i="3"/>
  <c r="CQ58" i="3"/>
  <c r="DY58" i="3"/>
  <c r="CT58" i="3"/>
  <c r="CQ87" i="3"/>
  <c r="DW25" i="3"/>
  <c r="BK25" i="3"/>
  <c r="AU25" i="1"/>
  <c r="BO81" i="3"/>
  <c r="AS23" i="3"/>
  <c r="J23" i="1" s="1"/>
  <c r="AG23" i="3"/>
  <c r="U23" i="3"/>
  <c r="AR23" i="3"/>
  <c r="AT23" i="3" s="1"/>
  <c r="CY23" i="3" s="1"/>
  <c r="AF23" i="3"/>
  <c r="T23" i="3"/>
  <c r="AQ23" i="3"/>
  <c r="AE23" i="3"/>
  <c r="S23" i="3"/>
  <c r="P23" i="3"/>
  <c r="DG23" i="3"/>
  <c r="AP23" i="3"/>
  <c r="AD23" i="3"/>
  <c r="R23" i="3"/>
  <c r="AM23" i="3"/>
  <c r="O23" i="3"/>
  <c r="AO23" i="3"/>
  <c r="AC23" i="3"/>
  <c r="Q23" i="3"/>
  <c r="AN23" i="3"/>
  <c r="AB23" i="3"/>
  <c r="AA23" i="3"/>
  <c r="AW212" i="3"/>
  <c r="AX212" i="3"/>
  <c r="G212" i="3"/>
  <c r="DX20" i="3"/>
  <c r="CP20" i="3"/>
  <c r="N23" i="3"/>
  <c r="AT27" i="3"/>
  <c r="G50" i="3"/>
  <c r="BA14" i="3"/>
  <c r="DY20" i="3"/>
  <c r="CQ20" i="3"/>
  <c r="V23" i="3"/>
  <c r="DZ54" i="3"/>
  <c r="AX80" i="3"/>
  <c r="AW80" i="3"/>
  <c r="G80" i="3"/>
  <c r="DY14" i="3"/>
  <c r="BD93" i="3"/>
  <c r="G116" i="3"/>
  <c r="AW116" i="3"/>
  <c r="AX116" i="3"/>
  <c r="DZ14" i="3"/>
  <c r="AI22" i="3"/>
  <c r="W22" i="3"/>
  <c r="AP22" i="3"/>
  <c r="AC22" i="3"/>
  <c r="AH22" i="3"/>
  <c r="V22" i="3"/>
  <c r="Q22" i="3"/>
  <c r="AS22" i="3"/>
  <c r="J22" i="1" s="1"/>
  <c r="AG22" i="3"/>
  <c r="U22" i="3"/>
  <c r="AD22" i="3"/>
  <c r="AO22" i="3"/>
  <c r="AR22" i="3"/>
  <c r="AF22" i="3"/>
  <c r="T22" i="3"/>
  <c r="R22" i="3"/>
  <c r="AQ22" i="3"/>
  <c r="AE22" i="3"/>
  <c r="S22" i="3"/>
  <c r="AU35" i="3"/>
  <c r="S37" i="3"/>
  <c r="AI13" i="3"/>
  <c r="O22" i="3"/>
  <c r="Z23" i="3"/>
  <c r="BP25" i="3"/>
  <c r="AP26" i="3"/>
  <c r="N34" i="3"/>
  <c r="DX37" i="3"/>
  <c r="BP53" i="3"/>
  <c r="BL67" i="3"/>
  <c r="DZ67" i="3"/>
  <c r="AQ74" i="3"/>
  <c r="AE74" i="3"/>
  <c r="S74" i="3"/>
  <c r="AP74" i="3"/>
  <c r="CU74" i="3" s="1"/>
  <c r="AD74" i="3"/>
  <c r="R74" i="3"/>
  <c r="AO74" i="3"/>
  <c r="AC74" i="3"/>
  <c r="Q74" i="3"/>
  <c r="AN74" i="3"/>
  <c r="AB74" i="3"/>
  <c r="P74" i="3"/>
  <c r="AM74" i="3"/>
  <c r="AA74" i="3"/>
  <c r="O74" i="3"/>
  <c r="AS74" i="3"/>
  <c r="J74" i="1" s="1"/>
  <c r="W74" i="3"/>
  <c r="AR74" i="3"/>
  <c r="V74" i="3"/>
  <c r="AL74" i="3"/>
  <c r="U74" i="3"/>
  <c r="DG74" i="3"/>
  <c r="AK74" i="3"/>
  <c r="T74" i="3"/>
  <c r="AJ74" i="3"/>
  <c r="N74" i="3"/>
  <c r="X74" i="3"/>
  <c r="AI74" i="3"/>
  <c r="AH74" i="3"/>
  <c r="Z74" i="3"/>
  <c r="AG74" i="3"/>
  <c r="Y74" i="3"/>
  <c r="AF74" i="3"/>
  <c r="ES111" i="3"/>
  <c r="N118" i="3"/>
  <c r="DW120" i="3"/>
  <c r="BK126" i="3"/>
  <c r="CO126" i="3"/>
  <c r="BA126" i="3"/>
  <c r="AX17" i="3"/>
  <c r="N13" i="3"/>
  <c r="BC22" i="3"/>
  <c r="AX51" i="3"/>
  <c r="AW36" i="3"/>
  <c r="AH86" i="3"/>
  <c r="V86" i="3"/>
  <c r="AS86" i="3"/>
  <c r="J86" i="1" s="1"/>
  <c r="AG86" i="3"/>
  <c r="U86" i="3"/>
  <c r="AR86" i="3"/>
  <c r="AF86" i="3"/>
  <c r="T86" i="3"/>
  <c r="DG86" i="3"/>
  <c r="AQ86" i="3"/>
  <c r="AE86" i="3"/>
  <c r="S86" i="3"/>
  <c r="AP86" i="3"/>
  <c r="AD86" i="3"/>
  <c r="R86" i="3"/>
  <c r="DS86" i="3"/>
  <c r="AC86" i="3"/>
  <c r="AX86" i="3"/>
  <c r="AB86" i="3"/>
  <c r="AA86" i="3"/>
  <c r="Z86" i="3"/>
  <c r="Y86" i="3"/>
  <c r="AK86" i="3"/>
  <c r="DT86" i="3"/>
  <c r="AJ86" i="3"/>
  <c r="Q86" i="3"/>
  <c r="P86" i="3"/>
  <c r="AI86" i="3"/>
  <c r="X86" i="3"/>
  <c r="O86" i="3"/>
  <c r="W86" i="3"/>
  <c r="AP37" i="3"/>
  <c r="AD37" i="3"/>
  <c r="R37" i="3"/>
  <c r="DT37" i="3"/>
  <c r="AO37" i="3"/>
  <c r="AC37" i="3"/>
  <c r="Q37" i="3"/>
  <c r="AN37" i="3"/>
  <c r="AB37" i="3"/>
  <c r="P37" i="3"/>
  <c r="AM37" i="3"/>
  <c r="AA37" i="3"/>
  <c r="O37" i="3"/>
  <c r="AL37" i="3"/>
  <c r="DS37" i="3" s="1"/>
  <c r="Z37" i="3"/>
  <c r="N37" i="3"/>
  <c r="AH37" i="3"/>
  <c r="AG37" i="3"/>
  <c r="AS37" i="3"/>
  <c r="J37" i="1" s="1"/>
  <c r="AF37" i="3"/>
  <c r="DG37" i="3"/>
  <c r="AE37" i="3"/>
  <c r="Y37" i="3"/>
  <c r="X37" i="3"/>
  <c r="W37" i="3"/>
  <c r="AM22" i="3"/>
  <c r="DW43" i="3"/>
  <c r="AJ13" i="3"/>
  <c r="BS15" i="3"/>
  <c r="AD15" i="1" s="1"/>
  <c r="BR15" i="3"/>
  <c r="BU15" i="3"/>
  <c r="BT15" i="3"/>
  <c r="BT19" i="3"/>
  <c r="P22" i="3"/>
  <c r="AH23" i="3"/>
  <c r="CO24" i="3"/>
  <c r="DY30" i="3"/>
  <c r="V37" i="3"/>
  <c r="DY37" i="3"/>
  <c r="AR53" i="3"/>
  <c r="AF53" i="3"/>
  <c r="T53" i="3"/>
  <c r="AQ53" i="3"/>
  <c r="AE53" i="3"/>
  <c r="S53" i="3"/>
  <c r="AP53" i="3"/>
  <c r="AD53" i="3"/>
  <c r="R53" i="3"/>
  <c r="AO53" i="3"/>
  <c r="AC53" i="3"/>
  <c r="Q53" i="3"/>
  <c r="DG53" i="3"/>
  <c r="AN53" i="3"/>
  <c r="AB53" i="3"/>
  <c r="P53" i="3"/>
  <c r="Y53" i="3"/>
  <c r="N53" i="3"/>
  <c r="X53" i="3"/>
  <c r="AK53" i="3"/>
  <c r="AJ53" i="3"/>
  <c r="AS53" i="3"/>
  <c r="J53" i="1" s="1"/>
  <c r="W53" i="3"/>
  <c r="AM53" i="3"/>
  <c r="AW53" i="3" s="1"/>
  <c r="V53" i="3"/>
  <c r="O53" i="3"/>
  <c r="AL53" i="3"/>
  <c r="U53" i="3"/>
  <c r="CQ55" i="3"/>
  <c r="AW63" i="3"/>
  <c r="AR73" i="3"/>
  <c r="AF73" i="3"/>
  <c r="T73" i="3"/>
  <c r="AQ73" i="3"/>
  <c r="AE73" i="3"/>
  <c r="S73" i="3"/>
  <c r="AP73" i="3"/>
  <c r="AD73" i="3"/>
  <c r="R73" i="3"/>
  <c r="AO73" i="3"/>
  <c r="AC73" i="3"/>
  <c r="Q73" i="3"/>
  <c r="AN73" i="3"/>
  <c r="AB73" i="3"/>
  <c r="P73" i="3"/>
  <c r="AH73" i="3"/>
  <c r="AP73" i="1" s="1"/>
  <c r="AG73" i="3"/>
  <c r="AA73" i="3"/>
  <c r="Z73" i="3"/>
  <c r="Y73" i="3"/>
  <c r="AK73" i="3"/>
  <c r="U73" i="3"/>
  <c r="AJ73" i="3"/>
  <c r="V73" i="3"/>
  <c r="AI73" i="3"/>
  <c r="X73" i="3"/>
  <c r="DG73" i="3"/>
  <c r="W73" i="3"/>
  <c r="O73" i="3"/>
  <c r="AO86" i="3"/>
  <c r="CT102" i="3"/>
  <c r="DY102" i="3"/>
  <c r="CQ102" i="3"/>
  <c r="CO102" i="3"/>
  <c r="DG110" i="3"/>
  <c r="AQ110" i="3"/>
  <c r="AE110" i="3"/>
  <c r="S110" i="3"/>
  <c r="AP110" i="3"/>
  <c r="AD110" i="3"/>
  <c r="R110" i="3"/>
  <c r="DT110" i="3"/>
  <c r="AO110" i="3"/>
  <c r="AC110" i="3"/>
  <c r="Q110" i="3"/>
  <c r="DS110" i="3"/>
  <c r="AN110" i="3"/>
  <c r="AB110" i="3"/>
  <c r="P110" i="3"/>
  <c r="AM110" i="3"/>
  <c r="AW110" i="3" s="1"/>
  <c r="AA110" i="3"/>
  <c r="O110" i="3"/>
  <c r="AG110" i="3"/>
  <c r="AF110" i="3"/>
  <c r="Z110" i="3"/>
  <c r="Y110" i="3"/>
  <c r="X110" i="3"/>
  <c r="AJ110" i="3"/>
  <c r="AI110" i="3"/>
  <c r="AH110" i="3"/>
  <c r="W110" i="3"/>
  <c r="V110" i="3"/>
  <c r="U110" i="3"/>
  <c r="AS110" i="3"/>
  <c r="J110" i="1" s="1"/>
  <c r="AR110" i="3"/>
  <c r="AL110" i="3"/>
  <c r="T110" i="3"/>
  <c r="N110" i="3"/>
  <c r="AK110" i="3"/>
  <c r="DX120" i="3"/>
  <c r="DY122" i="3"/>
  <c r="BL126" i="3"/>
  <c r="CP126" i="3"/>
  <c r="AV126" i="1"/>
  <c r="N86" i="3"/>
  <c r="AI124" i="3"/>
  <c r="W124" i="3"/>
  <c r="AH124" i="3"/>
  <c r="V124" i="3"/>
  <c r="AS124" i="3"/>
  <c r="J124" i="1" s="1"/>
  <c r="AG124" i="3"/>
  <c r="U124" i="3"/>
  <c r="AR124" i="3"/>
  <c r="AF124" i="3"/>
  <c r="T124" i="3"/>
  <c r="DG124" i="3"/>
  <c r="AQ124" i="3"/>
  <c r="AE124" i="3"/>
  <c r="S124" i="3"/>
  <c r="AB124" i="3"/>
  <c r="AA124" i="3"/>
  <c r="Z124" i="3"/>
  <c r="AP124" i="3"/>
  <c r="Y124" i="3"/>
  <c r="AO124" i="3"/>
  <c r="X124" i="3"/>
  <c r="AL124" i="3"/>
  <c r="AK124" i="3"/>
  <c r="AJ124" i="3"/>
  <c r="AD124" i="3"/>
  <c r="AC124" i="3"/>
  <c r="O124" i="3"/>
  <c r="AN124" i="3"/>
  <c r="AM124" i="3"/>
  <c r="R124" i="3"/>
  <c r="P124" i="3"/>
  <c r="Q124" i="3"/>
  <c r="N124" i="3"/>
  <c r="AX19" i="3"/>
  <c r="AW19" i="3"/>
  <c r="AD48" i="3"/>
  <c r="AK13" i="3"/>
  <c r="AS16" i="3"/>
  <c r="J16" i="1" s="1"/>
  <c r="AG16" i="3"/>
  <c r="U16" i="3"/>
  <c r="AN16" i="3"/>
  <c r="AA16" i="3"/>
  <c r="AR16" i="3"/>
  <c r="AF16" i="3"/>
  <c r="T16" i="3"/>
  <c r="P16" i="3"/>
  <c r="O16" i="3"/>
  <c r="AQ16" i="3"/>
  <c r="AE16" i="3"/>
  <c r="S16" i="3"/>
  <c r="DG16" i="3"/>
  <c r="AB16" i="3"/>
  <c r="AP16" i="3"/>
  <c r="AD16" i="3"/>
  <c r="R16" i="3"/>
  <c r="AM16" i="3"/>
  <c r="AO16" i="3"/>
  <c r="AC16" i="3"/>
  <c r="Q16" i="3"/>
  <c r="DW17" i="3"/>
  <c r="BK17" i="3"/>
  <c r="X22" i="3"/>
  <c r="AI23" i="3"/>
  <c r="AR28" i="3"/>
  <c r="AF28" i="3"/>
  <c r="T28" i="3"/>
  <c r="DG28" i="3"/>
  <c r="AQ28" i="3"/>
  <c r="AE28" i="3"/>
  <c r="S28" i="3"/>
  <c r="AP28" i="3"/>
  <c r="AD28" i="3"/>
  <c r="R28" i="3"/>
  <c r="AO28" i="3"/>
  <c r="AC28" i="3"/>
  <c r="Q28" i="3"/>
  <c r="AA28" i="3"/>
  <c r="U28" i="3"/>
  <c r="Z28" i="3"/>
  <c r="AS28" i="3"/>
  <c r="J28" i="1" s="1"/>
  <c r="Y28" i="3"/>
  <c r="AK28" i="3"/>
  <c r="AN28" i="3"/>
  <c r="X28" i="3"/>
  <c r="AL28" i="3"/>
  <c r="AM28" i="3"/>
  <c r="W28" i="3"/>
  <c r="V28" i="3"/>
  <c r="DZ30" i="3"/>
  <c r="AX31" i="3"/>
  <c r="AW31" i="3"/>
  <c r="AB34" i="3"/>
  <c r="AI37" i="3"/>
  <c r="Z53" i="3"/>
  <c r="DN58" i="3"/>
  <c r="N73" i="3"/>
  <c r="BC87" i="3"/>
  <c r="CR102" i="3"/>
  <c r="DZ102" i="3"/>
  <c r="P118" i="3"/>
  <c r="DZ122" i="3"/>
  <c r="DX49" i="3"/>
  <c r="ER103" i="3"/>
  <c r="CT23" i="3"/>
  <c r="DY23" i="3"/>
  <c r="CQ23" i="3"/>
  <c r="EZ25" i="3"/>
  <c r="EV25" i="3"/>
  <c r="DX45" i="3"/>
  <c r="G17" i="3"/>
  <c r="DY45" i="3"/>
  <c r="AX64" i="3"/>
  <c r="G64" i="3"/>
  <c r="AW64" i="3"/>
  <c r="AX13" i="3"/>
  <c r="CO23" i="3"/>
  <c r="BS25" i="3"/>
  <c r="AD25" i="1" s="1"/>
  <c r="BR25" i="3"/>
  <c r="BU25" i="3"/>
  <c r="BT25" i="3"/>
  <c r="BK40" i="3"/>
  <c r="CO40" i="3"/>
  <c r="BA40" i="3"/>
  <c r="W23" i="3"/>
  <c r="AC48" i="3"/>
  <c r="BN58" i="3"/>
  <c r="BO58" i="3"/>
  <c r="AL13" i="3"/>
  <c r="N16" i="3"/>
  <c r="DX17" i="3"/>
  <c r="BL17" i="3"/>
  <c r="Y22" i="3"/>
  <c r="AJ23" i="3"/>
  <c r="CS23" i="3"/>
  <c r="AK26" i="3"/>
  <c r="Y26" i="3"/>
  <c r="AI26" i="3"/>
  <c r="W26" i="3"/>
  <c r="AH26" i="3"/>
  <c r="V26" i="3"/>
  <c r="AO26" i="3"/>
  <c r="Z26" i="3"/>
  <c r="AN26" i="3"/>
  <c r="X26" i="3"/>
  <c r="R26" i="3"/>
  <c r="Q26" i="3"/>
  <c r="AM26" i="3"/>
  <c r="U26" i="3"/>
  <c r="AF26" i="3"/>
  <c r="AL26" i="3"/>
  <c r="T26" i="3"/>
  <c r="AG26" i="3"/>
  <c r="DG26" i="3"/>
  <c r="AJ26" i="3"/>
  <c r="S26" i="3"/>
  <c r="AS26" i="3"/>
  <c r="J26" i="1" s="1"/>
  <c r="N28" i="3"/>
  <c r="BK30" i="3"/>
  <c r="AJ37" i="3"/>
  <c r="AA53" i="3"/>
  <c r="DX65" i="3"/>
  <c r="AL73" i="3"/>
  <c r="BK87" i="3"/>
  <c r="AQ77" i="3"/>
  <c r="AE77" i="3"/>
  <c r="S77" i="3"/>
  <c r="AP77" i="3"/>
  <c r="AD77" i="3"/>
  <c r="R77" i="3"/>
  <c r="AO77" i="3"/>
  <c r="AC77" i="3"/>
  <c r="Q77" i="3"/>
  <c r="AN77" i="3"/>
  <c r="AB77" i="3"/>
  <c r="P77" i="3"/>
  <c r="DG77" i="3"/>
  <c r="AM77" i="3"/>
  <c r="AA77" i="3"/>
  <c r="O77" i="3"/>
  <c r="AG77" i="3"/>
  <c r="AF77" i="3"/>
  <c r="Z77" i="3"/>
  <c r="Y77" i="3"/>
  <c r="X77" i="3"/>
  <c r="DY106" i="3"/>
  <c r="DY120" i="3"/>
  <c r="AK17" i="3"/>
  <c r="AH56" i="3"/>
  <c r="N63" i="3"/>
  <c r="AT114" i="3"/>
  <c r="DY137" i="3"/>
  <c r="Z14" i="3"/>
  <c r="N17" i="3"/>
  <c r="CO33" i="3"/>
  <c r="AI36" i="3"/>
  <c r="AE39" i="3"/>
  <c r="BK48" i="3"/>
  <c r="CO48" i="3"/>
  <c r="AU48" i="1"/>
  <c r="DG51" i="3"/>
  <c r="DZ84" i="3"/>
  <c r="DZ137" i="3"/>
  <c r="O14" i="3"/>
  <c r="AA14" i="3"/>
  <c r="AM14" i="3"/>
  <c r="G15" i="3"/>
  <c r="X15" i="3"/>
  <c r="AJ15" i="3"/>
  <c r="BA16" i="3"/>
  <c r="O17" i="3"/>
  <c r="AA17" i="3"/>
  <c r="AM17" i="3"/>
  <c r="V18" i="3"/>
  <c r="AH18" i="3"/>
  <c r="O19" i="3"/>
  <c r="AA19" i="3"/>
  <c r="AM19" i="3"/>
  <c r="Y20" i="3"/>
  <c r="AK20" i="3"/>
  <c r="U21" i="3"/>
  <c r="AG21" i="3"/>
  <c r="AS21" i="3"/>
  <c r="J21" i="1" s="1"/>
  <c r="Y24" i="3"/>
  <c r="AK24" i="3"/>
  <c r="G25" i="3"/>
  <c r="X25" i="3"/>
  <c r="AJ25" i="3"/>
  <c r="AV25" i="1"/>
  <c r="Z27" i="3"/>
  <c r="DG27" i="3"/>
  <c r="DY28" i="3"/>
  <c r="AB30" i="3"/>
  <c r="AA35" i="3"/>
  <c r="AW35" i="3"/>
  <c r="N36" i="3"/>
  <c r="AJ36" i="3"/>
  <c r="AA38" i="3"/>
  <c r="O39" i="3"/>
  <c r="AK39" i="3"/>
  <c r="Z42" i="3"/>
  <c r="AQ42" i="3"/>
  <c r="Z44" i="3"/>
  <c r="AG45" i="3"/>
  <c r="AA49" i="3"/>
  <c r="O51" i="3"/>
  <c r="AK51" i="3"/>
  <c r="AI55" i="3"/>
  <c r="W55" i="3"/>
  <c r="AH55" i="3"/>
  <c r="AP55" i="1" s="1"/>
  <c r="V55" i="3"/>
  <c r="AS55" i="3"/>
  <c r="J55" i="1" s="1"/>
  <c r="AG55" i="3"/>
  <c r="U55" i="3"/>
  <c r="AR55" i="3"/>
  <c r="AF55" i="3"/>
  <c r="T55" i="3"/>
  <c r="AQ55" i="3"/>
  <c r="AE55" i="3"/>
  <c r="S55" i="3"/>
  <c r="AD55" i="3"/>
  <c r="AX55" i="3"/>
  <c r="O56" i="3"/>
  <c r="U77" i="3"/>
  <c r="DW90" i="3"/>
  <c r="BK90" i="3"/>
  <c r="DY92" i="3"/>
  <c r="DY97" i="3"/>
  <c r="DG101" i="3"/>
  <c r="AP101" i="3"/>
  <c r="AD101" i="3"/>
  <c r="R101" i="3"/>
  <c r="AO101" i="3"/>
  <c r="AC101" i="3"/>
  <c r="Q101" i="3"/>
  <c r="AN101" i="3"/>
  <c r="AB101" i="3"/>
  <c r="P101" i="3"/>
  <c r="AM101" i="3"/>
  <c r="AA101" i="3"/>
  <c r="O101" i="3"/>
  <c r="AL101" i="3"/>
  <c r="Z101" i="3"/>
  <c r="N101" i="3"/>
  <c r="AS101" i="3"/>
  <c r="J101" i="1" s="1"/>
  <c r="W101" i="3"/>
  <c r="AR101" i="3"/>
  <c r="AT101" i="3" s="1"/>
  <c r="CY101" i="3" s="1"/>
  <c r="V101" i="3"/>
  <c r="AQ101" i="3"/>
  <c r="U101" i="3"/>
  <c r="AK101" i="3"/>
  <c r="T101" i="3"/>
  <c r="AJ101" i="3"/>
  <c r="S101" i="3"/>
  <c r="AI101" i="3"/>
  <c r="AS102" i="3"/>
  <c r="J102" i="1" s="1"/>
  <c r="AG102" i="3"/>
  <c r="U102" i="3"/>
  <c r="AR102" i="3"/>
  <c r="AF102" i="3"/>
  <c r="T102" i="3"/>
  <c r="AQ102" i="3"/>
  <c r="AE102" i="3"/>
  <c r="S102" i="3"/>
  <c r="DG102" i="3"/>
  <c r="AP102" i="3"/>
  <c r="AD102" i="3"/>
  <c r="R102" i="3"/>
  <c r="AO102" i="3"/>
  <c r="AC102" i="3"/>
  <c r="Q102" i="3"/>
  <c r="AH102" i="3"/>
  <c r="BD102" i="3" s="1"/>
  <c r="AB102" i="3"/>
  <c r="AA102" i="3"/>
  <c r="Z102" i="3"/>
  <c r="Y102" i="3"/>
  <c r="X102" i="3"/>
  <c r="W102" i="3"/>
  <c r="V102" i="3"/>
  <c r="P102" i="3"/>
  <c r="O102" i="3"/>
  <c r="BT114" i="3"/>
  <c r="BS114" i="3"/>
  <c r="AD114" i="1" s="1"/>
  <c r="DX115" i="3"/>
  <c r="CP115" i="3"/>
  <c r="DZ117" i="3"/>
  <c r="G131" i="3"/>
  <c r="DZ160" i="3"/>
  <c r="BA161" i="3"/>
  <c r="CO161" i="3"/>
  <c r="AQ63" i="3"/>
  <c r="AE63" i="3"/>
  <c r="S63" i="3"/>
  <c r="AP63" i="3"/>
  <c r="AD63" i="3"/>
  <c r="R63" i="3"/>
  <c r="AO63" i="3"/>
  <c r="AC63" i="3"/>
  <c r="Q63" i="3"/>
  <c r="AN63" i="3"/>
  <c r="AB63" i="3"/>
  <c r="P63" i="3"/>
  <c r="DG63" i="3"/>
  <c r="AM63" i="3"/>
  <c r="AA63" i="3"/>
  <c r="O63" i="3"/>
  <c r="Y63" i="3"/>
  <c r="X63" i="3"/>
  <c r="AS63" i="3"/>
  <c r="J63" i="1" s="1"/>
  <c r="W63" i="3"/>
  <c r="AR63" i="3"/>
  <c r="V63" i="3"/>
  <c r="AL63" i="3"/>
  <c r="U63" i="3"/>
  <c r="AV92" i="3"/>
  <c r="BU98" i="3"/>
  <c r="BT98" i="3"/>
  <c r="DW117" i="3"/>
  <c r="DY145" i="3"/>
  <c r="AK14" i="3"/>
  <c r="AD39" i="3"/>
  <c r="AP56" i="3"/>
  <c r="AD56" i="3"/>
  <c r="R56" i="3"/>
  <c r="DG56" i="3"/>
  <c r="AO56" i="3"/>
  <c r="AC56" i="3"/>
  <c r="Q56" i="3"/>
  <c r="AM56" i="3"/>
  <c r="Y56" i="3"/>
  <c r="AL56" i="3"/>
  <c r="X56" i="3"/>
  <c r="AK56" i="3"/>
  <c r="W56" i="3"/>
  <c r="AJ56" i="3"/>
  <c r="V56" i="3"/>
  <c r="AI56" i="3"/>
  <c r="U56" i="3"/>
  <c r="N77" i="3"/>
  <c r="AW131" i="3"/>
  <c r="AL19" i="3"/>
  <c r="N56" i="3"/>
  <c r="BK107" i="3"/>
  <c r="CO107" i="3"/>
  <c r="BN114" i="3"/>
  <c r="P14" i="3"/>
  <c r="AB14" i="3"/>
  <c r="AN14" i="3"/>
  <c r="Y15" i="3"/>
  <c r="P17" i="3"/>
  <c r="AB17" i="3"/>
  <c r="AN17" i="3"/>
  <c r="W18" i="3"/>
  <c r="AI18" i="3"/>
  <c r="P19" i="3"/>
  <c r="AB19" i="3"/>
  <c r="AN19" i="3"/>
  <c r="DG19" i="3"/>
  <c r="N20" i="3"/>
  <c r="Z20" i="3"/>
  <c r="V21" i="3"/>
  <c r="AH21" i="3"/>
  <c r="CO21" i="3"/>
  <c r="N24" i="3"/>
  <c r="Z24" i="3"/>
  <c r="AL24" i="3"/>
  <c r="Y25" i="3"/>
  <c r="AW25" i="3"/>
  <c r="BA26" i="3"/>
  <c r="AA27" i="3"/>
  <c r="DZ28" i="3"/>
  <c r="BA29" i="3"/>
  <c r="AX32" i="3"/>
  <c r="AW32" i="3"/>
  <c r="G32" i="3"/>
  <c r="AB35" i="3"/>
  <c r="T36" i="3"/>
  <c r="AK36" i="3"/>
  <c r="AB38" i="3"/>
  <c r="P39" i="3"/>
  <c r="AL39" i="3"/>
  <c r="AA42" i="3"/>
  <c r="DG42" i="3"/>
  <c r="AA44" i="3"/>
  <c r="G45" i="3"/>
  <c r="AB49" i="3"/>
  <c r="P51" i="3"/>
  <c r="AL51" i="3"/>
  <c r="DZ53" i="3"/>
  <c r="N55" i="3"/>
  <c r="AJ55" i="3"/>
  <c r="P56" i="3"/>
  <c r="AR56" i="3"/>
  <c r="AX57" i="3"/>
  <c r="AW57" i="3"/>
  <c r="AF63" i="3"/>
  <c r="BQ70" i="3"/>
  <c r="AU75" i="3"/>
  <c r="V77" i="3"/>
  <c r="BT84" i="3"/>
  <c r="BS84" i="3"/>
  <c r="AD84" i="1" s="1"/>
  <c r="BR84" i="3"/>
  <c r="AP90" i="3"/>
  <c r="AD90" i="3"/>
  <c r="R90" i="3"/>
  <c r="AO90" i="3"/>
  <c r="AC90" i="3"/>
  <c r="Q90" i="3"/>
  <c r="AN90" i="3"/>
  <c r="AB90" i="3"/>
  <c r="P90" i="3"/>
  <c r="AM90" i="3"/>
  <c r="AA90" i="3"/>
  <c r="O90" i="3"/>
  <c r="AL90" i="3"/>
  <c r="Z90" i="3"/>
  <c r="N90" i="3"/>
  <c r="Y90" i="3"/>
  <c r="X90" i="3"/>
  <c r="AS90" i="3"/>
  <c r="J90" i="1" s="1"/>
  <c r="W90" i="3"/>
  <c r="AR90" i="3"/>
  <c r="V90" i="3"/>
  <c r="DG90" i="3"/>
  <c r="AQ90" i="3"/>
  <c r="U90" i="3"/>
  <c r="AK90" i="3"/>
  <c r="AJ90" i="3"/>
  <c r="AI90" i="3"/>
  <c r="DZ92" i="3"/>
  <c r="DZ97" i="3"/>
  <c r="AX112" i="3"/>
  <c r="G112" i="3"/>
  <c r="CT115" i="3"/>
  <c r="CQ115" i="3"/>
  <c r="DY115" i="3"/>
  <c r="BO134" i="3"/>
  <c r="BN134" i="3"/>
  <c r="DY161" i="3"/>
  <c r="AJ182" i="3"/>
  <c r="X182" i="3"/>
  <c r="AI182" i="3"/>
  <c r="W182" i="3"/>
  <c r="AH182" i="3"/>
  <c r="V182" i="3"/>
  <c r="AS182" i="3"/>
  <c r="J182" i="1" s="1"/>
  <c r="AG182" i="3"/>
  <c r="U182" i="3"/>
  <c r="AR182" i="3"/>
  <c r="AF182" i="3"/>
  <c r="T182" i="3"/>
  <c r="DG182" i="3"/>
  <c r="AA182" i="3"/>
  <c r="AQ182" i="3"/>
  <c r="Z182" i="3"/>
  <c r="AP182" i="3"/>
  <c r="Y182" i="3"/>
  <c r="AO182" i="3"/>
  <c r="S182" i="3"/>
  <c r="AN182" i="3"/>
  <c r="R182" i="3"/>
  <c r="AK182" i="3"/>
  <c r="AE182" i="3"/>
  <c r="AD182" i="3"/>
  <c r="AC182" i="3"/>
  <c r="AB182" i="3"/>
  <c r="AM182" i="3"/>
  <c r="AL182" i="3"/>
  <c r="Q182" i="3"/>
  <c r="P182" i="3"/>
  <c r="O182" i="3"/>
  <c r="N182" i="3"/>
  <c r="BS80" i="3"/>
  <c r="AD80" i="1" s="1"/>
  <c r="Y14" i="3"/>
  <c r="Y17" i="3"/>
  <c r="Y19" i="3"/>
  <c r="DZ56" i="3"/>
  <c r="N14" i="3"/>
  <c r="AL17" i="3"/>
  <c r="Z19" i="3"/>
  <c r="DX28" i="3"/>
  <c r="AJ51" i="3"/>
  <c r="AX54" i="3"/>
  <c r="CO71" i="3"/>
  <c r="BA71" i="3"/>
  <c r="T77" i="3"/>
  <c r="AI136" i="3"/>
  <c r="W136" i="3"/>
  <c r="AH136" i="3"/>
  <c r="V136" i="3"/>
  <c r="AS136" i="3"/>
  <c r="J136" i="1" s="1"/>
  <c r="AG136" i="3"/>
  <c r="U136" i="3"/>
  <c r="AR136" i="3"/>
  <c r="AF136" i="3"/>
  <c r="T136" i="3"/>
  <c r="AQ136" i="3"/>
  <c r="AE136" i="3"/>
  <c r="S136" i="3"/>
  <c r="DG136" i="3"/>
  <c r="AP136" i="3"/>
  <c r="Y136" i="3"/>
  <c r="AO136" i="3"/>
  <c r="X136" i="3"/>
  <c r="AN136" i="3"/>
  <c r="R136" i="3"/>
  <c r="AM136" i="3"/>
  <c r="Q136" i="3"/>
  <c r="AL136" i="3"/>
  <c r="P136" i="3"/>
  <c r="AB136" i="3"/>
  <c r="AA136" i="3"/>
  <c r="Z136" i="3"/>
  <c r="O136" i="3"/>
  <c r="N136" i="3"/>
  <c r="AK136" i="3"/>
  <c r="AJ136" i="3"/>
  <c r="AD136" i="3"/>
  <c r="AC136" i="3"/>
  <c r="Q14" i="3"/>
  <c r="AC14" i="3"/>
  <c r="AO14" i="3"/>
  <c r="DG14" i="3"/>
  <c r="Q17" i="3"/>
  <c r="AC17" i="3"/>
  <c r="AO17" i="3"/>
  <c r="X18" i="3"/>
  <c r="AJ18" i="3"/>
  <c r="Q19" i="3"/>
  <c r="AC19" i="3"/>
  <c r="AO19" i="3"/>
  <c r="W21" i="3"/>
  <c r="AI21" i="3"/>
  <c r="BK21" i="3"/>
  <c r="AH30" i="3"/>
  <c r="V30" i="3"/>
  <c r="AS30" i="3"/>
  <c r="J30" i="1" s="1"/>
  <c r="AG30" i="3"/>
  <c r="U30" i="3"/>
  <c r="AR30" i="3"/>
  <c r="AF30" i="3"/>
  <c r="T30" i="3"/>
  <c r="DG30" i="3"/>
  <c r="AQ30" i="3"/>
  <c r="AE30" i="3"/>
  <c r="S30" i="3"/>
  <c r="AP30" i="3"/>
  <c r="AD30" i="3"/>
  <c r="R30" i="3"/>
  <c r="AI30" i="3"/>
  <c r="BK32" i="3"/>
  <c r="U36" i="3"/>
  <c r="AW37" i="3"/>
  <c r="Q39" i="3"/>
  <c r="AB42" i="3"/>
  <c r="AX42" i="3"/>
  <c r="AX43" i="3"/>
  <c r="AB44" i="3"/>
  <c r="AP45" i="3"/>
  <c r="AD45" i="3"/>
  <c r="R45" i="3"/>
  <c r="AO45" i="3"/>
  <c r="AC45" i="3"/>
  <c r="Q45" i="3"/>
  <c r="AN45" i="3"/>
  <c r="AB45" i="3"/>
  <c r="P45" i="3"/>
  <c r="AM45" i="3"/>
  <c r="AA45" i="3"/>
  <c r="O45" i="3"/>
  <c r="AL45" i="3"/>
  <c r="Z45" i="3"/>
  <c r="N45" i="3"/>
  <c r="AI45" i="3"/>
  <c r="BB45" i="3" s="1"/>
  <c r="BK47" i="3"/>
  <c r="CO47" i="3"/>
  <c r="V51" i="3"/>
  <c r="DX51" i="3"/>
  <c r="DW53" i="3"/>
  <c r="S56" i="3"/>
  <c r="AS56" i="3"/>
  <c r="J56" i="1" s="1"/>
  <c r="AG63" i="3"/>
  <c r="BR70" i="3"/>
  <c r="AT71" i="3"/>
  <c r="W77" i="3"/>
  <c r="AX79" i="3"/>
  <c r="AW79" i="3"/>
  <c r="G79" i="3"/>
  <c r="DY86" i="3"/>
  <c r="S90" i="3"/>
  <c r="CY93" i="3"/>
  <c r="AQ95" i="3"/>
  <c r="AE95" i="3"/>
  <c r="S95" i="3"/>
  <c r="AP95" i="3"/>
  <c r="AD95" i="3"/>
  <c r="R95" i="3"/>
  <c r="DG95" i="3"/>
  <c r="AO95" i="3"/>
  <c r="AC95" i="3"/>
  <c r="Q95" i="3"/>
  <c r="AN95" i="3"/>
  <c r="AB95" i="3"/>
  <c r="P95" i="3"/>
  <c r="AM95" i="3"/>
  <c r="AP95" i="1" s="1"/>
  <c r="AA95" i="3"/>
  <c r="O95" i="3"/>
  <c r="AS95" i="3"/>
  <c r="J95" i="1" s="1"/>
  <c r="W95" i="3"/>
  <c r="AR95" i="3"/>
  <c r="V95" i="3"/>
  <c r="AL95" i="3"/>
  <c r="U95" i="3"/>
  <c r="AK95" i="3"/>
  <c r="T95" i="3"/>
  <c r="AJ95" i="3"/>
  <c r="N95" i="3"/>
  <c r="AI95" i="3"/>
  <c r="Y101" i="3"/>
  <c r="AI102" i="3"/>
  <c r="CR115" i="3"/>
  <c r="DZ115" i="3"/>
  <c r="CO127" i="3"/>
  <c r="AU127" i="1"/>
  <c r="BA127" i="3"/>
  <c r="BK159" i="3"/>
  <c r="CO159" i="3"/>
  <c r="BA159" i="3"/>
  <c r="AS77" i="3"/>
  <c r="J77" i="1" s="1"/>
  <c r="AK19" i="3"/>
  <c r="AJ39" i="3"/>
  <c r="X39" i="3"/>
  <c r="AI39" i="3"/>
  <c r="W39" i="3"/>
  <c r="AH39" i="3"/>
  <c r="V39" i="3"/>
  <c r="AS39" i="3"/>
  <c r="J39" i="1" s="1"/>
  <c r="AG39" i="3"/>
  <c r="U39" i="3"/>
  <c r="AR39" i="3"/>
  <c r="AF39" i="3"/>
  <c r="T39" i="3"/>
  <c r="BK41" i="3"/>
  <c r="CO41" i="3"/>
  <c r="AS51" i="3"/>
  <c r="J51" i="1" s="1"/>
  <c r="AG51" i="3"/>
  <c r="U51" i="3"/>
  <c r="AR51" i="3"/>
  <c r="AF51" i="3"/>
  <c r="T51" i="3"/>
  <c r="AQ51" i="3"/>
  <c r="AE51" i="3"/>
  <c r="S51" i="3"/>
  <c r="AP51" i="3"/>
  <c r="AD51" i="3"/>
  <c r="R51" i="3"/>
  <c r="AO51" i="3"/>
  <c r="AC51" i="3"/>
  <c r="Q51" i="3"/>
  <c r="DM53" i="3"/>
  <c r="DX117" i="3"/>
  <c r="N19" i="3"/>
  <c r="AQ36" i="3"/>
  <c r="AE36" i="3"/>
  <c r="S36" i="3"/>
  <c r="AP36" i="3"/>
  <c r="AD36" i="3"/>
  <c r="R36" i="3"/>
  <c r="AO36" i="3"/>
  <c r="AC36" i="3"/>
  <c r="Q36" i="3"/>
  <c r="AN36" i="3"/>
  <c r="AB36" i="3"/>
  <c r="P36" i="3"/>
  <c r="DG36" i="3"/>
  <c r="AM36" i="3"/>
  <c r="AA36" i="3"/>
  <c r="O36" i="3"/>
  <c r="DG39" i="3"/>
  <c r="DY117" i="3"/>
  <c r="R14" i="3"/>
  <c r="AD14" i="3"/>
  <c r="AP14" i="3"/>
  <c r="R17" i="3"/>
  <c r="AD17" i="3"/>
  <c r="AP17" i="3"/>
  <c r="Y18" i="3"/>
  <c r="AK18" i="3"/>
  <c r="R19" i="3"/>
  <c r="AD19" i="3"/>
  <c r="AP19" i="3"/>
  <c r="CR20" i="3"/>
  <c r="X21" i="3"/>
  <c r="AJ21" i="3"/>
  <c r="AS27" i="3"/>
  <c r="J27" i="1" s="1"/>
  <c r="AG27" i="3"/>
  <c r="U27" i="3"/>
  <c r="AR27" i="3"/>
  <c r="AF27" i="3"/>
  <c r="T27" i="3"/>
  <c r="AQ27" i="3"/>
  <c r="AE27" i="3"/>
  <c r="S27" i="3"/>
  <c r="AP27" i="3"/>
  <c r="AD27" i="3"/>
  <c r="R27" i="3"/>
  <c r="AC27" i="3"/>
  <c r="AJ30" i="3"/>
  <c r="BK31" i="3"/>
  <c r="AS35" i="3"/>
  <c r="J35" i="1" s="1"/>
  <c r="AG35" i="3"/>
  <c r="U35" i="3"/>
  <c r="AR35" i="3"/>
  <c r="AF35" i="3"/>
  <c r="T35" i="3"/>
  <c r="AQ35" i="3"/>
  <c r="AE35" i="3"/>
  <c r="S35" i="3"/>
  <c r="AP35" i="3"/>
  <c r="AD35" i="3"/>
  <c r="R35" i="3"/>
  <c r="AO35" i="3"/>
  <c r="AC35" i="3"/>
  <c r="Q35" i="3"/>
  <c r="AI35" i="3"/>
  <c r="V36" i="3"/>
  <c r="AR36" i="3"/>
  <c r="AI38" i="3"/>
  <c r="W38" i="3"/>
  <c r="AH38" i="3"/>
  <c r="V38" i="3"/>
  <c r="AS38" i="3"/>
  <c r="J38" i="1" s="1"/>
  <c r="AG38" i="3"/>
  <c r="U38" i="3"/>
  <c r="AR38" i="3"/>
  <c r="AF38" i="3"/>
  <c r="T38" i="3"/>
  <c r="AQ38" i="3"/>
  <c r="AE38" i="3"/>
  <c r="S38" i="3"/>
  <c r="AD38" i="3"/>
  <c r="R39" i="3"/>
  <c r="AN39" i="3"/>
  <c r="CS39" i="3"/>
  <c r="BN41" i="3"/>
  <c r="BL47" i="3"/>
  <c r="CP47" i="3"/>
  <c r="AS49" i="3"/>
  <c r="J49" i="1" s="1"/>
  <c r="AG49" i="3"/>
  <c r="U49" i="3"/>
  <c r="AR49" i="3"/>
  <c r="AF49" i="3"/>
  <c r="T49" i="3"/>
  <c r="DG49" i="3"/>
  <c r="AQ49" i="3"/>
  <c r="AE49" i="3"/>
  <c r="S49" i="3"/>
  <c r="AP49" i="3"/>
  <c r="AD49" i="3"/>
  <c r="R49" i="3"/>
  <c r="AO49" i="3"/>
  <c r="AC49" i="3"/>
  <c r="Q49" i="3"/>
  <c r="AI49" i="3"/>
  <c r="W51" i="3"/>
  <c r="AN51" i="3"/>
  <c r="DY51" i="3"/>
  <c r="T56" i="3"/>
  <c r="CO58" i="3"/>
  <c r="AS61" i="3"/>
  <c r="J61" i="1" s="1"/>
  <c r="AG61" i="3"/>
  <c r="U61" i="3"/>
  <c r="AR61" i="3"/>
  <c r="AF61" i="3"/>
  <c r="T61" i="3"/>
  <c r="AQ61" i="3"/>
  <c r="AE61" i="3"/>
  <c r="S61" i="3"/>
  <c r="AP61" i="3"/>
  <c r="AD61" i="3"/>
  <c r="R61" i="3"/>
  <c r="AO61" i="3"/>
  <c r="AC61" i="3"/>
  <c r="Q61" i="3"/>
  <c r="Y61" i="3"/>
  <c r="X61" i="3"/>
  <c r="DG61" i="3"/>
  <c r="AN61" i="3"/>
  <c r="W61" i="3"/>
  <c r="AM61" i="3"/>
  <c r="V61" i="3"/>
  <c r="AL61" i="3"/>
  <c r="P61" i="3"/>
  <c r="AH63" i="3"/>
  <c r="DW67" i="3"/>
  <c r="AH69" i="3"/>
  <c r="V69" i="3"/>
  <c r="DG69" i="3"/>
  <c r="AS69" i="3"/>
  <c r="J69" i="1" s="1"/>
  <c r="AG69" i="3"/>
  <c r="U69" i="3"/>
  <c r="AR69" i="3"/>
  <c r="AF69" i="3"/>
  <c r="T69" i="3"/>
  <c r="AQ69" i="3"/>
  <c r="AE69" i="3"/>
  <c r="S69" i="3"/>
  <c r="AP69" i="3"/>
  <c r="AD69" i="3"/>
  <c r="R69" i="3"/>
  <c r="Y69" i="3"/>
  <c r="AO69" i="3"/>
  <c r="X69" i="3"/>
  <c r="AN69" i="3"/>
  <c r="W69" i="3"/>
  <c r="AM69" i="3"/>
  <c r="Q69" i="3"/>
  <c r="AL69" i="3"/>
  <c r="P69" i="3"/>
  <c r="AX69" i="3"/>
  <c r="AH77" i="3"/>
  <c r="DZ86" i="3"/>
  <c r="T90" i="3"/>
  <c r="X95" i="3"/>
  <c r="AE101" i="3"/>
  <c r="AJ102" i="3"/>
  <c r="AQ109" i="3"/>
  <c r="AE109" i="3"/>
  <c r="S109" i="3"/>
  <c r="DG109" i="3"/>
  <c r="AP109" i="3"/>
  <c r="AD109" i="3"/>
  <c r="R109" i="3"/>
  <c r="AO109" i="3"/>
  <c r="AC109" i="3"/>
  <c r="Q109" i="3"/>
  <c r="AN109" i="3"/>
  <c r="AB109" i="3"/>
  <c r="P109" i="3"/>
  <c r="AM109" i="3"/>
  <c r="AA109" i="3"/>
  <c r="O109" i="3"/>
  <c r="AF109" i="3"/>
  <c r="Z109" i="3"/>
  <c r="Y109" i="3"/>
  <c r="X109" i="3"/>
  <c r="AS109" i="3"/>
  <c r="J109" i="1" s="1"/>
  <c r="W109" i="3"/>
  <c r="AK109" i="3"/>
  <c r="AJ109" i="3"/>
  <c r="AI109" i="3"/>
  <c r="AH109" i="3"/>
  <c r="AG109" i="3"/>
  <c r="AJ121" i="3"/>
  <c r="X121" i="3"/>
  <c r="AI121" i="3"/>
  <c r="W121" i="3"/>
  <c r="AH121" i="3"/>
  <c r="V121" i="3"/>
  <c r="AS121" i="3"/>
  <c r="J121" i="1" s="1"/>
  <c r="AG121" i="3"/>
  <c r="U121" i="3"/>
  <c r="AR121" i="3"/>
  <c r="AF121" i="3"/>
  <c r="T121" i="3"/>
  <c r="AX121" i="3"/>
  <c r="AB121" i="3"/>
  <c r="DG121" i="3"/>
  <c r="AA121" i="3"/>
  <c r="AQ121" i="3"/>
  <c r="Z121" i="3"/>
  <c r="AP121" i="3"/>
  <c r="Y121" i="3"/>
  <c r="AO121" i="3"/>
  <c r="S121" i="3"/>
  <c r="AK121" i="3"/>
  <c r="AE121" i="3"/>
  <c r="AD121" i="3"/>
  <c r="AC121" i="3"/>
  <c r="R121" i="3"/>
  <c r="BA122" i="3"/>
  <c r="AX128" i="3"/>
  <c r="G128" i="3"/>
  <c r="AV121" i="3"/>
  <c r="DX137" i="3"/>
  <c r="AI51" i="3"/>
  <c r="G163" i="3"/>
  <c r="AX163" i="3"/>
  <c r="AW163" i="3"/>
  <c r="AL14" i="3"/>
  <c r="Z17" i="3"/>
  <c r="N39" i="3"/>
  <c r="N51" i="3"/>
  <c r="AN56" i="3"/>
  <c r="T63" i="3"/>
  <c r="S14" i="3"/>
  <c r="AE14" i="3"/>
  <c r="S17" i="3"/>
  <c r="AE17" i="3"/>
  <c r="AQ17" i="3"/>
  <c r="AL18" i="3"/>
  <c r="S19" i="3"/>
  <c r="AE19" i="3"/>
  <c r="DZ20" i="3"/>
  <c r="Y21" i="3"/>
  <c r="CO26" i="3"/>
  <c r="G29" i="3"/>
  <c r="W36" i="3"/>
  <c r="AS36" i="3"/>
  <c r="J36" i="1" s="1"/>
  <c r="S39" i="3"/>
  <c r="AO39" i="3"/>
  <c r="AJ42" i="3"/>
  <c r="X42" i="3"/>
  <c r="AI42" i="3"/>
  <c r="W42" i="3"/>
  <c r="AH42" i="3"/>
  <c r="V42" i="3"/>
  <c r="AS42" i="3"/>
  <c r="J42" i="1" s="1"/>
  <c r="AG42" i="3"/>
  <c r="U42" i="3"/>
  <c r="AR42" i="3"/>
  <c r="AF42" i="3"/>
  <c r="T42" i="3"/>
  <c r="AD42" i="3"/>
  <c r="AH44" i="3"/>
  <c r="V44" i="3"/>
  <c r="AS44" i="3"/>
  <c r="J44" i="1" s="1"/>
  <c r="AG44" i="3"/>
  <c r="U44" i="3"/>
  <c r="AR44" i="3"/>
  <c r="AF44" i="3"/>
  <c r="T44" i="3"/>
  <c r="AQ44" i="3"/>
  <c r="AE44" i="3"/>
  <c r="S44" i="3"/>
  <c r="DG44" i="3"/>
  <c r="AP44" i="3"/>
  <c r="AD44" i="3"/>
  <c r="R44" i="3"/>
  <c r="AI44" i="3"/>
  <c r="N49" i="3"/>
  <c r="AJ49" i="3"/>
  <c r="X51" i="3"/>
  <c r="DZ51" i="3"/>
  <c r="BD51" i="3"/>
  <c r="BA54" i="3"/>
  <c r="Z56" i="3"/>
  <c r="CP58" i="3"/>
  <c r="DX58" i="3"/>
  <c r="CR58" i="3"/>
  <c r="N61" i="3"/>
  <c r="AI63" i="3"/>
  <c r="DW65" i="3"/>
  <c r="DX67" i="3"/>
  <c r="N69" i="3"/>
  <c r="DI69" i="3"/>
  <c r="AX70" i="3"/>
  <c r="AW70" i="3"/>
  <c r="G70" i="3"/>
  <c r="BT70" i="3"/>
  <c r="AI77" i="3"/>
  <c r="AI82" i="3"/>
  <c r="W82" i="3"/>
  <c r="AH82" i="3"/>
  <c r="V82" i="3"/>
  <c r="AS82" i="3"/>
  <c r="J82" i="1" s="1"/>
  <c r="AG82" i="3"/>
  <c r="U82" i="3"/>
  <c r="AR82" i="3"/>
  <c r="AF82" i="3"/>
  <c r="T82" i="3"/>
  <c r="AQ82" i="3"/>
  <c r="AE82" i="3"/>
  <c r="S82" i="3"/>
  <c r="Z82" i="3"/>
  <c r="DG82" i="3"/>
  <c r="AP82" i="3"/>
  <c r="Y82" i="3"/>
  <c r="AO82" i="3"/>
  <c r="X82" i="3"/>
  <c r="AN82" i="3"/>
  <c r="R82" i="3"/>
  <c r="AM82" i="3"/>
  <c r="Q82" i="3"/>
  <c r="G84" i="3"/>
  <c r="AE90" i="3"/>
  <c r="Y95" i="3"/>
  <c r="AF101" i="3"/>
  <c r="AK102" i="3"/>
  <c r="DX102" i="3"/>
  <c r="CP102" i="3"/>
  <c r="CR103" i="3"/>
  <c r="CT103" i="3"/>
  <c r="CS103" i="3"/>
  <c r="N109" i="3"/>
  <c r="CO115" i="3"/>
  <c r="N121" i="3"/>
  <c r="AW133" i="3"/>
  <c r="DW143" i="3"/>
  <c r="EZ152" i="3"/>
  <c r="EV152" i="3"/>
  <c r="ES152" i="3"/>
  <c r="ET152" i="3" s="1"/>
  <c r="ER152" i="3"/>
  <c r="Y31" i="3"/>
  <c r="AK31" i="3"/>
  <c r="Y43" i="3"/>
  <c r="AK43" i="3"/>
  <c r="DW46" i="3"/>
  <c r="Y54" i="3"/>
  <c r="AK54" i="3"/>
  <c r="BK59" i="3"/>
  <c r="AU59" i="1"/>
  <c r="AW62" i="3"/>
  <c r="AJ68" i="3"/>
  <c r="X68" i="3"/>
  <c r="AI68" i="3"/>
  <c r="W68" i="3"/>
  <c r="AH68" i="3"/>
  <c r="V68" i="3"/>
  <c r="AS68" i="3"/>
  <c r="J68" i="1" s="1"/>
  <c r="AG68" i="3"/>
  <c r="U68" i="3"/>
  <c r="AR68" i="3"/>
  <c r="AF68" i="3"/>
  <c r="T68" i="3"/>
  <c r="AD68" i="3"/>
  <c r="AS76" i="3"/>
  <c r="J76" i="1" s="1"/>
  <c r="AG76" i="3"/>
  <c r="U76" i="3"/>
  <c r="AR76" i="3"/>
  <c r="AF76" i="3"/>
  <c r="T76" i="3"/>
  <c r="AQ76" i="3"/>
  <c r="AE76" i="3"/>
  <c r="S76" i="3"/>
  <c r="AP76" i="3"/>
  <c r="AD76" i="3"/>
  <c r="R76" i="3"/>
  <c r="AO76" i="3"/>
  <c r="AC76" i="3"/>
  <c r="Q76" i="3"/>
  <c r="AI76" i="3"/>
  <c r="AP84" i="3"/>
  <c r="AD84" i="3"/>
  <c r="R84" i="3"/>
  <c r="AO84" i="3"/>
  <c r="AC84" i="3"/>
  <c r="Q84" i="3"/>
  <c r="AN84" i="3"/>
  <c r="AB84" i="3"/>
  <c r="P84" i="3"/>
  <c r="AM84" i="3"/>
  <c r="AA84" i="3"/>
  <c r="O84" i="3"/>
  <c r="AL84" i="3"/>
  <c r="Z84" i="3"/>
  <c r="N84" i="3"/>
  <c r="AI84" i="3"/>
  <c r="AL92" i="3"/>
  <c r="AK94" i="3"/>
  <c r="AJ97" i="3"/>
  <c r="BO99" i="3"/>
  <c r="BN99" i="3"/>
  <c r="BM99" i="3"/>
  <c r="DI99" i="3" s="1"/>
  <c r="CR101" i="3"/>
  <c r="EU111" i="3"/>
  <c r="DY113" i="3"/>
  <c r="BU123" i="3"/>
  <c r="BT123" i="3"/>
  <c r="DZ135" i="3"/>
  <c r="DX143" i="3"/>
  <c r="X29" i="3"/>
  <c r="AJ29" i="3"/>
  <c r="N31" i="3"/>
  <c r="Z31" i="3"/>
  <c r="AL31" i="3"/>
  <c r="Y32" i="3"/>
  <c r="AK32" i="3"/>
  <c r="W33" i="3"/>
  <c r="AI33" i="3"/>
  <c r="W40" i="3"/>
  <c r="AI40" i="3"/>
  <c r="V41" i="3"/>
  <c r="AH41" i="3"/>
  <c r="N43" i="3"/>
  <c r="Z43" i="3"/>
  <c r="AL43" i="3"/>
  <c r="V46" i="3"/>
  <c r="AH46" i="3"/>
  <c r="W47" i="3"/>
  <c r="AI47" i="3"/>
  <c r="Y50" i="3"/>
  <c r="AK50" i="3"/>
  <c r="W52" i="3"/>
  <c r="AI52" i="3"/>
  <c r="N54" i="3"/>
  <c r="Z54" i="3"/>
  <c r="AL54" i="3"/>
  <c r="DS54" i="3"/>
  <c r="ES57" i="3"/>
  <c r="ET57" i="3" s="1"/>
  <c r="AX58" i="3"/>
  <c r="AW58" i="3"/>
  <c r="G58" i="3"/>
  <c r="EV59" i="3"/>
  <c r="AV59" i="1"/>
  <c r="AG62" i="3"/>
  <c r="AX62" i="3"/>
  <c r="AA66" i="3"/>
  <c r="AA67" i="3"/>
  <c r="N68" i="3"/>
  <c r="AE68" i="3"/>
  <c r="AS72" i="3"/>
  <c r="J72" i="1" s="1"/>
  <c r="AG72" i="3"/>
  <c r="U72" i="3"/>
  <c r="AR72" i="3"/>
  <c r="AF72" i="3"/>
  <c r="T72" i="3"/>
  <c r="AQ72" i="3"/>
  <c r="AE72" i="3"/>
  <c r="S72" i="3"/>
  <c r="AP72" i="3"/>
  <c r="AD72" i="3"/>
  <c r="R72" i="3"/>
  <c r="AO72" i="3"/>
  <c r="AC72" i="3"/>
  <c r="Q72" i="3"/>
  <c r="AI72" i="3"/>
  <c r="DW74" i="3"/>
  <c r="CS74" i="3"/>
  <c r="N76" i="3"/>
  <c r="AJ76" i="3"/>
  <c r="CO78" i="3"/>
  <c r="BA80" i="3"/>
  <c r="BK81" i="3"/>
  <c r="CO81" i="3"/>
  <c r="S84" i="3"/>
  <c r="AJ84" i="3"/>
  <c r="BK85" i="3"/>
  <c r="CO85" i="3"/>
  <c r="AU85" i="1"/>
  <c r="AX87" i="3"/>
  <c r="AW87" i="3"/>
  <c r="G87" i="3"/>
  <c r="AL94" i="3"/>
  <c r="AX99" i="3"/>
  <c r="AW99" i="3"/>
  <c r="G99" i="3"/>
  <c r="AI104" i="3"/>
  <c r="W104" i="3"/>
  <c r="AH104" i="3"/>
  <c r="V104" i="3"/>
  <c r="AS104" i="3"/>
  <c r="J104" i="1" s="1"/>
  <c r="AG104" i="3"/>
  <c r="U104" i="3"/>
  <c r="AR104" i="3"/>
  <c r="AF104" i="3"/>
  <c r="T104" i="3"/>
  <c r="AQ104" i="3"/>
  <c r="AE104" i="3"/>
  <c r="S104" i="3"/>
  <c r="AC104" i="3"/>
  <c r="AB104" i="3"/>
  <c r="AA104" i="3"/>
  <c r="Z104" i="3"/>
  <c r="DG104" i="3"/>
  <c r="AP104" i="3"/>
  <c r="Y104" i="3"/>
  <c r="AN104" i="3"/>
  <c r="DW110" i="3"/>
  <c r="DZ113" i="3"/>
  <c r="AR139" i="3"/>
  <c r="AF139" i="3"/>
  <c r="T139" i="3"/>
  <c r="AQ139" i="3"/>
  <c r="AE139" i="3"/>
  <c r="S139" i="3"/>
  <c r="DG139" i="3"/>
  <c r="AP139" i="3"/>
  <c r="AD139" i="3"/>
  <c r="R139" i="3"/>
  <c r="AO139" i="3"/>
  <c r="AC139" i="3"/>
  <c r="Q139" i="3"/>
  <c r="AN139" i="3"/>
  <c r="AB139" i="3"/>
  <c r="P139" i="3"/>
  <c r="Y139" i="3"/>
  <c r="X139" i="3"/>
  <c r="AS139" i="3"/>
  <c r="J139" i="1" s="1"/>
  <c r="W139" i="3"/>
  <c r="AM139" i="3"/>
  <c r="AW139" i="3" s="1"/>
  <c r="V139" i="3"/>
  <c r="AL139" i="3"/>
  <c r="U139" i="3"/>
  <c r="AJ139" i="3"/>
  <c r="AI139" i="3"/>
  <c r="AH139" i="3"/>
  <c r="AG139" i="3"/>
  <c r="AA139" i="3"/>
  <c r="AX141" i="3"/>
  <c r="AW141" i="3"/>
  <c r="G141" i="3"/>
  <c r="G158" i="3"/>
  <c r="AX158" i="3"/>
  <c r="AW158" i="3"/>
  <c r="Y29" i="3"/>
  <c r="AK29" i="3"/>
  <c r="O31" i="3"/>
  <c r="AA31" i="3"/>
  <c r="AM31" i="3"/>
  <c r="DG31" i="3"/>
  <c r="G33" i="3"/>
  <c r="G40" i="3"/>
  <c r="O43" i="3"/>
  <c r="AA43" i="3"/>
  <c r="AM43" i="3"/>
  <c r="DY46" i="3"/>
  <c r="G47" i="3"/>
  <c r="O54" i="3"/>
  <c r="AA54" i="3"/>
  <c r="AM54" i="3"/>
  <c r="DT54" i="3"/>
  <c r="AP64" i="3"/>
  <c r="AD64" i="3"/>
  <c r="R64" i="3"/>
  <c r="AO64" i="3"/>
  <c r="AC64" i="3"/>
  <c r="Q64" i="3"/>
  <c r="AN64" i="3"/>
  <c r="AB64" i="3"/>
  <c r="P64" i="3"/>
  <c r="DG64" i="3"/>
  <c r="AM64" i="3"/>
  <c r="AA64" i="3"/>
  <c r="O64" i="3"/>
  <c r="AL64" i="3"/>
  <c r="Z64" i="3"/>
  <c r="N64" i="3"/>
  <c r="AI64" i="3"/>
  <c r="O68" i="3"/>
  <c r="AK68" i="3"/>
  <c r="BK70" i="3"/>
  <c r="AW73" i="3"/>
  <c r="O76" i="3"/>
  <c r="AK76" i="3"/>
  <c r="T84" i="3"/>
  <c r="AK84" i="3"/>
  <c r="DW84" i="3"/>
  <c r="CP85" i="3"/>
  <c r="AV85" i="1"/>
  <c r="AH92" i="3"/>
  <c r="V92" i="3"/>
  <c r="AS92" i="3"/>
  <c r="J92" i="1" s="1"/>
  <c r="AG92" i="3"/>
  <c r="U92" i="3"/>
  <c r="AR92" i="3"/>
  <c r="AF92" i="3"/>
  <c r="T92" i="3"/>
  <c r="DG92" i="3"/>
  <c r="AQ92" i="3"/>
  <c r="AE92" i="3"/>
  <c r="S92" i="3"/>
  <c r="AP92" i="3"/>
  <c r="AD92" i="3"/>
  <c r="R92" i="3"/>
  <c r="DS92" i="3"/>
  <c r="AC92" i="3"/>
  <c r="AX92" i="3"/>
  <c r="AB92" i="3"/>
  <c r="AA92" i="3"/>
  <c r="Z92" i="3"/>
  <c r="Y92" i="3"/>
  <c r="AN92" i="3"/>
  <c r="AI103" i="3"/>
  <c r="W103" i="3"/>
  <c r="DT103" i="3"/>
  <c r="AH103" i="3"/>
  <c r="V103" i="3"/>
  <c r="DS103" i="3"/>
  <c r="AS103" i="3"/>
  <c r="J103" i="1" s="1"/>
  <c r="AG103" i="3"/>
  <c r="U103" i="3"/>
  <c r="AR103" i="3"/>
  <c r="AF103" i="3"/>
  <c r="T103" i="3"/>
  <c r="AQ103" i="3"/>
  <c r="AE103" i="3"/>
  <c r="S103" i="3"/>
  <c r="AN103" i="3"/>
  <c r="R103" i="3"/>
  <c r="AM103" i="3"/>
  <c r="Q103" i="3"/>
  <c r="AL103" i="3"/>
  <c r="P103" i="3"/>
  <c r="AK103" i="3"/>
  <c r="O103" i="3"/>
  <c r="DG103" i="3"/>
  <c r="AJ103" i="3"/>
  <c r="N103" i="3"/>
  <c r="AW105" i="3"/>
  <c r="DX110" i="3"/>
  <c r="AR120" i="3"/>
  <c r="AF120" i="3"/>
  <c r="T120" i="3"/>
  <c r="DG120" i="3"/>
  <c r="AQ120" i="3"/>
  <c r="AE120" i="3"/>
  <c r="S120" i="3"/>
  <c r="AP120" i="3"/>
  <c r="AD120" i="3"/>
  <c r="R120" i="3"/>
  <c r="DT120" i="3"/>
  <c r="AO120" i="3"/>
  <c r="AC120" i="3"/>
  <c r="Q120" i="3"/>
  <c r="DS120" i="3"/>
  <c r="AN120" i="3"/>
  <c r="AB120" i="3"/>
  <c r="P120" i="3"/>
  <c r="Z120" i="3"/>
  <c r="Y120" i="3"/>
  <c r="X120" i="3"/>
  <c r="AS120" i="3"/>
  <c r="J120" i="1" s="1"/>
  <c r="W120" i="3"/>
  <c r="AM120" i="3"/>
  <c r="V120" i="3"/>
  <c r="AR128" i="3"/>
  <c r="AF128" i="3"/>
  <c r="T128" i="3"/>
  <c r="DG128" i="3"/>
  <c r="AQ128" i="3"/>
  <c r="AE128" i="3"/>
  <c r="S128" i="3"/>
  <c r="AP128" i="3"/>
  <c r="AD128" i="3"/>
  <c r="R128" i="3"/>
  <c r="AO128" i="3"/>
  <c r="AC128" i="3"/>
  <c r="Q128" i="3"/>
  <c r="AN128" i="3"/>
  <c r="AB128" i="3"/>
  <c r="P128" i="3"/>
  <c r="AS128" i="3"/>
  <c r="J128" i="1" s="1"/>
  <c r="W128" i="3"/>
  <c r="AM128" i="3"/>
  <c r="V128" i="3"/>
  <c r="AL128" i="3"/>
  <c r="U128" i="3"/>
  <c r="AK128" i="3"/>
  <c r="O128" i="3"/>
  <c r="AJ128" i="3"/>
  <c r="N128" i="3"/>
  <c r="AQ133" i="3"/>
  <c r="AE133" i="3"/>
  <c r="S133" i="3"/>
  <c r="AP133" i="3"/>
  <c r="AD133" i="3"/>
  <c r="R133" i="3"/>
  <c r="AO133" i="3"/>
  <c r="AC133" i="3"/>
  <c r="Q133" i="3"/>
  <c r="AN133" i="3"/>
  <c r="AB133" i="3"/>
  <c r="P133" i="3"/>
  <c r="DG133" i="3"/>
  <c r="AM133" i="3"/>
  <c r="AA133" i="3"/>
  <c r="O133" i="3"/>
  <c r="X133" i="3"/>
  <c r="AS133" i="3"/>
  <c r="J133" i="1" s="1"/>
  <c r="W133" i="3"/>
  <c r="AR133" i="3"/>
  <c r="V133" i="3"/>
  <c r="AL133" i="3"/>
  <c r="U133" i="3"/>
  <c r="AK133" i="3"/>
  <c r="T133" i="3"/>
  <c r="AG133" i="3"/>
  <c r="AF133" i="3"/>
  <c r="Z133" i="3"/>
  <c r="Y133" i="3"/>
  <c r="N133" i="3"/>
  <c r="N139" i="3"/>
  <c r="DX166" i="3"/>
  <c r="DS29" i="3"/>
  <c r="P31" i="3"/>
  <c r="AB31" i="3"/>
  <c r="AN31" i="3"/>
  <c r="O32" i="3"/>
  <c r="AA32" i="3"/>
  <c r="AM32" i="3"/>
  <c r="DG32" i="3"/>
  <c r="Y33" i="3"/>
  <c r="AK33" i="3"/>
  <c r="AW33" i="3"/>
  <c r="AU35" i="1"/>
  <c r="Y40" i="3"/>
  <c r="AK40" i="3"/>
  <c r="AW40" i="3"/>
  <c r="P43" i="3"/>
  <c r="AB43" i="3"/>
  <c r="AN43" i="3"/>
  <c r="DS43" i="3"/>
  <c r="Y47" i="3"/>
  <c r="AK47" i="3"/>
  <c r="Y52" i="3"/>
  <c r="AK52" i="3"/>
  <c r="AW52" i="3"/>
  <c r="P54" i="3"/>
  <c r="AB54" i="3"/>
  <c r="AN54" i="3"/>
  <c r="AR62" i="3"/>
  <c r="AF62" i="3"/>
  <c r="T62" i="3"/>
  <c r="AQ62" i="3"/>
  <c r="AE62" i="3"/>
  <c r="S62" i="3"/>
  <c r="AP62" i="3"/>
  <c r="AD62" i="3"/>
  <c r="R62" i="3"/>
  <c r="AO62" i="3"/>
  <c r="AC62" i="3"/>
  <c r="Q62" i="3"/>
  <c r="AN62" i="3"/>
  <c r="AB62" i="3"/>
  <c r="P62" i="3"/>
  <c r="AI62" i="3"/>
  <c r="AX65" i="3"/>
  <c r="P68" i="3"/>
  <c r="AL68" i="3"/>
  <c r="BK68" i="3"/>
  <c r="CO68" i="3"/>
  <c r="P76" i="3"/>
  <c r="AL76" i="3"/>
  <c r="AW77" i="3"/>
  <c r="BK80" i="3"/>
  <c r="U84" i="3"/>
  <c r="AQ84" i="3"/>
  <c r="DX84" i="3"/>
  <c r="AH94" i="3"/>
  <c r="V94" i="3"/>
  <c r="AS94" i="3"/>
  <c r="J94" i="1" s="1"/>
  <c r="AG94" i="3"/>
  <c r="U94" i="3"/>
  <c r="AR94" i="3"/>
  <c r="AF94" i="3"/>
  <c r="T94" i="3"/>
  <c r="AQ94" i="3"/>
  <c r="AE94" i="3"/>
  <c r="S94" i="3"/>
  <c r="AP94" i="3"/>
  <c r="AD94" i="3"/>
  <c r="R94" i="3"/>
  <c r="AC94" i="3"/>
  <c r="AB94" i="3"/>
  <c r="AA94" i="3"/>
  <c r="Z94" i="3"/>
  <c r="Y94" i="3"/>
  <c r="AN94" i="3"/>
  <c r="AX98" i="3"/>
  <c r="AW98" i="3"/>
  <c r="G98" i="3"/>
  <c r="DW106" i="3"/>
  <c r="CS109" i="3"/>
  <c r="CO109" i="3"/>
  <c r="G113" i="3"/>
  <c r="AX113" i="3"/>
  <c r="BM125" i="3"/>
  <c r="AX126" i="3"/>
  <c r="AW126" i="3"/>
  <c r="G126" i="3"/>
  <c r="X128" i="3"/>
  <c r="AH133" i="3"/>
  <c r="O139" i="3"/>
  <c r="BK142" i="3"/>
  <c r="DW142" i="3"/>
  <c r="G143" i="3"/>
  <c r="DG158" i="3"/>
  <c r="AM158" i="3"/>
  <c r="AA158" i="3"/>
  <c r="O158" i="3"/>
  <c r="AJ158" i="3"/>
  <c r="X158" i="3"/>
  <c r="AG158" i="3"/>
  <c r="S158" i="3"/>
  <c r="AF158" i="3"/>
  <c r="R158" i="3"/>
  <c r="AS158" i="3"/>
  <c r="J158" i="1" s="1"/>
  <c r="AE158" i="3"/>
  <c r="Q158" i="3"/>
  <c r="AR158" i="3"/>
  <c r="AD158" i="3"/>
  <c r="P158" i="3"/>
  <c r="AQ158" i="3"/>
  <c r="AC158" i="3"/>
  <c r="N158" i="3"/>
  <c r="AB158" i="3"/>
  <c r="Z158" i="3"/>
  <c r="Y158" i="3"/>
  <c r="W158" i="3"/>
  <c r="V158" i="3"/>
  <c r="AK158" i="3"/>
  <c r="AI158" i="3"/>
  <c r="AH158" i="3"/>
  <c r="U158" i="3"/>
  <c r="T158" i="3"/>
  <c r="AP158" i="3"/>
  <c r="O29" i="3"/>
  <c r="AA29" i="3"/>
  <c r="AM29" i="3"/>
  <c r="AW29" i="3" s="1"/>
  <c r="Q31" i="3"/>
  <c r="AC31" i="3"/>
  <c r="P32" i="3"/>
  <c r="AB32" i="3"/>
  <c r="N33" i="3"/>
  <c r="Z33" i="3"/>
  <c r="N40" i="3"/>
  <c r="Z40" i="3"/>
  <c r="Y41" i="3"/>
  <c r="Q43" i="3"/>
  <c r="AC43" i="3"/>
  <c r="AO43" i="3"/>
  <c r="Y46" i="3"/>
  <c r="N47" i="3"/>
  <c r="Z47" i="3"/>
  <c r="N52" i="3"/>
  <c r="Z52" i="3"/>
  <c r="EY52" i="3"/>
  <c r="Q54" i="3"/>
  <c r="AC54" i="3"/>
  <c r="AO54" i="3"/>
  <c r="AH60" i="3"/>
  <c r="V60" i="3"/>
  <c r="AS60" i="3"/>
  <c r="J60" i="1" s="1"/>
  <c r="AG60" i="3"/>
  <c r="U60" i="3"/>
  <c r="AR60" i="3"/>
  <c r="AF60" i="3"/>
  <c r="T60" i="3"/>
  <c r="AQ60" i="3"/>
  <c r="AE60" i="3"/>
  <c r="S60" i="3"/>
  <c r="AP60" i="3"/>
  <c r="AD60" i="3"/>
  <c r="R60" i="3"/>
  <c r="AI60" i="3"/>
  <c r="N62" i="3"/>
  <c r="AJ62" i="3"/>
  <c r="T64" i="3"/>
  <c r="AK64" i="3"/>
  <c r="AJ66" i="3"/>
  <c r="X66" i="3"/>
  <c r="AI66" i="3"/>
  <c r="W66" i="3"/>
  <c r="AH66" i="3"/>
  <c r="V66" i="3"/>
  <c r="AS66" i="3"/>
  <c r="J66" i="1" s="1"/>
  <c r="AG66" i="3"/>
  <c r="U66" i="3"/>
  <c r="AR66" i="3"/>
  <c r="AF66" i="3"/>
  <c r="T66" i="3"/>
  <c r="AD66" i="3"/>
  <c r="AR67" i="3"/>
  <c r="AF67" i="3"/>
  <c r="T67" i="3"/>
  <c r="DG67" i="3"/>
  <c r="AQ67" i="3"/>
  <c r="AE67" i="3"/>
  <c r="S67" i="3"/>
  <c r="AP67" i="3"/>
  <c r="AD67" i="3"/>
  <c r="R67" i="3"/>
  <c r="DT67" i="3"/>
  <c r="AO67" i="3"/>
  <c r="AC67" i="3"/>
  <c r="Q67" i="3"/>
  <c r="DS67" i="3"/>
  <c r="AN67" i="3"/>
  <c r="AB67" i="3"/>
  <c r="P67" i="3"/>
  <c r="AI67" i="3"/>
  <c r="Q68" i="3"/>
  <c r="AM68" i="3"/>
  <c r="CR74" i="3"/>
  <c r="AI75" i="3"/>
  <c r="W75" i="3"/>
  <c r="AH75" i="3"/>
  <c r="V75" i="3"/>
  <c r="AS75" i="3"/>
  <c r="J75" i="1" s="1"/>
  <c r="AG75" i="3"/>
  <c r="U75" i="3"/>
  <c r="AR75" i="3"/>
  <c r="AF75" i="3"/>
  <c r="T75" i="3"/>
  <c r="AQ75" i="3"/>
  <c r="AE75" i="3"/>
  <c r="S75" i="3"/>
  <c r="AD75" i="3"/>
  <c r="V76" i="3"/>
  <c r="AM76" i="3"/>
  <c r="AS83" i="3"/>
  <c r="J83" i="1" s="1"/>
  <c r="AG83" i="3"/>
  <c r="U83" i="3"/>
  <c r="AR83" i="3"/>
  <c r="AF83" i="3"/>
  <c r="T83" i="3"/>
  <c r="AQ83" i="3"/>
  <c r="AE83" i="3"/>
  <c r="S83" i="3"/>
  <c r="AP83" i="3"/>
  <c r="AD83" i="3"/>
  <c r="R83" i="3"/>
  <c r="AO83" i="3"/>
  <c r="AC83" i="3"/>
  <c r="Q83" i="3"/>
  <c r="AI83" i="3"/>
  <c r="V84" i="3"/>
  <c r="AR84" i="3"/>
  <c r="DY84" i="3"/>
  <c r="EZ85" i="3"/>
  <c r="AT89" i="3"/>
  <c r="G90" i="3"/>
  <c r="AW90" i="3"/>
  <c r="O92" i="3"/>
  <c r="N94" i="3"/>
  <c r="AO94" i="3"/>
  <c r="G95" i="3"/>
  <c r="AR97" i="3"/>
  <c r="AF97" i="3"/>
  <c r="T97" i="3"/>
  <c r="AQ97" i="3"/>
  <c r="AE97" i="3"/>
  <c r="S97" i="3"/>
  <c r="AP97" i="3"/>
  <c r="AD97" i="3"/>
  <c r="R97" i="3"/>
  <c r="DG97" i="3"/>
  <c r="AO97" i="3"/>
  <c r="AC97" i="3"/>
  <c r="Q97" i="3"/>
  <c r="AN97" i="3"/>
  <c r="AB97" i="3"/>
  <c r="P97" i="3"/>
  <c r="Z97" i="3"/>
  <c r="Y97" i="3"/>
  <c r="X97" i="3"/>
  <c r="AS97" i="3"/>
  <c r="J97" i="1" s="1"/>
  <c r="W97" i="3"/>
  <c r="AM97" i="3"/>
  <c r="V97" i="3"/>
  <c r="G101" i="3"/>
  <c r="AW101" i="3"/>
  <c r="DX106" i="3"/>
  <c r="CS115" i="3"/>
  <c r="DW115" i="3"/>
  <c r="O120" i="3"/>
  <c r="AX123" i="3"/>
  <c r="AW123" i="3"/>
  <c r="G123" i="3"/>
  <c r="Y128" i="3"/>
  <c r="AI133" i="3"/>
  <c r="Z139" i="3"/>
  <c r="AH147" i="3"/>
  <c r="V147" i="3"/>
  <c r="AS147" i="3"/>
  <c r="J147" i="1" s="1"/>
  <c r="AG147" i="3"/>
  <c r="U147" i="3"/>
  <c r="AR147" i="3"/>
  <c r="AF147" i="3"/>
  <c r="T147" i="3"/>
  <c r="AQ147" i="3"/>
  <c r="AE147" i="3"/>
  <c r="S147" i="3"/>
  <c r="AP147" i="3"/>
  <c r="AD147" i="3"/>
  <c r="R147" i="3"/>
  <c r="AO147" i="3"/>
  <c r="X147" i="3"/>
  <c r="DG147" i="3"/>
  <c r="AN147" i="3"/>
  <c r="W147" i="3"/>
  <c r="AM147" i="3"/>
  <c r="Q147" i="3"/>
  <c r="AL147" i="3"/>
  <c r="P147" i="3"/>
  <c r="AK147" i="3"/>
  <c r="O147" i="3"/>
  <c r="AC147" i="3"/>
  <c r="AB147" i="3"/>
  <c r="AA147" i="3"/>
  <c r="Z147" i="3"/>
  <c r="Y147" i="3"/>
  <c r="AJ147" i="3"/>
  <c r="BK149" i="3"/>
  <c r="CO149" i="3"/>
  <c r="BA149" i="3"/>
  <c r="BA165" i="3"/>
  <c r="BK165" i="3"/>
  <c r="CO165" i="3"/>
  <c r="AX169" i="3"/>
  <c r="AW169" i="3"/>
  <c r="G169" i="3"/>
  <c r="DW183" i="3"/>
  <c r="BK183" i="3"/>
  <c r="AU183" i="1"/>
  <c r="Y57" i="3"/>
  <c r="AK57" i="3"/>
  <c r="X58" i="3"/>
  <c r="AJ58" i="3"/>
  <c r="DG58" i="3"/>
  <c r="W59" i="3"/>
  <c r="AI59" i="3"/>
  <c r="Y65" i="3"/>
  <c r="AK65" i="3"/>
  <c r="W70" i="3"/>
  <c r="AI70" i="3"/>
  <c r="V71" i="3"/>
  <c r="AH71" i="3"/>
  <c r="BA72" i="3"/>
  <c r="Y78" i="3"/>
  <c r="AK78" i="3"/>
  <c r="U81" i="3"/>
  <c r="AG81" i="3"/>
  <c r="AS81" i="3"/>
  <c r="J81" i="1" s="1"/>
  <c r="U85" i="3"/>
  <c r="AG85" i="3"/>
  <c r="AS85" i="3"/>
  <c r="J85" i="1" s="1"/>
  <c r="X88" i="3"/>
  <c r="AM88" i="3"/>
  <c r="Z89" i="3"/>
  <c r="DX90" i="3"/>
  <c r="BL90" i="3"/>
  <c r="BK91" i="3"/>
  <c r="CO91" i="3"/>
  <c r="BQ96" i="3"/>
  <c r="BK99" i="3"/>
  <c r="DZ106" i="3"/>
  <c r="CP109" i="3"/>
  <c r="CO112" i="3"/>
  <c r="AB113" i="3"/>
  <c r="AS116" i="3"/>
  <c r="J116" i="1" s="1"/>
  <c r="AG116" i="3"/>
  <c r="U116" i="3"/>
  <c r="AR116" i="3"/>
  <c r="AF116" i="3"/>
  <c r="T116" i="3"/>
  <c r="DG116" i="3"/>
  <c r="AQ116" i="3"/>
  <c r="AE116" i="3"/>
  <c r="S116" i="3"/>
  <c r="AP116" i="3"/>
  <c r="AD116" i="3"/>
  <c r="R116" i="3"/>
  <c r="AO116" i="3"/>
  <c r="AC116" i="3"/>
  <c r="Q116" i="3"/>
  <c r="AI116" i="3"/>
  <c r="AB119" i="3"/>
  <c r="Z122" i="3"/>
  <c r="BK123" i="3"/>
  <c r="CO123" i="3"/>
  <c r="ES123" i="3"/>
  <c r="ET123" i="3" s="1"/>
  <c r="AF125" i="3"/>
  <c r="AW125" i="3"/>
  <c r="DW128" i="3"/>
  <c r="AR131" i="3"/>
  <c r="AF131" i="3"/>
  <c r="T131" i="3"/>
  <c r="DG131" i="3"/>
  <c r="AQ131" i="3"/>
  <c r="AE131" i="3"/>
  <c r="S131" i="3"/>
  <c r="AP131" i="3"/>
  <c r="AD131" i="3"/>
  <c r="R131" i="3"/>
  <c r="DT131" i="3"/>
  <c r="AO131" i="3"/>
  <c r="AC131" i="3"/>
  <c r="Q131" i="3"/>
  <c r="DS131" i="3"/>
  <c r="AN131" i="3"/>
  <c r="AB131" i="3"/>
  <c r="P131" i="3"/>
  <c r="AS131" i="3"/>
  <c r="J131" i="1" s="1"/>
  <c r="W131" i="3"/>
  <c r="AM131" i="3"/>
  <c r="V131" i="3"/>
  <c r="AL131" i="3"/>
  <c r="U131" i="3"/>
  <c r="AK131" i="3"/>
  <c r="O131" i="3"/>
  <c r="AJ131" i="3"/>
  <c r="N131" i="3"/>
  <c r="BR134" i="3"/>
  <c r="BQ134" i="3"/>
  <c r="BP134" i="3"/>
  <c r="BU134" i="3"/>
  <c r="AK137" i="3"/>
  <c r="AO142" i="3"/>
  <c r="N57" i="3"/>
  <c r="Z57" i="3"/>
  <c r="AL57" i="3"/>
  <c r="Y58" i="3"/>
  <c r="AK58" i="3"/>
  <c r="X59" i="3"/>
  <c r="AJ59" i="3"/>
  <c r="N65" i="3"/>
  <c r="Z65" i="3"/>
  <c r="AL65" i="3"/>
  <c r="X70" i="3"/>
  <c r="AJ70" i="3"/>
  <c r="W71" i="3"/>
  <c r="AI71" i="3"/>
  <c r="N78" i="3"/>
  <c r="Z78" i="3"/>
  <c r="AL78" i="3"/>
  <c r="Y79" i="3"/>
  <c r="AK79" i="3"/>
  <c r="X80" i="3"/>
  <c r="AJ80" i="3"/>
  <c r="V81" i="3"/>
  <c r="AH81" i="3"/>
  <c r="V85" i="3"/>
  <c r="AH85" i="3"/>
  <c r="X87" i="3"/>
  <c r="AJ87" i="3"/>
  <c r="Y88" i="3"/>
  <c r="AN88" i="3"/>
  <c r="AA89" i="3"/>
  <c r="DY90" i="3"/>
  <c r="G93" i="3"/>
  <c r="CP95" i="3"/>
  <c r="EV96" i="3"/>
  <c r="ES96" i="3"/>
  <c r="ET96" i="3" s="1"/>
  <c r="AU99" i="1"/>
  <c r="AR105" i="3"/>
  <c r="AF105" i="3"/>
  <c r="T105" i="3"/>
  <c r="AQ105" i="3"/>
  <c r="AE105" i="3"/>
  <c r="S105" i="3"/>
  <c r="AP105" i="3"/>
  <c r="AD105" i="3"/>
  <c r="R105" i="3"/>
  <c r="DG105" i="3"/>
  <c r="AO105" i="3"/>
  <c r="AC105" i="3"/>
  <c r="Q105" i="3"/>
  <c r="AN105" i="3"/>
  <c r="AB105" i="3"/>
  <c r="P105" i="3"/>
  <c r="AI105" i="3"/>
  <c r="CT109" i="3"/>
  <c r="CQ109" i="3"/>
  <c r="N116" i="3"/>
  <c r="AJ116" i="3"/>
  <c r="BD116" i="3" s="1"/>
  <c r="AF122" i="3"/>
  <c r="BL123" i="3"/>
  <c r="CP123" i="3"/>
  <c r="DX128" i="3"/>
  <c r="X131" i="3"/>
  <c r="BS134" i="3"/>
  <c r="AD134" i="1" s="1"/>
  <c r="CO138" i="3"/>
  <c r="DX140" i="3"/>
  <c r="BK155" i="3"/>
  <c r="CO155" i="3"/>
  <c r="DZ167" i="3"/>
  <c r="O57" i="3"/>
  <c r="AA57" i="3"/>
  <c r="AM57" i="3"/>
  <c r="DG57" i="3"/>
  <c r="N58" i="3"/>
  <c r="Z58" i="3"/>
  <c r="AL58" i="3"/>
  <c r="Y59" i="3"/>
  <c r="AK59" i="3"/>
  <c r="O65" i="3"/>
  <c r="AA65" i="3"/>
  <c r="AM65" i="3"/>
  <c r="Y70" i="3"/>
  <c r="AK70" i="3"/>
  <c r="O78" i="3"/>
  <c r="AA78" i="3"/>
  <c r="AM78" i="3"/>
  <c r="DG78" i="3"/>
  <c r="N79" i="3"/>
  <c r="Z79" i="3"/>
  <c r="AL79" i="3"/>
  <c r="Y80" i="3"/>
  <c r="AK80" i="3"/>
  <c r="W81" i="3"/>
  <c r="AI81" i="3"/>
  <c r="W85" i="3"/>
  <c r="AI85" i="3"/>
  <c r="Y87" i="3"/>
  <c r="AK87" i="3"/>
  <c r="Z88" i="3"/>
  <c r="AO88" i="3"/>
  <c r="AG89" i="3"/>
  <c r="CS101" i="3"/>
  <c r="CO101" i="3"/>
  <c r="AS113" i="3"/>
  <c r="J113" i="1" s="1"/>
  <c r="AG113" i="3"/>
  <c r="U113" i="3"/>
  <c r="AR113" i="3"/>
  <c r="AF113" i="3"/>
  <c r="T113" i="3"/>
  <c r="DG113" i="3"/>
  <c r="AQ113" i="3"/>
  <c r="AE113" i="3"/>
  <c r="S113" i="3"/>
  <c r="AP113" i="3"/>
  <c r="AD113" i="3"/>
  <c r="R113" i="3"/>
  <c r="AO113" i="3"/>
  <c r="AC113" i="3"/>
  <c r="Q113" i="3"/>
  <c r="AI113" i="3"/>
  <c r="DX116" i="3"/>
  <c r="AS119" i="3"/>
  <c r="J119" i="1" s="1"/>
  <c r="AG119" i="3"/>
  <c r="U119" i="3"/>
  <c r="AR119" i="3"/>
  <c r="AF119" i="3"/>
  <c r="T119" i="3"/>
  <c r="AQ119" i="3"/>
  <c r="AE119" i="3"/>
  <c r="S119" i="3"/>
  <c r="AP119" i="3"/>
  <c r="AD119" i="3"/>
  <c r="R119" i="3"/>
  <c r="AO119" i="3"/>
  <c r="AC119" i="3"/>
  <c r="Q119" i="3"/>
  <c r="AI119" i="3"/>
  <c r="DY128" i="3"/>
  <c r="AX129" i="3"/>
  <c r="DY140" i="3"/>
  <c r="AH142" i="3"/>
  <c r="DG142" i="3"/>
  <c r="AQ142" i="3"/>
  <c r="AE142" i="3"/>
  <c r="S142" i="3"/>
  <c r="AJ142" i="3"/>
  <c r="V142" i="3"/>
  <c r="AI142" i="3"/>
  <c r="U142" i="3"/>
  <c r="AG142" i="3"/>
  <c r="T142" i="3"/>
  <c r="AF142" i="3"/>
  <c r="R142" i="3"/>
  <c r="AS142" i="3"/>
  <c r="J142" i="1" s="1"/>
  <c r="AD142" i="3"/>
  <c r="Q142" i="3"/>
  <c r="AB142" i="3"/>
  <c r="AA142" i="3"/>
  <c r="Z142" i="3"/>
  <c r="Y142" i="3"/>
  <c r="AR142" i="3"/>
  <c r="X142" i="3"/>
  <c r="DZ148" i="3"/>
  <c r="AR167" i="3"/>
  <c r="AF167" i="3"/>
  <c r="T167" i="3"/>
  <c r="DG167" i="3"/>
  <c r="AQ167" i="3"/>
  <c r="AE167" i="3"/>
  <c r="S167" i="3"/>
  <c r="AP167" i="3"/>
  <c r="AD167" i="3"/>
  <c r="R167" i="3"/>
  <c r="DT167" i="3"/>
  <c r="AO167" i="3"/>
  <c r="AC167" i="3"/>
  <c r="Q167" i="3"/>
  <c r="DS167" i="3"/>
  <c r="AN167" i="3"/>
  <c r="AB167" i="3"/>
  <c r="P167" i="3"/>
  <c r="AG167" i="3"/>
  <c r="AA167" i="3"/>
  <c r="Z167" i="3"/>
  <c r="Y167" i="3"/>
  <c r="X167" i="3"/>
  <c r="W167" i="3"/>
  <c r="V167" i="3"/>
  <c r="U167" i="3"/>
  <c r="O167" i="3"/>
  <c r="N167" i="3"/>
  <c r="AS167" i="3"/>
  <c r="J167" i="1" s="1"/>
  <c r="AM167" i="3"/>
  <c r="AX191" i="3"/>
  <c r="AW191" i="3"/>
  <c r="G191" i="3"/>
  <c r="P57" i="3"/>
  <c r="AB57" i="3"/>
  <c r="AN57" i="3"/>
  <c r="O58" i="3"/>
  <c r="AA58" i="3"/>
  <c r="AM58" i="3"/>
  <c r="N59" i="3"/>
  <c r="Z59" i="3"/>
  <c r="AL59" i="3"/>
  <c r="P65" i="3"/>
  <c r="AB65" i="3"/>
  <c r="AN65" i="3"/>
  <c r="N70" i="3"/>
  <c r="Z70" i="3"/>
  <c r="AL70" i="3"/>
  <c r="Y71" i="3"/>
  <c r="AK71" i="3"/>
  <c r="AW71" i="3"/>
  <c r="AU72" i="1"/>
  <c r="P78" i="3"/>
  <c r="AB78" i="3"/>
  <c r="AN78" i="3"/>
  <c r="O79" i="3"/>
  <c r="AA79" i="3"/>
  <c r="AM79" i="3"/>
  <c r="N80" i="3"/>
  <c r="Z80" i="3"/>
  <c r="X81" i="3"/>
  <c r="AJ81" i="3"/>
  <c r="X85" i="3"/>
  <c r="AJ85" i="3"/>
  <c r="N87" i="3"/>
  <c r="Z87" i="3"/>
  <c r="AA88" i="3"/>
  <c r="AR88" i="3"/>
  <c r="AU93" i="3"/>
  <c r="BA98" i="3"/>
  <c r="CP101" i="3"/>
  <c r="AX102" i="3"/>
  <c r="AJ111" i="3"/>
  <c r="X111" i="3"/>
  <c r="AI111" i="3"/>
  <c r="W111" i="3"/>
  <c r="AH111" i="3"/>
  <c r="V111" i="3"/>
  <c r="AS111" i="3"/>
  <c r="J111" i="1" s="1"/>
  <c r="AG111" i="3"/>
  <c r="U111" i="3"/>
  <c r="AR111" i="3"/>
  <c r="AT111" i="3" s="1"/>
  <c r="CY111" i="3" s="1"/>
  <c r="AF111" i="3"/>
  <c r="T111" i="3"/>
  <c r="AD111" i="3"/>
  <c r="N113" i="3"/>
  <c r="AJ113" i="3"/>
  <c r="AR115" i="3"/>
  <c r="AT115" i="3" s="1"/>
  <c r="CY115" i="3" s="1"/>
  <c r="AF115" i="3"/>
  <c r="T115" i="3"/>
  <c r="AQ115" i="3"/>
  <c r="AE115" i="3"/>
  <c r="S115" i="3"/>
  <c r="DG115" i="3"/>
  <c r="AP115" i="3"/>
  <c r="AD115" i="3"/>
  <c r="R115" i="3"/>
  <c r="AO115" i="3"/>
  <c r="AC115" i="3"/>
  <c r="Q115" i="3"/>
  <c r="AN115" i="3"/>
  <c r="AB115" i="3"/>
  <c r="P115" i="3"/>
  <c r="AI115" i="3"/>
  <c r="P116" i="3"/>
  <c r="AL116" i="3"/>
  <c r="DY116" i="3"/>
  <c r="N119" i="3"/>
  <c r="AJ119" i="3"/>
  <c r="AP125" i="3"/>
  <c r="AD125" i="3"/>
  <c r="R125" i="3"/>
  <c r="DG125" i="3"/>
  <c r="AO125" i="3"/>
  <c r="AC125" i="3"/>
  <c r="Q125" i="3"/>
  <c r="AN125" i="3"/>
  <c r="AB125" i="3"/>
  <c r="P125" i="3"/>
  <c r="AM125" i="3"/>
  <c r="AA125" i="3"/>
  <c r="O125" i="3"/>
  <c r="AL125" i="3"/>
  <c r="Z125" i="3"/>
  <c r="N125" i="3"/>
  <c r="AI125" i="3"/>
  <c r="BA125" i="3"/>
  <c r="CO125" i="3"/>
  <c r="AJ127" i="3"/>
  <c r="X127" i="3"/>
  <c r="AI127" i="3"/>
  <c r="W127" i="3"/>
  <c r="AH127" i="3"/>
  <c r="V127" i="3"/>
  <c r="AS127" i="3"/>
  <c r="J127" i="1" s="1"/>
  <c r="AG127" i="3"/>
  <c r="U127" i="3"/>
  <c r="AR127" i="3"/>
  <c r="AF127" i="3"/>
  <c r="T127" i="3"/>
  <c r="AD127" i="3"/>
  <c r="DZ128" i="3"/>
  <c r="Z131" i="3"/>
  <c r="AS137" i="3"/>
  <c r="J137" i="1" s="1"/>
  <c r="AG137" i="3"/>
  <c r="U137" i="3"/>
  <c r="AR137" i="3"/>
  <c r="AF137" i="3"/>
  <c r="T137" i="3"/>
  <c r="DG137" i="3"/>
  <c r="AQ137" i="3"/>
  <c r="AE137" i="3"/>
  <c r="S137" i="3"/>
  <c r="AP137" i="3"/>
  <c r="AD137" i="3"/>
  <c r="R137" i="3"/>
  <c r="DT137" i="3"/>
  <c r="AO137" i="3"/>
  <c r="AC137" i="3"/>
  <c r="Q137" i="3"/>
  <c r="AH137" i="3"/>
  <c r="DS137" i="3"/>
  <c r="AX137" i="3"/>
  <c r="AB137" i="3"/>
  <c r="AA137" i="3"/>
  <c r="Z137" i="3"/>
  <c r="Y137" i="3"/>
  <c r="AN137" i="3"/>
  <c r="DZ140" i="3"/>
  <c r="N142" i="3"/>
  <c r="AI144" i="3"/>
  <c r="W144" i="3"/>
  <c r="AH144" i="3"/>
  <c r="V144" i="3"/>
  <c r="AS144" i="3"/>
  <c r="J144" i="1" s="1"/>
  <c r="AG144" i="3"/>
  <c r="U144" i="3"/>
  <c r="AR144" i="3"/>
  <c r="AF144" i="3"/>
  <c r="T144" i="3"/>
  <c r="AQ144" i="3"/>
  <c r="AE144" i="3"/>
  <c r="S144" i="3"/>
  <c r="AB144" i="3"/>
  <c r="AA144" i="3"/>
  <c r="Z144" i="3"/>
  <c r="AP144" i="3"/>
  <c r="Y144" i="3"/>
  <c r="DG144" i="3"/>
  <c r="AO144" i="3"/>
  <c r="X144" i="3"/>
  <c r="AK144" i="3"/>
  <c r="AJ144" i="3"/>
  <c r="AD144" i="3"/>
  <c r="AC144" i="3"/>
  <c r="R144" i="3"/>
  <c r="G145" i="3"/>
  <c r="AX153" i="3"/>
  <c r="AW153" i="3"/>
  <c r="G153" i="3"/>
  <c r="AH167" i="3"/>
  <c r="BR201" i="3"/>
  <c r="BQ201" i="3"/>
  <c r="Q57" i="3"/>
  <c r="AC57" i="3"/>
  <c r="P58" i="3"/>
  <c r="AB58" i="3"/>
  <c r="O59" i="3"/>
  <c r="AA59" i="3"/>
  <c r="Q65" i="3"/>
  <c r="AC65" i="3"/>
  <c r="O70" i="3"/>
  <c r="AA70" i="3"/>
  <c r="AM70" i="3"/>
  <c r="Q78" i="3"/>
  <c r="AC78" i="3"/>
  <c r="Y81" i="3"/>
  <c r="Y85" i="3"/>
  <c r="AS88" i="3"/>
  <c r="J88" i="1" s="1"/>
  <c r="AG88" i="3"/>
  <c r="U88" i="3"/>
  <c r="AQ88" i="3"/>
  <c r="AE88" i="3"/>
  <c r="S88" i="3"/>
  <c r="AP88" i="3"/>
  <c r="AD88" i="3"/>
  <c r="R88" i="3"/>
  <c r="AB88" i="3"/>
  <c r="AR89" i="3"/>
  <c r="AF89" i="3"/>
  <c r="T89" i="3"/>
  <c r="AQ89" i="3"/>
  <c r="AE89" i="3"/>
  <c r="S89" i="3"/>
  <c r="AP89" i="3"/>
  <c r="AD89" i="3"/>
  <c r="R89" i="3"/>
  <c r="AO89" i="3"/>
  <c r="AC89" i="3"/>
  <c r="Q89" i="3"/>
  <c r="DG89" i="3"/>
  <c r="AN89" i="3"/>
  <c r="AB89" i="3"/>
  <c r="P89" i="3"/>
  <c r="AI89" i="3"/>
  <c r="AX96" i="3"/>
  <c r="AW96" i="3"/>
  <c r="G96" i="3"/>
  <c r="BU96" i="3"/>
  <c r="BT96" i="3"/>
  <c r="BS96" i="3"/>
  <c r="AD96" i="1" s="1"/>
  <c r="DY112" i="3"/>
  <c r="O113" i="3"/>
  <c r="AK113" i="3"/>
  <c r="DX113" i="3"/>
  <c r="DZ116" i="3"/>
  <c r="O119" i="3"/>
  <c r="AK119" i="3"/>
  <c r="AQ122" i="3"/>
  <c r="AE122" i="3"/>
  <c r="S122" i="3"/>
  <c r="DG122" i="3"/>
  <c r="AP122" i="3"/>
  <c r="AD122" i="3"/>
  <c r="R122" i="3"/>
  <c r="AO122" i="3"/>
  <c r="AC122" i="3"/>
  <c r="Q122" i="3"/>
  <c r="AN122" i="3"/>
  <c r="AB122" i="3"/>
  <c r="P122" i="3"/>
  <c r="AM122" i="3"/>
  <c r="AA122" i="3"/>
  <c r="O122" i="3"/>
  <c r="AI122" i="3"/>
  <c r="DO123" i="3"/>
  <c r="BL125" i="3"/>
  <c r="CP125" i="3"/>
  <c r="G129" i="3"/>
  <c r="O142" i="3"/>
  <c r="DW166" i="3"/>
  <c r="AI167" i="3"/>
  <c r="AT169" i="3"/>
  <c r="AU169" i="3"/>
  <c r="AV169" i="3"/>
  <c r="Y98" i="3"/>
  <c r="AK98" i="3"/>
  <c r="Y106" i="3"/>
  <c r="AK106" i="3"/>
  <c r="AO129" i="3"/>
  <c r="AC129" i="3"/>
  <c r="AN129" i="3"/>
  <c r="AB129" i="3"/>
  <c r="P129" i="3"/>
  <c r="AM129" i="3"/>
  <c r="AA129" i="3"/>
  <c r="O129" i="3"/>
  <c r="AD129" i="3"/>
  <c r="AS129" i="3"/>
  <c r="J129" i="1" s="1"/>
  <c r="AI130" i="3"/>
  <c r="W130" i="3"/>
  <c r="AH130" i="3"/>
  <c r="V130" i="3"/>
  <c r="AS130" i="3"/>
  <c r="J130" i="1" s="1"/>
  <c r="AG130" i="3"/>
  <c r="U130" i="3"/>
  <c r="AR130" i="3"/>
  <c r="AF130" i="3"/>
  <c r="T130" i="3"/>
  <c r="AQ130" i="3"/>
  <c r="AE130" i="3"/>
  <c r="S130" i="3"/>
  <c r="AD130" i="3"/>
  <c r="DW131" i="3"/>
  <c r="AF134" i="3"/>
  <c r="AW134" i="3"/>
  <c r="CS139" i="3"/>
  <c r="Z140" i="3"/>
  <c r="AE151" i="3"/>
  <c r="BK151" i="3"/>
  <c r="CO151" i="3"/>
  <c r="BK158" i="3"/>
  <c r="CO158" i="3"/>
  <c r="BA158" i="3"/>
  <c r="CO169" i="3"/>
  <c r="BK169" i="3"/>
  <c r="DZ189" i="3"/>
  <c r="BA89" i="3"/>
  <c r="V91" i="3"/>
  <c r="AH91" i="3"/>
  <c r="X93" i="3"/>
  <c r="AJ93" i="3"/>
  <c r="X96" i="3"/>
  <c r="AJ96" i="3"/>
  <c r="N98" i="3"/>
  <c r="Z98" i="3"/>
  <c r="AL98" i="3"/>
  <c r="X99" i="3"/>
  <c r="AJ99" i="3"/>
  <c r="W100" i="3"/>
  <c r="AI100" i="3"/>
  <c r="CS102" i="3"/>
  <c r="N106" i="3"/>
  <c r="Z106" i="3"/>
  <c r="AL106" i="3"/>
  <c r="W107" i="3"/>
  <c r="AI107" i="3"/>
  <c r="V108" i="3"/>
  <c r="AH108" i="3"/>
  <c r="X112" i="3"/>
  <c r="AJ112" i="3"/>
  <c r="X114" i="3"/>
  <c r="AJ114" i="3"/>
  <c r="Y117" i="3"/>
  <c r="AK117" i="3"/>
  <c r="N129" i="3"/>
  <c r="AE129" i="3"/>
  <c r="N130" i="3"/>
  <c r="AJ130" i="3"/>
  <c r="DX131" i="3"/>
  <c r="AG134" i="3"/>
  <c r="CO134" i="3"/>
  <c r="AA140" i="3"/>
  <c r="AW140" i="3"/>
  <c r="EZ149" i="3"/>
  <c r="R149" i="1" s="1"/>
  <c r="ES149" i="3"/>
  <c r="AK151" i="3"/>
  <c r="AS153" i="3"/>
  <c r="J153" i="1" s="1"/>
  <c r="AG153" i="3"/>
  <c r="U153" i="3"/>
  <c r="AR153" i="3"/>
  <c r="AF153" i="3"/>
  <c r="T153" i="3"/>
  <c r="AQ153" i="3"/>
  <c r="AE153" i="3"/>
  <c r="S153" i="3"/>
  <c r="AP153" i="3"/>
  <c r="AD153" i="3"/>
  <c r="R153" i="3"/>
  <c r="AO153" i="3"/>
  <c r="AC153" i="3"/>
  <c r="Q153" i="3"/>
  <c r="Z153" i="3"/>
  <c r="Y153" i="3"/>
  <c r="DG153" i="3"/>
  <c r="X153" i="3"/>
  <c r="AN153" i="3"/>
  <c r="W153" i="3"/>
  <c r="AM153" i="3"/>
  <c r="V153" i="3"/>
  <c r="DW154" i="3"/>
  <c r="DM154" i="3"/>
  <c r="CO154" i="3"/>
  <c r="AR163" i="3"/>
  <c r="AF163" i="3"/>
  <c r="T163" i="3"/>
  <c r="AQ163" i="3"/>
  <c r="AE163" i="3"/>
  <c r="S163" i="3"/>
  <c r="AP163" i="3"/>
  <c r="AD163" i="3"/>
  <c r="R163" i="3"/>
  <c r="AO163" i="3"/>
  <c r="AC163" i="3"/>
  <c r="Q163" i="3"/>
  <c r="AN163" i="3"/>
  <c r="AB163" i="3"/>
  <c r="P163" i="3"/>
  <c r="X163" i="3"/>
  <c r="AS163" i="3"/>
  <c r="J163" i="1" s="1"/>
  <c r="W163" i="3"/>
  <c r="AM163" i="3"/>
  <c r="V163" i="3"/>
  <c r="DG163" i="3"/>
  <c r="AL163" i="3"/>
  <c r="U163" i="3"/>
  <c r="AK163" i="3"/>
  <c r="O163" i="3"/>
  <c r="AI163" i="3"/>
  <c r="AH163" i="3"/>
  <c r="AG163" i="3"/>
  <c r="AA163" i="3"/>
  <c r="Z163" i="3"/>
  <c r="AX179" i="3"/>
  <c r="AW179" i="3"/>
  <c r="G179" i="3"/>
  <c r="W91" i="3"/>
  <c r="AI91" i="3"/>
  <c r="Y93" i="3"/>
  <c r="AK93" i="3"/>
  <c r="Y96" i="3"/>
  <c r="AK96" i="3"/>
  <c r="O98" i="3"/>
  <c r="AA98" i="3"/>
  <c r="AM98" i="3"/>
  <c r="Y99" i="3"/>
  <c r="AK99" i="3"/>
  <c r="G100" i="3"/>
  <c r="X100" i="3"/>
  <c r="AJ100" i="3"/>
  <c r="AU104" i="1"/>
  <c r="O106" i="3"/>
  <c r="AA106" i="3"/>
  <c r="AM106" i="3"/>
  <c r="G107" i="3"/>
  <c r="X107" i="3"/>
  <c r="AJ107" i="3"/>
  <c r="W108" i="3"/>
  <c r="AI108" i="3"/>
  <c r="Y112" i="3"/>
  <c r="Y114" i="3"/>
  <c r="AK114" i="3"/>
  <c r="Y123" i="3"/>
  <c r="Y126" i="3"/>
  <c r="Q129" i="3"/>
  <c r="AF129" i="3"/>
  <c r="O130" i="3"/>
  <c r="AK130" i="3"/>
  <c r="DY131" i="3"/>
  <c r="G134" i="3"/>
  <c r="DW135" i="3"/>
  <c r="BK135" i="3"/>
  <c r="CT139" i="3"/>
  <c r="CQ139" i="3"/>
  <c r="AL151" i="3"/>
  <c r="N153" i="3"/>
  <c r="DX154" i="3"/>
  <c r="CP154" i="3"/>
  <c r="DY157" i="3"/>
  <c r="AI160" i="3"/>
  <c r="W160" i="3"/>
  <c r="AH160" i="3"/>
  <c r="V160" i="3"/>
  <c r="AS160" i="3"/>
  <c r="J160" i="1" s="1"/>
  <c r="AG160" i="3"/>
  <c r="U160" i="3"/>
  <c r="AR160" i="3"/>
  <c r="AF160" i="3"/>
  <c r="T160" i="3"/>
  <c r="AP160" i="3"/>
  <c r="Z160" i="3"/>
  <c r="AO160" i="3"/>
  <c r="Y160" i="3"/>
  <c r="AN160" i="3"/>
  <c r="X160" i="3"/>
  <c r="AM160" i="3"/>
  <c r="S160" i="3"/>
  <c r="AL160" i="3"/>
  <c r="R160" i="3"/>
  <c r="AD160" i="3"/>
  <c r="AC160" i="3"/>
  <c r="AB160" i="3"/>
  <c r="AA160" i="3"/>
  <c r="Q160" i="3"/>
  <c r="N163" i="3"/>
  <c r="AL169" i="3"/>
  <c r="AH169" i="3"/>
  <c r="AF169" i="3"/>
  <c r="T169" i="3"/>
  <c r="AS169" i="3"/>
  <c r="J169" i="1" s="1"/>
  <c r="AE169" i="3"/>
  <c r="S169" i="3"/>
  <c r="AR169" i="3"/>
  <c r="AD169" i="3"/>
  <c r="R169" i="3"/>
  <c r="AQ169" i="3"/>
  <c r="AC169" i="3"/>
  <c r="Q169" i="3"/>
  <c r="AP169" i="3"/>
  <c r="AB169" i="3"/>
  <c r="P169" i="3"/>
  <c r="Z169" i="3"/>
  <c r="Y169" i="3"/>
  <c r="X169" i="3"/>
  <c r="W169" i="3"/>
  <c r="AO169" i="3"/>
  <c r="V169" i="3"/>
  <c r="AK169" i="3"/>
  <c r="AJ169" i="3"/>
  <c r="AI169" i="3"/>
  <c r="AG169" i="3"/>
  <c r="AA169" i="3"/>
  <c r="X91" i="3"/>
  <c r="AJ91" i="3"/>
  <c r="N93" i="3"/>
  <c r="Z93" i="3"/>
  <c r="AL93" i="3"/>
  <c r="AU94" i="1"/>
  <c r="N96" i="3"/>
  <c r="Z96" i="3"/>
  <c r="AL96" i="3"/>
  <c r="P98" i="3"/>
  <c r="AB98" i="3"/>
  <c r="AN98" i="3"/>
  <c r="DG98" i="3"/>
  <c r="N99" i="3"/>
  <c r="Z99" i="3"/>
  <c r="AL99" i="3"/>
  <c r="Y100" i="3"/>
  <c r="AK100" i="3"/>
  <c r="AW100" i="3"/>
  <c r="P106" i="3"/>
  <c r="AB106" i="3"/>
  <c r="AN106" i="3"/>
  <c r="Y107" i="3"/>
  <c r="AK107" i="3"/>
  <c r="AW107" i="3"/>
  <c r="G108" i="3"/>
  <c r="X108" i="3"/>
  <c r="AJ108" i="3"/>
  <c r="CO118" i="3"/>
  <c r="R129" i="3"/>
  <c r="AG129" i="3"/>
  <c r="P130" i="3"/>
  <c r="AL130" i="3"/>
  <c r="AP134" i="3"/>
  <c r="AD134" i="3"/>
  <c r="R134" i="3"/>
  <c r="AO134" i="3"/>
  <c r="AC134" i="3"/>
  <c r="Q134" i="3"/>
  <c r="AN134" i="3"/>
  <c r="AB134" i="3"/>
  <c r="P134" i="3"/>
  <c r="DG134" i="3"/>
  <c r="AM134" i="3"/>
  <c r="AA134" i="3"/>
  <c r="O134" i="3"/>
  <c r="AL134" i="3"/>
  <c r="Z134" i="3"/>
  <c r="N134" i="3"/>
  <c r="AI134" i="3"/>
  <c r="DX135" i="3"/>
  <c r="BL135" i="3"/>
  <c r="CR139" i="3"/>
  <c r="AV150" i="3"/>
  <c r="BK150" i="3"/>
  <c r="CO150" i="3"/>
  <c r="DY154" i="3"/>
  <c r="CQ154" i="3"/>
  <c r="DN154" i="3"/>
  <c r="DZ157" i="3"/>
  <c r="Y163" i="3"/>
  <c r="Y91" i="3"/>
  <c r="O93" i="3"/>
  <c r="AA93" i="3"/>
  <c r="O96" i="3"/>
  <c r="AA96" i="3"/>
  <c r="Q98" i="3"/>
  <c r="AC98" i="3"/>
  <c r="O99" i="3"/>
  <c r="AA99" i="3"/>
  <c r="AM99" i="3"/>
  <c r="N100" i="3"/>
  <c r="Z100" i="3"/>
  <c r="Q106" i="3"/>
  <c r="AC106" i="3"/>
  <c r="AO106" i="3"/>
  <c r="N107" i="3"/>
  <c r="Z107" i="3"/>
  <c r="Y108" i="3"/>
  <c r="AA114" i="3"/>
  <c r="S129" i="3"/>
  <c r="AH129" i="3"/>
  <c r="Q130" i="3"/>
  <c r="AM130" i="3"/>
  <c r="S134" i="3"/>
  <c r="AJ134" i="3"/>
  <c r="AX135" i="3"/>
  <c r="AW135" i="3"/>
  <c r="AS140" i="3"/>
  <c r="J140" i="1" s="1"/>
  <c r="AG140" i="3"/>
  <c r="U140" i="3"/>
  <c r="AR140" i="3"/>
  <c r="AF140" i="3"/>
  <c r="T140" i="3"/>
  <c r="DG140" i="3"/>
  <c r="AQ140" i="3"/>
  <c r="AE140" i="3"/>
  <c r="S140" i="3"/>
  <c r="AP140" i="3"/>
  <c r="AD140" i="3"/>
  <c r="R140" i="3"/>
  <c r="AO140" i="3"/>
  <c r="AC140" i="3"/>
  <c r="Q140" i="3"/>
  <c r="AI140" i="3"/>
  <c r="AX142" i="3"/>
  <c r="AW142" i="3"/>
  <c r="AX149" i="3"/>
  <c r="AW149" i="3"/>
  <c r="G149" i="3"/>
  <c r="AJ151" i="3"/>
  <c r="X151" i="3"/>
  <c r="AI151" i="3"/>
  <c r="W151" i="3"/>
  <c r="AH151" i="3"/>
  <c r="V151" i="3"/>
  <c r="AS151" i="3"/>
  <c r="J151" i="1" s="1"/>
  <c r="AG151" i="3"/>
  <c r="U151" i="3"/>
  <c r="AR151" i="3"/>
  <c r="AF151" i="3"/>
  <c r="T151" i="3"/>
  <c r="AC151" i="3"/>
  <c r="AB151" i="3"/>
  <c r="AA151" i="3"/>
  <c r="AQ151" i="3"/>
  <c r="Z151" i="3"/>
  <c r="AP151" i="3"/>
  <c r="Y151" i="3"/>
  <c r="AN151" i="3"/>
  <c r="DZ154" i="3"/>
  <c r="CR154" i="3"/>
  <c r="U132" i="3"/>
  <c r="AG132" i="3"/>
  <c r="AS132" i="3"/>
  <c r="J132" i="1" s="1"/>
  <c r="Y135" i="3"/>
  <c r="AK135" i="3"/>
  <c r="V138" i="3"/>
  <c r="AH138" i="3"/>
  <c r="X141" i="3"/>
  <c r="AJ141" i="3"/>
  <c r="AH145" i="3"/>
  <c r="AA146" i="3"/>
  <c r="Z148" i="3"/>
  <c r="AF154" i="3"/>
  <c r="DI160" i="3"/>
  <c r="DZ161" i="3"/>
  <c r="BA162" i="3"/>
  <c r="DX183" i="3"/>
  <c r="BL183" i="3"/>
  <c r="BA213" i="3"/>
  <c r="CO213" i="3"/>
  <c r="V132" i="3"/>
  <c r="AH132" i="3"/>
  <c r="N135" i="3"/>
  <c r="Z135" i="3"/>
  <c r="AL135" i="3"/>
  <c r="W138" i="3"/>
  <c r="AI138" i="3"/>
  <c r="Y141" i="3"/>
  <c r="AS145" i="3"/>
  <c r="J145" i="1" s="1"/>
  <c r="AG145" i="3"/>
  <c r="U145" i="3"/>
  <c r="AR145" i="3"/>
  <c r="AF145" i="3"/>
  <c r="T145" i="3"/>
  <c r="AQ145" i="3"/>
  <c r="AE145" i="3"/>
  <c r="S145" i="3"/>
  <c r="AP145" i="3"/>
  <c r="AD145" i="3"/>
  <c r="R145" i="3"/>
  <c r="AO145" i="3"/>
  <c r="AC145" i="3"/>
  <c r="Q145" i="3"/>
  <c r="AI145" i="3"/>
  <c r="AB146" i="3"/>
  <c r="AA148" i="3"/>
  <c r="AI152" i="3"/>
  <c r="W152" i="3"/>
  <c r="AH152" i="3"/>
  <c r="V152" i="3"/>
  <c r="AS152" i="3"/>
  <c r="J152" i="1" s="1"/>
  <c r="AG152" i="3"/>
  <c r="U152" i="3"/>
  <c r="AR152" i="3"/>
  <c r="AF152" i="3"/>
  <c r="T152" i="3"/>
  <c r="AQ152" i="3"/>
  <c r="AE152" i="3"/>
  <c r="S152" i="3"/>
  <c r="AD152" i="3"/>
  <c r="DY156" i="3"/>
  <c r="DJ160" i="3"/>
  <c r="AW177" i="3"/>
  <c r="EZ179" i="3"/>
  <c r="AU130" i="1"/>
  <c r="W132" i="3"/>
  <c r="AI132" i="3"/>
  <c r="AA135" i="3"/>
  <c r="AM135" i="3"/>
  <c r="G138" i="3"/>
  <c r="X138" i="3"/>
  <c r="AJ138" i="3"/>
  <c r="AB148" i="3"/>
  <c r="AX148" i="3"/>
  <c r="DS148" i="3"/>
  <c r="DZ156" i="3"/>
  <c r="DW167" i="3"/>
  <c r="G170" i="3"/>
  <c r="AX170" i="3"/>
  <c r="AW170" i="3"/>
  <c r="X132" i="3"/>
  <c r="AJ132" i="3"/>
  <c r="P135" i="3"/>
  <c r="AB135" i="3"/>
  <c r="Y138" i="3"/>
  <c r="AI146" i="3"/>
  <c r="W146" i="3"/>
  <c r="AH146" i="3"/>
  <c r="V146" i="3"/>
  <c r="AS146" i="3"/>
  <c r="J146" i="1" s="1"/>
  <c r="AG146" i="3"/>
  <c r="U146" i="3"/>
  <c r="AR146" i="3"/>
  <c r="AF146" i="3"/>
  <c r="T146" i="3"/>
  <c r="AQ146" i="3"/>
  <c r="AE146" i="3"/>
  <c r="S146" i="3"/>
  <c r="AD146" i="3"/>
  <c r="AH148" i="3"/>
  <c r="O152" i="3"/>
  <c r="AK152" i="3"/>
  <c r="DG154" i="3"/>
  <c r="AQ154" i="3"/>
  <c r="AE154" i="3"/>
  <c r="S154" i="3"/>
  <c r="AP154" i="3"/>
  <c r="AD154" i="3"/>
  <c r="R154" i="3"/>
  <c r="AO154" i="3"/>
  <c r="AC154" i="3"/>
  <c r="Q154" i="3"/>
  <c r="AN154" i="3"/>
  <c r="AB154" i="3"/>
  <c r="P154" i="3"/>
  <c r="AM154" i="3"/>
  <c r="AA154" i="3"/>
  <c r="O154" i="3"/>
  <c r="AI154" i="3"/>
  <c r="CO162" i="3"/>
  <c r="AX165" i="3"/>
  <c r="AW165" i="3"/>
  <c r="DX167" i="3"/>
  <c r="G177" i="3"/>
  <c r="BK205" i="3"/>
  <c r="BA205" i="3"/>
  <c r="DW205" i="3"/>
  <c r="AU205" i="1"/>
  <c r="Y132" i="3"/>
  <c r="AS148" i="3"/>
  <c r="J148" i="1" s="1"/>
  <c r="AG148" i="3"/>
  <c r="U148" i="3"/>
  <c r="AR148" i="3"/>
  <c r="AF148" i="3"/>
  <c r="T148" i="3"/>
  <c r="AQ148" i="3"/>
  <c r="AE148" i="3"/>
  <c r="S148" i="3"/>
  <c r="AP148" i="3"/>
  <c r="AD148" i="3"/>
  <c r="R148" i="3"/>
  <c r="DG148" i="3"/>
  <c r="AO148" i="3"/>
  <c r="AC148" i="3"/>
  <c r="Q148" i="3"/>
  <c r="AI148" i="3"/>
  <c r="DY167" i="3"/>
  <c r="AP177" i="3"/>
  <c r="AD177" i="3"/>
  <c r="R177" i="3"/>
  <c r="AN177" i="3"/>
  <c r="AB177" i="3"/>
  <c r="P177" i="3"/>
  <c r="DG177" i="3"/>
  <c r="AM177" i="3"/>
  <c r="AA177" i="3"/>
  <c r="O177" i="3"/>
  <c r="AL177" i="3"/>
  <c r="Z177" i="3"/>
  <c r="N177" i="3"/>
  <c r="AS177" i="3"/>
  <c r="J177" i="1" s="1"/>
  <c r="Y177" i="3"/>
  <c r="AR177" i="3"/>
  <c r="X177" i="3"/>
  <c r="AQ177" i="3"/>
  <c r="W177" i="3"/>
  <c r="AO177" i="3"/>
  <c r="V177" i="3"/>
  <c r="AK177" i="3"/>
  <c r="U177" i="3"/>
  <c r="AH177" i="3"/>
  <c r="AG177" i="3"/>
  <c r="AF177" i="3"/>
  <c r="AE177" i="3"/>
  <c r="AC177" i="3"/>
  <c r="G186" i="3"/>
  <c r="AW186" i="3"/>
  <c r="CS186" i="3"/>
  <c r="DM186" i="3"/>
  <c r="CP186" i="3"/>
  <c r="BC147" i="3"/>
  <c r="DT156" i="3"/>
  <c r="AO156" i="3"/>
  <c r="AC156" i="3"/>
  <c r="Q156" i="3"/>
  <c r="Z156" i="3"/>
  <c r="AM156" i="3"/>
  <c r="DG156" i="3"/>
  <c r="AH157" i="3"/>
  <c r="V157" i="3"/>
  <c r="DG157" i="3"/>
  <c r="Z157" i="3"/>
  <c r="AM157" i="3"/>
  <c r="ES159" i="3"/>
  <c r="ET159" i="3" s="1"/>
  <c r="DY162" i="3"/>
  <c r="AX178" i="3"/>
  <c r="AW178" i="3"/>
  <c r="AH180" i="3"/>
  <c r="V180" i="3"/>
  <c r="AS180" i="3"/>
  <c r="J180" i="1" s="1"/>
  <c r="AG180" i="3"/>
  <c r="U180" i="3"/>
  <c r="AR180" i="3"/>
  <c r="AF180" i="3"/>
  <c r="T180" i="3"/>
  <c r="AQ180" i="3"/>
  <c r="AE180" i="3"/>
  <c r="S180" i="3"/>
  <c r="AP180" i="3"/>
  <c r="AD180" i="3"/>
  <c r="R180" i="3"/>
  <c r="Z180" i="3"/>
  <c r="Y180" i="3"/>
  <c r="DG180" i="3"/>
  <c r="AO180" i="3"/>
  <c r="X180" i="3"/>
  <c r="AN180" i="3"/>
  <c r="W180" i="3"/>
  <c r="AM180" i="3"/>
  <c r="Q180" i="3"/>
  <c r="AX180" i="3"/>
  <c r="DG183" i="3"/>
  <c r="AQ183" i="3"/>
  <c r="AE183" i="3"/>
  <c r="S183" i="3"/>
  <c r="AP183" i="3"/>
  <c r="AD183" i="3"/>
  <c r="R183" i="3"/>
  <c r="AO183" i="3"/>
  <c r="AC183" i="3"/>
  <c r="Q183" i="3"/>
  <c r="AN183" i="3"/>
  <c r="AB183" i="3"/>
  <c r="P183" i="3"/>
  <c r="AM183" i="3"/>
  <c r="AA183" i="3"/>
  <c r="O183" i="3"/>
  <c r="AH183" i="3"/>
  <c r="AG183" i="3"/>
  <c r="AF183" i="3"/>
  <c r="Z183" i="3"/>
  <c r="Y183" i="3"/>
  <c r="AS183" i="3"/>
  <c r="J183" i="1" s="1"/>
  <c r="BB205" i="3"/>
  <c r="DX205" i="3"/>
  <c r="BL205" i="3"/>
  <c r="BN207" i="3"/>
  <c r="BM207" i="3"/>
  <c r="DY214" i="3"/>
  <c r="Y143" i="3"/>
  <c r="AK143" i="3"/>
  <c r="CS145" i="3"/>
  <c r="X149" i="3"/>
  <c r="AJ149" i="3"/>
  <c r="V150" i="3"/>
  <c r="AH150" i="3"/>
  <c r="AW155" i="3"/>
  <c r="N156" i="3"/>
  <c r="AA156" i="3"/>
  <c r="AN156" i="3"/>
  <c r="N157" i="3"/>
  <c r="AA157" i="3"/>
  <c r="AN157" i="3"/>
  <c r="AW164" i="3"/>
  <c r="G166" i="3"/>
  <c r="DW181" i="3"/>
  <c r="N183" i="3"/>
  <c r="BU207" i="3"/>
  <c r="DW210" i="3"/>
  <c r="AR212" i="3"/>
  <c r="AF212" i="3"/>
  <c r="T212" i="3"/>
  <c r="AQ212" i="3"/>
  <c r="AE212" i="3"/>
  <c r="S212" i="3"/>
  <c r="AP212" i="3"/>
  <c r="AD212" i="3"/>
  <c r="R212" i="3"/>
  <c r="DG212" i="3"/>
  <c r="AO212" i="3"/>
  <c r="AC212" i="3"/>
  <c r="Q212" i="3"/>
  <c r="AN212" i="3"/>
  <c r="AB212" i="3"/>
  <c r="P212" i="3"/>
  <c r="Y212" i="3"/>
  <c r="X212" i="3"/>
  <c r="AS212" i="3"/>
  <c r="J212" i="1" s="1"/>
  <c r="W212" i="3"/>
  <c r="AM212" i="3"/>
  <c r="V212" i="3"/>
  <c r="AL212" i="3"/>
  <c r="U212" i="3"/>
  <c r="AJ212" i="3"/>
  <c r="AI212" i="3"/>
  <c r="AH212" i="3"/>
  <c r="AG212" i="3"/>
  <c r="AA212" i="3"/>
  <c r="AK212" i="3"/>
  <c r="Z212" i="3"/>
  <c r="O212" i="3"/>
  <c r="DZ214" i="3"/>
  <c r="AS228" i="3"/>
  <c r="J228" i="1" s="1"/>
  <c r="AG228" i="3"/>
  <c r="U228" i="3"/>
  <c r="AR228" i="3"/>
  <c r="AF228" i="3"/>
  <c r="T228" i="3"/>
  <c r="AQ228" i="3"/>
  <c r="AP228" i="3"/>
  <c r="AD228" i="3"/>
  <c r="R228" i="3"/>
  <c r="DG228" i="3"/>
  <c r="AO228" i="3"/>
  <c r="AC228" i="3"/>
  <c r="Q228" i="3"/>
  <c r="AB228" i="3"/>
  <c r="AA228" i="3"/>
  <c r="Z228" i="3"/>
  <c r="Y228" i="3"/>
  <c r="AN228" i="3"/>
  <c r="X228" i="3"/>
  <c r="AK228" i="3"/>
  <c r="AJ228" i="3"/>
  <c r="AI228" i="3"/>
  <c r="AH228" i="3"/>
  <c r="AE228" i="3"/>
  <c r="AL228" i="3"/>
  <c r="W228" i="3"/>
  <c r="V228" i="3"/>
  <c r="S228" i="3"/>
  <c r="P228" i="3"/>
  <c r="AM228" i="3"/>
  <c r="O228" i="3"/>
  <c r="Y149" i="3"/>
  <c r="AK149" i="3"/>
  <c r="X155" i="3"/>
  <c r="AK155" i="3"/>
  <c r="O156" i="3"/>
  <c r="AB156" i="3"/>
  <c r="AP156" i="3"/>
  <c r="O157" i="3"/>
  <c r="AB157" i="3"/>
  <c r="AO157" i="3"/>
  <c r="DG168" i="3"/>
  <c r="AJ168" i="3"/>
  <c r="X168" i="3"/>
  <c r="AI168" i="3"/>
  <c r="W168" i="3"/>
  <c r="AH168" i="3"/>
  <c r="V168" i="3"/>
  <c r="AS168" i="3"/>
  <c r="J168" i="1" s="1"/>
  <c r="AG168" i="3"/>
  <c r="U168" i="3"/>
  <c r="AR168" i="3"/>
  <c r="AF168" i="3"/>
  <c r="T168" i="3"/>
  <c r="AD168" i="3"/>
  <c r="AQ174" i="3"/>
  <c r="AE174" i="3"/>
  <c r="S174" i="3"/>
  <c r="AM174" i="3"/>
  <c r="AA174" i="3"/>
  <c r="O174" i="3"/>
  <c r="AO174" i="3"/>
  <c r="Z174" i="3"/>
  <c r="AN174" i="3"/>
  <c r="Y174" i="3"/>
  <c r="AL174" i="3"/>
  <c r="X174" i="3"/>
  <c r="AK174" i="3"/>
  <c r="W174" i="3"/>
  <c r="AJ174" i="3"/>
  <c r="V174" i="3"/>
  <c r="AH174" i="3"/>
  <c r="BA175" i="3"/>
  <c r="BK175" i="3"/>
  <c r="G178" i="3"/>
  <c r="O180" i="3"/>
  <c r="DX181" i="3"/>
  <c r="T183" i="3"/>
  <c r="BK187" i="3"/>
  <c r="CO187" i="3"/>
  <c r="AV205" i="1"/>
  <c r="DX210" i="3"/>
  <c r="N212" i="3"/>
  <c r="N228" i="3"/>
  <c r="O143" i="3"/>
  <c r="AA143" i="3"/>
  <c r="AM143" i="3"/>
  <c r="CO144" i="3"/>
  <c r="CO146" i="3"/>
  <c r="N149" i="3"/>
  <c r="Z149" i="3"/>
  <c r="AL149" i="3"/>
  <c r="CO152" i="3"/>
  <c r="P156" i="3"/>
  <c r="AD156" i="3"/>
  <c r="AQ156" i="3"/>
  <c r="P157" i="3"/>
  <c r="AC157" i="3"/>
  <c r="AP157" i="3"/>
  <c r="G161" i="3"/>
  <c r="G164" i="3"/>
  <c r="AW167" i="3"/>
  <c r="AX168" i="3"/>
  <c r="AR173" i="3"/>
  <c r="AF173" i="3"/>
  <c r="T173" i="3"/>
  <c r="AN173" i="3"/>
  <c r="AB173" i="3"/>
  <c r="P173" i="3"/>
  <c r="AO173" i="3"/>
  <c r="Z173" i="3"/>
  <c r="AM173" i="3"/>
  <c r="Y173" i="3"/>
  <c r="AL173" i="3"/>
  <c r="X173" i="3"/>
  <c r="AK173" i="3"/>
  <c r="W173" i="3"/>
  <c r="AJ173" i="3"/>
  <c r="V173" i="3"/>
  <c r="AH173" i="3"/>
  <c r="BA173" i="3"/>
  <c r="DG173" i="3"/>
  <c r="N174" i="3"/>
  <c r="AI174" i="3"/>
  <c r="P180" i="3"/>
  <c r="DY181" i="3"/>
  <c r="CT181" i="3"/>
  <c r="U183" i="3"/>
  <c r="AX196" i="3"/>
  <c r="G196" i="3"/>
  <c r="DX206" i="3"/>
  <c r="DY210" i="3"/>
  <c r="P143" i="3"/>
  <c r="AB143" i="3"/>
  <c r="O149" i="3"/>
  <c r="AA149" i="3"/>
  <c r="AM149" i="3"/>
  <c r="Y150" i="3"/>
  <c r="AR155" i="3"/>
  <c r="AF155" i="3"/>
  <c r="T155" i="3"/>
  <c r="Z155" i="3"/>
  <c r="AM155" i="3"/>
  <c r="R156" i="3"/>
  <c r="AE156" i="3"/>
  <c r="AR156" i="3"/>
  <c r="Q157" i="3"/>
  <c r="AD157" i="3"/>
  <c r="AQ157" i="3"/>
  <c r="DG161" i="3"/>
  <c r="AO161" i="3"/>
  <c r="AC161" i="3"/>
  <c r="Q161" i="3"/>
  <c r="AN161" i="3"/>
  <c r="AB161" i="3"/>
  <c r="P161" i="3"/>
  <c r="AM161" i="3"/>
  <c r="AA161" i="3"/>
  <c r="O161" i="3"/>
  <c r="AL161" i="3"/>
  <c r="Z161" i="3"/>
  <c r="N161" i="3"/>
  <c r="AG161" i="3"/>
  <c r="BU162" i="3"/>
  <c r="BT162" i="3"/>
  <c r="AP164" i="3"/>
  <c r="AD164" i="3"/>
  <c r="R164" i="3"/>
  <c r="AO164" i="3"/>
  <c r="AC164" i="3"/>
  <c r="Q164" i="3"/>
  <c r="AN164" i="3"/>
  <c r="AB164" i="3"/>
  <c r="P164" i="3"/>
  <c r="DG164" i="3"/>
  <c r="AM164" i="3"/>
  <c r="AA164" i="3"/>
  <c r="O164" i="3"/>
  <c r="AL164" i="3"/>
  <c r="Z164" i="3"/>
  <c r="N164" i="3"/>
  <c r="AI164" i="3"/>
  <c r="O168" i="3"/>
  <c r="AK168" i="3"/>
  <c r="N173" i="3"/>
  <c r="AI173" i="3"/>
  <c r="P174" i="3"/>
  <c r="AP174" i="3"/>
  <c r="DG174" i="3"/>
  <c r="AN176" i="3"/>
  <c r="AB176" i="3"/>
  <c r="P176" i="3"/>
  <c r="AJ176" i="3"/>
  <c r="X176" i="3"/>
  <c r="AH176" i="3"/>
  <c r="T176" i="3"/>
  <c r="AG176" i="3"/>
  <c r="S176" i="3"/>
  <c r="AF176" i="3"/>
  <c r="R176" i="3"/>
  <c r="AS176" i="3"/>
  <c r="J176" i="1" s="1"/>
  <c r="AE176" i="3"/>
  <c r="Q176" i="3"/>
  <c r="AR176" i="3"/>
  <c r="AT176" i="3" s="1"/>
  <c r="CY176" i="3" s="1"/>
  <c r="AD176" i="3"/>
  <c r="O176" i="3"/>
  <c r="AM176" i="3"/>
  <c r="AA180" i="3"/>
  <c r="V183" i="3"/>
  <c r="BM197" i="3"/>
  <c r="DY206" i="3"/>
  <c r="DZ210" i="3"/>
  <c r="Y165" i="3"/>
  <c r="AK165" i="3"/>
  <c r="AJ170" i="3"/>
  <c r="X170" i="3"/>
  <c r="AR170" i="3"/>
  <c r="AF170" i="3"/>
  <c r="T170" i="3"/>
  <c r="AA170" i="3"/>
  <c r="AO170" i="3"/>
  <c r="DY179" i="3"/>
  <c r="AW181" i="3"/>
  <c r="AH185" i="3"/>
  <c r="V185" i="3"/>
  <c r="AS185" i="3"/>
  <c r="J185" i="1" s="1"/>
  <c r="AG185" i="3"/>
  <c r="U185" i="3"/>
  <c r="AR185" i="3"/>
  <c r="AF185" i="3"/>
  <c r="T185" i="3"/>
  <c r="AQ185" i="3"/>
  <c r="AE185" i="3"/>
  <c r="S185" i="3"/>
  <c r="AP185" i="3"/>
  <c r="AD185" i="3"/>
  <c r="R185" i="3"/>
  <c r="AI185" i="3"/>
  <c r="AX192" i="3"/>
  <c r="AW192" i="3"/>
  <c r="G192" i="3"/>
  <c r="BK203" i="3"/>
  <c r="DP203" i="3" s="1"/>
  <c r="DW203" i="3"/>
  <c r="CO203" i="3"/>
  <c r="DM203" i="3"/>
  <c r="AX206" i="3"/>
  <c r="AW206" i="3"/>
  <c r="AP222" i="3"/>
  <c r="CU222" i="3" s="1"/>
  <c r="AD222" i="3"/>
  <c r="R222" i="3"/>
  <c r="AO222" i="3"/>
  <c r="AN222" i="3"/>
  <c r="AB222" i="3"/>
  <c r="P222" i="3"/>
  <c r="AM222" i="3"/>
  <c r="AA222" i="3"/>
  <c r="O222" i="3"/>
  <c r="AL222" i="3"/>
  <c r="Z222" i="3"/>
  <c r="N222" i="3"/>
  <c r="AE222" i="3"/>
  <c r="AC222" i="3"/>
  <c r="Y222" i="3"/>
  <c r="AS222" i="3"/>
  <c r="J222" i="1" s="1"/>
  <c r="X222" i="3"/>
  <c r="AR222" i="3"/>
  <c r="W222" i="3"/>
  <c r="V222" i="3"/>
  <c r="U222" i="3"/>
  <c r="T222" i="3"/>
  <c r="S222" i="3"/>
  <c r="Q222" i="3"/>
  <c r="AJ222" i="3"/>
  <c r="AI222" i="3"/>
  <c r="DG222" i="3"/>
  <c r="AH222" i="3"/>
  <c r="AG222" i="3"/>
  <c r="AF222" i="3"/>
  <c r="DY235" i="3"/>
  <c r="W162" i="3"/>
  <c r="AI162" i="3"/>
  <c r="BA163" i="3"/>
  <c r="N165" i="3"/>
  <c r="Z165" i="3"/>
  <c r="AL165" i="3"/>
  <c r="X166" i="3"/>
  <c r="AJ166" i="3"/>
  <c r="N170" i="3"/>
  <c r="AB170" i="3"/>
  <c r="AP170" i="3"/>
  <c r="CO170" i="3"/>
  <c r="AI171" i="3"/>
  <c r="W171" i="3"/>
  <c r="AQ171" i="3"/>
  <c r="AE171" i="3"/>
  <c r="S171" i="3"/>
  <c r="AA171" i="3"/>
  <c r="AO171" i="3"/>
  <c r="CO176" i="3"/>
  <c r="EU176" i="3"/>
  <c r="DZ179" i="3"/>
  <c r="AX181" i="3"/>
  <c r="N185" i="3"/>
  <c r="AJ185" i="3"/>
  <c r="CT186" i="3"/>
  <c r="AJ188" i="3"/>
  <c r="X188" i="3"/>
  <c r="AI188" i="3"/>
  <c r="W188" i="3"/>
  <c r="AH188" i="3"/>
  <c r="V188" i="3"/>
  <c r="AS188" i="3"/>
  <c r="J188" i="1" s="1"/>
  <c r="AG188" i="3"/>
  <c r="U188" i="3"/>
  <c r="AN188" i="3"/>
  <c r="T188" i="3"/>
  <c r="AM188" i="3"/>
  <c r="S188" i="3"/>
  <c r="AL188" i="3"/>
  <c r="R188" i="3"/>
  <c r="AK188" i="3"/>
  <c r="Q188" i="3"/>
  <c r="AF188" i="3"/>
  <c r="P188" i="3"/>
  <c r="AQ188" i="3"/>
  <c r="BK192" i="3"/>
  <c r="G207" i="3"/>
  <c r="AK222" i="3"/>
  <c r="AR223" i="3"/>
  <c r="AT223" i="3" s="1"/>
  <c r="CY223" i="3" s="1"/>
  <c r="AF223" i="3"/>
  <c r="T223" i="3"/>
  <c r="AQ223" i="3"/>
  <c r="AE223" i="3"/>
  <c r="S223" i="3"/>
  <c r="DG223" i="3"/>
  <c r="AP223" i="3"/>
  <c r="AD223" i="3"/>
  <c r="R223" i="3"/>
  <c r="AO223" i="3"/>
  <c r="AC223" i="3"/>
  <c r="Q223" i="3"/>
  <c r="AN223" i="3"/>
  <c r="AB223" i="3"/>
  <c r="P223" i="3"/>
  <c r="AA223" i="3"/>
  <c r="Z223" i="3"/>
  <c r="Y223" i="3"/>
  <c r="X223" i="3"/>
  <c r="AS223" i="3"/>
  <c r="J223" i="1" s="1"/>
  <c r="W223" i="3"/>
  <c r="AL223" i="3"/>
  <c r="AK223" i="3"/>
  <c r="AJ223" i="3"/>
  <c r="AI223" i="3"/>
  <c r="AH223" i="3"/>
  <c r="AM223" i="3"/>
  <c r="AG223" i="3"/>
  <c r="V223" i="3"/>
  <c r="U223" i="3"/>
  <c r="DX225" i="3"/>
  <c r="G162" i="3"/>
  <c r="X162" i="3"/>
  <c r="AJ162" i="3"/>
  <c r="O165" i="3"/>
  <c r="AA165" i="3"/>
  <c r="AM165" i="3"/>
  <c r="DG165" i="3"/>
  <c r="Y166" i="3"/>
  <c r="AK166" i="3"/>
  <c r="O170" i="3"/>
  <c r="AC170" i="3"/>
  <c r="AQ170" i="3"/>
  <c r="N171" i="3"/>
  <c r="AB171" i="3"/>
  <c r="AP171" i="3"/>
  <c r="AW183" i="3"/>
  <c r="O185" i="3"/>
  <c r="AK185" i="3"/>
  <c r="CR186" i="3"/>
  <c r="BC190" i="3"/>
  <c r="AI198" i="3"/>
  <c r="W198" i="3"/>
  <c r="AH198" i="3"/>
  <c r="V198" i="3"/>
  <c r="AS198" i="3"/>
  <c r="J198" i="1" s="1"/>
  <c r="AG198" i="3"/>
  <c r="U198" i="3"/>
  <c r="AR198" i="3"/>
  <c r="AF198" i="3"/>
  <c r="T198" i="3"/>
  <c r="AQ198" i="3"/>
  <c r="AE198" i="3"/>
  <c r="S198" i="3"/>
  <c r="DG198" i="3"/>
  <c r="AN198" i="3"/>
  <c r="R198" i="3"/>
  <c r="AM198" i="3"/>
  <c r="Q198" i="3"/>
  <c r="AL198" i="3"/>
  <c r="P198" i="3"/>
  <c r="AK198" i="3"/>
  <c r="O198" i="3"/>
  <c r="AJ198" i="3"/>
  <c r="N198" i="3"/>
  <c r="G206" i="3"/>
  <c r="AQ222" i="3"/>
  <c r="N223" i="3"/>
  <c r="Y162" i="3"/>
  <c r="AK162" i="3"/>
  <c r="P165" i="3"/>
  <c r="AB165" i="3"/>
  <c r="AN165" i="3"/>
  <c r="N166" i="3"/>
  <c r="Z166" i="3"/>
  <c r="AL166" i="3"/>
  <c r="P170" i="3"/>
  <c r="AD170" i="3"/>
  <c r="AS170" i="3"/>
  <c r="J170" i="1" s="1"/>
  <c r="BK170" i="3"/>
  <c r="O171" i="3"/>
  <c r="AC171" i="3"/>
  <c r="AR171" i="3"/>
  <c r="CQ176" i="3"/>
  <c r="EY176" i="3"/>
  <c r="AQ181" i="3"/>
  <c r="AE181" i="3"/>
  <c r="S181" i="3"/>
  <c r="AP181" i="3"/>
  <c r="AD181" i="3"/>
  <c r="R181" i="3"/>
  <c r="AO181" i="3"/>
  <c r="AC181" i="3"/>
  <c r="Q181" i="3"/>
  <c r="AN181" i="3"/>
  <c r="AB181" i="3"/>
  <c r="P181" i="3"/>
  <c r="AM181" i="3"/>
  <c r="AA181" i="3"/>
  <c r="O181" i="3"/>
  <c r="AI181" i="3"/>
  <c r="AX183" i="3"/>
  <c r="CO184" i="3"/>
  <c r="P185" i="3"/>
  <c r="AL185" i="3"/>
  <c r="DO186" i="3"/>
  <c r="BQ187" i="3"/>
  <c r="O188" i="3"/>
  <c r="X198" i="3"/>
  <c r="AI203" i="3"/>
  <c r="W203" i="3"/>
  <c r="AH203" i="3"/>
  <c r="V203" i="3"/>
  <c r="AM203" i="3"/>
  <c r="Y203" i="3"/>
  <c r="AL203" i="3"/>
  <c r="X203" i="3"/>
  <c r="AK203" i="3"/>
  <c r="U203" i="3"/>
  <c r="AJ203" i="3"/>
  <c r="T203" i="3"/>
  <c r="AG203" i="3"/>
  <c r="S203" i="3"/>
  <c r="AE203" i="3"/>
  <c r="AD203" i="3"/>
  <c r="AC203" i="3"/>
  <c r="AB203" i="3"/>
  <c r="DG203" i="3"/>
  <c r="AA203" i="3"/>
  <c r="AR203" i="3"/>
  <c r="DZ203" i="3"/>
  <c r="CR203" i="3"/>
  <c r="AR206" i="3"/>
  <c r="AF206" i="3"/>
  <c r="T206" i="3"/>
  <c r="DG206" i="3"/>
  <c r="AQ206" i="3"/>
  <c r="AE206" i="3"/>
  <c r="S206" i="3"/>
  <c r="AJ206" i="3"/>
  <c r="V206" i="3"/>
  <c r="AI206" i="3"/>
  <c r="U206" i="3"/>
  <c r="AH206" i="3"/>
  <c r="R206" i="3"/>
  <c r="DT206" i="3"/>
  <c r="AG206" i="3"/>
  <c r="Q206" i="3"/>
  <c r="DS206" i="3"/>
  <c r="AD206" i="3"/>
  <c r="P206" i="3"/>
  <c r="Z206" i="3"/>
  <c r="Y206" i="3"/>
  <c r="AS206" i="3"/>
  <c r="J206" i="1" s="1"/>
  <c r="X206" i="3"/>
  <c r="AP206" i="3"/>
  <c r="W206" i="3"/>
  <c r="AO206" i="3"/>
  <c r="O206" i="3"/>
  <c r="DZ208" i="3"/>
  <c r="O223" i="3"/>
  <c r="Y159" i="3"/>
  <c r="N162" i="3"/>
  <c r="Z162" i="3"/>
  <c r="AL162" i="3"/>
  <c r="AU163" i="1"/>
  <c r="Q165" i="3"/>
  <c r="AC165" i="3"/>
  <c r="O166" i="3"/>
  <c r="AA166" i="3"/>
  <c r="Q170" i="3"/>
  <c r="AE170" i="3"/>
  <c r="P171" i="3"/>
  <c r="AD171" i="3"/>
  <c r="AS171" i="3"/>
  <c r="J171" i="1" s="1"/>
  <c r="AH172" i="3"/>
  <c r="V172" i="3"/>
  <c r="AP172" i="3"/>
  <c r="AD172" i="3"/>
  <c r="R172" i="3"/>
  <c r="AA172" i="3"/>
  <c r="AO172" i="3"/>
  <c r="BK178" i="3"/>
  <c r="N181" i="3"/>
  <c r="AJ181" i="3"/>
  <c r="Q185" i="3"/>
  <c r="AM185" i="3"/>
  <c r="Y188" i="3"/>
  <c r="AU189" i="3"/>
  <c r="AT189" i="3"/>
  <c r="CY191" i="3"/>
  <c r="AI195" i="3"/>
  <c r="W195" i="3"/>
  <c r="AH195" i="3"/>
  <c r="V195" i="3"/>
  <c r="AS195" i="3"/>
  <c r="J195" i="1" s="1"/>
  <c r="AG195" i="3"/>
  <c r="U195" i="3"/>
  <c r="AR195" i="3"/>
  <c r="AF195" i="3"/>
  <c r="T195" i="3"/>
  <c r="AQ195" i="3"/>
  <c r="AE195" i="3"/>
  <c r="S195" i="3"/>
  <c r="AO195" i="3"/>
  <c r="X195" i="3"/>
  <c r="AN195" i="3"/>
  <c r="R195" i="3"/>
  <c r="AM195" i="3"/>
  <c r="Q195" i="3"/>
  <c r="AL195" i="3"/>
  <c r="P195" i="3"/>
  <c r="AK195" i="3"/>
  <c r="O195" i="3"/>
  <c r="AX195" i="3"/>
  <c r="Y198" i="3"/>
  <c r="AS199" i="3"/>
  <c r="J199" i="1" s="1"/>
  <c r="AG199" i="3"/>
  <c r="U199" i="3"/>
  <c r="AR199" i="3"/>
  <c r="AF199" i="3"/>
  <c r="T199" i="3"/>
  <c r="AQ199" i="3"/>
  <c r="AE199" i="3"/>
  <c r="S199" i="3"/>
  <c r="AP199" i="3"/>
  <c r="AD199" i="3"/>
  <c r="R199" i="3"/>
  <c r="AO199" i="3"/>
  <c r="AC199" i="3"/>
  <c r="Q199" i="3"/>
  <c r="AB199" i="3"/>
  <c r="AA199" i="3"/>
  <c r="Z199" i="3"/>
  <c r="Y199" i="3"/>
  <c r="DG199" i="3"/>
  <c r="X199" i="3"/>
  <c r="AN199" i="3"/>
  <c r="AX200" i="3"/>
  <c r="G200" i="3"/>
  <c r="N203" i="3"/>
  <c r="AS203" i="3"/>
  <c r="J203" i="1" s="1"/>
  <c r="N206" i="3"/>
  <c r="DW206" i="3"/>
  <c r="AH209" i="3"/>
  <c r="V209" i="3"/>
  <c r="AS209" i="3"/>
  <c r="J209" i="1" s="1"/>
  <c r="AG209" i="3"/>
  <c r="U209" i="3"/>
  <c r="AQ209" i="3"/>
  <c r="AE209" i="3"/>
  <c r="S209" i="3"/>
  <c r="AP209" i="3"/>
  <c r="AD209" i="3"/>
  <c r="R209" i="3"/>
  <c r="AM209" i="3"/>
  <c r="W209" i="3"/>
  <c r="AL209" i="3"/>
  <c r="T209" i="3"/>
  <c r="AK209" i="3"/>
  <c r="Q209" i="3"/>
  <c r="AJ209" i="3"/>
  <c r="P209" i="3"/>
  <c r="AI209" i="3"/>
  <c r="O209" i="3"/>
  <c r="AN209" i="3"/>
  <c r="DG209" i="3"/>
  <c r="AF209" i="3"/>
  <c r="AC209" i="3"/>
  <c r="AB209" i="3"/>
  <c r="AA209" i="3"/>
  <c r="BC216" i="3"/>
  <c r="Y175" i="3"/>
  <c r="Y178" i="3"/>
  <c r="AK178" i="3"/>
  <c r="V184" i="3"/>
  <c r="AH184" i="3"/>
  <c r="AI189" i="3"/>
  <c r="W189" i="3"/>
  <c r="AH189" i="3"/>
  <c r="V189" i="3"/>
  <c r="AS189" i="3"/>
  <c r="J189" i="1" s="1"/>
  <c r="AG189" i="3"/>
  <c r="U189" i="3"/>
  <c r="AR189" i="3"/>
  <c r="AF189" i="3"/>
  <c r="T189" i="3"/>
  <c r="AC189" i="3"/>
  <c r="BO205" i="3"/>
  <c r="BN205" i="3"/>
  <c r="BM205" i="3"/>
  <c r="DI205" i="3" s="1"/>
  <c r="BP208" i="3"/>
  <c r="AX210" i="3"/>
  <c r="G210" i="3"/>
  <c r="DN222" i="3"/>
  <c r="CQ222" i="3"/>
  <c r="CT222" i="3"/>
  <c r="DY222" i="3"/>
  <c r="DP222" i="3"/>
  <c r="DO222" i="3"/>
  <c r="DY225" i="3"/>
  <c r="N178" i="3"/>
  <c r="Z178" i="3"/>
  <c r="AL178" i="3"/>
  <c r="W184" i="3"/>
  <c r="AI184" i="3"/>
  <c r="DG186" i="3"/>
  <c r="AP186" i="3"/>
  <c r="AD186" i="3"/>
  <c r="R186" i="3"/>
  <c r="AO186" i="3"/>
  <c r="AC186" i="3"/>
  <c r="Q186" i="3"/>
  <c r="AA186" i="3"/>
  <c r="AQ186" i="3"/>
  <c r="DW186" i="3"/>
  <c r="CQ186" i="3"/>
  <c r="DN186" i="3"/>
  <c r="N189" i="3"/>
  <c r="AD189" i="3"/>
  <c r="DG189" i="3"/>
  <c r="BK193" i="3"/>
  <c r="CO193" i="3"/>
  <c r="BA196" i="3"/>
  <c r="DG200" i="3"/>
  <c r="AL200" i="3"/>
  <c r="Z200" i="3"/>
  <c r="AG200" i="3"/>
  <c r="T200" i="3"/>
  <c r="AS200" i="3"/>
  <c r="J200" i="1" s="1"/>
  <c r="AF200" i="3"/>
  <c r="S200" i="3"/>
  <c r="AR200" i="3"/>
  <c r="AE200" i="3"/>
  <c r="R200" i="3"/>
  <c r="AQ200" i="3"/>
  <c r="AD200" i="3"/>
  <c r="Q200" i="3"/>
  <c r="AP200" i="3"/>
  <c r="AC200" i="3"/>
  <c r="P200" i="3"/>
  <c r="AJ200" i="3"/>
  <c r="BR220" i="3"/>
  <c r="AH220" i="3"/>
  <c r="V220" i="3"/>
  <c r="BQ220" i="3"/>
  <c r="AS220" i="3"/>
  <c r="J220" i="1" s="1"/>
  <c r="AG220" i="3"/>
  <c r="U220" i="3"/>
  <c r="AR220" i="3"/>
  <c r="AT220" i="3" s="1"/>
  <c r="AF220" i="3"/>
  <c r="T220" i="3"/>
  <c r="BO220" i="3"/>
  <c r="AQ220" i="3"/>
  <c r="AE220" i="3"/>
  <c r="S220" i="3"/>
  <c r="DG220" i="3"/>
  <c r="BN220" i="3"/>
  <c r="AP220" i="3"/>
  <c r="AD220" i="3"/>
  <c r="R220" i="3"/>
  <c r="AO220" i="3"/>
  <c r="X220" i="3"/>
  <c r="AN220" i="3"/>
  <c r="W220" i="3"/>
  <c r="AM220" i="3"/>
  <c r="Q220" i="3"/>
  <c r="AL220" i="3"/>
  <c r="P220" i="3"/>
  <c r="AK220" i="3"/>
  <c r="O220" i="3"/>
  <c r="AJ220" i="3"/>
  <c r="AI220" i="3"/>
  <c r="AC220" i="3"/>
  <c r="CR222" i="3"/>
  <c r="DZ222" i="3"/>
  <c r="DZ225" i="3"/>
  <c r="O178" i="3"/>
  <c r="AA178" i="3"/>
  <c r="AM178" i="3"/>
  <c r="DG178" i="3"/>
  <c r="Y179" i="3"/>
  <c r="AK179" i="3"/>
  <c r="G184" i="3"/>
  <c r="X184" i="3"/>
  <c r="AJ184" i="3"/>
  <c r="N186" i="3"/>
  <c r="AB186" i="3"/>
  <c r="AR186" i="3"/>
  <c r="BM186" i="3" s="1"/>
  <c r="DI186" i="3" s="1"/>
  <c r="DX186" i="3"/>
  <c r="O189" i="3"/>
  <c r="AE189" i="3"/>
  <c r="DY196" i="3"/>
  <c r="CO196" i="3"/>
  <c r="N200" i="3"/>
  <c r="AK200" i="3"/>
  <c r="AW201" i="3"/>
  <c r="G201" i="3"/>
  <c r="CS208" i="3"/>
  <c r="BS210" i="3"/>
  <c r="AD210" i="1" s="1"/>
  <c r="N220" i="3"/>
  <c r="Y184" i="3"/>
  <c r="AK184" i="3"/>
  <c r="AW187" i="3"/>
  <c r="G187" i="3"/>
  <c r="BK188" i="3"/>
  <c r="CO188" i="3"/>
  <c r="P189" i="3"/>
  <c r="AJ189" i="3"/>
  <c r="BK194" i="3"/>
  <c r="CO194" i="3"/>
  <c r="DZ196" i="3"/>
  <c r="O200" i="3"/>
  <c r="AM200" i="3"/>
  <c r="CO215" i="3"/>
  <c r="CS215" i="3"/>
  <c r="DW215" i="3"/>
  <c r="Y220" i="3"/>
  <c r="Q178" i="3"/>
  <c r="AC178" i="3"/>
  <c r="N184" i="3"/>
  <c r="Z184" i="3"/>
  <c r="P186" i="3"/>
  <c r="AF186" i="3"/>
  <c r="Q189" i="3"/>
  <c r="AK189" i="3"/>
  <c r="AX190" i="3"/>
  <c r="AW190" i="3"/>
  <c r="G190" i="3"/>
  <c r="CO190" i="3"/>
  <c r="AV197" i="3"/>
  <c r="AU197" i="3"/>
  <c r="AT197" i="3"/>
  <c r="BK197" i="3"/>
  <c r="CO197" i="3"/>
  <c r="U200" i="3"/>
  <c r="AN200" i="3"/>
  <c r="DY208" i="3"/>
  <c r="BA216" i="3"/>
  <c r="BK216" i="3"/>
  <c r="CO216" i="3"/>
  <c r="Z220" i="3"/>
  <c r="DX235" i="3"/>
  <c r="Y196" i="3"/>
  <c r="AK196" i="3"/>
  <c r="AJ211" i="3"/>
  <c r="X211" i="3"/>
  <c r="AI211" i="3"/>
  <c r="W211" i="3"/>
  <c r="AH211" i="3"/>
  <c r="V211" i="3"/>
  <c r="AS211" i="3"/>
  <c r="J211" i="1" s="1"/>
  <c r="AG211" i="3"/>
  <c r="U211" i="3"/>
  <c r="AR211" i="3"/>
  <c r="AF211" i="3"/>
  <c r="T211" i="3"/>
  <c r="AD211" i="3"/>
  <c r="AJ221" i="3"/>
  <c r="X221" i="3"/>
  <c r="AI221" i="3"/>
  <c r="W221" i="3"/>
  <c r="DG221" i="3"/>
  <c r="AH221" i="3"/>
  <c r="V221" i="3"/>
  <c r="AS221" i="3"/>
  <c r="J221" i="1" s="1"/>
  <c r="AG221" i="3"/>
  <c r="U221" i="3"/>
  <c r="AR221" i="3"/>
  <c r="AF221" i="3"/>
  <c r="T221" i="3"/>
  <c r="AO221" i="3"/>
  <c r="S221" i="3"/>
  <c r="AN221" i="3"/>
  <c r="R221" i="3"/>
  <c r="AM221" i="3"/>
  <c r="Q221" i="3"/>
  <c r="AL221" i="3"/>
  <c r="P221" i="3"/>
  <c r="AK221" i="3"/>
  <c r="O221" i="3"/>
  <c r="V187" i="3"/>
  <c r="AH187" i="3"/>
  <c r="N196" i="3"/>
  <c r="Z196" i="3"/>
  <c r="AL196" i="3"/>
  <c r="AU198" i="1"/>
  <c r="AU200" i="1"/>
  <c r="CO200" i="3"/>
  <c r="DG210" i="3"/>
  <c r="AQ210" i="3"/>
  <c r="AE210" i="3"/>
  <c r="S210" i="3"/>
  <c r="AP210" i="3"/>
  <c r="AD210" i="3"/>
  <c r="R210" i="3"/>
  <c r="DT210" i="3"/>
  <c r="AO210" i="3"/>
  <c r="DS210" i="3"/>
  <c r="AN210" i="3"/>
  <c r="AB210" i="3"/>
  <c r="P210" i="3"/>
  <c r="AM210" i="3"/>
  <c r="AA210" i="3"/>
  <c r="O210" i="3"/>
  <c r="AG210" i="3"/>
  <c r="N211" i="3"/>
  <c r="AE211" i="3"/>
  <c r="DY213" i="3"/>
  <c r="AP216" i="3"/>
  <c r="AD216" i="3"/>
  <c r="R216" i="3"/>
  <c r="AO216" i="3"/>
  <c r="AC216" i="3"/>
  <c r="Q216" i="3"/>
  <c r="DG216" i="3"/>
  <c r="AM216" i="3"/>
  <c r="AA216" i="3"/>
  <c r="O216" i="3"/>
  <c r="AL216" i="3"/>
  <c r="Z216" i="3"/>
  <c r="N216" i="3"/>
  <c r="AE216" i="3"/>
  <c r="AB216" i="3"/>
  <c r="AS216" i="3"/>
  <c r="J216" i="1" s="1"/>
  <c r="Y216" i="3"/>
  <c r="AR216" i="3"/>
  <c r="X216" i="3"/>
  <c r="AQ216" i="3"/>
  <c r="W216" i="3"/>
  <c r="AN216" i="3"/>
  <c r="N221" i="3"/>
  <c r="W187" i="3"/>
  <c r="AI187" i="3"/>
  <c r="Y190" i="3"/>
  <c r="AK190" i="3"/>
  <c r="X191" i="3"/>
  <c r="AJ191" i="3"/>
  <c r="Y192" i="3"/>
  <c r="AK192" i="3"/>
  <c r="G193" i="3"/>
  <c r="X193" i="3"/>
  <c r="AJ193" i="3"/>
  <c r="W194" i="3"/>
  <c r="AI194" i="3"/>
  <c r="O196" i="3"/>
  <c r="AA196" i="3"/>
  <c r="AM196" i="3"/>
  <c r="W197" i="3"/>
  <c r="AI197" i="3"/>
  <c r="AU201" i="1"/>
  <c r="Z202" i="3"/>
  <c r="BC202" i="3"/>
  <c r="Z204" i="3"/>
  <c r="Y205" i="3"/>
  <c r="AO205" i="3"/>
  <c r="G208" i="3"/>
  <c r="N210" i="3"/>
  <c r="AH210" i="3"/>
  <c r="O211" i="3"/>
  <c r="AK211" i="3"/>
  <c r="CR212" i="3"/>
  <c r="DZ213" i="3"/>
  <c r="P216" i="3"/>
  <c r="Y221" i="3"/>
  <c r="AV227" i="3"/>
  <c r="AU227" i="3"/>
  <c r="X187" i="3"/>
  <c r="AJ187" i="3"/>
  <c r="N190" i="3"/>
  <c r="Z190" i="3"/>
  <c r="Y191" i="3"/>
  <c r="N192" i="3"/>
  <c r="Z192" i="3"/>
  <c r="Y193" i="3"/>
  <c r="AW193" i="3"/>
  <c r="G194" i="3"/>
  <c r="X194" i="3"/>
  <c r="AJ194" i="3"/>
  <c r="P196" i="3"/>
  <c r="AB196" i="3"/>
  <c r="AN196" i="3"/>
  <c r="G197" i="3"/>
  <c r="X197" i="3"/>
  <c r="AJ197" i="3"/>
  <c r="CO198" i="3"/>
  <c r="CO201" i="3"/>
  <c r="AJ202" i="3"/>
  <c r="X202" i="3"/>
  <c r="AI202" i="3"/>
  <c r="W202" i="3"/>
  <c r="AA202" i="3"/>
  <c r="AO202" i="3"/>
  <c r="BK202" i="3"/>
  <c r="AO204" i="3"/>
  <c r="AC204" i="3"/>
  <c r="Q204" i="3"/>
  <c r="DG204" i="3"/>
  <c r="AN204" i="3"/>
  <c r="AB204" i="3"/>
  <c r="P204" i="3"/>
  <c r="AA204" i="3"/>
  <c r="AQ204" i="3"/>
  <c r="G205" i="3"/>
  <c r="AB205" i="3"/>
  <c r="DZ206" i="3"/>
  <c r="AR208" i="3"/>
  <c r="AF208" i="3"/>
  <c r="T208" i="3"/>
  <c r="AQ208" i="3"/>
  <c r="AE208" i="3"/>
  <c r="S208" i="3"/>
  <c r="AO208" i="3"/>
  <c r="AC208" i="3"/>
  <c r="Q208" i="3"/>
  <c r="AN208" i="3"/>
  <c r="AB208" i="3"/>
  <c r="P208" i="3"/>
  <c r="AG208" i="3"/>
  <c r="Q210" i="3"/>
  <c r="AI210" i="3"/>
  <c r="P211" i="3"/>
  <c r="AL211" i="3"/>
  <c r="CO211" i="3"/>
  <c r="AU211" i="1"/>
  <c r="S216" i="3"/>
  <c r="Z221" i="3"/>
  <c r="BA236" i="3"/>
  <c r="Y187" i="3"/>
  <c r="Y194" i="3"/>
  <c r="Q196" i="3"/>
  <c r="AC196" i="3"/>
  <c r="AO196" i="3"/>
  <c r="Y197" i="3"/>
  <c r="AM205" i="3"/>
  <c r="AA205" i="3"/>
  <c r="O205" i="3"/>
  <c r="AL205" i="3"/>
  <c r="Z205" i="3"/>
  <c r="N205" i="3"/>
  <c r="AC205" i="3"/>
  <c r="AQ205" i="3"/>
  <c r="T210" i="3"/>
  <c r="AJ210" i="3"/>
  <c r="Q211" i="3"/>
  <c r="AM211" i="3"/>
  <c r="AX213" i="3"/>
  <c r="AW213" i="3"/>
  <c r="G213" i="3"/>
  <c r="T216" i="3"/>
  <c r="BA217" i="3"/>
  <c r="BK217" i="3"/>
  <c r="BK218" i="3"/>
  <c r="AA221" i="3"/>
  <c r="AH224" i="3"/>
  <c r="V224" i="3"/>
  <c r="AS224" i="3"/>
  <c r="J224" i="1" s="1"/>
  <c r="AG224" i="3"/>
  <c r="U224" i="3"/>
  <c r="AR224" i="3"/>
  <c r="AF224" i="3"/>
  <c r="T224" i="3"/>
  <c r="AQ224" i="3"/>
  <c r="AE224" i="3"/>
  <c r="S224" i="3"/>
  <c r="AP224" i="3"/>
  <c r="AD224" i="3"/>
  <c r="R224" i="3"/>
  <c r="AC224" i="3"/>
  <c r="AB224" i="3"/>
  <c r="AA224" i="3"/>
  <c r="Z224" i="3"/>
  <c r="Y224" i="3"/>
  <c r="AL224" i="3"/>
  <c r="AK224" i="3"/>
  <c r="AJ224" i="3"/>
  <c r="AI224" i="3"/>
  <c r="X224" i="3"/>
  <c r="DG224" i="3"/>
  <c r="X213" i="3"/>
  <c r="AJ213" i="3"/>
  <c r="AH214" i="3"/>
  <c r="V214" i="3"/>
  <c r="AS214" i="3"/>
  <c r="J214" i="1" s="1"/>
  <c r="AG214" i="3"/>
  <c r="U214" i="3"/>
  <c r="DG214" i="3"/>
  <c r="AQ214" i="3"/>
  <c r="AE214" i="3"/>
  <c r="S214" i="3"/>
  <c r="AP214" i="3"/>
  <c r="AD214" i="3"/>
  <c r="AB214" i="3"/>
  <c r="AX215" i="3"/>
  <c r="DN229" i="3"/>
  <c r="CQ229" i="3"/>
  <c r="Y213" i="3"/>
  <c r="AK213" i="3"/>
  <c r="N214" i="3"/>
  <c r="AC214" i="3"/>
  <c r="EY215" i="3"/>
  <c r="AX217" i="3"/>
  <c r="AW217" i="3"/>
  <c r="DE221" i="3"/>
  <c r="CO221" i="3"/>
  <c r="DQ221" i="3"/>
  <c r="BR225" i="3"/>
  <c r="BQ225" i="3"/>
  <c r="CR229" i="3"/>
  <c r="DZ229" i="3"/>
  <c r="AR235" i="3"/>
  <c r="AF235" i="3"/>
  <c r="T235" i="3"/>
  <c r="AQ235" i="3"/>
  <c r="AE235" i="3"/>
  <c r="S235" i="3"/>
  <c r="AP235" i="3"/>
  <c r="AD235" i="3"/>
  <c r="R235" i="3"/>
  <c r="DG235" i="3"/>
  <c r="AO235" i="3"/>
  <c r="AC235" i="3"/>
  <c r="Q235" i="3"/>
  <c r="AB235" i="3"/>
  <c r="AA235" i="3"/>
  <c r="Z235" i="3"/>
  <c r="AS235" i="3"/>
  <c r="J235" i="1" s="1"/>
  <c r="Y235" i="3"/>
  <c r="AN235" i="3"/>
  <c r="X235" i="3"/>
  <c r="W235" i="3"/>
  <c r="V235" i="3"/>
  <c r="U235" i="3"/>
  <c r="P235" i="3"/>
  <c r="O235" i="3"/>
  <c r="AM235" i="3"/>
  <c r="AL235" i="3"/>
  <c r="AK235" i="3"/>
  <c r="AJ235" i="3"/>
  <c r="AI235" i="3"/>
  <c r="AX218" i="3"/>
  <c r="G218" i="3"/>
  <c r="CO219" i="3"/>
  <c r="AX226" i="3"/>
  <c r="AW226" i="3"/>
  <c r="G226" i="3"/>
  <c r="BO230" i="3"/>
  <c r="BN230" i="3"/>
  <c r="BM230" i="3"/>
  <c r="DJ230" i="3" s="1"/>
  <c r="N238" i="1"/>
  <c r="R238" i="1"/>
  <c r="X201" i="3"/>
  <c r="AJ201" i="3"/>
  <c r="O213" i="3"/>
  <c r="AA213" i="3"/>
  <c r="AN213" i="3"/>
  <c r="DG213" i="3"/>
  <c r="P214" i="3"/>
  <c r="AI214" i="3"/>
  <c r="G217" i="3"/>
  <c r="DW221" i="3"/>
  <c r="CS222" i="3"/>
  <c r="DM222" i="3"/>
  <c r="CO222" i="3"/>
  <c r="CT229" i="3"/>
  <c r="AG235" i="3"/>
  <c r="K238" i="1"/>
  <c r="Y201" i="3"/>
  <c r="Y207" i="3"/>
  <c r="P213" i="3"/>
  <c r="AB213" i="3"/>
  <c r="AO213" i="3"/>
  <c r="Q214" i="3"/>
  <c r="AJ214" i="3"/>
  <c r="DG218" i="3"/>
  <c r="AM218" i="3"/>
  <c r="AA218" i="3"/>
  <c r="O218" i="3"/>
  <c r="AL218" i="3"/>
  <c r="Z218" i="3"/>
  <c r="N218" i="3"/>
  <c r="AJ218" i="3"/>
  <c r="X218" i="3"/>
  <c r="AI218" i="3"/>
  <c r="W218" i="3"/>
  <c r="AE218" i="3"/>
  <c r="AW218" i="3"/>
  <c r="EZ219" i="3"/>
  <c r="EV219" i="3"/>
  <c r="ER219" i="3"/>
  <c r="CP222" i="3"/>
  <c r="BK226" i="3"/>
  <c r="AX231" i="3"/>
  <c r="AW231" i="3"/>
  <c r="G231" i="3"/>
  <c r="BK233" i="3"/>
  <c r="BA233" i="3"/>
  <c r="CO233" i="3"/>
  <c r="DW234" i="3"/>
  <c r="AH235" i="3"/>
  <c r="Y215" i="3"/>
  <c r="AK215" i="3"/>
  <c r="Y217" i="3"/>
  <c r="AK217" i="3"/>
  <c r="BS219" i="3"/>
  <c r="AD219" i="1" s="1"/>
  <c r="CS223" i="3"/>
  <c r="EV226" i="3"/>
  <c r="N226" i="1" s="1"/>
  <c r="P226" i="1" s="1"/>
  <c r="AP230" i="3"/>
  <c r="AD230" i="3"/>
  <c r="R230" i="3"/>
  <c r="AO230" i="3"/>
  <c r="AC230" i="3"/>
  <c r="Q230" i="3"/>
  <c r="DG230" i="3"/>
  <c r="AN230" i="3"/>
  <c r="AB230" i="3"/>
  <c r="P230" i="3"/>
  <c r="AM230" i="3"/>
  <c r="AA230" i="3"/>
  <c r="O230" i="3"/>
  <c r="AL230" i="3"/>
  <c r="Z230" i="3"/>
  <c r="N230" i="3"/>
  <c r="AF230" i="3"/>
  <c r="AE230" i="3"/>
  <c r="Y230" i="3"/>
  <c r="X230" i="3"/>
  <c r="AS230" i="3"/>
  <c r="J230" i="1" s="1"/>
  <c r="W230" i="3"/>
  <c r="G234" i="3"/>
  <c r="AX234" i="3"/>
  <c r="N215" i="3"/>
  <c r="Z215" i="3"/>
  <c r="AL215" i="3"/>
  <c r="N217" i="3"/>
  <c r="Z217" i="3"/>
  <c r="AL217" i="3"/>
  <c r="DZ228" i="3"/>
  <c r="CT223" i="3"/>
  <c r="CQ223" i="3"/>
  <c r="BA230" i="3"/>
  <c r="AJ233" i="3"/>
  <c r="X233" i="3"/>
  <c r="DG233" i="3"/>
  <c r="AI233" i="3"/>
  <c r="W233" i="3"/>
  <c r="AH233" i="3"/>
  <c r="V233" i="3"/>
  <c r="AS233" i="3"/>
  <c r="J233" i="1" s="1"/>
  <c r="AG233" i="3"/>
  <c r="U233" i="3"/>
  <c r="AR233" i="3"/>
  <c r="AF233" i="3"/>
  <c r="T233" i="3"/>
  <c r="AP233" i="3"/>
  <c r="Y233" i="3"/>
  <c r="AO233" i="3"/>
  <c r="S233" i="3"/>
  <c r="AN233" i="3"/>
  <c r="R233" i="3"/>
  <c r="AM233" i="3"/>
  <c r="Q233" i="3"/>
  <c r="AL233" i="3"/>
  <c r="P233" i="3"/>
  <c r="P215" i="3"/>
  <c r="AB215" i="3"/>
  <c r="AN215" i="3"/>
  <c r="P217" i="3"/>
  <c r="AB217" i="3"/>
  <c r="AN217" i="3"/>
  <c r="DG217" i="3"/>
  <c r="G219" i="3"/>
  <c r="X219" i="3"/>
  <c r="AJ219" i="3"/>
  <c r="AR225" i="3"/>
  <c r="AF225" i="3"/>
  <c r="T225" i="3"/>
  <c r="DG225" i="3"/>
  <c r="AQ225" i="3"/>
  <c r="AE225" i="3"/>
  <c r="S225" i="3"/>
  <c r="AP225" i="3"/>
  <c r="AD225" i="3"/>
  <c r="R225" i="3"/>
  <c r="AO225" i="3"/>
  <c r="AC225" i="3"/>
  <c r="Q225" i="3"/>
  <c r="AN225" i="3"/>
  <c r="AB225" i="3"/>
  <c r="P225" i="3"/>
  <c r="AI225" i="3"/>
  <c r="U230" i="3"/>
  <c r="N233" i="3"/>
  <c r="Q215" i="3"/>
  <c r="AC215" i="3"/>
  <c r="Q217" i="3"/>
  <c r="AC217" i="3"/>
  <c r="Y219" i="3"/>
  <c r="CO223" i="3"/>
  <c r="N225" i="3"/>
  <c r="AJ225" i="3"/>
  <c r="DW225" i="3"/>
  <c r="CP229" i="3"/>
  <c r="DX229" i="3"/>
  <c r="V230" i="3"/>
  <c r="O233" i="3"/>
  <c r="BO236" i="3"/>
  <c r="U227" i="3"/>
  <c r="AG227" i="3"/>
  <c r="V227" i="3"/>
  <c r="AH227" i="3"/>
  <c r="AP227" i="1" s="1"/>
  <c r="DG227" i="3"/>
  <c r="AP229" i="3"/>
  <c r="AD229" i="3"/>
  <c r="R229" i="3"/>
  <c r="AO229" i="3"/>
  <c r="AC229" i="3"/>
  <c r="Q229" i="3"/>
  <c r="AN229" i="3"/>
  <c r="AB229" i="3"/>
  <c r="P229" i="3"/>
  <c r="AM229" i="3"/>
  <c r="AA229" i="3"/>
  <c r="O229" i="3"/>
  <c r="AL229" i="3"/>
  <c r="Z229" i="3"/>
  <c r="N229" i="3"/>
  <c r="AI229" i="3"/>
  <c r="Y226" i="3"/>
  <c r="W227" i="3"/>
  <c r="AI227" i="3"/>
  <c r="AW227" i="3"/>
  <c r="S229" i="3"/>
  <c r="AJ229" i="3"/>
  <c r="DG229" i="3"/>
  <c r="G227" i="3"/>
  <c r="X227" i="3"/>
  <c r="AJ227" i="3"/>
  <c r="AK229" i="3"/>
  <c r="BK232" i="3"/>
  <c r="CO232" i="3"/>
  <c r="Y227" i="3"/>
  <c r="AK227" i="3"/>
  <c r="AQ229" i="3"/>
  <c r="CS229" i="3"/>
  <c r="DM229" i="3"/>
  <c r="BA229" i="3"/>
  <c r="DK229" i="3" s="1"/>
  <c r="CO229" i="3"/>
  <c r="AW230" i="3"/>
  <c r="AT232" i="3"/>
  <c r="X231" i="3"/>
  <c r="AJ231" i="3"/>
  <c r="V232" i="3"/>
  <c r="AH232" i="3"/>
  <c r="DZ235" i="3"/>
  <c r="Y236" i="3"/>
  <c r="AS236" i="3"/>
  <c r="J236" i="1" s="1"/>
  <c r="Y231" i="3"/>
  <c r="AK231" i="3"/>
  <c r="AD236" i="3"/>
  <c r="Z231" i="3"/>
  <c r="AL231" i="3"/>
  <c r="AE236" i="3"/>
  <c r="O231" i="3"/>
  <c r="AA231" i="3"/>
  <c r="AM231" i="3"/>
  <c r="Y232" i="3"/>
  <c r="AK232" i="3"/>
  <c r="AW232" i="3"/>
  <c r="G236" i="3"/>
  <c r="P231" i="3"/>
  <c r="AB231" i="3"/>
  <c r="AN231" i="3"/>
  <c r="N232" i="3"/>
  <c r="Z232" i="3"/>
  <c r="G233" i="3"/>
  <c r="AO236" i="3"/>
  <c r="AC236" i="3"/>
  <c r="Q236" i="3"/>
  <c r="AN236" i="3"/>
  <c r="AB236" i="3"/>
  <c r="P236" i="3"/>
  <c r="AM236" i="3"/>
  <c r="AA236" i="3"/>
  <c r="O236" i="3"/>
  <c r="AL236" i="3"/>
  <c r="Z236" i="3"/>
  <c r="N236" i="3"/>
  <c r="AG236" i="3"/>
  <c r="AW236" i="3"/>
  <c r="DG236" i="3"/>
  <c r="W234" i="3"/>
  <c r="AI234" i="3"/>
  <c r="X234" i="3"/>
  <c r="AJ234" i="3"/>
  <c r="Y234" i="3"/>
  <c r="M2" i="1" l="1"/>
  <c r="AP141" i="1"/>
  <c r="BC84" i="3"/>
  <c r="AP84" i="1"/>
  <c r="AQ84" i="1" s="1"/>
  <c r="BC122" i="3"/>
  <c r="AP122" i="1"/>
  <c r="AP164" i="1"/>
  <c r="AP226" i="1"/>
  <c r="BB17" i="3"/>
  <c r="AP17" i="1"/>
  <c r="AP187" i="1"/>
  <c r="CO114" i="3"/>
  <c r="BD103" i="3"/>
  <c r="AP103" i="1"/>
  <c r="AQ103" i="1" s="1"/>
  <c r="BC56" i="3"/>
  <c r="AP56" i="1"/>
  <c r="BD110" i="3"/>
  <c r="AP110" i="1"/>
  <c r="BB235" i="3"/>
  <c r="AP235" i="1"/>
  <c r="AP209" i="1"/>
  <c r="AP188" i="1"/>
  <c r="BB222" i="3"/>
  <c r="AP222" i="1"/>
  <c r="AQ222" i="1" s="1"/>
  <c r="BD157" i="3"/>
  <c r="AP157" i="1"/>
  <c r="AP46" i="1"/>
  <c r="AQ46" i="1" s="1"/>
  <c r="AP68" i="1"/>
  <c r="CU39" i="3"/>
  <c r="AP182" i="1"/>
  <c r="AP102" i="1"/>
  <c r="AQ102" i="1" s="1"/>
  <c r="BD26" i="3"/>
  <c r="AP26" i="1"/>
  <c r="AT18" i="3"/>
  <c r="CP55" i="3"/>
  <c r="BD23" i="3"/>
  <c r="AP23" i="1"/>
  <c r="AQ23" i="1" s="1"/>
  <c r="AJ23" i="1" s="1"/>
  <c r="AK23" i="1" s="1"/>
  <c r="BA234" i="3"/>
  <c r="AP234" i="1"/>
  <c r="AP201" i="1"/>
  <c r="AP193" i="1"/>
  <c r="AP70" i="1"/>
  <c r="BB115" i="3"/>
  <c r="AP115" i="1"/>
  <c r="AQ115" i="1" s="1"/>
  <c r="BD54" i="3"/>
  <c r="AP54" i="1"/>
  <c r="BC120" i="3"/>
  <c r="AP120" i="1"/>
  <c r="AP79" i="1"/>
  <c r="AP64" i="1"/>
  <c r="BA186" i="3"/>
  <c r="DK186" i="3" s="1"/>
  <c r="AP186" i="1"/>
  <c r="AQ186" i="1" s="1"/>
  <c r="AP178" i="1"/>
  <c r="AP18" i="1"/>
  <c r="AQ18" i="1" s="1"/>
  <c r="AJ18" i="1" s="1"/>
  <c r="AK18" i="1" s="1"/>
  <c r="AP181" i="1"/>
  <c r="BB58" i="3"/>
  <c r="AP58" i="1"/>
  <c r="AQ58" i="1" s="1"/>
  <c r="AP152" i="1"/>
  <c r="AP142" i="1"/>
  <c r="AP81" i="1"/>
  <c r="AP158" i="1"/>
  <c r="AP104" i="1"/>
  <c r="AP63" i="1"/>
  <c r="AP191" i="1"/>
  <c r="AQ191" i="1" s="1"/>
  <c r="AP127" i="1"/>
  <c r="BC166" i="3"/>
  <c r="AP166" i="1"/>
  <c r="BC131" i="3"/>
  <c r="AP131" i="1"/>
  <c r="AP119" i="1"/>
  <c r="BA214" i="3"/>
  <c r="AP214" i="1"/>
  <c r="AP116" i="1"/>
  <c r="AP40" i="1"/>
  <c r="AP189" i="1"/>
  <c r="AP132" i="1"/>
  <c r="AP169" i="1"/>
  <c r="AP38" i="1"/>
  <c r="AP48" i="1"/>
  <c r="BD207" i="3"/>
  <c r="AP207" i="1"/>
  <c r="BD156" i="3"/>
  <c r="AP156" i="1"/>
  <c r="BD106" i="3"/>
  <c r="AP106" i="1"/>
  <c r="BC117" i="3"/>
  <c r="AP117" i="1"/>
  <c r="AP88" i="1"/>
  <c r="AP105" i="1"/>
  <c r="AQ55" i="1"/>
  <c r="AP126" i="1"/>
  <c r="AP28" i="1"/>
  <c r="AP230" i="1"/>
  <c r="AW14" i="3"/>
  <c r="AP14" i="1"/>
  <c r="BM196" i="3"/>
  <c r="AP203" i="1"/>
  <c r="AQ203" i="1" s="1"/>
  <c r="AP173" i="1"/>
  <c r="AP129" i="1"/>
  <c r="BD160" i="3"/>
  <c r="AP160" i="1"/>
  <c r="AQ160" i="1" s="1"/>
  <c r="AP167" i="1"/>
  <c r="AP147" i="1"/>
  <c r="AU91" i="3"/>
  <c r="AW43" i="3"/>
  <c r="AU81" i="3"/>
  <c r="DM55" i="3"/>
  <c r="AP118" i="1"/>
  <c r="AP200" i="1"/>
  <c r="BB101" i="3"/>
  <c r="AP101" i="1"/>
  <c r="AQ101" i="1" s="1"/>
  <c r="BB52" i="3"/>
  <c r="AP52" i="1"/>
  <c r="AQ52" i="1" s="1"/>
  <c r="BC29" i="3"/>
  <c r="AP29" i="1"/>
  <c r="AP205" i="1"/>
  <c r="AP35" i="1"/>
  <c r="AP155" i="1"/>
  <c r="AP49" i="1"/>
  <c r="BA53" i="3"/>
  <c r="DK53" i="3" s="1"/>
  <c r="AP53" i="1"/>
  <c r="AQ53" i="1" s="1"/>
  <c r="BC97" i="3"/>
  <c r="AP97" i="1"/>
  <c r="BD83" i="3"/>
  <c r="AP83" i="1"/>
  <c r="BD90" i="3"/>
  <c r="AP90" i="1"/>
  <c r="AP75" i="1"/>
  <c r="AP44" i="1"/>
  <c r="AP134" i="1"/>
  <c r="AQ134" i="1" s="1"/>
  <c r="AP27" i="1"/>
  <c r="AP172" i="1"/>
  <c r="AP198" i="1"/>
  <c r="BD74" i="3"/>
  <c r="AP74" i="1"/>
  <c r="AQ74" i="1" s="1"/>
  <c r="AP149" i="1"/>
  <c r="BB25" i="3"/>
  <c r="AP25" i="1"/>
  <c r="AQ25" i="1" s="1"/>
  <c r="AJ25" i="1" s="1"/>
  <c r="AK25" i="1" s="1"/>
  <c r="AP128" i="1"/>
  <c r="AP232" i="1"/>
  <c r="BB183" i="3"/>
  <c r="AP183" i="1"/>
  <c r="BD213" i="3"/>
  <c r="AP213" i="1"/>
  <c r="BC96" i="3"/>
  <c r="AP96" i="1"/>
  <c r="AQ96" i="1" s="1"/>
  <c r="AP99" i="1"/>
  <c r="AP87" i="1"/>
  <c r="AP61" i="1"/>
  <c r="BO231" i="3"/>
  <c r="AP233" i="1"/>
  <c r="EZ194" i="3"/>
  <c r="BB145" i="3"/>
  <c r="AP145" i="1"/>
  <c r="AP91" i="1"/>
  <c r="AP92" i="1"/>
  <c r="BA110" i="3"/>
  <c r="AP39" i="1"/>
  <c r="AQ39" i="1" s="1"/>
  <c r="BC208" i="3"/>
  <c r="DL208" i="3" s="1"/>
  <c r="AP208" i="1"/>
  <c r="BB93" i="3"/>
  <c r="AP93" i="1"/>
  <c r="AP31" i="1"/>
  <c r="BB65" i="3"/>
  <c r="AP65" i="1"/>
  <c r="AP217" i="1"/>
  <c r="AP153" i="1"/>
  <c r="BC112" i="3"/>
  <c r="AP112" i="1"/>
  <c r="AP170" i="1"/>
  <c r="AP224" i="1"/>
  <c r="BN196" i="3"/>
  <c r="AP195" i="1"/>
  <c r="AP223" i="1"/>
  <c r="AQ223" i="1" s="1"/>
  <c r="AP174" i="1"/>
  <c r="AP150" i="1"/>
  <c r="BD180" i="3"/>
  <c r="AP180" i="1"/>
  <c r="AP94" i="1"/>
  <c r="AV91" i="3"/>
  <c r="AP136" i="1"/>
  <c r="DJ53" i="3"/>
  <c r="BC93" i="3"/>
  <c r="BD13" i="3"/>
  <c r="AP13" i="1"/>
  <c r="AP216" i="1"/>
  <c r="AP98" i="1"/>
  <c r="AQ98" i="1" s="1"/>
  <c r="BA135" i="3"/>
  <c r="AP135" i="1"/>
  <c r="AP219" i="1"/>
  <c r="AQ219" i="1" s="1"/>
  <c r="AP67" i="1"/>
  <c r="BC45" i="3"/>
  <c r="AP45" i="1"/>
  <c r="AP171" i="1"/>
  <c r="BB51" i="3"/>
  <c r="AP51" i="1"/>
  <c r="AQ51" i="1" s="1"/>
  <c r="BA15" i="3"/>
  <c r="AP15" i="1"/>
  <c r="AQ15" i="1" s="1"/>
  <c r="AJ15" i="1" s="1"/>
  <c r="AK15" i="1" s="1"/>
  <c r="AP71" i="1"/>
  <c r="BC69" i="3"/>
  <c r="DL69" i="3" s="1"/>
  <c r="AP69" i="1"/>
  <c r="AQ69" i="1" s="1"/>
  <c r="BD33" i="3"/>
  <c r="AP33" i="1"/>
  <c r="AP218" i="1"/>
  <c r="AP36" i="1"/>
  <c r="BD20" i="3"/>
  <c r="AP20" i="1"/>
  <c r="AQ20" i="1" s="1"/>
  <c r="AJ20" i="1" s="1"/>
  <c r="AK20" i="1" s="1"/>
  <c r="AP220" i="1"/>
  <c r="AQ220" i="1" s="1"/>
  <c r="AP125" i="1"/>
  <c r="BB43" i="3"/>
  <c r="AP43" i="1"/>
  <c r="AP62" i="1"/>
  <c r="AP175" i="1"/>
  <c r="BD109" i="3"/>
  <c r="AP109" i="1"/>
  <c r="AQ109" i="1" s="1"/>
  <c r="AP21" i="1"/>
  <c r="ES207" i="3"/>
  <c r="ET207" i="3" s="1"/>
  <c r="AP184" i="1"/>
  <c r="AP168" i="1"/>
  <c r="AQ168" i="1" s="1"/>
  <c r="AP151" i="1"/>
  <c r="AP60" i="1"/>
  <c r="AP236" i="1"/>
  <c r="AP50" i="1"/>
  <c r="BC179" i="3"/>
  <c r="AP179" i="1"/>
  <c r="AP123" i="1"/>
  <c r="AQ123" i="1" s="1"/>
  <c r="BC210" i="3"/>
  <c r="DL210" i="3" s="1"/>
  <c r="AP210" i="1"/>
  <c r="AQ210" i="1" s="1"/>
  <c r="BC148" i="3"/>
  <c r="AP148" i="1"/>
  <c r="AP146" i="1"/>
  <c r="AP66" i="1"/>
  <c r="AP133" i="1"/>
  <c r="AP41" i="1"/>
  <c r="AP121" i="1"/>
  <c r="BD30" i="3"/>
  <c r="AP30" i="1"/>
  <c r="AP124" i="1"/>
  <c r="BA86" i="3"/>
  <c r="AP86" i="1"/>
  <c r="AP231" i="1"/>
  <c r="AP202" i="1"/>
  <c r="AP190" i="1"/>
  <c r="AP165" i="1"/>
  <c r="AP143" i="1"/>
  <c r="AP114" i="1"/>
  <c r="AQ114" i="1" s="1"/>
  <c r="AP80" i="1"/>
  <c r="AQ80" i="1" s="1"/>
  <c r="BB59" i="3"/>
  <c r="AP59" i="1"/>
  <c r="AP72" i="1"/>
  <c r="AP47" i="1"/>
  <c r="AP113" i="1"/>
  <c r="AP32" i="1"/>
  <c r="AP19" i="1"/>
  <c r="BC100" i="3"/>
  <c r="AP100" i="1"/>
  <c r="AQ100" i="1" s="1"/>
  <c r="AP192" i="1"/>
  <c r="AP194" i="1"/>
  <c r="AP162" i="1"/>
  <c r="AP24" i="1"/>
  <c r="AP130" i="1"/>
  <c r="BC225" i="3"/>
  <c r="AP225" i="1"/>
  <c r="AP57" i="1"/>
  <c r="AP76" i="1"/>
  <c r="AP16" i="1"/>
  <c r="BB139" i="3"/>
  <c r="AP139" i="1"/>
  <c r="AQ139" i="1" s="1"/>
  <c r="BB186" i="3"/>
  <c r="AP212" i="1"/>
  <c r="AP176" i="1"/>
  <c r="AQ176" i="1" s="1"/>
  <c r="BA140" i="3"/>
  <c r="AP140" i="1"/>
  <c r="AQ227" i="1"/>
  <c r="AP221" i="1"/>
  <c r="AQ221" i="1" s="1"/>
  <c r="AP185" i="1"/>
  <c r="AP228" i="1"/>
  <c r="AP138" i="1"/>
  <c r="BB154" i="3"/>
  <c r="AP154" i="1"/>
  <c r="AQ154" i="1" s="1"/>
  <c r="AQ145" i="1"/>
  <c r="BC161" i="3"/>
  <c r="AP161" i="1"/>
  <c r="AP211" i="1"/>
  <c r="AP206" i="1"/>
  <c r="AP177" i="1"/>
  <c r="AP163" i="1"/>
  <c r="AP108" i="1"/>
  <c r="BS157" i="3"/>
  <c r="AD157" i="1" s="1"/>
  <c r="AP144" i="1"/>
  <c r="BC137" i="3"/>
  <c r="AP137" i="1"/>
  <c r="AP111" i="1"/>
  <c r="AQ111" i="1" s="1"/>
  <c r="AP85" i="1"/>
  <c r="AP82" i="1"/>
  <c r="AP42" i="1"/>
  <c r="AP77" i="1"/>
  <c r="AP37" i="1"/>
  <c r="DI53" i="3"/>
  <c r="AP22" i="1"/>
  <c r="BC14" i="3"/>
  <c r="AP34" i="1"/>
  <c r="AP204" i="1"/>
  <c r="AP196" i="1"/>
  <c r="AQ78" i="1"/>
  <c r="AP197" i="1"/>
  <c r="AQ155" i="1"/>
  <c r="AP199" i="1"/>
  <c r="AP89" i="1"/>
  <c r="BD229" i="3"/>
  <c r="AP229" i="1"/>
  <c r="AQ229" i="1" s="1"/>
  <c r="AG238" i="1"/>
  <c r="DM208" i="3"/>
  <c r="BQ100" i="3"/>
  <c r="BC226" i="3"/>
  <c r="CT208" i="3"/>
  <c r="BS166" i="3"/>
  <c r="AD166" i="1" s="1"/>
  <c r="BR100" i="3"/>
  <c r="BO125" i="3"/>
  <c r="BB117" i="3"/>
  <c r="BU84" i="3"/>
  <c r="BR114" i="3"/>
  <c r="BC106" i="3"/>
  <c r="BN71" i="3"/>
  <c r="K208" i="1"/>
  <c r="DX123" i="3"/>
  <c r="ES70" i="3"/>
  <c r="ET70" i="3" s="1"/>
  <c r="ER70" i="3"/>
  <c r="BU114" i="3"/>
  <c r="BC90" i="3"/>
  <c r="BP166" i="3"/>
  <c r="BQ166" i="3" s="1"/>
  <c r="DN208" i="3"/>
  <c r="AU166" i="3"/>
  <c r="CR208" i="3"/>
  <c r="CP208" i="3"/>
  <c r="CO208" i="3"/>
  <c r="CO220" i="3"/>
  <c r="AW93" i="3"/>
  <c r="DM123" i="3"/>
  <c r="BC110" i="3"/>
  <c r="EV70" i="3"/>
  <c r="BC126" i="3"/>
  <c r="AU104" i="3"/>
  <c r="DO208" i="3"/>
  <c r="AW166" i="3"/>
  <c r="BA93" i="3"/>
  <c r="AV166" i="3"/>
  <c r="BU100" i="3"/>
  <c r="BT122" i="3"/>
  <c r="BB131" i="3"/>
  <c r="CQ126" i="3"/>
  <c r="BO37" i="3"/>
  <c r="AT142" i="3"/>
  <c r="CT53" i="3"/>
  <c r="ER55" i="3"/>
  <c r="BT17" i="3"/>
  <c r="BM37" i="3"/>
  <c r="DJ37" i="3" s="1"/>
  <c r="DJ126" i="3"/>
  <c r="AU194" i="3"/>
  <c r="CQ208" i="3"/>
  <c r="BN184" i="3"/>
  <c r="BT100" i="3"/>
  <c r="BC213" i="3"/>
  <c r="AV193" i="3"/>
  <c r="AU199" i="3"/>
  <c r="AT152" i="3"/>
  <c r="DW123" i="3"/>
  <c r="BM122" i="3"/>
  <c r="DI122" i="3" s="1"/>
  <c r="ES55" i="3"/>
  <c r="AU193" i="3"/>
  <c r="AT199" i="3"/>
  <c r="DP123" i="3"/>
  <c r="BN227" i="3"/>
  <c r="AU152" i="3"/>
  <c r="BM184" i="3"/>
  <c r="DJ184" i="3" s="1"/>
  <c r="BB106" i="3"/>
  <c r="BA106" i="3"/>
  <c r="BN122" i="3"/>
  <c r="AW115" i="3"/>
  <c r="AO238" i="1"/>
  <c r="BM238" i="1"/>
  <c r="AD59" i="1"/>
  <c r="AU25" i="3"/>
  <c r="AO36" i="1"/>
  <c r="BM36" i="1"/>
  <c r="CQ84" i="3"/>
  <c r="BP219" i="3"/>
  <c r="DK219" i="3" s="1"/>
  <c r="AD47" i="1"/>
  <c r="AD181" i="1"/>
  <c r="AV192" i="3"/>
  <c r="AD208" i="1"/>
  <c r="BQ219" i="3"/>
  <c r="BR219" i="3"/>
  <c r="DI41" i="3"/>
  <c r="AM238" i="1"/>
  <c r="AL238" i="1"/>
  <c r="BK238" i="1"/>
  <c r="BJ238" i="1"/>
  <c r="AN238" i="1"/>
  <c r="BT238" i="1" s="1"/>
  <c r="BL238" i="1"/>
  <c r="BD238" i="1"/>
  <c r="AR238" i="1"/>
  <c r="AA147" i="1"/>
  <c r="AA65" i="1"/>
  <c r="AA119" i="1"/>
  <c r="AC119" i="1" s="1"/>
  <c r="AA68" i="1"/>
  <c r="AC68" i="1" s="1"/>
  <c r="AA90" i="1"/>
  <c r="AA55" i="1"/>
  <c r="AA37" i="1"/>
  <c r="AC37" i="1" s="1"/>
  <c r="AA179" i="1"/>
  <c r="AC179" i="1" s="1"/>
  <c r="AA161" i="1"/>
  <c r="AC161" i="1" s="1"/>
  <c r="AA41" i="1"/>
  <c r="AA107" i="1"/>
  <c r="AC107" i="1" s="1"/>
  <c r="AA216" i="1"/>
  <c r="AC216" i="1" s="1"/>
  <c r="AA206" i="1"/>
  <c r="AC206" i="1" s="1"/>
  <c r="AA168" i="1"/>
  <c r="AC168" i="1" s="1"/>
  <c r="AA148" i="1"/>
  <c r="AC148" i="1" s="1"/>
  <c r="AA51" i="1"/>
  <c r="AC51" i="1" s="1"/>
  <c r="AA30" i="1"/>
  <c r="AC30" i="1" s="1"/>
  <c r="AA22" i="1"/>
  <c r="AA213" i="1"/>
  <c r="AA117" i="1"/>
  <c r="AA166" i="1"/>
  <c r="AC166" i="1" s="1"/>
  <c r="AA15" i="1"/>
  <c r="AC15" i="1" s="1"/>
  <c r="AA123" i="1"/>
  <c r="AA228" i="1"/>
  <c r="AC228" i="1" s="1"/>
  <c r="AA95" i="1"/>
  <c r="AC95" i="1" s="1"/>
  <c r="AA171" i="1"/>
  <c r="AC171" i="1" s="1"/>
  <c r="AA180" i="1"/>
  <c r="AA160" i="1"/>
  <c r="AA129" i="1"/>
  <c r="AA127" i="1"/>
  <c r="AA101" i="1"/>
  <c r="AA118" i="1"/>
  <c r="AC118" i="1" s="1"/>
  <c r="AA217" i="1"/>
  <c r="AA96" i="1"/>
  <c r="AC96" i="1" s="1"/>
  <c r="AA185" i="1"/>
  <c r="AA132" i="1"/>
  <c r="AC132" i="1" s="1"/>
  <c r="AA97" i="1"/>
  <c r="AC97" i="1" s="1"/>
  <c r="AA69" i="1"/>
  <c r="AA209" i="1"/>
  <c r="AA167" i="1"/>
  <c r="AC167" i="1" s="1"/>
  <c r="AA72" i="1"/>
  <c r="AA236" i="1"/>
  <c r="AA189" i="1"/>
  <c r="AA142" i="1"/>
  <c r="AC142" i="1" s="1"/>
  <c r="AA61" i="1"/>
  <c r="AC61" i="1" s="1"/>
  <c r="AA102" i="1"/>
  <c r="AA186" i="1"/>
  <c r="AA157" i="1"/>
  <c r="AC157" i="1" s="1"/>
  <c r="AA19" i="1"/>
  <c r="AA162" i="1"/>
  <c r="AA31" i="1"/>
  <c r="AC31" i="1" s="1"/>
  <c r="AA114" i="1"/>
  <c r="AC114" i="1" s="1"/>
  <c r="AA120" i="1"/>
  <c r="AC120" i="1" s="1"/>
  <c r="AA195" i="1"/>
  <c r="AA198" i="1"/>
  <c r="AA212" i="1"/>
  <c r="AC212" i="1" s="1"/>
  <c r="AA146" i="1"/>
  <c r="AA151" i="1"/>
  <c r="AC151" i="1" s="1"/>
  <c r="AA139" i="1"/>
  <c r="AA77" i="1"/>
  <c r="AC77" i="1" s="1"/>
  <c r="AA56" i="1"/>
  <c r="AC56" i="1" s="1"/>
  <c r="AA28" i="1"/>
  <c r="AA226" i="1"/>
  <c r="AC226" i="1" s="1"/>
  <c r="AA208" i="1"/>
  <c r="AC208" i="1" s="1"/>
  <c r="AA93" i="1"/>
  <c r="AA223" i="1"/>
  <c r="AA177" i="1"/>
  <c r="AA137" i="1"/>
  <c r="AA113" i="1"/>
  <c r="AA116" i="1"/>
  <c r="AC116" i="1" s="1"/>
  <c r="AA82" i="1"/>
  <c r="AC82" i="1" s="1"/>
  <c r="AA42" i="1"/>
  <c r="AA38" i="1"/>
  <c r="AC38" i="1" s="1"/>
  <c r="AA53" i="1"/>
  <c r="AC53" i="1" s="1"/>
  <c r="AA215" i="1"/>
  <c r="AA156" i="1"/>
  <c r="AA112" i="1"/>
  <c r="AC112" i="1" s="1"/>
  <c r="AA24" i="1"/>
  <c r="AC24" i="1" s="1"/>
  <c r="AA133" i="1"/>
  <c r="AA200" i="1"/>
  <c r="AC200" i="1" s="1"/>
  <c r="AA128" i="1"/>
  <c r="AC128" i="1" s="1"/>
  <c r="AA230" i="1"/>
  <c r="AA170" i="1"/>
  <c r="AC170" i="1" s="1"/>
  <c r="AA188" i="1"/>
  <c r="AC188" i="1" s="1"/>
  <c r="AA163" i="1"/>
  <c r="AA158" i="1"/>
  <c r="AA103" i="1"/>
  <c r="AA27" i="1"/>
  <c r="AC27" i="1" s="1"/>
  <c r="AA21" i="1"/>
  <c r="AA26" i="1"/>
  <c r="AA111" i="1"/>
  <c r="AA49" i="1"/>
  <c r="AA221" i="1"/>
  <c r="AA199" i="1"/>
  <c r="AA183" i="1"/>
  <c r="AA145" i="1"/>
  <c r="AC145" i="1" s="1"/>
  <c r="AA60" i="1"/>
  <c r="AC60" i="1" s="1"/>
  <c r="AA181" i="1"/>
  <c r="AC181" i="1" s="1"/>
  <c r="AA178" i="1"/>
  <c r="AA106" i="1"/>
  <c r="AC106" i="1" s="1"/>
  <c r="AA229" i="1"/>
  <c r="AA109" i="1"/>
  <c r="AA235" i="1"/>
  <c r="AA110" i="1"/>
  <c r="AC110" i="1" s="1"/>
  <c r="AA20" i="1"/>
  <c r="AA131" i="1"/>
  <c r="AC131" i="1" s="1"/>
  <c r="AA85" i="1"/>
  <c r="AC85" i="1" s="1"/>
  <c r="AA104" i="1"/>
  <c r="AC104" i="1" s="1"/>
  <c r="AA39" i="1"/>
  <c r="AA182" i="1"/>
  <c r="AA63" i="1"/>
  <c r="AA32" i="1"/>
  <c r="AC32" i="1" s="1"/>
  <c r="AA40" i="1"/>
  <c r="AC40" i="1" s="1"/>
  <c r="AA211" i="1"/>
  <c r="AA152" i="1"/>
  <c r="AA130" i="1"/>
  <c r="AA94" i="1"/>
  <c r="AA92" i="1"/>
  <c r="AC92" i="1" s="1"/>
  <c r="AA121" i="1"/>
  <c r="AA124" i="1"/>
  <c r="AC124" i="1" s="1"/>
  <c r="AA126" i="1"/>
  <c r="AC126" i="1" s="1"/>
  <c r="AA196" i="1"/>
  <c r="AA219" i="1"/>
  <c r="AA35" i="1"/>
  <c r="AC35" i="1" s="1"/>
  <c r="AA13" i="1"/>
  <c r="AC13" i="1" s="1"/>
  <c r="AA29" i="1"/>
  <c r="AC29" i="1" s="1"/>
  <c r="AA76" i="1"/>
  <c r="AA191" i="1"/>
  <c r="AA233" i="1"/>
  <c r="AA115" i="1"/>
  <c r="AA203" i="1"/>
  <c r="AA34" i="1"/>
  <c r="AC34" i="1" s="1"/>
  <c r="AA187" i="1"/>
  <c r="AC187" i="1" s="1"/>
  <c r="AA74" i="1"/>
  <c r="AC74" i="1" s="1"/>
  <c r="AA197" i="1"/>
  <c r="AA159" i="1"/>
  <c r="AA87" i="1"/>
  <c r="AA58" i="1"/>
  <c r="AA80" i="1"/>
  <c r="AA222" i="1"/>
  <c r="AA66" i="1"/>
  <c r="AC66" i="1" s="1"/>
  <c r="AA44" i="1"/>
  <c r="AC44" i="1" s="1"/>
  <c r="AA218" i="1"/>
  <c r="AC218" i="1" s="1"/>
  <c r="AA140" i="1"/>
  <c r="AC140" i="1" s="1"/>
  <c r="AA83" i="1"/>
  <c r="AC83" i="1" s="1"/>
  <c r="J250" i="1"/>
  <c r="AA52" i="1"/>
  <c r="AA70" i="1"/>
  <c r="AC70" i="1" s="1"/>
  <c r="AA214" i="1"/>
  <c r="AC214" i="1" s="1"/>
  <c r="AA220" i="1"/>
  <c r="AC220" i="1" s="1"/>
  <c r="AA144" i="1"/>
  <c r="AA16" i="1"/>
  <c r="AA86" i="1"/>
  <c r="AC86" i="1" s="1"/>
  <c r="AA23" i="1"/>
  <c r="AA193" i="1"/>
  <c r="AC193" i="1" s="1"/>
  <c r="AA54" i="1"/>
  <c r="AC54" i="1" s="1"/>
  <c r="AA88" i="1"/>
  <c r="AC88" i="1" s="1"/>
  <c r="AA81" i="1"/>
  <c r="AA75" i="1"/>
  <c r="AA136" i="1"/>
  <c r="AA48" i="1"/>
  <c r="AC48" i="1" s="1"/>
  <c r="AA224" i="1"/>
  <c r="AC224" i="1" s="1"/>
  <c r="AA176" i="1"/>
  <c r="AA169" i="1"/>
  <c r="AA153" i="1"/>
  <c r="AA165" i="1"/>
  <c r="AC165" i="1" s="1"/>
  <c r="AA36" i="1"/>
  <c r="AC36" i="1" s="1"/>
  <c r="AA175" i="1"/>
  <c r="AC175" i="1" s="1"/>
  <c r="AA225" i="1"/>
  <c r="AC225" i="1" s="1"/>
  <c r="AA46" i="1"/>
  <c r="AF80" i="1"/>
  <c r="AF98" i="1"/>
  <c r="AF51" i="1"/>
  <c r="AF227" i="1"/>
  <c r="AF157" i="1"/>
  <c r="AF155" i="1"/>
  <c r="AF84" i="1"/>
  <c r="AF78" i="1"/>
  <c r="AF123" i="1"/>
  <c r="AF25" i="1"/>
  <c r="AF219" i="1"/>
  <c r="AF96" i="1"/>
  <c r="AF134" i="1"/>
  <c r="AF114" i="1"/>
  <c r="AI114" i="1" s="1"/>
  <c r="DO100" i="3"/>
  <c r="AF100" i="1"/>
  <c r="BN32" i="3"/>
  <c r="DZ17" i="3"/>
  <c r="AV27" i="3"/>
  <c r="BO32" i="3"/>
  <c r="BS54" i="3"/>
  <c r="AD54" i="1" s="1"/>
  <c r="BM96" i="3"/>
  <c r="CY96" i="3" s="1"/>
  <c r="BN96" i="3"/>
  <c r="ER192" i="3"/>
  <c r="BR196" i="3"/>
  <c r="AW92" i="3"/>
  <c r="BD179" i="3"/>
  <c r="AW137" i="3"/>
  <c r="BM232" i="3"/>
  <c r="BP156" i="3"/>
  <c r="BR156" i="3" s="1"/>
  <c r="BS196" i="3"/>
  <c r="AT105" i="3"/>
  <c r="AT40" i="3"/>
  <c r="CY40" i="3" s="1"/>
  <c r="DN123" i="3"/>
  <c r="CQ217" i="3"/>
  <c r="BS105" i="3"/>
  <c r="AV40" i="3"/>
  <c r="BR193" i="3"/>
  <c r="BN78" i="3"/>
  <c r="BO78" i="3"/>
  <c r="BB229" i="3"/>
  <c r="BU196" i="3"/>
  <c r="ER141" i="3"/>
  <c r="EZ108" i="3"/>
  <c r="R108" i="1" s="1"/>
  <c r="BC149" i="3"/>
  <c r="ES43" i="3"/>
  <c r="ET43" i="3" s="1"/>
  <c r="AW208" i="3"/>
  <c r="DM145" i="3"/>
  <c r="AF145" i="1"/>
  <c r="BP193" i="3"/>
  <c r="DK193" i="3" s="1"/>
  <c r="CQ53" i="3"/>
  <c r="AF53" i="1"/>
  <c r="BN232" i="3"/>
  <c r="BT196" i="3"/>
  <c r="ER198" i="3"/>
  <c r="ES141" i="3"/>
  <c r="ET141" i="3" s="1"/>
  <c r="BC63" i="3"/>
  <c r="BA90" i="3"/>
  <c r="BD122" i="3"/>
  <c r="EV43" i="3"/>
  <c r="EU43" i="3" s="1"/>
  <c r="EV111" i="3"/>
  <c r="N111" i="1" s="1"/>
  <c r="BA45" i="3"/>
  <c r="CT168" i="3"/>
  <c r="AF168" i="1"/>
  <c r="CS55" i="3"/>
  <c r="AF55" i="1"/>
  <c r="CY41" i="3"/>
  <c r="BQ210" i="3"/>
  <c r="AU137" i="3"/>
  <c r="EZ43" i="3"/>
  <c r="EY43" i="3" s="1"/>
  <c r="EZ111" i="3"/>
  <c r="R111" i="1" s="1"/>
  <c r="DP210" i="3"/>
  <c r="AF210" i="1"/>
  <c r="DI230" i="3"/>
  <c r="AT150" i="3"/>
  <c r="EV141" i="3"/>
  <c r="N141" i="1" s="1"/>
  <c r="M141" i="1" s="1"/>
  <c r="BR210" i="3"/>
  <c r="DZ183" i="3"/>
  <c r="BP174" i="3"/>
  <c r="AV137" i="3"/>
  <c r="BB90" i="3"/>
  <c r="AU92" i="3"/>
  <c r="BM71" i="3"/>
  <c r="DJ71" i="3" s="1"/>
  <c r="AV142" i="3"/>
  <c r="CP74" i="3"/>
  <c r="AF74" i="1"/>
  <c r="CP220" i="3"/>
  <c r="AF220" i="1"/>
  <c r="AI220" i="1" s="1"/>
  <c r="AU138" i="3"/>
  <c r="AT42" i="3"/>
  <c r="EV18" i="3"/>
  <c r="AT172" i="3"/>
  <c r="CY172" i="3" s="1"/>
  <c r="AW15" i="3"/>
  <c r="DK15" i="3"/>
  <c r="BD15" i="3"/>
  <c r="AW138" i="3"/>
  <c r="BP225" i="3"/>
  <c r="DL225" i="3" s="1"/>
  <c r="AV224" i="3"/>
  <c r="BD131" i="3"/>
  <c r="CQ123" i="3"/>
  <c r="CT74" i="3"/>
  <c r="CW74" i="3" s="1"/>
  <c r="CU139" i="3"/>
  <c r="CW139" i="3" s="1"/>
  <c r="AT81" i="3"/>
  <c r="AW42" i="3"/>
  <c r="CR53" i="3"/>
  <c r="AT107" i="3"/>
  <c r="BT107" i="3"/>
  <c r="DK150" i="3"/>
  <c r="CR95" i="3"/>
  <c r="AT138" i="3"/>
  <c r="BO135" i="3"/>
  <c r="ES108" i="3"/>
  <c r="ER18" i="3"/>
  <c r="BD58" i="3"/>
  <c r="BU225" i="3"/>
  <c r="CQ74" i="3"/>
  <c r="CS53" i="3"/>
  <c r="BM227" i="3"/>
  <c r="DI227" i="3" s="1"/>
  <c r="EV161" i="3"/>
  <c r="N161" i="1" s="1"/>
  <c r="EV123" i="3"/>
  <c r="EU123" i="3" s="1"/>
  <c r="EZ79" i="3"/>
  <c r="EY79" i="3" s="1"/>
  <c r="BQ165" i="3"/>
  <c r="EZ161" i="3"/>
  <c r="R161" i="1" s="1"/>
  <c r="EZ123" i="3"/>
  <c r="R123" i="1" s="1"/>
  <c r="Q123" i="1" s="1"/>
  <c r="BT93" i="3"/>
  <c r="AV107" i="3"/>
  <c r="AU41" i="3"/>
  <c r="BQ29" i="3"/>
  <c r="BM17" i="3"/>
  <c r="DI17" i="3" s="1"/>
  <c r="ES190" i="3"/>
  <c r="ET190" i="3" s="1"/>
  <c r="BA131" i="3"/>
  <c r="DL55" i="3"/>
  <c r="AV18" i="3"/>
  <c r="DK134" i="3"/>
  <c r="CP53" i="3"/>
  <c r="BP29" i="3"/>
  <c r="DK29" i="3" s="1"/>
  <c r="CQ232" i="3"/>
  <c r="AW161" i="3"/>
  <c r="BU93" i="3"/>
  <c r="BB110" i="3"/>
  <c r="CQ81" i="3"/>
  <c r="AV41" i="3"/>
  <c r="ES146" i="3"/>
  <c r="ET146" i="3" s="1"/>
  <c r="BA25" i="3"/>
  <c r="DK25" i="3" s="1"/>
  <c r="BA120" i="3"/>
  <c r="BR29" i="3"/>
  <c r="BN17" i="3"/>
  <c r="DK201" i="3"/>
  <c r="AV194" i="3"/>
  <c r="BS225" i="3"/>
  <c r="AD225" i="1" s="1"/>
  <c r="BM179" i="3"/>
  <c r="DI179" i="3" s="1"/>
  <c r="CO53" i="3"/>
  <c r="AU42" i="3"/>
  <c r="AV172" i="3"/>
  <c r="ER161" i="3"/>
  <c r="EV108" i="3"/>
  <c r="EX108" i="3" s="1"/>
  <c r="BP107" i="3"/>
  <c r="DK107" i="3" s="1"/>
  <c r="BR234" i="3"/>
  <c r="BM226" i="3"/>
  <c r="DI226" i="3" s="1"/>
  <c r="ER194" i="3"/>
  <c r="BP155" i="3"/>
  <c r="DK155" i="3" s="1"/>
  <c r="AT206" i="3"/>
  <c r="BB84" i="3"/>
  <c r="BD115" i="3"/>
  <c r="ER146" i="3"/>
  <c r="BS29" i="3"/>
  <c r="DX29" i="3" s="1"/>
  <c r="BU107" i="3"/>
  <c r="BS107" i="3"/>
  <c r="AD107" i="1" s="1"/>
  <c r="AQ107" i="1" s="1"/>
  <c r="BR107" i="3"/>
  <c r="BT225" i="3"/>
  <c r="AU224" i="3"/>
  <c r="AW18" i="3"/>
  <c r="EV221" i="3"/>
  <c r="N221" i="1" s="1"/>
  <c r="EV197" i="3"/>
  <c r="EU197" i="3" s="1"/>
  <c r="EV159" i="3"/>
  <c r="ES194" i="3"/>
  <c r="ET194" i="3" s="1"/>
  <c r="BP196" i="3"/>
  <c r="DK196" i="3" s="1"/>
  <c r="AU206" i="3"/>
  <c r="BD120" i="3"/>
  <c r="BR98" i="3"/>
  <c r="EV146" i="3"/>
  <c r="EU146" i="3" s="1"/>
  <c r="BU29" i="3"/>
  <c r="BT106" i="3"/>
  <c r="BN135" i="3"/>
  <c r="BQ107" i="3"/>
  <c r="AV66" i="3"/>
  <c r="BP98" i="3"/>
  <c r="DK98" i="3" s="1"/>
  <c r="AV171" i="3"/>
  <c r="AT171" i="3"/>
  <c r="CY171" i="3" s="1"/>
  <c r="BS93" i="3"/>
  <c r="DP93" i="3" s="1"/>
  <c r="BC15" i="3"/>
  <c r="AU234" i="3"/>
  <c r="BQ202" i="3"/>
  <c r="BQ196" i="3"/>
  <c r="BR162" i="3"/>
  <c r="BQ162" i="3"/>
  <c r="ES165" i="3"/>
  <c r="BO117" i="3"/>
  <c r="BN117" i="3"/>
  <c r="BM117" i="3"/>
  <c r="DJ117" i="3" s="1"/>
  <c r="BP57" i="3"/>
  <c r="DK57" i="3" s="1"/>
  <c r="BO172" i="3"/>
  <c r="BN80" i="3"/>
  <c r="BM80" i="3"/>
  <c r="DJ80" i="3" s="1"/>
  <c r="EV42" i="3"/>
  <c r="EU42" i="3" s="1"/>
  <c r="EZ42" i="3"/>
  <c r="R42" i="1" s="1"/>
  <c r="CQ40" i="3"/>
  <c r="BC40" i="3"/>
  <c r="BM91" i="3"/>
  <c r="CY91" i="3" s="1"/>
  <c r="BO91" i="3"/>
  <c r="BN91" i="3"/>
  <c r="AT202" i="3"/>
  <c r="AV202" i="3"/>
  <c r="AU202" i="3"/>
  <c r="EZ99" i="3"/>
  <c r="R99" i="1" s="1"/>
  <c r="EV99" i="3"/>
  <c r="EU99" i="3" s="1"/>
  <c r="ES99" i="3"/>
  <c r="ET99" i="3" s="1"/>
  <c r="ER99" i="3"/>
  <c r="ER227" i="3"/>
  <c r="BQ89" i="3"/>
  <c r="BT89" i="3"/>
  <c r="BS89" i="3"/>
  <c r="AD89" i="1" s="1"/>
  <c r="BR89" i="3"/>
  <c r="Q181" i="1"/>
  <c r="O251" i="1" s="1"/>
  <c r="M181" i="1"/>
  <c r="L181" i="1"/>
  <c r="AV217" i="3"/>
  <c r="AU217" i="3"/>
  <c r="AT217" i="3"/>
  <c r="CR125" i="3"/>
  <c r="BN172" i="3"/>
  <c r="BD219" i="3"/>
  <c r="BC219" i="3"/>
  <c r="BC19" i="3"/>
  <c r="EZ71" i="3"/>
  <c r="R71" i="1" s="1"/>
  <c r="Q71" i="1" s="1"/>
  <c r="EV71" i="3"/>
  <c r="EU71" i="3" s="1"/>
  <c r="DI172" i="3"/>
  <c r="AT144" i="3"/>
  <c r="BQ204" i="3"/>
  <c r="BT204" i="3"/>
  <c r="BS204" i="3"/>
  <c r="DY204" i="3" s="1"/>
  <c r="BP204" i="3"/>
  <c r="DK204" i="3" s="1"/>
  <c r="BU204" i="3"/>
  <c r="BO190" i="3"/>
  <c r="BN190" i="3"/>
  <c r="BM190" i="3"/>
  <c r="DJ190" i="3" s="1"/>
  <c r="ER234" i="3"/>
  <c r="EZ234" i="3"/>
  <c r="EY234" i="3" s="1"/>
  <c r="EV234" i="3"/>
  <c r="EU234" i="3" s="1"/>
  <c r="ES234" i="3"/>
  <c r="ET234" i="3" s="1"/>
  <c r="CU208" i="3"/>
  <c r="CV208" i="3" s="1"/>
  <c r="B208" i="3" s="1"/>
  <c r="EZ208" i="3"/>
  <c r="R208" i="1" s="1"/>
  <c r="ES208" i="3"/>
  <c r="EV208" i="3"/>
  <c r="N208" i="1" s="1"/>
  <c r="J62" i="1"/>
  <c r="BT62" i="3"/>
  <c r="BS62" i="3"/>
  <c r="AD62" i="1" s="1"/>
  <c r="BU62" i="3"/>
  <c r="BR62" i="3"/>
  <c r="BP62" i="3"/>
  <c r="DK62" i="3" s="1"/>
  <c r="BQ62" i="3"/>
  <c r="BD143" i="3"/>
  <c r="BA143" i="3"/>
  <c r="BB143" i="3"/>
  <c r="BO40" i="3"/>
  <c r="BN40" i="3"/>
  <c r="BM40" i="3"/>
  <c r="ER93" i="3"/>
  <c r="ES93" i="3"/>
  <c r="ET93" i="3" s="1"/>
  <c r="EZ93" i="3"/>
  <c r="EY93" i="3" s="1"/>
  <c r="EV93" i="3"/>
  <c r="EU93" i="3" s="1"/>
  <c r="AU132" i="3"/>
  <c r="AW219" i="3"/>
  <c r="CQ218" i="3"/>
  <c r="BC218" i="3"/>
  <c r="BD114" i="3"/>
  <c r="BA114" i="3"/>
  <c r="BB114" i="3"/>
  <c r="BC162" i="3"/>
  <c r="BD162" i="3"/>
  <c r="ER165" i="3"/>
  <c r="BM47" i="3"/>
  <c r="DJ47" i="3" s="1"/>
  <c r="BO47" i="3"/>
  <c r="BC171" i="3"/>
  <c r="CQ171" i="3"/>
  <c r="J50" i="1"/>
  <c r="BS50" i="3"/>
  <c r="BP50" i="3"/>
  <c r="BR50" i="3" s="1"/>
  <c r="BM98" i="3"/>
  <c r="DJ98" i="3" s="1"/>
  <c r="BO98" i="3"/>
  <c r="BN98" i="3"/>
  <c r="EV204" i="3"/>
  <c r="N204" i="1" s="1"/>
  <c r="M204" i="1" s="1"/>
  <c r="EZ204" i="3"/>
  <c r="EY204" i="3" s="1"/>
  <c r="ES204" i="3"/>
  <c r="ET204" i="3" s="1"/>
  <c r="ER204" i="3"/>
  <c r="EZ66" i="3"/>
  <c r="R66" i="1" s="1"/>
  <c r="BQ57" i="3"/>
  <c r="BO154" i="3"/>
  <c r="BN154" i="3"/>
  <c r="BM154" i="3"/>
  <c r="DJ154" i="3" s="1"/>
  <c r="EV227" i="3"/>
  <c r="EU227" i="3" s="1"/>
  <c r="CY220" i="3"/>
  <c r="AU162" i="3"/>
  <c r="AV132" i="3"/>
  <c r="DM114" i="3"/>
  <c r="CP114" i="3"/>
  <c r="DP114" i="3"/>
  <c r="CQ89" i="3"/>
  <c r="BA17" i="3"/>
  <c r="DK17" i="3" s="1"/>
  <c r="EZ81" i="3"/>
  <c r="EY81" i="3" s="1"/>
  <c r="EV81" i="3"/>
  <c r="N81" i="1" s="1"/>
  <c r="M81" i="1" s="1"/>
  <c r="EV126" i="3"/>
  <c r="EU126" i="3" s="1"/>
  <c r="ES126" i="3"/>
  <c r="ET126" i="3" s="1"/>
  <c r="AT119" i="3"/>
  <c r="AU119" i="3"/>
  <c r="AV119" i="3"/>
  <c r="BA49" i="3"/>
  <c r="BB49" i="3"/>
  <c r="BC49" i="3"/>
  <c r="BD49" i="3"/>
  <c r="BN157" i="3"/>
  <c r="BM157" i="3"/>
  <c r="DJ157" i="3" s="1"/>
  <c r="BO157" i="3"/>
  <c r="AV83" i="3"/>
  <c r="AU83" i="3"/>
  <c r="AT83" i="3"/>
  <c r="BA128" i="3"/>
  <c r="BC128" i="3"/>
  <c r="BN193" i="3"/>
  <c r="AV144" i="3"/>
  <c r="EZ227" i="3"/>
  <c r="EY227" i="3" s="1"/>
  <c r="AV162" i="3"/>
  <c r="AW132" i="3"/>
  <c r="BN47" i="3"/>
  <c r="BS57" i="3"/>
  <c r="AD57" i="1" s="1"/>
  <c r="BO129" i="3"/>
  <c r="BM129" i="3"/>
  <c r="DJ129" i="3" s="1"/>
  <c r="BN129" i="3"/>
  <c r="BB50" i="3"/>
  <c r="BD50" i="3"/>
  <c r="BC50" i="3"/>
  <c r="BA50" i="3"/>
  <c r="ER189" i="3"/>
  <c r="EV189" i="3"/>
  <c r="EX189" i="3" s="1"/>
  <c r="EZ189" i="3"/>
  <c r="R189" i="1" s="1"/>
  <c r="ES189" i="3"/>
  <c r="BM21" i="3"/>
  <c r="BN21" i="3"/>
  <c r="ES175" i="3"/>
  <c r="ET175" i="3" s="1"/>
  <c r="ER175" i="3"/>
  <c r="EZ175" i="3"/>
  <c r="R175" i="1" s="1"/>
  <c r="EV175" i="3"/>
  <c r="N175" i="1" s="1"/>
  <c r="EZ184" i="3"/>
  <c r="R184" i="1" s="1"/>
  <c r="ER184" i="3"/>
  <c r="EV184" i="3"/>
  <c r="ES184" i="3"/>
  <c r="BT57" i="3"/>
  <c r="BC67" i="3"/>
  <c r="BA67" i="3"/>
  <c r="AT192" i="3"/>
  <c r="BR80" i="3"/>
  <c r="BC207" i="3"/>
  <c r="BC229" i="3"/>
  <c r="DL229" i="3" s="1"/>
  <c r="BU193" i="3"/>
  <c r="BP70" i="3"/>
  <c r="DK70" i="3" s="1"/>
  <c r="DN55" i="3"/>
  <c r="BM77" i="3"/>
  <c r="DJ77" i="3" s="1"/>
  <c r="BD29" i="3"/>
  <c r="BU219" i="3"/>
  <c r="CT220" i="3"/>
  <c r="BN218" i="3"/>
  <c r="AW215" i="3"/>
  <c r="BB225" i="3"/>
  <c r="ES188" i="3"/>
  <c r="ET188" i="3" s="1"/>
  <c r="BT202" i="3"/>
  <c r="CS220" i="3"/>
  <c r="BT174" i="3"/>
  <c r="ER168" i="3"/>
  <c r="AT127" i="3"/>
  <c r="BD56" i="3"/>
  <c r="BC77" i="3"/>
  <c r="CQ145" i="3"/>
  <c r="BN77" i="3"/>
  <c r="EZ103" i="3"/>
  <c r="R103" i="1" s="1"/>
  <c r="Q103" i="1" s="1"/>
  <c r="CO145" i="3"/>
  <c r="BT219" i="3"/>
  <c r="CQ153" i="3"/>
  <c r="BB207" i="3"/>
  <c r="DK174" i="3"/>
  <c r="BC88" i="3"/>
  <c r="AW128" i="3"/>
  <c r="ER52" i="3"/>
  <c r="BA100" i="3"/>
  <c r="BQ174" i="3"/>
  <c r="BO159" i="3"/>
  <c r="CQ220" i="3"/>
  <c r="BM218" i="3"/>
  <c r="DI218" i="3" s="1"/>
  <c r="BD14" i="3"/>
  <c r="BU227" i="3"/>
  <c r="BD225" i="3"/>
  <c r="BS193" i="3"/>
  <c r="AD193" i="1" s="1"/>
  <c r="AQ193" i="1" s="1"/>
  <c r="EV195" i="3"/>
  <c r="N195" i="1" s="1"/>
  <c r="P195" i="1" s="1"/>
  <c r="ER188" i="3"/>
  <c r="BR165" i="3"/>
  <c r="BS174" i="3"/>
  <c r="AD174" i="1" s="1"/>
  <c r="EZ168" i="3"/>
  <c r="EY168" i="3" s="1"/>
  <c r="CU103" i="3"/>
  <c r="BS125" i="3"/>
  <c r="AD125" i="1" s="1"/>
  <c r="CQ70" i="3"/>
  <c r="AU127" i="3"/>
  <c r="DN145" i="3"/>
  <c r="AV60" i="3"/>
  <c r="BD45" i="3"/>
  <c r="ES226" i="3"/>
  <c r="DJ145" i="3"/>
  <c r="BT155" i="3"/>
  <c r="ES103" i="3"/>
  <c r="ET103" i="3" s="1"/>
  <c r="BS202" i="3"/>
  <c r="AD202" i="1" s="1"/>
  <c r="AQ202" i="1" s="1"/>
  <c r="BP227" i="3"/>
  <c r="DK227" i="3" s="1"/>
  <c r="BQ218" i="3"/>
  <c r="BP218" i="3"/>
  <c r="DK218" i="3" s="1"/>
  <c r="EZ218" i="3"/>
  <c r="R218" i="1" s="1"/>
  <c r="ER195" i="3"/>
  <c r="EZ188" i="3"/>
  <c r="EY188" i="3" s="1"/>
  <c r="BS164" i="3"/>
  <c r="AD164" i="1" s="1"/>
  <c r="DI184" i="3"/>
  <c r="ES168" i="3"/>
  <c r="ET168" i="3" s="1"/>
  <c r="BM202" i="3"/>
  <c r="DJ202" i="3" s="1"/>
  <c r="AW102" i="3"/>
  <c r="AT121" i="3"/>
  <c r="AV75" i="3"/>
  <c r="BA117" i="3"/>
  <c r="BT80" i="3"/>
  <c r="BP114" i="3"/>
  <c r="AT60" i="3"/>
  <c r="EV50" i="3"/>
  <c r="EU50" i="3" s="1"/>
  <c r="BD84" i="3"/>
  <c r="ES47" i="3"/>
  <c r="AT73" i="3"/>
  <c r="AU73" i="3"/>
  <c r="BS70" i="3"/>
  <c r="AD70" i="1" s="1"/>
  <c r="AQ70" i="1" s="1"/>
  <c r="AT15" i="3"/>
  <c r="AW47" i="3"/>
  <c r="BD17" i="3"/>
  <c r="AT25" i="3"/>
  <c r="BN159" i="3"/>
  <c r="BC61" i="3"/>
  <c r="CR223" i="3"/>
  <c r="BP80" i="3"/>
  <c r="DK80" i="3" s="1"/>
  <c r="BQ193" i="3"/>
  <c r="CO55" i="3"/>
  <c r="BO126" i="3"/>
  <c r="BN126" i="3"/>
  <c r="BQ80" i="3"/>
  <c r="ER68" i="3"/>
  <c r="BN231" i="3"/>
  <c r="BA207" i="3"/>
  <c r="BT193" i="3"/>
  <c r="ES195" i="3"/>
  <c r="BP165" i="3"/>
  <c r="ER149" i="3"/>
  <c r="BU80" i="3"/>
  <c r="BQ114" i="3"/>
  <c r="EZ50" i="3"/>
  <c r="R50" i="1" s="1"/>
  <c r="ER39" i="3"/>
  <c r="BP54" i="3"/>
  <c r="BR54" i="3" s="1"/>
  <c r="BU70" i="3"/>
  <c r="ES50" i="3"/>
  <c r="ET50" i="3" s="1"/>
  <c r="DO47" i="3"/>
  <c r="K47" i="1"/>
  <c r="DW47" i="3"/>
  <c r="DJ78" i="3"/>
  <c r="DI78" i="3"/>
  <c r="EU173" i="3"/>
  <c r="N173" i="1"/>
  <c r="M173" i="1" s="1"/>
  <c r="EU231" i="3"/>
  <c r="N231" i="1"/>
  <c r="M231" i="1" s="1"/>
  <c r="CR123" i="3"/>
  <c r="AV123" i="1"/>
  <c r="J73" i="1"/>
  <c r="BP73" i="3"/>
  <c r="DK73" i="3" s="1"/>
  <c r="BU73" i="3"/>
  <c r="BO226" i="3"/>
  <c r="ES162" i="3"/>
  <c r="EY152" i="3"/>
  <c r="R152" i="1"/>
  <c r="Q152" i="1" s="1"/>
  <c r="ES176" i="3"/>
  <c r="J192" i="1"/>
  <c r="BU192" i="3"/>
  <c r="BT157" i="3"/>
  <c r="K157" i="1"/>
  <c r="EY40" i="3"/>
  <c r="R40" i="1"/>
  <c r="Q40" i="1" s="1"/>
  <c r="BC79" i="3"/>
  <c r="CQ79" i="3"/>
  <c r="DI134" i="3"/>
  <c r="BU135" i="3"/>
  <c r="AV30" i="3"/>
  <c r="BU232" i="3"/>
  <c r="J232" i="1"/>
  <c r="AU197" i="1"/>
  <c r="CQ197" i="3"/>
  <c r="BN204" i="3"/>
  <c r="BC47" i="3"/>
  <c r="AU47" i="1"/>
  <c r="BP125" i="3"/>
  <c r="DK125" i="3" s="1"/>
  <c r="J125" i="1"/>
  <c r="BT125" i="3"/>
  <c r="J105" i="1"/>
  <c r="BR105" i="3"/>
  <c r="BQ105" i="3"/>
  <c r="BU105" i="3"/>
  <c r="CQ119" i="3"/>
  <c r="BC119" i="3"/>
  <c r="BC62" i="3"/>
  <c r="BM29" i="3"/>
  <c r="DJ29" i="3" s="1"/>
  <c r="BN29" i="3"/>
  <c r="EU41" i="3"/>
  <c r="N41" i="1"/>
  <c r="CQ27" i="3"/>
  <c r="AU27" i="1"/>
  <c r="EX184" i="3"/>
  <c r="N184" i="1"/>
  <c r="P184" i="1" s="1"/>
  <c r="EU59" i="3"/>
  <c r="N59" i="1"/>
  <c r="M59" i="1" s="1"/>
  <c r="CQ15" i="3"/>
  <c r="K15" i="1"/>
  <c r="L15" i="1" s="1"/>
  <c r="BN25" i="3"/>
  <c r="BO25" i="3"/>
  <c r="BM25" i="3"/>
  <c r="EU96" i="3"/>
  <c r="N96" i="1"/>
  <c r="BS108" i="3"/>
  <c r="AD108" i="1" s="1"/>
  <c r="J108" i="1"/>
  <c r="BQ108" i="3"/>
  <c r="ER32" i="3"/>
  <c r="ES32" i="3"/>
  <c r="EV32" i="3"/>
  <c r="N32" i="1" s="1"/>
  <c r="P32" i="1" s="1"/>
  <c r="EZ198" i="3"/>
  <c r="ES198" i="3"/>
  <c r="ET198" i="3" s="1"/>
  <c r="BM234" i="3"/>
  <c r="BO234" i="3"/>
  <c r="BN234" i="3"/>
  <c r="K80" i="1"/>
  <c r="L80" i="1" s="1"/>
  <c r="BT73" i="3"/>
  <c r="BO107" i="3"/>
  <c r="BM107" i="3"/>
  <c r="DI107" i="3" s="1"/>
  <c r="BP192" i="3"/>
  <c r="DK192" i="3" s="1"/>
  <c r="BR178" i="3"/>
  <c r="BT192" i="3"/>
  <c r="EU114" i="3"/>
  <c r="N114" i="1"/>
  <c r="M114" i="1" s="1"/>
  <c r="BP71" i="3"/>
  <c r="BQ71" i="3" s="1"/>
  <c r="J71" i="1"/>
  <c r="BP67" i="3"/>
  <c r="BR67" i="3" s="1"/>
  <c r="J67" i="1"/>
  <c r="K219" i="1"/>
  <c r="AT146" i="3"/>
  <c r="EU236" i="3"/>
  <c r="N236" i="1"/>
  <c r="M236" i="1" s="1"/>
  <c r="BU138" i="3"/>
  <c r="J138" i="1"/>
  <c r="EY205" i="3"/>
  <c r="R205" i="1"/>
  <c r="Q205" i="1" s="1"/>
  <c r="ER91" i="3"/>
  <c r="EV91" i="3"/>
  <c r="AV35" i="3"/>
  <c r="J14" i="1"/>
  <c r="BR14" i="3"/>
  <c r="BQ14" i="3"/>
  <c r="K134" i="1"/>
  <c r="DM25" i="3"/>
  <c r="K25" i="1"/>
  <c r="L25" i="1" s="1"/>
  <c r="BC164" i="3"/>
  <c r="AU164" i="1"/>
  <c r="CQ164" i="3"/>
  <c r="AV159" i="3"/>
  <c r="AU159" i="3"/>
  <c r="AT159" i="3"/>
  <c r="CY159" i="3" s="1"/>
  <c r="ES31" i="3"/>
  <c r="ET31" i="3" s="1"/>
  <c r="ER31" i="3"/>
  <c r="ES66" i="3"/>
  <c r="EV66" i="3"/>
  <c r="N66" i="1" s="1"/>
  <c r="P66" i="1" s="1"/>
  <c r="BP47" i="3"/>
  <c r="DK47" i="3" s="1"/>
  <c r="J47" i="1"/>
  <c r="BR47" i="3"/>
  <c r="CQ194" i="3"/>
  <c r="BS178" i="3"/>
  <c r="DM178" i="3" s="1"/>
  <c r="N260" i="1"/>
  <c r="N249" i="1"/>
  <c r="P238" i="1"/>
  <c r="DP166" i="3"/>
  <c r="K166" i="1"/>
  <c r="L166" i="1" s="1"/>
  <c r="BO209" i="3"/>
  <c r="BD145" i="3"/>
  <c r="BQ47" i="3"/>
  <c r="CQ231" i="3"/>
  <c r="K227" i="1"/>
  <c r="L227" i="1" s="1"/>
  <c r="K260" i="1"/>
  <c r="K249" i="1"/>
  <c r="CU176" i="3"/>
  <c r="CW176" i="3" s="1"/>
  <c r="AU214" i="3"/>
  <c r="BT178" i="3"/>
  <c r="BO165" i="3"/>
  <c r="BD154" i="3"/>
  <c r="BS149" i="3"/>
  <c r="AD149" i="1" s="1"/>
  <c r="EY85" i="3"/>
  <c r="R85" i="1"/>
  <c r="DM59" i="3"/>
  <c r="K59" i="1"/>
  <c r="L59" i="1" s="1"/>
  <c r="CQ47" i="3"/>
  <c r="BO31" i="3"/>
  <c r="BP105" i="3"/>
  <c r="DK105" i="3" s="1"/>
  <c r="ES173" i="3"/>
  <c r="ET173" i="3" s="1"/>
  <c r="BT47" i="3"/>
  <c r="BU234" i="3"/>
  <c r="J234" i="1"/>
  <c r="BM204" i="3"/>
  <c r="EU127" i="3"/>
  <c r="N127" i="1"/>
  <c r="M127" i="1" s="1"/>
  <c r="BA116" i="3"/>
  <c r="BC116" i="3"/>
  <c r="ER107" i="3"/>
  <c r="EV107" i="3"/>
  <c r="BD128" i="3"/>
  <c r="BB128" i="3"/>
  <c r="ER98" i="3"/>
  <c r="EV98" i="3"/>
  <c r="ES98" i="3"/>
  <c r="ET98" i="3" s="1"/>
  <c r="BD67" i="3"/>
  <c r="BB67" i="3"/>
  <c r="DZ55" i="3"/>
  <c r="AV55" i="1"/>
  <c r="EY217" i="3"/>
  <c r="R217" i="1"/>
  <c r="Q217" i="1" s="1"/>
  <c r="CR127" i="3"/>
  <c r="AV127" i="1"/>
  <c r="EY143" i="3"/>
  <c r="R143" i="1"/>
  <c r="Q143" i="1" s="1"/>
  <c r="DZ123" i="3"/>
  <c r="BU194" i="3"/>
  <c r="J194" i="1"/>
  <c r="EV15" i="3"/>
  <c r="ES15" i="3"/>
  <c r="ET15" i="3" s="1"/>
  <c r="EZ231" i="3"/>
  <c r="EY231" i="3" s="1"/>
  <c r="ER231" i="3"/>
  <c r="BN106" i="3"/>
  <c r="BU172" i="3"/>
  <c r="J172" i="1"/>
  <c r="BR172" i="3"/>
  <c r="AV170" i="3"/>
  <c r="AT170" i="3"/>
  <c r="AU170" i="3"/>
  <c r="BC41" i="3"/>
  <c r="CQ41" i="3"/>
  <c r="K155" i="1"/>
  <c r="BM209" i="3"/>
  <c r="DI209" i="3" s="1"/>
  <c r="ES129" i="3"/>
  <c r="ET129" i="3" s="1"/>
  <c r="EU175" i="3"/>
  <c r="EZ129" i="3"/>
  <c r="BM31" i="3"/>
  <c r="DJ31" i="3" s="1"/>
  <c r="ES236" i="3"/>
  <c r="ET236" i="3" s="1"/>
  <c r="AT184" i="3"/>
  <c r="CY184" i="3" s="1"/>
  <c r="AV214" i="3"/>
  <c r="EU161" i="3"/>
  <c r="BC154" i="3"/>
  <c r="DL154" i="3" s="1"/>
  <c r="BA154" i="3"/>
  <c r="DK154" i="3" s="1"/>
  <c r="EZ173" i="3"/>
  <c r="BU47" i="3"/>
  <c r="EY98" i="3"/>
  <c r="R98" i="1"/>
  <c r="Q98" i="1" s="1"/>
  <c r="BT154" i="3"/>
  <c r="J154" i="1"/>
  <c r="BR154" i="3"/>
  <c r="BU154" i="3"/>
  <c r="EX165" i="3"/>
  <c r="BN70" i="3"/>
  <c r="BM70" i="3"/>
  <c r="DI70" i="3" s="1"/>
  <c r="EU85" i="3"/>
  <c r="N85" i="1"/>
  <c r="ES107" i="3"/>
  <c r="ET107" i="3" s="1"/>
  <c r="EZ65" i="3"/>
  <c r="EV65" i="3"/>
  <c r="ES65" i="3"/>
  <c r="ET65" i="3" s="1"/>
  <c r="BS192" i="3"/>
  <c r="AD192" i="1" s="1"/>
  <c r="BU57" i="3"/>
  <c r="J57" i="1"/>
  <c r="BN183" i="3"/>
  <c r="BM183" i="3"/>
  <c r="DJ183" i="3" s="1"/>
  <c r="DY124" i="3"/>
  <c r="AU124" i="1"/>
  <c r="BB135" i="3"/>
  <c r="J253" i="1"/>
  <c r="EY179" i="3"/>
  <c r="R179" i="1"/>
  <c r="Q179" i="1" s="1"/>
  <c r="AU17" i="1"/>
  <c r="BC17" i="3"/>
  <c r="DL17" i="3" s="1"/>
  <c r="EY107" i="3"/>
  <c r="R107" i="1"/>
  <c r="DM96" i="3"/>
  <c r="K96" i="1"/>
  <c r="EU152" i="3"/>
  <c r="N152" i="1"/>
  <c r="M152" i="1" s="1"/>
  <c r="BS73" i="3"/>
  <c r="AD73" i="1" s="1"/>
  <c r="AQ73" i="1" s="1"/>
  <c r="BP190" i="3"/>
  <c r="DK190" i="3" s="1"/>
  <c r="J190" i="1"/>
  <c r="AV151" i="3"/>
  <c r="AU151" i="3"/>
  <c r="AT151" i="3"/>
  <c r="DX214" i="3"/>
  <c r="AT214" i="1"/>
  <c r="K145" i="1"/>
  <c r="L145" i="1" s="1"/>
  <c r="DO145" i="3"/>
  <c r="CP145" i="3"/>
  <c r="CR145" i="3"/>
  <c r="DP145" i="3"/>
  <c r="CQ107" i="3"/>
  <c r="BC107" i="3"/>
  <c r="BP157" i="3"/>
  <c r="BQ157" i="3" s="1"/>
  <c r="EY146" i="3"/>
  <c r="R146" i="1"/>
  <c r="EU70" i="3"/>
  <c r="N70" i="1"/>
  <c r="M70" i="1" s="1"/>
  <c r="BT231" i="3"/>
  <c r="J231" i="1"/>
  <c r="EY75" i="3"/>
  <c r="R75" i="1"/>
  <c r="Q75" i="1" s="1"/>
  <c r="BM65" i="3"/>
  <c r="BN65" i="3"/>
  <c r="J78" i="1"/>
  <c r="BQ78" i="3"/>
  <c r="BP78" i="3"/>
  <c r="DK78" i="3" s="1"/>
  <c r="BU78" i="3"/>
  <c r="BQ149" i="3"/>
  <c r="J149" i="1"/>
  <c r="R260" i="1"/>
  <c r="P249" i="1"/>
  <c r="BU178" i="3"/>
  <c r="BN165" i="3"/>
  <c r="AT30" i="3"/>
  <c r="EU103" i="3"/>
  <c r="N103" i="1"/>
  <c r="M103" i="1" s="1"/>
  <c r="BM236" i="3"/>
  <c r="DJ236" i="3" s="1"/>
  <c r="EU219" i="3"/>
  <c r="N219" i="1"/>
  <c r="AV184" i="3"/>
  <c r="ER179" i="3"/>
  <c r="BN164" i="3"/>
  <c r="BD167" i="3"/>
  <c r="BB167" i="3"/>
  <c r="BN107" i="3"/>
  <c r="EV142" i="3"/>
  <c r="N142" i="1" s="1"/>
  <c r="P142" i="1" s="1"/>
  <c r="BM79" i="3"/>
  <c r="DJ79" i="3" s="1"/>
  <c r="EZ32" i="3"/>
  <c r="R32" i="1" s="1"/>
  <c r="DW98" i="3"/>
  <c r="K98" i="1"/>
  <c r="L98" i="1" s="1"/>
  <c r="ER173" i="3"/>
  <c r="EY71" i="3"/>
  <c r="EV58" i="3"/>
  <c r="EU18" i="3"/>
  <c r="N18" i="1"/>
  <c r="ES221" i="3"/>
  <c r="EZ221" i="3"/>
  <c r="R221" i="1" s="1"/>
  <c r="CU221" i="3"/>
  <c r="CW221" i="3" s="1"/>
  <c r="CQ125" i="3"/>
  <c r="AU125" i="1"/>
  <c r="EU165" i="3"/>
  <c r="BR227" i="3"/>
  <c r="J227" i="1"/>
  <c r="BU155" i="3"/>
  <c r="J155" i="1"/>
  <c r="BQ155" i="3"/>
  <c r="BR155" i="3"/>
  <c r="BR192" i="3"/>
  <c r="J150" i="1"/>
  <c r="BS150" i="3"/>
  <c r="AD150" i="1" s="1"/>
  <c r="BR150" i="3"/>
  <c r="BT150" i="3"/>
  <c r="DP78" i="3"/>
  <c r="K78" i="1"/>
  <c r="EY141" i="3"/>
  <c r="R141" i="1"/>
  <c r="Q141" i="1" s="1"/>
  <c r="N243" i="1"/>
  <c r="AV124" i="1"/>
  <c r="DZ124" i="3"/>
  <c r="BT135" i="3"/>
  <c r="J135" i="1"/>
  <c r="BQ135" i="3"/>
  <c r="L176" i="1"/>
  <c r="M176" i="1"/>
  <c r="AU146" i="3"/>
  <c r="DY17" i="3"/>
  <c r="BN15" i="3"/>
  <c r="AF15" i="1" s="1"/>
  <c r="BM15" i="3"/>
  <c r="CT145" i="3"/>
  <c r="BU33" i="3"/>
  <c r="J33" i="1"/>
  <c r="EU159" i="3"/>
  <c r="N159" i="1"/>
  <c r="M159" i="1" s="1"/>
  <c r="BO132" i="3"/>
  <c r="BN132" i="3"/>
  <c r="BM132" i="3"/>
  <c r="EZ166" i="3"/>
  <c r="EZ232" i="3"/>
  <c r="EY232" i="3" s="1"/>
  <c r="ES232" i="3"/>
  <c r="ET232" i="3" s="1"/>
  <c r="J143" i="1"/>
  <c r="BU143" i="3"/>
  <c r="BS143" i="3"/>
  <c r="CO143" i="3" s="1"/>
  <c r="ES231" i="3"/>
  <c r="ET231" i="3" s="1"/>
  <c r="K196" i="1"/>
  <c r="EU25" i="3"/>
  <c r="N25" i="1"/>
  <c r="M25" i="1" s="1"/>
  <c r="BP226" i="3"/>
  <c r="DK226" i="3" s="1"/>
  <c r="EY219" i="3"/>
  <c r="R219" i="1"/>
  <c r="EU207" i="3"/>
  <c r="N207" i="1"/>
  <c r="BQ192" i="3"/>
  <c r="ER197" i="3"/>
  <c r="EU194" i="3"/>
  <c r="N194" i="1"/>
  <c r="M194" i="1" s="1"/>
  <c r="EV179" i="3"/>
  <c r="BO164" i="3"/>
  <c r="EY123" i="3"/>
  <c r="DP100" i="3"/>
  <c r="K100" i="1"/>
  <c r="ER142" i="3"/>
  <c r="BN79" i="3"/>
  <c r="BD97" i="3"/>
  <c r="BQ73" i="3"/>
  <c r="BD215" i="3"/>
  <c r="BB215" i="3"/>
  <c r="J89" i="1"/>
  <c r="BP89" i="3"/>
  <c r="BU89" i="3"/>
  <c r="K55" i="1"/>
  <c r="CT55" i="3"/>
  <c r="EY161" i="3"/>
  <c r="N108" i="1"/>
  <c r="P108" i="1" s="1"/>
  <c r="CW39" i="3"/>
  <c r="DM18" i="3"/>
  <c r="K18" i="1"/>
  <c r="EY25" i="3"/>
  <c r="R25" i="1"/>
  <c r="Q25" i="1" s="1"/>
  <c r="BR204" i="3"/>
  <c r="J204" i="1"/>
  <c r="BR205" i="3"/>
  <c r="J205" i="1"/>
  <c r="K123" i="1"/>
  <c r="L123" i="1" s="1"/>
  <c r="EY70" i="3"/>
  <c r="R70" i="1"/>
  <c r="Q70" i="1" s="1"/>
  <c r="BS122" i="3"/>
  <c r="DM122" i="3" s="1"/>
  <c r="J122" i="1"/>
  <c r="CR105" i="3"/>
  <c r="AV105" i="1"/>
  <c r="BC123" i="3"/>
  <c r="DL123" i="3" s="1"/>
  <c r="AU123" i="1"/>
  <c r="ER79" i="3"/>
  <c r="ES79" i="3"/>
  <c r="ET79" i="3" s="1"/>
  <c r="BC212" i="3"/>
  <c r="AU212" i="1"/>
  <c r="EU188" i="3"/>
  <c r="N188" i="1"/>
  <c r="BT141" i="3"/>
  <c r="J141" i="1"/>
  <c r="AW207" i="3"/>
  <c r="CQ181" i="3"/>
  <c r="K181" i="1"/>
  <c r="BT210" i="3"/>
  <c r="J210" i="1"/>
  <c r="K53" i="1"/>
  <c r="R188" i="1"/>
  <c r="EY194" i="3"/>
  <c r="R194" i="1"/>
  <c r="Q194" i="1" s="1"/>
  <c r="EU81" i="3"/>
  <c r="DP50" i="3"/>
  <c r="K50" i="1"/>
  <c r="BP202" i="3"/>
  <c r="DK202" i="3" s="1"/>
  <c r="J202" i="1"/>
  <c r="CR104" i="3"/>
  <c r="AV104" i="1"/>
  <c r="EU79" i="3"/>
  <c r="N79" i="1"/>
  <c r="CR168" i="3"/>
  <c r="K168" i="1"/>
  <c r="L168" i="1" s="1"/>
  <c r="BU184" i="3"/>
  <c r="J184" i="1"/>
  <c r="CR130" i="3"/>
  <c r="AV130" i="1"/>
  <c r="BQ99" i="3"/>
  <c r="J99" i="1"/>
  <c r="BU45" i="3"/>
  <c r="J45" i="1"/>
  <c r="EX55" i="3"/>
  <c r="N55" i="1"/>
  <c r="P55" i="1" s="1"/>
  <c r="EU141" i="3"/>
  <c r="CP84" i="3"/>
  <c r="K84" i="1"/>
  <c r="K114" i="1"/>
  <c r="L114" i="1" s="1"/>
  <c r="CR210" i="3"/>
  <c r="K210" i="1"/>
  <c r="BP122" i="3"/>
  <c r="DL122" i="3" s="1"/>
  <c r="AW55" i="3"/>
  <c r="BM81" i="3"/>
  <c r="AW114" i="3"/>
  <c r="BN26" i="3"/>
  <c r="CR211" i="3"/>
  <c r="AV211" i="1"/>
  <c r="BQ173" i="3"/>
  <c r="J173" i="1"/>
  <c r="BC209" i="3"/>
  <c r="AU209" i="1"/>
  <c r="DZ220" i="3"/>
  <c r="AV220" i="1"/>
  <c r="CR94" i="3"/>
  <c r="AV94" i="1"/>
  <c r="EY59" i="3"/>
  <c r="R59" i="1"/>
  <c r="Q59" i="1" s="1"/>
  <c r="BP18" i="3"/>
  <c r="BQ18" i="3" s="1"/>
  <c r="J18" i="1"/>
  <c r="EU80" i="3"/>
  <c r="N80" i="1"/>
  <c r="M80" i="1" s="1"/>
  <c r="BC165" i="3"/>
  <c r="BO26" i="3"/>
  <c r="BS201" i="3"/>
  <c r="AD201" i="1" s="1"/>
  <c r="AQ201" i="1" s="1"/>
  <c r="J201" i="1"/>
  <c r="BT207" i="3"/>
  <c r="J207" i="1"/>
  <c r="DY220" i="3"/>
  <c r="AU220" i="1"/>
  <c r="EX149" i="3"/>
  <c r="N149" i="1"/>
  <c r="P149" i="1" s="1"/>
  <c r="DI159" i="3"/>
  <c r="BT91" i="3"/>
  <c r="J91" i="1"/>
  <c r="BQ98" i="3"/>
  <c r="J98" i="1"/>
  <c r="EU168" i="3"/>
  <c r="N168" i="1"/>
  <c r="M168" i="1" s="1"/>
  <c r="CY145" i="3"/>
  <c r="CO74" i="3"/>
  <c r="K74" i="1"/>
  <c r="CQ202" i="3"/>
  <c r="AU202" i="1"/>
  <c r="BQ25" i="3"/>
  <c r="J25" i="1"/>
  <c r="BS43" i="3"/>
  <c r="J43" i="1"/>
  <c r="AV223" i="1"/>
  <c r="DZ223" i="3"/>
  <c r="CQ165" i="3"/>
  <c r="BT164" i="3"/>
  <c r="J164" i="1"/>
  <c r="BT59" i="3"/>
  <c r="J59" i="1"/>
  <c r="BU79" i="3"/>
  <c r="J79" i="1"/>
  <c r="CP51" i="3"/>
  <c r="K51" i="1"/>
  <c r="BS64" i="3"/>
  <c r="AD64" i="1" s="1"/>
  <c r="J64" i="1"/>
  <c r="EY87" i="3"/>
  <c r="R87" i="1"/>
  <c r="Q87" i="1" s="1"/>
  <c r="AU15" i="3"/>
  <c r="BU17" i="3"/>
  <c r="J17" i="1"/>
  <c r="BP84" i="3"/>
  <c r="DL84" i="3" s="1"/>
  <c r="J84" i="1"/>
  <c r="BP100" i="3"/>
  <c r="J100" i="1"/>
  <c r="BU174" i="3"/>
  <c r="J174" i="1"/>
  <c r="J134" i="1"/>
  <c r="BT134" i="3"/>
  <c r="EV176" i="3"/>
  <c r="N176" i="1" s="1"/>
  <c r="BR173" i="3"/>
  <c r="CR55" i="3"/>
  <c r="AU105" i="3"/>
  <c r="BM14" i="3"/>
  <c r="DI14" i="3" s="1"/>
  <c r="BR43" i="3"/>
  <c r="DL145" i="3"/>
  <c r="AV24" i="3"/>
  <c r="BS234" i="3"/>
  <c r="AD234" i="1" s="1"/>
  <c r="ER236" i="3"/>
  <c r="AT234" i="3"/>
  <c r="CR220" i="3"/>
  <c r="CQ209" i="3"/>
  <c r="EZ197" i="3"/>
  <c r="BC174" i="3"/>
  <c r="BR190" i="3"/>
  <c r="EZ165" i="3"/>
  <c r="R165" i="1" s="1"/>
  <c r="ES155" i="3"/>
  <c r="BU149" i="3"/>
  <c r="BU59" i="3"/>
  <c r="EV129" i="3"/>
  <c r="ES142" i="3"/>
  <c r="DP47" i="3"/>
  <c r="BS173" i="3"/>
  <c r="BC53" i="3"/>
  <c r="DL53" i="3" s="1"/>
  <c r="ER47" i="3"/>
  <c r="ES20" i="3"/>
  <c r="EZ55" i="3"/>
  <c r="R55" i="1" s="1"/>
  <c r="ER126" i="3"/>
  <c r="BN14" i="3"/>
  <c r="ES18" i="3"/>
  <c r="ET18" i="3" s="1"/>
  <c r="BD161" i="3"/>
  <c r="AU24" i="3"/>
  <c r="BT190" i="3"/>
  <c r="BS17" i="3"/>
  <c r="AW234" i="3"/>
  <c r="BU231" i="3"/>
  <c r="AU219" i="3"/>
  <c r="AW210" i="3"/>
  <c r="ER217" i="3"/>
  <c r="BO175" i="3"/>
  <c r="CR181" i="3"/>
  <c r="AT175" i="3"/>
  <c r="CY175" i="3" s="1"/>
  <c r="BU190" i="3"/>
  <c r="EV205" i="3"/>
  <c r="BA157" i="3"/>
  <c r="BN174" i="3"/>
  <c r="BQ184" i="3"/>
  <c r="AV93" i="3"/>
  <c r="EZ91" i="3"/>
  <c r="ES166" i="3"/>
  <c r="ET166" i="3" s="1"/>
  <c r="BB166" i="3"/>
  <c r="EV75" i="3"/>
  <c r="BB53" i="3"/>
  <c r="BT64" i="3"/>
  <c r="AU33" i="3"/>
  <c r="BQ64" i="3"/>
  <c r="BT173" i="3"/>
  <c r="CU102" i="3"/>
  <c r="CV102" i="3" s="1"/>
  <c r="B102" i="3" s="1"/>
  <c r="BS71" i="3"/>
  <c r="AD71" i="1" s="1"/>
  <c r="EZ47" i="3"/>
  <c r="R47" i="1" s="1"/>
  <c r="AV44" i="3"/>
  <c r="EZ126" i="3"/>
  <c r="BC58" i="3"/>
  <c r="DL58" i="3" s="1"/>
  <c r="BS33" i="3"/>
  <c r="AD33" i="1" s="1"/>
  <c r="AU112" i="3"/>
  <c r="BN59" i="3"/>
  <c r="BS190" i="3"/>
  <c r="DM190" i="3" s="1"/>
  <c r="ER205" i="3"/>
  <c r="BC140" i="3"/>
  <c r="EZ236" i="3"/>
  <c r="EY236" i="3" s="1"/>
  <c r="AT219" i="3"/>
  <c r="AW112" i="3"/>
  <c r="BP64" i="3"/>
  <c r="DK64" i="3" s="1"/>
  <c r="BP173" i="3"/>
  <c r="DK173" i="3" s="1"/>
  <c r="BT45" i="3"/>
  <c r="DP227" i="3"/>
  <c r="BR231" i="3"/>
  <c r="BP231" i="3"/>
  <c r="DK231" i="3" s="1"/>
  <c r="AV219" i="3"/>
  <c r="BR207" i="3"/>
  <c r="AU175" i="3"/>
  <c r="AT187" i="3"/>
  <c r="CU168" i="3"/>
  <c r="CV168" i="3" s="1"/>
  <c r="B168" i="3" s="1"/>
  <c r="ER193" i="3"/>
  <c r="BO174" i="3"/>
  <c r="BR184" i="3"/>
  <c r="BB116" i="3"/>
  <c r="EV166" i="3"/>
  <c r="BC74" i="3"/>
  <c r="DI64" i="3"/>
  <c r="BD53" i="3"/>
  <c r="DN15" i="3"/>
  <c r="AV33" i="3"/>
  <c r="BR64" i="3"/>
  <c r="AU44" i="3"/>
  <c r="AT62" i="3"/>
  <c r="ER20" i="3"/>
  <c r="BQ33" i="3"/>
  <c r="BT194" i="3"/>
  <c r="BO59" i="3"/>
  <c r="BP184" i="3"/>
  <c r="DK184" i="3" s="1"/>
  <c r="AT112" i="3"/>
  <c r="CY112" i="3" s="1"/>
  <c r="BR232" i="3"/>
  <c r="AU187" i="3"/>
  <c r="ES193" i="3"/>
  <c r="BS184" i="3"/>
  <c r="CU111" i="3"/>
  <c r="CV111" i="3" s="1"/>
  <c r="B111" i="3" s="1"/>
  <c r="BA58" i="3"/>
  <c r="DK58" i="3" s="1"/>
  <c r="CP15" i="3"/>
  <c r="CO181" i="3"/>
  <c r="BR17" i="3"/>
  <c r="BM24" i="3"/>
  <c r="DI24" i="3" s="1"/>
  <c r="BR33" i="3"/>
  <c r="BA43" i="3"/>
  <c r="DK43" i="3" s="1"/>
  <c r="BR194" i="3"/>
  <c r="BM162" i="3"/>
  <c r="DJ162" i="3" s="1"/>
  <c r="DK135" i="3"/>
  <c r="EV193" i="3"/>
  <c r="N193" i="1" s="1"/>
  <c r="DW168" i="3"/>
  <c r="BT184" i="3"/>
  <c r="ER138" i="3"/>
  <c r="BC125" i="3"/>
  <c r="DX47" i="3"/>
  <c r="BN64" i="3"/>
  <c r="BM54" i="3"/>
  <c r="DJ54" i="3" s="1"/>
  <c r="AV38" i="3"/>
  <c r="BN24" i="3"/>
  <c r="BT33" i="3"/>
  <c r="CU20" i="3"/>
  <c r="CW20" i="3" s="1"/>
  <c r="BQ79" i="3"/>
  <c r="BS232" i="3"/>
  <c r="DP232" i="3" s="1"/>
  <c r="BS207" i="3"/>
  <c r="AD207" i="1" s="1"/>
  <c r="BT232" i="3"/>
  <c r="BS231" i="3"/>
  <c r="AD231" i="1" s="1"/>
  <c r="BN192" i="3"/>
  <c r="BP207" i="3"/>
  <c r="BM149" i="3"/>
  <c r="DJ149" i="3" s="1"/>
  <c r="BT138" i="3"/>
  <c r="DX168" i="3"/>
  <c r="BA166" i="3"/>
  <c r="DK166" i="3" s="1"/>
  <c r="ES138" i="3"/>
  <c r="BR135" i="3"/>
  <c r="AW108" i="3"/>
  <c r="AT47" i="3"/>
  <c r="BO64" i="3"/>
  <c r="BN54" i="3"/>
  <c r="AT38" i="3"/>
  <c r="AU62" i="3"/>
  <c r="BQ194" i="3"/>
  <c r="BD220" i="3"/>
  <c r="BQ231" i="3"/>
  <c r="ES205" i="3"/>
  <c r="ET205" i="3" s="1"/>
  <c r="BT108" i="3"/>
  <c r="BR108" i="3"/>
  <c r="BU64" i="3"/>
  <c r="BM192" i="3"/>
  <c r="CS181" i="3"/>
  <c r="CQ212" i="3"/>
  <c r="ER218" i="3"/>
  <c r="BN197" i="3"/>
  <c r="CP181" i="3"/>
  <c r="BQ207" i="3"/>
  <c r="DJ174" i="3"/>
  <c r="BN149" i="3"/>
  <c r="CQ168" i="3"/>
  <c r="CU58" i="3"/>
  <c r="CV58" i="3" s="1"/>
  <c r="B58" i="3" s="1"/>
  <c r="BS135" i="3"/>
  <c r="AD135" i="1" s="1"/>
  <c r="AU47" i="3"/>
  <c r="BS67" i="3"/>
  <c r="AD67" i="1" s="1"/>
  <c r="EZ176" i="3"/>
  <c r="R176" i="1" s="1"/>
  <c r="BD55" i="3"/>
  <c r="AT66" i="3"/>
  <c r="DI175" i="3"/>
  <c r="BN179" i="3"/>
  <c r="BQ190" i="3"/>
  <c r="BU173" i="3"/>
  <c r="ES218" i="3"/>
  <c r="BN175" i="3"/>
  <c r="BR149" i="3"/>
  <c r="BP149" i="3"/>
  <c r="DK149" i="3" s="1"/>
  <c r="BM114" i="3"/>
  <c r="DI114" i="3" s="1"/>
  <c r="BQ17" i="3"/>
  <c r="BS194" i="3"/>
  <c r="BP194" i="3"/>
  <c r="DK194" i="3" s="1"/>
  <c r="BN162" i="3"/>
  <c r="CR122" i="3"/>
  <c r="BC199" i="3"/>
  <c r="CQ199" i="3"/>
  <c r="EZ24" i="3"/>
  <c r="EV24" i="3"/>
  <c r="ES24" i="3"/>
  <c r="ET24" i="3" s="1"/>
  <c r="ER24" i="3"/>
  <c r="DI58" i="3"/>
  <c r="DJ58" i="3"/>
  <c r="DJ122" i="3"/>
  <c r="ER15" i="3"/>
  <c r="EZ15" i="3"/>
  <c r="EY15" i="3" s="1"/>
  <c r="BU31" i="3"/>
  <c r="BR31" i="3"/>
  <c r="BT31" i="3"/>
  <c r="BS31" i="3"/>
  <c r="AD31" i="1" s="1"/>
  <c r="ES106" i="3"/>
  <c r="ER106" i="3"/>
  <c r="EV106" i="3"/>
  <c r="N106" i="1" s="1"/>
  <c r="EZ106" i="3"/>
  <c r="R106" i="1" s="1"/>
  <c r="BO213" i="3"/>
  <c r="BN213" i="3"/>
  <c r="BP31" i="3"/>
  <c r="DK31" i="3" s="1"/>
  <c r="EZ100" i="3"/>
  <c r="R100" i="1" s="1"/>
  <c r="ER100" i="3"/>
  <c r="EV100" i="3"/>
  <c r="ES100" i="3"/>
  <c r="BM213" i="3"/>
  <c r="DI213" i="3" s="1"/>
  <c r="DO80" i="3"/>
  <c r="DW80" i="3"/>
  <c r="DI77" i="3"/>
  <c r="BC105" i="3"/>
  <c r="CQ105" i="3"/>
  <c r="EZ201" i="3"/>
  <c r="EV201" i="3"/>
  <c r="ES201" i="3"/>
  <c r="ET201" i="3" s="1"/>
  <c r="ER201" i="3"/>
  <c r="BM150" i="3"/>
  <c r="BN150" i="3"/>
  <c r="BO150" i="3"/>
  <c r="EZ191" i="3"/>
  <c r="R191" i="1" s="1"/>
  <c r="ES191" i="3"/>
  <c r="EV191" i="3"/>
  <c r="N191" i="1" s="1"/>
  <c r="P191" i="1" s="1"/>
  <c r="ER191" i="3"/>
  <c r="EZ112" i="3"/>
  <c r="R112" i="1" s="1"/>
  <c r="Q112" i="1" s="1"/>
  <c r="EV112" i="3"/>
  <c r="N112" i="1" s="1"/>
  <c r="M112" i="1" s="1"/>
  <c r="BM43" i="3"/>
  <c r="BO43" i="3"/>
  <c r="BN43" i="3"/>
  <c r="BM194" i="3"/>
  <c r="CY194" i="3" s="1"/>
  <c r="BN194" i="3"/>
  <c r="BO194" i="3"/>
  <c r="BU166" i="3"/>
  <c r="DO166" i="3"/>
  <c r="DN166" i="3"/>
  <c r="EV117" i="3"/>
  <c r="EZ117" i="3"/>
  <c r="AV21" i="3"/>
  <c r="AU21" i="3"/>
  <c r="AT21" i="3"/>
  <c r="ES40" i="3"/>
  <c r="ET40" i="3" s="1"/>
  <c r="ER40" i="3"/>
  <c r="EV40" i="3"/>
  <c r="BM178" i="3"/>
  <c r="BT166" i="3"/>
  <c r="BD140" i="3"/>
  <c r="ER117" i="3"/>
  <c r="ES114" i="3"/>
  <c r="ET114" i="3" s="1"/>
  <c r="EZ114" i="3"/>
  <c r="ER114" i="3"/>
  <c r="BU19" i="3"/>
  <c r="BP19" i="3"/>
  <c r="DK19" i="3" s="1"/>
  <c r="BS19" i="3"/>
  <c r="AD19" i="1" s="1"/>
  <c r="AQ19" i="1" s="1"/>
  <c r="AJ19" i="1" s="1"/>
  <c r="AK19" i="1" s="1"/>
  <c r="BR19" i="3"/>
  <c r="BQ19" i="3"/>
  <c r="BN45" i="3"/>
  <c r="BM45" i="3"/>
  <c r="DI45" i="3" s="1"/>
  <c r="BO45" i="3"/>
  <c r="AW59" i="3"/>
  <c r="AV59" i="3"/>
  <c r="BD196" i="3"/>
  <c r="BC196" i="3"/>
  <c r="DI165" i="3"/>
  <c r="DJ165" i="3"/>
  <c r="BU58" i="3"/>
  <c r="BT58" i="3"/>
  <c r="BR58" i="3"/>
  <c r="BQ58" i="3"/>
  <c r="BU24" i="3"/>
  <c r="BR24" i="3"/>
  <c r="BQ24" i="3"/>
  <c r="BP24" i="3"/>
  <c r="DK24" i="3" s="1"/>
  <c r="BT24" i="3"/>
  <c r="EV211" i="3"/>
  <c r="ES211" i="3"/>
  <c r="ET211" i="3" s="1"/>
  <c r="ER211" i="3"/>
  <c r="EZ211" i="3"/>
  <c r="BD28" i="3"/>
  <c r="BA28" i="3"/>
  <c r="BC28" i="3"/>
  <c r="BB28" i="3"/>
  <c r="BQ31" i="3"/>
  <c r="AT59" i="3"/>
  <c r="CY59" i="3" s="1"/>
  <c r="EZ130" i="3"/>
  <c r="R130" i="1" s="1"/>
  <c r="ES130" i="3"/>
  <c r="ER130" i="3"/>
  <c r="AV85" i="3"/>
  <c r="AU85" i="3"/>
  <c r="AT85" i="3"/>
  <c r="BN19" i="3"/>
  <c r="BM19" i="3"/>
  <c r="DI19" i="3" s="1"/>
  <c r="BO19" i="3"/>
  <c r="BA113" i="3"/>
  <c r="BD113" i="3"/>
  <c r="BC113" i="3"/>
  <c r="BB113" i="3"/>
  <c r="ES33" i="3"/>
  <c r="ER33" i="3"/>
  <c r="EZ33" i="3"/>
  <c r="R33" i="1" s="1"/>
  <c r="EV33" i="3"/>
  <c r="N33" i="1" s="1"/>
  <c r="P33" i="1" s="1"/>
  <c r="ES117" i="3"/>
  <c r="ET117" i="3" s="1"/>
  <c r="BS24" i="3"/>
  <c r="AD24" i="1" s="1"/>
  <c r="AV71" i="3"/>
  <c r="AU71" i="3"/>
  <c r="EZ58" i="3"/>
  <c r="R58" i="1" s="1"/>
  <c r="ES58" i="3"/>
  <c r="BN178" i="3"/>
  <c r="CU223" i="3"/>
  <c r="CV223" i="3" s="1"/>
  <c r="B223" i="3" s="1"/>
  <c r="BB140" i="3"/>
  <c r="DW125" i="3"/>
  <c r="DX125" i="3"/>
  <c r="BQ205" i="3"/>
  <c r="BP205" i="3"/>
  <c r="DK205" i="3" s="1"/>
  <c r="BS205" i="3"/>
  <c r="BD181" i="3"/>
  <c r="BB181" i="3"/>
  <c r="EV132" i="3"/>
  <c r="ES132" i="3"/>
  <c r="BO87" i="3"/>
  <c r="BN87" i="3"/>
  <c r="BM87" i="3"/>
  <c r="DI87" i="3" s="1"/>
  <c r="ER29" i="3"/>
  <c r="ES29" i="3"/>
  <c r="EV29" i="3"/>
  <c r="N29" i="1" s="1"/>
  <c r="EZ29" i="3"/>
  <c r="R29" i="1" s="1"/>
  <c r="AV113" i="3"/>
  <c r="AU113" i="3"/>
  <c r="AT113" i="3"/>
  <c r="BC83" i="3"/>
  <c r="AW83" i="3"/>
  <c r="AU59" i="3"/>
  <c r="BD65" i="3"/>
  <c r="BA65" i="3"/>
  <c r="BC65" i="3"/>
  <c r="BC36" i="3"/>
  <c r="CQ36" i="3"/>
  <c r="BS217" i="3"/>
  <c r="DP217" i="3" s="1"/>
  <c r="BR217" i="3"/>
  <c r="BQ217" i="3"/>
  <c r="BP217" i="3"/>
  <c r="ES203" i="3"/>
  <c r="ER203" i="3"/>
  <c r="EZ203" i="3"/>
  <c r="R203" i="1" s="1"/>
  <c r="EV203" i="3"/>
  <c r="BB208" i="3"/>
  <c r="BD208" i="3"/>
  <c r="BA208" i="3"/>
  <c r="DK208" i="3" s="1"/>
  <c r="BO143" i="3"/>
  <c r="BN143" i="3"/>
  <c r="BM143" i="3"/>
  <c r="DJ143" i="3" s="1"/>
  <c r="BP164" i="3"/>
  <c r="DK164" i="3" s="1"/>
  <c r="BQ164" i="3"/>
  <c r="BR164" i="3"/>
  <c r="DI57" i="3"/>
  <c r="DJ57" i="3"/>
  <c r="AU94" i="3"/>
  <c r="AT94" i="3"/>
  <c r="AV94" i="3"/>
  <c r="BC95" i="3"/>
  <c r="CQ95" i="3"/>
  <c r="AU232" i="3"/>
  <c r="EV138" i="3"/>
  <c r="AW120" i="3"/>
  <c r="ER213" i="3"/>
  <c r="BB156" i="3"/>
  <c r="BU141" i="3"/>
  <c r="DJ99" i="3"/>
  <c r="BP79" i="3"/>
  <c r="DK79" i="3" s="1"/>
  <c r="ES42" i="3"/>
  <c r="ET42" i="3" s="1"/>
  <c r="BO80" i="3"/>
  <c r="BQ126" i="3"/>
  <c r="BP126" i="3"/>
  <c r="DL126" i="3" s="1"/>
  <c r="BU106" i="3"/>
  <c r="BS106" i="3"/>
  <c r="BT227" i="3"/>
  <c r="ES213" i="3"/>
  <c r="BM210" i="3"/>
  <c r="DJ210" i="3" s="1"/>
  <c r="CU181" i="3"/>
  <c r="BA156" i="3"/>
  <c r="DK156" i="3" s="1"/>
  <c r="AW148" i="3"/>
  <c r="BT201" i="3"/>
  <c r="BB86" i="3"/>
  <c r="BN57" i="3"/>
  <c r="ER143" i="3"/>
  <c r="BP172" i="3"/>
  <c r="DK172" i="3" s="1"/>
  <c r="EV68" i="3"/>
  <c r="CS51" i="3"/>
  <c r="EV78" i="3"/>
  <c r="AU114" i="3"/>
  <c r="BQ45" i="3"/>
  <c r="BS45" i="3"/>
  <c r="AD45" i="1" s="1"/>
  <c r="ER80" i="3"/>
  <c r="DJ112" i="3"/>
  <c r="BS126" i="3"/>
  <c r="AD126" i="1" s="1"/>
  <c r="ER96" i="3"/>
  <c r="EZ96" i="3"/>
  <c r="ES68" i="3"/>
  <c r="BM161" i="3"/>
  <c r="DJ161" i="3" s="1"/>
  <c r="BU201" i="3"/>
  <c r="DY134" i="3"/>
  <c r="AW113" i="3"/>
  <c r="BO57" i="3"/>
  <c r="ES143" i="3"/>
  <c r="ET143" i="3" s="1"/>
  <c r="BQ172" i="3"/>
  <c r="CU51" i="3"/>
  <c r="CT51" i="3"/>
  <c r="EZ78" i="3"/>
  <c r="ES21" i="3"/>
  <c r="BR45" i="3"/>
  <c r="ES80" i="3"/>
  <c r="ET80" i="3" s="1"/>
  <c r="EV21" i="3"/>
  <c r="BC54" i="3"/>
  <c r="BP106" i="3"/>
  <c r="DK106" i="3" s="1"/>
  <c r="BR126" i="3"/>
  <c r="EV162" i="3"/>
  <c r="N162" i="1" s="1"/>
  <c r="P162" i="1" s="1"/>
  <c r="EZ162" i="3"/>
  <c r="R162" i="1" s="1"/>
  <c r="BA225" i="3"/>
  <c r="CU186" i="3"/>
  <c r="CW186" i="3" s="1"/>
  <c r="BU202" i="3"/>
  <c r="BO202" i="3"/>
  <c r="BA84" i="3"/>
  <c r="CR51" i="3"/>
  <c r="BP45" i="3"/>
  <c r="DL14" i="3"/>
  <c r="AV213" i="3"/>
  <c r="AT213" i="3"/>
  <c r="AU213" i="3"/>
  <c r="AV89" i="3"/>
  <c r="AU89" i="3"/>
  <c r="EZ213" i="3"/>
  <c r="R213" i="1" s="1"/>
  <c r="EZ215" i="3"/>
  <c r="R215" i="1" s="1"/>
  <c r="BN210" i="3"/>
  <c r="ER215" i="3"/>
  <c r="BM214" i="3"/>
  <c r="DI214" i="3" s="1"/>
  <c r="BN161" i="3"/>
  <c r="EV143" i="3"/>
  <c r="BS172" i="3"/>
  <c r="BD101" i="3"/>
  <c r="BB96" i="3"/>
  <c r="ER78" i="3"/>
  <c r="CQ51" i="3"/>
  <c r="BB120" i="3"/>
  <c r="EZ80" i="3"/>
  <c r="BB20" i="3"/>
  <c r="EZ21" i="3"/>
  <c r="R21" i="1" s="1"/>
  <c r="DP62" i="3"/>
  <c r="BB100" i="3"/>
  <c r="BT126" i="3"/>
  <c r="CU46" i="3"/>
  <c r="CV46" i="3" s="1"/>
  <c r="B46" i="3" s="1"/>
  <c r="BO21" i="3"/>
  <c r="DJ135" i="3"/>
  <c r="DI135" i="3"/>
  <c r="ER42" i="3"/>
  <c r="EV232" i="3"/>
  <c r="ES215" i="3"/>
  <c r="BN214" i="3"/>
  <c r="DI112" i="3"/>
  <c r="BT172" i="3"/>
  <c r="CQ76" i="3"/>
  <c r="BD135" i="3"/>
  <c r="BC135" i="3"/>
  <c r="DL135" i="3" s="1"/>
  <c r="AW49" i="3"/>
  <c r="AV104" i="3"/>
  <c r="AU96" i="3"/>
  <c r="BQ106" i="3"/>
  <c r="BU126" i="3"/>
  <c r="BQ178" i="3"/>
  <c r="BP178" i="3"/>
  <c r="DK178" i="3" s="1"/>
  <c r="BU150" i="3"/>
  <c r="BQ150" i="3"/>
  <c r="BM217" i="3"/>
  <c r="DI217" i="3" s="1"/>
  <c r="BC156" i="3"/>
  <c r="DL156" i="3" s="1"/>
  <c r="ER232" i="3"/>
  <c r="BN217" i="3"/>
  <c r="BC134" i="3"/>
  <c r="BD139" i="3"/>
  <c r="AW129" i="3"/>
  <c r="BM106" i="3"/>
  <c r="DJ106" i="3" s="1"/>
  <c r="BU122" i="3"/>
  <c r="BQ122" i="3"/>
  <c r="AT108" i="3"/>
  <c r="ES127" i="3"/>
  <c r="ET127" i="3" s="1"/>
  <c r="BB102" i="3"/>
  <c r="BD86" i="3"/>
  <c r="AT100" i="3"/>
  <c r="AV96" i="3"/>
  <c r="ER54" i="3"/>
  <c r="BD112" i="3"/>
  <c r="BO41" i="3"/>
  <c r="DI208" i="3"/>
  <c r="BD100" i="3"/>
  <c r="BS162" i="3"/>
  <c r="BP162" i="3"/>
  <c r="DK162" i="3" s="1"/>
  <c r="EZ196" i="3"/>
  <c r="R196" i="1" s="1"/>
  <c r="ES196" i="3"/>
  <c r="EV196" i="3"/>
  <c r="N196" i="1" s="1"/>
  <c r="P196" i="1" s="1"/>
  <c r="AU108" i="3"/>
  <c r="AU100" i="3"/>
  <c r="AU49" i="3"/>
  <c r="CU215" i="3"/>
  <c r="CW215" i="3" s="1"/>
  <c r="BQ227" i="3"/>
  <c r="BM193" i="3"/>
  <c r="DJ193" i="3" s="1"/>
  <c r="DN210" i="3"/>
  <c r="BB109" i="3"/>
  <c r="BC64" i="3"/>
  <c r="BB74" i="3"/>
  <c r="BA74" i="3"/>
  <c r="DN47" i="3"/>
  <c r="CV39" i="3"/>
  <c r="B39" i="3" s="1"/>
  <c r="BT18" i="3"/>
  <c r="AV49" i="3"/>
  <c r="CO51" i="3"/>
  <c r="BU210" i="3"/>
  <c r="DL166" i="3"/>
  <c r="BR106" i="3"/>
  <c r="DM50" i="3"/>
  <c r="L252" i="1"/>
  <c r="BU213" i="3"/>
  <c r="BT213" i="3"/>
  <c r="BS213" i="3"/>
  <c r="BP213" i="3"/>
  <c r="DK213" i="3" s="1"/>
  <c r="BR213" i="3"/>
  <c r="BQ213" i="3"/>
  <c r="EX213" i="3"/>
  <c r="EU213" i="3"/>
  <c r="BM201" i="3"/>
  <c r="BN201" i="3"/>
  <c r="BO201" i="3"/>
  <c r="BU205" i="3"/>
  <c r="BT205" i="3"/>
  <c r="CY208" i="3"/>
  <c r="AV179" i="3"/>
  <c r="AU179" i="3"/>
  <c r="AT179" i="3"/>
  <c r="AV201" i="3"/>
  <c r="AU201" i="3"/>
  <c r="AT201" i="3"/>
  <c r="BR187" i="3"/>
  <c r="BU187" i="3"/>
  <c r="BT187" i="3"/>
  <c r="BS187" i="3"/>
  <c r="BP187" i="3"/>
  <c r="DK187" i="3" s="1"/>
  <c r="BQ141" i="3"/>
  <c r="BP141" i="3"/>
  <c r="BS141" i="3"/>
  <c r="BR141" i="3"/>
  <c r="BR96" i="3"/>
  <c r="BP96" i="3"/>
  <c r="DL96" i="3" s="1"/>
  <c r="BU108" i="3"/>
  <c r="BP108" i="3"/>
  <c r="BR99" i="3"/>
  <c r="BP99" i="3"/>
  <c r="DK99" i="3" s="1"/>
  <c r="BT99" i="3"/>
  <c r="BU99" i="3"/>
  <c r="BS99" i="3"/>
  <c r="AD99" i="1" s="1"/>
  <c r="BM123" i="3"/>
  <c r="BO123" i="3"/>
  <c r="BN123" i="3"/>
  <c r="ES75" i="3"/>
  <c r="ET75" i="3" s="1"/>
  <c r="ER75" i="3"/>
  <c r="BD52" i="3"/>
  <c r="BQ40" i="3"/>
  <c r="BU40" i="3"/>
  <c r="BT40" i="3"/>
  <c r="BS40" i="3"/>
  <c r="BR40" i="3"/>
  <c r="BP40" i="3"/>
  <c r="DK40" i="3" s="1"/>
  <c r="BU41" i="3"/>
  <c r="BT41" i="3"/>
  <c r="BS41" i="3"/>
  <c r="BR41" i="3"/>
  <c r="BQ41" i="3"/>
  <c r="BP41" i="3"/>
  <c r="DA220" i="3"/>
  <c r="CO50" i="3"/>
  <c r="CQ204" i="3"/>
  <c r="BC204" i="3"/>
  <c r="BD186" i="3"/>
  <c r="BC186" i="3"/>
  <c r="DL186" i="3" s="1"/>
  <c r="BP143" i="3"/>
  <c r="BR143" i="3"/>
  <c r="BQ143" i="3"/>
  <c r="AV141" i="3"/>
  <c r="AU141" i="3"/>
  <c r="AT141" i="3"/>
  <c r="ER132" i="3"/>
  <c r="EZ132" i="3"/>
  <c r="R132" i="1" s="1"/>
  <c r="BD166" i="3"/>
  <c r="CU52" i="3"/>
  <c r="BT78" i="3"/>
  <c r="BR78" i="3"/>
  <c r="EZ41" i="3"/>
  <c r="ES41" i="3"/>
  <c r="ET41" i="3" s="1"/>
  <c r="ER41" i="3"/>
  <c r="CY197" i="3"/>
  <c r="DO210" i="3"/>
  <c r="CO210" i="3"/>
  <c r="DJ205" i="3"/>
  <c r="DP89" i="3"/>
  <c r="BB23" i="3"/>
  <c r="AV204" i="3"/>
  <c r="AU204" i="3"/>
  <c r="AT204" i="3"/>
  <c r="CY204" i="3" s="1"/>
  <c r="BC175" i="3"/>
  <c r="EZ135" i="3"/>
  <c r="R135" i="1" s="1"/>
  <c r="ES135" i="3"/>
  <c r="ER135" i="3"/>
  <c r="EV135" i="3"/>
  <c r="EX135" i="3" s="1"/>
  <c r="BQ93" i="3"/>
  <c r="BR93" i="3"/>
  <c r="BP93" i="3"/>
  <c r="DK93" i="3" s="1"/>
  <c r="BC73" i="3"/>
  <c r="CQ73" i="3"/>
  <c r="AV87" i="3"/>
  <c r="AT87" i="3"/>
  <c r="ES71" i="3"/>
  <c r="ET71" i="3" s="1"/>
  <c r="ER71" i="3"/>
  <c r="DK123" i="3"/>
  <c r="BU65" i="3"/>
  <c r="BT65" i="3"/>
  <c r="BS65" i="3"/>
  <c r="BR65" i="3"/>
  <c r="BQ65" i="3"/>
  <c r="BP65" i="3"/>
  <c r="BA235" i="3"/>
  <c r="DM210" i="3"/>
  <c r="BC157" i="3"/>
  <c r="BB137" i="3"/>
  <c r="AW74" i="3"/>
  <c r="AV226" i="3"/>
  <c r="AT226" i="3"/>
  <c r="EZ207" i="3"/>
  <c r="ER207" i="3"/>
  <c r="BO166" i="3"/>
  <c r="BN166" i="3"/>
  <c r="BM166" i="3"/>
  <c r="BD141" i="3"/>
  <c r="BC141" i="3"/>
  <c r="BA141" i="3"/>
  <c r="BS138" i="3"/>
  <c r="BR138" i="3"/>
  <c r="BQ138" i="3"/>
  <c r="BP138" i="3"/>
  <c r="DK138" i="3" s="1"/>
  <c r="BO138" i="3"/>
  <c r="BN138" i="3"/>
  <c r="BM138" i="3"/>
  <c r="EV52" i="3"/>
  <c r="EZ52" i="3"/>
  <c r="R52" i="1" s="1"/>
  <c r="P250" i="1" s="1"/>
  <c r="EV39" i="3"/>
  <c r="EZ39" i="3"/>
  <c r="R39" i="1" s="1"/>
  <c r="DJ55" i="3"/>
  <c r="BD214" i="3"/>
  <c r="BA210" i="3"/>
  <c r="DK210" i="3" s="1"/>
  <c r="CO157" i="3"/>
  <c r="CU23" i="3"/>
  <c r="CW23" i="3" s="1"/>
  <c r="BO219" i="3"/>
  <c r="BN219" i="3"/>
  <c r="BM219" i="3"/>
  <c r="ES178" i="3"/>
  <c r="EZ178" i="3"/>
  <c r="R178" i="1" s="1"/>
  <c r="ER178" i="3"/>
  <c r="AV207" i="3"/>
  <c r="AU207" i="3"/>
  <c r="AT207" i="3"/>
  <c r="CY207" i="3" s="1"/>
  <c r="BD96" i="3"/>
  <c r="BA96" i="3"/>
  <c r="BC133" i="3"/>
  <c r="CQ133" i="3"/>
  <c r="BR166" i="3"/>
  <c r="BU91" i="3"/>
  <c r="BR91" i="3"/>
  <c r="BP91" i="3"/>
  <c r="DK91" i="3" s="1"/>
  <c r="BS91" i="3"/>
  <c r="BQ91" i="3"/>
  <c r="BC143" i="3"/>
  <c r="ES59" i="3"/>
  <c r="ET59" i="3" s="1"/>
  <c r="ER59" i="3"/>
  <c r="EZ38" i="3"/>
  <c r="ES38" i="3"/>
  <c r="ET38" i="3" s="1"/>
  <c r="EV38" i="3"/>
  <c r="BA137" i="3"/>
  <c r="CU101" i="3"/>
  <c r="CW101" i="3" s="1"/>
  <c r="BD137" i="3"/>
  <c r="BQ226" i="3"/>
  <c r="BT226" i="3"/>
  <c r="BS226" i="3"/>
  <c r="BR226" i="3"/>
  <c r="BU226" i="3"/>
  <c r="BU197" i="3"/>
  <c r="BT197" i="3"/>
  <c r="BS197" i="3"/>
  <c r="BR197" i="3"/>
  <c r="BQ197" i="3"/>
  <c r="BP197" i="3"/>
  <c r="DK197" i="3" s="1"/>
  <c r="CU191" i="3"/>
  <c r="BU179" i="3"/>
  <c r="BT179" i="3"/>
  <c r="BS179" i="3"/>
  <c r="BP179" i="3"/>
  <c r="DL179" i="3" s="1"/>
  <c r="BR179" i="3"/>
  <c r="BQ179" i="3"/>
  <c r="AV140" i="3"/>
  <c r="AU140" i="3"/>
  <c r="AT140" i="3"/>
  <c r="BB141" i="3"/>
  <c r="ER81" i="3"/>
  <c r="ES81" i="3"/>
  <c r="ET81" i="3" s="1"/>
  <c r="BT79" i="3"/>
  <c r="BS79" i="3"/>
  <c r="BR79" i="3"/>
  <c r="CQ98" i="3"/>
  <c r="BC98" i="3"/>
  <c r="DL98" i="3" s="1"/>
  <c r="ES85" i="3"/>
  <c r="ET85" i="3" s="1"/>
  <c r="ER85" i="3"/>
  <c r="BD117" i="3"/>
  <c r="AV50" i="3"/>
  <c r="AT50" i="3"/>
  <c r="AU50" i="3"/>
  <c r="DJ59" i="3"/>
  <c r="EZ31" i="3"/>
  <c r="EV31" i="3"/>
  <c r="DL15" i="3"/>
  <c r="EV217" i="3"/>
  <c r="ES217" i="3"/>
  <c r="ET217" i="3" s="1"/>
  <c r="BD234" i="3"/>
  <c r="BC234" i="3"/>
  <c r="BB234" i="3"/>
  <c r="EZ150" i="3"/>
  <c r="R150" i="1" s="1"/>
  <c r="ES150" i="3"/>
  <c r="ER150" i="3"/>
  <c r="AV148" i="3"/>
  <c r="AU148" i="3"/>
  <c r="AT148" i="3"/>
  <c r="ES87" i="3"/>
  <c r="ET87" i="3" s="1"/>
  <c r="ER87" i="3"/>
  <c r="EV87" i="3"/>
  <c r="BO50" i="3"/>
  <c r="BM50" i="3"/>
  <c r="BN50" i="3"/>
  <c r="BO33" i="3"/>
  <c r="BN33" i="3"/>
  <c r="BM33" i="3"/>
  <c r="DN100" i="3"/>
  <c r="BQ232" i="3"/>
  <c r="BP232" i="3"/>
  <c r="DL232" i="3" s="1"/>
  <c r="EZ190" i="3"/>
  <c r="EV190" i="3"/>
  <c r="BO188" i="3"/>
  <c r="BM188" i="3"/>
  <c r="BC185" i="3"/>
  <c r="CQ185" i="3"/>
  <c r="ES112" i="3"/>
  <c r="BP112" i="3"/>
  <c r="ER112" i="3"/>
  <c r="BS112" i="3"/>
  <c r="AV72" i="3"/>
  <c r="AU72" i="3"/>
  <c r="AT72" i="3"/>
  <c r="EV54" i="3"/>
  <c r="N54" i="1" s="1"/>
  <c r="P54" i="1" s="1"/>
  <c r="ES54" i="3"/>
  <c r="ER46" i="3"/>
  <c r="EV46" i="3"/>
  <c r="EZ46" i="3"/>
  <c r="R46" i="1" s="1"/>
  <c r="ES46" i="3"/>
  <c r="CQ210" i="3"/>
  <c r="BD183" i="3"/>
  <c r="DJ186" i="3"/>
  <c r="DM100" i="3"/>
  <c r="M5" i="1"/>
  <c r="AV225" i="3"/>
  <c r="AT225" i="3"/>
  <c r="BQ175" i="3"/>
  <c r="BS175" i="3"/>
  <c r="BR175" i="3"/>
  <c r="BU175" i="3"/>
  <c r="BT175" i="3"/>
  <c r="BP175" i="3"/>
  <c r="DK175" i="3" s="1"/>
  <c r="EX218" i="3"/>
  <c r="EU218" i="3"/>
  <c r="AV190" i="3"/>
  <c r="AU190" i="3"/>
  <c r="AT190" i="3"/>
  <c r="CY190" i="3" s="1"/>
  <c r="DZ150" i="3"/>
  <c r="BS156" i="3"/>
  <c r="AV80" i="3"/>
  <c r="AU80" i="3"/>
  <c r="AT80" i="3"/>
  <c r="BR125" i="3"/>
  <c r="BQ125" i="3"/>
  <c r="BP32" i="3"/>
  <c r="DK32" i="3" s="1"/>
  <c r="BU32" i="3"/>
  <c r="BT32" i="3"/>
  <c r="BS32" i="3"/>
  <c r="AD32" i="1" s="1"/>
  <c r="BR32" i="3"/>
  <c r="BQ32" i="3"/>
  <c r="BB214" i="3"/>
  <c r="CU115" i="3"/>
  <c r="CV115" i="3" s="1"/>
  <c r="B115" i="3" s="1"/>
  <c r="CO100" i="3"/>
  <c r="BU217" i="3"/>
  <c r="BT217" i="3"/>
  <c r="BR218" i="3"/>
  <c r="BT218" i="3"/>
  <c r="BS218" i="3"/>
  <c r="BU218" i="3"/>
  <c r="EZ192" i="3"/>
  <c r="EV192" i="3"/>
  <c r="BM187" i="3"/>
  <c r="BO187" i="3"/>
  <c r="BU165" i="3"/>
  <c r="BT165" i="3"/>
  <c r="BS165" i="3"/>
  <c r="BO141" i="3"/>
  <c r="BN141" i="3"/>
  <c r="BM141" i="3"/>
  <c r="BU117" i="3"/>
  <c r="BS117" i="3"/>
  <c r="BR117" i="3"/>
  <c r="BQ117" i="3"/>
  <c r="BP117" i="3"/>
  <c r="BT117" i="3"/>
  <c r="BO100" i="3"/>
  <c r="BN100" i="3"/>
  <c r="BM100" i="3"/>
  <c r="AV116" i="3"/>
  <c r="AU116" i="3"/>
  <c r="AT116" i="3"/>
  <c r="BQ87" i="3"/>
  <c r="BS87" i="3"/>
  <c r="BU87" i="3"/>
  <c r="BT87" i="3"/>
  <c r="BR87" i="3"/>
  <c r="BP87" i="3"/>
  <c r="DK87" i="3" s="1"/>
  <c r="BO18" i="3"/>
  <c r="BN18" i="3"/>
  <c r="AF18" i="1" s="1"/>
  <c r="BM18" i="3"/>
  <c r="BC43" i="3"/>
  <c r="DL43" i="3" s="1"/>
  <c r="DO227" i="3"/>
  <c r="BQ234" i="3"/>
  <c r="BP234" i="3"/>
  <c r="DK234" i="3" s="1"/>
  <c r="AT186" i="3"/>
  <c r="CY186" i="3" s="1"/>
  <c r="AV186" i="3"/>
  <c r="EZ155" i="3"/>
  <c r="R155" i="1" s="1"/>
  <c r="EV155" i="3"/>
  <c r="N155" i="1" s="1"/>
  <c r="P155" i="1" s="1"/>
  <c r="AV126" i="3"/>
  <c r="AU126" i="3"/>
  <c r="AT126" i="3"/>
  <c r="CY126" i="3" s="1"/>
  <c r="AV123" i="3"/>
  <c r="AU123" i="3"/>
  <c r="AT123" i="3"/>
  <c r="AU117" i="3"/>
  <c r="AV117" i="3"/>
  <c r="AT117" i="3"/>
  <c r="CY117" i="3" s="1"/>
  <c r="BN108" i="3"/>
  <c r="BM108" i="3"/>
  <c r="BO108" i="3"/>
  <c r="BO85" i="3"/>
  <c r="BM85" i="3"/>
  <c r="BC114" i="3"/>
  <c r="CY55" i="3"/>
  <c r="BC34" i="3"/>
  <c r="CQ34" i="3"/>
  <c r="BD43" i="3"/>
  <c r="CV74" i="3"/>
  <c r="B74" i="3" s="1"/>
  <c r="EZ202" i="3"/>
  <c r="EV202" i="3"/>
  <c r="ES202" i="3"/>
  <c r="ET202" i="3" s="1"/>
  <c r="ER202" i="3"/>
  <c r="EZ187" i="3"/>
  <c r="EV187" i="3"/>
  <c r="ES187" i="3"/>
  <c r="ET187" i="3" s="1"/>
  <c r="ER187" i="3"/>
  <c r="ER127" i="3"/>
  <c r="EZ127" i="3"/>
  <c r="BP159" i="3"/>
  <c r="DK159" i="3" s="1"/>
  <c r="BR159" i="3"/>
  <c r="BQ159" i="3"/>
  <c r="BU159" i="3"/>
  <c r="BT159" i="3"/>
  <c r="BS159" i="3"/>
  <c r="AD159" i="1" s="1"/>
  <c r="AQ159" i="1" s="1"/>
  <c r="BP161" i="3"/>
  <c r="DK161" i="3" s="1"/>
  <c r="BU161" i="3"/>
  <c r="BT161" i="3"/>
  <c r="BS161" i="3"/>
  <c r="BR161" i="3"/>
  <c r="BQ161" i="3"/>
  <c r="BQ59" i="3"/>
  <c r="BR59" i="3"/>
  <c r="BP59" i="3"/>
  <c r="DK59" i="3" s="1"/>
  <c r="EZ57" i="3"/>
  <c r="EV57" i="3"/>
  <c r="BT14" i="3"/>
  <c r="BS14" i="3"/>
  <c r="AD14" i="1" s="1"/>
  <c r="AQ14" i="1" s="1"/>
  <c r="AJ14" i="1" s="1"/>
  <c r="AK14" i="1" s="1"/>
  <c r="BU14" i="3"/>
  <c r="BC33" i="3"/>
  <c r="DL33" i="3" s="1"/>
  <c r="O252" i="1"/>
  <c r="M252" i="1"/>
  <c r="Q294" i="1"/>
  <c r="M4" i="1"/>
  <c r="Q296" i="1"/>
  <c r="M6" i="1"/>
  <c r="Q290" i="1"/>
  <c r="I9" i="1"/>
  <c r="Q297" i="1" s="1"/>
  <c r="BD203" i="3"/>
  <c r="BC203" i="3"/>
  <c r="DL203" i="3" s="1"/>
  <c r="BB203" i="3"/>
  <c r="BA203" i="3"/>
  <c r="DK203" i="3" s="1"/>
  <c r="EX226" i="3"/>
  <c r="EU226" i="3"/>
  <c r="CQ198" i="3"/>
  <c r="BC198" i="3"/>
  <c r="AT200" i="3"/>
  <c r="AV200" i="3"/>
  <c r="AU200" i="3"/>
  <c r="EX198" i="3"/>
  <c r="EU198" i="3"/>
  <c r="AV228" i="3"/>
  <c r="AU228" i="3"/>
  <c r="AT228" i="3"/>
  <c r="CQ158" i="3"/>
  <c r="BC158" i="3"/>
  <c r="BD182" i="3"/>
  <c r="BC182" i="3"/>
  <c r="BB182" i="3"/>
  <c r="BA182" i="3"/>
  <c r="BC224" i="3"/>
  <c r="CQ224" i="3"/>
  <c r="DN219" i="3"/>
  <c r="DX219" i="3"/>
  <c r="CQ219" i="3"/>
  <c r="CR219" i="3"/>
  <c r="DW219" i="3"/>
  <c r="BS189" i="3"/>
  <c r="BR189" i="3"/>
  <c r="BQ189" i="3"/>
  <c r="BP189" i="3"/>
  <c r="BU189" i="3"/>
  <c r="BT189" i="3"/>
  <c r="BO206" i="3"/>
  <c r="BN206" i="3"/>
  <c r="BM206" i="3"/>
  <c r="BT170" i="3"/>
  <c r="BU170" i="3"/>
  <c r="BQ170" i="3"/>
  <c r="BP170" i="3"/>
  <c r="DK170" i="3" s="1"/>
  <c r="BS170" i="3"/>
  <c r="BR170" i="3"/>
  <c r="BU151" i="3"/>
  <c r="BT151" i="3"/>
  <c r="BQ151" i="3"/>
  <c r="BP151" i="3"/>
  <c r="DK151" i="3" s="1"/>
  <c r="BR151" i="3"/>
  <c r="BS151" i="3"/>
  <c r="AD151" i="1" s="1"/>
  <c r="AQ151" i="1" s="1"/>
  <c r="BD111" i="3"/>
  <c r="BB111" i="3"/>
  <c r="BO86" i="3"/>
  <c r="BN86" i="3"/>
  <c r="BM86" i="3"/>
  <c r="CQ25" i="3"/>
  <c r="DN25" i="3"/>
  <c r="BC25" i="3"/>
  <c r="DL25" i="3" s="1"/>
  <c r="DY25" i="3"/>
  <c r="AT34" i="3"/>
  <c r="AV34" i="3"/>
  <c r="AU34" i="3"/>
  <c r="CQ136" i="3"/>
  <c r="BC136" i="3"/>
  <c r="CQ85" i="3"/>
  <c r="BC85" i="3"/>
  <c r="CQ48" i="3"/>
  <c r="BC48" i="3"/>
  <c r="CQ21" i="3"/>
  <c r="BC21" i="3"/>
  <c r="DO25" i="3"/>
  <c r="CP25" i="3"/>
  <c r="BO73" i="3"/>
  <c r="BN73" i="3"/>
  <c r="BM73" i="3"/>
  <c r="ES53" i="3"/>
  <c r="ER53" i="3"/>
  <c r="EZ53" i="3"/>
  <c r="R53" i="1" s="1"/>
  <c r="EV53" i="3"/>
  <c r="CU53" i="3"/>
  <c r="CW53" i="3" s="1"/>
  <c r="CO25" i="3"/>
  <c r="EZ34" i="3"/>
  <c r="EV34" i="3"/>
  <c r="ES34" i="3"/>
  <c r="ET34" i="3" s="1"/>
  <c r="ER34" i="3"/>
  <c r="EZ48" i="3"/>
  <c r="EV48" i="3"/>
  <c r="ES48" i="3"/>
  <c r="ET48" i="3" s="1"/>
  <c r="ER48" i="3"/>
  <c r="EV224" i="3"/>
  <c r="ES224" i="3"/>
  <c r="ER224" i="3"/>
  <c r="EZ224" i="3"/>
  <c r="R224" i="1" s="1"/>
  <c r="BA189" i="3"/>
  <c r="BC189" i="3"/>
  <c r="BB189" i="3"/>
  <c r="BD189" i="3"/>
  <c r="EZ223" i="3"/>
  <c r="R223" i="1" s="1"/>
  <c r="P253" i="1" s="1"/>
  <c r="EV223" i="3"/>
  <c r="N223" i="1" s="1"/>
  <c r="ES223" i="3"/>
  <c r="ER223" i="3"/>
  <c r="EV180" i="3"/>
  <c r="ES180" i="3"/>
  <c r="ET180" i="3" s="1"/>
  <c r="ER180" i="3"/>
  <c r="EZ180" i="3"/>
  <c r="AT157" i="3"/>
  <c r="CY157" i="3" s="1"/>
  <c r="AV157" i="3"/>
  <c r="AU157" i="3"/>
  <c r="BS148" i="3"/>
  <c r="BP148" i="3"/>
  <c r="DK148" i="3" s="1"/>
  <c r="DZ155" i="3"/>
  <c r="DX155" i="3"/>
  <c r="DM155" i="3"/>
  <c r="DO155" i="3"/>
  <c r="DW155" i="3"/>
  <c r="BA167" i="3"/>
  <c r="BC180" i="3"/>
  <c r="ES140" i="3"/>
  <c r="ET140" i="3" s="1"/>
  <c r="ER140" i="3"/>
  <c r="EV140" i="3"/>
  <c r="EZ140" i="3"/>
  <c r="AV98" i="3"/>
  <c r="AU98" i="3"/>
  <c r="AT98" i="3"/>
  <c r="BO130" i="3"/>
  <c r="BN130" i="3"/>
  <c r="BM130" i="3"/>
  <c r="AV129" i="3"/>
  <c r="AU129" i="3"/>
  <c r="AT129" i="3"/>
  <c r="CP157" i="3"/>
  <c r="DM157" i="3"/>
  <c r="CQ157" i="3"/>
  <c r="DN157" i="3"/>
  <c r="CR157" i="3"/>
  <c r="BU157" i="3"/>
  <c r="BU88" i="3"/>
  <c r="BT88" i="3"/>
  <c r="BS88" i="3"/>
  <c r="BR88" i="3"/>
  <c r="BQ88" i="3"/>
  <c r="BP88" i="3"/>
  <c r="DK88" i="3" s="1"/>
  <c r="ER137" i="3"/>
  <c r="EZ137" i="3"/>
  <c r="R137" i="1" s="1"/>
  <c r="EV137" i="3"/>
  <c r="N137" i="1" s="1"/>
  <c r="ES137" i="3"/>
  <c r="AV125" i="3"/>
  <c r="AU125" i="3"/>
  <c r="AT125" i="3"/>
  <c r="CY125" i="3" s="1"/>
  <c r="CQ99" i="3"/>
  <c r="BC99" i="3"/>
  <c r="BO131" i="3"/>
  <c r="BN131" i="3"/>
  <c r="BM131" i="3"/>
  <c r="BD71" i="3"/>
  <c r="BC71" i="3"/>
  <c r="BO147" i="3"/>
  <c r="BN147" i="3"/>
  <c r="BM147" i="3"/>
  <c r="AV97" i="3"/>
  <c r="AU97" i="3"/>
  <c r="AT97" i="3"/>
  <c r="AW97" i="3"/>
  <c r="EV61" i="3"/>
  <c r="ES61" i="3"/>
  <c r="ET61" i="3" s="1"/>
  <c r="EZ61" i="3"/>
  <c r="ER61" i="3"/>
  <c r="BO28" i="3"/>
  <c r="BN28" i="3"/>
  <c r="BM28" i="3"/>
  <c r="AT74" i="3"/>
  <c r="CY74" i="3" s="1"/>
  <c r="AV74" i="3"/>
  <c r="AU74" i="3"/>
  <c r="DP25" i="3"/>
  <c r="EX20" i="3"/>
  <c r="EU20" i="3"/>
  <c r="BO144" i="3"/>
  <c r="BN144" i="3"/>
  <c r="BM144" i="3"/>
  <c r="BQ116" i="3"/>
  <c r="BP116" i="3"/>
  <c r="BU116" i="3"/>
  <c r="BT116" i="3"/>
  <c r="BS116" i="3"/>
  <c r="BR116" i="3"/>
  <c r="BU75" i="3"/>
  <c r="BT75" i="3"/>
  <c r="BS75" i="3"/>
  <c r="BQ75" i="3"/>
  <c r="BP75" i="3"/>
  <c r="DK75" i="3" s="1"/>
  <c r="BR75" i="3"/>
  <c r="AU76" i="3"/>
  <c r="AT76" i="3"/>
  <c r="AV76" i="3"/>
  <c r="ES233" i="3"/>
  <c r="ET233" i="3" s="1"/>
  <c r="ER233" i="3"/>
  <c r="EV233" i="3"/>
  <c r="EZ233" i="3"/>
  <c r="EY233" i="3" s="1"/>
  <c r="AU103" i="3"/>
  <c r="AT103" i="3"/>
  <c r="CY103" i="3" s="1"/>
  <c r="AV103" i="3"/>
  <c r="BM42" i="3"/>
  <c r="CY42" i="3" s="1"/>
  <c r="BO42" i="3"/>
  <c r="BN42" i="3"/>
  <c r="EV121" i="3"/>
  <c r="ES121" i="3"/>
  <c r="ET121" i="3" s="1"/>
  <c r="ER121" i="3"/>
  <c r="EZ121" i="3"/>
  <c r="BT121" i="3"/>
  <c r="BS121" i="3"/>
  <c r="BR121" i="3"/>
  <c r="BQ121" i="3"/>
  <c r="BP121" i="3"/>
  <c r="BU121" i="3"/>
  <c r="AU61" i="3"/>
  <c r="AT61" i="3"/>
  <c r="AV61" i="3"/>
  <c r="DZ98" i="3"/>
  <c r="DX98" i="3"/>
  <c r="DN98" i="3"/>
  <c r="DM98" i="3"/>
  <c r="DP98" i="3"/>
  <c r="DY98" i="3"/>
  <c r="DO98" i="3"/>
  <c r="DP96" i="3"/>
  <c r="BP37" i="3"/>
  <c r="BR37" i="3"/>
  <c r="BS37" i="3"/>
  <c r="BQ37" i="3"/>
  <c r="BU37" i="3"/>
  <c r="BT37" i="3"/>
  <c r="BP86" i="3"/>
  <c r="BQ86" i="3" s="1"/>
  <c r="BS86" i="3"/>
  <c r="AD86" i="1" s="1"/>
  <c r="EV170" i="3"/>
  <c r="ER170" i="3"/>
  <c r="ES170" i="3"/>
  <c r="ET170" i="3" s="1"/>
  <c r="EZ170" i="3"/>
  <c r="DI207" i="3"/>
  <c r="BU26" i="3"/>
  <c r="BT26" i="3"/>
  <c r="BR26" i="3"/>
  <c r="BQ26" i="3"/>
  <c r="BP26" i="3"/>
  <c r="DK26" i="3" s="1"/>
  <c r="BS26" i="3"/>
  <c r="BR203" i="3"/>
  <c r="BU203" i="3"/>
  <c r="BT203" i="3"/>
  <c r="BQ203" i="3"/>
  <c r="CQ192" i="3"/>
  <c r="BC192" i="3"/>
  <c r="AV134" i="3"/>
  <c r="AU134" i="3"/>
  <c r="AT134" i="3"/>
  <c r="CY134" i="3" s="1"/>
  <c r="BO97" i="3"/>
  <c r="BN97" i="3"/>
  <c r="BM97" i="3"/>
  <c r="BO62" i="3"/>
  <c r="BN62" i="3"/>
  <c r="BM62" i="3"/>
  <c r="CQ188" i="3"/>
  <c r="BC188" i="3"/>
  <c r="ER92" i="3"/>
  <c r="EZ92" i="3"/>
  <c r="EV92" i="3"/>
  <c r="ES92" i="3"/>
  <c r="ET92" i="3" s="1"/>
  <c r="BB92" i="3"/>
  <c r="BA92" i="3"/>
  <c r="BD92" i="3"/>
  <c r="BU104" i="3"/>
  <c r="BT104" i="3"/>
  <c r="BS104" i="3"/>
  <c r="AD104" i="1" s="1"/>
  <c r="AQ104" i="1" s="1"/>
  <c r="BR104" i="3"/>
  <c r="BQ104" i="3"/>
  <c r="BP104" i="3"/>
  <c r="DK104" i="3" s="1"/>
  <c r="BO30" i="3"/>
  <c r="BN30" i="3"/>
  <c r="BM30" i="3"/>
  <c r="CY30" i="3" s="1"/>
  <c r="AV182" i="3"/>
  <c r="AU182" i="3"/>
  <c r="AT182" i="3"/>
  <c r="BC92" i="3"/>
  <c r="DM219" i="3"/>
  <c r="EZ144" i="3"/>
  <c r="EV144" i="3"/>
  <c r="ER144" i="3"/>
  <c r="ES144" i="3"/>
  <c r="ET144" i="3" s="1"/>
  <c r="CV222" i="3"/>
  <c r="B222" i="3" s="1"/>
  <c r="DO219" i="3"/>
  <c r="CW222" i="3"/>
  <c r="EV199" i="3"/>
  <c r="ES199" i="3"/>
  <c r="ET199" i="3" s="1"/>
  <c r="EZ199" i="3"/>
  <c r="ER199" i="3"/>
  <c r="BC146" i="3"/>
  <c r="CQ146" i="3"/>
  <c r="CQ130" i="3"/>
  <c r="BC130" i="3"/>
  <c r="BM163" i="3"/>
  <c r="BN163" i="3"/>
  <c r="BO163" i="3"/>
  <c r="CP96" i="3"/>
  <c r="AV231" i="3"/>
  <c r="AU231" i="3"/>
  <c r="AT231" i="3"/>
  <c r="CY231" i="3" s="1"/>
  <c r="DI231" i="3"/>
  <c r="DJ231" i="3"/>
  <c r="BO225" i="3"/>
  <c r="BN225" i="3"/>
  <c r="BM225" i="3"/>
  <c r="BO233" i="3"/>
  <c r="BM233" i="3"/>
  <c r="BN233" i="3"/>
  <c r="BR214" i="3"/>
  <c r="BQ214" i="3"/>
  <c r="BS214" i="3"/>
  <c r="BP214" i="3"/>
  <c r="DK214" i="3" s="1"/>
  <c r="BU214" i="3"/>
  <c r="BT214" i="3"/>
  <c r="BB220" i="3"/>
  <c r="BA220" i="3"/>
  <c r="BC220" i="3"/>
  <c r="AT209" i="3"/>
  <c r="AV209" i="3"/>
  <c r="AU209" i="3"/>
  <c r="BS183" i="3"/>
  <c r="AD183" i="1" s="1"/>
  <c r="AQ183" i="1" s="1"/>
  <c r="BR183" i="3"/>
  <c r="BQ183" i="3"/>
  <c r="BP183" i="3"/>
  <c r="BU183" i="3"/>
  <c r="BT183" i="3"/>
  <c r="AT180" i="3"/>
  <c r="AV180" i="3"/>
  <c r="AU180" i="3"/>
  <c r="AW180" i="3"/>
  <c r="BC167" i="3"/>
  <c r="BM153" i="3"/>
  <c r="BO153" i="3"/>
  <c r="BN153" i="3"/>
  <c r="BO89" i="3"/>
  <c r="BN89" i="3"/>
  <c r="BM89" i="3"/>
  <c r="CY89" i="3" s="1"/>
  <c r="DO157" i="3"/>
  <c r="BC183" i="3"/>
  <c r="DY183" i="3"/>
  <c r="EV94" i="3"/>
  <c r="ES94" i="3"/>
  <c r="ET94" i="3" s="1"/>
  <c r="ER94" i="3"/>
  <c r="EZ94" i="3"/>
  <c r="EZ84" i="3"/>
  <c r="ES84" i="3"/>
  <c r="ET84" i="3" s="1"/>
  <c r="ER84" i="3"/>
  <c r="EV84" i="3"/>
  <c r="DN59" i="3"/>
  <c r="DY59" i="3"/>
  <c r="CQ59" i="3"/>
  <c r="BC59" i="3"/>
  <c r="BS36" i="3"/>
  <c r="BR36" i="3"/>
  <c r="BQ36" i="3"/>
  <c r="BP36" i="3"/>
  <c r="BU36" i="3"/>
  <c r="BT36" i="3"/>
  <c r="AU28" i="3"/>
  <c r="AT28" i="3"/>
  <c r="AW28" i="3"/>
  <c r="AV28" i="3"/>
  <c r="BU224" i="3"/>
  <c r="BT224" i="3"/>
  <c r="BS224" i="3"/>
  <c r="AD224" i="1" s="1"/>
  <c r="BR224" i="3"/>
  <c r="BQ224" i="3"/>
  <c r="BP224" i="3"/>
  <c r="DK224" i="3" s="1"/>
  <c r="BD195" i="3"/>
  <c r="BC195" i="3"/>
  <c r="BO148" i="3"/>
  <c r="BN148" i="3"/>
  <c r="BM148" i="3"/>
  <c r="BC118" i="3"/>
  <c r="CQ118" i="3"/>
  <c r="BU127" i="3"/>
  <c r="BT127" i="3"/>
  <c r="BS127" i="3"/>
  <c r="BR127" i="3"/>
  <c r="BQ127" i="3"/>
  <c r="BP127" i="3"/>
  <c r="DK127" i="3" s="1"/>
  <c r="BC124" i="3"/>
  <c r="BB124" i="3"/>
  <c r="BA124" i="3"/>
  <c r="BD124" i="3"/>
  <c r="CU55" i="3"/>
  <c r="BO22" i="3"/>
  <c r="BN22" i="3"/>
  <c r="BM22" i="3"/>
  <c r="AU229" i="3"/>
  <c r="AT229" i="3"/>
  <c r="CY229" i="3" s="1"/>
  <c r="AW229" i="3"/>
  <c r="AV229" i="3"/>
  <c r="BQ137" i="3"/>
  <c r="BP137" i="3"/>
  <c r="BT137" i="3"/>
  <c r="BS137" i="3"/>
  <c r="BR137" i="3"/>
  <c r="BU137" i="3"/>
  <c r="BA206" i="3"/>
  <c r="BB206" i="3"/>
  <c r="BO173" i="3"/>
  <c r="BN173" i="3"/>
  <c r="BM173" i="3"/>
  <c r="BD18" i="3"/>
  <c r="BB18" i="3"/>
  <c r="BA18" i="3"/>
  <c r="BC18" i="3"/>
  <c r="BO110" i="3"/>
  <c r="BN110" i="3"/>
  <c r="BM110" i="3"/>
  <c r="BD37" i="3"/>
  <c r="BC37" i="3"/>
  <c r="BB37" i="3"/>
  <c r="BA37" i="3"/>
  <c r="AU118" i="3"/>
  <c r="AT118" i="3"/>
  <c r="AV118" i="3"/>
  <c r="ES228" i="3"/>
  <c r="ET228" i="3" s="1"/>
  <c r="ER228" i="3"/>
  <c r="EV228" i="3"/>
  <c r="EZ228" i="3"/>
  <c r="EY228" i="3" s="1"/>
  <c r="BC16" i="3"/>
  <c r="CQ16" i="3"/>
  <c r="AV135" i="3"/>
  <c r="AU135" i="3"/>
  <c r="AT135" i="3"/>
  <c r="CY135" i="3" s="1"/>
  <c r="AV99" i="3"/>
  <c r="AU99" i="3"/>
  <c r="AT99" i="3"/>
  <c r="CY99" i="3" s="1"/>
  <c r="BN84" i="3"/>
  <c r="BM84" i="3"/>
  <c r="BO84" i="3"/>
  <c r="DJ32" i="3"/>
  <c r="DI32" i="3"/>
  <c r="BC13" i="3"/>
  <c r="EZ181" i="3"/>
  <c r="R181" i="1" s="1"/>
  <c r="EV181" i="3"/>
  <c r="ES181" i="3"/>
  <c r="ER181" i="3"/>
  <c r="ER157" i="3"/>
  <c r="ES157" i="3"/>
  <c r="EV157" i="3"/>
  <c r="N157" i="1" s="1"/>
  <c r="EZ157" i="3"/>
  <c r="R157" i="1" s="1"/>
  <c r="EZ145" i="3"/>
  <c r="EV145" i="3"/>
  <c r="ES145" i="3"/>
  <c r="ET145" i="3" s="1"/>
  <c r="ER145" i="3"/>
  <c r="CU145" i="3"/>
  <c r="BQ140" i="3"/>
  <c r="BP140" i="3"/>
  <c r="DK140" i="3" s="1"/>
  <c r="BU140" i="3"/>
  <c r="BT140" i="3"/>
  <c r="BS140" i="3"/>
  <c r="BR140" i="3"/>
  <c r="BR142" i="3"/>
  <c r="BQ142" i="3"/>
  <c r="BT142" i="3"/>
  <c r="BS142" i="3"/>
  <c r="DN142" i="3" s="1"/>
  <c r="BP142" i="3"/>
  <c r="BU142" i="3"/>
  <c r="EZ220" i="3"/>
  <c r="R220" i="1" s="1"/>
  <c r="ES220" i="3"/>
  <c r="ER220" i="3"/>
  <c r="EV220" i="3"/>
  <c r="N220" i="1" s="1"/>
  <c r="CU220" i="3"/>
  <c r="ER206" i="3"/>
  <c r="EZ206" i="3"/>
  <c r="EV206" i="3"/>
  <c r="ES206" i="3"/>
  <c r="ET206" i="3" s="1"/>
  <c r="BC222" i="3"/>
  <c r="DL222" i="3" s="1"/>
  <c r="BA222" i="3"/>
  <c r="DK222" i="3" s="1"/>
  <c r="EZ151" i="3"/>
  <c r="EV151" i="3"/>
  <c r="ES151" i="3"/>
  <c r="ET151" i="3" s="1"/>
  <c r="ER151" i="3"/>
  <c r="DN227" i="3"/>
  <c r="CQ227" i="3"/>
  <c r="BC227" i="3"/>
  <c r="DY227" i="3"/>
  <c r="AZ222" i="3"/>
  <c r="AY222" i="3"/>
  <c r="BC144" i="3"/>
  <c r="CQ144" i="3"/>
  <c r="BN169" i="3"/>
  <c r="BO169" i="3"/>
  <c r="BM169" i="3"/>
  <c r="CY169" i="3" s="1"/>
  <c r="ES160" i="3"/>
  <c r="ER160" i="3"/>
  <c r="EZ160" i="3"/>
  <c r="R160" i="1" s="1"/>
  <c r="EV160" i="3"/>
  <c r="BU130" i="3"/>
  <c r="BT130" i="3"/>
  <c r="BS130" i="3"/>
  <c r="BR130" i="3"/>
  <c r="BQ130" i="3"/>
  <c r="BP130" i="3"/>
  <c r="DK130" i="3" s="1"/>
  <c r="BU85" i="3"/>
  <c r="BT85" i="3"/>
  <c r="BS85" i="3"/>
  <c r="BP85" i="3"/>
  <c r="DK85" i="3" s="1"/>
  <c r="BR85" i="3"/>
  <c r="BQ85" i="3"/>
  <c r="BO44" i="3"/>
  <c r="BN44" i="3"/>
  <c r="BM44" i="3"/>
  <c r="CY44" i="3" s="1"/>
  <c r="BB210" i="3"/>
  <c r="BD210" i="3"/>
  <c r="CQ193" i="3"/>
  <c r="BC193" i="3"/>
  <c r="BU188" i="3"/>
  <c r="BT188" i="3"/>
  <c r="BS188" i="3"/>
  <c r="BR188" i="3"/>
  <c r="BQ188" i="3"/>
  <c r="BP188" i="3"/>
  <c r="DK188" i="3" s="1"/>
  <c r="BO155" i="3"/>
  <c r="BN155" i="3"/>
  <c r="BM155" i="3"/>
  <c r="BC228" i="3"/>
  <c r="BD228" i="3"/>
  <c r="BB157" i="3"/>
  <c r="AW157" i="3"/>
  <c r="AT154" i="3"/>
  <c r="CY154" i="3" s="1"/>
  <c r="AV154" i="3"/>
  <c r="AU154" i="3"/>
  <c r="BO146" i="3"/>
  <c r="BM146" i="3"/>
  <c r="BN146" i="3"/>
  <c r="BD138" i="3"/>
  <c r="BC138" i="3"/>
  <c r="BC94" i="3"/>
  <c r="CQ94" i="3"/>
  <c r="EZ115" i="3"/>
  <c r="R115" i="1" s="1"/>
  <c r="EV115" i="3"/>
  <c r="ER115" i="3"/>
  <c r="ES115" i="3"/>
  <c r="ES105" i="3"/>
  <c r="ET105" i="3" s="1"/>
  <c r="ER105" i="3"/>
  <c r="EZ105" i="3"/>
  <c r="EV105" i="3"/>
  <c r="BU60" i="3"/>
  <c r="BT60" i="3"/>
  <c r="BS60" i="3"/>
  <c r="BR60" i="3"/>
  <c r="BQ60" i="3"/>
  <c r="BP60" i="3"/>
  <c r="DK60" i="3" s="1"/>
  <c r="BO158" i="3"/>
  <c r="BN158" i="3"/>
  <c r="BM158" i="3"/>
  <c r="AV158" i="3"/>
  <c r="AU158" i="3"/>
  <c r="AT158" i="3"/>
  <c r="BO133" i="3"/>
  <c r="BN133" i="3"/>
  <c r="BM133" i="3"/>
  <c r="BO128" i="3"/>
  <c r="BN128" i="3"/>
  <c r="BM128" i="3"/>
  <c r="EZ120" i="3"/>
  <c r="R120" i="1" s="1"/>
  <c r="EV120" i="3"/>
  <c r="N120" i="1" s="1"/>
  <c r="P120" i="1" s="1"/>
  <c r="ES120" i="3"/>
  <c r="ER120" i="3"/>
  <c r="DP157" i="3"/>
  <c r="CO59" i="3"/>
  <c r="CQ127" i="3"/>
  <c r="BC127" i="3"/>
  <c r="AU136" i="3"/>
  <c r="AT136" i="3"/>
  <c r="AV136" i="3"/>
  <c r="AU90" i="3"/>
  <c r="AT90" i="3"/>
  <c r="AV90" i="3"/>
  <c r="AV77" i="3"/>
  <c r="AU77" i="3"/>
  <c r="AT77" i="3"/>
  <c r="BP110" i="3"/>
  <c r="BU110" i="3"/>
  <c r="BT110" i="3"/>
  <c r="BR110" i="3"/>
  <c r="BQ110" i="3"/>
  <c r="BS110" i="3"/>
  <c r="AU22" i="3"/>
  <c r="AT22" i="3"/>
  <c r="AV22" i="3"/>
  <c r="EZ171" i="3"/>
  <c r="EV171" i="3"/>
  <c r="ES171" i="3"/>
  <c r="ET171" i="3" s="1"/>
  <c r="ER171" i="3"/>
  <c r="BO170" i="3"/>
  <c r="BN170" i="3"/>
  <c r="BM170" i="3"/>
  <c r="CY170" i="3" s="1"/>
  <c r="DZ202" i="3"/>
  <c r="BU152" i="3"/>
  <c r="BT152" i="3"/>
  <c r="BS152" i="3"/>
  <c r="BR152" i="3"/>
  <c r="BQ152" i="3"/>
  <c r="BP152" i="3"/>
  <c r="DK152" i="3" s="1"/>
  <c r="DY78" i="3"/>
  <c r="CQ78" i="3"/>
  <c r="BC78" i="3"/>
  <c r="DN78" i="3"/>
  <c r="BU38" i="3"/>
  <c r="BT38" i="3"/>
  <c r="BS38" i="3"/>
  <c r="BR38" i="3"/>
  <c r="BQ38" i="3"/>
  <c r="BP38" i="3"/>
  <c r="DK38" i="3" s="1"/>
  <c r="EV119" i="3"/>
  <c r="ES119" i="3"/>
  <c r="ET119" i="3" s="1"/>
  <c r="EZ119" i="3"/>
  <c r="ER119" i="3"/>
  <c r="AT147" i="3"/>
  <c r="AV147" i="3"/>
  <c r="AU147" i="3"/>
  <c r="AV45" i="3"/>
  <c r="AU45" i="3"/>
  <c r="AT45" i="3"/>
  <c r="AW45" i="3"/>
  <c r="BC163" i="3"/>
  <c r="CQ163" i="3"/>
  <c r="ER177" i="3"/>
  <c r="EZ177" i="3"/>
  <c r="R177" i="1" s="1"/>
  <c r="EV177" i="3"/>
  <c r="N177" i="1" s="1"/>
  <c r="ES177" i="3"/>
  <c r="BT94" i="3"/>
  <c r="BS94" i="3"/>
  <c r="BR94" i="3"/>
  <c r="BQ94" i="3"/>
  <c r="BP94" i="3"/>
  <c r="DK94" i="3" s="1"/>
  <c r="BU94" i="3"/>
  <c r="AU216" i="3"/>
  <c r="AT216" i="3"/>
  <c r="AV216" i="3"/>
  <c r="AW184" i="3"/>
  <c r="BD184" i="3"/>
  <c r="BC184" i="3"/>
  <c r="EV222" i="3"/>
  <c r="ES222" i="3"/>
  <c r="ET222" i="3" s="1"/>
  <c r="EZ222" i="3"/>
  <c r="ER222" i="3"/>
  <c r="AV173" i="3"/>
  <c r="AU173" i="3"/>
  <c r="AT173" i="3"/>
  <c r="BD132" i="3"/>
  <c r="BC132" i="3"/>
  <c r="BA132" i="3"/>
  <c r="BB132" i="3"/>
  <c r="AU106" i="3"/>
  <c r="AT106" i="3"/>
  <c r="AV106" i="3"/>
  <c r="CR96" i="3"/>
  <c r="CQ96" i="3"/>
  <c r="DN96" i="3"/>
  <c r="DO96" i="3"/>
  <c r="CO96" i="3"/>
  <c r="BO142" i="3"/>
  <c r="BN142" i="3"/>
  <c r="BM142" i="3"/>
  <c r="CQ91" i="3"/>
  <c r="BC91" i="3"/>
  <c r="BC103" i="3"/>
  <c r="DL103" i="3" s="1"/>
  <c r="BB103" i="3"/>
  <c r="BA103" i="3"/>
  <c r="DK103" i="3" s="1"/>
  <c r="BU68" i="3"/>
  <c r="BT68" i="3"/>
  <c r="BS68" i="3"/>
  <c r="BR68" i="3"/>
  <c r="BP68" i="3"/>
  <c r="DK68" i="3" s="1"/>
  <c r="BQ68" i="3"/>
  <c r="BD121" i="3"/>
  <c r="AW121" i="3"/>
  <c r="BC121" i="3"/>
  <c r="BB121" i="3"/>
  <c r="BA121" i="3"/>
  <c r="CY232" i="3"/>
  <c r="AV233" i="3"/>
  <c r="AU233" i="3"/>
  <c r="AT233" i="3"/>
  <c r="BP233" i="3"/>
  <c r="DK233" i="3" s="1"/>
  <c r="BU233" i="3"/>
  <c r="BT233" i="3"/>
  <c r="BS233" i="3"/>
  <c r="BR233" i="3"/>
  <c r="BQ233" i="3"/>
  <c r="AV230" i="3"/>
  <c r="AU230" i="3"/>
  <c r="AT230" i="3"/>
  <c r="CY230" i="3" s="1"/>
  <c r="BC235" i="3"/>
  <c r="BD235" i="3"/>
  <c r="AV218" i="3"/>
  <c r="AU218" i="3"/>
  <c r="AT218" i="3"/>
  <c r="AV196" i="3"/>
  <c r="AU196" i="3"/>
  <c r="AT196" i="3"/>
  <c r="CY196" i="3" s="1"/>
  <c r="AW196" i="3"/>
  <c r="BO216" i="3"/>
  <c r="BN216" i="3"/>
  <c r="BM216" i="3"/>
  <c r="AV221" i="3"/>
  <c r="AU221" i="3"/>
  <c r="AT221" i="3"/>
  <c r="CY221" i="3" s="1"/>
  <c r="BD221" i="3"/>
  <c r="BC221" i="3"/>
  <c r="DD221" i="3" s="1"/>
  <c r="BB221" i="3"/>
  <c r="BA221" i="3"/>
  <c r="DC221" i="3" s="1"/>
  <c r="DJ207" i="3"/>
  <c r="BD222" i="3"/>
  <c r="AT165" i="3"/>
  <c r="CY165" i="3" s="1"/>
  <c r="AV165" i="3"/>
  <c r="AU165" i="3"/>
  <c r="EZ174" i="3"/>
  <c r="EV174" i="3"/>
  <c r="ES174" i="3"/>
  <c r="ET174" i="3" s="1"/>
  <c r="ER174" i="3"/>
  <c r="CR166" i="3"/>
  <c r="CQ166" i="3"/>
  <c r="CO166" i="3"/>
  <c r="DM166" i="3"/>
  <c r="CP166" i="3"/>
  <c r="BC72" i="3"/>
  <c r="CQ72" i="3"/>
  <c r="AV167" i="3"/>
  <c r="AU167" i="3"/>
  <c r="AT167" i="3"/>
  <c r="EZ131" i="3"/>
  <c r="R131" i="1" s="1"/>
  <c r="EV131" i="3"/>
  <c r="N131" i="1" s="1"/>
  <c r="ES131" i="3"/>
  <c r="ER131" i="3"/>
  <c r="BO116" i="3"/>
  <c r="BN116" i="3"/>
  <c r="BM116" i="3"/>
  <c r="BU66" i="3"/>
  <c r="BT66" i="3"/>
  <c r="BS66" i="3"/>
  <c r="BR66" i="3"/>
  <c r="BQ66" i="3"/>
  <c r="BP66" i="3"/>
  <c r="DK66" i="3" s="1"/>
  <c r="BC35" i="3"/>
  <c r="CQ35" i="3"/>
  <c r="AV31" i="3"/>
  <c r="AU31" i="3"/>
  <c r="AT31" i="3"/>
  <c r="AV84" i="3"/>
  <c r="AU84" i="3"/>
  <c r="AT84" i="3"/>
  <c r="AW84" i="3"/>
  <c r="BM76" i="3"/>
  <c r="BN76" i="3"/>
  <c r="BO76" i="3"/>
  <c r="DP59" i="3"/>
  <c r="AU82" i="3"/>
  <c r="AT82" i="3"/>
  <c r="AV82" i="3"/>
  <c r="ER69" i="3"/>
  <c r="ES69" i="3"/>
  <c r="ET69" i="3" s="1"/>
  <c r="EZ69" i="3"/>
  <c r="EV69" i="3"/>
  <c r="AW69" i="3"/>
  <c r="EZ17" i="3"/>
  <c r="ES17" i="3"/>
  <c r="ER17" i="3"/>
  <c r="EV17" i="3"/>
  <c r="N17" i="1" s="1"/>
  <c r="BN136" i="3"/>
  <c r="BM136" i="3"/>
  <c r="BO136" i="3"/>
  <c r="DM84" i="3"/>
  <c r="DN84" i="3"/>
  <c r="DP84" i="3"/>
  <c r="CR84" i="3"/>
  <c r="DO84" i="3"/>
  <c r="CO84" i="3"/>
  <c r="CQ31" i="3"/>
  <c r="BC31" i="3"/>
  <c r="BT21" i="3"/>
  <c r="BS21" i="3"/>
  <c r="BU21" i="3"/>
  <c r="BQ21" i="3"/>
  <c r="BP21" i="3"/>
  <c r="DK21" i="3" s="1"/>
  <c r="BR21" i="3"/>
  <c r="AV17" i="3"/>
  <c r="AU17" i="3"/>
  <c r="AT17" i="3"/>
  <c r="AW17" i="3"/>
  <c r="DX196" i="3"/>
  <c r="DM196" i="3"/>
  <c r="DO196" i="3"/>
  <c r="DN196" i="3"/>
  <c r="CQ196" i="3"/>
  <c r="DW196" i="3"/>
  <c r="AV122" i="3"/>
  <c r="AU122" i="3"/>
  <c r="AT122" i="3"/>
  <c r="AW122" i="3"/>
  <c r="EV182" i="3"/>
  <c r="ES182" i="3"/>
  <c r="ET182" i="3" s="1"/>
  <c r="ER182" i="3"/>
  <c r="EZ182" i="3"/>
  <c r="BU199" i="3"/>
  <c r="BT199" i="3"/>
  <c r="BS199" i="3"/>
  <c r="BR199" i="3"/>
  <c r="BQ199" i="3"/>
  <c r="BP199" i="3"/>
  <c r="EV185" i="3"/>
  <c r="ES185" i="3"/>
  <c r="ET185" i="3" s="1"/>
  <c r="ER185" i="3"/>
  <c r="EZ185" i="3"/>
  <c r="AV143" i="3"/>
  <c r="AU143" i="3"/>
  <c r="AT143" i="3"/>
  <c r="AW143" i="3"/>
  <c r="BR177" i="3"/>
  <c r="BP177" i="3"/>
  <c r="DK177" i="3" s="1"/>
  <c r="BU177" i="3"/>
  <c r="BT177" i="3"/>
  <c r="BS177" i="3"/>
  <c r="AD177" i="1" s="1"/>
  <c r="BQ177" i="3"/>
  <c r="ER125" i="3"/>
  <c r="EV125" i="3"/>
  <c r="ES125" i="3"/>
  <c r="ET125" i="3" s="1"/>
  <c r="EZ125" i="3"/>
  <c r="BQ49" i="3"/>
  <c r="BP49" i="3"/>
  <c r="BU49" i="3"/>
  <c r="BT49" i="3"/>
  <c r="BS49" i="3"/>
  <c r="BR49" i="3"/>
  <c r="AU63" i="3"/>
  <c r="AT63" i="3"/>
  <c r="AV63" i="3"/>
  <c r="CR196" i="3"/>
  <c r="BU209" i="3"/>
  <c r="BS209" i="3"/>
  <c r="BR209" i="3"/>
  <c r="BT209" i="3"/>
  <c r="BQ209" i="3"/>
  <c r="BP209" i="3"/>
  <c r="DK209" i="3" s="1"/>
  <c r="ES172" i="3"/>
  <c r="ET172" i="3" s="1"/>
  <c r="EZ172" i="3"/>
  <c r="EV172" i="3"/>
  <c r="ER172" i="3"/>
  <c r="BU144" i="3"/>
  <c r="BT144" i="3"/>
  <c r="BS144" i="3"/>
  <c r="BP144" i="3"/>
  <c r="DK144" i="3" s="1"/>
  <c r="BR144" i="3"/>
  <c r="BQ144" i="3"/>
  <c r="ES235" i="3"/>
  <c r="ET235" i="3" s="1"/>
  <c r="ER235" i="3"/>
  <c r="EZ235" i="3"/>
  <c r="EY235" i="3" s="1"/>
  <c r="EV235" i="3"/>
  <c r="DP219" i="3"/>
  <c r="BU200" i="3"/>
  <c r="BR200" i="3"/>
  <c r="BQ200" i="3"/>
  <c r="BP200" i="3"/>
  <c r="DK200" i="3" s="1"/>
  <c r="BT200" i="3"/>
  <c r="BS200" i="3"/>
  <c r="BC206" i="3"/>
  <c r="BU236" i="3"/>
  <c r="BT236" i="3"/>
  <c r="BS236" i="3"/>
  <c r="BR236" i="3"/>
  <c r="BQ236" i="3"/>
  <c r="BP236" i="3"/>
  <c r="DK236" i="3" s="1"/>
  <c r="DJ232" i="3"/>
  <c r="DI232" i="3"/>
  <c r="DK217" i="3"/>
  <c r="CQ200" i="3"/>
  <c r="BC200" i="3"/>
  <c r="BO211" i="3"/>
  <c r="BN211" i="3"/>
  <c r="BM211" i="3"/>
  <c r="BD206" i="3"/>
  <c r="ES200" i="3"/>
  <c r="ER200" i="3"/>
  <c r="EZ200" i="3"/>
  <c r="R200" i="1" s="1"/>
  <c r="EV200" i="3"/>
  <c r="BO171" i="3"/>
  <c r="BN171" i="3"/>
  <c r="BM171" i="3"/>
  <c r="EX178" i="3"/>
  <c r="EU178" i="3"/>
  <c r="AV149" i="3"/>
  <c r="AU149" i="3"/>
  <c r="AT149" i="3"/>
  <c r="BO212" i="3"/>
  <c r="BN212" i="3"/>
  <c r="BM212" i="3"/>
  <c r="DI164" i="3"/>
  <c r="DJ164" i="3"/>
  <c r="BU169" i="3"/>
  <c r="BS169" i="3"/>
  <c r="BR169" i="3"/>
  <c r="BQ169" i="3"/>
  <c r="BP169" i="3"/>
  <c r="DK169" i="3" s="1"/>
  <c r="BT169" i="3"/>
  <c r="BO160" i="3"/>
  <c r="BN160" i="3"/>
  <c r="BO127" i="3"/>
  <c r="BN127" i="3"/>
  <c r="BM127" i="3"/>
  <c r="CY127" i="3" s="1"/>
  <c r="AV58" i="3"/>
  <c r="AU58" i="3"/>
  <c r="AT58" i="3"/>
  <c r="CY58" i="3" s="1"/>
  <c r="BP167" i="3"/>
  <c r="BR167" i="3" s="1"/>
  <c r="BS167" i="3"/>
  <c r="BS133" i="3"/>
  <c r="BR133" i="3"/>
  <c r="BQ133" i="3"/>
  <c r="BP133" i="3"/>
  <c r="BT133" i="3"/>
  <c r="BU133" i="3"/>
  <c r="AV54" i="3"/>
  <c r="AU54" i="3"/>
  <c r="AT54" i="3"/>
  <c r="AW54" i="3"/>
  <c r="BD46" i="3"/>
  <c r="BB46" i="3"/>
  <c r="CQ159" i="3"/>
  <c r="BC159" i="3"/>
  <c r="BM38" i="3"/>
  <c r="BO38" i="3"/>
  <c r="BN38" i="3"/>
  <c r="EV27" i="3"/>
  <c r="N27" i="1" s="1"/>
  <c r="EZ27" i="3"/>
  <c r="R27" i="1" s="1"/>
  <c r="ES27" i="3"/>
  <c r="ER27" i="3"/>
  <c r="BN90" i="3"/>
  <c r="BM90" i="3"/>
  <c r="BO90" i="3"/>
  <c r="ES124" i="3"/>
  <c r="ET124" i="3" s="1"/>
  <c r="ER124" i="3"/>
  <c r="EV124" i="3"/>
  <c r="EZ124" i="3"/>
  <c r="AV236" i="3"/>
  <c r="AU236" i="3"/>
  <c r="AT236" i="3"/>
  <c r="ES229" i="3"/>
  <c r="ER229" i="3"/>
  <c r="EZ229" i="3"/>
  <c r="EV229" i="3"/>
  <c r="N229" i="1" s="1"/>
  <c r="CU229" i="3"/>
  <c r="CV229" i="3" s="1"/>
  <c r="B229" i="3" s="1"/>
  <c r="BR230" i="3"/>
  <c r="BQ230" i="3"/>
  <c r="BP230" i="3"/>
  <c r="DK230" i="3" s="1"/>
  <c r="BU230" i="3"/>
  <c r="BT230" i="3"/>
  <c r="BS230" i="3"/>
  <c r="DZ217" i="3"/>
  <c r="DX217" i="3"/>
  <c r="DN217" i="3"/>
  <c r="CQ211" i="3"/>
  <c r="BC211" i="3"/>
  <c r="BR216" i="3"/>
  <c r="BQ216" i="3"/>
  <c r="BP216" i="3"/>
  <c r="DL216" i="3" s="1"/>
  <c r="BU216" i="3"/>
  <c r="BT216" i="3"/>
  <c r="BS216" i="3"/>
  <c r="EZ210" i="3"/>
  <c r="EV210" i="3"/>
  <c r="ES210" i="3"/>
  <c r="ET210" i="3" s="1"/>
  <c r="ER210" i="3"/>
  <c r="BN189" i="3"/>
  <c r="BM189" i="3"/>
  <c r="CY189" i="3" s="1"/>
  <c r="BO189" i="3"/>
  <c r="BD176" i="3"/>
  <c r="BB176" i="3"/>
  <c r="AV174" i="3"/>
  <c r="AU174" i="3"/>
  <c r="AT174" i="3"/>
  <c r="CY174" i="3" s="1"/>
  <c r="AW168" i="3"/>
  <c r="BD168" i="3"/>
  <c r="BC205" i="3"/>
  <c r="DY205" i="3"/>
  <c r="BU146" i="3"/>
  <c r="BT146" i="3"/>
  <c r="BS146" i="3"/>
  <c r="BR146" i="3"/>
  <c r="BQ146" i="3"/>
  <c r="BP146" i="3"/>
  <c r="DK146" i="3" s="1"/>
  <c r="BO151" i="3"/>
  <c r="BN151" i="3"/>
  <c r="BM151" i="3"/>
  <c r="ES134" i="3"/>
  <c r="ET134" i="3" s="1"/>
  <c r="ER134" i="3"/>
  <c r="EZ134" i="3"/>
  <c r="EV134" i="3"/>
  <c r="AT163" i="3"/>
  <c r="AV163" i="3"/>
  <c r="AU163" i="3"/>
  <c r="EV163" i="3"/>
  <c r="N163" i="1" s="1"/>
  <c r="P163" i="1" s="1"/>
  <c r="ES163" i="3"/>
  <c r="ER163" i="3"/>
  <c r="EZ163" i="3"/>
  <c r="R163" i="1" s="1"/>
  <c r="CQ169" i="3"/>
  <c r="BC169" i="3"/>
  <c r="BO137" i="3"/>
  <c r="BN137" i="3"/>
  <c r="BM137" i="3"/>
  <c r="BC66" i="3"/>
  <c r="BD66" i="3"/>
  <c r="EZ60" i="3"/>
  <c r="EV60" i="3"/>
  <c r="ER60" i="3"/>
  <c r="ES60" i="3"/>
  <c r="ET60" i="3" s="1"/>
  <c r="DO59" i="3"/>
  <c r="CP59" i="3"/>
  <c r="BU158" i="3"/>
  <c r="BT158" i="3"/>
  <c r="BS158" i="3"/>
  <c r="AD158" i="1" s="1"/>
  <c r="BR158" i="3"/>
  <c r="BP158" i="3"/>
  <c r="DK158" i="3" s="1"/>
  <c r="BQ158" i="3"/>
  <c r="BM82" i="3"/>
  <c r="BO82" i="3"/>
  <c r="BN82" i="3"/>
  <c r="DP196" i="3"/>
  <c r="BO49" i="3"/>
  <c r="BN49" i="3"/>
  <c r="BM49" i="3"/>
  <c r="BU35" i="3"/>
  <c r="BT35" i="3"/>
  <c r="BS35" i="3"/>
  <c r="BR35" i="3"/>
  <c r="BQ35" i="3"/>
  <c r="BP35" i="3"/>
  <c r="DK35" i="3" s="1"/>
  <c r="BT182" i="3"/>
  <c r="BS182" i="3"/>
  <c r="BR182" i="3"/>
  <c r="BQ182" i="3"/>
  <c r="BP182" i="3"/>
  <c r="BU182" i="3"/>
  <c r="AU124" i="3"/>
  <c r="AT124" i="3"/>
  <c r="AV124" i="3"/>
  <c r="BS124" i="3"/>
  <c r="BR124" i="3"/>
  <c r="BQ124" i="3"/>
  <c r="BP124" i="3"/>
  <c r="BU124" i="3"/>
  <c r="BT124" i="3"/>
  <c r="EZ22" i="3"/>
  <c r="EV22" i="3"/>
  <c r="ES22" i="3"/>
  <c r="ET22" i="3" s="1"/>
  <c r="ER22" i="3"/>
  <c r="AV48" i="3"/>
  <c r="AU48" i="3"/>
  <c r="AT48" i="3"/>
  <c r="AV70" i="3"/>
  <c r="AU70" i="3"/>
  <c r="AT70" i="3"/>
  <c r="BO113" i="3"/>
  <c r="BN113" i="3"/>
  <c r="BM113" i="3"/>
  <c r="AV57" i="3"/>
  <c r="AT57" i="3"/>
  <c r="CY57" i="3" s="1"/>
  <c r="AU57" i="3"/>
  <c r="ES116" i="3"/>
  <c r="ET116" i="3" s="1"/>
  <c r="ER116" i="3"/>
  <c r="EZ116" i="3"/>
  <c r="EV116" i="3"/>
  <c r="BU147" i="3"/>
  <c r="BT147" i="3"/>
  <c r="BS147" i="3"/>
  <c r="BR147" i="3"/>
  <c r="BQ147" i="3"/>
  <c r="BP147" i="3"/>
  <c r="DK147" i="3" s="1"/>
  <c r="BO83" i="3"/>
  <c r="BN83" i="3"/>
  <c r="BM83" i="3"/>
  <c r="BO67" i="3"/>
  <c r="BN67" i="3"/>
  <c r="BM67" i="3"/>
  <c r="CY67" i="3" s="1"/>
  <c r="AV29" i="3"/>
  <c r="AU29" i="3"/>
  <c r="AT29" i="3"/>
  <c r="ES133" i="3"/>
  <c r="ET133" i="3" s="1"/>
  <c r="ER133" i="3"/>
  <c r="EV133" i="3"/>
  <c r="EZ133" i="3"/>
  <c r="BO72" i="3"/>
  <c r="BN72" i="3"/>
  <c r="BM72" i="3"/>
  <c r="CR59" i="3"/>
  <c r="DZ59" i="3"/>
  <c r="BD59" i="3"/>
  <c r="BT42" i="3"/>
  <c r="BS42" i="3"/>
  <c r="BR42" i="3"/>
  <c r="BQ42" i="3"/>
  <c r="BP42" i="3"/>
  <c r="BU42" i="3"/>
  <c r="EV109" i="3"/>
  <c r="EZ109" i="3"/>
  <c r="R109" i="1" s="1"/>
  <c r="ES109" i="3"/>
  <c r="ER109" i="3"/>
  <c r="BC38" i="3"/>
  <c r="BD38" i="3"/>
  <c r="EV35" i="3"/>
  <c r="ES35" i="3"/>
  <c r="ER35" i="3"/>
  <c r="EZ35" i="3"/>
  <c r="R35" i="1" s="1"/>
  <c r="BS77" i="3"/>
  <c r="BR77" i="3"/>
  <c r="BQ77" i="3"/>
  <c r="BP77" i="3"/>
  <c r="DK77" i="3" s="1"/>
  <c r="BU77" i="3"/>
  <c r="BT77" i="3"/>
  <c r="BO56" i="3"/>
  <c r="BN56" i="3"/>
  <c r="BM56" i="3"/>
  <c r="ES56" i="3"/>
  <c r="ET56" i="3" s="1"/>
  <c r="ER56" i="3"/>
  <c r="EV56" i="3"/>
  <c r="EZ56" i="3"/>
  <c r="DZ173" i="3"/>
  <c r="DX173" i="3"/>
  <c r="DW173" i="3"/>
  <c r="AU16" i="3"/>
  <c r="AT16" i="3"/>
  <c r="AV16" i="3"/>
  <c r="EZ110" i="3"/>
  <c r="EV110" i="3"/>
  <c r="ES110" i="3"/>
  <c r="ET110" i="3" s="1"/>
  <c r="ER110" i="3"/>
  <c r="ES23" i="3"/>
  <c r="ER23" i="3"/>
  <c r="EZ23" i="3"/>
  <c r="R23" i="1" s="1"/>
  <c r="EV23" i="3"/>
  <c r="N23" i="1" s="1"/>
  <c r="DW62" i="3"/>
  <c r="DN62" i="3"/>
  <c r="DY57" i="3"/>
  <c r="BC57" i="3"/>
  <c r="CQ57" i="3"/>
  <c r="BS171" i="3"/>
  <c r="BU171" i="3"/>
  <c r="BT171" i="3"/>
  <c r="BR171" i="3"/>
  <c r="BQ171" i="3"/>
  <c r="BP171" i="3"/>
  <c r="BP206" i="3"/>
  <c r="BU206" i="3"/>
  <c r="BT206" i="3"/>
  <c r="BS206" i="3"/>
  <c r="BR206" i="3"/>
  <c r="BQ206" i="3"/>
  <c r="CQ170" i="3"/>
  <c r="BC170" i="3"/>
  <c r="AU212" i="3"/>
  <c r="AT212" i="3"/>
  <c r="AV212" i="3"/>
  <c r="CQ152" i="3"/>
  <c r="BC152" i="3"/>
  <c r="AV177" i="3"/>
  <c r="AU177" i="3"/>
  <c r="AT177" i="3"/>
  <c r="ES148" i="3"/>
  <c r="ER148" i="3"/>
  <c r="EZ148" i="3"/>
  <c r="R148" i="1" s="1"/>
  <c r="EV148" i="3"/>
  <c r="DB220" i="3"/>
  <c r="ER169" i="3"/>
  <c r="ES169" i="3"/>
  <c r="ET169" i="3" s="1"/>
  <c r="EZ169" i="3"/>
  <c r="EV169" i="3"/>
  <c r="AU160" i="3"/>
  <c r="AT160" i="3"/>
  <c r="CY160" i="3" s="1"/>
  <c r="AV160" i="3"/>
  <c r="BR160" i="3"/>
  <c r="BQ160" i="3"/>
  <c r="BU160" i="3"/>
  <c r="BT160" i="3"/>
  <c r="EV88" i="3"/>
  <c r="ES88" i="3"/>
  <c r="ET88" i="3" s="1"/>
  <c r="EZ88" i="3"/>
  <c r="ER88" i="3"/>
  <c r="AV79" i="3"/>
  <c r="AU79" i="3"/>
  <c r="AT79" i="3"/>
  <c r="BO167" i="3"/>
  <c r="BN167" i="3"/>
  <c r="BM167" i="3"/>
  <c r="AV65" i="3"/>
  <c r="AU65" i="3"/>
  <c r="AT65" i="3"/>
  <c r="DP155" i="3"/>
  <c r="BU81" i="3"/>
  <c r="BT81" i="3"/>
  <c r="BQ81" i="3"/>
  <c r="BP81" i="3"/>
  <c r="BS81" i="3"/>
  <c r="BR81" i="3"/>
  <c r="BR97" i="3"/>
  <c r="BQ97" i="3"/>
  <c r="BP97" i="3"/>
  <c r="DK97" i="3" s="1"/>
  <c r="BU97" i="3"/>
  <c r="BT97" i="3"/>
  <c r="BS97" i="3"/>
  <c r="AV32" i="3"/>
  <c r="AT32" i="3"/>
  <c r="CY32" i="3" s="1"/>
  <c r="AU32" i="3"/>
  <c r="ES128" i="3"/>
  <c r="ET128" i="3" s="1"/>
  <c r="ER128" i="3"/>
  <c r="EZ128" i="3"/>
  <c r="EV128" i="3"/>
  <c r="CR85" i="3"/>
  <c r="BU82" i="3"/>
  <c r="BT82" i="3"/>
  <c r="BS82" i="3"/>
  <c r="BP82" i="3"/>
  <c r="DK82" i="3" s="1"/>
  <c r="BQ82" i="3"/>
  <c r="BR82" i="3"/>
  <c r="BT44" i="3"/>
  <c r="BS44" i="3"/>
  <c r="BR44" i="3"/>
  <c r="BQ44" i="3"/>
  <c r="BP44" i="3"/>
  <c r="DK44" i="3" s="1"/>
  <c r="BU44" i="3"/>
  <c r="BO61" i="3"/>
  <c r="BN61" i="3"/>
  <c r="BM61" i="3"/>
  <c r="ES49" i="3"/>
  <c r="ET49" i="3" s="1"/>
  <c r="ER49" i="3"/>
  <c r="EV49" i="3"/>
  <c r="EZ49" i="3"/>
  <c r="ES14" i="3"/>
  <c r="ET14" i="3" s="1"/>
  <c r="ER14" i="3"/>
  <c r="EZ14" i="3"/>
  <c r="EY14" i="3" s="1"/>
  <c r="EV14" i="3"/>
  <c r="BO95" i="3"/>
  <c r="BN95" i="3"/>
  <c r="BM95" i="3"/>
  <c r="BR56" i="3"/>
  <c r="BQ56" i="3"/>
  <c r="BP56" i="3"/>
  <c r="DK56" i="3" s="1"/>
  <c r="BU56" i="3"/>
  <c r="BT56" i="3"/>
  <c r="BS56" i="3"/>
  <c r="DX80" i="3"/>
  <c r="DZ80" i="3"/>
  <c r="DM80" i="3"/>
  <c r="BP90" i="3"/>
  <c r="DL90" i="3" s="1"/>
  <c r="BU90" i="3"/>
  <c r="BT90" i="3"/>
  <c r="BQ90" i="3"/>
  <c r="BS90" i="3"/>
  <c r="BR90" i="3"/>
  <c r="BO63" i="3"/>
  <c r="BM63" i="3"/>
  <c r="BN63" i="3"/>
  <c r="DI40" i="3"/>
  <c r="DJ40" i="3"/>
  <c r="BQ50" i="3"/>
  <c r="BO16" i="3"/>
  <c r="BN16" i="3"/>
  <c r="BM16" i="3"/>
  <c r="AV110" i="3"/>
  <c r="AU110" i="3"/>
  <c r="AT110" i="3"/>
  <c r="DO15" i="3"/>
  <c r="CR15" i="3"/>
  <c r="ER86" i="3"/>
  <c r="EZ86" i="3"/>
  <c r="ES86" i="3"/>
  <c r="ET86" i="3" s="1"/>
  <c r="EV86" i="3"/>
  <c r="AT13" i="3"/>
  <c r="AW13" i="3"/>
  <c r="AV13" i="3"/>
  <c r="AU13" i="3"/>
  <c r="BC230" i="3"/>
  <c r="CQ230" i="3"/>
  <c r="BP235" i="3"/>
  <c r="BU235" i="3"/>
  <c r="BT235" i="3"/>
  <c r="BS235" i="3"/>
  <c r="BR235" i="3"/>
  <c r="BQ235" i="3"/>
  <c r="AV211" i="3"/>
  <c r="AU211" i="3"/>
  <c r="AT211" i="3"/>
  <c r="EZ186" i="3"/>
  <c r="R186" i="1" s="1"/>
  <c r="EV186" i="3"/>
  <c r="N186" i="1" s="1"/>
  <c r="ES186" i="3"/>
  <c r="ER186" i="3"/>
  <c r="DL217" i="3"/>
  <c r="BM203" i="3"/>
  <c r="BO203" i="3"/>
  <c r="BN203" i="3"/>
  <c r="BO198" i="3"/>
  <c r="BN198" i="3"/>
  <c r="BM198" i="3"/>
  <c r="CQ178" i="3"/>
  <c r="BC178" i="3"/>
  <c r="BO185" i="3"/>
  <c r="BN185" i="3"/>
  <c r="BM185" i="3"/>
  <c r="AV161" i="3"/>
  <c r="AU161" i="3"/>
  <c r="AT161" i="3"/>
  <c r="BM156" i="3"/>
  <c r="BO156" i="3"/>
  <c r="BN156" i="3"/>
  <c r="BC173" i="3"/>
  <c r="CQ173" i="3"/>
  <c r="DY173" i="3"/>
  <c r="CP210" i="3"/>
  <c r="CQ187" i="3"/>
  <c r="BC187" i="3"/>
  <c r="ES156" i="3"/>
  <c r="ET156" i="3" s="1"/>
  <c r="ER156" i="3"/>
  <c r="EZ156" i="3"/>
  <c r="EV156" i="3"/>
  <c r="BO180" i="3"/>
  <c r="BN180" i="3"/>
  <c r="BM180" i="3"/>
  <c r="AT156" i="3"/>
  <c r="AW156" i="3"/>
  <c r="AV156" i="3"/>
  <c r="AU156" i="3"/>
  <c r="BQ156" i="3"/>
  <c r="CQ150" i="3"/>
  <c r="BC150" i="3"/>
  <c r="DL150" i="3" s="1"/>
  <c r="CQ104" i="3"/>
  <c r="BC104" i="3"/>
  <c r="BU153" i="3"/>
  <c r="BT153" i="3"/>
  <c r="BS153" i="3"/>
  <c r="BR153" i="3"/>
  <c r="BQ153" i="3"/>
  <c r="BP153" i="3"/>
  <c r="DK89" i="3"/>
  <c r="CV139" i="3"/>
  <c r="B139" i="3" s="1"/>
  <c r="BO119" i="3"/>
  <c r="BN119" i="3"/>
  <c r="BM119" i="3"/>
  <c r="DZ134" i="3"/>
  <c r="DX134" i="3"/>
  <c r="DW134" i="3"/>
  <c r="DP134" i="3"/>
  <c r="DN134" i="3"/>
  <c r="DM134" i="3"/>
  <c r="BA183" i="3"/>
  <c r="DK165" i="3"/>
  <c r="ES97" i="3"/>
  <c r="ET97" i="3" s="1"/>
  <c r="ER97" i="3"/>
  <c r="EZ97" i="3"/>
  <c r="EV97" i="3"/>
  <c r="AT133" i="3"/>
  <c r="AV133" i="3"/>
  <c r="AU133" i="3"/>
  <c r="AV128" i="3"/>
  <c r="AT128" i="3"/>
  <c r="AU128" i="3"/>
  <c r="BU76" i="3"/>
  <c r="BT76" i="3"/>
  <c r="BS76" i="3"/>
  <c r="BR76" i="3"/>
  <c r="BQ76" i="3"/>
  <c r="BP76" i="3"/>
  <c r="EZ82" i="3"/>
  <c r="EV82" i="3"/>
  <c r="ES82" i="3"/>
  <c r="ET82" i="3" s="1"/>
  <c r="ER82" i="3"/>
  <c r="BD42" i="3"/>
  <c r="BC42" i="3"/>
  <c r="BB42" i="3"/>
  <c r="BA42" i="3"/>
  <c r="BO27" i="3"/>
  <c r="BN27" i="3"/>
  <c r="BM27" i="3"/>
  <c r="CY27" i="3" s="1"/>
  <c r="BC86" i="3"/>
  <c r="BR30" i="3"/>
  <c r="BQ30" i="3"/>
  <c r="BP30" i="3"/>
  <c r="BU30" i="3"/>
  <c r="BT30" i="3"/>
  <c r="BS30" i="3"/>
  <c r="BU136" i="3"/>
  <c r="BT136" i="3"/>
  <c r="BS136" i="3"/>
  <c r="BR136" i="3"/>
  <c r="BQ136" i="3"/>
  <c r="BP136" i="3"/>
  <c r="DK136" i="3" s="1"/>
  <c r="DO18" i="3"/>
  <c r="DN18" i="3"/>
  <c r="CQ18" i="3"/>
  <c r="DP18" i="3"/>
  <c r="CR18" i="3"/>
  <c r="CP18" i="3"/>
  <c r="CQ32" i="3"/>
  <c r="BC32" i="3"/>
  <c r="DO114" i="3"/>
  <c r="CR114" i="3"/>
  <c r="CQ114" i="3"/>
  <c r="DL89" i="3"/>
  <c r="CR71" i="3"/>
  <c r="DP15" i="3"/>
  <c r="ER28" i="3"/>
  <c r="EZ28" i="3"/>
  <c r="ES28" i="3"/>
  <c r="ET28" i="3" s="1"/>
  <c r="EV28" i="3"/>
  <c r="EZ37" i="3"/>
  <c r="EV37" i="3"/>
  <c r="ER37" i="3"/>
  <c r="ES37" i="3"/>
  <c r="ET37" i="3" s="1"/>
  <c r="AT86" i="3"/>
  <c r="AW86" i="3"/>
  <c r="AV86" i="3"/>
  <c r="AU86" i="3"/>
  <c r="BO13" i="3"/>
  <c r="BN13" i="3"/>
  <c r="BM13" i="3"/>
  <c r="ES216" i="3"/>
  <c r="ET216" i="3" s="1"/>
  <c r="EZ216" i="3"/>
  <c r="ER216" i="3"/>
  <c r="EV216" i="3"/>
  <c r="AU210" i="3"/>
  <c r="AT210" i="3"/>
  <c r="AV210" i="3"/>
  <c r="BU211" i="3"/>
  <c r="BT211" i="3"/>
  <c r="BS211" i="3"/>
  <c r="BR211" i="3"/>
  <c r="BQ211" i="3"/>
  <c r="BP211" i="3"/>
  <c r="DK211" i="3" s="1"/>
  <c r="AV178" i="3"/>
  <c r="AU178" i="3"/>
  <c r="AT178" i="3"/>
  <c r="EV209" i="3"/>
  <c r="N209" i="1" s="1"/>
  <c r="P209" i="1" s="1"/>
  <c r="ES209" i="3"/>
  <c r="ER209" i="3"/>
  <c r="EZ209" i="3"/>
  <c r="R209" i="1" s="1"/>
  <c r="BN195" i="3"/>
  <c r="BM195" i="3"/>
  <c r="BO195" i="3"/>
  <c r="BC177" i="3"/>
  <c r="DY177" i="3"/>
  <c r="CQ177" i="3"/>
  <c r="DJ197" i="3"/>
  <c r="DI197" i="3"/>
  <c r="ES164" i="3"/>
  <c r="ER164" i="3"/>
  <c r="EV164" i="3"/>
  <c r="N164" i="1" s="1"/>
  <c r="EZ164" i="3"/>
  <c r="R164" i="1" s="1"/>
  <c r="BO228" i="3"/>
  <c r="BN228" i="3"/>
  <c r="BM228" i="3"/>
  <c r="BR212" i="3"/>
  <c r="BQ212" i="3"/>
  <c r="BP212" i="3"/>
  <c r="DK212" i="3" s="1"/>
  <c r="BS212" i="3"/>
  <c r="BU212" i="3"/>
  <c r="BT212" i="3"/>
  <c r="ES212" i="3"/>
  <c r="ER212" i="3"/>
  <c r="EZ212" i="3"/>
  <c r="R212" i="1" s="1"/>
  <c r="EV212" i="3"/>
  <c r="N212" i="1" s="1"/>
  <c r="P212" i="1" s="1"/>
  <c r="CO207" i="3"/>
  <c r="BC214" i="3"/>
  <c r="ES183" i="3"/>
  <c r="ER183" i="3"/>
  <c r="EZ183" i="3"/>
  <c r="R183" i="1" s="1"/>
  <c r="Q183" i="1" s="1"/>
  <c r="EV183" i="3"/>
  <c r="N183" i="1" s="1"/>
  <c r="M183" i="1" s="1"/>
  <c r="BU132" i="3"/>
  <c r="BT132" i="3"/>
  <c r="BS132" i="3"/>
  <c r="BR132" i="3"/>
  <c r="BQ132" i="3"/>
  <c r="BP132" i="3"/>
  <c r="DL134" i="3"/>
  <c r="BC160" i="3"/>
  <c r="DL160" i="3" s="1"/>
  <c r="BB160" i="3"/>
  <c r="BA160" i="3"/>
  <c r="DK160" i="3" s="1"/>
  <c r="CQ151" i="3"/>
  <c r="BC151" i="3"/>
  <c r="BU129" i="3"/>
  <c r="BT129" i="3"/>
  <c r="BS129" i="3"/>
  <c r="BR129" i="3"/>
  <c r="BQ129" i="3"/>
  <c r="BP129" i="3"/>
  <c r="ES89" i="3"/>
  <c r="ET89" i="3" s="1"/>
  <c r="ER89" i="3"/>
  <c r="EV89" i="3"/>
  <c r="EZ89" i="3"/>
  <c r="BO88" i="3"/>
  <c r="BN88" i="3"/>
  <c r="BM88" i="3"/>
  <c r="BQ113" i="3"/>
  <c r="BP113" i="3"/>
  <c r="BU113" i="3"/>
  <c r="BT113" i="3"/>
  <c r="BS113" i="3"/>
  <c r="BR113" i="3"/>
  <c r="DY155" i="3"/>
  <c r="CQ155" i="3"/>
  <c r="BC155" i="3"/>
  <c r="DN155" i="3"/>
  <c r="BC75" i="3"/>
  <c r="CQ75" i="3"/>
  <c r="AV131" i="3"/>
  <c r="AU131" i="3"/>
  <c r="AT131" i="3"/>
  <c r="EZ147" i="3"/>
  <c r="EV147" i="3"/>
  <c r="ES147" i="3"/>
  <c r="ET147" i="3" s="1"/>
  <c r="ER147" i="3"/>
  <c r="BT83" i="3"/>
  <c r="BS83" i="3"/>
  <c r="BR83" i="3"/>
  <c r="BQ83" i="3"/>
  <c r="BP83" i="3"/>
  <c r="BU83" i="3"/>
  <c r="EV158" i="3"/>
  <c r="N158" i="1" s="1"/>
  <c r="P158" i="1" s="1"/>
  <c r="EZ158" i="3"/>
  <c r="R158" i="1" s="1"/>
  <c r="ES158" i="3"/>
  <c r="ER158" i="3"/>
  <c r="AW65" i="3"/>
  <c r="BO120" i="3"/>
  <c r="BN120" i="3"/>
  <c r="BM120" i="3"/>
  <c r="BO92" i="3"/>
  <c r="BN92" i="3"/>
  <c r="BM92" i="3"/>
  <c r="CY92" i="3" s="1"/>
  <c r="EZ139" i="3"/>
  <c r="EV139" i="3"/>
  <c r="N139" i="1" s="1"/>
  <c r="P139" i="1" s="1"/>
  <c r="ES139" i="3"/>
  <c r="ET139" i="3" s="1"/>
  <c r="ER139" i="3"/>
  <c r="BU72" i="3"/>
  <c r="BT72" i="3"/>
  <c r="BS72" i="3"/>
  <c r="BR72" i="3"/>
  <c r="BQ72" i="3"/>
  <c r="BP72" i="3"/>
  <c r="DK72" i="3" s="1"/>
  <c r="ES44" i="3"/>
  <c r="ET44" i="3" s="1"/>
  <c r="ER44" i="3"/>
  <c r="EZ44" i="3"/>
  <c r="EV44" i="3"/>
  <c r="BD44" i="3"/>
  <c r="BC44" i="3"/>
  <c r="DZ78" i="3"/>
  <c r="DX78" i="3"/>
  <c r="DM78" i="3"/>
  <c r="DW78" i="3"/>
  <c r="AT69" i="3"/>
  <c r="CY69" i="3" s="1"/>
  <c r="AU69" i="3"/>
  <c r="AV69" i="3"/>
  <c r="CP50" i="3"/>
  <c r="BO36" i="3"/>
  <c r="BN36" i="3"/>
  <c r="BM36" i="3"/>
  <c r="ES19" i="3"/>
  <c r="ET19" i="3" s="1"/>
  <c r="ER19" i="3"/>
  <c r="EZ19" i="3"/>
  <c r="EY19" i="3" s="1"/>
  <c r="EV19" i="3"/>
  <c r="ER51" i="3"/>
  <c r="ES51" i="3"/>
  <c r="EZ51" i="3"/>
  <c r="R51" i="1" s="1"/>
  <c r="EV51" i="3"/>
  <c r="BQ95" i="3"/>
  <c r="BP95" i="3"/>
  <c r="DK95" i="3" s="1"/>
  <c r="BR95" i="3"/>
  <c r="BT95" i="3"/>
  <c r="BU95" i="3"/>
  <c r="BS95" i="3"/>
  <c r="BS63" i="3"/>
  <c r="BR63" i="3"/>
  <c r="BQ63" i="3"/>
  <c r="BP63" i="3"/>
  <c r="DK63" i="3" s="1"/>
  <c r="BU63" i="3"/>
  <c r="BT63" i="3"/>
  <c r="EZ102" i="3"/>
  <c r="EV102" i="3"/>
  <c r="ES102" i="3"/>
  <c r="ET102" i="3" s="1"/>
  <c r="ER102" i="3"/>
  <c r="EZ101" i="3"/>
  <c r="R101" i="1" s="1"/>
  <c r="EV101" i="3"/>
  <c r="ES101" i="3"/>
  <c r="ER101" i="3"/>
  <c r="DI26" i="3"/>
  <c r="EV16" i="3"/>
  <c r="ES16" i="3"/>
  <c r="ET16" i="3" s="1"/>
  <c r="ER16" i="3"/>
  <c r="EZ16" i="3"/>
  <c r="EY16" i="3" s="1"/>
  <c r="AT37" i="3"/>
  <c r="CY37" i="3" s="1"/>
  <c r="AV37" i="3"/>
  <c r="AU37" i="3"/>
  <c r="CQ24" i="3"/>
  <c r="BC24" i="3"/>
  <c r="EZ26" i="3"/>
  <c r="R26" i="1" s="1"/>
  <c r="EV26" i="3"/>
  <c r="N26" i="1" s="1"/>
  <c r="P26" i="1" s="1"/>
  <c r="ER26" i="3"/>
  <c r="ES26" i="3"/>
  <c r="CO18" i="3"/>
  <c r="BO118" i="3"/>
  <c r="BN118" i="3"/>
  <c r="BM118" i="3"/>
  <c r="BN34" i="3"/>
  <c r="BM34" i="3"/>
  <c r="BO34" i="3"/>
  <c r="BM48" i="3"/>
  <c r="BN48" i="3"/>
  <c r="BO48" i="3"/>
  <c r="AV68" i="3"/>
  <c r="AU68" i="3"/>
  <c r="AT68" i="3"/>
  <c r="BN66" i="3"/>
  <c r="BM66" i="3"/>
  <c r="BO66" i="3"/>
  <c r="BO60" i="3"/>
  <c r="BN60" i="3"/>
  <c r="BM60" i="3"/>
  <c r="CY60" i="3" s="1"/>
  <c r="DI125" i="3"/>
  <c r="DJ125" i="3"/>
  <c r="BP128" i="3"/>
  <c r="BU128" i="3"/>
  <c r="BT128" i="3"/>
  <c r="BS128" i="3"/>
  <c r="BR128" i="3"/>
  <c r="BQ128" i="3"/>
  <c r="AV120" i="3"/>
  <c r="AU120" i="3"/>
  <c r="AT120" i="3"/>
  <c r="ES64" i="3"/>
  <c r="ET64" i="3" s="1"/>
  <c r="ER64" i="3"/>
  <c r="EZ64" i="3"/>
  <c r="EV64" i="3"/>
  <c r="AV43" i="3"/>
  <c r="AU43" i="3"/>
  <c r="AT43" i="3"/>
  <c r="BN104" i="3"/>
  <c r="BM104" i="3"/>
  <c r="CY104" i="3" s="1"/>
  <c r="BO104" i="3"/>
  <c r="DO50" i="3"/>
  <c r="CR50" i="3"/>
  <c r="BM121" i="3"/>
  <c r="BO121" i="3"/>
  <c r="BN121" i="3"/>
  <c r="BU61" i="3"/>
  <c r="BT61" i="3"/>
  <c r="BS61" i="3"/>
  <c r="BR61" i="3"/>
  <c r="BQ61" i="3"/>
  <c r="BP61" i="3"/>
  <c r="DK61" i="3" s="1"/>
  <c r="BT50" i="3"/>
  <c r="ES36" i="3"/>
  <c r="ET36" i="3" s="1"/>
  <c r="ER36" i="3"/>
  <c r="EZ36" i="3"/>
  <c r="EV36" i="3"/>
  <c r="ES95" i="3"/>
  <c r="ER95" i="3"/>
  <c r="EZ95" i="3"/>
  <c r="R95" i="1" s="1"/>
  <c r="EV95" i="3"/>
  <c r="N95" i="1" s="1"/>
  <c r="P95" i="1" s="1"/>
  <c r="ES30" i="3"/>
  <c r="ET30" i="3" s="1"/>
  <c r="ER30" i="3"/>
  <c r="EV30" i="3"/>
  <c r="EZ30" i="3"/>
  <c r="BB30" i="3"/>
  <c r="BA30" i="3"/>
  <c r="EZ136" i="3"/>
  <c r="EV136" i="3"/>
  <c r="ES136" i="3"/>
  <c r="ET136" i="3" s="1"/>
  <c r="ER136" i="3"/>
  <c r="CR25" i="3"/>
  <c r="DZ25" i="3"/>
  <c r="BD25" i="3"/>
  <c r="AU26" i="3"/>
  <c r="AT26" i="3"/>
  <c r="CY26" i="3" s="1"/>
  <c r="AV26" i="3"/>
  <c r="BU18" i="3"/>
  <c r="DO78" i="3"/>
  <c r="EV73" i="3"/>
  <c r="ES73" i="3"/>
  <c r="ET73" i="3" s="1"/>
  <c r="ER73" i="3"/>
  <c r="EZ73" i="3"/>
  <c r="BC26" i="3"/>
  <c r="BR22" i="3"/>
  <c r="BU22" i="3"/>
  <c r="BT22" i="3"/>
  <c r="BQ22" i="3"/>
  <c r="BS22" i="3"/>
  <c r="BP22" i="3"/>
  <c r="DK22" i="3" s="1"/>
  <c r="CR29" i="3"/>
  <c r="DK14" i="3"/>
  <c r="DM15" i="3"/>
  <c r="J244" i="1"/>
  <c r="ES230" i="3"/>
  <c r="ET230" i="3" s="1"/>
  <c r="ER230" i="3"/>
  <c r="EV230" i="3"/>
  <c r="EZ230" i="3"/>
  <c r="EY230" i="3" s="1"/>
  <c r="AV235" i="3"/>
  <c r="AU235" i="3"/>
  <c r="AT235" i="3"/>
  <c r="BO224" i="3"/>
  <c r="BN224" i="3"/>
  <c r="BM224" i="3"/>
  <c r="CY224" i="3" s="1"/>
  <c r="CQ201" i="3"/>
  <c r="BC201" i="3"/>
  <c r="DL201" i="3" s="1"/>
  <c r="BP220" i="3"/>
  <c r="BO200" i="3"/>
  <c r="BN200" i="3"/>
  <c r="BM200" i="3"/>
  <c r="AU195" i="3"/>
  <c r="AT195" i="3"/>
  <c r="AW195" i="3"/>
  <c r="AV195" i="3"/>
  <c r="AT185" i="3"/>
  <c r="AV185" i="3"/>
  <c r="AU185" i="3"/>
  <c r="BC172" i="3"/>
  <c r="CQ172" i="3"/>
  <c r="AU198" i="3"/>
  <c r="AT198" i="3"/>
  <c r="AV198" i="3"/>
  <c r="BU198" i="3"/>
  <c r="BT198" i="3"/>
  <c r="BS198" i="3"/>
  <c r="BR198" i="3"/>
  <c r="BQ198" i="3"/>
  <c r="BP198" i="3"/>
  <c r="DK198" i="3" s="1"/>
  <c r="AV222" i="3"/>
  <c r="AU222" i="3"/>
  <c r="AT222" i="3"/>
  <c r="CY222" i="3" s="1"/>
  <c r="BS185" i="3"/>
  <c r="BR185" i="3"/>
  <c r="BU185" i="3"/>
  <c r="BT185" i="3"/>
  <c r="BQ185" i="3"/>
  <c r="BP185" i="3"/>
  <c r="AV164" i="3"/>
  <c r="AU164" i="3"/>
  <c r="AT164" i="3"/>
  <c r="CY164" i="3" s="1"/>
  <c r="AV155" i="3"/>
  <c r="AU155" i="3"/>
  <c r="AT155" i="3"/>
  <c r="BT180" i="3"/>
  <c r="BS180" i="3"/>
  <c r="BR180" i="3"/>
  <c r="BQ180" i="3"/>
  <c r="BP180" i="3"/>
  <c r="DK180" i="3" s="1"/>
  <c r="BU180" i="3"/>
  <c r="BO177" i="3"/>
  <c r="BN177" i="3"/>
  <c r="BM177" i="3"/>
  <c r="EZ154" i="3"/>
  <c r="R154" i="1" s="1"/>
  <c r="ES154" i="3"/>
  <c r="ER154" i="3"/>
  <c r="EV154" i="3"/>
  <c r="BN152" i="3"/>
  <c r="BM152" i="3"/>
  <c r="CY152" i="3" s="1"/>
  <c r="BO152" i="3"/>
  <c r="BO140" i="3"/>
  <c r="BN140" i="3"/>
  <c r="BM140" i="3"/>
  <c r="AV153" i="3"/>
  <c r="AU153" i="3"/>
  <c r="AT153" i="3"/>
  <c r="EV153" i="3"/>
  <c r="ES153" i="3"/>
  <c r="ET153" i="3" s="1"/>
  <c r="ER153" i="3"/>
  <c r="EZ153" i="3"/>
  <c r="BD108" i="3"/>
  <c r="BC108" i="3"/>
  <c r="BB108" i="3"/>
  <c r="BA108" i="3"/>
  <c r="BB142" i="3"/>
  <c r="BD142" i="3"/>
  <c r="BU119" i="3"/>
  <c r="BT119" i="3"/>
  <c r="BS119" i="3"/>
  <c r="BR119" i="3"/>
  <c r="BQ119" i="3"/>
  <c r="BP119" i="3"/>
  <c r="DK119" i="3" s="1"/>
  <c r="ES113" i="3"/>
  <c r="ER113" i="3"/>
  <c r="EV113" i="3"/>
  <c r="N113" i="1" s="1"/>
  <c r="P113" i="1" s="1"/>
  <c r="EZ113" i="3"/>
  <c r="R113" i="1" s="1"/>
  <c r="DN60" i="3"/>
  <c r="BC60" i="3"/>
  <c r="CQ60" i="3"/>
  <c r="BO105" i="3"/>
  <c r="BN105" i="3"/>
  <c r="BM105" i="3"/>
  <c r="CY105" i="3" s="1"/>
  <c r="CQ82" i="3"/>
  <c r="BC82" i="3"/>
  <c r="DI143" i="3"/>
  <c r="BP131" i="3"/>
  <c r="DL131" i="3" s="1"/>
  <c r="BS131" i="3"/>
  <c r="BO75" i="3"/>
  <c r="BN75" i="3"/>
  <c r="BM75" i="3"/>
  <c r="CY75" i="3" s="1"/>
  <c r="EZ67" i="3"/>
  <c r="R67" i="1" s="1"/>
  <c r="ES67" i="3"/>
  <c r="ER67" i="3"/>
  <c r="EV67" i="3"/>
  <c r="BA142" i="3"/>
  <c r="BO94" i="3"/>
  <c r="BN94" i="3"/>
  <c r="BM94" i="3"/>
  <c r="EV62" i="3"/>
  <c r="ES62" i="3"/>
  <c r="ET62" i="3" s="1"/>
  <c r="ER62" i="3"/>
  <c r="EZ62" i="3"/>
  <c r="EV104" i="3"/>
  <c r="ES104" i="3"/>
  <c r="ET104" i="3" s="1"/>
  <c r="EZ104" i="3"/>
  <c r="ER104" i="3"/>
  <c r="EV76" i="3"/>
  <c r="ES76" i="3"/>
  <c r="ET76" i="3" s="1"/>
  <c r="ER76" i="3"/>
  <c r="EZ76" i="3"/>
  <c r="CV103" i="3"/>
  <c r="B103" i="3" s="1"/>
  <c r="DN50" i="3"/>
  <c r="BU50" i="3"/>
  <c r="BU27" i="3"/>
  <c r="BT27" i="3"/>
  <c r="BS27" i="3"/>
  <c r="BR27" i="3"/>
  <c r="BP27" i="3"/>
  <c r="DK27" i="3" s="1"/>
  <c r="BQ27" i="3"/>
  <c r="EZ45" i="3"/>
  <c r="ER45" i="3"/>
  <c r="EV45" i="3"/>
  <c r="ES45" i="3"/>
  <c r="ET45" i="3" s="1"/>
  <c r="BO182" i="3"/>
  <c r="BM182" i="3"/>
  <c r="BN182" i="3"/>
  <c r="AW56" i="3"/>
  <c r="AU56" i="3"/>
  <c r="AT56" i="3"/>
  <c r="AV56" i="3"/>
  <c r="AU19" i="3"/>
  <c r="AT19" i="3"/>
  <c r="AV19" i="3"/>
  <c r="BP28" i="3"/>
  <c r="BU28" i="3"/>
  <c r="BT28" i="3"/>
  <c r="BS28" i="3"/>
  <c r="BR28" i="3"/>
  <c r="BQ28" i="3"/>
  <c r="DO134" i="3"/>
  <c r="BC30" i="3"/>
  <c r="EZ74" i="3"/>
  <c r="EV74" i="3"/>
  <c r="ES74" i="3"/>
  <c r="ET74" i="3" s="1"/>
  <c r="ER74" i="3"/>
  <c r="DN114" i="3"/>
  <c r="EZ118" i="3"/>
  <c r="R118" i="1" s="1"/>
  <c r="EV118" i="3"/>
  <c r="ER118" i="3"/>
  <c r="ES118" i="3"/>
  <c r="CO15" i="3"/>
  <c r="EV13" i="3"/>
  <c r="N13" i="1" s="1"/>
  <c r="ES13" i="3"/>
  <c r="ER13" i="3"/>
  <c r="EZ13" i="3"/>
  <c r="EY13" i="3" s="1"/>
  <c r="ER225" i="3"/>
  <c r="ES225" i="3"/>
  <c r="ET225" i="3" s="1"/>
  <c r="EZ225" i="3"/>
  <c r="EY225" i="3" s="1"/>
  <c r="EV225" i="3"/>
  <c r="DM227" i="3"/>
  <c r="DZ227" i="3"/>
  <c r="DX227" i="3"/>
  <c r="DW227" i="3"/>
  <c r="CQ233" i="3"/>
  <c r="BC233" i="3"/>
  <c r="BO235" i="3"/>
  <c r="BN235" i="3"/>
  <c r="BM235" i="3"/>
  <c r="DN225" i="3"/>
  <c r="ES214" i="3"/>
  <c r="ET214" i="3" s="1"/>
  <c r="EZ214" i="3"/>
  <c r="ER214" i="3"/>
  <c r="EV214" i="3"/>
  <c r="BC236" i="3"/>
  <c r="AV205" i="3"/>
  <c r="AU205" i="3"/>
  <c r="AT205" i="3"/>
  <c r="CY205" i="3" s="1"/>
  <c r="AW205" i="3"/>
  <c r="DI196" i="3"/>
  <c r="DJ196" i="3"/>
  <c r="BN199" i="3"/>
  <c r="BM199" i="3"/>
  <c r="CY199" i="3" s="1"/>
  <c r="BO199" i="3"/>
  <c r="BU195" i="3"/>
  <c r="BT195" i="3"/>
  <c r="BS195" i="3"/>
  <c r="BR195" i="3"/>
  <c r="BQ195" i="3"/>
  <c r="BP195" i="3"/>
  <c r="DK195" i="3" s="1"/>
  <c r="AU203" i="3"/>
  <c r="AT203" i="3"/>
  <c r="AV203" i="3"/>
  <c r="AV188" i="3"/>
  <c r="AU188" i="3"/>
  <c r="AT188" i="3"/>
  <c r="BD205" i="3"/>
  <c r="DZ205" i="3"/>
  <c r="BS228" i="3"/>
  <c r="BR228" i="3"/>
  <c r="BQ228" i="3"/>
  <c r="BP228" i="3"/>
  <c r="DK228" i="3" s="1"/>
  <c r="BU228" i="3"/>
  <c r="BT228" i="3"/>
  <c r="AV183" i="3"/>
  <c r="AU183" i="3"/>
  <c r="AT183" i="3"/>
  <c r="AU130" i="3"/>
  <c r="AT130" i="3"/>
  <c r="CY130" i="3" s="1"/>
  <c r="AV130" i="3"/>
  <c r="BT163" i="3"/>
  <c r="BS163" i="3"/>
  <c r="BR163" i="3"/>
  <c r="BQ163" i="3"/>
  <c r="BP163" i="3"/>
  <c r="DK163" i="3" s="1"/>
  <c r="BU163" i="3"/>
  <c r="ER122" i="3"/>
  <c r="ES122" i="3"/>
  <c r="EZ122" i="3"/>
  <c r="R122" i="1" s="1"/>
  <c r="EV122" i="3"/>
  <c r="N122" i="1" s="1"/>
  <c r="EZ167" i="3"/>
  <c r="R167" i="1" s="1"/>
  <c r="ES167" i="3"/>
  <c r="ER167" i="3"/>
  <c r="EV167" i="3"/>
  <c r="N167" i="1" s="1"/>
  <c r="P167" i="1" s="1"/>
  <c r="BD148" i="3"/>
  <c r="AT78" i="3"/>
  <c r="CY78" i="3" s="1"/>
  <c r="AU78" i="3"/>
  <c r="AV78" i="3"/>
  <c r="AT88" i="3"/>
  <c r="AU88" i="3"/>
  <c r="AV88" i="3"/>
  <c r="CR100" i="3"/>
  <c r="CQ100" i="3"/>
  <c r="CP100" i="3"/>
  <c r="EV83" i="3"/>
  <c r="N83" i="1" s="1"/>
  <c r="P83" i="1" s="1"/>
  <c r="ES83" i="3"/>
  <c r="ER83" i="3"/>
  <c r="EZ83" i="3"/>
  <c r="R83" i="1" s="1"/>
  <c r="DY80" i="3"/>
  <c r="CQ80" i="3"/>
  <c r="BC80" i="3"/>
  <c r="DN80" i="3"/>
  <c r="BC142" i="3"/>
  <c r="DY142" i="3"/>
  <c r="DP80" i="3"/>
  <c r="CQ68" i="3"/>
  <c r="BC68" i="3"/>
  <c r="BP120" i="3"/>
  <c r="BT120" i="3"/>
  <c r="BS120" i="3"/>
  <c r="BR120" i="3"/>
  <c r="BQ120" i="3"/>
  <c r="BU120" i="3"/>
  <c r="BP92" i="3"/>
  <c r="BR92" i="3" s="1"/>
  <c r="BS92" i="3"/>
  <c r="AT64" i="3"/>
  <c r="CY64" i="3" s="1"/>
  <c r="AV64" i="3"/>
  <c r="AU64" i="3"/>
  <c r="EV72" i="3"/>
  <c r="ES72" i="3"/>
  <c r="ET72" i="3" s="1"/>
  <c r="EZ72" i="3"/>
  <c r="ER72" i="3"/>
  <c r="BO68" i="3"/>
  <c r="BN68" i="3"/>
  <c r="BM68" i="3"/>
  <c r="CW103" i="3"/>
  <c r="CQ50" i="3"/>
  <c r="CU109" i="3"/>
  <c r="CW109" i="3" s="1"/>
  <c r="BM35" i="3"/>
  <c r="BN35" i="3"/>
  <c r="BO35" i="3"/>
  <c r="AU36" i="3"/>
  <c r="AT36" i="3"/>
  <c r="AV36" i="3"/>
  <c r="EX68" i="3"/>
  <c r="AV95" i="3"/>
  <c r="AU95" i="3"/>
  <c r="AT95" i="3"/>
  <c r="EZ90" i="3"/>
  <c r="EV90" i="3"/>
  <c r="ES90" i="3"/>
  <c r="ET90" i="3" s="1"/>
  <c r="ER90" i="3"/>
  <c r="ES63" i="3"/>
  <c r="ET63" i="3" s="1"/>
  <c r="ER63" i="3"/>
  <c r="EV63" i="3"/>
  <c r="EZ63" i="3"/>
  <c r="DI117" i="3"/>
  <c r="AU14" i="3"/>
  <c r="AT14" i="3"/>
  <c r="AV14" i="3"/>
  <c r="ES77" i="3"/>
  <c r="ER77" i="3"/>
  <c r="EV77" i="3"/>
  <c r="EZ77" i="3"/>
  <c r="R77" i="1" s="1"/>
  <c r="DY47" i="3"/>
  <c r="DZ47" i="3"/>
  <c r="DM47" i="3"/>
  <c r="BU16" i="3"/>
  <c r="BT16" i="3"/>
  <c r="BS16" i="3"/>
  <c r="AD16" i="1" s="1"/>
  <c r="AQ16" i="1" s="1"/>
  <c r="AJ16" i="1" s="1"/>
  <c r="AK16" i="1" s="1"/>
  <c r="BR16" i="3"/>
  <c r="BP16" i="3"/>
  <c r="DK16" i="3" s="1"/>
  <c r="BQ16" i="3"/>
  <c r="BO124" i="3"/>
  <c r="BN124" i="3"/>
  <c r="BM124" i="3"/>
  <c r="CR126" i="3"/>
  <c r="BU118" i="3"/>
  <c r="BT118" i="3"/>
  <c r="BS118" i="3"/>
  <c r="BQ118" i="3"/>
  <c r="BP118" i="3"/>
  <c r="DK118" i="3" s="1"/>
  <c r="BR118" i="3"/>
  <c r="BU34" i="3"/>
  <c r="BT34" i="3"/>
  <c r="BS34" i="3"/>
  <c r="BR34" i="3"/>
  <c r="BQ34" i="3"/>
  <c r="BP34" i="3"/>
  <c r="BT13" i="3"/>
  <c r="BS13" i="3"/>
  <c r="AD13" i="1" s="1"/>
  <c r="BR13" i="3"/>
  <c r="BQ13" i="3"/>
  <c r="BP13" i="3"/>
  <c r="BU13" i="3"/>
  <c r="BU48" i="3"/>
  <c r="BT48" i="3"/>
  <c r="BS48" i="3"/>
  <c r="BR48" i="3"/>
  <c r="BQ48" i="3"/>
  <c r="BP48" i="3"/>
  <c r="DK48" i="3" s="1"/>
  <c r="AQ24" i="1" l="1"/>
  <c r="AJ24" i="1" s="1"/>
  <c r="AK24" i="1" s="1"/>
  <c r="AQ150" i="1"/>
  <c r="AQ231" i="1"/>
  <c r="AQ108" i="1"/>
  <c r="AQ32" i="1"/>
  <c r="AQ224" i="1"/>
  <c r="AQ164" i="1"/>
  <c r="AQ192" i="1"/>
  <c r="AQ13" i="1"/>
  <c r="AJ13" i="1" s="1"/>
  <c r="AK13" i="1" s="1"/>
  <c r="AQ234" i="1"/>
  <c r="AQ57" i="1"/>
  <c r="AQ64" i="1"/>
  <c r="AQ158" i="1"/>
  <c r="AQ33" i="1"/>
  <c r="AQ89" i="1"/>
  <c r="AQ177" i="1"/>
  <c r="AQ67" i="1"/>
  <c r="AQ157" i="1"/>
  <c r="AQ207" i="1"/>
  <c r="AQ71" i="1"/>
  <c r="AQ31" i="1"/>
  <c r="AQ125" i="1"/>
  <c r="AQ174" i="1"/>
  <c r="AC203" i="1"/>
  <c r="AI203" i="1" s="1"/>
  <c r="AC183" i="1"/>
  <c r="BD183" i="1" s="1"/>
  <c r="AC186" i="1"/>
  <c r="AI186" i="1" s="1"/>
  <c r="AC23" i="1"/>
  <c r="BJ23" i="1" s="1"/>
  <c r="AC115" i="1"/>
  <c r="AC199" i="1"/>
  <c r="BD199" i="1" s="1"/>
  <c r="AC230" i="1"/>
  <c r="BD230" i="1" s="1"/>
  <c r="AC102" i="1"/>
  <c r="AI102" i="1" s="1"/>
  <c r="AC41" i="1"/>
  <c r="BD41" i="1" s="1"/>
  <c r="AC153" i="1"/>
  <c r="BD153" i="1" s="1"/>
  <c r="AC233" i="1"/>
  <c r="BD233" i="1" s="1"/>
  <c r="AC94" i="1"/>
  <c r="BD94" i="1" s="1"/>
  <c r="AC20" i="1"/>
  <c r="AI20" i="1" s="1"/>
  <c r="AC221" i="1"/>
  <c r="AC113" i="1"/>
  <c r="BD113" i="1" s="1"/>
  <c r="AC146" i="1"/>
  <c r="BD146" i="1" s="1"/>
  <c r="AC217" i="1"/>
  <c r="BD217" i="1" s="1"/>
  <c r="AC139" i="1"/>
  <c r="AI139" i="1" s="1"/>
  <c r="AC185" i="1"/>
  <c r="BD185" i="1" s="1"/>
  <c r="AC130" i="1"/>
  <c r="BD130" i="1" s="1"/>
  <c r="AC176" i="1"/>
  <c r="BD176" i="1" s="1"/>
  <c r="AC76" i="1"/>
  <c r="BD76" i="1" s="1"/>
  <c r="AC111" i="1"/>
  <c r="BJ111" i="1" s="1"/>
  <c r="AC177" i="1"/>
  <c r="BD177" i="1" s="1"/>
  <c r="AC198" i="1"/>
  <c r="BD198" i="1" s="1"/>
  <c r="AC101" i="1"/>
  <c r="AI101" i="1" s="1"/>
  <c r="AC58" i="1"/>
  <c r="AI58" i="1" s="1"/>
  <c r="AC211" i="1"/>
  <c r="BD211" i="1" s="1"/>
  <c r="AC109" i="1"/>
  <c r="AL109" i="1" s="1"/>
  <c r="AC26" i="1"/>
  <c r="BD26" i="1" s="1"/>
  <c r="AC223" i="1"/>
  <c r="AI223" i="1" s="1"/>
  <c r="AC195" i="1"/>
  <c r="BD195" i="1" s="1"/>
  <c r="AC236" i="1"/>
  <c r="BD236" i="1" s="1"/>
  <c r="AC127" i="1"/>
  <c r="BD127" i="1" s="1"/>
  <c r="AC22" i="1"/>
  <c r="BD22" i="1" s="1"/>
  <c r="AC55" i="1"/>
  <c r="AI55" i="1" s="1"/>
  <c r="AC42" i="1"/>
  <c r="BD42" i="1" s="1"/>
  <c r="AC87" i="1"/>
  <c r="BD87" i="1" s="1"/>
  <c r="BD13" i="1"/>
  <c r="AC229" i="1"/>
  <c r="BD229" i="1" s="1"/>
  <c r="AC21" i="1"/>
  <c r="BD21" i="1" s="1"/>
  <c r="AC93" i="1"/>
  <c r="BD93" i="1" s="1"/>
  <c r="AC72" i="1"/>
  <c r="BD72" i="1" s="1"/>
  <c r="AC129" i="1"/>
  <c r="BD129" i="1" s="1"/>
  <c r="AC90" i="1"/>
  <c r="BD90" i="1" s="1"/>
  <c r="AC121" i="1"/>
  <c r="BD121" i="1" s="1"/>
  <c r="AC222" i="1"/>
  <c r="AL222" i="1" s="1"/>
  <c r="AC137" i="1"/>
  <c r="BD137" i="1" s="1"/>
  <c r="AC136" i="1"/>
  <c r="BD136" i="1" s="1"/>
  <c r="AC159" i="1"/>
  <c r="BD159" i="1" s="1"/>
  <c r="AC156" i="1"/>
  <c r="BD156" i="1" s="1"/>
  <c r="AC160" i="1"/>
  <c r="BJ160" i="1" s="1"/>
  <c r="AC75" i="1"/>
  <c r="BD75" i="1" s="1"/>
  <c r="AC52" i="1"/>
  <c r="AI52" i="1" s="1"/>
  <c r="AC197" i="1"/>
  <c r="BD197" i="1" s="1"/>
  <c r="AC219" i="1"/>
  <c r="AL219" i="1" s="1"/>
  <c r="AC63" i="1"/>
  <c r="BD63" i="1" s="1"/>
  <c r="AC178" i="1"/>
  <c r="BD178" i="1" s="1"/>
  <c r="AC103" i="1"/>
  <c r="AI103" i="1" s="1"/>
  <c r="AC215" i="1"/>
  <c r="AL215" i="1" s="1"/>
  <c r="AC209" i="1"/>
  <c r="BD209" i="1" s="1"/>
  <c r="AC180" i="1"/>
  <c r="BD180" i="1" s="1"/>
  <c r="AC123" i="1"/>
  <c r="BD123" i="1" s="1"/>
  <c r="AC16" i="1"/>
  <c r="BD16" i="1" s="1"/>
  <c r="AC49" i="1"/>
  <c r="BD49" i="1" s="1"/>
  <c r="AC117" i="1"/>
  <c r="BD117" i="1" s="1"/>
  <c r="AC80" i="1"/>
  <c r="AL80" i="1" s="1"/>
  <c r="AC235" i="1"/>
  <c r="BD235" i="1" s="1"/>
  <c r="AC213" i="1"/>
  <c r="BD213" i="1" s="1"/>
  <c r="AC46" i="1"/>
  <c r="AI46" i="1" s="1"/>
  <c r="AC81" i="1"/>
  <c r="BD81" i="1" s="1"/>
  <c r="AC196" i="1"/>
  <c r="BD196" i="1" s="1"/>
  <c r="AC182" i="1"/>
  <c r="BD182" i="1" s="1"/>
  <c r="AC158" i="1"/>
  <c r="BD158" i="1" s="1"/>
  <c r="AC28" i="1"/>
  <c r="BD28" i="1" s="1"/>
  <c r="AC162" i="1"/>
  <c r="BD162" i="1" s="1"/>
  <c r="AC69" i="1"/>
  <c r="AL69" i="1" s="1"/>
  <c r="AC65" i="1"/>
  <c r="BD65" i="1" s="1"/>
  <c r="AC169" i="1"/>
  <c r="BD169" i="1" s="1"/>
  <c r="AC191" i="1"/>
  <c r="BJ191" i="1" s="1"/>
  <c r="AC144" i="1"/>
  <c r="BD144" i="1" s="1"/>
  <c r="AC152" i="1"/>
  <c r="BD152" i="1" s="1"/>
  <c r="AC133" i="1"/>
  <c r="BD133" i="1" s="1"/>
  <c r="AC189" i="1"/>
  <c r="BD189" i="1" s="1"/>
  <c r="AC39" i="1"/>
  <c r="AI39" i="1" s="1"/>
  <c r="AC163" i="1"/>
  <c r="BD163" i="1" s="1"/>
  <c r="AC19" i="1"/>
  <c r="BD19" i="1" s="1"/>
  <c r="AC147" i="1"/>
  <c r="BD147" i="1" s="1"/>
  <c r="DL148" i="3"/>
  <c r="AQ45" i="1"/>
  <c r="DC53" i="3"/>
  <c r="DM33" i="3"/>
  <c r="AQ99" i="1"/>
  <c r="DL194" i="3"/>
  <c r="CY73" i="3"/>
  <c r="DN29" i="3"/>
  <c r="DL120" i="3"/>
  <c r="DO33" i="3"/>
  <c r="CY153" i="3"/>
  <c r="DM125" i="3"/>
  <c r="DO122" i="3"/>
  <c r="AQ135" i="1"/>
  <c r="AQ149" i="1"/>
  <c r="DY125" i="3"/>
  <c r="DN125" i="3"/>
  <c r="DI202" i="3"/>
  <c r="DP150" i="3"/>
  <c r="EY103" i="3"/>
  <c r="DK50" i="3"/>
  <c r="AQ225" i="1"/>
  <c r="DL193" i="3"/>
  <c r="DZ125" i="3"/>
  <c r="DK110" i="3"/>
  <c r="AQ86" i="1"/>
  <c r="CY18" i="3"/>
  <c r="AQ62" i="1"/>
  <c r="AQ54" i="1"/>
  <c r="DL226" i="3"/>
  <c r="CY65" i="3"/>
  <c r="DI37" i="3"/>
  <c r="DI236" i="3"/>
  <c r="CY218" i="3"/>
  <c r="DW122" i="3"/>
  <c r="DI31" i="3"/>
  <c r="AQ126" i="1"/>
  <c r="CV186" i="3"/>
  <c r="B186" i="3" s="1"/>
  <c r="DJ218" i="3"/>
  <c r="DI154" i="3"/>
  <c r="DL137" i="3"/>
  <c r="AI96" i="1"/>
  <c r="AI168" i="1"/>
  <c r="AI53" i="1"/>
  <c r="AI51" i="1"/>
  <c r="AI15" i="1"/>
  <c r="AI145" i="1"/>
  <c r="AI157" i="1"/>
  <c r="AI74" i="1"/>
  <c r="AF166" i="1"/>
  <c r="AI166" i="1" s="1"/>
  <c r="AQ166" i="1"/>
  <c r="AF208" i="1"/>
  <c r="AI208" i="1" s="1"/>
  <c r="AQ208" i="1"/>
  <c r="AF59" i="1"/>
  <c r="AQ59" i="1"/>
  <c r="AF181" i="1"/>
  <c r="AI181" i="1" s="1"/>
  <c r="AQ181" i="1"/>
  <c r="AF47" i="1"/>
  <c r="AQ47" i="1"/>
  <c r="AJ238" i="1"/>
  <c r="AK238" i="1" s="1"/>
  <c r="AH238" i="1"/>
  <c r="AG36" i="1"/>
  <c r="DP54" i="3"/>
  <c r="BT54" i="3"/>
  <c r="R93" i="1"/>
  <c r="DP174" i="3"/>
  <c r="DK122" i="3"/>
  <c r="DN174" i="3"/>
  <c r="DO54" i="3"/>
  <c r="DM225" i="3"/>
  <c r="DK113" i="3"/>
  <c r="DX54" i="3"/>
  <c r="CR93" i="3"/>
  <c r="DJ17" i="3"/>
  <c r="DM174" i="3"/>
  <c r="BU54" i="3"/>
  <c r="CY227" i="3"/>
  <c r="DO225" i="3"/>
  <c r="DL165" i="3"/>
  <c r="K29" i="1"/>
  <c r="DM54" i="3"/>
  <c r="DX174" i="3"/>
  <c r="CO225" i="3"/>
  <c r="DW29" i="3"/>
  <c r="DO108" i="3"/>
  <c r="CY210" i="3"/>
  <c r="BR71" i="3"/>
  <c r="CQ225" i="3"/>
  <c r="DL190" i="3"/>
  <c r="N50" i="1"/>
  <c r="N234" i="1"/>
  <c r="DL219" i="3"/>
  <c r="DN108" i="3"/>
  <c r="DP108" i="3"/>
  <c r="CR54" i="3"/>
  <c r="CY17" i="3"/>
  <c r="CY45" i="3"/>
  <c r="CR225" i="3"/>
  <c r="N189" i="1"/>
  <c r="P189" i="1" s="1"/>
  <c r="DM143" i="3"/>
  <c r="DM29" i="3"/>
  <c r="CY206" i="3"/>
  <c r="DN54" i="3"/>
  <c r="DJ209" i="3"/>
  <c r="DL174" i="3"/>
  <c r="K225" i="1"/>
  <c r="L225" i="1" s="1"/>
  <c r="DL47" i="3"/>
  <c r="CP108" i="3"/>
  <c r="CY122" i="3"/>
  <c r="DL196" i="3"/>
  <c r="R81" i="1"/>
  <c r="Q81" i="1" s="1"/>
  <c r="R43" i="1"/>
  <c r="CP225" i="3"/>
  <c r="K54" i="1"/>
  <c r="DL62" i="3"/>
  <c r="CO108" i="3"/>
  <c r="DI190" i="3"/>
  <c r="DI54" i="3"/>
  <c r="DL71" i="3"/>
  <c r="CQ54" i="3"/>
  <c r="BQ67" i="3"/>
  <c r="DW89" i="3"/>
  <c r="CY209" i="3"/>
  <c r="DI157" i="3"/>
  <c r="BE41" i="9"/>
  <c r="AF19" i="1"/>
  <c r="BE75" i="9"/>
  <c r="BE71" i="9"/>
  <c r="BE34" i="9"/>
  <c r="BE15" i="9"/>
  <c r="BE76" i="9"/>
  <c r="BE2" i="9"/>
  <c r="BE66" i="9"/>
  <c r="AF16" i="1"/>
  <c r="BE12" i="9"/>
  <c r="BE51" i="9"/>
  <c r="BE9" i="9"/>
  <c r="AL111" i="1"/>
  <c r="AD124" i="1"/>
  <c r="AD75" i="1"/>
  <c r="DX150" i="3"/>
  <c r="AD232" i="1"/>
  <c r="AD43" i="1"/>
  <c r="AD122" i="1"/>
  <c r="AD211" i="1"/>
  <c r="AD171" i="1"/>
  <c r="AD63" i="1"/>
  <c r="AD56" i="1"/>
  <c r="AD29" i="1"/>
  <c r="AD185" i="1"/>
  <c r="AD230" i="1"/>
  <c r="AD188" i="1"/>
  <c r="CY143" i="3"/>
  <c r="AD130" i="1"/>
  <c r="AD162" i="1"/>
  <c r="AF14" i="1"/>
  <c r="AD180" i="1"/>
  <c r="AD129" i="1"/>
  <c r="AD218" i="1"/>
  <c r="AD79" i="1"/>
  <c r="AD105" i="1"/>
  <c r="DN93" i="3"/>
  <c r="AD44" i="1"/>
  <c r="AD137" i="1"/>
  <c r="DM105" i="3"/>
  <c r="AD209" i="1"/>
  <c r="AD131" i="1"/>
  <c r="DL172" i="3"/>
  <c r="DO105" i="3"/>
  <c r="DN105" i="3"/>
  <c r="AD83" i="1"/>
  <c r="AD146" i="1"/>
  <c r="CW111" i="3"/>
  <c r="AD200" i="1"/>
  <c r="AD21" i="1"/>
  <c r="AD94" i="1"/>
  <c r="DK71" i="3"/>
  <c r="AD121" i="1"/>
  <c r="DP29" i="3"/>
  <c r="DK65" i="3"/>
  <c r="DL73" i="3"/>
  <c r="CQ29" i="3"/>
  <c r="DK45" i="3"/>
  <c r="DY105" i="3"/>
  <c r="CP93" i="3"/>
  <c r="CR184" i="3"/>
  <c r="AD184" i="1"/>
  <c r="K62" i="1"/>
  <c r="BE29" i="9"/>
  <c r="AD81" i="1"/>
  <c r="AF13" i="1"/>
  <c r="AD110" i="1"/>
  <c r="AD120" i="1"/>
  <c r="AD22" i="1"/>
  <c r="DY75" i="3"/>
  <c r="AD167" i="1"/>
  <c r="AD34" i="1"/>
  <c r="DJ87" i="3"/>
  <c r="DW105" i="3"/>
  <c r="AD136" i="1"/>
  <c r="AD76" i="1"/>
  <c r="DN150" i="3"/>
  <c r="AD90" i="1"/>
  <c r="AD42" i="1"/>
  <c r="AD35" i="1"/>
  <c r="DL66" i="3"/>
  <c r="AD169" i="1"/>
  <c r="DZ174" i="3"/>
  <c r="AD233" i="1"/>
  <c r="AD88" i="1"/>
  <c r="AD165" i="1"/>
  <c r="DN122" i="3"/>
  <c r="AD41" i="1"/>
  <c r="DO194" i="3"/>
  <c r="AD194" i="1"/>
  <c r="R204" i="1"/>
  <c r="Q204" i="1" s="1"/>
  <c r="BE73" i="9"/>
  <c r="AD199" i="1"/>
  <c r="AD36" i="1"/>
  <c r="AD93" i="1"/>
  <c r="DP105" i="3"/>
  <c r="AD77" i="1"/>
  <c r="AD38" i="1"/>
  <c r="DO29" i="3"/>
  <c r="AD206" i="1"/>
  <c r="AD48" i="1"/>
  <c r="DX105" i="3"/>
  <c r="AD72" i="1"/>
  <c r="AD212" i="1"/>
  <c r="AD97" i="1"/>
  <c r="CQ93" i="3"/>
  <c r="AD147" i="1"/>
  <c r="AD60" i="1"/>
  <c r="AD142" i="1"/>
  <c r="AD26" i="1"/>
  <c r="AD116" i="1"/>
  <c r="AD170" i="1"/>
  <c r="AD91" i="1"/>
  <c r="DL204" i="3"/>
  <c r="AD141" i="1"/>
  <c r="K174" i="1"/>
  <c r="L174" i="1" s="1"/>
  <c r="CY202" i="3"/>
  <c r="AD196" i="1"/>
  <c r="AD235" i="1"/>
  <c r="AD214" i="1"/>
  <c r="AD189" i="1"/>
  <c r="AD197" i="1"/>
  <c r="AD65" i="1"/>
  <c r="AD213" i="1"/>
  <c r="AD106" i="1"/>
  <c r="AD143" i="1"/>
  <c r="AQ143" i="1" s="1"/>
  <c r="K105" i="1"/>
  <c r="AD163" i="1"/>
  <c r="AD112" i="1"/>
  <c r="DL70" i="3"/>
  <c r="AD217" i="1"/>
  <c r="AD205" i="1"/>
  <c r="AD178" i="1"/>
  <c r="AD82" i="1"/>
  <c r="AD195" i="1"/>
  <c r="DM217" i="3"/>
  <c r="AD68" i="1"/>
  <c r="AD85" i="1"/>
  <c r="CY214" i="3"/>
  <c r="CY219" i="3"/>
  <c r="AD138" i="1"/>
  <c r="CW51" i="3"/>
  <c r="CR17" i="3"/>
  <c r="AD17" i="1"/>
  <c r="AD173" i="1"/>
  <c r="K93" i="1"/>
  <c r="R168" i="1"/>
  <c r="Q168" i="1" s="1"/>
  <c r="R79" i="1"/>
  <c r="AD50" i="1"/>
  <c r="AD204" i="1"/>
  <c r="BD106" i="1"/>
  <c r="AR106" i="1"/>
  <c r="AD95" i="1"/>
  <c r="AD30" i="1"/>
  <c r="AD198" i="1"/>
  <c r="DW217" i="3"/>
  <c r="AD37" i="1"/>
  <c r="DJ227" i="3"/>
  <c r="AD40" i="1"/>
  <c r="AD187" i="1"/>
  <c r="DO93" i="3"/>
  <c r="DP178" i="3"/>
  <c r="AD92" i="1"/>
  <c r="AD228" i="1"/>
  <c r="AD27" i="1"/>
  <c r="DL26" i="3"/>
  <c r="AD61" i="1"/>
  <c r="AD113" i="1"/>
  <c r="CP207" i="3"/>
  <c r="AD28" i="1"/>
  <c r="AD128" i="1"/>
  <c r="CQ207" i="3"/>
  <c r="AD127" i="1"/>
  <c r="AD118" i="1"/>
  <c r="CO93" i="3"/>
  <c r="DM93" i="3"/>
  <c r="AD119" i="1"/>
  <c r="CR207" i="3"/>
  <c r="AD153" i="1"/>
  <c r="CW229" i="3"/>
  <c r="AD182" i="1"/>
  <c r="DO217" i="3"/>
  <c r="AD49" i="1"/>
  <c r="AD66" i="1"/>
  <c r="AD140" i="1"/>
  <c r="DL18" i="3"/>
  <c r="DX232" i="3"/>
  <c r="AD148" i="1"/>
  <c r="AD156" i="1"/>
  <c r="DL231" i="3"/>
  <c r="DZ105" i="3"/>
  <c r="DL107" i="3"/>
  <c r="EY175" i="3"/>
  <c r="AD216" i="1"/>
  <c r="AD236" i="1"/>
  <c r="AD144" i="1"/>
  <c r="AD152" i="1"/>
  <c r="AD161" i="1"/>
  <c r="AD87" i="1"/>
  <c r="AD117" i="1"/>
  <c r="DM150" i="3"/>
  <c r="AD175" i="1"/>
  <c r="AD179" i="1"/>
  <c r="AD226" i="1"/>
  <c r="DN207" i="3"/>
  <c r="AD172" i="1"/>
  <c r="AD190" i="1"/>
  <c r="AD132" i="1"/>
  <c r="AD133" i="1"/>
  <c r="AL15" i="1"/>
  <c r="BJ15" i="1"/>
  <c r="AL96" i="1"/>
  <c r="BJ96" i="1"/>
  <c r="BL36" i="1"/>
  <c r="AN36" i="1"/>
  <c r="BT36" i="1" s="1"/>
  <c r="AL191" i="1"/>
  <c r="AR15" i="1"/>
  <c r="BD15" i="1"/>
  <c r="BJ221" i="1"/>
  <c r="AL221" i="1"/>
  <c r="AL220" i="1"/>
  <c r="BJ220" i="1"/>
  <c r="AL168" i="1"/>
  <c r="BJ168" i="1"/>
  <c r="BJ53" i="1"/>
  <c r="AL53" i="1"/>
  <c r="AL157" i="1"/>
  <c r="BJ157" i="1"/>
  <c r="BJ52" i="1"/>
  <c r="BJ74" i="1"/>
  <c r="AL74" i="1"/>
  <c r="AL51" i="1"/>
  <c r="BJ51" i="1"/>
  <c r="AL145" i="1"/>
  <c r="BJ145" i="1"/>
  <c r="AL114" i="1"/>
  <c r="BJ114" i="1"/>
  <c r="BD193" i="1"/>
  <c r="BD119" i="1"/>
  <c r="BD181" i="1"/>
  <c r="BD171" i="1"/>
  <c r="BE69" i="9"/>
  <c r="BD86" i="1"/>
  <c r="BD44" i="1"/>
  <c r="BD115" i="1"/>
  <c r="BD126" i="1"/>
  <c r="BD60" i="1"/>
  <c r="AR38" i="1"/>
  <c r="BD38" i="1"/>
  <c r="AR56" i="1"/>
  <c r="BD56" i="1"/>
  <c r="AR97" i="1"/>
  <c r="BD97" i="1"/>
  <c r="BD95" i="1"/>
  <c r="AR206" i="1"/>
  <c r="BD206" i="1"/>
  <c r="BE3" i="9"/>
  <c r="BD66" i="1"/>
  <c r="AR124" i="1"/>
  <c r="BD124" i="1"/>
  <c r="AR104" i="1"/>
  <c r="BD104" i="1"/>
  <c r="AR145" i="1"/>
  <c r="BD145" i="1"/>
  <c r="BD188" i="1"/>
  <c r="BD77" i="1"/>
  <c r="BD157" i="1"/>
  <c r="BD132" i="1"/>
  <c r="AR228" i="1"/>
  <c r="BD228" i="1"/>
  <c r="AR216" i="1"/>
  <c r="BD216" i="1"/>
  <c r="BD224" i="1"/>
  <c r="BD85" i="1"/>
  <c r="AR170" i="1"/>
  <c r="BD170" i="1"/>
  <c r="BD82" i="1"/>
  <c r="BD186" i="1"/>
  <c r="BD107" i="1"/>
  <c r="BD140" i="1"/>
  <c r="BD31" i="1"/>
  <c r="AR48" i="1"/>
  <c r="BD48" i="1"/>
  <c r="AR92" i="1"/>
  <c r="BD92" i="1"/>
  <c r="BD131" i="1"/>
  <c r="BD116" i="1"/>
  <c r="AR151" i="1"/>
  <c r="BD151" i="1"/>
  <c r="BD96" i="1"/>
  <c r="BD220" i="1"/>
  <c r="BD221" i="1"/>
  <c r="AR128" i="1"/>
  <c r="BD128" i="1"/>
  <c r="AR61" i="1"/>
  <c r="BD61" i="1"/>
  <c r="AR166" i="1"/>
  <c r="BD166" i="1"/>
  <c r="BD161" i="1"/>
  <c r="BD148" i="1"/>
  <c r="BD214" i="1"/>
  <c r="BD29" i="1"/>
  <c r="AR110" i="1"/>
  <c r="BD110" i="1"/>
  <c r="BD200" i="1"/>
  <c r="BD212" i="1"/>
  <c r="BD142" i="1"/>
  <c r="BD118" i="1"/>
  <c r="AR179" i="1"/>
  <c r="BD179" i="1"/>
  <c r="BD165" i="1"/>
  <c r="AR103" i="1"/>
  <c r="BD225" i="1"/>
  <c r="BD70" i="1"/>
  <c r="BD111" i="1"/>
  <c r="BD101" i="1"/>
  <c r="AR37" i="1"/>
  <c r="BD37" i="1"/>
  <c r="AR34" i="1"/>
  <c r="BD34" i="1"/>
  <c r="BD53" i="1"/>
  <c r="BD175" i="1"/>
  <c r="BD88" i="1"/>
  <c r="BD52" i="1"/>
  <c r="BD109" i="1"/>
  <c r="BD24" i="1"/>
  <c r="BD226" i="1"/>
  <c r="BD218" i="1"/>
  <c r="AR168" i="1"/>
  <c r="BD168" i="1"/>
  <c r="BD36" i="1"/>
  <c r="BD74" i="1"/>
  <c r="BD35" i="1"/>
  <c r="AR40" i="1"/>
  <c r="BD40" i="1"/>
  <c r="AR112" i="1"/>
  <c r="BD112" i="1"/>
  <c r="BD120" i="1"/>
  <c r="AR30" i="1"/>
  <c r="BD30" i="1"/>
  <c r="BD54" i="1"/>
  <c r="BD83" i="1"/>
  <c r="BD187" i="1"/>
  <c r="BD32" i="1"/>
  <c r="BD27" i="1"/>
  <c r="BD208" i="1"/>
  <c r="AR114" i="1"/>
  <c r="BD114" i="1"/>
  <c r="BD167" i="1"/>
  <c r="BD51" i="1"/>
  <c r="BD68" i="1"/>
  <c r="BE30" i="9"/>
  <c r="BE10" i="9"/>
  <c r="BE24" i="9"/>
  <c r="AR88" i="1"/>
  <c r="AR214" i="1"/>
  <c r="AR27" i="1"/>
  <c r="AR161" i="1"/>
  <c r="AR70" i="1"/>
  <c r="AR58" i="1"/>
  <c r="AR115" i="1"/>
  <c r="AR181" i="1"/>
  <c r="AR208" i="1"/>
  <c r="AR120" i="1"/>
  <c r="AR54" i="1"/>
  <c r="AR126" i="1"/>
  <c r="AR60" i="1"/>
  <c r="AR53" i="1"/>
  <c r="AR226" i="1"/>
  <c r="AR193" i="1"/>
  <c r="AR31" i="1"/>
  <c r="AR167" i="1"/>
  <c r="AR224" i="1"/>
  <c r="AR83" i="1"/>
  <c r="AR85" i="1"/>
  <c r="AR188" i="1"/>
  <c r="AR36" i="1"/>
  <c r="AR86" i="1"/>
  <c r="AR140" i="1"/>
  <c r="AR131" i="1"/>
  <c r="AR77" i="1"/>
  <c r="AR51" i="1"/>
  <c r="AR218" i="1"/>
  <c r="AR221" i="1"/>
  <c r="AR82" i="1"/>
  <c r="AR157" i="1"/>
  <c r="AR171" i="1"/>
  <c r="AR148" i="1"/>
  <c r="AR68" i="1"/>
  <c r="AR225" i="1"/>
  <c r="AR44" i="1"/>
  <c r="AR74" i="1"/>
  <c r="AR29" i="1"/>
  <c r="AR116" i="1"/>
  <c r="AR186" i="1"/>
  <c r="AR132" i="1"/>
  <c r="AR95" i="1"/>
  <c r="AR119" i="1"/>
  <c r="AR212" i="1"/>
  <c r="AR175" i="1"/>
  <c r="AR66" i="1"/>
  <c r="AR187" i="1"/>
  <c r="AR200" i="1"/>
  <c r="BE33" i="9"/>
  <c r="AR35" i="1"/>
  <c r="AR24" i="1"/>
  <c r="AR142" i="1"/>
  <c r="AR107" i="1"/>
  <c r="AR96" i="1"/>
  <c r="AR165" i="1"/>
  <c r="AR220" i="1"/>
  <c r="AR32" i="1"/>
  <c r="AR118" i="1"/>
  <c r="AA47" i="1"/>
  <c r="AC47" i="1" s="1"/>
  <c r="AA125" i="1"/>
  <c r="AC125" i="1" s="1"/>
  <c r="AA205" i="1"/>
  <c r="AA57" i="1"/>
  <c r="AA71" i="1"/>
  <c r="AC71" i="1" s="1"/>
  <c r="AA164" i="1"/>
  <c r="AC164" i="1" s="1"/>
  <c r="AA134" i="1"/>
  <c r="AA155" i="1"/>
  <c r="AA192" i="1"/>
  <c r="AC192" i="1" s="1"/>
  <c r="AA64" i="1"/>
  <c r="AC64" i="1" s="1"/>
  <c r="AA173" i="1"/>
  <c r="AC173" i="1" s="1"/>
  <c r="AA202" i="1"/>
  <c r="AC202" i="1" s="1"/>
  <c r="AA204" i="1"/>
  <c r="AA190" i="1"/>
  <c r="AA154" i="1"/>
  <c r="AA138" i="1"/>
  <c r="AC138" i="1" s="1"/>
  <c r="AA184" i="1"/>
  <c r="AA227" i="1"/>
  <c r="AA207" i="1"/>
  <c r="AA18" i="1"/>
  <c r="AA45" i="1"/>
  <c r="AC45" i="1" s="1"/>
  <c r="AA141" i="1"/>
  <c r="AC141" i="1" s="1"/>
  <c r="AA108" i="1"/>
  <c r="AA100" i="1"/>
  <c r="AA143" i="1"/>
  <c r="AC143" i="1" s="1"/>
  <c r="AA135" i="1"/>
  <c r="AC135" i="1" s="1"/>
  <c r="AA149" i="1"/>
  <c r="AA194" i="1"/>
  <c r="AA43" i="1"/>
  <c r="AA98" i="1"/>
  <c r="AA201" i="1"/>
  <c r="AC201" i="1" s="1"/>
  <c r="AA99" i="1"/>
  <c r="AC99" i="1" s="1"/>
  <c r="AA122" i="1"/>
  <c r="AC122" i="1" s="1"/>
  <c r="AA14" i="1"/>
  <c r="AA84" i="1"/>
  <c r="AA79" i="1"/>
  <c r="AC79" i="1" s="1"/>
  <c r="AA33" i="1"/>
  <c r="AC33" i="1" s="1"/>
  <c r="AA73" i="1"/>
  <c r="AC73" i="1" s="1"/>
  <c r="AA25" i="1"/>
  <c r="AA17" i="1"/>
  <c r="AC17" i="1" s="1"/>
  <c r="AA59" i="1"/>
  <c r="AC59" i="1" s="1"/>
  <c r="AA210" i="1"/>
  <c r="AA150" i="1"/>
  <c r="AC150" i="1" s="1"/>
  <c r="AA105" i="1"/>
  <c r="AC105" i="1" s="1"/>
  <c r="AA78" i="1"/>
  <c r="AA234" i="1"/>
  <c r="AA67" i="1"/>
  <c r="BE37" i="9"/>
  <c r="AA91" i="1"/>
  <c r="AA89" i="1"/>
  <c r="AA174" i="1"/>
  <c r="AA62" i="1"/>
  <c r="AC62" i="1" s="1"/>
  <c r="AA50" i="1"/>
  <c r="AC50" i="1" s="1"/>
  <c r="AA232" i="1"/>
  <c r="AA231" i="1"/>
  <c r="AA172" i="1"/>
  <c r="AC172" i="1" s="1"/>
  <c r="L251" i="1"/>
  <c r="DY64" i="3"/>
  <c r="AF64" i="1"/>
  <c r="DY201" i="3"/>
  <c r="AF201" i="1"/>
  <c r="DX73" i="3"/>
  <c r="AF73" i="1"/>
  <c r="DN164" i="3"/>
  <c r="AF164" i="1"/>
  <c r="DY178" i="3"/>
  <c r="DX204" i="3"/>
  <c r="DK143" i="3"/>
  <c r="CP45" i="3"/>
  <c r="AF45" i="1"/>
  <c r="CW208" i="3"/>
  <c r="DN33" i="3"/>
  <c r="AF33" i="1"/>
  <c r="AI33" i="1" s="1"/>
  <c r="DL50" i="3"/>
  <c r="DP225" i="3"/>
  <c r="AF225" i="1"/>
  <c r="AI225" i="1" s="1"/>
  <c r="DX193" i="3"/>
  <c r="AF193" i="1"/>
  <c r="AI193" i="1" s="1"/>
  <c r="DO178" i="3"/>
  <c r="DL29" i="3"/>
  <c r="DN204" i="3"/>
  <c r="DP158" i="3"/>
  <c r="AF158" i="1"/>
  <c r="N197" i="1"/>
  <c r="M197" i="1" s="1"/>
  <c r="N43" i="1"/>
  <c r="DK67" i="3"/>
  <c r="DW54" i="3"/>
  <c r="AF54" i="1"/>
  <c r="AI54" i="1" s="1"/>
  <c r="DL155" i="3"/>
  <c r="DN192" i="3"/>
  <c r="AF192" i="1"/>
  <c r="DW178" i="3"/>
  <c r="DW204" i="3"/>
  <c r="DP164" i="3"/>
  <c r="CW223" i="3"/>
  <c r="DP31" i="3"/>
  <c r="AF31" i="1"/>
  <c r="AI31" i="1" s="1"/>
  <c r="DO64" i="3"/>
  <c r="K164" i="1"/>
  <c r="CR108" i="3"/>
  <c r="AF108" i="1"/>
  <c r="DL67" i="3"/>
  <c r="DM204" i="3"/>
  <c r="DZ204" i="3"/>
  <c r="DN177" i="3"/>
  <c r="AF177" i="1"/>
  <c r="DO164" i="3"/>
  <c r="DP151" i="3"/>
  <c r="AF151" i="1"/>
  <c r="AI151" i="1" s="1"/>
  <c r="DP99" i="3"/>
  <c r="AF99" i="1"/>
  <c r="CO67" i="3"/>
  <c r="AF67" i="1"/>
  <c r="DW71" i="3"/>
  <c r="AF71" i="1"/>
  <c r="N93" i="1"/>
  <c r="DM62" i="3"/>
  <c r="AF62" i="1"/>
  <c r="CY71" i="3"/>
  <c r="DP194" i="3"/>
  <c r="DZ178" i="3"/>
  <c r="DP204" i="3"/>
  <c r="DI71" i="3"/>
  <c r="CW220" i="3"/>
  <c r="DY104" i="3"/>
  <c r="AF104" i="1"/>
  <c r="AI104" i="1" s="1"/>
  <c r="BU86" i="3"/>
  <c r="AF86" i="1"/>
  <c r="AI86" i="1" s="1"/>
  <c r="DW164" i="3"/>
  <c r="DJ179" i="3"/>
  <c r="DZ70" i="3"/>
  <c r="AF70" i="1"/>
  <c r="AI70" i="1" s="1"/>
  <c r="K202" i="1"/>
  <c r="AF202" i="1"/>
  <c r="DM57" i="3"/>
  <c r="AF57" i="1"/>
  <c r="DZ89" i="3"/>
  <c r="AF89" i="1"/>
  <c r="DO107" i="3"/>
  <c r="AF107" i="1"/>
  <c r="AI107" i="1" s="1"/>
  <c r="DX178" i="3"/>
  <c r="CV101" i="3"/>
  <c r="B101" i="3" s="1"/>
  <c r="DX164" i="3"/>
  <c r="DO135" i="3"/>
  <c r="AF135" i="1"/>
  <c r="DN231" i="3"/>
  <c r="AF231" i="1"/>
  <c r="N42" i="1"/>
  <c r="K204" i="1"/>
  <c r="L204" i="1" s="1"/>
  <c r="DZ149" i="3"/>
  <c r="AF149" i="1"/>
  <c r="CY25" i="3"/>
  <c r="K125" i="1"/>
  <c r="AF125" i="1"/>
  <c r="DW184" i="3"/>
  <c r="DZ201" i="3"/>
  <c r="DN224" i="3"/>
  <c r="AF224" i="1"/>
  <c r="AI224" i="1" s="1"/>
  <c r="DP183" i="3"/>
  <c r="AF183" i="1"/>
  <c r="AI183" i="1" s="1"/>
  <c r="DZ164" i="3"/>
  <c r="DN32" i="3"/>
  <c r="AF32" i="1"/>
  <c r="AI32" i="1" s="1"/>
  <c r="DW24" i="3"/>
  <c r="AF24" i="1"/>
  <c r="AI24" i="1" s="1"/>
  <c r="DJ96" i="3"/>
  <c r="DY150" i="3"/>
  <c r="AF150" i="1"/>
  <c r="CY179" i="3"/>
  <c r="DN178" i="3"/>
  <c r="DZ126" i="3"/>
  <c r="AF126" i="1"/>
  <c r="AI126" i="1" s="1"/>
  <c r="DW201" i="3"/>
  <c r="DO201" i="3"/>
  <c r="DI96" i="3"/>
  <c r="DM207" i="3"/>
  <c r="AF207" i="1"/>
  <c r="DO234" i="3"/>
  <c r="AF234" i="1"/>
  <c r="DO204" i="3"/>
  <c r="DN201" i="3"/>
  <c r="DY164" i="3"/>
  <c r="DY192" i="3"/>
  <c r="DN159" i="3"/>
  <c r="AF159" i="1"/>
  <c r="DP201" i="3"/>
  <c r="CY81" i="3"/>
  <c r="AF174" i="1"/>
  <c r="DJ214" i="3"/>
  <c r="DX64" i="3"/>
  <c r="DP192" i="3"/>
  <c r="DN107" i="3"/>
  <c r="DX71" i="3"/>
  <c r="DY62" i="3"/>
  <c r="DN64" i="3"/>
  <c r="CV181" i="3"/>
  <c r="B181" i="3" s="1"/>
  <c r="DI98" i="3"/>
  <c r="N126" i="1"/>
  <c r="N71" i="1"/>
  <c r="M71" i="1" s="1"/>
  <c r="DO57" i="3"/>
  <c r="EY50" i="3"/>
  <c r="DZ62" i="3"/>
  <c r="DO231" i="3"/>
  <c r="DZ107" i="3"/>
  <c r="CV20" i="3"/>
  <c r="B20" i="3" s="1"/>
  <c r="N123" i="1"/>
  <c r="M123" i="1" s="1"/>
  <c r="DI129" i="3"/>
  <c r="DM231" i="3"/>
  <c r="CY77" i="3"/>
  <c r="CY158" i="3"/>
  <c r="DX107" i="3"/>
  <c r="CV176" i="3"/>
  <c r="B176" i="3" s="1"/>
  <c r="DP107" i="3"/>
  <c r="DO150" i="3"/>
  <c r="CY234" i="3"/>
  <c r="M251" i="1"/>
  <c r="DI47" i="3"/>
  <c r="DJ14" i="3"/>
  <c r="DX62" i="3"/>
  <c r="DL60" i="3"/>
  <c r="DI25" i="3"/>
  <c r="CY14" i="3"/>
  <c r="CY236" i="3"/>
  <c r="CY138" i="3"/>
  <c r="CV51" i="3"/>
  <c r="B51" i="3" s="1"/>
  <c r="K107" i="1"/>
  <c r="N146" i="1"/>
  <c r="CY128" i="3"/>
  <c r="DL141" i="3"/>
  <c r="DJ25" i="3"/>
  <c r="CW168" i="3"/>
  <c r="DL178" i="3"/>
  <c r="DW107" i="3"/>
  <c r="DN70" i="3"/>
  <c r="DL192" i="3"/>
  <c r="DK225" i="3"/>
  <c r="DM107" i="3"/>
  <c r="EY99" i="3"/>
  <c r="K89" i="1"/>
  <c r="L89" i="1" s="1"/>
  <c r="CY107" i="3"/>
  <c r="DO62" i="3"/>
  <c r="DJ107" i="3"/>
  <c r="DY107" i="3"/>
  <c r="CY121" i="3"/>
  <c r="DM89" i="3"/>
  <c r="DJ226" i="3"/>
  <c r="DN57" i="3"/>
  <c r="CY83" i="3"/>
  <c r="CY98" i="3"/>
  <c r="CY226" i="3"/>
  <c r="DL105" i="3"/>
  <c r="DM202" i="3"/>
  <c r="DL164" i="3"/>
  <c r="DN73" i="3"/>
  <c r="DO149" i="3"/>
  <c r="DL207" i="3"/>
  <c r="DL125" i="3"/>
  <c r="DL138" i="3"/>
  <c r="CW181" i="3"/>
  <c r="DX70" i="3"/>
  <c r="CY192" i="3"/>
  <c r="DZ57" i="3"/>
  <c r="EY42" i="3"/>
  <c r="CY100" i="3"/>
  <c r="DZ73" i="3"/>
  <c r="DN149" i="3"/>
  <c r="DK18" i="3"/>
  <c r="CV221" i="3"/>
  <c r="B221" i="3" s="1"/>
  <c r="DI80" i="3"/>
  <c r="EU33" i="3"/>
  <c r="DL110" i="3"/>
  <c r="DW73" i="3"/>
  <c r="DL128" i="3"/>
  <c r="DY149" i="3"/>
  <c r="DL159" i="3"/>
  <c r="CY149" i="3"/>
  <c r="DN193" i="3"/>
  <c r="EX191" i="3"/>
  <c r="CY21" i="3"/>
  <c r="K57" i="1"/>
  <c r="L57" i="1" s="1"/>
  <c r="DK84" i="3"/>
  <c r="K193" i="1"/>
  <c r="DZ24" i="3"/>
  <c r="DL218" i="3"/>
  <c r="EU191" i="3"/>
  <c r="DK117" i="3"/>
  <c r="CY80" i="3"/>
  <c r="DM70" i="3"/>
  <c r="J251" i="1"/>
  <c r="DP73" i="3"/>
  <c r="BQ54" i="3"/>
  <c r="CQ108" i="3"/>
  <c r="DY73" i="3"/>
  <c r="DN89" i="3"/>
  <c r="DM201" i="3"/>
  <c r="EX195" i="3"/>
  <c r="DX149" i="3"/>
  <c r="DI210" i="3"/>
  <c r="DW202" i="3"/>
  <c r="DY31" i="3"/>
  <c r="DN202" i="3"/>
  <c r="DI106" i="3"/>
  <c r="DM193" i="3"/>
  <c r="DO70" i="3"/>
  <c r="DO125" i="3"/>
  <c r="BR18" i="3"/>
  <c r="DY70" i="3"/>
  <c r="J252" i="1"/>
  <c r="EU204" i="3"/>
  <c r="DX184" i="3"/>
  <c r="DY24" i="3"/>
  <c r="DL86" i="3"/>
  <c r="DL149" i="3"/>
  <c r="DM149" i="3"/>
  <c r="CY47" i="3"/>
  <c r="DJ21" i="3"/>
  <c r="DI21" i="3"/>
  <c r="DP125" i="3"/>
  <c r="DP149" i="3"/>
  <c r="DM73" i="3"/>
  <c r="DO89" i="3"/>
  <c r="DX201" i="3"/>
  <c r="EU195" i="3"/>
  <c r="CY106" i="3"/>
  <c r="DY202" i="3"/>
  <c r="DY174" i="3"/>
  <c r="DY193" i="3"/>
  <c r="DL227" i="3"/>
  <c r="DZ193" i="3"/>
  <c r="CY129" i="3"/>
  <c r="DO17" i="3"/>
  <c r="DL202" i="3"/>
  <c r="N227" i="1"/>
  <c r="M227" i="1" s="1"/>
  <c r="DY89" i="3"/>
  <c r="DK114" i="3"/>
  <c r="DX24" i="3"/>
  <c r="DP24" i="3"/>
  <c r="CY133" i="3"/>
  <c r="DL114" i="3"/>
  <c r="DP70" i="3"/>
  <c r="DP57" i="3"/>
  <c r="DK54" i="3"/>
  <c r="DL80" i="3"/>
  <c r="DX33" i="3"/>
  <c r="CQ234" i="3"/>
  <c r="DX89" i="3"/>
  <c r="BR157" i="3"/>
  <c r="DO174" i="3"/>
  <c r="DK49" i="3"/>
  <c r="DI149" i="3"/>
  <c r="DX202" i="3"/>
  <c r="DP184" i="3"/>
  <c r="DW193" i="3"/>
  <c r="DP193" i="3"/>
  <c r="DM164" i="3"/>
  <c r="DW31" i="3"/>
  <c r="DL157" i="3"/>
  <c r="DW57" i="3"/>
  <c r="DW70" i="3"/>
  <c r="DK157" i="3"/>
  <c r="DK100" i="3"/>
  <c r="N99" i="1"/>
  <c r="DJ91" i="3"/>
  <c r="DI91" i="3"/>
  <c r="DO193" i="3"/>
  <c r="EX33" i="3"/>
  <c r="CY110" i="3"/>
  <c r="K70" i="1"/>
  <c r="L70" i="1" s="1"/>
  <c r="DX57" i="3"/>
  <c r="CR33" i="3"/>
  <c r="DN24" i="3"/>
  <c r="DL214" i="3"/>
  <c r="CY178" i="3"/>
  <c r="DL57" i="3"/>
  <c r="DP202" i="3"/>
  <c r="DW174" i="3"/>
  <c r="DO202" i="3"/>
  <c r="DL213" i="3"/>
  <c r="DL40" i="3"/>
  <c r="DK126" i="3"/>
  <c r="DL54" i="3"/>
  <c r="K34" i="1"/>
  <c r="L34" i="1" s="1"/>
  <c r="EY74" i="3"/>
  <c r="R74" i="1"/>
  <c r="K182" i="1"/>
  <c r="EU171" i="3"/>
  <c r="N171" i="1"/>
  <c r="EY187" i="3"/>
  <c r="R187" i="1"/>
  <c r="DN91" i="3"/>
  <c r="K91" i="1"/>
  <c r="L91" i="1" s="1"/>
  <c r="EY45" i="3"/>
  <c r="R45" i="1"/>
  <c r="Q45" i="1" s="1"/>
  <c r="DN82" i="3"/>
  <c r="K82" i="1"/>
  <c r="DY152" i="3"/>
  <c r="K152" i="1"/>
  <c r="L152" i="1" s="1"/>
  <c r="EX21" i="3"/>
  <c r="N21" i="1"/>
  <c r="P21" i="1" s="1"/>
  <c r="DN205" i="3"/>
  <c r="K205" i="1"/>
  <c r="L205" i="1" s="1"/>
  <c r="EU201" i="3"/>
  <c r="N201" i="1"/>
  <c r="M201" i="1" s="1"/>
  <c r="EU216" i="3"/>
  <c r="N216" i="1"/>
  <c r="M216" i="1" s="1"/>
  <c r="EY86" i="3"/>
  <c r="R86" i="1"/>
  <c r="EY88" i="3"/>
  <c r="R88" i="1"/>
  <c r="EX160" i="3"/>
  <c r="N160" i="1"/>
  <c r="P160" i="1" s="1"/>
  <c r="EY84" i="3"/>
  <c r="R84" i="1"/>
  <c r="DW231" i="3"/>
  <c r="K231" i="1"/>
  <c r="L231" i="1" s="1"/>
  <c r="BE14" i="9"/>
  <c r="DN143" i="3"/>
  <c r="K143" i="1"/>
  <c r="L143" i="1" s="1"/>
  <c r="DI81" i="3"/>
  <c r="EU14" i="3"/>
  <c r="N14" i="1"/>
  <c r="M14" i="1" s="1"/>
  <c r="DI183" i="3"/>
  <c r="DY94" i="3"/>
  <c r="K94" i="1"/>
  <c r="CP143" i="3"/>
  <c r="BE11" i="9"/>
  <c r="EU63" i="3"/>
  <c r="N63" i="1"/>
  <c r="EY104" i="3"/>
  <c r="R104" i="1"/>
  <c r="Q104" i="1" s="1"/>
  <c r="EY174" i="3"/>
  <c r="R174" i="1"/>
  <c r="Q174" i="1" s="1"/>
  <c r="CW145" i="3"/>
  <c r="EY140" i="3"/>
  <c r="R140" i="1"/>
  <c r="EY192" i="3"/>
  <c r="R192" i="1"/>
  <c r="EU31" i="3"/>
  <c r="N31" i="1"/>
  <c r="K27" i="1"/>
  <c r="DN104" i="3"/>
  <c r="EU128" i="3"/>
  <c r="N128" i="1"/>
  <c r="M128" i="1" s="1"/>
  <c r="EU125" i="3"/>
  <c r="N125" i="1"/>
  <c r="EU61" i="3"/>
  <c r="N61" i="1"/>
  <c r="M61" i="1" s="1"/>
  <c r="EU38" i="3"/>
  <c r="N38" i="1"/>
  <c r="M38" i="1" s="1"/>
  <c r="EU143" i="3"/>
  <c r="N143" i="1"/>
  <c r="M143" i="1" s="1"/>
  <c r="BE13" i="9"/>
  <c r="DY118" i="3"/>
  <c r="K118" i="1"/>
  <c r="EX77" i="3"/>
  <c r="N77" i="1"/>
  <c r="P77" i="1" s="1"/>
  <c r="CY183" i="3"/>
  <c r="EU104" i="3"/>
  <c r="N104" i="1"/>
  <c r="M104" i="1" s="1"/>
  <c r="EY153" i="3"/>
  <c r="R153" i="1"/>
  <c r="Q153" i="1" s="1"/>
  <c r="EU73" i="3"/>
  <c r="N73" i="1"/>
  <c r="EU136" i="3"/>
  <c r="N136" i="1"/>
  <c r="M136" i="1" s="1"/>
  <c r="DD53" i="3"/>
  <c r="EX66" i="3"/>
  <c r="DN72" i="3"/>
  <c r="K72" i="1"/>
  <c r="EY89" i="3"/>
  <c r="R89" i="1"/>
  <c r="Q89" i="1" s="1"/>
  <c r="DN151" i="3"/>
  <c r="CR143" i="3"/>
  <c r="DJ45" i="3"/>
  <c r="EY37" i="3"/>
  <c r="R37" i="1"/>
  <c r="Q37" i="1" s="1"/>
  <c r="DL173" i="3"/>
  <c r="CW102" i="3"/>
  <c r="K56" i="1"/>
  <c r="L56" i="1" s="1"/>
  <c r="EY128" i="3"/>
  <c r="R128" i="1"/>
  <c r="Q128" i="1" s="1"/>
  <c r="EU56" i="3"/>
  <c r="N56" i="1"/>
  <c r="M56" i="1" s="1"/>
  <c r="K77" i="1"/>
  <c r="EY116" i="3"/>
  <c r="R116" i="1"/>
  <c r="EU210" i="3"/>
  <c r="N210" i="1"/>
  <c r="EU235" i="3"/>
  <c r="N235" i="1"/>
  <c r="EY172" i="3"/>
  <c r="R172" i="1"/>
  <c r="Q172" i="1" s="1"/>
  <c r="EY206" i="3"/>
  <c r="R206" i="1"/>
  <c r="Q206" i="1" s="1"/>
  <c r="DP142" i="3"/>
  <c r="K142" i="1"/>
  <c r="DK37" i="3"/>
  <c r="CW55" i="3"/>
  <c r="CV55" i="3" s="1"/>
  <c r="B55" i="3" s="1"/>
  <c r="K36" i="1"/>
  <c r="L36" i="1" s="1"/>
  <c r="EU94" i="3"/>
  <c r="N94" i="1"/>
  <c r="CQ183" i="3"/>
  <c r="K183" i="1"/>
  <c r="L183" i="1" s="1"/>
  <c r="CY62" i="3"/>
  <c r="BT86" i="3"/>
  <c r="K86" i="1"/>
  <c r="EU233" i="3"/>
  <c r="N233" i="1"/>
  <c r="M233" i="1" s="1"/>
  <c r="EU180" i="3"/>
  <c r="N180" i="1"/>
  <c r="EX224" i="3"/>
  <c r="N224" i="1"/>
  <c r="P224" i="1" s="1"/>
  <c r="DP218" i="3"/>
  <c r="K218" i="1"/>
  <c r="BT156" i="3"/>
  <c r="K156" i="1"/>
  <c r="EY190" i="3"/>
  <c r="R190" i="1"/>
  <c r="DP64" i="3"/>
  <c r="K138" i="1"/>
  <c r="EY78" i="3"/>
  <c r="R78" i="1"/>
  <c r="K194" i="1"/>
  <c r="L194" i="1" s="1"/>
  <c r="DZ64" i="3"/>
  <c r="K33" i="1"/>
  <c r="EU75" i="3"/>
  <c r="N75" i="1"/>
  <c r="M75" i="1" s="1"/>
  <c r="EU179" i="3"/>
  <c r="N179" i="1"/>
  <c r="M179" i="1" s="1"/>
  <c r="DI15" i="3"/>
  <c r="DJ15" i="3"/>
  <c r="K192" i="1"/>
  <c r="DW192" i="3"/>
  <c r="DM192" i="3"/>
  <c r="DX192" i="3"/>
  <c r="DZ192" i="3"/>
  <c r="DO192" i="3"/>
  <c r="EY173" i="3"/>
  <c r="R173" i="1"/>
  <c r="Q173" i="1" s="1"/>
  <c r="DN136" i="3"/>
  <c r="K136" i="1"/>
  <c r="L136" i="1" s="1"/>
  <c r="EU124" i="3"/>
  <c r="N124" i="1"/>
  <c r="M124" i="1" s="1"/>
  <c r="BT92" i="3"/>
  <c r="K92" i="1"/>
  <c r="L92" i="1" s="1"/>
  <c r="K129" i="1"/>
  <c r="DK207" i="3"/>
  <c r="K76" i="1"/>
  <c r="L76" i="1" s="1"/>
  <c r="EU199" i="3"/>
  <c r="N199" i="1"/>
  <c r="EU170" i="3"/>
  <c r="N170" i="1"/>
  <c r="M170" i="1" s="1"/>
  <c r="EU34" i="3"/>
  <c r="N34" i="1"/>
  <c r="M34" i="1" s="1"/>
  <c r="CO17" i="3"/>
  <c r="K17" i="1"/>
  <c r="EU76" i="3"/>
  <c r="N76" i="1"/>
  <c r="M76" i="1" s="1"/>
  <c r="EU217" i="3"/>
  <c r="N217" i="1"/>
  <c r="M217" i="1" s="1"/>
  <c r="K162" i="1"/>
  <c r="EX100" i="3"/>
  <c r="N100" i="1"/>
  <c r="P100" i="1" s="1"/>
  <c r="K185" i="1"/>
  <c r="K61" i="1"/>
  <c r="L61" i="1" s="1"/>
  <c r="K30" i="1"/>
  <c r="L30" i="1" s="1"/>
  <c r="EU222" i="3"/>
  <c r="N222" i="1"/>
  <c r="DI192" i="3"/>
  <c r="EY61" i="3"/>
  <c r="R61" i="1"/>
  <c r="Q61" i="1" s="1"/>
  <c r="EU202" i="3"/>
  <c r="N202" i="1"/>
  <c r="K179" i="1"/>
  <c r="L179" i="1" s="1"/>
  <c r="DJ81" i="3"/>
  <c r="DL77" i="3"/>
  <c r="EX109" i="3"/>
  <c r="N109" i="1"/>
  <c r="P109" i="1" s="1"/>
  <c r="EU60" i="3"/>
  <c r="N60" i="1"/>
  <c r="DM24" i="3"/>
  <c r="K24" i="1"/>
  <c r="K173" i="1"/>
  <c r="L173" i="1" s="1"/>
  <c r="BE74" i="9"/>
  <c r="K28" i="1"/>
  <c r="DY151" i="3"/>
  <c r="DN173" i="3"/>
  <c r="EY182" i="3"/>
  <c r="R182" i="1"/>
  <c r="DZ85" i="3"/>
  <c r="K85" i="1"/>
  <c r="DJ19" i="3"/>
  <c r="K214" i="1"/>
  <c r="EU78" i="3"/>
  <c r="N78" i="1"/>
  <c r="DM17" i="3"/>
  <c r="EY211" i="3"/>
  <c r="R211" i="1"/>
  <c r="Q211" i="1" s="1"/>
  <c r="BE49" i="9"/>
  <c r="K120" i="1"/>
  <c r="K195" i="1"/>
  <c r="EU230" i="3"/>
  <c r="N230" i="1"/>
  <c r="M230" i="1" s="1"/>
  <c r="EY136" i="3"/>
  <c r="R136" i="1"/>
  <c r="Q136" i="1" s="1"/>
  <c r="EU36" i="3"/>
  <c r="N36" i="1"/>
  <c r="M36" i="1" s="1"/>
  <c r="EU64" i="3"/>
  <c r="N64" i="1"/>
  <c r="K95" i="1"/>
  <c r="EU89" i="3"/>
  <c r="N89" i="1"/>
  <c r="M89" i="1" s="1"/>
  <c r="DO143" i="3"/>
  <c r="K235" i="1"/>
  <c r="EY49" i="3"/>
  <c r="R49" i="1"/>
  <c r="DP81" i="3"/>
  <c r="K81" i="1"/>
  <c r="L81" i="1" s="1"/>
  <c r="EY133" i="3"/>
  <c r="R133" i="1"/>
  <c r="DN35" i="3"/>
  <c r="K35" i="1"/>
  <c r="EY210" i="3"/>
  <c r="R210" i="1"/>
  <c r="K133" i="1"/>
  <c r="DY236" i="3"/>
  <c r="K236" i="1"/>
  <c r="L236" i="1" s="1"/>
  <c r="K144" i="1"/>
  <c r="L144" i="1" s="1"/>
  <c r="DP135" i="3"/>
  <c r="EY119" i="3"/>
  <c r="R119" i="1"/>
  <c r="DL78" i="3"/>
  <c r="EU145" i="3"/>
  <c r="N145" i="1"/>
  <c r="M145" i="1" s="1"/>
  <c r="DL59" i="3"/>
  <c r="DP231" i="3"/>
  <c r="EY121" i="3"/>
  <c r="R121" i="1"/>
  <c r="K116" i="1"/>
  <c r="DY170" i="3"/>
  <c r="K170" i="1"/>
  <c r="L170" i="1" s="1"/>
  <c r="EY127" i="3"/>
  <c r="R127" i="1"/>
  <c r="Q127" i="1" s="1"/>
  <c r="EU32" i="3"/>
  <c r="K175" i="1"/>
  <c r="EY38" i="3"/>
  <c r="R38" i="1"/>
  <c r="Q38" i="1" s="1"/>
  <c r="DI79" i="3"/>
  <c r="K65" i="1"/>
  <c r="DI162" i="3"/>
  <c r="EU40" i="3"/>
  <c r="N40" i="1"/>
  <c r="M40" i="1" s="1"/>
  <c r="EU129" i="3"/>
  <c r="N129" i="1"/>
  <c r="K234" i="1"/>
  <c r="EY166" i="3"/>
  <c r="R166" i="1"/>
  <c r="Q166" i="1" s="1"/>
  <c r="DW150" i="3"/>
  <c r="K150" i="1"/>
  <c r="EU91" i="3"/>
  <c r="N91" i="1"/>
  <c r="M91" i="1" s="1"/>
  <c r="CY15" i="3"/>
  <c r="EY139" i="3"/>
  <c r="R139" i="1"/>
  <c r="K212" i="1"/>
  <c r="EU86" i="3"/>
  <c r="N86" i="1"/>
  <c r="K97" i="1"/>
  <c r="L97" i="1" s="1"/>
  <c r="EU134" i="3"/>
  <c r="N134" i="1"/>
  <c r="K209" i="1"/>
  <c r="K99" i="1"/>
  <c r="K190" i="1"/>
  <c r="K180" i="1"/>
  <c r="EX51" i="3"/>
  <c r="N51" i="1"/>
  <c r="P51" i="1" s="1"/>
  <c r="EX154" i="3"/>
  <c r="N154" i="1"/>
  <c r="P154" i="1" s="1"/>
  <c r="EU102" i="3"/>
  <c r="N102" i="1"/>
  <c r="DL75" i="3"/>
  <c r="K66" i="1"/>
  <c r="EU105" i="3"/>
  <c r="N105" i="1"/>
  <c r="EU57" i="3"/>
  <c r="N57" i="1"/>
  <c r="M57" i="1" s="1"/>
  <c r="DN187" i="3"/>
  <c r="K187" i="1"/>
  <c r="EY197" i="3"/>
  <c r="R197" i="1"/>
  <c r="Q197" i="1" s="1"/>
  <c r="EY63" i="3"/>
  <c r="R63" i="1"/>
  <c r="K124" i="1"/>
  <c r="L124" i="1" s="1"/>
  <c r="DX231" i="3"/>
  <c r="K38" i="1"/>
  <c r="L38" i="1" s="1"/>
  <c r="EY105" i="3"/>
  <c r="R105" i="1"/>
  <c r="K224" i="1"/>
  <c r="EU192" i="3"/>
  <c r="N192" i="1"/>
  <c r="DP17" i="3"/>
  <c r="CY43" i="3"/>
  <c r="EY216" i="3"/>
  <c r="R216" i="1"/>
  <c r="Q216" i="1" s="1"/>
  <c r="EU88" i="3"/>
  <c r="N88" i="1"/>
  <c r="DY21" i="3"/>
  <c r="K21" i="1"/>
  <c r="K122" i="1"/>
  <c r="EX118" i="3"/>
  <c r="N118" i="1"/>
  <c r="P118" i="1" s="1"/>
  <c r="EX67" i="3"/>
  <c r="N67" i="1"/>
  <c r="P67" i="1" s="1"/>
  <c r="CY70" i="3"/>
  <c r="EY60" i="3"/>
  <c r="R60" i="1"/>
  <c r="DY230" i="3"/>
  <c r="K230" i="1"/>
  <c r="L230" i="1" s="1"/>
  <c r="DY68" i="3"/>
  <c r="K68" i="1"/>
  <c r="CQ135" i="3"/>
  <c r="K121" i="1"/>
  <c r="EU140" i="3"/>
  <c r="N140" i="1"/>
  <c r="EX53" i="3"/>
  <c r="N53" i="1"/>
  <c r="P53" i="1" s="1"/>
  <c r="K87" i="1"/>
  <c r="L87" i="1" s="1"/>
  <c r="EY31" i="3"/>
  <c r="R31" i="1"/>
  <c r="K232" i="1"/>
  <c r="L232" i="1" s="1"/>
  <c r="K228" i="1"/>
  <c r="L228" i="1" s="1"/>
  <c r="EU214" i="3"/>
  <c r="N214" i="1"/>
  <c r="DL28" i="3"/>
  <c r="EY62" i="3"/>
  <c r="R62" i="1"/>
  <c r="K119" i="1"/>
  <c r="K22" i="1"/>
  <c r="L22" i="1" s="1"/>
  <c r="EY36" i="3"/>
  <c r="R36" i="1"/>
  <c r="Q36" i="1" s="1"/>
  <c r="EY64" i="3"/>
  <c r="R64" i="1"/>
  <c r="EU147" i="3"/>
  <c r="N147" i="1"/>
  <c r="DN211" i="3"/>
  <c r="K211" i="1"/>
  <c r="L211" i="1" s="1"/>
  <c r="EU28" i="3"/>
  <c r="N28" i="1"/>
  <c r="EU82" i="3"/>
  <c r="N82" i="1"/>
  <c r="EU156" i="3"/>
  <c r="N156" i="1"/>
  <c r="EU49" i="3"/>
  <c r="N49" i="1"/>
  <c r="K44" i="1"/>
  <c r="DI29" i="3"/>
  <c r="EU110" i="3"/>
  <c r="N110" i="1"/>
  <c r="M110" i="1" s="1"/>
  <c r="EU133" i="3"/>
  <c r="N133" i="1"/>
  <c r="EU22" i="3"/>
  <c r="N22" i="1"/>
  <c r="M22" i="1" s="1"/>
  <c r="CP135" i="3"/>
  <c r="K216" i="1"/>
  <c r="L216" i="1" s="1"/>
  <c r="K49" i="1"/>
  <c r="K177" i="1"/>
  <c r="EU185" i="3"/>
  <c r="N185" i="1"/>
  <c r="EU182" i="3"/>
  <c r="N182" i="1"/>
  <c r="EX115" i="3"/>
  <c r="N115" i="1"/>
  <c r="P115" i="1" s="1"/>
  <c r="DY188" i="3"/>
  <c r="K188" i="1"/>
  <c r="EY145" i="3"/>
  <c r="R145" i="1"/>
  <c r="Q145" i="1" s="1"/>
  <c r="DL37" i="3"/>
  <c r="EU92" i="3"/>
  <c r="N92" i="1"/>
  <c r="M92" i="1" s="1"/>
  <c r="DN99" i="3"/>
  <c r="K189" i="1"/>
  <c r="EX32" i="3"/>
  <c r="DP41" i="3"/>
  <c r="K41" i="1"/>
  <c r="EY96" i="3"/>
  <c r="R96" i="1"/>
  <c r="EU68" i="3"/>
  <c r="N68" i="1"/>
  <c r="P68" i="1" s="1"/>
  <c r="K106" i="1"/>
  <c r="EU211" i="3"/>
  <c r="N211" i="1"/>
  <c r="M211" i="1" s="1"/>
  <c r="DN19" i="3"/>
  <c r="K19" i="1"/>
  <c r="L19" i="1" s="1"/>
  <c r="DO173" i="3"/>
  <c r="DL100" i="3"/>
  <c r="EY126" i="3"/>
  <c r="R126" i="1"/>
  <c r="O243" i="1"/>
  <c r="M243" i="1"/>
  <c r="EU65" i="3"/>
  <c r="N65" i="1"/>
  <c r="EY129" i="3"/>
  <c r="R129" i="1"/>
  <c r="EU15" i="3"/>
  <c r="N15" i="1"/>
  <c r="M15" i="1" s="1"/>
  <c r="DJ204" i="3"/>
  <c r="DI204" i="3"/>
  <c r="K14" i="1"/>
  <c r="L14" i="1" s="1"/>
  <c r="BE59" i="9"/>
  <c r="EU16" i="3"/>
  <c r="N16" i="1"/>
  <c r="M16" i="1" s="1"/>
  <c r="DX190" i="3"/>
  <c r="DP233" i="3"/>
  <c r="K233" i="1"/>
  <c r="L233" i="1" s="1"/>
  <c r="EX200" i="3"/>
  <c r="N200" i="1"/>
  <c r="P200" i="1" s="1"/>
  <c r="EU117" i="3"/>
  <c r="N117" i="1"/>
  <c r="EU205" i="3"/>
  <c r="N205" i="1"/>
  <c r="M205" i="1" s="1"/>
  <c r="BE27" i="9"/>
  <c r="EY73" i="3"/>
  <c r="R73" i="1"/>
  <c r="EU181" i="3"/>
  <c r="N181" i="1"/>
  <c r="EY94" i="3"/>
  <c r="R94" i="1"/>
  <c r="K75" i="1"/>
  <c r="L75" i="1" s="1"/>
  <c r="EY180" i="3"/>
  <c r="R180" i="1"/>
  <c r="K226" i="1"/>
  <c r="EY207" i="3"/>
  <c r="R207" i="1"/>
  <c r="BT43" i="3"/>
  <c r="K43" i="1"/>
  <c r="CO43" i="3"/>
  <c r="DP43" i="3"/>
  <c r="CQ43" i="3"/>
  <c r="BU43" i="3"/>
  <c r="CR43" i="3"/>
  <c r="DO43" i="3"/>
  <c r="DM43" i="3"/>
  <c r="DN43" i="3"/>
  <c r="CP43" i="3"/>
  <c r="DN146" i="3"/>
  <c r="K146" i="1"/>
  <c r="EY202" i="3"/>
  <c r="R202" i="1"/>
  <c r="K79" i="1"/>
  <c r="CQ17" i="3"/>
  <c r="DJ65" i="3"/>
  <c r="DI65" i="3"/>
  <c r="EU66" i="3"/>
  <c r="EU37" i="3"/>
  <c r="N37" i="1"/>
  <c r="M37" i="1" s="1"/>
  <c r="EY56" i="3"/>
  <c r="R56" i="1"/>
  <c r="Q56" i="1" s="1"/>
  <c r="EU116" i="3"/>
  <c r="N116" i="1"/>
  <c r="K110" i="1"/>
  <c r="L110" i="1" s="1"/>
  <c r="EU206" i="3"/>
  <c r="N206" i="1"/>
  <c r="M206" i="1" s="1"/>
  <c r="K117" i="1"/>
  <c r="J258" i="1"/>
  <c r="J261" i="1" s="1"/>
  <c r="J3" i="1" s="1"/>
  <c r="S291" i="1" s="1"/>
  <c r="EU98" i="3"/>
  <c r="N98" i="1"/>
  <c r="M98" i="1" s="1"/>
  <c r="DM108" i="3"/>
  <c r="K108" i="1"/>
  <c r="EY72" i="3"/>
  <c r="R72" i="1"/>
  <c r="K48" i="1"/>
  <c r="L48" i="1" s="1"/>
  <c r="EU90" i="3"/>
  <c r="N90" i="1"/>
  <c r="EU72" i="3"/>
  <c r="N72" i="1"/>
  <c r="EU153" i="3"/>
  <c r="N153" i="1"/>
  <c r="M153" i="1" s="1"/>
  <c r="CY185" i="3"/>
  <c r="K63" i="1"/>
  <c r="EY147" i="3"/>
  <c r="R147" i="1"/>
  <c r="EY82" i="3"/>
  <c r="R82" i="1"/>
  <c r="EY156" i="3"/>
  <c r="R156" i="1"/>
  <c r="K171" i="1"/>
  <c r="EY110" i="3"/>
  <c r="R110" i="1"/>
  <c r="Q110" i="1" s="1"/>
  <c r="K42" i="1"/>
  <c r="EY22" i="3"/>
  <c r="R22" i="1"/>
  <c r="Q22" i="1" s="1"/>
  <c r="DN158" i="3"/>
  <c r="K158" i="1"/>
  <c r="DP190" i="3"/>
  <c r="K167" i="1"/>
  <c r="DJ70" i="3"/>
  <c r="CY193" i="3"/>
  <c r="EU119" i="3"/>
  <c r="N119" i="1"/>
  <c r="EX142" i="3"/>
  <c r="DY232" i="3"/>
  <c r="EY92" i="3"/>
  <c r="R92" i="1"/>
  <c r="Q92" i="1" s="1"/>
  <c r="K88" i="1"/>
  <c r="N253" i="1"/>
  <c r="P223" i="1"/>
  <c r="EU48" i="3"/>
  <c r="N48" i="1"/>
  <c r="M48" i="1" s="1"/>
  <c r="K161" i="1"/>
  <c r="DP32" i="3"/>
  <c r="K32" i="1"/>
  <c r="K112" i="1"/>
  <c r="L112" i="1" s="1"/>
  <c r="DP122" i="3"/>
  <c r="EU39" i="3"/>
  <c r="N39" i="1"/>
  <c r="DP143" i="3"/>
  <c r="DM173" i="3"/>
  <c r="K31" i="1"/>
  <c r="CY162" i="3"/>
  <c r="EY91" i="3"/>
  <c r="R91" i="1"/>
  <c r="Q91" i="1" s="1"/>
  <c r="EY65" i="3"/>
  <c r="R65" i="1"/>
  <c r="EU107" i="3"/>
  <c r="N107" i="1"/>
  <c r="K178" i="1"/>
  <c r="DJ234" i="3"/>
  <c r="DI234" i="3"/>
  <c r="K13" i="1"/>
  <c r="K206" i="1"/>
  <c r="L206" i="1" s="1"/>
  <c r="EY144" i="3"/>
  <c r="R144" i="1"/>
  <c r="Q144" i="1" s="1"/>
  <c r="K151" i="1"/>
  <c r="CO135" i="3"/>
  <c r="K135" i="1"/>
  <c r="EY169" i="3"/>
  <c r="R169" i="1"/>
  <c r="Q169" i="1" s="1"/>
  <c r="K147" i="1"/>
  <c r="EY134" i="3"/>
  <c r="R134" i="1"/>
  <c r="K159" i="1"/>
  <c r="L159" i="1" s="1"/>
  <c r="EY117" i="3"/>
  <c r="R117" i="1"/>
  <c r="DY127" i="3"/>
  <c r="K127" i="1"/>
  <c r="L127" i="1" s="1"/>
  <c r="EY201" i="3"/>
  <c r="R201" i="1"/>
  <c r="Q201" i="1" s="1"/>
  <c r="K132" i="1"/>
  <c r="K128" i="1"/>
  <c r="L128" i="1" s="1"/>
  <c r="K83" i="1"/>
  <c r="DN75" i="3"/>
  <c r="DZ231" i="3"/>
  <c r="K137" i="1"/>
  <c r="DO24" i="3"/>
  <c r="EX148" i="3"/>
  <c r="N148" i="1"/>
  <c r="P148" i="1" s="1"/>
  <c r="EY185" i="3"/>
  <c r="R185" i="1"/>
  <c r="DY16" i="3"/>
  <c r="K16" i="1"/>
  <c r="L16" i="1" s="1"/>
  <c r="EY90" i="3"/>
  <c r="R90" i="1"/>
  <c r="EY214" i="3"/>
  <c r="R214" i="1"/>
  <c r="EU101" i="3"/>
  <c r="N101" i="1"/>
  <c r="K113" i="1"/>
  <c r="DL32" i="3"/>
  <c r="EU97" i="3"/>
  <c r="N97" i="1"/>
  <c r="M97" i="1" s="1"/>
  <c r="K90" i="1"/>
  <c r="CY79" i="3"/>
  <c r="CQ122" i="3"/>
  <c r="EX35" i="3"/>
  <c r="N35" i="1"/>
  <c r="P35" i="1" s="1"/>
  <c r="L246" i="1"/>
  <c r="K246" i="1"/>
  <c r="CR135" i="3"/>
  <c r="CY151" i="3"/>
  <c r="DW190" i="3"/>
  <c r="DI193" i="3"/>
  <c r="DJ213" i="3"/>
  <c r="DY60" i="3"/>
  <c r="K60" i="1"/>
  <c r="EU151" i="3"/>
  <c r="N151" i="1"/>
  <c r="EU142" i="3"/>
  <c r="DM232" i="3"/>
  <c r="EY170" i="3"/>
  <c r="R170" i="1"/>
  <c r="Q170" i="1" s="1"/>
  <c r="EU121" i="3"/>
  <c r="N121" i="1"/>
  <c r="DK116" i="3"/>
  <c r="DY99" i="3"/>
  <c r="EY48" i="3"/>
  <c r="R48" i="1"/>
  <c r="Q48" i="1" s="1"/>
  <c r="DP165" i="3"/>
  <c r="K165" i="1"/>
  <c r="K197" i="1"/>
  <c r="L197" i="1" s="1"/>
  <c r="DN17" i="3"/>
  <c r="K141" i="1"/>
  <c r="L141" i="1" s="1"/>
  <c r="EU232" i="3"/>
  <c r="N232" i="1"/>
  <c r="M232" i="1" s="1"/>
  <c r="EY80" i="3"/>
  <c r="R80" i="1"/>
  <c r="Q80" i="1" s="1"/>
  <c r="K126" i="1"/>
  <c r="EX138" i="3"/>
  <c r="N138" i="1"/>
  <c r="P138" i="1" s="1"/>
  <c r="EX132" i="3"/>
  <c r="N132" i="1"/>
  <c r="P132" i="1" s="1"/>
  <c r="DP173" i="3"/>
  <c r="EU24" i="3"/>
  <c r="N24" i="1"/>
  <c r="CQ67" i="3"/>
  <c r="K67" i="1"/>
  <c r="DI132" i="3"/>
  <c r="DJ132" i="3"/>
  <c r="DO73" i="3"/>
  <c r="K73" i="1"/>
  <c r="CY132" i="3"/>
  <c r="EU225" i="3"/>
  <c r="N225" i="1"/>
  <c r="M225" i="1" s="1"/>
  <c r="EU169" i="3"/>
  <c r="N169" i="1"/>
  <c r="M169" i="1" s="1"/>
  <c r="K199" i="1"/>
  <c r="EU228" i="3"/>
  <c r="N228" i="1"/>
  <c r="M228" i="1" s="1"/>
  <c r="EY114" i="3"/>
  <c r="R114" i="1"/>
  <c r="Q114" i="1" s="1"/>
  <c r="EU166" i="3"/>
  <c r="N166" i="1"/>
  <c r="M166" i="1" s="1"/>
  <c r="DN163" i="3"/>
  <c r="K163" i="1"/>
  <c r="BT131" i="3"/>
  <c r="K131" i="1"/>
  <c r="EU69" i="3"/>
  <c r="N69" i="1"/>
  <c r="M69" i="1" s="1"/>
  <c r="EY222" i="3"/>
  <c r="R222" i="1"/>
  <c r="EY171" i="3"/>
  <c r="R171" i="1"/>
  <c r="K104" i="1"/>
  <c r="L104" i="1" s="1"/>
  <c r="EU87" i="3"/>
  <c r="N87" i="1"/>
  <c r="M87" i="1" s="1"/>
  <c r="K40" i="1"/>
  <c r="L40" i="1" s="1"/>
  <c r="CR45" i="3"/>
  <c r="K45" i="1"/>
  <c r="L45" i="1" s="1"/>
  <c r="DZ190" i="3"/>
  <c r="EY69" i="3"/>
  <c r="R69" i="1"/>
  <c r="Q69" i="1" s="1"/>
  <c r="DJ192" i="3"/>
  <c r="K26" i="1"/>
  <c r="EY34" i="3"/>
  <c r="R34" i="1"/>
  <c r="Q34" i="1" s="1"/>
  <c r="DM64" i="3"/>
  <c r="K64" i="1"/>
  <c r="EY102" i="3"/>
  <c r="R102" i="1"/>
  <c r="EY125" i="3"/>
  <c r="R125" i="1"/>
  <c r="EU174" i="3"/>
  <c r="N174" i="1"/>
  <c r="M174" i="1" s="1"/>
  <c r="DN135" i="3"/>
  <c r="EY57" i="3"/>
  <c r="R57" i="1"/>
  <c r="Q57" i="1" s="1"/>
  <c r="EX58" i="3"/>
  <c r="N58" i="1"/>
  <c r="P58" i="1" s="1"/>
  <c r="DP172" i="3"/>
  <c r="K172" i="1"/>
  <c r="L172" i="1" s="1"/>
  <c r="EX203" i="3"/>
  <c r="N203" i="1"/>
  <c r="P203" i="1" s="1"/>
  <c r="DP207" i="3"/>
  <c r="K207" i="1"/>
  <c r="EU19" i="3"/>
  <c r="N19" i="1"/>
  <c r="M19" i="1" s="1"/>
  <c r="DO207" i="3"/>
  <c r="DY159" i="3"/>
  <c r="EU172" i="3"/>
  <c r="N172" i="1"/>
  <c r="M172" i="1" s="1"/>
  <c r="EU190" i="3"/>
  <c r="N190" i="1"/>
  <c r="EY41" i="3"/>
  <c r="R41" i="1"/>
  <c r="DJ24" i="3"/>
  <c r="CQ143" i="3"/>
  <c r="EY30" i="3"/>
  <c r="R30" i="1"/>
  <c r="Q30" i="1" s="1"/>
  <c r="EU44" i="3"/>
  <c r="N44" i="1"/>
  <c r="CY131" i="3"/>
  <c r="EY28" i="3"/>
  <c r="R28" i="1"/>
  <c r="CW115" i="3"/>
  <c r="EU74" i="3"/>
  <c r="N74" i="1"/>
  <c r="CY19" i="3"/>
  <c r="EU45" i="3"/>
  <c r="N45" i="1"/>
  <c r="M45" i="1" s="1"/>
  <c r="EY76" i="3"/>
  <c r="R76" i="1"/>
  <c r="Q76" i="1" s="1"/>
  <c r="EU62" i="3"/>
  <c r="N62" i="1"/>
  <c r="DN198" i="3"/>
  <c r="K198" i="1"/>
  <c r="EU30" i="3"/>
  <c r="N30" i="1"/>
  <c r="M30" i="1" s="1"/>
  <c r="EY44" i="3"/>
  <c r="R44" i="1"/>
  <c r="EY97" i="3"/>
  <c r="R97" i="1"/>
  <c r="Q97" i="1" s="1"/>
  <c r="K153" i="1"/>
  <c r="L153" i="1" s="1"/>
  <c r="CW58" i="3"/>
  <c r="DX122" i="3"/>
  <c r="CY29" i="3"/>
  <c r="M246" i="1"/>
  <c r="N246" i="1"/>
  <c r="DM135" i="3"/>
  <c r="CY163" i="3"/>
  <c r="DY190" i="3"/>
  <c r="DY231" i="3"/>
  <c r="EY124" i="3"/>
  <c r="R124" i="1"/>
  <c r="Q124" i="1" s="1"/>
  <c r="CY54" i="3"/>
  <c r="DY169" i="3"/>
  <c r="K169" i="1"/>
  <c r="L169" i="1" s="1"/>
  <c r="DN200" i="3"/>
  <c r="K200" i="1"/>
  <c r="DN130" i="3"/>
  <c r="K130" i="1"/>
  <c r="EY151" i="3"/>
  <c r="R151" i="1"/>
  <c r="K140" i="1"/>
  <c r="EU84" i="3"/>
  <c r="N84" i="1"/>
  <c r="DZ232" i="3"/>
  <c r="EY199" i="3"/>
  <c r="R199" i="1"/>
  <c r="EU144" i="3"/>
  <c r="N144" i="1"/>
  <c r="M144" i="1" s="1"/>
  <c r="K37" i="1"/>
  <c r="L37" i="1" s="1"/>
  <c r="BU148" i="3"/>
  <c r="K148" i="1"/>
  <c r="EU187" i="3"/>
  <c r="N187" i="1"/>
  <c r="EX46" i="3"/>
  <c r="N46" i="1"/>
  <c r="P46" i="1" s="1"/>
  <c r="EX52" i="3"/>
  <c r="N52" i="1"/>
  <c r="K213" i="1"/>
  <c r="DL64" i="3"/>
  <c r="DY217" i="3"/>
  <c r="K217" i="1"/>
  <c r="L217" i="1" s="1"/>
  <c r="EY24" i="3"/>
  <c r="R24" i="1"/>
  <c r="DO184" i="3"/>
  <c r="K184" i="1"/>
  <c r="CQ71" i="3"/>
  <c r="K71" i="1"/>
  <c r="L71" i="1" s="1"/>
  <c r="DW64" i="3"/>
  <c r="BE21" i="9"/>
  <c r="K201" i="1"/>
  <c r="L201" i="1" s="1"/>
  <c r="DW149" i="3"/>
  <c r="K149" i="1"/>
  <c r="EY198" i="3"/>
  <c r="R198" i="1"/>
  <c r="DN234" i="3"/>
  <c r="CO234" i="3"/>
  <c r="CP234" i="3"/>
  <c r="BU71" i="3"/>
  <c r="DY32" i="3"/>
  <c r="DK235" i="3"/>
  <c r="CV53" i="3"/>
  <c r="B53" i="3" s="1"/>
  <c r="DL99" i="3"/>
  <c r="DL106" i="3"/>
  <c r="CR67" i="3"/>
  <c r="DM67" i="3"/>
  <c r="DM184" i="3"/>
  <c r="CQ184" i="3"/>
  <c r="DN184" i="3"/>
  <c r="DP234" i="3"/>
  <c r="DO71" i="3"/>
  <c r="DY35" i="3"/>
  <c r="BT148" i="3"/>
  <c r="CY50" i="3"/>
  <c r="DO67" i="3"/>
  <c r="CY108" i="3"/>
  <c r="CP17" i="3"/>
  <c r="DN190" i="3"/>
  <c r="DO190" i="3"/>
  <c r="DN67" i="3"/>
  <c r="CR234" i="3"/>
  <c r="CY66" i="3"/>
  <c r="BU67" i="3"/>
  <c r="DL230" i="3"/>
  <c r="DL45" i="3"/>
  <c r="DJ114" i="3"/>
  <c r="BT67" i="3"/>
  <c r="CY114" i="3"/>
  <c r="CR205" i="3"/>
  <c r="DL236" i="3"/>
  <c r="CY68" i="3"/>
  <c r="DP170" i="3"/>
  <c r="DM172" i="3"/>
  <c r="DP67" i="3"/>
  <c r="DL184" i="3"/>
  <c r="CP67" i="3"/>
  <c r="DY187" i="3"/>
  <c r="BT71" i="3"/>
  <c r="DM71" i="3"/>
  <c r="DN71" i="3"/>
  <c r="DP71" i="3"/>
  <c r="CY86" i="3"/>
  <c r="DP21" i="3"/>
  <c r="DL189" i="3"/>
  <c r="DN236" i="3"/>
  <c r="DN172" i="3"/>
  <c r="DN127" i="3"/>
  <c r="DK189" i="3"/>
  <c r="DL175" i="3"/>
  <c r="DO232" i="3"/>
  <c r="DW232" i="3"/>
  <c r="DN232" i="3"/>
  <c r="DL68" i="3"/>
  <c r="DM45" i="3"/>
  <c r="DL170" i="3"/>
  <c r="DJ217" i="3"/>
  <c r="DL224" i="3"/>
  <c r="DM234" i="3"/>
  <c r="DZ194" i="3"/>
  <c r="DM194" i="3"/>
  <c r="DY194" i="3"/>
  <c r="DX194" i="3"/>
  <c r="DN194" i="3"/>
  <c r="DW194" i="3"/>
  <c r="DW33" i="3"/>
  <c r="CQ33" i="3"/>
  <c r="DP33" i="3"/>
  <c r="CY24" i="3"/>
  <c r="DO19" i="3"/>
  <c r="DL177" i="3"/>
  <c r="CO205" i="3"/>
  <c r="DY19" i="3"/>
  <c r="DJ194" i="3"/>
  <c r="DI194" i="3"/>
  <c r="DI150" i="3"/>
  <c r="DJ150" i="3"/>
  <c r="DO31" i="3"/>
  <c r="DZ31" i="3"/>
  <c r="DM31" i="3"/>
  <c r="DX31" i="3"/>
  <c r="BU92" i="3"/>
  <c r="CY188" i="3"/>
  <c r="DK108" i="3"/>
  <c r="CQ205" i="3"/>
  <c r="DX19" i="3"/>
  <c r="DL188" i="3"/>
  <c r="DL85" i="3"/>
  <c r="DK179" i="3"/>
  <c r="CV215" i="3"/>
  <c r="B215" i="3" s="1"/>
  <c r="CY87" i="3"/>
  <c r="DO172" i="3"/>
  <c r="CV220" i="3"/>
  <c r="B220" i="3" s="1"/>
  <c r="DN152" i="3"/>
  <c r="DZ19" i="3"/>
  <c r="EX162" i="3"/>
  <c r="EU162" i="3"/>
  <c r="CO106" i="3"/>
  <c r="CQ106" i="3"/>
  <c r="DP106" i="3"/>
  <c r="CP106" i="3"/>
  <c r="DO106" i="3"/>
  <c r="DN106" i="3"/>
  <c r="DM106" i="3"/>
  <c r="CR106" i="3"/>
  <c r="DL108" i="3"/>
  <c r="DK120" i="3"/>
  <c r="DL88" i="3"/>
  <c r="DL104" i="3"/>
  <c r="DI161" i="3"/>
  <c r="DL205" i="3"/>
  <c r="DL91" i="3"/>
  <c r="CY173" i="3"/>
  <c r="CY216" i="3"/>
  <c r="DW19" i="3"/>
  <c r="CY123" i="3"/>
  <c r="DL93" i="3"/>
  <c r="DK96" i="3"/>
  <c r="EU196" i="3"/>
  <c r="EX196" i="3"/>
  <c r="DL162" i="3"/>
  <c r="DI43" i="3"/>
  <c r="DJ43" i="3"/>
  <c r="CY213" i="3"/>
  <c r="DM205" i="3"/>
  <c r="CP205" i="3"/>
  <c r="CX81" i="3"/>
  <c r="DM19" i="3"/>
  <c r="DL212" i="3"/>
  <c r="DZ172" i="3"/>
  <c r="CV23" i="3"/>
  <c r="B23" i="3" s="1"/>
  <c r="DW172" i="3"/>
  <c r="DO205" i="3"/>
  <c r="CY161" i="3"/>
  <c r="CY63" i="3"/>
  <c r="DN183" i="3"/>
  <c r="DL19" i="3"/>
  <c r="DL65" i="3"/>
  <c r="DY126" i="3"/>
  <c r="DM126" i="3"/>
  <c r="DO126" i="3"/>
  <c r="DX126" i="3"/>
  <c r="DN126" i="3"/>
  <c r="DW126" i="3"/>
  <c r="DP126" i="3"/>
  <c r="CY201" i="3"/>
  <c r="CY217" i="3"/>
  <c r="DK90" i="3"/>
  <c r="DL38" i="3"/>
  <c r="DY172" i="3"/>
  <c r="DL24" i="3"/>
  <c r="DN170" i="3"/>
  <c r="DL31" i="3"/>
  <c r="DL79" i="3"/>
  <c r="DY163" i="3"/>
  <c r="DY200" i="3"/>
  <c r="CY203" i="3"/>
  <c r="DX172" i="3"/>
  <c r="DL30" i="3"/>
  <c r="DL197" i="3"/>
  <c r="DL143" i="3"/>
  <c r="CW46" i="3"/>
  <c r="CY150" i="3"/>
  <c r="DP19" i="3"/>
  <c r="DK86" i="3"/>
  <c r="DN31" i="3"/>
  <c r="DL116" i="3"/>
  <c r="DP205" i="3"/>
  <c r="DK141" i="3"/>
  <c r="DM162" i="3"/>
  <c r="DP162" i="3"/>
  <c r="DO162" i="3"/>
  <c r="CR162" i="3"/>
  <c r="CQ162" i="3"/>
  <c r="DX162" i="3"/>
  <c r="DW162" i="3"/>
  <c r="DN162" i="3"/>
  <c r="CO45" i="3"/>
  <c r="DN45" i="3"/>
  <c r="DP45" i="3"/>
  <c r="DO45" i="3"/>
  <c r="CQ45" i="3"/>
  <c r="DI178" i="3"/>
  <c r="DJ178" i="3"/>
  <c r="CV109" i="3"/>
  <c r="B109" i="3" s="1"/>
  <c r="DJ187" i="3"/>
  <c r="DI187" i="3"/>
  <c r="DL112" i="3"/>
  <c r="DK112" i="3"/>
  <c r="DX79" i="3"/>
  <c r="DY79" i="3"/>
  <c r="DO79" i="3"/>
  <c r="DN79" i="3"/>
  <c r="DM79" i="3"/>
  <c r="DW79" i="3"/>
  <c r="DP79" i="3"/>
  <c r="DZ79" i="3"/>
  <c r="DX179" i="3"/>
  <c r="DW179" i="3"/>
  <c r="DM179" i="3"/>
  <c r="CR179" i="3"/>
  <c r="DO179" i="3"/>
  <c r="DP179" i="3"/>
  <c r="CQ179" i="3"/>
  <c r="DN179" i="3"/>
  <c r="DW226" i="3"/>
  <c r="DN226" i="3"/>
  <c r="DZ226" i="3"/>
  <c r="DX226" i="3"/>
  <c r="DO226" i="3"/>
  <c r="DY226" i="3"/>
  <c r="DM226" i="3"/>
  <c r="DZ91" i="3"/>
  <c r="DX91" i="3"/>
  <c r="DW91" i="3"/>
  <c r="DM91" i="3"/>
  <c r="DO91" i="3"/>
  <c r="DX40" i="3"/>
  <c r="DY40" i="3"/>
  <c r="DN40" i="3"/>
  <c r="DW40" i="3"/>
  <c r="DZ40" i="3"/>
  <c r="DO40" i="3"/>
  <c r="DM40" i="3"/>
  <c r="CY155" i="3"/>
  <c r="DL44" i="3"/>
  <c r="DK216" i="3"/>
  <c r="CY233" i="3"/>
  <c r="DY136" i="3"/>
  <c r="CR161" i="3"/>
  <c r="CQ161" i="3"/>
  <c r="DN161" i="3"/>
  <c r="DW161" i="3"/>
  <c r="DX161" i="3"/>
  <c r="DM161" i="3"/>
  <c r="DP161" i="3"/>
  <c r="DO161" i="3"/>
  <c r="EU155" i="3"/>
  <c r="EX155" i="3"/>
  <c r="DO175" i="3"/>
  <c r="DZ175" i="3"/>
  <c r="DW175" i="3"/>
  <c r="DY175" i="3"/>
  <c r="DM175" i="3"/>
  <c r="DX175" i="3"/>
  <c r="DM187" i="3"/>
  <c r="DO187" i="3"/>
  <c r="DX187" i="3"/>
  <c r="DZ187" i="3"/>
  <c r="DW187" i="3"/>
  <c r="BQ167" i="3"/>
  <c r="DL35" i="3"/>
  <c r="DI108" i="3"/>
  <c r="DJ108" i="3"/>
  <c r="DO32" i="3"/>
  <c r="DW32" i="3"/>
  <c r="DZ32" i="3"/>
  <c r="DX32" i="3"/>
  <c r="DM32" i="3"/>
  <c r="DL161" i="3"/>
  <c r="CR138" i="3"/>
  <c r="DX138" i="3"/>
  <c r="DW138" i="3"/>
  <c r="CQ138" i="3"/>
  <c r="DN138" i="3"/>
  <c r="DP138" i="3"/>
  <c r="DO138" i="3"/>
  <c r="DM138" i="3"/>
  <c r="CY124" i="3"/>
  <c r="DP188" i="3"/>
  <c r="DK131" i="3"/>
  <c r="DX87" i="3"/>
  <c r="DZ87" i="3"/>
  <c r="DO87" i="3"/>
  <c r="DW87" i="3"/>
  <c r="DM87" i="3"/>
  <c r="DY87" i="3"/>
  <c r="DN87" i="3"/>
  <c r="DN117" i="3"/>
  <c r="CP117" i="3"/>
  <c r="DO117" i="3"/>
  <c r="CQ117" i="3"/>
  <c r="DP117" i="3"/>
  <c r="CO117" i="3"/>
  <c r="CR117" i="3"/>
  <c r="DM117" i="3"/>
  <c r="EX54" i="3"/>
  <c r="EU54" i="3"/>
  <c r="DL87" i="3"/>
  <c r="DI33" i="3"/>
  <c r="DJ33" i="3"/>
  <c r="CW191" i="3"/>
  <c r="CV191" i="3"/>
  <c r="B191" i="3" s="1"/>
  <c r="DJ219" i="3"/>
  <c r="DI219" i="3"/>
  <c r="DX14" i="3"/>
  <c r="DO14" i="3"/>
  <c r="DW14" i="3"/>
  <c r="DP14" i="3"/>
  <c r="DN14" i="3"/>
  <c r="CQ14" i="3"/>
  <c r="DM14" i="3"/>
  <c r="CR14" i="3"/>
  <c r="DO218" i="3"/>
  <c r="DY218" i="3"/>
  <c r="DZ218" i="3"/>
  <c r="DW218" i="3"/>
  <c r="DX218" i="3"/>
  <c r="DN218" i="3"/>
  <c r="DM218" i="3"/>
  <c r="DL117" i="3"/>
  <c r="DP91" i="3"/>
  <c r="DK232" i="3"/>
  <c r="CV52" i="3"/>
  <c r="B52" i="3" s="1"/>
  <c r="CW52" i="3"/>
  <c r="DL41" i="3"/>
  <c r="DK41" i="3"/>
  <c r="DI201" i="3"/>
  <c r="DJ201" i="3"/>
  <c r="BR86" i="3"/>
  <c r="DY158" i="3"/>
  <c r="DZ159" i="3"/>
  <c r="DW159" i="3"/>
  <c r="DM159" i="3"/>
  <c r="DX159" i="3"/>
  <c r="DO159" i="3"/>
  <c r="DJ141" i="3"/>
  <c r="DI141" i="3"/>
  <c r="DJ188" i="3"/>
  <c r="DI188" i="3"/>
  <c r="DP40" i="3"/>
  <c r="DP175" i="3"/>
  <c r="DL152" i="3"/>
  <c r="CY16" i="3"/>
  <c r="BQ92" i="3"/>
  <c r="CY22" i="3"/>
  <c r="DN94" i="3"/>
  <c r="BQ131" i="3"/>
  <c r="DK183" i="3"/>
  <c r="DL187" i="3"/>
  <c r="CY212" i="3"/>
  <c r="CY147" i="3"/>
  <c r="CY90" i="3"/>
  <c r="CY118" i="3"/>
  <c r="DL183" i="3"/>
  <c r="CY228" i="3"/>
  <c r="DY198" i="3"/>
  <c r="DI166" i="3"/>
  <c r="DJ166" i="3"/>
  <c r="CY166" i="3"/>
  <c r="DM65" i="3"/>
  <c r="DO65" i="3"/>
  <c r="CR65" i="3"/>
  <c r="CQ65" i="3"/>
  <c r="DN65" i="3"/>
  <c r="CP65" i="3"/>
  <c r="DP65" i="3"/>
  <c r="CO65" i="3"/>
  <c r="DP187" i="3"/>
  <c r="DL97" i="3"/>
  <c r="DK42" i="3"/>
  <c r="DY211" i="3"/>
  <c r="CY36" i="3"/>
  <c r="CQ142" i="3"/>
  <c r="BR131" i="3"/>
  <c r="DL42" i="3"/>
  <c r="AK5" i="3"/>
  <c r="AK3" i="3" s="1"/>
  <c r="DY91" i="3"/>
  <c r="DL22" i="3"/>
  <c r="DL228" i="3"/>
  <c r="CY97" i="3"/>
  <c r="DI50" i="3"/>
  <c r="DJ50" i="3"/>
  <c r="DL234" i="3"/>
  <c r="DZ197" i="3"/>
  <c r="DX197" i="3"/>
  <c r="DM197" i="3"/>
  <c r="DN197" i="3"/>
  <c r="DY197" i="3"/>
  <c r="DO197" i="3"/>
  <c r="DW197" i="3"/>
  <c r="CY187" i="3"/>
  <c r="DX41" i="3"/>
  <c r="DZ41" i="3"/>
  <c r="DM41" i="3"/>
  <c r="DW41" i="3"/>
  <c r="DO41" i="3"/>
  <c r="DY41" i="3"/>
  <c r="DN41" i="3"/>
  <c r="DY130" i="3"/>
  <c r="CY34" i="3"/>
  <c r="DI18" i="3"/>
  <c r="DJ18" i="3"/>
  <c r="DJ100" i="3"/>
  <c r="DI100" i="3"/>
  <c r="DO165" i="3"/>
  <c r="DZ165" i="3"/>
  <c r="DX165" i="3"/>
  <c r="DM165" i="3"/>
  <c r="DY165" i="3"/>
  <c r="DN165" i="3"/>
  <c r="DW165" i="3"/>
  <c r="CY33" i="3"/>
  <c r="DJ138" i="3"/>
  <c r="DI138" i="3"/>
  <c r="CY141" i="3"/>
  <c r="CY136" i="3"/>
  <c r="DL118" i="3"/>
  <c r="CY61" i="3"/>
  <c r="DJ85" i="3"/>
  <c r="DI85" i="3"/>
  <c r="DP159" i="3"/>
  <c r="DP226" i="3"/>
  <c r="DO141" i="3"/>
  <c r="CR141" i="3"/>
  <c r="DN141" i="3"/>
  <c r="CQ141" i="3"/>
  <c r="CP141" i="3"/>
  <c r="CO141" i="3"/>
  <c r="DM141" i="3"/>
  <c r="DP141" i="3"/>
  <c r="DL72" i="3"/>
  <c r="DY85" i="3"/>
  <c r="DX112" i="3"/>
  <c r="DN112" i="3"/>
  <c r="DW112" i="3"/>
  <c r="DP112" i="3"/>
  <c r="CR112" i="3"/>
  <c r="DM112" i="3"/>
  <c r="CQ112" i="3"/>
  <c r="DO112" i="3"/>
  <c r="CY85" i="3"/>
  <c r="DI123" i="3"/>
  <c r="DJ123" i="3"/>
  <c r="DP213" i="3"/>
  <c r="DN213" i="3"/>
  <c r="DM213" i="3"/>
  <c r="DX213" i="3"/>
  <c r="DO213" i="3"/>
  <c r="CR213" i="3"/>
  <c r="CQ213" i="3"/>
  <c r="DW213" i="3"/>
  <c r="DL127" i="3"/>
  <c r="DN16" i="3"/>
  <c r="CY180" i="3"/>
  <c r="DP156" i="3"/>
  <c r="DM156" i="3"/>
  <c r="CP156" i="3"/>
  <c r="CO156" i="3"/>
  <c r="BU156" i="3"/>
  <c r="CQ156" i="3"/>
  <c r="DO156" i="3"/>
  <c r="DN156" i="3"/>
  <c r="CR156" i="3"/>
  <c r="DP87" i="3"/>
  <c r="DN175" i="3"/>
  <c r="DO99" i="3"/>
  <c r="DW99" i="3"/>
  <c r="DM99" i="3"/>
  <c r="DZ99" i="3"/>
  <c r="DX99" i="3"/>
  <c r="DP197" i="3"/>
  <c r="M8" i="1"/>
  <c r="M9" i="1" s="1"/>
  <c r="K244" i="1"/>
  <c r="CY116" i="3"/>
  <c r="DJ116" i="3"/>
  <c r="DI116" i="3"/>
  <c r="DI62" i="3"/>
  <c r="DJ62" i="3"/>
  <c r="DI124" i="3"/>
  <c r="DJ124" i="3"/>
  <c r="DJ182" i="3"/>
  <c r="DI182" i="3"/>
  <c r="DJ177" i="3"/>
  <c r="DI177" i="3"/>
  <c r="DI200" i="3"/>
  <c r="DJ200" i="3"/>
  <c r="CY120" i="3"/>
  <c r="CO30" i="3"/>
  <c r="CQ30" i="3"/>
  <c r="CP30" i="3"/>
  <c r="DM30" i="3"/>
  <c r="CR30" i="3"/>
  <c r="DN30" i="3"/>
  <c r="DO30" i="3"/>
  <c r="DM76" i="3"/>
  <c r="DZ76" i="3"/>
  <c r="DX76" i="3"/>
  <c r="DW76" i="3"/>
  <c r="DO76" i="3"/>
  <c r="DN76" i="3"/>
  <c r="DY76" i="3"/>
  <c r="DP76" i="3"/>
  <c r="DO153" i="3"/>
  <c r="DN153" i="3"/>
  <c r="DZ153" i="3"/>
  <c r="DY153" i="3"/>
  <c r="DP153" i="3"/>
  <c r="DX153" i="3"/>
  <c r="DW153" i="3"/>
  <c r="DM153" i="3"/>
  <c r="DP30" i="3"/>
  <c r="DN90" i="3"/>
  <c r="DM90" i="3"/>
  <c r="CR90" i="3"/>
  <c r="DO90" i="3"/>
  <c r="CO90" i="3"/>
  <c r="CP90" i="3"/>
  <c r="CQ90" i="3"/>
  <c r="DZ81" i="3"/>
  <c r="DY81" i="3"/>
  <c r="DX81" i="3"/>
  <c r="DO81" i="3"/>
  <c r="DN81" i="3"/>
  <c r="DM81" i="3"/>
  <c r="DW81" i="3"/>
  <c r="DJ56" i="3"/>
  <c r="DI56" i="3"/>
  <c r="DP42" i="3"/>
  <c r="CR42" i="3"/>
  <c r="DO42" i="3"/>
  <c r="CQ42" i="3"/>
  <c r="DN42" i="3"/>
  <c r="CP42" i="3"/>
  <c r="CO42" i="3"/>
  <c r="DM42" i="3"/>
  <c r="DL61" i="3"/>
  <c r="DJ137" i="3"/>
  <c r="DI137" i="3"/>
  <c r="EU163" i="3"/>
  <c r="EX163" i="3"/>
  <c r="DI211" i="3"/>
  <c r="DJ211" i="3"/>
  <c r="DP169" i="3"/>
  <c r="CY137" i="3"/>
  <c r="DZ188" i="3"/>
  <c r="DX188" i="3"/>
  <c r="DM188" i="3"/>
  <c r="DW188" i="3"/>
  <c r="DO188" i="3"/>
  <c r="DI84" i="3"/>
  <c r="DJ84" i="3"/>
  <c r="DO224" i="3"/>
  <c r="DX224" i="3"/>
  <c r="DW224" i="3"/>
  <c r="DZ224" i="3"/>
  <c r="DP224" i="3"/>
  <c r="DM224" i="3"/>
  <c r="DL130" i="3"/>
  <c r="CY76" i="3"/>
  <c r="DY88" i="3"/>
  <c r="DX88" i="3"/>
  <c r="DW88" i="3"/>
  <c r="DZ88" i="3"/>
  <c r="DP88" i="3"/>
  <c r="DO88" i="3"/>
  <c r="DM88" i="3"/>
  <c r="DN88" i="3"/>
  <c r="DI130" i="3"/>
  <c r="DJ130" i="3"/>
  <c r="DY224" i="3"/>
  <c r="DL198" i="3"/>
  <c r="DN85" i="3"/>
  <c r="DI156" i="3"/>
  <c r="DJ156" i="3"/>
  <c r="DO82" i="3"/>
  <c r="DZ82" i="3"/>
  <c r="DX82" i="3"/>
  <c r="DW82" i="3"/>
  <c r="DP82" i="3"/>
  <c r="DM82" i="3"/>
  <c r="DK171" i="3"/>
  <c r="DL171" i="3"/>
  <c r="DI171" i="3"/>
  <c r="DJ171" i="3"/>
  <c r="DX236" i="3"/>
  <c r="DP236" i="3"/>
  <c r="DO236" i="3"/>
  <c r="DZ236" i="3"/>
  <c r="DM236" i="3"/>
  <c r="DW236" i="3"/>
  <c r="DW144" i="3"/>
  <c r="DZ144" i="3"/>
  <c r="DX144" i="3"/>
  <c r="DP144" i="3"/>
  <c r="DM144" i="3"/>
  <c r="DO144" i="3"/>
  <c r="DI142" i="3"/>
  <c r="DJ142" i="3"/>
  <c r="DL163" i="3"/>
  <c r="DI170" i="3"/>
  <c r="DJ170" i="3"/>
  <c r="EX120" i="3"/>
  <c r="EU120" i="3"/>
  <c r="DI44" i="3"/>
  <c r="DJ44" i="3"/>
  <c r="DL144" i="3"/>
  <c r="DK124" i="3"/>
  <c r="DN118" i="3"/>
  <c r="DL56" i="3"/>
  <c r="CY28" i="3"/>
  <c r="DW104" i="3"/>
  <c r="DP104" i="3"/>
  <c r="DO104" i="3"/>
  <c r="DZ104" i="3"/>
  <c r="DX104" i="3"/>
  <c r="DM104" i="3"/>
  <c r="DN188" i="3"/>
  <c r="DJ97" i="3"/>
  <c r="DI97" i="3"/>
  <c r="DP86" i="3"/>
  <c r="DM86" i="3"/>
  <c r="CR86" i="3"/>
  <c r="CP86" i="3"/>
  <c r="CO86" i="3"/>
  <c r="DO86" i="3"/>
  <c r="DN86" i="3"/>
  <c r="CQ86" i="3"/>
  <c r="DL136" i="3"/>
  <c r="DI86" i="3"/>
  <c r="DJ86" i="3"/>
  <c r="DK182" i="3"/>
  <c r="DN199" i="3"/>
  <c r="DM199" i="3"/>
  <c r="DW199" i="3"/>
  <c r="DO199" i="3"/>
  <c r="DZ199" i="3"/>
  <c r="DY199" i="3"/>
  <c r="DX199" i="3"/>
  <c r="DP199" i="3"/>
  <c r="DZ230" i="3"/>
  <c r="DX230" i="3"/>
  <c r="DP230" i="3"/>
  <c r="DO230" i="3"/>
  <c r="DM230" i="3"/>
  <c r="DW230" i="3"/>
  <c r="DJ38" i="3"/>
  <c r="DI38" i="3"/>
  <c r="DX48" i="3"/>
  <c r="DZ48" i="3"/>
  <c r="DW48" i="3"/>
  <c r="DO48" i="3"/>
  <c r="DM48" i="3"/>
  <c r="ET13" i="3"/>
  <c r="DI198" i="3"/>
  <c r="DJ198" i="3"/>
  <c r="DL94" i="3"/>
  <c r="CY95" i="3"/>
  <c r="DI35" i="3"/>
  <c r="DJ35" i="3"/>
  <c r="DP120" i="3"/>
  <c r="DO120" i="3"/>
  <c r="CP120" i="3"/>
  <c r="CQ120" i="3"/>
  <c r="DN120" i="3"/>
  <c r="DM120" i="3"/>
  <c r="CO120" i="3"/>
  <c r="CR120" i="3"/>
  <c r="DY233" i="3"/>
  <c r="CX127" i="3"/>
  <c r="CX87" i="3"/>
  <c r="CX155" i="3"/>
  <c r="CX152" i="3"/>
  <c r="CX217" i="3"/>
  <c r="DK185" i="3"/>
  <c r="DL185" i="3"/>
  <c r="DO61" i="3"/>
  <c r="DX61" i="3"/>
  <c r="DZ61" i="3"/>
  <c r="DY61" i="3"/>
  <c r="DW61" i="3"/>
  <c r="DP61" i="3"/>
  <c r="DM61" i="3"/>
  <c r="DN61" i="3"/>
  <c r="DJ48" i="3"/>
  <c r="DI48" i="3"/>
  <c r="DZ63" i="3"/>
  <c r="DM63" i="3"/>
  <c r="DY63" i="3"/>
  <c r="DX63" i="3"/>
  <c r="DW63" i="3"/>
  <c r="DN63" i="3"/>
  <c r="DP63" i="3"/>
  <c r="DO63" i="3"/>
  <c r="DL151" i="3"/>
  <c r="DN132" i="3"/>
  <c r="CR132" i="3"/>
  <c r="CQ132" i="3"/>
  <c r="CP132" i="3"/>
  <c r="CO132" i="3"/>
  <c r="DP132" i="3"/>
  <c r="DO132" i="3"/>
  <c r="DM132" i="3"/>
  <c r="DL27" i="3"/>
  <c r="CY177" i="3"/>
  <c r="DM147" i="3"/>
  <c r="DZ147" i="3"/>
  <c r="DY147" i="3"/>
  <c r="DX147" i="3"/>
  <c r="DW147" i="3"/>
  <c r="DP147" i="3"/>
  <c r="DN147" i="3"/>
  <c r="DO147" i="3"/>
  <c r="CY113" i="3"/>
  <c r="DI113" i="3"/>
  <c r="DJ113" i="3"/>
  <c r="DJ82" i="3"/>
  <c r="DI82" i="3"/>
  <c r="DL169" i="3"/>
  <c r="DI127" i="3"/>
  <c r="DJ127" i="3"/>
  <c r="DK137" i="3"/>
  <c r="DL200" i="3"/>
  <c r="DX21" i="3"/>
  <c r="DZ21" i="3"/>
  <c r="DM21" i="3"/>
  <c r="DW21" i="3"/>
  <c r="DO21" i="3"/>
  <c r="CY84" i="3"/>
  <c r="DL235" i="3"/>
  <c r="DX94" i="3"/>
  <c r="DW94" i="3"/>
  <c r="DP94" i="3"/>
  <c r="DO94" i="3"/>
  <c r="DZ94" i="3"/>
  <c r="DM94" i="3"/>
  <c r="DI155" i="3"/>
  <c r="DJ155" i="3"/>
  <c r="DZ130" i="3"/>
  <c r="DX130" i="3"/>
  <c r="DW130" i="3"/>
  <c r="DO130" i="3"/>
  <c r="DM130" i="3"/>
  <c r="DP130" i="3"/>
  <c r="DY144" i="3"/>
  <c r="DL16" i="3"/>
  <c r="CY148" i="3"/>
  <c r="DJ148" i="3"/>
  <c r="DI148" i="3"/>
  <c r="DL146" i="3"/>
  <c r="DL92" i="3"/>
  <c r="BQ148" i="3"/>
  <c r="DN21" i="3"/>
  <c r="DZ170" i="3"/>
  <c r="DX170" i="3"/>
  <c r="DO170" i="3"/>
  <c r="DW170" i="3"/>
  <c r="DM170" i="3"/>
  <c r="DM212" i="3"/>
  <c r="DO212" i="3"/>
  <c r="DN212" i="3"/>
  <c r="DX212" i="3"/>
  <c r="DW212" i="3"/>
  <c r="DP212" i="3"/>
  <c r="DY212" i="3"/>
  <c r="DZ212" i="3"/>
  <c r="DK13" i="3"/>
  <c r="DK28" i="3"/>
  <c r="DZ216" i="3"/>
  <c r="DX216" i="3"/>
  <c r="DW216" i="3"/>
  <c r="DN216" i="3"/>
  <c r="DM216" i="3"/>
  <c r="DO216" i="3"/>
  <c r="DY216" i="3"/>
  <c r="DL133" i="3"/>
  <c r="DK133" i="3"/>
  <c r="DJ144" i="3"/>
  <c r="DI144" i="3"/>
  <c r="DM13" i="3"/>
  <c r="DN13" i="3"/>
  <c r="DX13" i="3"/>
  <c r="CR13" i="3"/>
  <c r="DW13" i="3"/>
  <c r="CQ13" i="3"/>
  <c r="DO13" i="3"/>
  <c r="DP13" i="3"/>
  <c r="DM34" i="3"/>
  <c r="DW34" i="3"/>
  <c r="DZ34" i="3"/>
  <c r="DP34" i="3"/>
  <c r="DX34" i="3"/>
  <c r="DY34" i="3"/>
  <c r="DN34" i="3"/>
  <c r="DO34" i="3"/>
  <c r="DO198" i="3"/>
  <c r="DZ198" i="3"/>
  <c r="DX198" i="3"/>
  <c r="DW198" i="3"/>
  <c r="DP198" i="3"/>
  <c r="DM198" i="3"/>
  <c r="DO22" i="3"/>
  <c r="DM22" i="3"/>
  <c r="DZ22" i="3"/>
  <c r="DX22" i="3"/>
  <c r="DP22" i="3"/>
  <c r="DW22" i="3"/>
  <c r="DY22" i="3"/>
  <c r="DN22" i="3"/>
  <c r="CP128" i="3"/>
  <c r="DO128" i="3"/>
  <c r="DN128" i="3"/>
  <c r="DM128" i="3"/>
  <c r="DP128" i="3"/>
  <c r="CQ128" i="3"/>
  <c r="CO128" i="3"/>
  <c r="CR128" i="3"/>
  <c r="DJ60" i="3"/>
  <c r="DI60" i="3"/>
  <c r="DJ34" i="3"/>
  <c r="DI34" i="3"/>
  <c r="DJ36" i="3"/>
  <c r="DI36" i="3"/>
  <c r="DJ228" i="3"/>
  <c r="DI228" i="3"/>
  <c r="CY13" i="3"/>
  <c r="DM97" i="3"/>
  <c r="CR97" i="3"/>
  <c r="DX97" i="3"/>
  <c r="DW97" i="3"/>
  <c r="CQ97" i="3"/>
  <c r="DN97" i="3"/>
  <c r="DO97" i="3"/>
  <c r="DP97" i="3"/>
  <c r="DK128" i="3"/>
  <c r="DJ67" i="3"/>
  <c r="DI67" i="3"/>
  <c r="DJ90" i="3"/>
  <c r="DI90" i="3"/>
  <c r="DZ133" i="3"/>
  <c r="DO133" i="3"/>
  <c r="DN133" i="3"/>
  <c r="DM133" i="3"/>
  <c r="DP133" i="3"/>
  <c r="DY133" i="3"/>
  <c r="DX133" i="3"/>
  <c r="DW133" i="3"/>
  <c r="CO49" i="3"/>
  <c r="DM49" i="3"/>
  <c r="CP49" i="3"/>
  <c r="DO49" i="3"/>
  <c r="DP49" i="3"/>
  <c r="CR49" i="3"/>
  <c r="CQ49" i="3"/>
  <c r="DN49" i="3"/>
  <c r="CY167" i="3"/>
  <c r="DJ128" i="3"/>
  <c r="DI128" i="3"/>
  <c r="DN144" i="3"/>
  <c r="DJ110" i="3"/>
  <c r="DI110" i="3"/>
  <c r="DL124" i="3"/>
  <c r="DY146" i="3"/>
  <c r="CY182" i="3"/>
  <c r="DM121" i="3"/>
  <c r="DN121" i="3"/>
  <c r="CR121" i="3"/>
  <c r="CQ121" i="3"/>
  <c r="DP121" i="3"/>
  <c r="DO121" i="3"/>
  <c r="CP121" i="3"/>
  <c r="CO121" i="3"/>
  <c r="DO75" i="3"/>
  <c r="DX75" i="3"/>
  <c r="DW75" i="3"/>
  <c r="DP75" i="3"/>
  <c r="DZ75" i="3"/>
  <c r="DM75" i="3"/>
  <c r="DL49" i="3"/>
  <c r="BR148" i="3"/>
  <c r="DN189" i="3"/>
  <c r="DM189" i="3"/>
  <c r="CP189" i="3"/>
  <c r="CO189" i="3"/>
  <c r="DP189" i="3"/>
  <c r="CQ189" i="3"/>
  <c r="CR189" i="3"/>
  <c r="DO189" i="3"/>
  <c r="DL182" i="3"/>
  <c r="DJ235" i="3"/>
  <c r="DI235" i="3"/>
  <c r="DI224" i="3"/>
  <c r="DJ224" i="3"/>
  <c r="DP206" i="3"/>
  <c r="DO206" i="3"/>
  <c r="DN206" i="3"/>
  <c r="CO206" i="3"/>
  <c r="CP206" i="3"/>
  <c r="DM206" i="3"/>
  <c r="CR206" i="3"/>
  <c r="CQ206" i="3"/>
  <c r="DJ140" i="3"/>
  <c r="CY140" i="3"/>
  <c r="DI140" i="3"/>
  <c r="CY235" i="3"/>
  <c r="DJ147" i="3"/>
  <c r="DI147" i="3"/>
  <c r="DK34" i="3"/>
  <c r="DL34" i="3"/>
  <c r="DL233" i="3"/>
  <c r="CY38" i="3"/>
  <c r="EX95" i="3"/>
  <c r="EU95" i="3"/>
  <c r="DI76" i="3"/>
  <c r="DJ76" i="3"/>
  <c r="DL140" i="3"/>
  <c r="DI158" i="3"/>
  <c r="DJ158" i="3"/>
  <c r="DL21" i="3"/>
  <c r="DL142" i="3"/>
  <c r="EU13" i="3"/>
  <c r="DZ72" i="3"/>
  <c r="DO72" i="3"/>
  <c r="DX72" i="3"/>
  <c r="DW72" i="3"/>
  <c r="DM72" i="3"/>
  <c r="DP72" i="3"/>
  <c r="DZ16" i="3"/>
  <c r="DO16" i="3"/>
  <c r="DX16" i="3"/>
  <c r="DW16" i="3"/>
  <c r="DP16" i="3"/>
  <c r="DM16" i="3"/>
  <c r="CX76" i="3"/>
  <c r="DJ152" i="3"/>
  <c r="DI152" i="3"/>
  <c r="DP90" i="3"/>
  <c r="DP85" i="3"/>
  <c r="DI72" i="3"/>
  <c r="CY72" i="3"/>
  <c r="DJ72" i="3"/>
  <c r="CY48" i="3"/>
  <c r="DZ35" i="3"/>
  <c r="DX35" i="3"/>
  <c r="DW35" i="3"/>
  <c r="DO35" i="3"/>
  <c r="DM35" i="3"/>
  <c r="DP35" i="3"/>
  <c r="DI189" i="3"/>
  <c r="DJ189" i="3"/>
  <c r="DL206" i="3"/>
  <c r="DZ177" i="3"/>
  <c r="DO177" i="3"/>
  <c r="DM177" i="3"/>
  <c r="DW177" i="3"/>
  <c r="DP177" i="3"/>
  <c r="DX177" i="3"/>
  <c r="DK121" i="3"/>
  <c r="DJ146" i="3"/>
  <c r="DI146" i="3"/>
  <c r="DI222" i="3"/>
  <c r="DK206" i="3"/>
  <c r="DP48" i="3"/>
  <c r="DI233" i="3"/>
  <c r="DJ233" i="3"/>
  <c r="DJ131" i="3"/>
  <c r="DI131" i="3"/>
  <c r="DL180" i="3"/>
  <c r="DX148" i="3"/>
  <c r="DW148" i="3"/>
  <c r="DN148" i="3"/>
  <c r="DM148" i="3"/>
  <c r="CR148" i="3"/>
  <c r="CQ148" i="3"/>
  <c r="DO148" i="3"/>
  <c r="DP148" i="3"/>
  <c r="DY48" i="3"/>
  <c r="DL95" i="3"/>
  <c r="CY200" i="3"/>
  <c r="DL83" i="3"/>
  <c r="DK83" i="3"/>
  <c r="DO118" i="3"/>
  <c r="DX118" i="3"/>
  <c r="DW118" i="3"/>
  <c r="DZ118" i="3"/>
  <c r="DP118" i="3"/>
  <c r="DM118" i="3"/>
  <c r="DJ105" i="3"/>
  <c r="DI105" i="3"/>
  <c r="DI119" i="3"/>
  <c r="DJ119" i="3"/>
  <c r="CY119" i="3"/>
  <c r="DJ169" i="3"/>
  <c r="DI169" i="3"/>
  <c r="EX26" i="3"/>
  <c r="EU26" i="3"/>
  <c r="DJ120" i="3"/>
  <c r="DI120" i="3"/>
  <c r="DL81" i="3"/>
  <c r="DK81" i="3"/>
  <c r="DJ167" i="3"/>
  <c r="DI167" i="3"/>
  <c r="DX169" i="3"/>
  <c r="DZ169" i="3"/>
  <c r="DO169" i="3"/>
  <c r="DM169" i="3"/>
  <c r="DW169" i="3"/>
  <c r="DZ36" i="3"/>
  <c r="DM36" i="3"/>
  <c r="DY36" i="3"/>
  <c r="DX36" i="3"/>
  <c r="DO36" i="3"/>
  <c r="DN36" i="3"/>
  <c r="DW36" i="3"/>
  <c r="DP36" i="3"/>
  <c r="DJ88" i="3"/>
  <c r="DI88" i="3"/>
  <c r="DI216" i="3"/>
  <c r="DJ216" i="3"/>
  <c r="DL13" i="3"/>
  <c r="DP68" i="3"/>
  <c r="DI199" i="3"/>
  <c r="DJ199" i="3"/>
  <c r="DJ13" i="3"/>
  <c r="DI13" i="3"/>
  <c r="DL63" i="3"/>
  <c r="CY88" i="3"/>
  <c r="DO28" i="3"/>
  <c r="DM28" i="3"/>
  <c r="DP28" i="3"/>
  <c r="DN28" i="3"/>
  <c r="CP28" i="3"/>
  <c r="CR28" i="3"/>
  <c r="CQ28" i="3"/>
  <c r="CO28" i="3"/>
  <c r="DJ75" i="3"/>
  <c r="DI75" i="3"/>
  <c r="DL82" i="3"/>
  <c r="EX113" i="3"/>
  <c r="EU113" i="3"/>
  <c r="DM180" i="3"/>
  <c r="DN180" i="3"/>
  <c r="CR180" i="3"/>
  <c r="DX180" i="3"/>
  <c r="DW180" i="3"/>
  <c r="DP180" i="3"/>
  <c r="CQ180" i="3"/>
  <c r="DO180" i="3"/>
  <c r="DI118" i="3"/>
  <c r="DJ118" i="3"/>
  <c r="EX212" i="3"/>
  <c r="EU212" i="3"/>
  <c r="DI195" i="3"/>
  <c r="DJ195" i="3"/>
  <c r="DJ27" i="3"/>
  <c r="DI27" i="3"/>
  <c r="DJ185" i="3"/>
  <c r="DI185" i="3"/>
  <c r="DJ203" i="3"/>
  <c r="DI203" i="3"/>
  <c r="CY144" i="3"/>
  <c r="DN169" i="3"/>
  <c r="CP167" i="3"/>
  <c r="DM167" i="3"/>
  <c r="DP167" i="3"/>
  <c r="DO167" i="3"/>
  <c r="CR167" i="3"/>
  <c r="CO167" i="3"/>
  <c r="CQ167" i="3"/>
  <c r="DN167" i="3"/>
  <c r="DI212" i="3"/>
  <c r="DJ212" i="3"/>
  <c r="DZ200" i="3"/>
  <c r="DX200" i="3"/>
  <c r="DO200" i="3"/>
  <c r="DM200" i="3"/>
  <c r="DW200" i="3"/>
  <c r="DP200" i="3"/>
  <c r="DK199" i="3"/>
  <c r="DL199" i="3"/>
  <c r="DJ136" i="3"/>
  <c r="DI136" i="3"/>
  <c r="DW66" i="3"/>
  <c r="DP66" i="3"/>
  <c r="DX66" i="3"/>
  <c r="CQ66" i="3"/>
  <c r="CR66" i="3"/>
  <c r="DN66" i="3"/>
  <c r="DM66" i="3"/>
  <c r="DO66" i="3"/>
  <c r="DK132" i="3"/>
  <c r="DJ222" i="3"/>
  <c r="DM140" i="3"/>
  <c r="CQ140" i="3"/>
  <c r="CP140" i="3"/>
  <c r="CO140" i="3"/>
  <c r="CR140" i="3"/>
  <c r="DO140" i="3"/>
  <c r="DN140" i="3"/>
  <c r="DP140" i="3"/>
  <c r="DL195" i="3"/>
  <c r="DI153" i="3"/>
  <c r="DJ153" i="3"/>
  <c r="CP183" i="3"/>
  <c r="DO183" i="3"/>
  <c r="CO183" i="3"/>
  <c r="DM183" i="3"/>
  <c r="CR183" i="3"/>
  <c r="DM214" i="3"/>
  <c r="CO214" i="3"/>
  <c r="DP214" i="3"/>
  <c r="DN214" i="3"/>
  <c r="CQ214" i="3"/>
  <c r="CR214" i="3"/>
  <c r="DO214" i="3"/>
  <c r="CP214" i="3"/>
  <c r="DK92" i="3"/>
  <c r="DK167" i="3"/>
  <c r="DL147" i="3"/>
  <c r="DL48" i="3"/>
  <c r="DJ94" i="3"/>
  <c r="DI94" i="3"/>
  <c r="DI92" i="3"/>
  <c r="DJ92" i="3"/>
  <c r="DL129" i="3"/>
  <c r="DK129" i="3"/>
  <c r="DW44" i="3"/>
  <c r="DP44" i="3"/>
  <c r="DN44" i="3"/>
  <c r="DM44" i="3"/>
  <c r="DX44" i="3"/>
  <c r="CR44" i="3"/>
  <c r="CQ44" i="3"/>
  <c r="DO44" i="3"/>
  <c r="DX233" i="3"/>
  <c r="DZ233" i="3"/>
  <c r="DO233" i="3"/>
  <c r="DW233" i="3"/>
  <c r="DM233" i="3"/>
  <c r="DL36" i="3"/>
  <c r="DK36" i="3"/>
  <c r="CR37" i="3"/>
  <c r="CP37" i="3"/>
  <c r="CO37" i="3"/>
  <c r="DM37" i="3"/>
  <c r="CQ37" i="3"/>
  <c r="DP37" i="3"/>
  <c r="DN37" i="3"/>
  <c r="DO37" i="3"/>
  <c r="DZ211" i="3"/>
  <c r="DX211" i="3"/>
  <c r="DW211" i="3"/>
  <c r="DO211" i="3"/>
  <c r="DP211" i="3"/>
  <c r="DM211" i="3"/>
  <c r="CO137" i="3"/>
  <c r="DM137" i="3"/>
  <c r="CQ137" i="3"/>
  <c r="DN137" i="3"/>
  <c r="DP137" i="3"/>
  <c r="CR137" i="3"/>
  <c r="DO137" i="3"/>
  <c r="CP137" i="3"/>
  <c r="DM131" i="3"/>
  <c r="DO131" i="3"/>
  <c r="DN131" i="3"/>
  <c r="CQ131" i="3"/>
  <c r="DP131" i="3"/>
  <c r="CO131" i="3"/>
  <c r="CR131" i="3"/>
  <c r="CP131" i="3"/>
  <c r="DM83" i="3"/>
  <c r="DX83" i="3"/>
  <c r="DW83" i="3"/>
  <c r="CR83" i="3"/>
  <c r="CQ83" i="3"/>
  <c r="DN83" i="3"/>
  <c r="DO83" i="3"/>
  <c r="DP83" i="3"/>
  <c r="DW129" i="3"/>
  <c r="DP129" i="3"/>
  <c r="DN129" i="3"/>
  <c r="DM129" i="3"/>
  <c r="DZ129" i="3"/>
  <c r="DY129" i="3"/>
  <c r="DX129" i="3"/>
  <c r="DO129" i="3"/>
  <c r="EX209" i="3"/>
  <c r="EU209" i="3"/>
  <c r="DI61" i="3"/>
  <c r="DJ61" i="3"/>
  <c r="DJ173" i="3"/>
  <c r="DI173" i="3"/>
  <c r="DI104" i="3"/>
  <c r="DJ104" i="3"/>
  <c r="DL113" i="3"/>
  <c r="DJ68" i="3"/>
  <c r="DI68" i="3"/>
  <c r="DP92" i="3"/>
  <c r="DM92" i="3"/>
  <c r="CR92" i="3"/>
  <c r="CQ92" i="3"/>
  <c r="CP92" i="3"/>
  <c r="CO92" i="3"/>
  <c r="DO92" i="3"/>
  <c r="DN92" i="3"/>
  <c r="CY56" i="3"/>
  <c r="CY195" i="3"/>
  <c r="DK30" i="3"/>
  <c r="EX139" i="3"/>
  <c r="EU139" i="3"/>
  <c r="EX158" i="3"/>
  <c r="EU158" i="3"/>
  <c r="CY142" i="3"/>
  <c r="CY156" i="3"/>
  <c r="DJ16" i="3"/>
  <c r="DI16" i="3"/>
  <c r="DJ63" i="3"/>
  <c r="DI63" i="3"/>
  <c r="DX56" i="3"/>
  <c r="DW56" i="3"/>
  <c r="DO56" i="3"/>
  <c r="CR56" i="3"/>
  <c r="DM56" i="3"/>
  <c r="DN56" i="3"/>
  <c r="DP56" i="3"/>
  <c r="CQ56" i="3"/>
  <c r="DX171" i="3"/>
  <c r="DW171" i="3"/>
  <c r="DM171" i="3"/>
  <c r="DZ171" i="3"/>
  <c r="DY171" i="3"/>
  <c r="DO171" i="3"/>
  <c r="DP171" i="3"/>
  <c r="DN171" i="3"/>
  <c r="DZ77" i="3"/>
  <c r="DX77" i="3"/>
  <c r="DW77" i="3"/>
  <c r="DM77" i="3"/>
  <c r="DY77" i="3"/>
  <c r="DN77" i="3"/>
  <c r="DO77" i="3"/>
  <c r="DP77" i="3"/>
  <c r="DJ83" i="3"/>
  <c r="DI83" i="3"/>
  <c r="CR182" i="3"/>
  <c r="CQ182" i="3"/>
  <c r="CP182" i="3"/>
  <c r="DO182" i="3"/>
  <c r="DN182" i="3"/>
  <c r="CO182" i="3"/>
  <c r="DP182" i="3"/>
  <c r="DM182" i="3"/>
  <c r="DL119" i="3"/>
  <c r="DZ146" i="3"/>
  <c r="DX146" i="3"/>
  <c r="DW146" i="3"/>
  <c r="DM146" i="3"/>
  <c r="DP146" i="3"/>
  <c r="DO146" i="3"/>
  <c r="BT167" i="3"/>
  <c r="DL209" i="3"/>
  <c r="CY31" i="3"/>
  <c r="DY72" i="3"/>
  <c r="DL121" i="3"/>
  <c r="DL132" i="3"/>
  <c r="DJ133" i="3"/>
  <c r="DI133" i="3"/>
  <c r="DJ22" i="3"/>
  <c r="DI22" i="3"/>
  <c r="CY146" i="3"/>
  <c r="CV145" i="3"/>
  <c r="B145" i="3" s="1"/>
  <c r="DJ225" i="3"/>
  <c r="CY225" i="3"/>
  <c r="DI225" i="3"/>
  <c r="DI30" i="3"/>
  <c r="DJ30" i="3"/>
  <c r="DO26" i="3"/>
  <c r="DX26" i="3"/>
  <c r="CQ26" i="3"/>
  <c r="CR26" i="3"/>
  <c r="DW26" i="3"/>
  <c r="DN26" i="3"/>
  <c r="DP26" i="3"/>
  <c r="DM26" i="3"/>
  <c r="DJ73" i="3"/>
  <c r="DI73" i="3"/>
  <c r="DL158" i="3"/>
  <c r="DX85" i="3"/>
  <c r="DW85" i="3"/>
  <c r="DM85" i="3"/>
  <c r="DO85" i="3"/>
  <c r="EU83" i="3"/>
  <c r="EX83" i="3"/>
  <c r="DN195" i="3"/>
  <c r="CR195" i="3"/>
  <c r="CQ195" i="3"/>
  <c r="DX195" i="3"/>
  <c r="DW195" i="3"/>
  <c r="DP195" i="3"/>
  <c r="DO195" i="3"/>
  <c r="DM195" i="3"/>
  <c r="DM27" i="3"/>
  <c r="DP27" i="3"/>
  <c r="DO27" i="3"/>
  <c r="DW27" i="3"/>
  <c r="DZ27" i="3"/>
  <c r="DY27" i="3"/>
  <c r="DX27" i="3"/>
  <c r="DN27" i="3"/>
  <c r="EX167" i="3"/>
  <c r="EU167" i="3"/>
  <c r="DN233" i="3"/>
  <c r="DM119" i="3"/>
  <c r="DZ119" i="3"/>
  <c r="DY119" i="3"/>
  <c r="DX119" i="3"/>
  <c r="DO119" i="3"/>
  <c r="DW119" i="3"/>
  <c r="DN119" i="3"/>
  <c r="DP119" i="3"/>
  <c r="DO110" i="3"/>
  <c r="CQ110" i="3"/>
  <c r="DN110" i="3"/>
  <c r="DP110" i="3"/>
  <c r="CR110" i="3"/>
  <c r="CP110" i="3"/>
  <c r="DM110" i="3"/>
  <c r="CO110" i="3"/>
  <c r="DJ42" i="3"/>
  <c r="DI42" i="3"/>
  <c r="DZ163" i="3"/>
  <c r="DX163" i="3"/>
  <c r="DW163" i="3"/>
  <c r="DO163" i="3"/>
  <c r="DP163" i="3"/>
  <c r="DM163" i="3"/>
  <c r="DK142" i="3"/>
  <c r="DW95" i="3"/>
  <c r="DO95" i="3"/>
  <c r="DN95" i="3"/>
  <c r="DM95" i="3"/>
  <c r="DP95" i="3"/>
  <c r="DX95" i="3"/>
  <c r="DZ95" i="3"/>
  <c r="DY95" i="3"/>
  <c r="DP235" i="3"/>
  <c r="DM235" i="3"/>
  <c r="DO235" i="3"/>
  <c r="DN235" i="3"/>
  <c r="DI95" i="3"/>
  <c r="DJ95" i="3"/>
  <c r="DI151" i="3"/>
  <c r="DJ151" i="3"/>
  <c r="DZ68" i="3"/>
  <c r="DX68" i="3"/>
  <c r="DO68" i="3"/>
  <c r="DM68" i="3"/>
  <c r="DW68" i="3"/>
  <c r="CR142" i="3"/>
  <c r="CP142" i="3"/>
  <c r="DO142" i="3"/>
  <c r="DM142" i="3"/>
  <c r="CO142" i="3"/>
  <c r="DI89" i="3"/>
  <c r="DJ89" i="3"/>
  <c r="DJ28" i="3"/>
  <c r="DI28" i="3"/>
  <c r="BU131" i="3"/>
  <c r="DN68" i="3"/>
  <c r="DW228" i="3"/>
  <c r="DP228" i="3"/>
  <c r="DN228" i="3"/>
  <c r="DM228" i="3"/>
  <c r="DX228" i="3"/>
  <c r="CR228" i="3"/>
  <c r="CQ228" i="3"/>
  <c r="DO228" i="3"/>
  <c r="CY35" i="3"/>
  <c r="DY82" i="3"/>
  <c r="DZ185" i="3"/>
  <c r="DY185" i="3"/>
  <c r="DX185" i="3"/>
  <c r="DW185" i="3"/>
  <c r="DP185" i="3"/>
  <c r="DO185" i="3"/>
  <c r="DN185" i="3"/>
  <c r="DM185" i="3"/>
  <c r="CY198" i="3"/>
  <c r="DJ121" i="3"/>
  <c r="DI121" i="3"/>
  <c r="DI66" i="3"/>
  <c r="DJ66" i="3"/>
  <c r="CO113" i="3"/>
  <c r="CQ113" i="3"/>
  <c r="DN113" i="3"/>
  <c r="DM113" i="3"/>
  <c r="CR113" i="3"/>
  <c r="DO113" i="3"/>
  <c r="DP113" i="3"/>
  <c r="CP113" i="3"/>
  <c r="DO136" i="3"/>
  <c r="DZ136" i="3"/>
  <c r="DX136" i="3"/>
  <c r="DW136" i="3"/>
  <c r="DP136" i="3"/>
  <c r="DM136" i="3"/>
  <c r="DK76" i="3"/>
  <c r="DL76" i="3"/>
  <c r="DK153" i="3"/>
  <c r="DL153" i="3"/>
  <c r="DI180" i="3"/>
  <c r="DJ180" i="3"/>
  <c r="CY211" i="3"/>
  <c r="DN230" i="3"/>
  <c r="DP216" i="3"/>
  <c r="DO124" i="3"/>
  <c r="DN124" i="3"/>
  <c r="DM124" i="3"/>
  <c r="DP124" i="3"/>
  <c r="CQ124" i="3"/>
  <c r="CP124" i="3"/>
  <c r="CO124" i="3"/>
  <c r="CR124" i="3"/>
  <c r="DJ49" i="3"/>
  <c r="CY49" i="3"/>
  <c r="DI49" i="3"/>
  <c r="DZ158" i="3"/>
  <c r="DX158" i="3"/>
  <c r="DO158" i="3"/>
  <c r="DM158" i="3"/>
  <c r="DW158" i="3"/>
  <c r="DL211" i="3"/>
  <c r="BU167" i="3"/>
  <c r="DZ209" i="3"/>
  <c r="DX209" i="3"/>
  <c r="DW209" i="3"/>
  <c r="DO209" i="3"/>
  <c r="DY209" i="3"/>
  <c r="DN209" i="3"/>
  <c r="DM209" i="3"/>
  <c r="DP209" i="3"/>
  <c r="CY82" i="3"/>
  <c r="DX38" i="3"/>
  <c r="DW38" i="3"/>
  <c r="DO38" i="3"/>
  <c r="DM38" i="3"/>
  <c r="DN38" i="3"/>
  <c r="DP38" i="3"/>
  <c r="CQ38" i="3"/>
  <c r="CR38" i="3"/>
  <c r="DZ152" i="3"/>
  <c r="DX152" i="3"/>
  <c r="DW152" i="3"/>
  <c r="DP152" i="3"/>
  <c r="DM152" i="3"/>
  <c r="DO152" i="3"/>
  <c r="CY94" i="3"/>
  <c r="DZ60" i="3"/>
  <c r="DX60" i="3"/>
  <c r="DW60" i="3"/>
  <c r="DP60" i="3"/>
  <c r="DM60" i="3"/>
  <c r="DO60" i="3"/>
  <c r="DX127" i="3"/>
  <c r="DO127" i="3"/>
  <c r="DZ127" i="3"/>
  <c r="DW127" i="3"/>
  <c r="DM127" i="3"/>
  <c r="DP127" i="3"/>
  <c r="DL167" i="3"/>
  <c r="DI163" i="3"/>
  <c r="DJ163" i="3"/>
  <c r="CO116" i="3"/>
  <c r="BL116" i="3"/>
  <c r="BK116" i="3"/>
  <c r="DO116" i="3"/>
  <c r="DN116" i="3"/>
  <c r="DM116" i="3"/>
  <c r="CQ116" i="3"/>
  <c r="CR116" i="3"/>
  <c r="CP116" i="3"/>
  <c r="DN48" i="3"/>
  <c r="DX151" i="3"/>
  <c r="DZ151" i="3"/>
  <c r="DO151" i="3"/>
  <c r="DW151" i="3"/>
  <c r="DM151" i="3"/>
  <c r="DJ206" i="3"/>
  <c r="DI206" i="3"/>
  <c r="AI177" i="1" l="1"/>
  <c r="BJ20" i="1"/>
  <c r="AL39" i="1"/>
  <c r="BD39" i="1"/>
  <c r="AR20" i="1"/>
  <c r="BD20" i="1"/>
  <c r="BD203" i="1"/>
  <c r="AR46" i="1"/>
  <c r="BD46" i="1"/>
  <c r="BJ39" i="1"/>
  <c r="BJ46" i="1"/>
  <c r="BJ186" i="1"/>
  <c r="AG5" i="1"/>
  <c r="AL46" i="1"/>
  <c r="BJ223" i="1"/>
  <c r="AL203" i="1"/>
  <c r="AI13" i="1"/>
  <c r="AL20" i="1"/>
  <c r="AR39" i="1"/>
  <c r="AR203" i="1"/>
  <c r="AL186" i="1"/>
  <c r="BD223" i="1"/>
  <c r="AR52" i="1"/>
  <c r="AL223" i="1"/>
  <c r="AR223" i="1"/>
  <c r="BJ203" i="1"/>
  <c r="AI16" i="1"/>
  <c r="BD23" i="1"/>
  <c r="BJ123" i="1"/>
  <c r="AL52" i="1"/>
  <c r="BD160" i="1"/>
  <c r="AI176" i="1"/>
  <c r="BJ176" i="1"/>
  <c r="AL176" i="1"/>
  <c r="AR176" i="1"/>
  <c r="BD55" i="1"/>
  <c r="AR160" i="1"/>
  <c r="BJ102" i="1"/>
  <c r="BD58" i="1"/>
  <c r="BD215" i="1"/>
  <c r="BJ101" i="1"/>
  <c r="BJ215" i="1"/>
  <c r="BD80" i="1"/>
  <c r="AL160" i="1"/>
  <c r="BJ139" i="1"/>
  <c r="BJ208" i="1"/>
  <c r="BJ58" i="1"/>
  <c r="AI215" i="1"/>
  <c r="BJ80" i="1"/>
  <c r="AI80" i="1"/>
  <c r="AL58" i="1"/>
  <c r="AR101" i="1"/>
  <c r="AI73" i="1"/>
  <c r="BJ55" i="1"/>
  <c r="AR215" i="1"/>
  <c r="AL55" i="1"/>
  <c r="AR102" i="1"/>
  <c r="AL101" i="1"/>
  <c r="AL102" i="1"/>
  <c r="BD102" i="1"/>
  <c r="BD139" i="1"/>
  <c r="AI160" i="1"/>
  <c r="AL139" i="1"/>
  <c r="AC149" i="1"/>
  <c r="BD149" i="1" s="1"/>
  <c r="AC205" i="1"/>
  <c r="BD205" i="1" s="1"/>
  <c r="AC91" i="1"/>
  <c r="BD91" i="1" s="1"/>
  <c r="AC204" i="1"/>
  <c r="BD204" i="1" s="1"/>
  <c r="AC18" i="1"/>
  <c r="BD18" i="1" s="1"/>
  <c r="AC155" i="1"/>
  <c r="BJ155" i="1" s="1"/>
  <c r="AL115" i="1"/>
  <c r="AI219" i="1"/>
  <c r="AC231" i="1"/>
  <c r="BD231" i="1" s="1"/>
  <c r="AC207" i="1"/>
  <c r="AI207" i="1" s="1"/>
  <c r="AC232" i="1"/>
  <c r="BD232" i="1" s="1"/>
  <c r="AC210" i="1"/>
  <c r="AI210" i="1" s="1"/>
  <c r="AC98" i="1"/>
  <c r="BJ98" i="1" s="1"/>
  <c r="AC227" i="1"/>
  <c r="AL227" i="1" s="1"/>
  <c r="AI69" i="1"/>
  <c r="AL103" i="1"/>
  <c r="AI222" i="1"/>
  <c r="AI159" i="1"/>
  <c r="AC43" i="1"/>
  <c r="BD43" i="1" s="1"/>
  <c r="AC184" i="1"/>
  <c r="BD184" i="1" s="1"/>
  <c r="BJ109" i="1"/>
  <c r="BJ115" i="1"/>
  <c r="AI19" i="1"/>
  <c r="AI109" i="1"/>
  <c r="AI111" i="1"/>
  <c r="AI115" i="1"/>
  <c r="AC194" i="1"/>
  <c r="BD194" i="1" s="1"/>
  <c r="AC25" i="1"/>
  <c r="AL25" i="1" s="1"/>
  <c r="AC154" i="1"/>
  <c r="AI154" i="1" s="1"/>
  <c r="BJ229" i="1"/>
  <c r="AI123" i="1"/>
  <c r="AI229" i="1"/>
  <c r="AI23" i="1"/>
  <c r="AC89" i="1"/>
  <c r="BJ89" i="1" s="1"/>
  <c r="AC190" i="1"/>
  <c r="BD190" i="1" s="1"/>
  <c r="BD191" i="1"/>
  <c r="AL123" i="1"/>
  <c r="BJ69" i="1"/>
  <c r="AC100" i="1"/>
  <c r="BJ100" i="1" s="1"/>
  <c r="AR109" i="1"/>
  <c r="BD103" i="1"/>
  <c r="AR222" i="1"/>
  <c r="BJ222" i="1"/>
  <c r="BJ219" i="1"/>
  <c r="AL229" i="1"/>
  <c r="AR23" i="1"/>
  <c r="AI191" i="1"/>
  <c r="BD219" i="1"/>
  <c r="AC134" i="1"/>
  <c r="AC174" i="1"/>
  <c r="BD174" i="1" s="1"/>
  <c r="AR229" i="1"/>
  <c r="AI158" i="1"/>
  <c r="AC67" i="1"/>
  <c r="AI67" i="1" s="1"/>
  <c r="AC84" i="1"/>
  <c r="AI84" i="1" s="1"/>
  <c r="AC108" i="1"/>
  <c r="AI108" i="1" s="1"/>
  <c r="AR111" i="1"/>
  <c r="AR69" i="1"/>
  <c r="AI221" i="1"/>
  <c r="AC234" i="1"/>
  <c r="BD234" i="1" s="1"/>
  <c r="AC14" i="1"/>
  <c r="AI14" i="1" s="1"/>
  <c r="AR191" i="1"/>
  <c r="BD69" i="1"/>
  <c r="BJ103" i="1"/>
  <c r="AC57" i="1"/>
  <c r="BD57" i="1" s="1"/>
  <c r="BD222" i="1"/>
  <c r="AL23" i="1"/>
  <c r="AC78" i="1"/>
  <c r="AI78" i="1" s="1"/>
  <c r="AI135" i="1"/>
  <c r="AI125" i="1"/>
  <c r="AI64" i="1"/>
  <c r="AI71" i="1"/>
  <c r="AI192" i="1"/>
  <c r="AI99" i="1"/>
  <c r="AI164" i="1"/>
  <c r="AI150" i="1"/>
  <c r="AI201" i="1"/>
  <c r="AI45" i="1"/>
  <c r="AI202" i="1"/>
  <c r="AL208" i="1"/>
  <c r="AI59" i="1"/>
  <c r="AI62" i="1"/>
  <c r="AI227" i="1"/>
  <c r="AI149" i="1"/>
  <c r="AI47" i="1"/>
  <c r="AL181" i="1"/>
  <c r="AL166" i="1"/>
  <c r="BJ166" i="1"/>
  <c r="BJ181" i="1"/>
  <c r="BJ13" i="1"/>
  <c r="BJ19" i="1"/>
  <c r="AF92" i="1"/>
  <c r="AI92" i="1" s="1"/>
  <c r="AQ92" i="1"/>
  <c r="AF79" i="1"/>
  <c r="AI79" i="1" s="1"/>
  <c r="AQ79" i="1"/>
  <c r="AF172" i="1"/>
  <c r="AI172" i="1" s="1"/>
  <c r="AQ172" i="1"/>
  <c r="AF216" i="1"/>
  <c r="AI216" i="1" s="1"/>
  <c r="AQ216" i="1"/>
  <c r="AF66" i="1"/>
  <c r="AI66" i="1" s="1"/>
  <c r="AQ66" i="1"/>
  <c r="AF187" i="1"/>
  <c r="AI187" i="1" s="1"/>
  <c r="AQ187" i="1"/>
  <c r="AF50" i="1"/>
  <c r="AI50" i="1" s="1"/>
  <c r="AQ50" i="1"/>
  <c r="AF217" i="1"/>
  <c r="AI217" i="1" s="1"/>
  <c r="AQ217" i="1"/>
  <c r="AF214" i="1"/>
  <c r="AI214" i="1" s="1"/>
  <c r="AQ214" i="1"/>
  <c r="AF60" i="1"/>
  <c r="AI60" i="1" s="1"/>
  <c r="AQ60" i="1"/>
  <c r="AF81" i="1"/>
  <c r="AI81" i="1" s="1"/>
  <c r="AQ81" i="1"/>
  <c r="AF180" i="1"/>
  <c r="AI180" i="1" s="1"/>
  <c r="AQ180" i="1"/>
  <c r="AF63" i="1"/>
  <c r="AQ63" i="1"/>
  <c r="AF120" i="1"/>
  <c r="AQ120" i="1"/>
  <c r="AF49" i="1"/>
  <c r="AI49" i="1" s="1"/>
  <c r="AQ49" i="1"/>
  <c r="AF128" i="1"/>
  <c r="AI128" i="1" s="1"/>
  <c r="AQ128" i="1"/>
  <c r="AF40" i="1"/>
  <c r="AI40" i="1" s="1"/>
  <c r="AQ40" i="1"/>
  <c r="AF85" i="1"/>
  <c r="AI85" i="1" s="1"/>
  <c r="AQ85" i="1"/>
  <c r="AF235" i="1"/>
  <c r="AI235" i="1" s="1"/>
  <c r="AQ235" i="1"/>
  <c r="AF147" i="1"/>
  <c r="AQ147" i="1"/>
  <c r="AF93" i="1"/>
  <c r="AI93" i="1" s="1"/>
  <c r="AQ93" i="1"/>
  <c r="AF41" i="1"/>
  <c r="AI41" i="1" s="1"/>
  <c r="AQ41" i="1"/>
  <c r="AF76" i="1"/>
  <c r="AI76" i="1" s="1"/>
  <c r="AQ76" i="1"/>
  <c r="AF171" i="1"/>
  <c r="AI171" i="1" s="1"/>
  <c r="AQ171" i="1"/>
  <c r="AF226" i="1"/>
  <c r="AI226" i="1" s="1"/>
  <c r="AQ226" i="1"/>
  <c r="AF28" i="1"/>
  <c r="AI28" i="1" s="1"/>
  <c r="AQ28" i="1"/>
  <c r="AJ28" i="1" s="1"/>
  <c r="AK28" i="1" s="1"/>
  <c r="AF68" i="1"/>
  <c r="AI68" i="1" s="1"/>
  <c r="AQ68" i="1"/>
  <c r="AF112" i="1"/>
  <c r="AI112" i="1" s="1"/>
  <c r="AQ112" i="1"/>
  <c r="AF196" i="1"/>
  <c r="AI196" i="1" s="1"/>
  <c r="AQ196" i="1"/>
  <c r="AF36" i="1"/>
  <c r="AQ36" i="1"/>
  <c r="AF136" i="1"/>
  <c r="AI136" i="1" s="1"/>
  <c r="AQ136" i="1"/>
  <c r="AF131" i="1"/>
  <c r="AI131" i="1" s="1"/>
  <c r="AQ131" i="1"/>
  <c r="AF211" i="1"/>
  <c r="AI211" i="1" s="1"/>
  <c r="AQ211" i="1"/>
  <c r="AF146" i="1"/>
  <c r="AI146" i="1" s="1"/>
  <c r="AQ146" i="1"/>
  <c r="AF179" i="1"/>
  <c r="AI179" i="1" s="1"/>
  <c r="AQ179" i="1"/>
  <c r="AF182" i="1"/>
  <c r="AI182" i="1" s="1"/>
  <c r="AQ182" i="1"/>
  <c r="AF37" i="1"/>
  <c r="AI37" i="1" s="1"/>
  <c r="AQ37" i="1"/>
  <c r="AF163" i="1"/>
  <c r="AI163" i="1" s="1"/>
  <c r="AQ163" i="1"/>
  <c r="AF97" i="1"/>
  <c r="AI97" i="1" s="1"/>
  <c r="AQ97" i="1"/>
  <c r="AF199" i="1"/>
  <c r="AI199" i="1" s="1"/>
  <c r="AQ199" i="1"/>
  <c r="AJ199" i="1" s="1"/>
  <c r="AK199" i="1" s="1"/>
  <c r="AF165" i="1"/>
  <c r="AI165" i="1" s="1"/>
  <c r="AQ165" i="1"/>
  <c r="AF121" i="1"/>
  <c r="AI121" i="1" s="1"/>
  <c r="AQ121" i="1"/>
  <c r="AF209" i="1"/>
  <c r="AI209" i="1" s="1"/>
  <c r="AQ209" i="1"/>
  <c r="AF152" i="1"/>
  <c r="AI152" i="1" s="1"/>
  <c r="AQ152" i="1"/>
  <c r="AF175" i="1"/>
  <c r="AI175" i="1" s="1"/>
  <c r="AQ175" i="1"/>
  <c r="AF113" i="1"/>
  <c r="AI113" i="1" s="1"/>
  <c r="AQ113" i="1"/>
  <c r="AF195" i="1"/>
  <c r="AI195" i="1" s="1"/>
  <c r="AQ195" i="1"/>
  <c r="AF212" i="1"/>
  <c r="AI212" i="1" s="1"/>
  <c r="AQ212" i="1"/>
  <c r="AF88" i="1"/>
  <c r="AI88" i="1" s="1"/>
  <c r="AQ88" i="1"/>
  <c r="AF162" i="1"/>
  <c r="AI162" i="1" s="1"/>
  <c r="AQ162" i="1"/>
  <c r="AF122" i="1"/>
  <c r="AI122" i="1" s="1"/>
  <c r="AQ122" i="1"/>
  <c r="AF116" i="1"/>
  <c r="AI116" i="1" s="1"/>
  <c r="AQ116" i="1"/>
  <c r="AF153" i="1"/>
  <c r="AI153" i="1" s="1"/>
  <c r="AQ153" i="1"/>
  <c r="AF61" i="1"/>
  <c r="AI61" i="1" s="1"/>
  <c r="AQ61" i="1"/>
  <c r="AF198" i="1"/>
  <c r="AI198" i="1" s="1"/>
  <c r="AQ198" i="1"/>
  <c r="AF82" i="1"/>
  <c r="AI82" i="1" s="1"/>
  <c r="AQ82" i="1"/>
  <c r="AF141" i="1"/>
  <c r="AI141" i="1" s="1"/>
  <c r="AQ141" i="1"/>
  <c r="AF72" i="1"/>
  <c r="AI72" i="1" s="1"/>
  <c r="AQ72" i="1"/>
  <c r="AF233" i="1"/>
  <c r="AI233" i="1" s="1"/>
  <c r="AQ233" i="1"/>
  <c r="AF34" i="1"/>
  <c r="AI34" i="1" s="1"/>
  <c r="AQ34" i="1"/>
  <c r="AF94" i="1"/>
  <c r="AI94" i="1" s="1"/>
  <c r="AQ94" i="1"/>
  <c r="AF137" i="1"/>
  <c r="AI137" i="1" s="1"/>
  <c r="AQ137" i="1"/>
  <c r="AF130" i="1"/>
  <c r="AI130" i="1" s="1"/>
  <c r="AQ130" i="1"/>
  <c r="AF43" i="1"/>
  <c r="AQ43" i="1"/>
  <c r="AF35" i="1"/>
  <c r="AI35" i="1" s="1"/>
  <c r="AQ35" i="1"/>
  <c r="AH35" i="1" s="1"/>
  <c r="AF117" i="1"/>
  <c r="AI117" i="1" s="1"/>
  <c r="AQ117" i="1"/>
  <c r="AF30" i="1"/>
  <c r="AI30" i="1" s="1"/>
  <c r="AQ30" i="1"/>
  <c r="AF173" i="1"/>
  <c r="AI173" i="1" s="1"/>
  <c r="AQ173" i="1"/>
  <c r="AF143" i="1"/>
  <c r="AI143" i="1" s="1"/>
  <c r="AF167" i="1"/>
  <c r="AQ167" i="1"/>
  <c r="AF184" i="1"/>
  <c r="AQ184" i="1"/>
  <c r="AF21" i="1"/>
  <c r="AI21" i="1" s="1"/>
  <c r="AQ21" i="1"/>
  <c r="AJ21" i="1" s="1"/>
  <c r="AK21" i="1" s="1"/>
  <c r="AF44" i="1"/>
  <c r="AQ44" i="1"/>
  <c r="AF232" i="1"/>
  <c r="AQ232" i="1"/>
  <c r="AF133" i="1"/>
  <c r="AI133" i="1" s="1"/>
  <c r="AQ133" i="1"/>
  <c r="AF87" i="1"/>
  <c r="AI87" i="1" s="1"/>
  <c r="AQ87" i="1"/>
  <c r="AF156" i="1"/>
  <c r="AI156" i="1" s="1"/>
  <c r="AQ156" i="1"/>
  <c r="AF119" i="1"/>
  <c r="AI119" i="1" s="1"/>
  <c r="AQ119" i="1"/>
  <c r="AF27" i="1"/>
  <c r="AI27" i="1" s="1"/>
  <c r="AQ27" i="1"/>
  <c r="AJ27" i="1" s="1"/>
  <c r="AK27" i="1" s="1"/>
  <c r="AF95" i="1"/>
  <c r="AI95" i="1" s="1"/>
  <c r="AQ95" i="1"/>
  <c r="AF17" i="1"/>
  <c r="AI17" i="1" s="1"/>
  <c r="AQ17" i="1"/>
  <c r="AJ17" i="1" s="1"/>
  <c r="AK17" i="1" s="1"/>
  <c r="AF106" i="1"/>
  <c r="AI106" i="1" s="1"/>
  <c r="AQ106" i="1"/>
  <c r="AF91" i="1"/>
  <c r="AQ91" i="1"/>
  <c r="AF48" i="1"/>
  <c r="AI48" i="1" s="1"/>
  <c r="AQ48" i="1"/>
  <c r="AF169" i="1"/>
  <c r="AI169" i="1" s="1"/>
  <c r="AQ169" i="1"/>
  <c r="AF200" i="1"/>
  <c r="BJ200" i="1" s="1"/>
  <c r="AQ200" i="1"/>
  <c r="AF188" i="1"/>
  <c r="AI188" i="1" s="1"/>
  <c r="AQ188" i="1"/>
  <c r="AF65" i="1"/>
  <c r="AI65" i="1" s="1"/>
  <c r="AQ65" i="1"/>
  <c r="AF132" i="1"/>
  <c r="AI132" i="1" s="1"/>
  <c r="AQ132" i="1"/>
  <c r="AF161" i="1"/>
  <c r="AI161" i="1" s="1"/>
  <c r="AQ161" i="1"/>
  <c r="AF148" i="1"/>
  <c r="AQ148" i="1"/>
  <c r="AF228" i="1"/>
  <c r="AI228" i="1" s="1"/>
  <c r="AQ228" i="1"/>
  <c r="AF178" i="1"/>
  <c r="AI178" i="1" s="1"/>
  <c r="AQ178" i="1"/>
  <c r="AF213" i="1"/>
  <c r="AI213" i="1" s="1"/>
  <c r="AQ213" i="1"/>
  <c r="AF170" i="1"/>
  <c r="AI170" i="1" s="1"/>
  <c r="AQ170" i="1"/>
  <c r="AF206" i="1"/>
  <c r="AI206" i="1" s="1"/>
  <c r="AQ206" i="1"/>
  <c r="AF22" i="1"/>
  <c r="AI22" i="1" s="1"/>
  <c r="AQ22" i="1"/>
  <c r="AJ22" i="1" s="1"/>
  <c r="AK22" i="1" s="1"/>
  <c r="AF105" i="1"/>
  <c r="AI105" i="1" s="1"/>
  <c r="AQ105" i="1"/>
  <c r="AF230" i="1"/>
  <c r="AI230" i="1" s="1"/>
  <c r="AQ230" i="1"/>
  <c r="AF75" i="1"/>
  <c r="AI75" i="1" s="1"/>
  <c r="AQ75" i="1"/>
  <c r="AF124" i="1"/>
  <c r="AI124" i="1" s="1"/>
  <c r="AQ124" i="1"/>
  <c r="AF144" i="1"/>
  <c r="AQ144" i="1"/>
  <c r="AF118" i="1"/>
  <c r="AQ118" i="1"/>
  <c r="AF138" i="1"/>
  <c r="AI138" i="1" s="1"/>
  <c r="AQ138" i="1"/>
  <c r="AF197" i="1"/>
  <c r="AI197" i="1" s="1"/>
  <c r="AQ197" i="1"/>
  <c r="AF26" i="1"/>
  <c r="AI26" i="1" s="1"/>
  <c r="AQ26" i="1"/>
  <c r="AJ26" i="1" s="1"/>
  <c r="AK26" i="1" s="1"/>
  <c r="AF38" i="1"/>
  <c r="AI38" i="1" s="1"/>
  <c r="AQ38" i="1"/>
  <c r="AF42" i="1"/>
  <c r="AQ42" i="1"/>
  <c r="AF110" i="1"/>
  <c r="AI110" i="1" s="1"/>
  <c r="AQ110" i="1"/>
  <c r="AF83" i="1"/>
  <c r="AI83" i="1" s="1"/>
  <c r="AQ83" i="1"/>
  <c r="AF218" i="1"/>
  <c r="AL218" i="1" s="1"/>
  <c r="AQ218" i="1"/>
  <c r="AF29" i="1"/>
  <c r="AI29" i="1" s="1"/>
  <c r="AQ29" i="1"/>
  <c r="AF185" i="1"/>
  <c r="AI185" i="1" s="1"/>
  <c r="AQ185" i="1"/>
  <c r="AF190" i="1"/>
  <c r="AQ190" i="1"/>
  <c r="AF236" i="1"/>
  <c r="AQ236" i="1"/>
  <c r="AF140" i="1"/>
  <c r="AI140" i="1" s="1"/>
  <c r="AQ140" i="1"/>
  <c r="AF127" i="1"/>
  <c r="AI127" i="1" s="1"/>
  <c r="AQ127" i="1"/>
  <c r="AF204" i="1"/>
  <c r="AQ204" i="1"/>
  <c r="AF205" i="1"/>
  <c r="AI205" i="1" s="1"/>
  <c r="AQ205" i="1"/>
  <c r="AF189" i="1"/>
  <c r="AI189" i="1" s="1"/>
  <c r="AQ189" i="1"/>
  <c r="AF142" i="1"/>
  <c r="AQ142" i="1"/>
  <c r="AF77" i="1"/>
  <c r="AI77" i="1" s="1"/>
  <c r="AQ77" i="1"/>
  <c r="AF194" i="1"/>
  <c r="AI194" i="1" s="1"/>
  <c r="AQ194" i="1"/>
  <c r="AF90" i="1"/>
  <c r="AI90" i="1" s="1"/>
  <c r="AQ90" i="1"/>
  <c r="AF129" i="1"/>
  <c r="AI129" i="1" s="1"/>
  <c r="AQ129" i="1"/>
  <c r="AJ129" i="1" s="1"/>
  <c r="AK129" i="1" s="1"/>
  <c r="AF56" i="1"/>
  <c r="AI56" i="1" s="1"/>
  <c r="AQ56" i="1"/>
  <c r="AH157" i="1"/>
  <c r="AH208" i="1"/>
  <c r="AH51" i="1"/>
  <c r="AJ46" i="1"/>
  <c r="AK46" i="1" s="1"/>
  <c r="AH53" i="1"/>
  <c r="AH229" i="1"/>
  <c r="AH168" i="1"/>
  <c r="AJ69" i="1"/>
  <c r="AK69" i="1" s="1"/>
  <c r="AH69" i="1"/>
  <c r="AJ166" i="1"/>
  <c r="AK166" i="1" s="1"/>
  <c r="AH111" i="1"/>
  <c r="AJ139" i="1"/>
  <c r="AK139" i="1" s="1"/>
  <c r="AH139" i="1"/>
  <c r="BF41" i="9" s="1"/>
  <c r="AH215" i="1"/>
  <c r="AH103" i="1"/>
  <c r="AJ123" i="1"/>
  <c r="AK123" i="1" s="1"/>
  <c r="AH123" i="1"/>
  <c r="AJ59" i="1"/>
  <c r="AK59" i="1" s="1"/>
  <c r="AH59" i="1"/>
  <c r="AH39" i="1"/>
  <c r="AJ186" i="1"/>
  <c r="AK186" i="1" s="1"/>
  <c r="AH15" i="1"/>
  <c r="AJ109" i="1"/>
  <c r="AK109" i="1" s="1"/>
  <c r="AJ223" i="1"/>
  <c r="AK223" i="1" s="1"/>
  <c r="AH52" i="1"/>
  <c r="AJ221" i="1"/>
  <c r="AK221" i="1" s="1"/>
  <c r="AJ219" i="1"/>
  <c r="AK219" i="1" s="1"/>
  <c r="AH219" i="1"/>
  <c r="AJ220" i="1"/>
  <c r="AK220" i="1" s="1"/>
  <c r="AJ115" i="1"/>
  <c r="AK115" i="1" s="1"/>
  <c r="AH101" i="1"/>
  <c r="AH74" i="1"/>
  <c r="AH96" i="1"/>
  <c r="AJ55" i="1"/>
  <c r="AK55" i="1" s="1"/>
  <c r="AH55" i="1"/>
  <c r="BF13" i="9" s="1"/>
  <c r="AJ176" i="1"/>
  <c r="AK176" i="1" s="1"/>
  <c r="AH80" i="1"/>
  <c r="AJ80" i="1"/>
  <c r="AK80" i="1" s="1"/>
  <c r="AJ222" i="1"/>
  <c r="AK222" i="1" s="1"/>
  <c r="AJ58" i="1"/>
  <c r="AK58" i="1" s="1"/>
  <c r="AJ160" i="1"/>
  <c r="AK160" i="1" s="1"/>
  <c r="AJ114" i="1"/>
  <c r="AK114" i="1" s="1"/>
  <c r="AJ191" i="1"/>
  <c r="AK191" i="1" s="1"/>
  <c r="AJ203" i="1"/>
  <c r="AK203" i="1" s="1"/>
  <c r="AH145" i="1"/>
  <c r="AH181" i="1"/>
  <c r="AH16" i="1"/>
  <c r="BD13" i="9"/>
  <c r="BD41" i="9"/>
  <c r="AL13" i="1"/>
  <c r="AL19" i="1"/>
  <c r="AL16" i="1"/>
  <c r="BE53" i="9"/>
  <c r="BE39" i="9"/>
  <c r="BJ16" i="1"/>
  <c r="BE50" i="9"/>
  <c r="BE22" i="9"/>
  <c r="AL211" i="1"/>
  <c r="AL97" i="1"/>
  <c r="BJ97" i="1"/>
  <c r="AL93" i="1"/>
  <c r="BJ93" i="1"/>
  <c r="CX75" i="3"/>
  <c r="AL134" i="1"/>
  <c r="AL202" i="1"/>
  <c r="BJ202" i="1"/>
  <c r="AL150" i="1"/>
  <c r="BJ150" i="1"/>
  <c r="AL135" i="1"/>
  <c r="BJ135" i="1"/>
  <c r="BJ154" i="1"/>
  <c r="AL70" i="1"/>
  <c r="BJ70" i="1"/>
  <c r="AL151" i="1"/>
  <c r="BJ151" i="1"/>
  <c r="AL31" i="1"/>
  <c r="BJ31" i="1"/>
  <c r="AL33" i="1"/>
  <c r="BJ33" i="1"/>
  <c r="AL201" i="1"/>
  <c r="BJ201" i="1"/>
  <c r="AL73" i="1"/>
  <c r="BJ73" i="1"/>
  <c r="AL24" i="1"/>
  <c r="BJ24" i="1"/>
  <c r="BJ125" i="1"/>
  <c r="AL125" i="1"/>
  <c r="BJ158" i="1"/>
  <c r="AL158" i="1"/>
  <c r="AL64" i="1"/>
  <c r="BJ64" i="1"/>
  <c r="BJ47" i="1"/>
  <c r="AL47" i="1"/>
  <c r="BJ141" i="1"/>
  <c r="AL174" i="1"/>
  <c r="BJ174" i="1"/>
  <c r="BJ62" i="1"/>
  <c r="AL62" i="1"/>
  <c r="AL177" i="1"/>
  <c r="BJ177" i="1"/>
  <c r="AL45" i="1"/>
  <c r="BJ45" i="1"/>
  <c r="AL155" i="1"/>
  <c r="BJ32" i="1"/>
  <c r="AL32" i="1"/>
  <c r="BJ107" i="1"/>
  <c r="AL107" i="1"/>
  <c r="BJ86" i="1"/>
  <c r="AL86" i="1"/>
  <c r="BJ14" i="1"/>
  <c r="BJ149" i="1"/>
  <c r="AL149" i="1"/>
  <c r="AL14" i="1"/>
  <c r="AL159" i="1"/>
  <c r="BJ159" i="1"/>
  <c r="BJ104" i="1"/>
  <c r="AL104" i="1"/>
  <c r="AL71" i="1"/>
  <c r="BJ71" i="1"/>
  <c r="AL192" i="1"/>
  <c r="BJ192" i="1"/>
  <c r="AL126" i="1"/>
  <c r="BJ126" i="1"/>
  <c r="AL183" i="1"/>
  <c r="BJ183" i="1"/>
  <c r="AL193" i="1"/>
  <c r="BJ193" i="1"/>
  <c r="AL99" i="1"/>
  <c r="BJ99" i="1"/>
  <c r="AL57" i="1"/>
  <c r="AL108" i="1"/>
  <c r="BJ108" i="1"/>
  <c r="BJ164" i="1"/>
  <c r="AL164" i="1"/>
  <c r="BJ59" i="1"/>
  <c r="AL59" i="1"/>
  <c r="AL224" i="1"/>
  <c r="BJ224" i="1"/>
  <c r="AL54" i="1"/>
  <c r="BJ54" i="1"/>
  <c r="AL225" i="1"/>
  <c r="BJ225" i="1"/>
  <c r="BD17" i="1"/>
  <c r="BD59" i="1"/>
  <c r="BE42" i="9"/>
  <c r="BD50" i="1"/>
  <c r="AR25" i="1"/>
  <c r="BD138" i="1"/>
  <c r="AR71" i="1"/>
  <c r="BD71" i="1"/>
  <c r="BD73" i="1"/>
  <c r="BD62" i="1"/>
  <c r="BD33" i="1"/>
  <c r="BD135" i="1"/>
  <c r="BD164" i="1"/>
  <c r="BD79" i="1"/>
  <c r="AR143" i="1"/>
  <c r="BD143" i="1"/>
  <c r="BD125" i="1"/>
  <c r="BD47" i="1"/>
  <c r="BD202" i="1"/>
  <c r="BD122" i="1"/>
  <c r="AR141" i="1"/>
  <c r="BD141" i="1"/>
  <c r="AR173" i="1"/>
  <c r="BD173" i="1"/>
  <c r="BD172" i="1"/>
  <c r="BD105" i="1"/>
  <c r="BD99" i="1"/>
  <c r="AR45" i="1"/>
  <c r="BD45" i="1"/>
  <c r="BD64" i="1"/>
  <c r="BD150" i="1"/>
  <c r="AR201" i="1"/>
  <c r="BD201" i="1"/>
  <c r="BD192" i="1"/>
  <c r="BD134" i="1"/>
  <c r="BD155" i="1"/>
  <c r="AR105" i="1"/>
  <c r="AR99" i="1"/>
  <c r="AR64" i="1"/>
  <c r="AR150" i="1"/>
  <c r="AR192" i="1"/>
  <c r="AR59" i="1"/>
  <c r="AR17" i="1"/>
  <c r="AR164" i="1"/>
  <c r="AR62" i="1"/>
  <c r="AR73" i="1"/>
  <c r="AR33" i="1"/>
  <c r="AR135" i="1"/>
  <c r="AR79" i="1"/>
  <c r="AR125" i="1"/>
  <c r="AR47" i="1"/>
  <c r="AR202" i="1"/>
  <c r="AR122" i="1"/>
  <c r="BE65" i="9"/>
  <c r="BE64" i="9"/>
  <c r="BE31" i="9"/>
  <c r="BE16" i="9"/>
  <c r="BE56" i="9"/>
  <c r="BE38" i="9"/>
  <c r="CX159" i="3"/>
  <c r="CX197" i="3"/>
  <c r="N251" i="1"/>
  <c r="CX80" i="3"/>
  <c r="CX211" i="3"/>
  <c r="CX91" i="3"/>
  <c r="CX227" i="3"/>
  <c r="CX123" i="3"/>
  <c r="CX44" i="3"/>
  <c r="CX98" i="3"/>
  <c r="CX82" i="3"/>
  <c r="CX231" i="3"/>
  <c r="CX144" i="3"/>
  <c r="CX194" i="3"/>
  <c r="CX48" i="3"/>
  <c r="CX89" i="3"/>
  <c r="CX204" i="3"/>
  <c r="CX136" i="3"/>
  <c r="CX232" i="3"/>
  <c r="J2" i="1"/>
  <c r="S290" i="1" s="1"/>
  <c r="J4" i="1"/>
  <c r="S292" i="1" s="1"/>
  <c r="J5" i="1"/>
  <c r="S293" i="1" s="1"/>
  <c r="P251" i="1"/>
  <c r="BE61" i="9"/>
  <c r="N7" i="1"/>
  <c r="P252" i="1"/>
  <c r="K252" i="1"/>
  <c r="BE32" i="9"/>
  <c r="BE72" i="9"/>
  <c r="BE57" i="9"/>
  <c r="BE67" i="9"/>
  <c r="L258" i="1"/>
  <c r="BE63" i="9"/>
  <c r="J7" i="1"/>
  <c r="S295" i="1" s="1"/>
  <c r="BE18" i="9"/>
  <c r="BE26" i="9"/>
  <c r="P52" i="1"/>
  <c r="N250" i="1"/>
  <c r="N252" i="1" s="1"/>
  <c r="BE5" i="9"/>
  <c r="BE54" i="9"/>
  <c r="BE45" i="9"/>
  <c r="M258" i="1"/>
  <c r="BE23" i="9"/>
  <c r="BE4" i="9"/>
  <c r="BE20" i="9"/>
  <c r="BE8" i="9"/>
  <c r="K251" i="1"/>
  <c r="BE60" i="9"/>
  <c r="BE58" i="9"/>
  <c r="BE6" i="9"/>
  <c r="BE70" i="9"/>
  <c r="N258" i="1"/>
  <c r="BE62" i="9"/>
  <c r="BE68" i="9"/>
  <c r="J6" i="1"/>
  <c r="S294" i="1" s="1"/>
  <c r="O258" i="1"/>
  <c r="BE46" i="9"/>
  <c r="BE35" i="9"/>
  <c r="BE25" i="9"/>
  <c r="K258" i="1"/>
  <c r="K261" i="1" s="1"/>
  <c r="K245" i="1" s="1"/>
  <c r="BE44" i="9"/>
  <c r="BE19" i="9"/>
  <c r="BE48" i="9"/>
  <c r="J245" i="1"/>
  <c r="J254" i="1" s="1"/>
  <c r="J255" i="1" s="1"/>
  <c r="J256" i="1" s="1"/>
  <c r="BE43" i="9"/>
  <c r="BE40" i="9"/>
  <c r="BE77" i="9"/>
  <c r="BE47" i="9"/>
  <c r="R258" i="1"/>
  <c r="R261" i="1" s="1"/>
  <c r="R245" i="1" s="1"/>
  <c r="BE28" i="9"/>
  <c r="BE52" i="9"/>
  <c r="BE17" i="9"/>
  <c r="BE55" i="9"/>
  <c r="J8" i="1"/>
  <c r="S296" i="1" s="1"/>
  <c r="Q258" i="1"/>
  <c r="Q261" i="1" s="1"/>
  <c r="Q245" i="1" s="1"/>
  <c r="O254" i="1" s="1"/>
  <c r="O255" i="1" s="1"/>
  <c r="BE7" i="9"/>
  <c r="BE36" i="9"/>
  <c r="CU8" i="3"/>
  <c r="CU4" i="3"/>
  <c r="CX233" i="3"/>
  <c r="CX230" i="3"/>
  <c r="CX174" i="3"/>
  <c r="CX209" i="3"/>
  <c r="CX153" i="3"/>
  <c r="CX169" i="3"/>
  <c r="CX22" i="3"/>
  <c r="CX172" i="3"/>
  <c r="CX19" i="3"/>
  <c r="CX16" i="3"/>
  <c r="CU5" i="3"/>
  <c r="CU6" i="3"/>
  <c r="CU7" i="3"/>
  <c r="DP116" i="3"/>
  <c r="BJ130" i="1" l="1"/>
  <c r="AL130" i="1"/>
  <c r="AL154" i="1"/>
  <c r="BD154" i="1"/>
  <c r="BJ231" i="1"/>
  <c r="BJ218" i="1"/>
  <c r="AL231" i="1"/>
  <c r="AR78" i="1"/>
  <c r="BJ78" i="1"/>
  <c r="AI231" i="1"/>
  <c r="AI174" i="1"/>
  <c r="AI155" i="1"/>
  <c r="AR154" i="1"/>
  <c r="BD78" i="1"/>
  <c r="BJ57" i="1"/>
  <c r="BJ18" i="1"/>
  <c r="AI190" i="1"/>
  <c r="AL199" i="1"/>
  <c r="BD25" i="1"/>
  <c r="AL78" i="1"/>
  <c r="BJ25" i="1"/>
  <c r="BJ207" i="1"/>
  <c r="AL207" i="1"/>
  <c r="BJ72" i="1"/>
  <c r="AL234" i="1"/>
  <c r="AI232" i="1"/>
  <c r="AI25" i="1"/>
  <c r="BJ133" i="1"/>
  <c r="BD108" i="1"/>
  <c r="BJ188" i="1"/>
  <c r="BD210" i="1"/>
  <c r="BJ234" i="1"/>
  <c r="BJ84" i="1"/>
  <c r="AL98" i="1"/>
  <c r="BD227" i="1"/>
  <c r="AL84" i="1"/>
  <c r="AI98" i="1"/>
  <c r="BD67" i="1"/>
  <c r="AL18" i="1"/>
  <c r="AI89" i="1"/>
  <c r="AR84" i="1"/>
  <c r="BD84" i="1"/>
  <c r="AI91" i="1"/>
  <c r="AI234" i="1"/>
  <c r="AL89" i="1"/>
  <c r="AI57" i="1"/>
  <c r="BJ227" i="1"/>
  <c r="BD98" i="1"/>
  <c r="BJ67" i="1"/>
  <c r="AI18" i="1"/>
  <c r="AL67" i="1"/>
  <c r="BD89" i="1"/>
  <c r="AL210" i="1"/>
  <c r="AR134" i="1"/>
  <c r="AI134" i="1"/>
  <c r="AI100" i="1"/>
  <c r="AR100" i="1"/>
  <c r="BJ210" i="1"/>
  <c r="BD14" i="1"/>
  <c r="BD207" i="1"/>
  <c r="AL100" i="1"/>
  <c r="BJ134" i="1"/>
  <c r="AI43" i="1"/>
  <c r="BD100" i="1"/>
  <c r="AI204" i="1"/>
  <c r="BJ211" i="1"/>
  <c r="AL172" i="1"/>
  <c r="AL232" i="1"/>
  <c r="AL68" i="1"/>
  <c r="BJ143" i="1"/>
  <c r="AL143" i="1"/>
  <c r="BJ66" i="1"/>
  <c r="AL112" i="1"/>
  <c r="BJ43" i="1"/>
  <c r="AL106" i="1"/>
  <c r="AL228" i="1"/>
  <c r="BJ95" i="1"/>
  <c r="AL138" i="1"/>
  <c r="AL77" i="1"/>
  <c r="AL105" i="1"/>
  <c r="BJ140" i="1"/>
  <c r="BJ105" i="1"/>
  <c r="AL83" i="1"/>
  <c r="BJ232" i="1"/>
  <c r="AL95" i="1"/>
  <c r="BJ17" i="1"/>
  <c r="BJ178" i="1"/>
  <c r="BJ197" i="1"/>
  <c r="AL194" i="1"/>
  <c r="AL17" i="1"/>
  <c r="AL133" i="1"/>
  <c r="BJ194" i="1"/>
  <c r="AL230" i="1"/>
  <c r="BJ230" i="1"/>
  <c r="AI142" i="1"/>
  <c r="BJ236" i="1"/>
  <c r="AI236" i="1"/>
  <c r="AI118" i="1"/>
  <c r="AI148" i="1"/>
  <c r="BJ44" i="1"/>
  <c r="AI44" i="1"/>
  <c r="BJ112" i="1"/>
  <c r="BJ184" i="1"/>
  <c r="AI184" i="1"/>
  <c r="AI167" i="1"/>
  <c r="AL144" i="1"/>
  <c r="AI144" i="1"/>
  <c r="AI218" i="1"/>
  <c r="BJ147" i="1"/>
  <c r="AI147" i="1"/>
  <c r="AL120" i="1"/>
  <c r="AI120" i="1"/>
  <c r="BJ36" i="1"/>
  <c r="AI36" i="1"/>
  <c r="BJ42" i="1"/>
  <c r="AI42" i="1"/>
  <c r="AI200" i="1"/>
  <c r="BJ63" i="1"/>
  <c r="AI63" i="1"/>
  <c r="BJ129" i="1"/>
  <c r="AL156" i="1"/>
  <c r="BJ226" i="1"/>
  <c r="AL140" i="1"/>
  <c r="AL198" i="1"/>
  <c r="BJ198" i="1"/>
  <c r="AL200" i="1"/>
  <c r="BJ37" i="1"/>
  <c r="AL209" i="1"/>
  <c r="BJ209" i="1"/>
  <c r="AL226" i="1"/>
  <c r="BJ138" i="1"/>
  <c r="BJ88" i="1"/>
  <c r="AL37" i="1"/>
  <c r="AL50" i="1"/>
  <c r="BJ77" i="1"/>
  <c r="BJ83" i="1"/>
  <c r="BJ30" i="1"/>
  <c r="BJ235" i="1"/>
  <c r="BJ136" i="1"/>
  <c r="AL30" i="1"/>
  <c r="BJ92" i="1"/>
  <c r="AL235" i="1"/>
  <c r="AL88" i="1"/>
  <c r="BJ50" i="1"/>
  <c r="AL136" i="1"/>
  <c r="BJ228" i="1"/>
  <c r="BJ94" i="1"/>
  <c r="AL92" i="1"/>
  <c r="AL94" i="1"/>
  <c r="AL82" i="1"/>
  <c r="BJ87" i="1"/>
  <c r="BJ213" i="1"/>
  <c r="AL213" i="1"/>
  <c r="AL173" i="1"/>
  <c r="BJ127" i="1"/>
  <c r="AL188" i="1"/>
  <c r="AL137" i="1"/>
  <c r="AL127" i="1"/>
  <c r="BJ131" i="1"/>
  <c r="BJ26" i="1"/>
  <c r="BJ137" i="1"/>
  <c r="BJ204" i="1"/>
  <c r="AL178" i="1"/>
  <c r="BJ82" i="1"/>
  <c r="AL197" i="1"/>
  <c r="AL131" i="1"/>
  <c r="AL87" i="1"/>
  <c r="BJ120" i="1"/>
  <c r="AL21" i="1"/>
  <c r="AL66" i="1"/>
  <c r="AL38" i="1"/>
  <c r="AL91" i="1"/>
  <c r="BJ199" i="1"/>
  <c r="AL129" i="1"/>
  <c r="BJ68" i="1"/>
  <c r="AL214" i="1"/>
  <c r="BJ173" i="1"/>
  <c r="BJ65" i="1"/>
  <c r="AL60" i="1"/>
  <c r="BJ90" i="1"/>
  <c r="AL75" i="1"/>
  <c r="BJ175" i="1"/>
  <c r="AL189" i="1"/>
  <c r="AL42" i="1"/>
  <c r="BJ206" i="1"/>
  <c r="AL233" i="1"/>
  <c r="AL153" i="1"/>
  <c r="AL195" i="1"/>
  <c r="AL196" i="1"/>
  <c r="AL40" i="1"/>
  <c r="BJ81" i="1"/>
  <c r="BJ185" i="1"/>
  <c r="BJ124" i="1"/>
  <c r="AL184" i="1"/>
  <c r="AL72" i="1"/>
  <c r="BJ167" i="1"/>
  <c r="AL147" i="1"/>
  <c r="BJ172" i="1"/>
  <c r="AL43" i="1"/>
  <c r="BJ122" i="1"/>
  <c r="AL113" i="1"/>
  <c r="AL216" i="1"/>
  <c r="BJ162" i="1"/>
  <c r="AL116" i="1"/>
  <c r="BJ195" i="1"/>
  <c r="BJ28" i="1"/>
  <c r="AL29" i="1"/>
  <c r="BJ56" i="1"/>
  <c r="AL190" i="1"/>
  <c r="BJ144" i="1"/>
  <c r="BJ76" i="1"/>
  <c r="AL205" i="1"/>
  <c r="AL170" i="1"/>
  <c r="BJ60" i="1"/>
  <c r="AL48" i="1"/>
  <c r="BJ75" i="1"/>
  <c r="BJ113" i="1"/>
  <c r="AL124" i="1"/>
  <c r="AL90" i="1"/>
  <c r="BJ79" i="1"/>
  <c r="BJ41" i="1"/>
  <c r="AL122" i="1"/>
  <c r="BJ153" i="1"/>
  <c r="AL128" i="1"/>
  <c r="AL162" i="1"/>
  <c r="BJ116" i="1"/>
  <c r="BJ49" i="1"/>
  <c r="AL175" i="1"/>
  <c r="AL28" i="1"/>
  <c r="AL63" i="1"/>
  <c r="AL65" i="1"/>
  <c r="AL167" i="1"/>
  <c r="AL141" i="1"/>
  <c r="BJ216" i="1"/>
  <c r="BJ29" i="1"/>
  <c r="AL76" i="1"/>
  <c r="AL79" i="1"/>
  <c r="AL41" i="1"/>
  <c r="BJ152" i="1"/>
  <c r="BJ128" i="1"/>
  <c r="BJ233" i="1"/>
  <c r="AL146" i="1"/>
  <c r="BJ163" i="1"/>
  <c r="AL49" i="1"/>
  <c r="BJ217" i="1"/>
  <c r="AL236" i="1"/>
  <c r="BJ110" i="1"/>
  <c r="BJ118" i="1"/>
  <c r="AL22" i="1"/>
  <c r="AL169" i="1"/>
  <c r="AL44" i="1"/>
  <c r="BJ179" i="1"/>
  <c r="BJ48" i="1"/>
  <c r="AL204" i="1"/>
  <c r="BJ190" i="1"/>
  <c r="AL179" i="1"/>
  <c r="BJ214" i="1"/>
  <c r="AL152" i="1"/>
  <c r="BJ156" i="1"/>
  <c r="AL26" i="1"/>
  <c r="BJ146" i="1"/>
  <c r="AL163" i="1"/>
  <c r="AL132" i="1"/>
  <c r="AL217" i="1"/>
  <c r="BJ106" i="1"/>
  <c r="AL117" i="1"/>
  <c r="BJ34" i="1"/>
  <c r="AL61" i="1"/>
  <c r="BJ121" i="1"/>
  <c r="AL182" i="1"/>
  <c r="AM36" i="1"/>
  <c r="AL171" i="1"/>
  <c r="AL180" i="1"/>
  <c r="AL187" i="1"/>
  <c r="BJ205" i="1"/>
  <c r="BJ91" i="1"/>
  <c r="BK36" i="1"/>
  <c r="BJ132" i="1"/>
  <c r="AL85" i="1"/>
  <c r="AL121" i="1"/>
  <c r="AL34" i="1"/>
  <c r="AL161" i="1"/>
  <c r="BJ117" i="1"/>
  <c r="AL212" i="1"/>
  <c r="BJ189" i="1"/>
  <c r="BJ180" i="1"/>
  <c r="BJ182" i="1"/>
  <c r="AL36" i="1"/>
  <c r="BJ85" i="1"/>
  <c r="BJ38" i="1"/>
  <c r="BJ161" i="1"/>
  <c r="AL56" i="1"/>
  <c r="BJ170" i="1"/>
  <c r="AL185" i="1"/>
  <c r="BJ21" i="1"/>
  <c r="BJ212" i="1"/>
  <c r="BJ119" i="1"/>
  <c r="BJ61" i="1"/>
  <c r="AL119" i="1"/>
  <c r="AL206" i="1"/>
  <c r="BJ187" i="1"/>
  <c r="BJ171" i="1"/>
  <c r="AH199" i="1"/>
  <c r="AL35" i="1"/>
  <c r="BJ169" i="1"/>
  <c r="BJ142" i="1"/>
  <c r="AL110" i="1"/>
  <c r="BJ148" i="1"/>
  <c r="AL142" i="1"/>
  <c r="AL148" i="1"/>
  <c r="BJ165" i="1"/>
  <c r="AL165" i="1"/>
  <c r="BJ27" i="1"/>
  <c r="BJ196" i="1"/>
  <c r="AL81" i="1"/>
  <c r="AL27" i="1"/>
  <c r="BJ22" i="1"/>
  <c r="BJ40" i="1"/>
  <c r="AH129" i="1"/>
  <c r="BJ35" i="1"/>
  <c r="AL118" i="1"/>
  <c r="AJ185" i="1"/>
  <c r="AK185" i="1" s="1"/>
  <c r="AH185" i="1"/>
  <c r="AH19" i="1"/>
  <c r="AJ207" i="1"/>
  <c r="AK207" i="1" s="1"/>
  <c r="AH207" i="1"/>
  <c r="BF70" i="9" s="1"/>
  <c r="AJ202" i="1"/>
  <c r="AK202" i="1" s="1"/>
  <c r="AH172" i="1"/>
  <c r="AJ172" i="1"/>
  <c r="AK172" i="1" s="1"/>
  <c r="AJ105" i="1"/>
  <c r="AK105" i="1" s="1"/>
  <c r="AJ138" i="1"/>
  <c r="AK138" i="1" s="1"/>
  <c r="AH138" i="1"/>
  <c r="BF45" i="9" s="1"/>
  <c r="AH216" i="1"/>
  <c r="AJ233" i="1"/>
  <c r="AK233" i="1" s="1"/>
  <c r="AH233" i="1"/>
  <c r="AH82" i="1"/>
  <c r="AJ90" i="1"/>
  <c r="AK90" i="1" s="1"/>
  <c r="AH90" i="1"/>
  <c r="AJ37" i="1"/>
  <c r="AK37" i="1" s="1"/>
  <c r="AJ175" i="1"/>
  <c r="AK175" i="1" s="1"/>
  <c r="AJ171" i="1"/>
  <c r="AK171" i="1" s="1"/>
  <c r="AH165" i="1"/>
  <c r="AJ198" i="1"/>
  <c r="AK198" i="1" s="1"/>
  <c r="AH198" i="1"/>
  <c r="AH196" i="1"/>
  <c r="AJ196" i="1"/>
  <c r="AK196" i="1" s="1"/>
  <c r="AJ159" i="1"/>
  <c r="AK159" i="1" s="1"/>
  <c r="AH159" i="1"/>
  <c r="AJ194" i="1"/>
  <c r="AK194" i="1" s="1"/>
  <c r="AH194" i="1"/>
  <c r="AJ192" i="1"/>
  <c r="AK192" i="1" s="1"/>
  <c r="AH118" i="1"/>
  <c r="AJ147" i="1"/>
  <c r="AK147" i="1" s="1"/>
  <c r="AH147" i="1"/>
  <c r="BF43" i="9" s="1"/>
  <c r="AJ121" i="1"/>
  <c r="AK121" i="1" s="1"/>
  <c r="AH121" i="1"/>
  <c r="AH21" i="1"/>
  <c r="AH26" i="1"/>
  <c r="AJ124" i="1"/>
  <c r="AK124" i="1" s="1"/>
  <c r="AH48" i="1"/>
  <c r="AJ48" i="1"/>
  <c r="AK48" i="1" s="1"/>
  <c r="AJ117" i="1"/>
  <c r="AK117" i="1" s="1"/>
  <c r="AH117" i="1"/>
  <c r="BF35" i="9" s="1"/>
  <c r="AH212" i="1"/>
  <c r="AJ120" i="1"/>
  <c r="AK120" i="1" s="1"/>
  <c r="AH140" i="1"/>
  <c r="AH180" i="1"/>
  <c r="AJ180" i="1"/>
  <c r="AK180" i="1" s="1"/>
  <c r="AH13" i="1"/>
  <c r="AJ71" i="1"/>
  <c r="AK71" i="1" s="1"/>
  <c r="AJ65" i="1"/>
  <c r="AK65" i="1" s="1"/>
  <c r="AH65" i="1"/>
  <c r="AJ228" i="1"/>
  <c r="AK228" i="1" s="1"/>
  <c r="AJ127" i="1"/>
  <c r="AK127" i="1" s="1"/>
  <c r="AH127" i="1"/>
  <c r="AH104" i="1"/>
  <c r="AJ104" i="1"/>
  <c r="AK104" i="1" s="1"/>
  <c r="AH70" i="1"/>
  <c r="AH164" i="1"/>
  <c r="AH47" i="1"/>
  <c r="AH218" i="1"/>
  <c r="AJ93" i="1"/>
  <c r="AK93" i="1" s="1"/>
  <c r="AH93" i="1"/>
  <c r="AJ85" i="1"/>
  <c r="AK85" i="1" s="1"/>
  <c r="AH152" i="1"/>
  <c r="AJ152" i="1"/>
  <c r="AK152" i="1" s="1"/>
  <c r="AJ169" i="1"/>
  <c r="AK169" i="1" s="1"/>
  <c r="AH169" i="1"/>
  <c r="AJ162" i="1"/>
  <c r="AK162" i="1" s="1"/>
  <c r="AH162" i="1"/>
  <c r="BF55" i="9" s="1"/>
  <c r="AJ110" i="1"/>
  <c r="AK110" i="1" s="1"/>
  <c r="AH110" i="1"/>
  <c r="AH56" i="1"/>
  <c r="AJ188" i="1"/>
  <c r="AK188" i="1" s="1"/>
  <c r="AH232" i="1"/>
  <c r="AJ232" i="1"/>
  <c r="AK232" i="1" s="1"/>
  <c r="AJ151" i="1"/>
  <c r="AK151" i="1" s="1"/>
  <c r="AJ64" i="1"/>
  <c r="AK64" i="1" s="1"/>
  <c r="AH184" i="1"/>
  <c r="AJ184" i="1"/>
  <c r="AK184" i="1" s="1"/>
  <c r="AH108" i="1"/>
  <c r="AJ108" i="1"/>
  <c r="AK108" i="1" s="1"/>
  <c r="AJ98" i="1"/>
  <c r="AK98" i="1" s="1"/>
  <c r="AH98" i="1"/>
  <c r="AJ91" i="1"/>
  <c r="AK91" i="1" s="1"/>
  <c r="AH91" i="1"/>
  <c r="AJ190" i="1"/>
  <c r="AK190" i="1" s="1"/>
  <c r="AH190" i="1"/>
  <c r="AH143" i="1"/>
  <c r="AH206" i="1"/>
  <c r="AJ213" i="1"/>
  <c r="AK213" i="1" s="1"/>
  <c r="AH213" i="1"/>
  <c r="BF67" i="9" s="1"/>
  <c r="AJ60" i="1"/>
  <c r="AK60" i="1" s="1"/>
  <c r="AH83" i="1"/>
  <c r="AJ49" i="1"/>
  <c r="AK49" i="1" s="1"/>
  <c r="AH49" i="1"/>
  <c r="AJ189" i="1"/>
  <c r="AK189" i="1" s="1"/>
  <c r="AH189" i="1"/>
  <c r="AH204" i="1"/>
  <c r="AJ204" i="1"/>
  <c r="AK204" i="1" s="1"/>
  <c r="AJ167" i="1"/>
  <c r="AK167" i="1" s="1"/>
  <c r="AJ170" i="1"/>
  <c r="AK170" i="1" s="1"/>
  <c r="AJ148" i="1"/>
  <c r="AK148" i="1" s="1"/>
  <c r="AJ42" i="1"/>
  <c r="AK42" i="1" s="1"/>
  <c r="AH42" i="1"/>
  <c r="AH14" i="1"/>
  <c r="AJ153" i="1"/>
  <c r="AK153" i="1" s="1"/>
  <c r="AH153" i="1"/>
  <c r="AJ210" i="1"/>
  <c r="AK210" i="1" s="1"/>
  <c r="AH210" i="1"/>
  <c r="BF65" i="9" s="1"/>
  <c r="AJ43" i="1"/>
  <c r="AK43" i="1" s="1"/>
  <c r="AH43" i="1"/>
  <c r="AH200" i="1"/>
  <c r="AJ113" i="1"/>
  <c r="AK113" i="1" s="1"/>
  <c r="AH113" i="1"/>
  <c r="AH40" i="1"/>
  <c r="AJ40" i="1"/>
  <c r="AK40" i="1" s="1"/>
  <c r="AH122" i="1"/>
  <c r="AH77" i="1"/>
  <c r="AJ34" i="1"/>
  <c r="AK34" i="1" s="1"/>
  <c r="AJ128" i="1"/>
  <c r="AK128" i="1" s="1"/>
  <c r="AJ116" i="1"/>
  <c r="AK116" i="1" s="1"/>
  <c r="AJ133" i="1"/>
  <c r="AK133" i="1" s="1"/>
  <c r="AH133" i="1"/>
  <c r="AJ119" i="1"/>
  <c r="AK119" i="1" s="1"/>
  <c r="AH86" i="1"/>
  <c r="AH144" i="1"/>
  <c r="AJ144" i="1"/>
  <c r="AK144" i="1" s="1"/>
  <c r="AJ89" i="1"/>
  <c r="AK89" i="1" s="1"/>
  <c r="AH89" i="1"/>
  <c r="AJ106" i="1"/>
  <c r="AK106" i="1" s="1"/>
  <c r="AJ182" i="1"/>
  <c r="AK182" i="1" s="1"/>
  <c r="AH182" i="1"/>
  <c r="BF60" i="9" s="1"/>
  <c r="AH32" i="1"/>
  <c r="AJ158" i="1"/>
  <c r="AK158" i="1" s="1"/>
  <c r="AH158" i="1"/>
  <c r="AJ67" i="1"/>
  <c r="AK67" i="1" s="1"/>
  <c r="AH67" i="1"/>
  <c r="BF18" i="9" s="1"/>
  <c r="AJ62" i="1"/>
  <c r="AK62" i="1" s="1"/>
  <c r="AJ73" i="1"/>
  <c r="AK73" i="1" s="1"/>
  <c r="AJ231" i="1"/>
  <c r="AK231" i="1" s="1"/>
  <c r="AH231" i="1"/>
  <c r="AH97" i="1"/>
  <c r="AJ81" i="1"/>
  <c r="AK81" i="1" s="1"/>
  <c r="AH81" i="1"/>
  <c r="AJ30" i="1"/>
  <c r="AK30" i="1" s="1"/>
  <c r="AH72" i="1"/>
  <c r="AJ72" i="1"/>
  <c r="AK72" i="1" s="1"/>
  <c r="AJ209" i="1"/>
  <c r="AK209" i="1" s="1"/>
  <c r="AH209" i="1"/>
  <c r="AJ92" i="1"/>
  <c r="AK92" i="1" s="1"/>
  <c r="AJ75" i="1"/>
  <c r="AK75" i="1" s="1"/>
  <c r="AH75" i="1"/>
  <c r="AJ107" i="1"/>
  <c r="AK107" i="1" s="1"/>
  <c r="AJ174" i="1"/>
  <c r="AK174" i="1" s="1"/>
  <c r="AH174" i="1"/>
  <c r="AJ149" i="1"/>
  <c r="AK149" i="1" s="1"/>
  <c r="AH149" i="1"/>
  <c r="AJ125" i="1"/>
  <c r="AK125" i="1" s="1"/>
  <c r="AJ99" i="1"/>
  <c r="AK99" i="1" s="1"/>
  <c r="AH224" i="1"/>
  <c r="AJ100" i="1"/>
  <c r="AK100" i="1" s="1"/>
  <c r="AH156" i="1"/>
  <c r="BF48" i="9" s="1"/>
  <c r="AJ156" i="1"/>
  <c r="AK156" i="1" s="1"/>
  <c r="AJ195" i="1"/>
  <c r="AK195" i="1" s="1"/>
  <c r="AH195" i="1"/>
  <c r="AH22" i="1"/>
  <c r="AH236" i="1"/>
  <c r="AJ236" i="1"/>
  <c r="AK236" i="1" s="1"/>
  <c r="AH29" i="1"/>
  <c r="AJ87" i="1"/>
  <c r="AK87" i="1" s="1"/>
  <c r="AH87" i="1"/>
  <c r="AH141" i="1"/>
  <c r="AH225" i="1"/>
  <c r="AJ134" i="1"/>
  <c r="AK134" i="1" s="1"/>
  <c r="AJ205" i="1"/>
  <c r="AK205" i="1" s="1"/>
  <c r="AH205" i="1"/>
  <c r="AJ211" i="1"/>
  <c r="AK211" i="1" s="1"/>
  <c r="AH211" i="1"/>
  <c r="AJ126" i="1"/>
  <c r="AK126" i="1" s="1"/>
  <c r="AH135" i="1"/>
  <c r="AJ183" i="1"/>
  <c r="AK183" i="1" s="1"/>
  <c r="AH183" i="1"/>
  <c r="AJ79" i="1"/>
  <c r="AK79" i="1" s="1"/>
  <c r="AJ63" i="1"/>
  <c r="AK63" i="1" s="1"/>
  <c r="AH63" i="1"/>
  <c r="AH136" i="1"/>
  <c r="AJ136" i="1"/>
  <c r="AK136" i="1" s="1"/>
  <c r="AJ146" i="1"/>
  <c r="AK146" i="1" s="1"/>
  <c r="AH146" i="1"/>
  <c r="BF44" i="9" s="1"/>
  <c r="AJ173" i="1"/>
  <c r="AK173" i="1" s="1"/>
  <c r="AJ155" i="1"/>
  <c r="AK155" i="1" s="1"/>
  <c r="AH155" i="1"/>
  <c r="BF50" i="9" s="1"/>
  <c r="AJ230" i="1"/>
  <c r="AK230" i="1" s="1"/>
  <c r="AH230" i="1"/>
  <c r="AH66" i="1"/>
  <c r="AJ130" i="1"/>
  <c r="AK130" i="1" s="1"/>
  <c r="AH130" i="1"/>
  <c r="AH18" i="1"/>
  <c r="AJ54" i="1"/>
  <c r="AK54" i="1" s="1"/>
  <c r="AJ45" i="1"/>
  <c r="AK45" i="1" s="1"/>
  <c r="AH45" i="1"/>
  <c r="AJ201" i="1"/>
  <c r="AK201" i="1" s="1"/>
  <c r="AH150" i="1"/>
  <c r="AH193" i="1"/>
  <c r="AJ227" i="1"/>
  <c r="AK227" i="1" s="1"/>
  <c r="AH227" i="1"/>
  <c r="AJ84" i="1"/>
  <c r="AK84" i="1" s="1"/>
  <c r="AJ61" i="1"/>
  <c r="AK61" i="1" s="1"/>
  <c r="AH61" i="1"/>
  <c r="AH68" i="1"/>
  <c r="AJ41" i="1"/>
  <c r="AK41" i="1" s="1"/>
  <c r="AH41" i="1"/>
  <c r="BF7" i="9" s="1"/>
  <c r="AJ226" i="1"/>
  <c r="AK226" i="1" s="1"/>
  <c r="AJ38" i="1"/>
  <c r="AK38" i="1" s="1"/>
  <c r="AH38" i="1"/>
  <c r="AH36" i="1"/>
  <c r="AJ36" i="1"/>
  <c r="AJ161" i="1"/>
  <c r="AK161" i="1" s="1"/>
  <c r="AJ142" i="1"/>
  <c r="AK142" i="1" s="1"/>
  <c r="AH95" i="1"/>
  <c r="AJ88" i="1"/>
  <c r="AK88" i="1" s="1"/>
  <c r="AH132" i="1"/>
  <c r="AJ197" i="1"/>
  <c r="AK197" i="1" s="1"/>
  <c r="AH197" i="1"/>
  <c r="AJ94" i="1"/>
  <c r="AK94" i="1" s="1"/>
  <c r="AH94" i="1"/>
  <c r="AH28" i="1"/>
  <c r="BF6" i="9" s="1"/>
  <c r="AH112" i="1"/>
  <c r="AJ112" i="1"/>
  <c r="AK112" i="1" s="1"/>
  <c r="AJ235" i="1"/>
  <c r="AK235" i="1" s="1"/>
  <c r="AH235" i="1"/>
  <c r="BF77" i="9" s="1"/>
  <c r="AJ31" i="1"/>
  <c r="AK31" i="1" s="1"/>
  <c r="AJ137" i="1"/>
  <c r="AK137" i="1" s="1"/>
  <c r="AH137" i="1"/>
  <c r="AJ154" i="1"/>
  <c r="AK154" i="1" s="1"/>
  <c r="AJ178" i="1"/>
  <c r="AK178" i="1" s="1"/>
  <c r="AH178" i="1"/>
  <c r="AJ177" i="1"/>
  <c r="AK177" i="1" s="1"/>
  <c r="AH177" i="1"/>
  <c r="AH33" i="1"/>
  <c r="AJ234" i="1"/>
  <c r="AK234" i="1" s="1"/>
  <c r="AH234" i="1"/>
  <c r="AJ57" i="1"/>
  <c r="AK57" i="1" s="1"/>
  <c r="AH57" i="1"/>
  <c r="AJ50" i="1"/>
  <c r="AK50" i="1" s="1"/>
  <c r="AH50" i="1"/>
  <c r="AJ179" i="1"/>
  <c r="AK179" i="1" s="1"/>
  <c r="AJ214" i="1"/>
  <c r="AK214" i="1" s="1"/>
  <c r="AH131" i="1"/>
  <c r="AJ187" i="1"/>
  <c r="AK187" i="1" s="1"/>
  <c r="AJ163" i="1"/>
  <c r="AK163" i="1" s="1"/>
  <c r="AH163" i="1"/>
  <c r="AH44" i="1"/>
  <c r="AJ217" i="1"/>
  <c r="AK217" i="1" s="1"/>
  <c r="AH217" i="1"/>
  <c r="AH76" i="1"/>
  <c r="AJ76" i="1"/>
  <c r="AK76" i="1" s="1"/>
  <c r="AJ78" i="1"/>
  <c r="AK78" i="1" s="1"/>
  <c r="BD7" i="9"/>
  <c r="BD77" i="9"/>
  <c r="BD6" i="9"/>
  <c r="BD70" i="9"/>
  <c r="BD50" i="9"/>
  <c r="BD45" i="9"/>
  <c r="BD43" i="9"/>
  <c r="BD35" i="9"/>
  <c r="BD18" i="9"/>
  <c r="BD55" i="9"/>
  <c r="BD67" i="9"/>
  <c r="BD60" i="9"/>
  <c r="BD65" i="9"/>
  <c r="BD48" i="9"/>
  <c r="BD44" i="9"/>
  <c r="P254" i="1"/>
  <c r="P255" i="1" s="1"/>
  <c r="N2" i="1"/>
  <c r="P3" i="1" s="1"/>
  <c r="J9" i="1"/>
  <c r="S297" i="1" s="1"/>
  <c r="N6" i="1"/>
  <c r="K254" i="1"/>
  <c r="K255" i="1" s="1"/>
  <c r="N5" i="1"/>
  <c r="N244" i="1"/>
  <c r="N261" i="1" s="1"/>
  <c r="N245" i="1" s="1"/>
  <c r="N254" i="1" s="1"/>
  <c r="N255" i="1" s="1"/>
  <c r="N4" i="1"/>
  <c r="L244" i="1"/>
  <c r="L261" i="1" s="1"/>
  <c r="L245" i="1" s="1"/>
  <c r="L254" i="1" s="1"/>
  <c r="L255" i="1" s="1"/>
  <c r="AK36" i="1" l="1"/>
  <c r="N8" i="1"/>
  <c r="M244" i="1"/>
  <c r="M261" i="1" s="1"/>
  <c r="M245" i="1" s="1"/>
  <c r="M254" i="1" s="1"/>
  <c r="M255" i="1" s="1"/>
  <c r="O244" i="1" l="1"/>
  <c r="O261" i="1" s="1"/>
  <c r="O245" i="1" s="1"/>
  <c r="P245" i="1" s="1"/>
  <c r="F199" i="2" l="1"/>
  <c r="F198" i="2"/>
  <c r="V186" i="1" s="1"/>
  <c r="F196" i="2"/>
  <c r="V229" i="1" s="1"/>
  <c r="F195" i="2"/>
  <c r="V228" i="1" s="1"/>
  <c r="F194" i="2"/>
  <c r="V225" i="1" s="1"/>
  <c r="F193" i="2"/>
  <c r="V220" i="1" s="1"/>
  <c r="F192" i="2"/>
  <c r="V207" i="1" s="1"/>
  <c r="F191" i="2"/>
  <c r="V215" i="1" s="1"/>
  <c r="F190" i="2"/>
  <c r="V214" i="1" s="1"/>
  <c r="F189" i="2"/>
  <c r="V216" i="1" s="1"/>
  <c r="F188" i="2"/>
  <c r="V206" i="1" s="1"/>
  <c r="F187" i="2"/>
  <c r="V208" i="1" s="1"/>
  <c r="F185" i="2"/>
  <c r="V201" i="1" s="1"/>
  <c r="F184" i="2"/>
  <c r="F183" i="2"/>
  <c r="V190" i="1" s="1"/>
  <c r="F182" i="2"/>
  <c r="V179" i="1" s="1"/>
  <c r="F181" i="2"/>
  <c r="V70" i="1" s="1"/>
  <c r="F180" i="2"/>
  <c r="V199" i="1" s="1"/>
  <c r="F179" i="2"/>
  <c r="V181" i="1" s="1"/>
  <c r="F178" i="2"/>
  <c r="V176" i="1" s="1"/>
  <c r="F177" i="2"/>
  <c r="V175" i="1" s="1"/>
  <c r="F176" i="2"/>
  <c r="V173" i="1" s="1"/>
  <c r="F175" i="2"/>
  <c r="F174" i="2"/>
  <c r="V166" i="1" s="1"/>
  <c r="F173" i="2"/>
  <c r="V114" i="1" s="1"/>
  <c r="F172" i="2"/>
  <c r="V170" i="1" s="1"/>
  <c r="F171" i="2"/>
  <c r="V168" i="1" s="1"/>
  <c r="F170" i="2"/>
  <c r="V164" i="1" s="1"/>
  <c r="F169" i="2"/>
  <c r="V161" i="1" s="1"/>
  <c r="F168" i="2"/>
  <c r="V151" i="1" s="1"/>
  <c r="F167" i="2"/>
  <c r="V157" i="1" s="1"/>
  <c r="F166" i="2"/>
  <c r="V131" i="1" s="1"/>
  <c r="F165" i="2"/>
  <c r="V143" i="1" s="1"/>
  <c r="F164" i="2"/>
  <c r="F163" i="2"/>
  <c r="V128" i="1" s="1"/>
  <c r="F162" i="2"/>
  <c r="V141" i="1" s="1"/>
  <c r="F161" i="2"/>
  <c r="V145" i="1" s="1"/>
  <c r="F160" i="2"/>
  <c r="V193" i="1" s="1"/>
  <c r="F159" i="2"/>
  <c r="V124" i="1" s="1"/>
  <c r="F157" i="2"/>
  <c r="V116" i="1" s="1"/>
  <c r="F156" i="2"/>
  <c r="V117" i="1" s="1"/>
  <c r="F155" i="2"/>
  <c r="V112" i="1" s="1"/>
  <c r="F154" i="2"/>
  <c r="V111" i="1" s="1"/>
  <c r="F153" i="2"/>
  <c r="V110" i="1" s="1"/>
  <c r="F152" i="2"/>
  <c r="V106" i="1" s="1"/>
  <c r="AH106" i="1" s="1"/>
  <c r="F151" i="2"/>
  <c r="V104" i="1" s="1"/>
  <c r="F150" i="2"/>
  <c r="V103" i="1" s="1"/>
  <c r="F147" i="2"/>
  <c r="V97" i="1" s="1"/>
  <c r="F146" i="2"/>
  <c r="V92" i="1" s="1"/>
  <c r="F145" i="2"/>
  <c r="V71" i="1" s="1"/>
  <c r="F144" i="2"/>
  <c r="V86" i="1" s="1"/>
  <c r="F143" i="2"/>
  <c r="V84" i="1" s="1"/>
  <c r="F134" i="2"/>
  <c r="V39" i="1" s="1"/>
  <c r="F133" i="2"/>
  <c r="F132" i="2"/>
  <c r="V34" i="1" s="1"/>
  <c r="F131" i="2"/>
  <c r="V30" i="1" s="1"/>
  <c r="F130" i="2"/>
  <c r="V37" i="1" s="1"/>
  <c r="F129" i="2"/>
  <c r="V27" i="1" s="1"/>
  <c r="F128" i="2"/>
  <c r="V41" i="1" s="1"/>
  <c r="F127" i="2"/>
  <c r="V43" i="1" s="1"/>
  <c r="F126" i="2"/>
  <c r="V25" i="1" s="1"/>
  <c r="F125" i="2"/>
  <c r="V23" i="1" s="1"/>
  <c r="F123" i="2"/>
  <c r="V17" i="1" s="1"/>
  <c r="F122" i="2"/>
  <c r="V14" i="1" s="1"/>
  <c r="F121" i="2"/>
  <c r="V236" i="1" s="1"/>
  <c r="F120" i="2"/>
  <c r="V235" i="1" s="1"/>
  <c r="F119" i="2"/>
  <c r="V191" i="1" s="1"/>
  <c r="F118" i="2"/>
  <c r="V234" i="1" s="1"/>
  <c r="F117" i="2"/>
  <c r="V178" i="1" s="1"/>
  <c r="F116" i="2"/>
  <c r="V226" i="1" s="1"/>
  <c r="F115" i="2"/>
  <c r="V198" i="1" s="1"/>
  <c r="F114" i="2"/>
  <c r="V223" i="1" s="1"/>
  <c r="F113" i="2"/>
  <c r="V224" i="1" s="1"/>
  <c r="F111" i="2"/>
  <c r="V218" i="1" s="1"/>
  <c r="F109" i="2"/>
  <c r="V212" i="1" s="1"/>
  <c r="F108" i="2"/>
  <c r="V209" i="1" s="1"/>
  <c r="F107" i="2"/>
  <c r="V210" i="1" s="1"/>
  <c r="F106" i="2"/>
  <c r="V50" i="1" s="1"/>
  <c r="F105" i="2"/>
  <c r="V184" i="1" s="1"/>
  <c r="F104" i="2"/>
  <c r="V202" i="1" s="1"/>
  <c r="F103" i="2"/>
  <c r="V188" i="1" s="1"/>
  <c r="F100" i="2"/>
  <c r="V180" i="1" s="1"/>
  <c r="F99" i="2"/>
  <c r="V185" i="1" s="1"/>
  <c r="F97" i="2"/>
  <c r="V182" i="1" s="1"/>
  <c r="F96" i="2"/>
  <c r="V177" i="1" s="1"/>
  <c r="F95" i="2"/>
  <c r="V171" i="1" s="1"/>
  <c r="F94" i="2"/>
  <c r="V165" i="1" s="1"/>
  <c r="F93" i="2"/>
  <c r="V163" i="1" s="1"/>
  <c r="F92" i="2"/>
  <c r="V167" i="1" s="1"/>
  <c r="F91" i="2"/>
  <c r="V162" i="1" s="1"/>
  <c r="F90" i="2"/>
  <c r="V154" i="1" s="1"/>
  <c r="F89" i="2"/>
  <c r="V149" i="1" s="1"/>
  <c r="F88" i="2"/>
  <c r="V150" i="1" s="1"/>
  <c r="F87" i="2"/>
  <c r="V160" i="1" s="1"/>
  <c r="F86" i="2"/>
  <c r="V155" i="1" s="1"/>
  <c r="F85" i="2"/>
  <c r="V156" i="1" s="1"/>
  <c r="F84" i="2"/>
  <c r="V148" i="1" s="1"/>
  <c r="F83" i="2"/>
  <c r="V130" i="1" s="1"/>
  <c r="F82" i="2"/>
  <c r="V138" i="1" s="1"/>
  <c r="F81" i="2"/>
  <c r="V137" i="1" s="1"/>
  <c r="F80" i="2"/>
  <c r="V146" i="1" s="1"/>
  <c r="F79" i="2"/>
  <c r="V147" i="1" s="1"/>
  <c r="F78" i="2"/>
  <c r="V134" i="1" s="1"/>
  <c r="F77" i="2"/>
  <c r="V133" i="1" s="1"/>
  <c r="F76" i="2"/>
  <c r="V135" i="1" s="1"/>
  <c r="F73" i="2"/>
  <c r="V129" i="1" s="1"/>
  <c r="F72" i="2"/>
  <c r="V142" i="1" s="1"/>
  <c r="F71" i="2"/>
  <c r="V119" i="1" s="1"/>
  <c r="F70" i="2"/>
  <c r="V126" i="1" s="1"/>
  <c r="F69" i="2"/>
  <c r="V125" i="1" s="1"/>
  <c r="F68" i="2"/>
  <c r="V121" i="1" s="1"/>
  <c r="F65" i="2"/>
  <c r="V120" i="1" s="1"/>
  <c r="F64" i="2"/>
  <c r="V118" i="1" s="1"/>
  <c r="F63" i="2"/>
  <c r="V115" i="1" s="1"/>
  <c r="F61" i="2"/>
  <c r="V113" i="1" s="1"/>
  <c r="F60" i="2"/>
  <c r="V44" i="1" s="1"/>
  <c r="F59" i="2"/>
  <c r="V109" i="1" s="1"/>
  <c r="F58" i="2"/>
  <c r="V108" i="1" s="1"/>
  <c r="F57" i="2"/>
  <c r="V107" i="1" s="1"/>
  <c r="F56" i="2"/>
  <c r="V100" i="1" s="1"/>
  <c r="F55" i="2"/>
  <c r="V105" i="1" s="1"/>
  <c r="F54" i="2"/>
  <c r="V99" i="1" s="1"/>
  <c r="F52" i="2"/>
  <c r="V60" i="1" s="1"/>
  <c r="F50" i="2"/>
  <c r="V90" i="1" s="1"/>
  <c r="F49" i="2"/>
  <c r="V88" i="1" s="1"/>
  <c r="F48" i="2"/>
  <c r="V94" i="1" s="1"/>
  <c r="F47" i="2"/>
  <c r="V83" i="1" s="1"/>
  <c r="F46" i="2"/>
  <c r="V93" i="1" s="1"/>
  <c r="F45" i="2"/>
  <c r="V222" i="1" s="1"/>
  <c r="F44" i="2"/>
  <c r="V82" i="1" s="1"/>
  <c r="F42" i="2"/>
  <c r="V79" i="1" s="1"/>
  <c r="F41" i="2"/>
  <c r="V77" i="1" s="1"/>
  <c r="F40" i="2"/>
  <c r="V78" i="1" s="1"/>
  <c r="F39" i="2"/>
  <c r="V74" i="1" s="1"/>
  <c r="F38" i="2"/>
  <c r="V73" i="1" s="1"/>
  <c r="F37" i="2"/>
  <c r="V192" i="1" s="1"/>
  <c r="F36" i="2"/>
  <c r="V72" i="1" s="1"/>
  <c r="F35" i="2"/>
  <c r="V68" i="1" s="1"/>
  <c r="F34" i="2"/>
  <c r="V67" i="1" s="1"/>
  <c r="F33" i="2"/>
  <c r="V64" i="1" s="1"/>
  <c r="F32" i="2"/>
  <c r="V66" i="1" s="1"/>
  <c r="F30" i="2"/>
  <c r="V85" i="1" s="1"/>
  <c r="F29" i="2"/>
  <c r="V63" i="1" s="1"/>
  <c r="F28" i="2"/>
  <c r="V62" i="1" s="1"/>
  <c r="F27" i="2"/>
  <c r="V58" i="1" s="1"/>
  <c r="F25" i="2"/>
  <c r="V54" i="1" s="1"/>
  <c r="F24" i="2"/>
  <c r="V53" i="1" s="1"/>
  <c r="F23" i="2"/>
  <c r="V56" i="1" s="1"/>
  <c r="F22" i="2"/>
  <c r="V55" i="1" s="1"/>
  <c r="F21" i="2"/>
  <c r="V52" i="1" s="1"/>
  <c r="F20" i="2"/>
  <c r="V51" i="1" s="1"/>
  <c r="F19" i="2"/>
  <c r="V203" i="1" s="1"/>
  <c r="F18" i="2"/>
  <c r="V46" i="1" s="1"/>
  <c r="F17" i="2"/>
  <c r="V49" i="1" s="1"/>
  <c r="F16" i="2"/>
  <c r="V35" i="1" s="1"/>
  <c r="F15" i="2"/>
  <c r="V29" i="1" s="1"/>
  <c r="F14" i="2"/>
  <c r="V32" i="1" s="1"/>
  <c r="F13" i="2"/>
  <c r="V26" i="1" s="1"/>
  <c r="F12" i="2"/>
  <c r="V28" i="1" s="1"/>
  <c r="F11" i="2"/>
  <c r="V42" i="1" s="1"/>
  <c r="F10" i="2"/>
  <c r="V33" i="1" s="1"/>
  <c r="F9" i="2"/>
  <c r="V31" i="1" s="1"/>
  <c r="F8" i="2"/>
  <c r="V24" i="1" s="1"/>
  <c r="F6" i="2"/>
  <c r="V21" i="1" s="1"/>
  <c r="F5" i="2"/>
  <c r="V20" i="1" s="1"/>
  <c r="H1" i="2"/>
  <c r="F200" i="2" s="1"/>
  <c r="V158" i="1" s="1"/>
  <c r="BM128" i="1" l="1"/>
  <c r="BL128" i="1"/>
  <c r="AM128" i="1"/>
  <c r="AG128" i="1"/>
  <c r="AO128" i="1"/>
  <c r="AN128" i="1"/>
  <c r="BT128" i="1" s="1"/>
  <c r="BK128" i="1"/>
  <c r="AH128" i="1"/>
  <c r="AO82" i="1"/>
  <c r="BM82" i="1"/>
  <c r="BL82" i="1"/>
  <c r="AN82" i="1"/>
  <c r="BT82" i="1" s="1"/>
  <c r="AG82" i="1"/>
  <c r="BF23" i="9" s="1"/>
  <c r="AM82" i="1"/>
  <c r="BK82" i="1"/>
  <c r="AJ82" i="1"/>
  <c r="AK82" i="1" s="1"/>
  <c r="AO226" i="1"/>
  <c r="BM226" i="1"/>
  <c r="AG226" i="1"/>
  <c r="BL226" i="1"/>
  <c r="AN226" i="1"/>
  <c r="BT226" i="1" s="1"/>
  <c r="AM226" i="1"/>
  <c r="BK226" i="1"/>
  <c r="AH226" i="1"/>
  <c r="AO66" i="1"/>
  <c r="BM66" i="1"/>
  <c r="AG66" i="1"/>
  <c r="AN66" i="1"/>
  <c r="BT66" i="1" s="1"/>
  <c r="BL66" i="1"/>
  <c r="AM66" i="1"/>
  <c r="AJ66" i="1"/>
  <c r="AK66" i="1" s="1"/>
  <c r="BK66" i="1"/>
  <c r="AO109" i="1"/>
  <c r="BM109" i="1"/>
  <c r="BK109" i="1"/>
  <c r="AM109" i="1"/>
  <c r="AG109" i="1"/>
  <c r="BL109" i="1"/>
  <c r="AH109" i="1"/>
  <c r="BF33" i="9" s="1"/>
  <c r="AN109" i="1"/>
  <c r="BT109" i="1" s="1"/>
  <c r="BM143" i="1"/>
  <c r="AO143" i="1"/>
  <c r="AN143" i="1"/>
  <c r="BT143" i="1" s="1"/>
  <c r="AG143" i="1"/>
  <c r="BK143" i="1"/>
  <c r="AM143" i="1"/>
  <c r="BL143" i="1"/>
  <c r="AJ143" i="1"/>
  <c r="AK143" i="1" s="1"/>
  <c r="AG30" i="1"/>
  <c r="AO30" i="1"/>
  <c r="BL30" i="1"/>
  <c r="BK30" i="1"/>
  <c r="AN30" i="1"/>
  <c r="BT30" i="1" s="1"/>
  <c r="AM30" i="1"/>
  <c r="BM30" i="1"/>
  <c r="AH30" i="1"/>
  <c r="AO29" i="1"/>
  <c r="BM29" i="1"/>
  <c r="AG29" i="1"/>
  <c r="BL29" i="1"/>
  <c r="AN29" i="1"/>
  <c r="BT29" i="1" s="1"/>
  <c r="AM29" i="1"/>
  <c r="AJ29" i="1"/>
  <c r="AK29" i="1" s="1"/>
  <c r="BK29" i="1"/>
  <c r="BM62" i="1"/>
  <c r="AO62" i="1"/>
  <c r="BL62" i="1"/>
  <c r="AG62" i="1"/>
  <c r="BK62" i="1"/>
  <c r="AN62" i="1"/>
  <c r="BT62" i="1" s="1"/>
  <c r="AM62" i="1"/>
  <c r="AH62" i="1"/>
  <c r="BF16" i="9" s="1"/>
  <c r="AO77" i="1"/>
  <c r="BM77" i="1"/>
  <c r="AN77" i="1"/>
  <c r="BT77" i="1" s="1"/>
  <c r="BL77" i="1"/>
  <c r="AG77" i="1"/>
  <c r="AM77" i="1"/>
  <c r="BK77" i="1"/>
  <c r="AJ77" i="1"/>
  <c r="AK77" i="1" s="1"/>
  <c r="AO100" i="1"/>
  <c r="BM100" i="1"/>
  <c r="AM100" i="1"/>
  <c r="BK100" i="1"/>
  <c r="BL100" i="1"/>
  <c r="AG100" i="1"/>
  <c r="AN100" i="1"/>
  <c r="BT100" i="1" s="1"/>
  <c r="AH100" i="1"/>
  <c r="BF31" i="9" s="1"/>
  <c r="BM119" i="1"/>
  <c r="AO119" i="1"/>
  <c r="AN119" i="1"/>
  <c r="BT119" i="1" s="1"/>
  <c r="BL119" i="1"/>
  <c r="AG119" i="1"/>
  <c r="AM119" i="1"/>
  <c r="BK119" i="1"/>
  <c r="AH119" i="1"/>
  <c r="BF40" i="9" s="1"/>
  <c r="BK223" i="1"/>
  <c r="AM223" i="1"/>
  <c r="AO223" i="1"/>
  <c r="BD73" i="9" s="1"/>
  <c r="BM223" i="1"/>
  <c r="AG223" i="1"/>
  <c r="BL223" i="1"/>
  <c r="AN223" i="1"/>
  <c r="BT223" i="1" s="1"/>
  <c r="AH223" i="1"/>
  <c r="BF73" i="9" s="1"/>
  <c r="AN97" i="1"/>
  <c r="BT97" i="1" s="1"/>
  <c r="AM97" i="1"/>
  <c r="AO97" i="1"/>
  <c r="BM97" i="1"/>
  <c r="BL97" i="1"/>
  <c r="AG97" i="1"/>
  <c r="BK97" i="1"/>
  <c r="AJ97" i="1"/>
  <c r="AK97" i="1" s="1"/>
  <c r="BK141" i="1"/>
  <c r="AG141" i="1"/>
  <c r="AO141" i="1"/>
  <c r="AN141" i="1"/>
  <c r="BT141" i="1" s="1"/>
  <c r="AM141" i="1"/>
  <c r="BM141" i="1"/>
  <c r="BL141" i="1"/>
  <c r="AJ141" i="1"/>
  <c r="AK141" i="1" s="1"/>
  <c r="BM166" i="1"/>
  <c r="AG166" i="1"/>
  <c r="BL166" i="1"/>
  <c r="BK166" i="1"/>
  <c r="AO166" i="1"/>
  <c r="AN166" i="1"/>
  <c r="BT166" i="1" s="1"/>
  <c r="AM166" i="1"/>
  <c r="AH166" i="1"/>
  <c r="BM208" i="1"/>
  <c r="AO208" i="1"/>
  <c r="AG208" i="1"/>
  <c r="BF66" i="9" s="1"/>
  <c r="AN208" i="1"/>
  <c r="BT208" i="1" s="1"/>
  <c r="BK208" i="1"/>
  <c r="BL208" i="1"/>
  <c r="AJ208" i="1"/>
  <c r="AK208" i="1" s="1"/>
  <c r="AM208" i="1"/>
  <c r="BM173" i="1"/>
  <c r="AO173" i="1"/>
  <c r="AN173" i="1"/>
  <c r="BT173" i="1" s="1"/>
  <c r="BK173" i="1"/>
  <c r="AM173" i="1"/>
  <c r="AG173" i="1"/>
  <c r="BL173" i="1"/>
  <c r="AH173" i="1"/>
  <c r="BM191" i="1"/>
  <c r="AM191" i="1"/>
  <c r="BK191" i="1"/>
  <c r="AO191" i="1"/>
  <c r="BD76" i="9" s="1"/>
  <c r="AN191" i="1"/>
  <c r="BT191" i="1" s="1"/>
  <c r="AG191" i="1"/>
  <c r="AH191" i="1"/>
  <c r="BF76" i="9" s="1"/>
  <c r="BL191" i="1"/>
  <c r="AM34" i="1"/>
  <c r="AG34" i="1"/>
  <c r="AO34" i="1"/>
  <c r="AN34" i="1"/>
  <c r="BT34" i="1" s="1"/>
  <c r="BM34" i="1"/>
  <c r="BL34" i="1"/>
  <c r="BK34" i="1"/>
  <c r="AH34" i="1"/>
  <c r="AO111" i="1"/>
  <c r="BM111" i="1"/>
  <c r="AM111" i="1"/>
  <c r="BK111" i="1"/>
  <c r="BL111" i="1"/>
  <c r="AN111" i="1"/>
  <c r="BT111" i="1" s="1"/>
  <c r="AJ111" i="1"/>
  <c r="AK111" i="1" s="1"/>
  <c r="AG111" i="1"/>
  <c r="BF34" i="9" s="1"/>
  <c r="AO157" i="1"/>
  <c r="BM157" i="1"/>
  <c r="AN157" i="1"/>
  <c r="BT157" i="1" s="1"/>
  <c r="AG157" i="1"/>
  <c r="BF49" i="9" s="1"/>
  <c r="AM157" i="1"/>
  <c r="BL157" i="1"/>
  <c r="BK157" i="1"/>
  <c r="AJ157" i="1"/>
  <c r="AK157" i="1" s="1"/>
  <c r="AO181" i="1"/>
  <c r="BM181" i="1"/>
  <c r="AG181" i="1"/>
  <c r="BF59" i="9" s="1"/>
  <c r="AN181" i="1"/>
  <c r="BT181" i="1" s="1"/>
  <c r="BL181" i="1"/>
  <c r="BK181" i="1"/>
  <c r="AJ181" i="1"/>
  <c r="AK181" i="1" s="1"/>
  <c r="AM181" i="1"/>
  <c r="AG27" i="1"/>
  <c r="AN27" i="1"/>
  <c r="BT27" i="1" s="1"/>
  <c r="BM27" i="1"/>
  <c r="AO27" i="1"/>
  <c r="BL27" i="1"/>
  <c r="AH27" i="1"/>
  <c r="BF8" i="9" s="1"/>
  <c r="AM27" i="1"/>
  <c r="BK27" i="1"/>
  <c r="AO188" i="1"/>
  <c r="BM188" i="1"/>
  <c r="BL188" i="1"/>
  <c r="AN188" i="1"/>
  <c r="BT188" i="1" s="1"/>
  <c r="AG188" i="1"/>
  <c r="AH188" i="1"/>
  <c r="BF63" i="9" s="1"/>
  <c r="AM188" i="1"/>
  <c r="BK188" i="1"/>
  <c r="AO175" i="1"/>
  <c r="BM175" i="1"/>
  <c r="AN175" i="1"/>
  <c r="BT175" i="1" s="1"/>
  <c r="BL175" i="1"/>
  <c r="AG175" i="1"/>
  <c r="AH175" i="1"/>
  <c r="BK175" i="1"/>
  <c r="AM175" i="1"/>
  <c r="AO131" i="1"/>
  <c r="BM131" i="1"/>
  <c r="BL131" i="1"/>
  <c r="AN131" i="1"/>
  <c r="BT131" i="1" s="1"/>
  <c r="AG131" i="1"/>
  <c r="BF46" i="9" s="1"/>
  <c r="BK131" i="1"/>
  <c r="AJ131" i="1"/>
  <c r="AK131" i="1" s="1"/>
  <c r="AM131" i="1"/>
  <c r="BM51" i="1"/>
  <c r="AO51" i="1"/>
  <c r="AN51" i="1"/>
  <c r="BT51" i="1" s="1"/>
  <c r="BL51" i="1"/>
  <c r="AG51" i="1"/>
  <c r="BF11" i="9" s="1"/>
  <c r="AM51" i="1"/>
  <c r="BK51" i="1"/>
  <c r="AJ51" i="1"/>
  <c r="AK51" i="1" s="1"/>
  <c r="AO134" i="1"/>
  <c r="BM134" i="1"/>
  <c r="AM134" i="1"/>
  <c r="BK134" i="1"/>
  <c r="AG134" i="1"/>
  <c r="AH134" i="1"/>
  <c r="BF42" i="9" s="1"/>
  <c r="BL134" i="1"/>
  <c r="AN134" i="1"/>
  <c r="BT134" i="1" s="1"/>
  <c r="AO68" i="1"/>
  <c r="BM68" i="1"/>
  <c r="AN68" i="1"/>
  <c r="BT68" i="1" s="1"/>
  <c r="AG68" i="1"/>
  <c r="BF19" i="9" s="1"/>
  <c r="BL68" i="1"/>
  <c r="AJ68" i="1"/>
  <c r="AK68" i="1" s="1"/>
  <c r="BK68" i="1"/>
  <c r="AM68" i="1"/>
  <c r="AO115" i="1"/>
  <c r="BM115" i="1"/>
  <c r="AM115" i="1"/>
  <c r="BK115" i="1"/>
  <c r="AN115" i="1"/>
  <c r="BT115" i="1" s="1"/>
  <c r="AG115" i="1"/>
  <c r="BL115" i="1"/>
  <c r="AH115" i="1"/>
  <c r="BF37" i="9" s="1"/>
  <c r="AG151" i="1"/>
  <c r="AN151" i="1"/>
  <c r="BT151" i="1" s="1"/>
  <c r="AM151" i="1"/>
  <c r="AO151" i="1"/>
  <c r="BM151" i="1"/>
  <c r="BL151" i="1"/>
  <c r="BK151" i="1"/>
  <c r="AH151" i="1"/>
  <c r="AG220" i="1"/>
  <c r="BL220" i="1"/>
  <c r="AN220" i="1"/>
  <c r="BT220" i="1" s="1"/>
  <c r="AO220" i="1"/>
  <c r="BK220" i="1"/>
  <c r="AM220" i="1"/>
  <c r="BM220" i="1"/>
  <c r="AH220" i="1"/>
  <c r="BF71" i="9" s="1"/>
  <c r="BM142" i="1"/>
  <c r="AO142" i="1"/>
  <c r="AN142" i="1"/>
  <c r="BT142" i="1" s="1"/>
  <c r="BL142" i="1"/>
  <c r="AH142" i="1"/>
  <c r="AM142" i="1"/>
  <c r="BK142" i="1"/>
  <c r="BM20" i="1"/>
  <c r="AO20" i="1"/>
  <c r="AM20" i="1"/>
  <c r="BK20" i="1"/>
  <c r="AG20" i="1"/>
  <c r="BL20" i="1"/>
  <c r="AN20" i="1"/>
  <c r="BT20" i="1" s="1"/>
  <c r="AH20" i="1"/>
  <c r="AO135" i="1"/>
  <c r="BM135" i="1"/>
  <c r="AM135" i="1"/>
  <c r="AG135" i="1"/>
  <c r="BL135" i="1"/>
  <c r="AN135" i="1"/>
  <c r="BT135" i="1" s="1"/>
  <c r="BK135" i="1"/>
  <c r="AJ135" i="1"/>
  <c r="AK135" i="1" s="1"/>
  <c r="BK203" i="1"/>
  <c r="AM203" i="1"/>
  <c r="AO203" i="1"/>
  <c r="BM203" i="1"/>
  <c r="AN203" i="1"/>
  <c r="BT203" i="1" s="1"/>
  <c r="BL203" i="1"/>
  <c r="AG203" i="1"/>
  <c r="AH203" i="1"/>
  <c r="BF10" i="9" s="1"/>
  <c r="AO202" i="1"/>
  <c r="BM202" i="1"/>
  <c r="AM202" i="1"/>
  <c r="AN202" i="1"/>
  <c r="BT202" i="1" s="1"/>
  <c r="BK202" i="1"/>
  <c r="BL202" i="1"/>
  <c r="AH202" i="1"/>
  <c r="BF64" i="9" s="1"/>
  <c r="AO215" i="1"/>
  <c r="BM215" i="1"/>
  <c r="AM215" i="1"/>
  <c r="BK215" i="1"/>
  <c r="AG215" i="1"/>
  <c r="BF69" i="9" s="1"/>
  <c r="BL215" i="1"/>
  <c r="AN215" i="1"/>
  <c r="BT215" i="1" s="1"/>
  <c r="AJ215" i="1"/>
  <c r="AK215" i="1" s="1"/>
  <c r="AO154" i="1"/>
  <c r="BM154" i="1"/>
  <c r="BK154" i="1"/>
  <c r="AM154" i="1"/>
  <c r="AG154" i="1"/>
  <c r="BL154" i="1"/>
  <c r="AN154" i="1"/>
  <c r="BT154" i="1" s="1"/>
  <c r="AH154" i="1"/>
  <c r="AO88" i="1"/>
  <c r="BM88" i="1"/>
  <c r="AG88" i="1"/>
  <c r="BL88" i="1"/>
  <c r="AN88" i="1"/>
  <c r="BT88" i="1" s="1"/>
  <c r="AM88" i="1"/>
  <c r="BK88" i="1"/>
  <c r="AH88" i="1"/>
  <c r="BM118" i="1"/>
  <c r="AO118" i="1"/>
  <c r="AG118" i="1"/>
  <c r="AN118" i="1"/>
  <c r="BT118" i="1" s="1"/>
  <c r="BL118" i="1"/>
  <c r="AJ118" i="1"/>
  <c r="AK118" i="1" s="1"/>
  <c r="BK118" i="1"/>
  <c r="AM118" i="1"/>
  <c r="AO167" i="1"/>
  <c r="BM167" i="1"/>
  <c r="BL167" i="1"/>
  <c r="AG167" i="1"/>
  <c r="AN167" i="1"/>
  <c r="BT167" i="1" s="1"/>
  <c r="AM167" i="1"/>
  <c r="BK167" i="1"/>
  <c r="AH167" i="1"/>
  <c r="BF57" i="9" s="1"/>
  <c r="BM39" i="1"/>
  <c r="AM39" i="1"/>
  <c r="BK39" i="1"/>
  <c r="AO39" i="1"/>
  <c r="AN39" i="1"/>
  <c r="BT39" i="1" s="1"/>
  <c r="AG39" i="1"/>
  <c r="BL39" i="1"/>
  <c r="AJ39" i="1"/>
  <c r="AK39" i="1" s="1"/>
  <c r="BM161" i="1"/>
  <c r="AO161" i="1"/>
  <c r="AN161" i="1"/>
  <c r="BT161" i="1" s="1"/>
  <c r="BL161" i="1"/>
  <c r="AG161" i="1"/>
  <c r="AM161" i="1"/>
  <c r="AH161" i="1"/>
  <c r="BF54" i="9" s="1"/>
  <c r="BK161" i="1"/>
  <c r="AO70" i="1"/>
  <c r="BM70" i="1"/>
  <c r="AG70" i="1"/>
  <c r="BF61" i="9" s="1"/>
  <c r="AN70" i="1"/>
  <c r="BT70" i="1" s="1"/>
  <c r="BL70" i="1"/>
  <c r="BK70" i="1"/>
  <c r="AM70" i="1"/>
  <c r="AJ70" i="1"/>
  <c r="AK70" i="1" s="1"/>
  <c r="BM225" i="1"/>
  <c r="AO225" i="1"/>
  <c r="BD74" i="9" s="1"/>
  <c r="AN225" i="1"/>
  <c r="BT225" i="1" s="1"/>
  <c r="AG225" i="1"/>
  <c r="BF74" i="9" s="1"/>
  <c r="BL225" i="1"/>
  <c r="BK225" i="1"/>
  <c r="AM225" i="1"/>
  <c r="AJ225" i="1"/>
  <c r="AK225" i="1" s="1"/>
  <c r="AO35" i="1"/>
  <c r="BM35" i="1"/>
  <c r="AG35" i="1"/>
  <c r="AN35" i="1"/>
  <c r="BT35" i="1" s="1"/>
  <c r="BL35" i="1"/>
  <c r="BK35" i="1"/>
  <c r="AM35" i="1"/>
  <c r="AJ35" i="1"/>
  <c r="AK35" i="1" s="1"/>
  <c r="AO46" i="1"/>
  <c r="BK46" i="1"/>
  <c r="BM46" i="1"/>
  <c r="AM46" i="1"/>
  <c r="BL46" i="1"/>
  <c r="AG46" i="1"/>
  <c r="AN46" i="1"/>
  <c r="BT46" i="1" s="1"/>
  <c r="AH46" i="1"/>
  <c r="BF9" i="9" s="1"/>
  <c r="AO44" i="1"/>
  <c r="BM44" i="1"/>
  <c r="AN44" i="1"/>
  <c r="BT44" i="1" s="1"/>
  <c r="BL44" i="1"/>
  <c r="AG44" i="1"/>
  <c r="BF36" i="9" s="1"/>
  <c r="BK44" i="1"/>
  <c r="AM44" i="1"/>
  <c r="AJ44" i="1"/>
  <c r="AK44" i="1" s="1"/>
  <c r="AO24" i="1"/>
  <c r="BM24" i="1"/>
  <c r="AN24" i="1"/>
  <c r="BT24" i="1" s="1"/>
  <c r="AG24" i="1"/>
  <c r="BL24" i="1"/>
  <c r="AM24" i="1"/>
  <c r="BK24" i="1"/>
  <c r="AH24" i="1"/>
  <c r="BF4" i="9" s="1"/>
  <c r="BM56" i="1"/>
  <c r="AG56" i="1"/>
  <c r="BL56" i="1"/>
  <c r="AO56" i="1"/>
  <c r="AN56" i="1"/>
  <c r="BT56" i="1" s="1"/>
  <c r="BK56" i="1"/>
  <c r="AM56" i="1"/>
  <c r="AJ56" i="1"/>
  <c r="AK56" i="1" s="1"/>
  <c r="AO192" i="1"/>
  <c r="BM192" i="1"/>
  <c r="BL192" i="1"/>
  <c r="AN192" i="1"/>
  <c r="BT192" i="1" s="1"/>
  <c r="BK192" i="1"/>
  <c r="AG192" i="1"/>
  <c r="AM192" i="1"/>
  <c r="AH192" i="1"/>
  <c r="BF20" i="9" s="1"/>
  <c r="AO120" i="1"/>
  <c r="BM120" i="1"/>
  <c r="AN120" i="1"/>
  <c r="BT120" i="1" s="1"/>
  <c r="BL120" i="1"/>
  <c r="AG120" i="1"/>
  <c r="BK120" i="1"/>
  <c r="AM120" i="1"/>
  <c r="AH120" i="1"/>
  <c r="BM84" i="1"/>
  <c r="AO84" i="1"/>
  <c r="BK84" i="1"/>
  <c r="AM84" i="1"/>
  <c r="AG84" i="1"/>
  <c r="BL84" i="1"/>
  <c r="AN84" i="1"/>
  <c r="BT84" i="1" s="1"/>
  <c r="AH84" i="1"/>
  <c r="BM116" i="1"/>
  <c r="AO116" i="1"/>
  <c r="AG116" i="1"/>
  <c r="BL116" i="1"/>
  <c r="AN116" i="1"/>
  <c r="BT116" i="1" s="1"/>
  <c r="AH116" i="1"/>
  <c r="AM116" i="1"/>
  <c r="BK116" i="1"/>
  <c r="AO164" i="1"/>
  <c r="BM164" i="1"/>
  <c r="BL164" i="1"/>
  <c r="AM164" i="1"/>
  <c r="AN164" i="1"/>
  <c r="BT164" i="1" s="1"/>
  <c r="BK164" i="1"/>
  <c r="AG164" i="1"/>
  <c r="BF56" i="9" s="1"/>
  <c r="AJ164" i="1"/>
  <c r="AK164" i="1" s="1"/>
  <c r="AM179" i="1"/>
  <c r="BM179" i="1"/>
  <c r="BL179" i="1"/>
  <c r="AO179" i="1"/>
  <c r="AN179" i="1"/>
  <c r="BT179" i="1" s="1"/>
  <c r="AG179" i="1"/>
  <c r="BK179" i="1"/>
  <c r="AH179" i="1"/>
  <c r="BK228" i="1"/>
  <c r="AG228" i="1"/>
  <c r="AN228" i="1"/>
  <c r="BT228" i="1" s="1"/>
  <c r="AO228" i="1"/>
  <c r="AM228" i="1"/>
  <c r="BM228" i="1"/>
  <c r="BL228" i="1"/>
  <c r="AH228" i="1"/>
  <c r="AO79" i="1"/>
  <c r="BM79" i="1"/>
  <c r="BL79" i="1"/>
  <c r="AG79" i="1"/>
  <c r="AN79" i="1"/>
  <c r="BT79" i="1" s="1"/>
  <c r="AH79" i="1"/>
  <c r="BK79" i="1"/>
  <c r="AM79" i="1"/>
  <c r="AO85" i="1"/>
  <c r="BM85" i="1"/>
  <c r="AN85" i="1"/>
  <c r="BT85" i="1" s="1"/>
  <c r="BL85" i="1"/>
  <c r="AG85" i="1"/>
  <c r="BK85" i="1"/>
  <c r="AH85" i="1"/>
  <c r="AM85" i="1"/>
  <c r="AN216" i="1"/>
  <c r="BT216" i="1" s="1"/>
  <c r="BK216" i="1"/>
  <c r="AM216" i="1"/>
  <c r="BM216" i="1"/>
  <c r="BL216" i="1"/>
  <c r="AG216" i="1"/>
  <c r="AO216" i="1"/>
  <c r="AJ216" i="1"/>
  <c r="AK216" i="1" s="1"/>
  <c r="BM222" i="1"/>
  <c r="AO222" i="1"/>
  <c r="BK222" i="1"/>
  <c r="AM222" i="1"/>
  <c r="AG222" i="1"/>
  <c r="BL222" i="1"/>
  <c r="AH222" i="1"/>
  <c r="BF24" i="9" s="1"/>
  <c r="AN222" i="1"/>
  <c r="BT222" i="1" s="1"/>
  <c r="AN37" i="1"/>
  <c r="BT37" i="1" s="1"/>
  <c r="AM37" i="1"/>
  <c r="AO37" i="1"/>
  <c r="BM37" i="1"/>
  <c r="BL37" i="1"/>
  <c r="AG37" i="1"/>
  <c r="BK37" i="1"/>
  <c r="AH37" i="1"/>
  <c r="AO176" i="1"/>
  <c r="BK176" i="1"/>
  <c r="AM176" i="1"/>
  <c r="BM176" i="1"/>
  <c r="AN176" i="1"/>
  <c r="BT176" i="1" s="1"/>
  <c r="BL176" i="1"/>
  <c r="AG176" i="1"/>
  <c r="AH176" i="1"/>
  <c r="AO83" i="1"/>
  <c r="BM83" i="1"/>
  <c r="BL83" i="1"/>
  <c r="AG83" i="1"/>
  <c r="AN83" i="1"/>
  <c r="BT83" i="1" s="1"/>
  <c r="AJ83" i="1"/>
  <c r="AK83" i="1" s="1"/>
  <c r="AM83" i="1"/>
  <c r="BK83" i="1"/>
  <c r="AO52" i="1"/>
  <c r="BM52" i="1"/>
  <c r="AM52" i="1"/>
  <c r="BK52" i="1"/>
  <c r="AG52" i="1"/>
  <c r="BF12" i="9" s="1"/>
  <c r="BL52" i="1"/>
  <c r="AN52" i="1"/>
  <c r="BT52" i="1" s="1"/>
  <c r="AJ52" i="1"/>
  <c r="AK52" i="1" s="1"/>
  <c r="AO53" i="1"/>
  <c r="BM53" i="1"/>
  <c r="AG53" i="1"/>
  <c r="BF14" i="9" s="1"/>
  <c r="BK53" i="1"/>
  <c r="AM53" i="1"/>
  <c r="AN53" i="1"/>
  <c r="BT53" i="1" s="1"/>
  <c r="BL53" i="1"/>
  <c r="AJ53" i="1"/>
  <c r="AK53" i="1" s="1"/>
  <c r="AO73" i="1"/>
  <c r="BM73" i="1"/>
  <c r="BK73" i="1"/>
  <c r="AN73" i="1"/>
  <c r="BT73" i="1" s="1"/>
  <c r="BL73" i="1"/>
  <c r="AM73" i="1"/>
  <c r="AG73" i="1"/>
  <c r="AH73" i="1"/>
  <c r="AO60" i="1"/>
  <c r="BM60" i="1"/>
  <c r="AG60" i="1"/>
  <c r="BL60" i="1"/>
  <c r="AN60" i="1"/>
  <c r="BT60" i="1" s="1"/>
  <c r="AM60" i="1"/>
  <c r="AH60" i="1"/>
  <c r="BF26" i="9" s="1"/>
  <c r="BK60" i="1"/>
  <c r="AO165" i="1"/>
  <c r="BM165" i="1"/>
  <c r="AN165" i="1"/>
  <c r="BT165" i="1" s="1"/>
  <c r="BL165" i="1"/>
  <c r="AG165" i="1"/>
  <c r="BK165" i="1"/>
  <c r="AJ165" i="1"/>
  <c r="AK165" i="1" s="1"/>
  <c r="AM165" i="1"/>
  <c r="BM212" i="1"/>
  <c r="BL212" i="1"/>
  <c r="AN212" i="1"/>
  <c r="BT212" i="1" s="1"/>
  <c r="AG212" i="1"/>
  <c r="AO212" i="1"/>
  <c r="AM212" i="1"/>
  <c r="AJ212" i="1"/>
  <c r="AK212" i="1" s="1"/>
  <c r="BK212" i="1"/>
  <c r="AO17" i="1"/>
  <c r="BM17" i="1"/>
  <c r="BL17" i="1"/>
  <c r="AN17" i="1"/>
  <c r="BT17" i="1" s="1"/>
  <c r="AH17" i="1"/>
  <c r="BK17" i="1"/>
  <c r="AM17" i="1"/>
  <c r="AO86" i="1"/>
  <c r="BM86" i="1"/>
  <c r="AG86" i="1"/>
  <c r="BF25" i="9" s="1"/>
  <c r="AN86" i="1"/>
  <c r="BT86" i="1" s="1"/>
  <c r="BL86" i="1"/>
  <c r="BK86" i="1"/>
  <c r="AM86" i="1"/>
  <c r="AJ86" i="1"/>
  <c r="AK86" i="1" s="1"/>
  <c r="AN124" i="1"/>
  <c r="BT124" i="1" s="1"/>
  <c r="AM124" i="1"/>
  <c r="AO124" i="1"/>
  <c r="BM124" i="1"/>
  <c r="BL124" i="1"/>
  <c r="BK124" i="1"/>
  <c r="AG124" i="1"/>
  <c r="AH124" i="1"/>
  <c r="AN168" i="1"/>
  <c r="BT168" i="1" s="1"/>
  <c r="AG168" i="1"/>
  <c r="AM168" i="1"/>
  <c r="BM168" i="1"/>
  <c r="BK168" i="1"/>
  <c r="BL168" i="1"/>
  <c r="AO168" i="1"/>
  <c r="AJ168" i="1"/>
  <c r="AK168" i="1" s="1"/>
  <c r="AO229" i="1"/>
  <c r="BM229" i="1"/>
  <c r="AM229" i="1"/>
  <c r="BK229" i="1"/>
  <c r="AJ229" i="1"/>
  <c r="AK229" i="1" s="1"/>
  <c r="AN229" i="1"/>
  <c r="BT229" i="1" s="1"/>
  <c r="BL229" i="1"/>
  <c r="AG229" i="1"/>
  <c r="BF75" i="9" s="1"/>
  <c r="AO107" i="1"/>
  <c r="BM107" i="1"/>
  <c r="BL107" i="1"/>
  <c r="AN107" i="1"/>
  <c r="BT107" i="1" s="1"/>
  <c r="AG107" i="1"/>
  <c r="BK107" i="1"/>
  <c r="AM107" i="1"/>
  <c r="AH107" i="1"/>
  <c r="AO31" i="1"/>
  <c r="BM31" i="1"/>
  <c r="BL31" i="1"/>
  <c r="AG31" i="1"/>
  <c r="AN31" i="1"/>
  <c r="BT31" i="1" s="1"/>
  <c r="AM31" i="1"/>
  <c r="BK31" i="1"/>
  <c r="AH31" i="1"/>
  <c r="BF5" i="9" s="1"/>
  <c r="AO33" i="1"/>
  <c r="BM33" i="1"/>
  <c r="BK33" i="1"/>
  <c r="AG33" i="1"/>
  <c r="AN33" i="1"/>
  <c r="BT33" i="1" s="1"/>
  <c r="BL33" i="1"/>
  <c r="AM33" i="1"/>
  <c r="AJ33" i="1"/>
  <c r="AK33" i="1" s="1"/>
  <c r="BM54" i="1"/>
  <c r="AO54" i="1"/>
  <c r="AG54" i="1"/>
  <c r="AN54" i="1"/>
  <c r="BT54" i="1" s="1"/>
  <c r="BL54" i="1"/>
  <c r="AM54" i="1"/>
  <c r="BK54" i="1"/>
  <c r="AH54" i="1"/>
  <c r="AO74" i="1"/>
  <c r="BM74" i="1"/>
  <c r="AN74" i="1"/>
  <c r="BT74" i="1" s="1"/>
  <c r="BL74" i="1"/>
  <c r="AM74" i="1"/>
  <c r="BK74" i="1"/>
  <c r="AG74" i="1"/>
  <c r="BF21" i="9" s="1"/>
  <c r="AJ74" i="1"/>
  <c r="AK74" i="1" s="1"/>
  <c r="BM99" i="1"/>
  <c r="AO99" i="1"/>
  <c r="BL99" i="1"/>
  <c r="BK99" i="1"/>
  <c r="AG99" i="1"/>
  <c r="AN99" i="1"/>
  <c r="BT99" i="1" s="1"/>
  <c r="AM99" i="1"/>
  <c r="AH99" i="1"/>
  <c r="AO125" i="1"/>
  <c r="BM125" i="1"/>
  <c r="AG125" i="1"/>
  <c r="BK125" i="1"/>
  <c r="AN125" i="1"/>
  <c r="BT125" i="1" s="1"/>
  <c r="BL125" i="1"/>
  <c r="AM125" i="1"/>
  <c r="AH125" i="1"/>
  <c r="BF39" i="9" s="1"/>
  <c r="AO171" i="1"/>
  <c r="BM171" i="1"/>
  <c r="AG171" i="1"/>
  <c r="AN171" i="1"/>
  <c r="BT171" i="1" s="1"/>
  <c r="BL171" i="1"/>
  <c r="AH171" i="1"/>
  <c r="AM171" i="1"/>
  <c r="BK171" i="1"/>
  <c r="BM218" i="1"/>
  <c r="AO218" i="1"/>
  <c r="BL218" i="1"/>
  <c r="AG218" i="1"/>
  <c r="AN218" i="1"/>
  <c r="BT218" i="1" s="1"/>
  <c r="BK218" i="1"/>
  <c r="AM218" i="1"/>
  <c r="AJ218" i="1"/>
  <c r="AK218" i="1" s="1"/>
  <c r="AO23" i="1"/>
  <c r="BM23" i="1"/>
  <c r="AM23" i="1"/>
  <c r="BK23" i="1"/>
  <c r="AN23" i="1"/>
  <c r="BT23" i="1" s="1"/>
  <c r="AG23" i="1"/>
  <c r="BL23" i="1"/>
  <c r="AH23" i="1"/>
  <c r="BF3" i="9" s="1"/>
  <c r="AG71" i="1"/>
  <c r="BL71" i="1"/>
  <c r="AO71" i="1"/>
  <c r="AN71" i="1"/>
  <c r="BT71" i="1" s="1"/>
  <c r="BK71" i="1"/>
  <c r="AM71" i="1"/>
  <c r="BM71" i="1"/>
  <c r="AH71" i="1"/>
  <c r="BM193" i="1"/>
  <c r="AO193" i="1"/>
  <c r="AG193" i="1"/>
  <c r="BF38" i="9" s="1"/>
  <c r="AN193" i="1"/>
  <c r="BT193" i="1" s="1"/>
  <c r="BL193" i="1"/>
  <c r="BK193" i="1"/>
  <c r="AM193" i="1"/>
  <c r="AJ193" i="1"/>
  <c r="AK193" i="1" s="1"/>
  <c r="BM170" i="1"/>
  <c r="AO170" i="1"/>
  <c r="AG170" i="1"/>
  <c r="AN170" i="1"/>
  <c r="BT170" i="1" s="1"/>
  <c r="BK170" i="1"/>
  <c r="AM170" i="1"/>
  <c r="BL170" i="1"/>
  <c r="AH170" i="1"/>
  <c r="AM186" i="1"/>
  <c r="BK186" i="1"/>
  <c r="AO186" i="1"/>
  <c r="BM186" i="1"/>
  <c r="BL186" i="1"/>
  <c r="AG186" i="1"/>
  <c r="AN186" i="1"/>
  <c r="BT186" i="1" s="1"/>
  <c r="AH186" i="1"/>
  <c r="AM206" i="1"/>
  <c r="AG206" i="1"/>
  <c r="BM206" i="1"/>
  <c r="BL206" i="1"/>
  <c r="AO206" i="1"/>
  <c r="AN206" i="1"/>
  <c r="BT206" i="1" s="1"/>
  <c r="BK206" i="1"/>
  <c r="AJ206" i="1"/>
  <c r="AK206" i="1" s="1"/>
  <c r="AO160" i="1"/>
  <c r="BM160" i="1"/>
  <c r="AM160" i="1"/>
  <c r="BK160" i="1"/>
  <c r="AN160" i="1"/>
  <c r="BT160" i="1" s="1"/>
  <c r="BL160" i="1"/>
  <c r="AG160" i="1"/>
  <c r="AH160" i="1"/>
  <c r="BF51" i="9" s="1"/>
  <c r="BM150" i="1"/>
  <c r="AO150" i="1"/>
  <c r="BK150" i="1"/>
  <c r="BL150" i="1"/>
  <c r="AM150" i="1"/>
  <c r="AN150" i="1"/>
  <c r="BT150" i="1" s="1"/>
  <c r="AG150" i="1"/>
  <c r="BF52" i="9" s="1"/>
  <c r="AJ150" i="1"/>
  <c r="AK150" i="1" s="1"/>
  <c r="AO214" i="1"/>
  <c r="BM214" i="1"/>
  <c r="AN214" i="1"/>
  <c r="BT214" i="1" s="1"/>
  <c r="AG214" i="1"/>
  <c r="BL214" i="1"/>
  <c r="BK214" i="1"/>
  <c r="AH214" i="1"/>
  <c r="AM214" i="1"/>
  <c r="AO64" i="1"/>
  <c r="BM64" i="1"/>
  <c r="AM64" i="1"/>
  <c r="AN64" i="1"/>
  <c r="BT64" i="1" s="1"/>
  <c r="BK64" i="1"/>
  <c r="AG64" i="1"/>
  <c r="BL64" i="1"/>
  <c r="AH64" i="1"/>
  <c r="AO32" i="1"/>
  <c r="BM32" i="1"/>
  <c r="AN32" i="1"/>
  <c r="BT32" i="1" s="1"/>
  <c r="BL32" i="1"/>
  <c r="AG32" i="1"/>
  <c r="AM32" i="1"/>
  <c r="BK32" i="1"/>
  <c r="AJ32" i="1"/>
  <c r="AK32" i="1" s="1"/>
  <c r="AO58" i="1"/>
  <c r="BM58" i="1"/>
  <c r="BK58" i="1"/>
  <c r="AM58" i="1"/>
  <c r="BL58" i="1"/>
  <c r="AN58" i="1"/>
  <c r="BT58" i="1" s="1"/>
  <c r="AG58" i="1"/>
  <c r="AH58" i="1"/>
  <c r="BF15" i="9" s="1"/>
  <c r="BM78" i="1"/>
  <c r="AO78" i="1"/>
  <c r="BK78" i="1"/>
  <c r="AM78" i="1"/>
  <c r="AN78" i="1"/>
  <c r="BT78" i="1" s="1"/>
  <c r="BL78" i="1"/>
  <c r="AG78" i="1"/>
  <c r="AH78" i="1"/>
  <c r="BF22" i="9" s="1"/>
  <c r="AO105" i="1"/>
  <c r="BM105" i="1"/>
  <c r="AN105" i="1"/>
  <c r="BT105" i="1" s="1"/>
  <c r="BL105" i="1"/>
  <c r="AG105" i="1"/>
  <c r="AH105" i="1"/>
  <c r="BK105" i="1"/>
  <c r="AM105" i="1"/>
  <c r="AO126" i="1"/>
  <c r="BM126" i="1"/>
  <c r="AN126" i="1"/>
  <c r="BT126" i="1" s="1"/>
  <c r="AG126" i="1"/>
  <c r="BL126" i="1"/>
  <c r="AM126" i="1"/>
  <c r="BK126" i="1"/>
  <c r="AH126" i="1"/>
  <c r="BM148" i="1"/>
  <c r="AO148" i="1"/>
  <c r="AN148" i="1"/>
  <c r="BT148" i="1" s="1"/>
  <c r="AG148" i="1"/>
  <c r="BL148" i="1"/>
  <c r="AH148" i="1"/>
  <c r="BF47" i="9" s="1"/>
  <c r="AM148" i="1"/>
  <c r="BK148" i="1"/>
  <c r="BM224" i="1"/>
  <c r="AO224" i="1"/>
  <c r="BL224" i="1"/>
  <c r="AN224" i="1"/>
  <c r="BT224" i="1" s="1"/>
  <c r="AG224" i="1"/>
  <c r="BF72" i="9" s="1"/>
  <c r="BK224" i="1"/>
  <c r="AM224" i="1"/>
  <c r="AJ224" i="1"/>
  <c r="AK224" i="1" s="1"/>
  <c r="BM25" i="1"/>
  <c r="AO25" i="1"/>
  <c r="AN25" i="1"/>
  <c r="BT25" i="1" s="1"/>
  <c r="AM25" i="1"/>
  <c r="AG25" i="1"/>
  <c r="BL25" i="1"/>
  <c r="BK25" i="1"/>
  <c r="AH25" i="1"/>
  <c r="AM92" i="1"/>
  <c r="AO92" i="1"/>
  <c r="AN92" i="1"/>
  <c r="BT92" i="1" s="1"/>
  <c r="BK92" i="1"/>
  <c r="BM92" i="1"/>
  <c r="BL92" i="1"/>
  <c r="AG92" i="1"/>
  <c r="AH92" i="1"/>
  <c r="AO145" i="1"/>
  <c r="AN145" i="1"/>
  <c r="BT145" i="1" s="1"/>
  <c r="BM145" i="1"/>
  <c r="AM145" i="1"/>
  <c r="AG145" i="1"/>
  <c r="BL145" i="1"/>
  <c r="BK145" i="1"/>
  <c r="AJ145" i="1"/>
  <c r="AK145" i="1" s="1"/>
  <c r="BM114" i="1"/>
  <c r="AG114" i="1"/>
  <c r="BL114" i="1"/>
  <c r="BK114" i="1"/>
  <c r="AO114" i="1"/>
  <c r="AN114" i="1"/>
  <c r="BT114" i="1" s="1"/>
  <c r="AM114" i="1"/>
  <c r="AH114" i="1"/>
  <c r="AG201" i="1"/>
  <c r="AN201" i="1"/>
  <c r="BT201" i="1" s="1"/>
  <c r="AO201" i="1"/>
  <c r="AM201" i="1"/>
  <c r="BM201" i="1"/>
  <c r="BL201" i="1"/>
  <c r="BK201" i="1"/>
  <c r="AH201" i="1"/>
  <c r="AM103" i="1"/>
  <c r="BM103" i="1"/>
  <c r="AO103" i="1"/>
  <c r="BL103" i="1"/>
  <c r="BK103" i="1"/>
  <c r="AN103" i="1"/>
  <c r="BT103" i="1" s="1"/>
  <c r="AG103" i="1"/>
  <c r="AJ103" i="1"/>
  <c r="AK103" i="1" s="1"/>
  <c r="AG106" i="1"/>
  <c r="BL106" i="1"/>
  <c r="AO106" i="1"/>
  <c r="AN106" i="1"/>
  <c r="BT106" i="1" s="1"/>
  <c r="AM106" i="1"/>
  <c r="BF32" i="9" s="1"/>
  <c r="BM106" i="1"/>
  <c r="BK106" i="1"/>
  <c r="F51" i="2"/>
  <c r="V95" i="1" s="1"/>
  <c r="F75" i="2"/>
  <c r="V139" i="1" s="1"/>
  <c r="F4" i="2"/>
  <c r="V18" i="1" s="1"/>
  <c r="F112" i="2"/>
  <c r="V219" i="1" s="1"/>
  <c r="F124" i="2"/>
  <c r="V221" i="1" s="1"/>
  <c r="F148" i="2"/>
  <c r="V102" i="1" s="1"/>
  <c r="F197" i="2"/>
  <c r="F149" i="2"/>
  <c r="V101" i="1" s="1"/>
  <c r="F26" i="2"/>
  <c r="V47" i="1" s="1"/>
  <c r="F62" i="2"/>
  <c r="V195" i="1" s="1"/>
  <c r="F74" i="2"/>
  <c r="V132" i="1" s="1"/>
  <c r="F98" i="2"/>
  <c r="V189" i="1" s="1"/>
  <c r="F110" i="2"/>
  <c r="V213" i="1" s="1"/>
  <c r="F53" i="2"/>
  <c r="V96" i="1" s="1"/>
  <c r="F101" i="2"/>
  <c r="V200" i="1" s="1"/>
  <c r="F66" i="2"/>
  <c r="V122" i="1" s="1"/>
  <c r="F102" i="2"/>
  <c r="V187" i="1" s="1"/>
  <c r="F3" i="2"/>
  <c r="V13" i="1" s="1"/>
  <c r="F186" i="2"/>
  <c r="V204" i="1" s="1"/>
  <c r="F7" i="2"/>
  <c r="F31" i="2"/>
  <c r="V65" i="1" s="1"/>
  <c r="F43" i="2"/>
  <c r="V140" i="1" s="1"/>
  <c r="F67" i="2"/>
  <c r="V196" i="1" s="1"/>
  <c r="BD12" i="9" l="1"/>
  <c r="BD17" i="9"/>
  <c r="BD61" i="9"/>
  <c r="BD72" i="9"/>
  <c r="BD26" i="9"/>
  <c r="BD57" i="9"/>
  <c r="BD64" i="9"/>
  <c r="BD71" i="9"/>
  <c r="BD9" i="9"/>
  <c r="BD53" i="9"/>
  <c r="BD52" i="9"/>
  <c r="BD23" i="9"/>
  <c r="BD20" i="9"/>
  <c r="BD21" i="9"/>
  <c r="BD58" i="9"/>
  <c r="BD24" i="9"/>
  <c r="BD47" i="9"/>
  <c r="BD56" i="9"/>
  <c r="BD5" i="9"/>
  <c r="BD42" i="9"/>
  <c r="BD31" i="9"/>
  <c r="BD33" i="9"/>
  <c r="BD8" i="9"/>
  <c r="BD14" i="9"/>
  <c r="BD40" i="9"/>
  <c r="BD19" i="9"/>
  <c r="BD54" i="9"/>
  <c r="BD4" i="9"/>
  <c r="BD32" i="9"/>
  <c r="BD66" i="9"/>
  <c r="BD59" i="9"/>
  <c r="BD38" i="9"/>
  <c r="BD28" i="9"/>
  <c r="BD36" i="9"/>
  <c r="BD15" i="9"/>
  <c r="BD68" i="9"/>
  <c r="BD75" i="9"/>
  <c r="BD25" i="9"/>
  <c r="BD16" i="9"/>
  <c r="BD46" i="9"/>
  <c r="BD34" i="9"/>
  <c r="BD22" i="9"/>
  <c r="BD69" i="9"/>
  <c r="BD51" i="9"/>
  <c r="BD3" i="9"/>
  <c r="BD39" i="9"/>
  <c r="BD10" i="9"/>
  <c r="BD11" i="9"/>
  <c r="BD37" i="9"/>
  <c r="BD63" i="9"/>
  <c r="BD49" i="9"/>
  <c r="BF68" i="9"/>
  <c r="BF53" i="9"/>
  <c r="BF17" i="9"/>
  <c r="BF58" i="9"/>
  <c r="BF28" i="9"/>
  <c r="BM132" i="1"/>
  <c r="AO132" i="1"/>
  <c r="AG132" i="1"/>
  <c r="AN132" i="1"/>
  <c r="BT132" i="1" s="1"/>
  <c r="BL132" i="1"/>
  <c r="AJ132" i="1"/>
  <c r="AK132" i="1" s="1"/>
  <c r="BK132" i="1"/>
  <c r="AM132" i="1"/>
  <c r="AO140" i="1"/>
  <c r="BM140" i="1"/>
  <c r="AN140" i="1"/>
  <c r="BT140" i="1" s="1"/>
  <c r="AG140" i="1"/>
  <c r="BL140" i="1"/>
  <c r="BK140" i="1"/>
  <c r="AJ140" i="1"/>
  <c r="AK140" i="1" s="1"/>
  <c r="AM140" i="1"/>
  <c r="AO47" i="1"/>
  <c r="BM47" i="1"/>
  <c r="BK47" i="1"/>
  <c r="AG47" i="1"/>
  <c r="BL47" i="1"/>
  <c r="AM47" i="1"/>
  <c r="AN47" i="1"/>
  <c r="BT47" i="1" s="1"/>
  <c r="AJ47" i="1"/>
  <c r="AK47" i="1" s="1"/>
  <c r="AO187" i="1"/>
  <c r="BM187" i="1"/>
  <c r="AG187" i="1"/>
  <c r="AN187" i="1"/>
  <c r="BT187" i="1" s="1"/>
  <c r="BL187" i="1"/>
  <c r="AM187" i="1"/>
  <c r="AH187" i="1"/>
  <c r="BF62" i="9" s="1"/>
  <c r="BK187" i="1"/>
  <c r="AO101" i="1"/>
  <c r="AM101" i="1"/>
  <c r="BK101" i="1"/>
  <c r="BM101" i="1"/>
  <c r="AN101" i="1"/>
  <c r="BT101" i="1" s="1"/>
  <c r="AG101" i="1"/>
  <c r="BF30" i="9" s="1"/>
  <c r="AJ101" i="1"/>
  <c r="AK101" i="1" s="1"/>
  <c r="BL101" i="1"/>
  <c r="AO122" i="1"/>
  <c r="BM122" i="1"/>
  <c r="BL122" i="1"/>
  <c r="AG122" i="1"/>
  <c r="AN122" i="1"/>
  <c r="BT122" i="1" s="1"/>
  <c r="AJ122" i="1"/>
  <c r="AK122" i="1" s="1"/>
  <c r="AM122" i="1"/>
  <c r="BK122" i="1"/>
  <c r="AO96" i="1"/>
  <c r="BM96" i="1"/>
  <c r="BK96" i="1"/>
  <c r="AG96" i="1"/>
  <c r="BF27" i="9" s="1"/>
  <c r="AM96" i="1"/>
  <c r="AN96" i="1"/>
  <c r="BT96" i="1" s="1"/>
  <c r="BL96" i="1"/>
  <c r="AJ96" i="1"/>
  <c r="AK96" i="1" s="1"/>
  <c r="AO221" i="1"/>
  <c r="AM221" i="1"/>
  <c r="BM221" i="1"/>
  <c r="BK221" i="1"/>
  <c r="AN221" i="1"/>
  <c r="BT221" i="1" s="1"/>
  <c r="BL221" i="1"/>
  <c r="AG221" i="1"/>
  <c r="AH221" i="1"/>
  <c r="BF2" i="9" s="1"/>
  <c r="AO200" i="1"/>
  <c r="BM200" i="1"/>
  <c r="BL200" i="1"/>
  <c r="AN200" i="1"/>
  <c r="BT200" i="1" s="1"/>
  <c r="AJ200" i="1"/>
  <c r="AK200" i="1" s="1"/>
  <c r="BK200" i="1"/>
  <c r="AM200" i="1"/>
  <c r="AO95" i="1"/>
  <c r="BM95" i="1"/>
  <c r="AG95" i="1"/>
  <c r="AN95" i="1"/>
  <c r="BT95" i="1" s="1"/>
  <c r="BL95" i="1"/>
  <c r="AJ95" i="1"/>
  <c r="AK95" i="1" s="1"/>
  <c r="BK95" i="1"/>
  <c r="AM95" i="1"/>
  <c r="AH102" i="1"/>
  <c r="AJ102" i="1"/>
  <c r="AK102" i="1" s="1"/>
  <c r="AG102" i="1"/>
  <c r="AO102" i="1"/>
  <c r="AN102" i="1"/>
  <c r="BT102" i="1" s="1"/>
  <c r="AM102" i="1"/>
  <c r="BM102" i="1"/>
  <c r="BL102" i="1"/>
  <c r="BK102" i="1"/>
  <c r="BD29" i="9" l="1"/>
  <c r="BD27" i="9"/>
  <c r="BD62" i="9"/>
  <c r="BD2" i="9"/>
  <c r="BD30" i="9"/>
  <c r="BF29"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tc={FC475ABD-524F-459D-A6E9-7C05C2F5533A}</author>
    <author>tc={9338E8F7-683F-4A38-A193-B1EDB8BB243C}</author>
    <author>tc={AEE9D49E-438D-47EB-8D86-86D1D4BB8765}</author>
    <author>tc={0B470D7D-5ECA-4536-A435-D73F0ABE73CE}</author>
    <author>tc={B6AFEAC0-2284-47F0-A50D-A93471D57147}</author>
    <author>tc={D9B3C1DD-AA40-403B-9ACC-362F470A9B06}</author>
    <author>tc={D1068131-87F8-4320-9582-B6B55BCF0F0B}</author>
    <author>tc={D9A0C70E-65DF-4072-9845-E86F9E66CADD}</author>
    <author>tc={4CE9D7A0-F335-49F4-958F-FEB80895BC66}</author>
  </authors>
  <commentList>
    <comment ref="AG4" authorId="0" shapeId="0" xr:uid="{FC475ABD-524F-459D-A6E9-7C05C2F5533A}">
      <text>
        <t xml:space="preserve">[Threaded comment]
Your version of Excel allows you to read this threaded comment; however, any edits to it will get removed if the file is opened in a newer version of Excel. Learn more: https://go.microsoft.com/fwlink/?linkid=870924
Comment:
    op basis van populatie, zie je inderdaad dat de ambitie van de VS en Saudi Arabië  ongeveer twee keer zo hoog is als die van de EU, terwijl de reductiesnelheden ongeveer gelijk zijn. De hoofdelijke uitstoot van de VS en Saudi Arabië zijn veel hoger (factor 3) dan de EU.  Ik snap het wel,  hoe hoger je huidige hoofdelijke uitstoot, hoe meer ambitie bij een gelijk netto-nul jaar, maar aan de andere kant, als je niet naar nul gaat, maar halverwege, dan eindig je met gelijke waarde voor ambitie, en dat lijkt in tegenspraak. Verder China is iets lager dan de EU, terwijl de reductiesnelheid van China de helft is van de EU. Verder krijgt India natuurlijk een hele lage waarde, wat eigenlijk wel klopt, want India heeft weliswaar lage hoofdelijk uitstoot, maar stijgende uitstoot, en geen vooruitzicht dat netto-nul wordt gehaald.
</t>
      </text>
    </comment>
    <comment ref="AG5" authorId="1" shapeId="0" xr:uid="{9338E8F7-683F-4A38-A193-B1EDB8BB243C}">
      <text>
        <t>[Threaded comment]
Your version of Excel allows you to read this threaded comment; however, any edits to it will get removed if the file is opened in a newer version of Excel. Learn more: https://go.microsoft.com/fwlink/?linkid=870924
Comment:
    Hoe hoger per capita emissies, hoe hoger. dus USA is ambitieuser dan de EU. De reductisnelheid is wel gelijk tussen VS en EU</t>
      </text>
    </comment>
    <comment ref="J74" authorId="2" shapeId="0" xr:uid="{AEE9D49E-438D-47EB-8D86-86D1D4BB8765}">
      <text>
        <t>[Threaded comment]
Your version of Excel allows you to read this threaded comment; however, any edits to it will get removed if the file is opened in a newer version of Excel. Learn more: https://go.microsoft.com/fwlink/?linkid=870924
Comment:
    Assumes too high LULUCF emissions in 2021, compared to the inventory data of IIASA.</t>
      </text>
    </comment>
    <comment ref="AP102" authorId="3" shapeId="0" xr:uid="{0B470D7D-5ECA-4536-A435-D73F0ABE73CE}">
      <text>
        <t>[Threaded comment]
Your version of Excel allows you to read this threaded comment; however, any edits to it will get removed if the file is opened in a newer version of Excel. Learn more: https://go.microsoft.com/fwlink/?linkid=870924
Comment:
    Adjusted because of peak in LULUCF emissions Indonesia</t>
      </text>
    </comment>
    <comment ref="H109" authorId="4" shapeId="0" xr:uid="{B6AFEAC0-2284-47F0-A50D-A93471D57147}">
      <text>
        <t>[Threaded comment]
Your version of Excel allows you to read this threaded comment; however, any edits to it will get removed if the file is opened in a newer version of Excel. Learn more: https://go.microsoft.com/fwlink/?linkid=870924
Comment:
    Note that Japan is not on the website</t>
      </text>
    </comment>
    <comment ref="BR109" authorId="5" shapeId="0" xr:uid="{D9B3C1DD-AA40-403B-9ACC-362F470A9B06}">
      <text>
        <t>[Threaded comment]
Your version of Excel allows you to read this threaded comment; however, any edits to it will get removed if the file is opened in a newer version of Excel. Learn more: https://go.microsoft.com/fwlink/?linkid=870924
Comment:
    Note that Japan is not on the website</t>
      </text>
    </comment>
    <comment ref="AU129" authorId="6" shapeId="0" xr:uid="{D1068131-87F8-4320-9582-B6B55BCF0F0B}">
      <text>
        <t>[Threaded comment]
Your version of Excel allows you to read this threaded comment; however, any edits to it will get removed if the file is opened in a newer version of Excel. Learn more: https://go.microsoft.com/fwlink/?linkid=870924
Comment:
    Excluded, as it only leads to surpluses, and the net impact of including is zero, as it leads to more surpluses, which are cancelled.</t>
      </text>
    </comment>
    <comment ref="AS162" authorId="7" shapeId="0" xr:uid="{D9A0C70E-65DF-4072-9845-E86F9E66CADD}">
      <text>
        <t>[Threaded comment]
Your version of Excel allows you to read this threaded comment; however, any edits to it will get removed if the file is opened in a newer version of Excel. Learn more: https://go.microsoft.com/fwlink/?linkid=870924
Comment:
    The unconditional target was not included, as this would only lead to more surpluses.</t>
      </text>
    </comment>
    <comment ref="AP176" authorId="8" shapeId="0" xr:uid="{4CE9D7A0-F335-49F4-958F-FEB80895BC66}">
      <text>
        <t>[Threaded comment]
Your version of Excel allows you to read this threaded comment; however, any edits to it will get removed if the file is opened in a newer version of Excel. Learn more: https://go.microsoft.com/fwlink/?linkid=870924
Comment:
    Adjusted as Russia emissions has already peaked by 1990</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tc={CE2E604A-BF34-41C9-8A02-9495950F2E85}</author>
    <author>tc={E2744E7D-3AE2-429F-A7B4-DA255DF1F0EE}</author>
    <author>tc={729B73AC-D3AF-4A28-8B83-A2B9B9657E3E}</author>
    <author>tc={C47DBD82-7CB2-43F4-97DF-9BFA8D3B32A1}</author>
    <author>Esmeijer, Kendall</author>
    <author>tc={5D0DC564-BECD-4110-A6AD-EB396DD5FF76}</author>
    <author>tc={D2EF28A4-B0F0-48E2-86CD-2D1714DDA74C}</author>
    <author>tc={F2A27212-5816-49CA-A20C-AE3A66C6C701}</author>
    <author>tc={311EAD7C-787E-4539-B9F6-94E84C1D306B}</author>
    <author>tc={AA5DA818-3399-4DD6-B120-A76E6CE775A2}</author>
    <author>tc={A3A026F7-313A-427D-B5E1-F455CCAFC32B}</author>
    <author>tc={88774C6E-5A4C-41F3-85F8-10F728CED06B}</author>
    <author>tc={E40C6E4F-0D39-4B1D-85CA-4450E4D1E080}</author>
    <author>tc={7BC11D7D-1611-4222-BEF0-19371D71F76D}</author>
  </authors>
  <commentList>
    <comment ref="AI9" authorId="0" shapeId="0" xr:uid="{CE2E604A-BF34-41C9-8A02-9495950F2E85}">
      <text>
        <t>[Threaded comment]
Your version of Excel allows you to read this threaded comment; however, any edits to it will get removed if the file is opened in a newer version of Excel. Learn more: https://go.microsoft.com/fwlink/?linkid=870924
Comment:
    Further corrected by 300 MtCO2e or much lower NGHfGI</t>
      </text>
    </comment>
    <comment ref="AY52" authorId="1" shapeId="0" xr:uid="{E2744E7D-3AE2-429F-A7B4-DA255DF1F0EE}">
      <text>
        <t>[Threaded comment]
Your version of Excel allows you to read this threaded comment; however, any edits to it will get removed if the file is opened in a newer version of Excel. Learn more: https://go.microsoft.com/fwlink/?linkid=870924
Comment:
    No GWP correction, as the data was in GWP AR4</t>
      </text>
    </comment>
    <comment ref="BA52" authorId="2" shapeId="0" xr:uid="{729B73AC-D3AF-4A28-8B83-A2B9B9657E3E}">
      <text>
        <t>[Threaded comment]
Your version of Excel allows you to read this threaded comment; however, any edits to it will get removed if the file is opened in a newer version of Excel. Learn more: https://go.microsoft.com/fwlink/?linkid=870924
Comment:
    No GWP correction, as the data was in GWP AR4</t>
      </text>
    </comment>
    <comment ref="BI52" authorId="3" shapeId="0" xr:uid="{C47DBD82-7CB2-43F4-97DF-9BFA8D3B32A1}">
      <text>
        <t>[Threaded comment]
Your version of Excel allows you to read this threaded comment; however, any edits to it will get removed if the file is opened in a newer version of Excel. Learn more: https://go.microsoft.com/fwlink/?linkid=870924
Comment:
    Current Policies, as explained in paper</t>
      </text>
    </comment>
    <comment ref="I98" authorId="4" shapeId="0" xr:uid="{46D91C10-5A93-4CDA-93B5-BA238A1BB782}">
      <text>
        <r>
          <rPr>
            <b/>
            <sz val="9"/>
            <color indexed="81"/>
            <rFont val="Tahoma"/>
            <family val="2"/>
          </rPr>
          <t>Esmeijer, Kendall:</t>
        </r>
        <r>
          <rPr>
            <sz val="9"/>
            <color indexed="81"/>
            <rFont val="Tahoma"/>
            <family val="2"/>
          </rPr>
          <t xml:space="preserve">
Hong Kong is part of China so here 0 otherwise double accounting</t>
        </r>
      </text>
    </comment>
    <comment ref="CN98" authorId="4" shapeId="0" xr:uid="{A8DD7CD4-8FF3-492C-9E7B-903FE3ECDF08}">
      <text>
        <r>
          <rPr>
            <b/>
            <sz val="9"/>
            <color indexed="81"/>
            <rFont val="Tahoma"/>
            <family val="2"/>
          </rPr>
          <t>Esmeijer, Kendall:</t>
        </r>
        <r>
          <rPr>
            <sz val="9"/>
            <color indexed="81"/>
            <rFont val="Tahoma"/>
            <family val="2"/>
          </rPr>
          <t xml:space="preserve">
Hong Kong is part of China so here 0 otherwise double accounting</t>
        </r>
      </text>
    </comment>
    <comment ref="DH98" authorId="4" shapeId="0" xr:uid="{63E30A80-013A-4521-A15E-4C9274B0A5AA}">
      <text>
        <r>
          <rPr>
            <b/>
            <sz val="9"/>
            <color indexed="81"/>
            <rFont val="Tahoma"/>
            <family val="2"/>
          </rPr>
          <t>Esmeijer, Kendall:</t>
        </r>
        <r>
          <rPr>
            <sz val="9"/>
            <color indexed="81"/>
            <rFont val="Tahoma"/>
            <family val="2"/>
          </rPr>
          <t xml:space="preserve">
Hong Kong is part of China so here 0 otherwise double accounting</t>
        </r>
      </text>
    </comment>
    <comment ref="EP98" authorId="4" shapeId="0" xr:uid="{2B3D62B9-EB6B-48DE-A5AD-FE284DE7B715}">
      <text>
        <r>
          <rPr>
            <b/>
            <sz val="9"/>
            <color indexed="81"/>
            <rFont val="Tahoma"/>
            <family val="2"/>
          </rPr>
          <t>Esmeijer, Kendall:</t>
        </r>
        <r>
          <rPr>
            <sz val="9"/>
            <color indexed="81"/>
            <rFont val="Tahoma"/>
            <family val="2"/>
          </rPr>
          <t xml:space="preserve">
Hong Kong is part of China so here 0 otherwise double accounting</t>
        </r>
      </text>
    </comment>
    <comment ref="DH109" authorId="5" shapeId="0" xr:uid="{5D0DC564-BECD-4110-A6AD-EB396DD5FF76}">
      <text>
        <t>[Threaded comment]
Your version of Excel allows you to read this threaded comment; however, any edits to it will get removed if the file is opened in a newer version of Excel. Learn more: https://go.microsoft.com/fwlink/?linkid=870924
Comment:
    Bote that Japan is not on the website</t>
      </text>
    </comment>
    <comment ref="BG129" authorId="6" shapeId="0" xr:uid="{D2EF28A4-B0F0-48E2-86CD-2D1714DDA74C}">
      <text>
        <t>[Threaded comment]
Your version of Excel allows you to read this threaded comment; however, any edits to it will get removed if the file is opened in a newer version of Excel. Learn more: https://go.microsoft.com/fwlink/?linkid=870924
Comment:
    Excluded, as it only leads to surpluses, and the net impact of including is zero, as it leads to more surpluses, which are cancelled.</t>
      </text>
    </comment>
    <comment ref="BK129" authorId="7" shapeId="0" xr:uid="{F2A27212-5816-49CA-A20C-AE3A66C6C701}">
      <text>
        <t>[Threaded comment]
Your version of Excel allows you to read this threaded comment; however, any edits to it will get removed if the file is opened in a newer version of Excel. Learn more: https://go.microsoft.com/fwlink/?linkid=870924
Comment:
    Excluded, as it only leads to surpluses, and the net impact of including is zero, as it leads to more surpluses, which are cancelled.</t>
      </text>
    </comment>
    <comment ref="BE162" authorId="8" shapeId="0" xr:uid="{311EAD7C-787E-4539-B9F6-94E84C1D306B}">
      <text>
        <t>[Threaded comment]
Your version of Excel allows you to read this threaded comment; however, any edits to it will get removed if the file is opened in a newer version of Excel. Learn more: https://go.microsoft.com/fwlink/?linkid=870924
Comment:
    The unconditional target was not included, as this would only lead to more surpluses.</t>
      </text>
    </comment>
    <comment ref="AT238" authorId="9" shapeId="0" xr:uid="{AA5DA818-3399-4DD6-B120-A76E6CE775A2}">
      <text>
        <t>[Threaded comment]
Your version of Excel allows you to read this threaded comment; however, any edits to it will get removed if the file is opened in a newer version of Excel. Learn more: https://go.microsoft.com/fwlink/?linkid=870924
Comment:
    Use latest SSP2 scenario</t>
      </text>
    </comment>
    <comment ref="AV242" authorId="10" shapeId="0" xr:uid="{A3A026F7-313A-427D-B5E1-F455CCAFC32B}">
      <text>
        <t>[Threaded comment]
Your version of Excel allows you to read this threaded comment; however, any edits to it will get removed if the file is opened in a newer version of Excel. Learn more: https://go.microsoft.com/fwlink/?linkid=870924
Comment:
    Using the trend in IIASA LULUCF emissions projection by 2030, and starting point the FAO 2010 emissions</t>
      </text>
    </comment>
    <comment ref="BM253" authorId="11" shapeId="0" xr:uid="{88774C6E-5A4C-41F3-85F8-10F728CED06B}">
      <text>
        <t>[Threaded comment]
Your version of Excel allows you to read this threaded comment; however, any edits to it will get removed if the file is opened in a newer version of Excel. Learn more: https://go.microsoft.com/fwlink/?linkid=870924
Comment:
    Wrong sum of EU individual countries</t>
      </text>
    </comment>
    <comment ref="BP253" authorId="12" shapeId="0" xr:uid="{E40C6E4F-0D39-4B1D-85CA-4450E4D1E080}">
      <text>
        <t>[Threaded comment]
Your version of Excel allows you to read this threaded comment; however, any edits to it will get removed if the file is opened in a newer version of Excel. Learn more: https://go.microsoft.com/fwlink/?linkid=870924
Comment:
    Wrong sum of EU individual countries</t>
      </text>
    </comment>
    <comment ref="BS253" authorId="13" shapeId="0" xr:uid="{7BC11D7D-1611-4222-BEF0-19371D71F76D}">
      <text>
        <t>[Threaded comment]
Your version of Excel allows you to read this threaded comment; however, any edits to it will get removed if the file is opened in a newer version of Excel. Learn more: https://go.microsoft.com/fwlink/?linkid=870924
Comment:
    Wrong sum of EU individual countries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tc={A196B113-714F-44DA-B7CF-2BC8FAB003D2}</author>
    <author>tc={7667E1DE-1531-4C74-9878-D0C0043BA92D}</author>
    <author>tc={987EF258-FB14-4CB2-99F9-53050446C818}</author>
    <author>tc={6E3BC4BC-2FA6-4BAD-870F-8CDAA67B88D8}</author>
    <author>tc={F1D748F2-D055-4E4D-AE78-BE26E17B6A6B}</author>
    <author>tc={96E3F9A6-4D9B-4A53-AE38-454E49C2BFD7}</author>
    <author>tc={C31A683F-A7B2-4E03-A257-D798687A6DC1}</author>
    <author>tc={99246BF8-992B-42D5-A561-9058FF9591B9}</author>
    <author>tc={6425F5D7-82EA-4D3A-BD52-D53D6CF01C41}</author>
    <author>tc={68138B97-7E8F-4667-A6B2-1B57A118E5CD}</author>
    <author>tc={3EC41AF6-5B9A-438F-8297-EEDD57D72B51}</author>
    <author>tc={9C1C8B0C-0C32-4ADC-A471-43CD9D40164F}</author>
    <author>tc={2D937F2F-1453-415D-A363-04D2C98B7F33}</author>
    <author>tc={474DAACA-65F1-41BD-A3E3-7E497E813069}</author>
    <author>tc={D64EECBC-44B9-4F70-8893-677A73CC536A}</author>
    <author>tc={DA998285-A106-4E70-A36C-3A4F43E82A0F}</author>
    <author>tc={B7E96EC5-2F0A-4EB7-A524-C4AD84860B45}</author>
    <author>tc={C7AA8B59-562C-4A0C-8D73-E10DB5CABF44}</author>
    <author>tc={986D231B-E9F1-4205-B060-B024BEB16FE8}</author>
    <author>tc={7C86F127-A2F4-4DAC-88AC-3EED0D6CAFBA}</author>
    <author>tc={785C3D26-F15A-46E8-9EA8-61DE227BBA7E}</author>
    <author>tc={23C2F626-452D-47C2-A16A-1BEFDA6FB0D4}</author>
    <author>tc={ED9A15B5-EE2E-45D4-B852-EB3CCA5D8208}</author>
    <author>tc={1C42236B-97F0-4338-A8C7-92D3F3282251}</author>
    <author>tc={46494482-CE0E-4AB4-8E6C-491713323C5D}</author>
    <author>tc={0615DF0A-85EA-4EF4-88B2-37437509D7FA}</author>
    <author>tc={3D63EACF-6554-461A-9D41-310B2FC69B11}</author>
    <author>tc={76FB37EC-2E7E-4BEA-81DD-65FD2CD89F0E}</author>
    <author>tc={A3B9CF09-89EA-4B43-87D1-CD048BF26CAE}</author>
    <author>tc={CF1619CB-1AF0-454A-A201-420C02FDBE94}</author>
    <author>tc={E0A51ADF-C125-401A-82C7-84191B99264D}</author>
    <author>tc={5C005D35-61F6-46E0-84C6-33B718900318}</author>
  </authors>
  <commentList>
    <comment ref="I6" authorId="0" shapeId="0" xr:uid="{A196B113-714F-44DA-B7CF-2BC8FAB003D2}">
      <text>
        <t>[Threaded comment]
Your version of Excel allows you to read this threaded comment; however, any edits to it will get removed if the file is opened in a newer version of Excel. Learn more: https://go.microsoft.com/fwlink/?linkid=870924
Comment:
    No change. Full accounting. It depends on BY emissions, including LULUCF</t>
      </text>
    </comment>
    <comment ref="Z6" authorId="1" shapeId="0" xr:uid="{7667E1DE-1531-4C74-9878-D0C0043BA92D}">
      <text>
        <t>[Threaded comment]
Your version of Excel allows you to read this threaded comment; however, any edits to it will get removed if the file is opened in a newer version of Excel. Learn more: https://go.microsoft.com/fwlink/?linkid=870924
Comment:
    Now minus NDC LULUCF IIASA</t>
      </text>
    </comment>
    <comment ref="AB6" authorId="2" shapeId="0" xr:uid="{987EF258-FB14-4CB2-99F9-53050446C818}">
      <text>
        <t>[Threaded comment]
Your version of Excel allows you to read this threaded comment; however, any edits to it will get removed if the file is opened in a newer version of Excel. Learn more: https://go.microsoft.com/fwlink/?linkid=870924
Comment:
    Now minus CurPol IIASA</t>
      </text>
    </comment>
    <comment ref="AD6" authorId="3" shapeId="0" xr:uid="{6E3BC4BC-2FA6-4BAD-870F-8CDAA67B88D8}">
      <text>
        <t>[Threaded comment]
Your version of Excel allows you to read this threaded comment; however, any edits to it will get removed if the file is opened in a newer version of Excel. Learn more: https://go.microsoft.com/fwlink/?linkid=870924
Comment:
    Now minus LULUCF CurPol IMAGE</t>
      </text>
    </comment>
    <comment ref="AG6" authorId="4" shapeId="0" xr:uid="{F1D748F2-D055-4E4D-AE78-BE26E17B6A6B}">
      <text>
        <t>[Threaded comment]
Your version of Excel allows you to read this threaded comment; however, any edits to it will get removed if the file is opened in a newer version of Excel. Learn more: https://go.microsoft.com/fwlink/?linkid=870924
Comment:
    Fill accounting, based on BY emissions, so independent on LULUCF emissions assumptions</t>
      </text>
    </comment>
    <comment ref="I7" authorId="5" shapeId="0" xr:uid="{96E3F9A6-4D9B-4A53-AE38-454E49C2BFD7}">
      <text>
        <t>[Threaded comment]
Your version of Excel allows you to read this threaded comment; however, any edits to it will get removed if the file is opened in a newer version of Excel. Learn more: https://go.microsoft.com/fwlink/?linkid=870924
Comment:
    NDC target now assumes LULUCF emissions projections Current Policies IIASA (harmonised with GHGI data), therefore the later needs to be replaced by LULUCF NDC target IIASA.</t>
      </text>
    </comment>
    <comment ref="Z7" authorId="6" shapeId="0" xr:uid="{C31A683F-A7B2-4E03-A257-D798687A6DC1}">
      <text>
        <t>[Threaded comment]
Your version of Excel allows you to read this threaded comment; however, any edits to it will get removed if the file is opened in a newer version of Excel. Learn more: https://go.microsoft.com/fwlink/?linkid=870924
Comment:
    Same as Australia</t>
      </text>
    </comment>
    <comment ref="AB7" authorId="7" shapeId="0" xr:uid="{99246BF8-992B-42D5-A561-9058FF9591B9}">
      <text>
        <t>[Threaded comment]
Your version of Excel allows you to read this threaded comment; however, any edits to it will get removed if the file is opened in a newer version of Excel. Learn more: https://go.microsoft.com/fwlink/?linkid=870924
Comment:
    Same as Australia</t>
      </text>
    </comment>
    <comment ref="AK7" authorId="8" shapeId="0" xr:uid="{6425F5D7-82EA-4D3A-BD52-D53D6CF01C41}">
      <text>
        <t>[Threaded comment]
Your version of Excel allows you to read this threaded comment; however, any edits to it will get removed if the file is opened in a newer version of Excel. Learn more: https://go.microsoft.com/fwlink/?linkid=870924
Comment:
    The excluding target + IMAGE LULUCF</t>
      </text>
    </comment>
    <comment ref="I8" authorId="9" shapeId="0" xr:uid="{68138B97-7E8F-4667-A6B2-1B57A118E5CD}">
      <text>
        <t>[Threaded comment]
Your version of Excel allows you to read this threaded comment; however, any edits to it will get removed if the file is opened in a newer version of Excel. Learn more: https://go.microsoft.com/fwlink/?linkid=870924
Comment:
    This needs to be including LULUCF NDC target IIASA</t>
      </text>
    </comment>
    <comment ref="Z8" authorId="10" shapeId="0" xr:uid="{3EC41AF6-5B9A-438F-8297-EEDD57D72B51}">
      <text>
        <t>[Threaded comment]
Your version of Excel allows you to read this threaded comment; however, any edits to it will get removed if the file is opened in a newer version of Excel. Learn more: https://go.microsoft.com/fwlink/?linkid=870924
Comment:
    Original NDC target is excluding LULUCF, so similar approach for three options.</t>
      </text>
    </comment>
    <comment ref="AK8" authorId="11" shapeId="0" xr:uid="{9C1C8B0C-0C32-4ADC-A471-43CD9D40164F}">
      <text>
        <t>[Threaded comment]
Your version of Excel allows you to read this threaded comment; however, any edits to it will get removed if the file is opened in a newer version of Excel. Learn more: https://go.microsoft.com/fwlink/?linkid=870924
Comment:
    Same as China.</t>
      </text>
    </comment>
    <comment ref="B13" authorId="12" shapeId="0" xr:uid="{2D937F2F-1453-415D-A363-04D2C98B7F33}">
      <text>
        <t xml:space="preserve">[Threaded comment]
Your version of Excel allows you to read this threaded comment; however, any edits to it will get removed if the file is opened in a newer version of Excel. Learn more: https://go.microsoft.com/fwlink/?linkid=870924
Comment:
    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
      </text>
    </comment>
    <comment ref="G13" authorId="13" shapeId="0" xr:uid="{474DAACA-65F1-41BD-A3E3-7E497E813069}">
      <text>
        <t xml:space="preserve">[Threaded comment]
Your version of Excel allows you to read this threaded comment; however, any edits to it will get removed if the file is opened in a newer version of Excel. Learn more: https://go.microsoft.com/fwlink/?linkid=870924
Comment:
    LULUCF target is 47.7 MtCO2 according to factsheet 2023, which is close to the values given here
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
      </text>
    </comment>
    <comment ref="I13" authorId="14" shapeId="0" xr:uid="{D64EECBC-44B9-4F70-8893-677A73CC536A}">
      <text>
        <t xml:space="preserve">[Threaded comment]
Your version of Excel allows you to read this threaded comment; however, any edits to it will get removed if the file is opened in a newer version of Excel. Learn more: https://go.microsoft.com/fwlink/?linkid=870924
Comment:
    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
      </text>
    </comment>
    <comment ref="Z13" authorId="15" shapeId="0" xr:uid="{DA998285-A106-4E70-A36C-3A4F43E82A0F}">
      <text>
        <t xml:space="preserve">[Threaded comment]
Your version of Excel allows you to read this threaded comment; however, any edits to it will get removed if the file is opened in a newer version of Excel. Learn more: https://go.microsoft.com/fwlink/?linkid=870924
Comment:
    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
      </text>
    </comment>
    <comment ref="I14" authorId="16" shapeId="0" xr:uid="{B7E96EC5-2F0A-4EB7-A524-C4AD84860B45}">
      <text>
        <t>[Threaded comment]
Your version of Excel allows you to read this threaded comment; however, any edits to it will get removed if the file is opened in a newer version of Excel. Learn more: https://go.microsoft.com/fwlink/?linkid=870924
Comment:
    Same as China.</t>
      </text>
    </comment>
    <comment ref="K14" authorId="17" shapeId="0" xr:uid="{C7AA8B59-562C-4A0C-8D73-E10DB5CABF44}">
      <text>
        <t>[Threaded comment]
Your version of Excel allows you to read this threaded comment; however, any edits to it will get removed if the file is opened in a newer version of Excel. Learn more: https://go.microsoft.com/fwlink/?linkid=870924
Comment:
    Quite a change compared to factsheet report. Change in GHGI data</t>
      </text>
    </comment>
    <comment ref="Z14" authorId="18" shapeId="0" xr:uid="{986D231B-E9F1-4205-B060-B024BEB16FE8}">
      <text>
        <t>[Threaded comment]
Your version of Excel allows you to read this threaded comment; however, any edits to it will get removed if the file is opened in a newer version of Excel. Learn more: https://go.microsoft.com/fwlink/?linkid=870924
Comment:
    Same as China.</t>
      </text>
    </comment>
    <comment ref="AK14" authorId="19" shapeId="0" xr:uid="{7C86F127-A2F4-4DAC-88AC-3EED0D6CAFBA}">
      <text>
        <t>[Threaded comment]
Your version of Excel allows you to read this threaded comment; however, any edits to it will get removed if the file is opened in a newer version of Excel. Learn more: https://go.microsoft.com/fwlink/?linkid=870924
Comment:
    The excluding target + IMAGE LULUCF</t>
      </text>
    </comment>
    <comment ref="Q16" authorId="20" shapeId="0" xr:uid="{785C3D26-F15A-46E8-9EA8-61DE227BBA7E}">
      <text>
        <t>[Threaded comment]
Your version of Excel allows you to read this threaded comment; however, any edits to it will get removed if the file is opened in a newer version of Excel. Learn more: https://go.microsoft.com/fwlink/?linkid=870924
Comment:
    Nicklas: The numbers for Russia are correct. In the NDC for Russia, they project a decrease of the forest sink over time (i.e. that the sink would be smaller). I have harmonized the IIASA projections to the 2010 historical number, which is the same starting year of the scenarios presented in the NDC for Russia. The single number that I have provided for you represent that average of the scenarios that they present in the NDC. In this case Russia basically believe that their sink will decrease much quicker than we do.</t>
      </text>
    </comment>
    <comment ref="AA17" authorId="21" shapeId="0" xr:uid="{23C2F626-452D-47C2-A16A-1BEFDA6FB0D4}">
      <text>
        <t>[Threaded comment]
Your version of Excel allows you to read this threaded comment; however, any edits to it will get removed if the file is opened in a newer version of Excel. Learn more: https://go.microsoft.com/fwlink/?linkid=870924
Comment:
    There is a conditional LULUCF target</t>
      </text>
    </comment>
    <comment ref="Z18" authorId="22" shapeId="0" xr:uid="{ED9A15B5-EE2E-45D4-B852-EB3CCA5D8208}">
      <text>
        <t>[Threaded comment]
Your version of Excel allows you to read this threaded comment; however, any edits to it will get removed if the file is opened in a newer version of Excel. Learn more: https://go.microsoft.com/fwlink/?linkid=870924
Comment:
    Original NDC target is excluding LULUCF, so similar approach for three options.</t>
      </text>
    </comment>
    <comment ref="AK18" authorId="23" shapeId="0" xr:uid="{1C42236B-97F0-4338-A8C7-92D3F3282251}">
      <text>
        <t>[Threaded comment]
Your version of Excel allows you to read this threaded comment; however, any edits to it will get removed if the file is opened in a newer version of Excel. Learn more: https://go.microsoft.com/fwlink/?linkid=870924
Comment:
    Same as China.</t>
      </text>
    </comment>
    <comment ref="L19" authorId="24" shapeId="0" xr:uid="{46494482-CE0E-4AB4-8E6C-491713323C5D}">
      <text>
        <t>[Threaded comment]
Your version of Excel allows you to read this threaded comment; however, any edits to it will get removed if the file is opened in a newer version of Excel. Learn more: https://go.microsoft.com/fwlink/?linkid=870924
Comment:
    Nicklas: For the US, its actually a very similar story. The numbers that we are using come from two scenarios that US present in the 6th NC, one with a decrease of the sink and one with basically stable development of the sink, compared to 2010 levels. No later projections for the LULUCF sector has been provided by the US. I have harmonized the projections to the 2010 level and taken the average of these scenarios for this work, this basically leads to a small reduction of their sink. In the current policy scenario we believe that they can still maintain their sink so this is causing the difference between the NDC and the current policy scenario.</t>
      </text>
    </comment>
    <comment ref="Q19" authorId="25" shapeId="0" xr:uid="{0615DF0A-85EA-4EF4-88B2-37437509D7FA}">
      <text>
        <t>[Threaded comment]
Your version of Excel allows you to read this threaded comment; however, any edits to it will get removed if the file is opened in a newer version of Excel. Learn more: https://go.microsoft.com/fwlink/?linkid=870924
Comment:
    Nicklas: For the US, its actually a very similar story. The numbers that we are using come from two scenarios that US present in the 6th NC, one with a decrease of the sink and one with basically stable development of the sink, compared to 2010 levels. No later projections for the LULUCF sector has been provided by the US. I have harmonized the projections to the 2010 level and taken the average of these scenarios for this work, this basically leads to a small reduction of their sink. In the current policy scenario we believe that they can still maintain their sink so this is causing the difference between the NDC and the current policy scenario.</t>
      </text>
    </comment>
    <comment ref="B22" authorId="26" shapeId="0" xr:uid="{3D63EACF-6554-461A-9D41-310B2FC69B11}">
      <text>
        <t xml:space="preserve">[Threaded comment]
Your version of Excel allows you to read this threaded comment; however, any edits to it will get removed if the file is opened in a newer version of Excel. Learn more: https://go.microsoft.com/fwlink/?linkid=870924
Comment:
    Same as Japan. The Republic of Korea uses a gross-net approach to account for the land use sector in its NDC. This means that it does not include the land use sector in the base year of its NDC target, but it does include it in the target year. Since the land use sector is a sink in the country, this accounting approach makes it easier for the Republic of Korea to reach its target </t>
      </text>
    </comment>
    <comment ref="I22" authorId="27" shapeId="0" xr:uid="{76FB37EC-2E7E-4BEA-81DD-65FD2CD89F0E}">
      <text>
        <t>[Threaded comment]
Your version of Excel allows you to read this threaded comment; however, any edits to it will get removed if the file is opened in a newer version of Excel. Learn more: https://go.microsoft.com/fwlink/?linkid=870924
Comment:
    their updated NDC of Korea, they exlc. LULUCF when calculating their target (see statements in Annex 1, table 1 a(b)). This means that their NDC target would be: 727.6 * (1-0.4) = 436.56 MtCO2eq.
So incl. LULUCF depends on option.</t>
      </text>
    </comment>
    <comment ref="Z22" authorId="28" shapeId="0" xr:uid="{A3B9CF09-89EA-4B43-87D1-CD048BF26CAE}">
      <text>
        <t>[Threaded comment]
Your version of Excel allows you to read this threaded comment; however, any edits to it will get removed if the file is opened in a newer version of Excel. Learn more: https://go.microsoft.com/fwlink/?linkid=870924
Comment:
    their updated NDC of Korea, they exlc. LULUCF when calculating their target (see statements in Annex 1, table 1 a(b)). This means that their NDC target would be: 727.6 * (1-0.4) = 436.56 MtCO2eq.
So incl. LULUCF depends on option.</t>
      </text>
    </comment>
    <comment ref="AG22" authorId="29" shapeId="0" xr:uid="{CF1619CB-1AF0-454A-A201-420C02FDBE94}">
      <text>
        <t>[Threaded comment]
Your version of Excel allows you to read this threaded comment; however, any edits to it will get removed if the file is opened in a newer version of Excel. Learn more: https://go.microsoft.com/fwlink/?linkid=870924
Comment:
    their updated NDC of Korea, they exlc. LULUCF when calculating their target (see statements in Annex 1, table 1 a(b)). This means that their NDC target would be: 727.6 * (1-0.4) = 436.56 MtCO2eq.
So incl. LULUCF depends on option.</t>
      </text>
    </comment>
    <comment ref="Z23" authorId="30" shapeId="0" xr:uid="{E0A51ADF-C125-401A-82C7-84191B99264D}">
      <text>
        <t>[Threaded comment]
Your version of Excel allows you to read this threaded comment; however, any edits to it will get removed if the file is opened in a newer version of Excel. Learn more: https://go.microsoft.com/fwlink/?linkid=870924
Comment:
    Original NDC target is excluding LULUCF, so similar approach for three options.</t>
      </text>
    </comment>
    <comment ref="AK23" authorId="31" shapeId="0" xr:uid="{5C005D35-61F6-46E0-84C6-33B718900318}">
      <text>
        <t>[Threaded comment]
Your version of Excel allows you to read this threaded comment; however, any edits to it will get removed if the file is opened in a newer version of Excel. Learn more: https://go.microsoft.com/fwlink/?linkid=870924
Comment:
    Same as China.</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3" authorId="0" shapeId="0" xr:uid="{00000000-0006-0000-0000-000001000000}">
      <text>
        <r>
          <rPr>
            <sz val="10"/>
            <color rgb="FF000000"/>
            <rFont val="Aptos Narrow"/>
            <family val="2"/>
            <scheme val="minor"/>
          </rPr>
          <t>Based on the average of the underlying studies, which can be different from the last reporting year emission</t>
        </r>
      </text>
    </comment>
    <comment ref="O3" authorId="0" shapeId="0" xr:uid="{00000000-0006-0000-0000-000015000000}">
      <text>
        <r>
          <rPr>
            <sz val="10"/>
            <color rgb="FF000000"/>
            <rFont val="Aptos Narrow"/>
            <family val="2"/>
            <scheme val="minor"/>
          </rPr>
          <t>Options: Y/N
	-Joeri Rogelj</t>
        </r>
      </text>
    </comment>
    <comment ref="P3" authorId="0" shapeId="0" xr:uid="{00000000-0006-0000-0000-000017000000}">
      <text>
        <r>
          <rPr>
            <sz val="10"/>
            <color rgb="FF000000"/>
            <rFont val="Aptos Narrow"/>
            <family val="2"/>
            <scheme val="minor"/>
          </rPr>
          <t>options: credible/weaker/none
	-Joeri Rogelj
Revised scoring based on CAT Net Zero Evaluation ver.Nov 22. See columns U-V of the sheet 'CAT_NZ_Nov22'. 
Credible if: 
"Underlying [government or government-endorsed] analysis identifies pathway and key measures for reaching net zero, with sector-specific detail", or,
"Some information on anticipated pathway or measures for achieving net zero is available, but with limited detail"
Not credible if: 
"No pathway, measures or underlying analysis provided", or, 
"No information provided [only for targets announced or under discussion]"
	-Takeshi Kuramochi
Sounds good to me.
	-Frederic Hans</t>
        </r>
      </text>
    </comment>
    <comment ref="Q3" authorId="0" shapeId="0" xr:uid="{00000000-0006-0000-0000-000013000000}">
      <text>
        <r>
          <rPr>
            <sz val="10"/>
            <color rgb="FF000000"/>
            <rFont val="Aptos Narrow"/>
            <family val="2"/>
            <scheme val="minor"/>
          </rPr>
          <t>We based our judgement on the studies covered in EGR2022. Reference year of 2020 is used (and not 2019, because many models don't provide 2019 estimates). 2020 emissions are model estimates for some countries or models, and historical data for others. 
'Yes' rating is given when studies unanimously show a reduction of 10% or more reduction between 2020 and 2030.
	-Takeshi Kuramochi</t>
        </r>
      </text>
    </comment>
    <comment ref="AI3" authorId="0" shapeId="0" xr:uid="{00000000-0006-0000-0000-000016000000}">
      <text>
        <r>
          <rPr>
            <sz val="10"/>
            <color rgb="FF000000"/>
            <rFont val="Aptos Narrow"/>
            <family val="2"/>
            <scheme val="minor"/>
          </rPr>
          <t>Automatically calculated from emissions data
	-Joeri Rogelj</t>
        </r>
      </text>
    </comment>
    <comment ref="AF4" authorId="0" shapeId="0" xr:uid="{00000000-0006-0000-0000-000008000000}">
      <text>
        <r>
          <rPr>
            <sz val="10"/>
            <color rgb="FF000000"/>
            <rFont val="Aptos Narrow"/>
            <family val="2"/>
            <scheme val="minor"/>
          </rPr>
          <t>@Takeshi: I assume the yellow cells can be deleted, as this was a test?
	-michel den elzen</t>
        </r>
      </text>
    </comment>
    <comment ref="I5" authorId="0" shapeId="0" xr:uid="{00000000-0006-0000-0000-000006000000}">
      <text>
        <r>
          <rPr>
            <sz val="10"/>
            <color rgb="FF000000"/>
            <rFont val="Aptos Narrow"/>
            <family val="2"/>
            <scheme val="minor"/>
          </rPr>
          <t>Minor change due to update PBL estimate,
	-michel den elzen</t>
        </r>
      </text>
    </comment>
    <comment ref="O13" authorId="0" shapeId="0" xr:uid="{00000000-0006-0000-0000-000014000000}">
      <text>
        <r>
          <rPr>
            <sz val="10"/>
            <color rgb="FF000000"/>
            <rFont val="Aptos Narrow"/>
            <family val="2"/>
            <scheme val="minor"/>
          </rPr>
          <t>I had originally marked this as N, but changing after learning about Mexico's 2050 law: https://climate-laws.org/geographies/mexico/laws/general-law-on-climate-change
	-Clea Schumer
Just FYI, we currently do not code Mexico as having a net-zero target (see assessment as of 12 Dec 2022 here: https://climateactiontracker.org/countries/mexico/net-zero-targets/). As explained in the assessment, we do no longer consider Mexico’s mid-century strategy as valid. As part of the court’s ruling revoking the 2020 NDC targets and reinstating the 2016 NDC, Mexico’s 2050 target from its Mid-Century Strategy was also reinstated. We will re-assess our evaluation of this target after there is more clarity.
	-Frederic Hans</t>
        </r>
      </text>
    </comment>
    <comment ref="F21" authorId="0" shapeId="0" xr:uid="{00000000-0006-0000-0000-000002000000}">
      <text>
        <r>
          <rPr>
            <sz val="10"/>
            <color rgb="FF000000"/>
            <rFont val="Aptos Narrow"/>
            <family val="2"/>
            <scheme val="minor"/>
          </rPr>
          <t>Only based on JRC, and quite different from 2018 emissions</t>
        </r>
      </text>
    </comment>
    <comment ref="H21" authorId="0" shapeId="0" xr:uid="{00000000-0006-0000-0000-000011000000}">
      <text>
        <r>
          <rPr>
            <sz val="10"/>
            <color rgb="FF000000"/>
            <rFont val="Aptos Narrow"/>
            <family val="2"/>
            <scheme val="minor"/>
          </rPr>
          <t>JRC2021
	-Takeshi Kuramochi</t>
        </r>
      </text>
    </comment>
    <comment ref="I21" authorId="0" shapeId="0" xr:uid="{00000000-0006-0000-0000-000010000000}">
      <text>
        <r>
          <rPr>
            <sz val="10"/>
            <color rgb="FF000000"/>
            <rFont val="Aptos Narrow"/>
            <family val="2"/>
            <scheme val="minor"/>
          </rPr>
          <t>JRC2021
	-Takeshi Kuramochi</t>
        </r>
      </text>
    </comment>
    <comment ref="P21" authorId="0" shapeId="0" xr:uid="{00000000-0006-0000-0000-000012000000}">
      <text>
        <r>
          <rPr>
            <sz val="10"/>
            <color rgb="FF000000"/>
            <rFont val="Aptos Narrow"/>
            <family val="2"/>
            <scheme val="minor"/>
          </rPr>
          <t>hard-coded
	-Takeshi Kuramochi</t>
        </r>
      </text>
    </comment>
    <comment ref="F24" authorId="0" shapeId="0" xr:uid="{00000000-0006-0000-0000-000003000000}">
      <text>
        <r>
          <rPr>
            <sz val="10"/>
            <color rgb="FF000000"/>
            <rFont val="Aptos Narrow"/>
            <family val="2"/>
            <scheme val="minor"/>
          </rPr>
          <t>Estimate based on figure in https://newclimate.org/sites/default/files/2021/11/NewClimate_TrackingCurrentPolicies_Nov21.pdf</t>
        </r>
      </text>
    </comment>
    <comment ref="P25" authorId="0" shapeId="0" xr:uid="{00000000-0006-0000-0000-00000E000000}">
      <text>
        <r>
          <rPr>
            <sz val="10"/>
            <color rgb="FF000000"/>
            <rFont val="Aptos Narrow"/>
            <family val="2"/>
            <scheme val="minor"/>
          </rPr>
          <t>Based on the CAT COP26 update
	-Takeshi Kuramochi
Ok. Just FYI, net zero assessment (as well as entire country analysis) currently paused due to war of aggression. Previous analysis from Dec 2021 did not identify any credible plan (https://climateactiontracker.org/countries/ukraine/2021-12-13/net-zero-targets/).
	-Frederic Hans</t>
        </r>
      </text>
    </comment>
    <comment ref="Q25" authorId="0" shapeId="0" xr:uid="{00000000-0006-0000-0000-00000D000000}">
      <text>
        <r>
          <rPr>
            <sz val="10"/>
            <color rgb="FF000000"/>
            <rFont val="Aptos Narrow"/>
            <family val="2"/>
            <scheme val="minor"/>
          </rPr>
          <t>Based on CAT COP26 update
	-Takeshi Kuramochi</t>
        </r>
      </text>
    </comment>
    <comment ref="F29" authorId="0" shapeId="0" xr:uid="{00000000-0006-0000-0000-000004000000}">
      <text>
        <r>
          <rPr>
            <sz val="10"/>
            <color rgb="FF000000"/>
            <rFont val="Aptos Narrow"/>
            <family val="2"/>
            <scheme val="minor"/>
          </rPr>
          <t>Only based on JRC. Quite different from 2018, possible due to COVID</t>
        </r>
      </text>
    </comment>
    <comment ref="A30" authorId="0" shapeId="0" xr:uid="{00000000-0006-0000-0000-000018000000}">
      <text>
        <r>
          <rPr>
            <sz val="10"/>
            <color rgb="FF000000"/>
            <rFont val="Aptos Narrow"/>
            <family val="2"/>
            <scheme val="minor"/>
          </rPr>
          <t>Would recommend removing Egypt, Ethiopia, and Iran, since they are not in the G20 and do not have a net-zero target
	-Clea Schumer
Just FYI, we consider Ethiopia having a net-zero target evaluated as 'target information incomplete' (see our assessment as of 9 Nov 2022 here: https://climateactiontracker.org/countries/ethiopia/net-zero-targets/). 
Ethiopia intends to become ‘carbon neutral’, but has not specified a target year (FDRE, 2015). Ethiopia has not submitted a Long-Term Low Emission Development Strategy to the UNFCCC as of August 2022, but is in the process of developing one with support from the Global Green Growth Institute (GGGI, 2022). This process will include developing business as usual and net zero emissions scenarios. In 2020, Ethiopia joined the Climate Ambition Alliance: Net zero by 2050, but it is unclear what this means for Ethiopia’s net zero ambitions (Climate Ambition Alliance, 2019).
	-Frederic Hans</t>
        </r>
      </text>
    </comment>
    <comment ref="P31" authorId="0" shapeId="0" xr:uid="{00000000-0006-0000-0000-00000C000000}">
      <text>
        <r>
          <rPr>
            <sz val="10"/>
            <color rgb="FF000000"/>
            <rFont val="Aptos Narrow"/>
            <family val="2"/>
            <scheme val="minor"/>
          </rPr>
          <t>To be confirmed with FHA
	-Takeshi Kuramochi
Correct. No LTS published as of January 2023 (remains work in progress supported by GGGI).
	-Frederic Hans</t>
        </r>
      </text>
    </comment>
    <comment ref="H34" authorId="0" shapeId="0" xr:uid="{00000000-0006-0000-0000-00000F000000}">
      <text>
        <r>
          <rPr>
            <sz val="10"/>
            <color rgb="FF000000"/>
            <rFont val="Aptos Narrow"/>
            <family val="2"/>
            <scheme val="minor"/>
          </rPr>
          <t>Climate Resource 2022. Excludes LULUCF
	-Takeshi Kuramochi</t>
        </r>
      </text>
    </comment>
    <comment ref="F35" authorId="0" shapeId="0" xr:uid="{00000000-0006-0000-0000-000005000000}">
      <text>
        <r>
          <rPr>
            <sz val="10"/>
            <color rgb="FF000000"/>
            <rFont val="Aptos Narrow"/>
            <family val="2"/>
            <scheme val="minor"/>
          </rPr>
          <t>Based on JRC</t>
        </r>
      </text>
    </comment>
    <comment ref="R35" authorId="0" shapeId="0" xr:uid="{00000000-0006-0000-0000-000007000000}">
      <text>
        <r>
          <rPr>
            <sz val="10"/>
            <color rgb="FF000000"/>
            <rFont val="Aptos Narrow"/>
            <family val="2"/>
            <scheme val="minor"/>
          </rPr>
          <t>I think we also need to include the estimate of CAT, and this shows a reduction of only -6% below 2020 levels, so it news to be a N
	-michel den elzen</t>
        </r>
      </text>
    </comment>
    <comment ref="P36" authorId="0" shapeId="0" xr:uid="{00000000-0006-0000-0000-00000B000000}">
      <text>
        <r>
          <rPr>
            <sz val="10"/>
            <color rgb="FF000000"/>
            <rFont val="Aptos Narrow"/>
            <family val="2"/>
            <scheme val="minor"/>
          </rPr>
          <t>To be confirmed with FHA
	-Takeshi Kuramochi
No CAT assessment available. Considering Cambodia's detailed LTS outlining its path to 2050 carbon neutrality I assume it is ok to code as 'credible'.
	-Frederic Hans</t>
        </r>
      </text>
    </comment>
    <comment ref="Z36" authorId="0" shapeId="0" xr:uid="{00000000-0006-0000-0000-00000A000000}">
      <text>
        <r>
          <rPr>
            <sz val="10"/>
            <color rgb="FF000000"/>
            <rFont val="Aptos Narrow"/>
            <family val="2"/>
            <scheme val="minor"/>
          </rPr>
          <t>Check referencing with FHA
	-Takeshi Kuramochi
No CAT assessment available. Cambodia indeed includes the 2050 target in its LTS and is a signatory of the Climate Ambition Alliance announced at COP25 to reach net zero CO2 emissions by 2050 (https://cop25.mma.gob.cl/wp-content/uploads/2020/02/Annex-Alliance-ENGLISH.pdf).
	-Frederic Hans</t>
        </r>
      </text>
    </comment>
    <comment ref="P38" authorId="0" shapeId="0" xr:uid="{00000000-0006-0000-0000-000009000000}">
      <text>
        <r>
          <rPr>
            <sz val="10"/>
            <color rgb="FF000000"/>
            <rFont val="Aptos Narrow"/>
            <family val="2"/>
            <scheme val="minor"/>
          </rPr>
          <t>To be confirmed with FHA
	-Takeshi Kuramochi
We have not fully assessed this and the assessment remains at a draft stage (see https://app.box.com/file/1024601536827?s=yu3y9nxbo2unhubkbfizgfa7hhtx7tp3). At this early draft stage, I think it is correct to label as 'credible'.
	-Frederic Hans</t>
        </r>
      </text>
    </comment>
  </commentList>
</comments>
</file>

<file path=xl/sharedStrings.xml><?xml version="1.0" encoding="utf-8"?>
<sst xmlns="http://schemas.openxmlformats.org/spreadsheetml/2006/main" count="15809" uniqueCount="3003">
  <si>
    <t>Target types</t>
  </si>
  <si>
    <t>Type</t>
  </si>
  <si>
    <t>Number of countries</t>
  </si>
  <si>
    <t>Emissions share in 2018</t>
  </si>
  <si>
    <t>https://eciu.net/netzerotracker</t>
  </si>
  <si>
    <t>Achieved (self-declared)</t>
  </si>
  <si>
    <t>Achieved, Policy documents, Proposed, Law</t>
  </si>
  <si>
    <t>In Law</t>
  </si>
  <si>
    <t>In policy document</t>
  </si>
  <si>
    <t>Net zero-target Under Discussion</t>
  </si>
  <si>
    <t>Declaration / pledge</t>
  </si>
  <si>
    <t>Climate ambition alliance *</t>
  </si>
  <si>
    <t>Proposed / in discussion</t>
  </si>
  <si>
    <t>Countries with no zero target</t>
  </si>
  <si>
    <t>* https://unfccc.int/news/climate-ambition-alliance-nations-renew-their-push-to-upscale-action-by-2020-and-achieve-net-zero</t>
  </si>
  <si>
    <t xml:space="preserve">Int bunker emissions, remaining LULUCF </t>
  </si>
  <si>
    <t>https://www.climatechangenews.com/2020/09/17/countries-net-zero-climate-goal/</t>
  </si>
  <si>
    <t>No target</t>
  </si>
  <si>
    <t>Total</t>
  </si>
  <si>
    <t>EU is only counted for the EU as a whole</t>
  </si>
  <si>
    <t>INPUT in "input site"</t>
  </si>
  <si>
    <t>Total (EU in MSs)</t>
  </si>
  <si>
    <t>EU28</t>
  </si>
  <si>
    <t>G20</t>
  </si>
  <si>
    <t>ISO</t>
  </si>
  <si>
    <t>VSF nr</t>
  </si>
  <si>
    <t>Region code</t>
  </si>
  <si>
    <t>LULUCF</t>
  </si>
  <si>
    <r>
      <t>(Mt CO</t>
    </r>
    <r>
      <rPr>
        <vertAlign val="subscript"/>
        <sz val="10"/>
        <rFont val="Aptos Narrow"/>
        <family val="2"/>
        <scheme val="minor"/>
      </rPr>
      <t xml:space="preserve">2 </t>
    </r>
    <r>
      <rPr>
        <sz val="10"/>
        <rFont val="Aptos Narrow"/>
        <family val="2"/>
        <scheme val="minor"/>
      </rPr>
      <t>equivalent)</t>
    </r>
  </si>
  <si>
    <t>Net-zero target</t>
  </si>
  <si>
    <t>2021 emissions</t>
  </si>
  <si>
    <t>Current policies</t>
  </si>
  <si>
    <t>Net-zero targets if available (alternative Current policies)</t>
  </si>
  <si>
    <t>2 Degree &amp; net-zero targets</t>
  </si>
  <si>
    <t>2 degree scenario</t>
  </si>
  <si>
    <t>NZ target year</t>
  </si>
  <si>
    <t>Difference 2Degree - LTS</t>
  </si>
  <si>
    <t>1.5 Degree &amp; net-zero targets</t>
  </si>
  <si>
    <t>1.5 degree scenario</t>
  </si>
  <si>
    <t>Reaching net-zero</t>
  </si>
  <si>
    <t>Country</t>
  </si>
  <si>
    <t>Net zero year</t>
  </si>
  <si>
    <t>NZ GHG year</t>
  </si>
  <si>
    <t>2030 unconditional NDCs</t>
  </si>
  <si>
    <t>2030 unconditional NDCs2</t>
  </si>
  <si>
    <t>2030 conditional NDCs</t>
  </si>
  <si>
    <t>2030 conditional NDCs2</t>
  </si>
  <si>
    <t>Number</t>
  </si>
  <si>
    <t>Excl/Incl</t>
  </si>
  <si>
    <t>Code</t>
  </si>
  <si>
    <t>Country name</t>
  </si>
  <si>
    <t>Net zero target</t>
  </si>
  <si>
    <t>NZT -year</t>
  </si>
  <si>
    <t>Net-zero date</t>
  </si>
  <si>
    <t>AFG</t>
  </si>
  <si>
    <t>Afghanistan</t>
  </si>
  <si>
    <t>ALB</t>
  </si>
  <si>
    <t>Albania</t>
  </si>
  <si>
    <t>DZA</t>
  </si>
  <si>
    <t>Algeria</t>
  </si>
  <si>
    <t>ASM</t>
  </si>
  <si>
    <t>American Samoa</t>
  </si>
  <si>
    <t>AND</t>
  </si>
  <si>
    <t>Andorra</t>
  </si>
  <si>
    <t>AGO</t>
  </si>
  <si>
    <t>Angola</t>
  </si>
  <si>
    <t>AIA</t>
  </si>
  <si>
    <t>Anguilla</t>
  </si>
  <si>
    <t>ARG</t>
  </si>
  <si>
    <t>Argentina</t>
  </si>
  <si>
    <t>ARM</t>
  </si>
  <si>
    <t>Armenia</t>
  </si>
  <si>
    <t>ABW</t>
  </si>
  <si>
    <t>Aruba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</si>
  <si>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</si>
  <si>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</si>
  <si>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</si>
  <si>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</si>
  <si>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</si>
  <si>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</si>
  <si>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</si>
  <si>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</si>
  <si>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</si>
  <si>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</si>
  <si>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</si>
  <si>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</si>
  <si>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</si>
  <si>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</si>
  <si>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</si>
  <si>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</si>
  <si>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</si>
  <si>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</si>
  <si>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</si>
  <si>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</si>
  <si>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</si>
  <si>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</si>
  <si>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BMU</t>
  </si>
  <si>
    <t>Bermuda</t>
  </si>
  <si>
    <t>BTN</t>
  </si>
  <si>
    <t>Bhutan</t>
  </si>
  <si>
    <t>BOL</t>
  </si>
  <si>
    <t>Bolivia</t>
  </si>
  <si>
    <t>BIH</t>
  </si>
  <si>
    <t>Bosnia and Herzegovina</t>
  </si>
  <si>
    <t>BWA</t>
  </si>
  <si>
    <t>Botswana</t>
  </si>
  <si>
    <t>BRA</t>
  </si>
  <si>
    <t>Brazil</t>
  </si>
  <si>
    <t>BRN</t>
  </si>
  <si>
    <t>Brunei</t>
  </si>
  <si>
    <t>BGR</t>
  </si>
  <si>
    <t>Bulgaria</t>
  </si>
  <si>
    <t>BFA</t>
  </si>
  <si>
    <t>Burkina Faso</t>
  </si>
  <si>
    <t>BDI</t>
  </si>
  <si>
    <t>Burundi</t>
  </si>
  <si>
    <t>KHM</t>
  </si>
  <si>
    <t>Cambodia</t>
  </si>
  <si>
    <t>CMR</t>
  </si>
  <si>
    <t>Cameroon</t>
  </si>
  <si>
    <t>CAN</t>
  </si>
  <si>
    <t>Canada</t>
  </si>
  <si>
    <t>CPV</t>
  </si>
  <si>
    <t>Cape Verde</t>
  </si>
  <si>
    <t>CYM</t>
  </si>
  <si>
    <t>Cayman Islands</t>
  </si>
  <si>
    <t>CAF</t>
  </si>
  <si>
    <t>Central African Republic</t>
  </si>
  <si>
    <t>TCD</t>
  </si>
  <si>
    <t>Chad</t>
  </si>
  <si>
    <t>CHL</t>
  </si>
  <si>
    <t>Chile</t>
  </si>
  <si>
    <t>CHN</t>
  </si>
  <si>
    <t>China</t>
  </si>
  <si>
    <t>COL</t>
  </si>
  <si>
    <t>Colombia</t>
  </si>
  <si>
    <t>COM</t>
  </si>
  <si>
    <t>Comoros</t>
  </si>
  <si>
    <t>COD</t>
  </si>
  <si>
    <t>Congo, Democratic Republic</t>
  </si>
  <si>
    <t>COG</t>
  </si>
  <si>
    <t>Congo, Republic</t>
  </si>
  <si>
    <t>COK</t>
  </si>
  <si>
    <t>Cook Islands</t>
  </si>
  <si>
    <t>CRI</t>
  </si>
  <si>
    <t>Costa Rica</t>
  </si>
  <si>
    <t>CIV</t>
  </si>
  <si>
    <t>Cote d' Ivoire</t>
  </si>
  <si>
    <t>HRV</t>
  </si>
  <si>
    <t>Croatia</t>
  </si>
  <si>
    <t>CUB</t>
  </si>
  <si>
    <t>Cuba</t>
  </si>
  <si>
    <t>CYP</t>
  </si>
  <si>
    <t>Cyprus</t>
  </si>
  <si>
    <t>CZE</t>
  </si>
  <si>
    <t>Czech Republic</t>
  </si>
  <si>
    <t>DNK</t>
  </si>
  <si>
    <t>Denmark</t>
  </si>
  <si>
    <t>DJI</t>
  </si>
  <si>
    <t>Djibouti</t>
  </si>
  <si>
    <t>DMA</t>
  </si>
  <si>
    <t>Dominica</t>
  </si>
  <si>
    <t>DOM</t>
  </si>
  <si>
    <t>Dominican Republic</t>
  </si>
  <si>
    <t>ECU</t>
  </si>
  <si>
    <t>Ecuador</t>
  </si>
  <si>
    <t>EGY</t>
  </si>
  <si>
    <t>Egypt</t>
  </si>
  <si>
    <t>SLV</t>
  </si>
  <si>
    <t>El Salvador</t>
  </si>
  <si>
    <t>GNQ</t>
  </si>
  <si>
    <t>Equatorial Guinea</t>
  </si>
  <si>
    <t>ERI</t>
  </si>
  <si>
    <t>Eritrea</t>
  </si>
  <si>
    <t>EST</t>
  </si>
  <si>
    <t>Estonia</t>
  </si>
  <si>
    <t>ETH</t>
  </si>
  <si>
    <t>Ethiopia</t>
  </si>
  <si>
    <t>FRO</t>
  </si>
  <si>
    <t>Faeroe Islands</t>
  </si>
  <si>
    <t>FLK</t>
  </si>
  <si>
    <t>Falklands Islands.</t>
  </si>
  <si>
    <t>FJI</t>
  </si>
  <si>
    <t>Fiji</t>
  </si>
  <si>
    <t>FIN</t>
  </si>
  <si>
    <t>Finland</t>
  </si>
  <si>
    <t>FRA</t>
  </si>
  <si>
    <t>France</t>
  </si>
  <si>
    <t>GUF</t>
  </si>
  <si>
    <t>French Guyana</t>
  </si>
  <si>
    <t>PYF</t>
  </si>
  <si>
    <t>French Polynesia</t>
  </si>
  <si>
    <t>GAB</t>
  </si>
  <si>
    <t>Gabon</t>
  </si>
  <si>
    <t>GMB</t>
  </si>
  <si>
    <t>Gambia</t>
  </si>
  <si>
    <t>GEO</t>
  </si>
  <si>
    <t>Georgia</t>
  </si>
  <si>
    <t>DEU</t>
  </si>
  <si>
    <t>Germany</t>
  </si>
  <si>
    <t>GHA</t>
  </si>
  <si>
    <t>Ghana</t>
  </si>
  <si>
    <t>GIB</t>
  </si>
  <si>
    <t>Gibraltar</t>
  </si>
  <si>
    <t>GRC</t>
  </si>
  <si>
    <t>Greece</t>
  </si>
  <si>
    <t>GRL</t>
  </si>
  <si>
    <t>Greenland</t>
  </si>
  <si>
    <t>GRD</t>
  </si>
  <si>
    <t>Grenada</t>
  </si>
  <si>
    <t>GLP</t>
  </si>
  <si>
    <t>Guadeloupe</t>
  </si>
  <si>
    <t>GTM</t>
  </si>
  <si>
    <t>Guatemala</t>
  </si>
  <si>
    <t>GIN</t>
  </si>
  <si>
    <t>Guinea</t>
  </si>
  <si>
    <t>GNB</t>
  </si>
  <si>
    <t>Guinea-Bissau</t>
  </si>
  <si>
    <t>GUY</t>
  </si>
  <si>
    <t>Guyana</t>
  </si>
  <si>
    <t>HTI</t>
  </si>
  <si>
    <t>Haiti</t>
  </si>
  <si>
    <t>HND</t>
  </si>
  <si>
    <t>Honduras</t>
  </si>
  <si>
    <t>HKG</t>
  </si>
  <si>
    <t>Hong Kong, China</t>
  </si>
  <si>
    <t>HUN</t>
  </si>
  <si>
    <t>Hungary</t>
  </si>
  <si>
    <t>ISL</t>
  </si>
  <si>
    <t>Iceland</t>
  </si>
  <si>
    <t>IND</t>
  </si>
  <si>
    <t>India</t>
  </si>
  <si>
    <t>IDN</t>
  </si>
  <si>
    <t>Indonesia</t>
  </si>
  <si>
    <t>IRN</t>
  </si>
  <si>
    <t>Iran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</si>
  <si>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</si>
  <si>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</si>
  <si>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</si>
  <si>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</si>
  <si>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</si>
  <si>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</si>
  <si>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</si>
  <si>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</si>
  <si>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</si>
  <si>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</si>
  <si>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</si>
  <si>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</si>
  <si>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</si>
  <si>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</si>
  <si>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</si>
  <si>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</si>
  <si>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</si>
  <si>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</si>
  <si>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</si>
  <si>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</si>
  <si>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PRK</t>
  </si>
  <si>
    <t>North Korea</t>
  </si>
  <si>
    <t>KOR</t>
  </si>
  <si>
    <t>South Korea</t>
  </si>
  <si>
    <t>KWT</t>
  </si>
  <si>
    <t>Kuwait</t>
  </si>
  <si>
    <t>KGZ</t>
  </si>
  <si>
    <t>Kyrgyzstan</t>
  </si>
  <si>
    <t>LAO</t>
  </si>
  <si>
    <t>Laos</t>
  </si>
  <si>
    <t>LVA</t>
  </si>
  <si>
    <t>Latvia</t>
  </si>
  <si>
    <t>LBN</t>
  </si>
  <si>
    <t>Lebanon</t>
  </si>
  <si>
    <t>LSO</t>
  </si>
  <si>
    <t>Lesotho</t>
  </si>
  <si>
    <t>LBR</t>
  </si>
  <si>
    <t>Liberia</t>
  </si>
  <si>
    <t>LBY</t>
  </si>
  <si>
    <t>Libya</t>
  </si>
  <si>
    <t>LIE</t>
  </si>
  <si>
    <t>Liechtenstein</t>
  </si>
  <si>
    <t>LTU</t>
  </si>
  <si>
    <t>Lithuania</t>
  </si>
  <si>
    <t>LUX</t>
  </si>
  <si>
    <t>Luxembourg</t>
  </si>
  <si>
    <t>MAC</t>
  </si>
  <si>
    <t>Macao</t>
  </si>
  <si>
    <t>MKD</t>
  </si>
  <si>
    <t>Macedonia</t>
  </si>
  <si>
    <t>MDG</t>
  </si>
  <si>
    <t>Madagascar</t>
  </si>
  <si>
    <t>MWI</t>
  </si>
  <si>
    <t>Malawi</t>
  </si>
  <si>
    <t>MYS</t>
  </si>
  <si>
    <t>Malaysia</t>
  </si>
  <si>
    <t>MDV</t>
  </si>
  <si>
    <t>Maldives</t>
  </si>
  <si>
    <t>MLI</t>
  </si>
  <si>
    <t>Mali</t>
  </si>
  <si>
    <t>MLT</t>
  </si>
  <si>
    <t>Malta</t>
  </si>
  <si>
    <t>MHL</t>
  </si>
  <si>
    <t>Marshall Islands</t>
  </si>
  <si>
    <t>MTQ</t>
  </si>
  <si>
    <t>Martinique</t>
  </si>
  <si>
    <t>MRT</t>
  </si>
  <si>
    <t>Mauritania</t>
  </si>
  <si>
    <t>MUS</t>
  </si>
  <si>
    <t>Mauritius</t>
  </si>
  <si>
    <t>MEX</t>
  </si>
  <si>
    <t>Mexico</t>
  </si>
  <si>
    <t>FSM</t>
  </si>
  <si>
    <t>Micronesia (Federated States)</t>
  </si>
  <si>
    <t>MDA</t>
  </si>
  <si>
    <t>Moldova</t>
  </si>
  <si>
    <t>MCO</t>
  </si>
  <si>
    <t>Monaco</t>
  </si>
  <si>
    <t>MNG</t>
  </si>
  <si>
    <t>Mongolia</t>
  </si>
  <si>
    <t>MSR</t>
  </si>
  <si>
    <t>Montserrat</t>
  </si>
  <si>
    <t>MAR</t>
  </si>
  <si>
    <t>Morocco</t>
  </si>
  <si>
    <t>MOZ</t>
  </si>
  <si>
    <t>Mozambique</t>
  </si>
  <si>
    <t>MMR</t>
  </si>
  <si>
    <t>Myanmar</t>
  </si>
  <si>
    <t>NAM</t>
  </si>
  <si>
    <t>Namibia</t>
  </si>
  <si>
    <t>NRU</t>
  </si>
  <si>
    <t>Nauru</t>
  </si>
  <si>
    <t>NPL</t>
  </si>
  <si>
    <t>Nepal</t>
  </si>
  <si>
    <t>NLD</t>
  </si>
  <si>
    <t>Netherlands</t>
  </si>
  <si>
    <t>ANT</t>
  </si>
  <si>
    <t>Netherlands Antilles</t>
  </si>
  <si>
    <t>NCL</t>
  </si>
  <si>
    <t>New Caledonia</t>
  </si>
  <si>
    <t>NZL</t>
  </si>
  <si>
    <t>New Zealand</t>
  </si>
  <si>
    <t>NIC</t>
  </si>
  <si>
    <t>Nicaragua</t>
  </si>
  <si>
    <t>NER</t>
  </si>
  <si>
    <t>Niger</t>
  </si>
  <si>
    <t>NGA</t>
  </si>
  <si>
    <t>Nigeria</t>
  </si>
  <si>
    <t>NIU</t>
  </si>
  <si>
    <t>Niue</t>
  </si>
  <si>
    <t>MNP</t>
  </si>
  <si>
    <t>Northern Mariana Islands</t>
  </si>
  <si>
    <t>NOR</t>
  </si>
  <si>
    <t>Norway</t>
  </si>
  <si>
    <t>OMN</t>
  </si>
  <si>
    <t>Oman</t>
  </si>
  <si>
    <t>PAK</t>
  </si>
  <si>
    <t>Pakistan</t>
  </si>
  <si>
    <t>PLW</t>
  </si>
  <si>
    <t>Palau</t>
  </si>
  <si>
    <t>PAN</t>
  </si>
  <si>
    <t>Panama</t>
  </si>
  <si>
    <t>PNG</t>
  </si>
  <si>
    <t>Papua New Guinea</t>
  </si>
  <si>
    <t>PRY</t>
  </si>
  <si>
    <t>Paraguay</t>
  </si>
  <si>
    <t>PER</t>
  </si>
  <si>
    <t>Peru</t>
  </si>
  <si>
    <t>PHL</t>
  </si>
  <si>
    <t>Philippines</t>
  </si>
  <si>
    <t>PCN</t>
  </si>
  <si>
    <t>Pitcairn</t>
  </si>
  <si>
    <t>POL</t>
  </si>
  <si>
    <t>Poland</t>
  </si>
  <si>
    <t>PRT</t>
  </si>
  <si>
    <t>Portugal</t>
  </si>
  <si>
    <t>PRI</t>
  </si>
  <si>
    <t>Puerto Rico</t>
  </si>
  <si>
    <t>QAT</t>
  </si>
  <si>
    <t>Qatar</t>
  </si>
  <si>
    <t>REU</t>
  </si>
  <si>
    <t>Reunion</t>
  </si>
  <si>
    <t>ROU</t>
  </si>
  <si>
    <t>Romania</t>
  </si>
  <si>
    <t>RUS</t>
  </si>
  <si>
    <t>Russian Federation</t>
  </si>
  <si>
    <t>RWA</t>
  </si>
  <si>
    <t>Rwanda</t>
  </si>
  <si>
    <t>WSM</t>
  </si>
  <si>
    <t>Samoa</t>
  </si>
  <si>
    <t>SMR</t>
  </si>
  <si>
    <t>San Marino</t>
  </si>
  <si>
    <t>STP</t>
  </si>
  <si>
    <t>Sao Tome and Principe</t>
  </si>
  <si>
    <t>SAU</t>
  </si>
  <si>
    <t>Saudi Arabia</t>
  </si>
  <si>
    <t>SEN</t>
  </si>
  <si>
    <t>Senegal</t>
  </si>
  <si>
    <t>YUG</t>
  </si>
  <si>
    <t>Serbia and Montenegro</t>
  </si>
  <si>
    <t>SYC</t>
  </si>
  <si>
    <t>Seychelles</t>
  </si>
  <si>
    <t>SLE</t>
  </si>
  <si>
    <t>Sierra Leone</t>
  </si>
  <si>
    <t>SGP</t>
  </si>
  <si>
    <t>Singapore</t>
  </si>
  <si>
    <t>SVK</t>
  </si>
  <si>
    <t>Slovakia</t>
  </si>
  <si>
    <t>SVN</t>
  </si>
  <si>
    <t>Slovenia</t>
  </si>
  <si>
    <t>SLB</t>
  </si>
  <si>
    <t>Solomon Islands</t>
  </si>
  <si>
    <t>SOM</t>
  </si>
  <si>
    <t>Somalia</t>
  </si>
  <si>
    <t>ZAF</t>
  </si>
  <si>
    <t>South Africa</t>
  </si>
  <si>
    <t>ESP</t>
  </si>
  <si>
    <t>Spain</t>
  </si>
  <si>
    <t>LKA</t>
  </si>
  <si>
    <t>Sri Lanka</t>
  </si>
  <si>
    <t>SHN</t>
  </si>
  <si>
    <t>St. Helena</t>
  </si>
  <si>
    <t>KNA</t>
  </si>
  <si>
    <t>St. Kitts and Nevis</t>
  </si>
  <si>
    <t>LCA</t>
  </si>
  <si>
    <t>St. Lucia</t>
  </si>
  <si>
    <t>SPM</t>
  </si>
  <si>
    <t>St. Pierre and Miquelon</t>
  </si>
  <si>
    <t>VCT</t>
  </si>
  <si>
    <t>St. Vincent and the Grenadines</t>
  </si>
  <si>
    <t>SDN</t>
  </si>
  <si>
    <t>Sudan</t>
  </si>
  <si>
    <t>SUR</t>
  </si>
  <si>
    <t>Suriname</t>
  </si>
  <si>
    <t>SWZ</t>
  </si>
  <si>
    <t>Swaziland</t>
  </si>
  <si>
    <t>SWE</t>
  </si>
  <si>
    <t>Sweden</t>
  </si>
  <si>
    <t>CHE</t>
  </si>
  <si>
    <t>Switzerland</t>
  </si>
  <si>
    <t>SYR</t>
  </si>
  <si>
    <t>Syria</t>
  </si>
  <si>
    <t>TWN</t>
  </si>
  <si>
    <t>Taiwan</t>
  </si>
  <si>
    <t>TJK</t>
  </si>
  <si>
    <t>Tajikistan</t>
  </si>
  <si>
    <t>TZA</t>
  </si>
  <si>
    <t>Tanzania</t>
  </si>
  <si>
    <t>THA</t>
  </si>
  <si>
    <t>Thailand</t>
  </si>
  <si>
    <t>TLS</t>
  </si>
  <si>
    <t>Timor-Leste</t>
  </si>
  <si>
    <t>TGO</t>
  </si>
  <si>
    <t>Togo</t>
  </si>
  <si>
    <t>TKL</t>
  </si>
  <si>
    <t>Tokelau</t>
  </si>
  <si>
    <t>TON</t>
  </si>
  <si>
    <t>Tonga</t>
  </si>
  <si>
    <t>TTO</t>
  </si>
  <si>
    <t>Trinidad and Tobago</t>
  </si>
  <si>
    <t>TUN</t>
  </si>
  <si>
    <t>Tunisia</t>
  </si>
  <si>
    <t>TUR</t>
  </si>
  <si>
    <t>Turkey</t>
  </si>
  <si>
    <t>TKM</t>
  </si>
  <si>
    <t>Turkmenistan</t>
  </si>
  <si>
    <t>TCA</t>
  </si>
  <si>
    <t>Turks and Caicos Islands.</t>
  </si>
  <si>
    <t>TUV</t>
  </si>
  <si>
    <t>Tuvalu</t>
  </si>
  <si>
    <t>UGA</t>
  </si>
  <si>
    <t>Uganda</t>
  </si>
  <si>
    <t>UKR</t>
  </si>
  <si>
    <t>Ukraine</t>
  </si>
  <si>
    <t>ARE</t>
  </si>
  <si>
    <t>United Arab Emirates</t>
  </si>
  <si>
    <t>GBR</t>
  </si>
  <si>
    <t>United Kingdom</t>
  </si>
  <si>
    <t>USA</t>
  </si>
  <si>
    <t>United States</t>
  </si>
  <si>
    <t>URY</t>
  </si>
  <si>
    <t>Uruguay</t>
  </si>
  <si>
    <t>UZB</t>
  </si>
  <si>
    <t>Uzbekistan</t>
  </si>
  <si>
    <t>VUT</t>
  </si>
  <si>
    <t>Vanuatu</t>
  </si>
  <si>
    <t>VAT</t>
  </si>
  <si>
    <t>Vatican City State</t>
  </si>
  <si>
    <t>VEN</t>
  </si>
  <si>
    <t>Venezuela</t>
  </si>
  <si>
    <t>VNM</t>
  </si>
  <si>
    <t>Vietnam</t>
  </si>
  <si>
    <t>VGB</t>
  </si>
  <si>
    <t>Virgin Island (Br.)</t>
  </si>
  <si>
    <t>VIR</t>
  </si>
  <si>
    <t>Virgin Islands (U.S.)</t>
  </si>
  <si>
    <t>WLF</t>
  </si>
  <si>
    <t>Wallisans Futuna Island</t>
  </si>
  <si>
    <t>ESH</t>
  </si>
  <si>
    <t>Western Sahara</t>
  </si>
  <si>
    <t>YEM</t>
  </si>
  <si>
    <t>Yemen</t>
  </si>
  <si>
    <t>ZMB</t>
  </si>
  <si>
    <t>Zambia</t>
  </si>
  <si>
    <t>ZWE</t>
  </si>
  <si>
    <t>Zimbabwe</t>
  </si>
  <si>
    <t>EU27</t>
  </si>
  <si>
    <t>Other Non-Annex I (with no pledge)</t>
  </si>
  <si>
    <t>Bunkers</t>
  </si>
  <si>
    <t>Remaining LULUCF CO2</t>
  </si>
  <si>
    <t>Global (harmonised) incl. Harmonisation</t>
  </si>
  <si>
    <t>Harmonisation factor</t>
  </si>
  <si>
    <t>Countries</t>
  </si>
  <si>
    <t>2018 emissions</t>
  </si>
  <si>
    <t>Domestic policies</t>
  </si>
  <si>
    <t>Domestic policies &amp; net-zero targets</t>
  </si>
  <si>
    <t>1.5 Degree &amp; net-zero targets2</t>
  </si>
  <si>
    <t>1.5 degree scenario3</t>
  </si>
  <si>
    <t>EU28 (net-zero)</t>
  </si>
  <si>
    <t>China (net-zero)</t>
  </si>
  <si>
    <t>Japan, SAF and others (net-zero)</t>
  </si>
  <si>
    <t xml:space="preserve">United States </t>
  </si>
  <si>
    <t>Other</t>
  </si>
  <si>
    <t>Share</t>
  </si>
  <si>
    <t>Global (unharmonised) World mix</t>
  </si>
  <si>
    <t>Global (unharmonised) EU mix</t>
  </si>
  <si>
    <t>Global (unharmonised) EU factsheet</t>
  </si>
  <si>
    <t>Global (unharmonised) Total</t>
  </si>
  <si>
    <t>Global (unharmonised) Offset</t>
  </si>
  <si>
    <t>Original model data</t>
  </si>
  <si>
    <t>Achieved</t>
  </si>
  <si>
    <t>In Policy Document (incl. EU27 + UK as a group)</t>
  </si>
  <si>
    <t>Proposed legislation</t>
  </si>
  <si>
    <t>Check</t>
  </si>
  <si>
    <t>OVERVIEW DATA</t>
  </si>
  <si>
    <t>Delay net-CO2 and net-zero GHG</t>
  </si>
  <si>
    <t>Data from NZ tracker (filtered for country)</t>
  </si>
  <si>
    <t>name</t>
  </si>
  <si>
    <t>country</t>
  </si>
  <si>
    <t>Status</t>
  </si>
  <si>
    <t>gasses_coverage</t>
  </si>
  <si>
    <t>end_target_year</t>
  </si>
  <si>
    <t>GHG target year</t>
  </si>
  <si>
    <t>last_updated</t>
  </si>
  <si>
    <t>id_code</t>
  </si>
  <si>
    <t>geographic_region</t>
  </si>
  <si>
    <t>actor_type</t>
  </si>
  <si>
    <t>isin_id</t>
  </si>
  <si>
    <t>race_to_zero_member</t>
  </si>
  <si>
    <t>website</t>
  </si>
  <si>
    <t>end_target</t>
  </si>
  <si>
    <t>end_target_percentage_reduction</t>
  </si>
  <si>
    <t>end_target_baseline_year</t>
  </si>
  <si>
    <t>end_target_intensity_unit</t>
  </si>
  <si>
    <t>end_target_baseline_emissions</t>
  </si>
  <si>
    <t>end_target_target_emissions</t>
  </si>
  <si>
    <t>end_target_bau_emissions</t>
  </si>
  <si>
    <t>end_target_other</t>
  </si>
  <si>
    <t>end_target_status</t>
  </si>
  <si>
    <t>status_date</t>
  </si>
  <si>
    <t>interim_target</t>
  </si>
  <si>
    <t>interim_target_percentage_reduction</t>
  </si>
  <si>
    <t>interim_target_baseline_year</t>
  </si>
  <si>
    <t>interim_target_intensity_unit</t>
  </si>
  <si>
    <t>interim_target_baseline_emissions</t>
  </si>
  <si>
    <t>interim_target_target_emissions</t>
  </si>
  <si>
    <t>interim_target_bau_emissions</t>
  </si>
  <si>
    <t>interim_target_other</t>
  </si>
  <si>
    <t>interim_target_year</t>
  </si>
  <si>
    <t>end_target_text</t>
  </si>
  <si>
    <t>interim_target_text</t>
  </si>
  <si>
    <t>target_notes</t>
  </si>
  <si>
    <t>source_url</t>
  </si>
  <si>
    <t>territorial_emissions</t>
  </si>
  <si>
    <t>consumption_emissions</t>
  </si>
  <si>
    <t>international_aviation</t>
  </si>
  <si>
    <t>international_shipping</t>
  </si>
  <si>
    <t>scope_1</t>
  </si>
  <si>
    <t>scope_2</t>
  </si>
  <si>
    <t>scope_3</t>
  </si>
  <si>
    <t>historical_emissions</t>
  </si>
  <si>
    <t>coverage_notes</t>
  </si>
  <si>
    <t>has_plan</t>
  </si>
  <si>
    <t>plan_options</t>
  </si>
  <si>
    <t>reporting_mechanism</t>
  </si>
  <si>
    <t>equity</t>
  </si>
  <si>
    <t>accountability</t>
  </si>
  <si>
    <t>governance_notes</t>
  </si>
  <si>
    <t>carbon_credit_offsets</t>
  </si>
  <si>
    <t>carbon_credit_conditions</t>
  </si>
  <si>
    <t>max_emission_offset</t>
  </si>
  <si>
    <t>conditions_other</t>
  </si>
  <si>
    <t>removals_targets</t>
  </si>
  <si>
    <t>cdr</t>
  </si>
  <si>
    <t>sinks_and_credits_notes</t>
  </si>
  <si>
    <t>memberships</t>
  </si>
  <si>
    <t>gdp_real</t>
  </si>
  <si>
    <t>annual_revenue</t>
  </si>
  <si>
    <t>population</t>
  </si>
  <si>
    <t>industry</t>
  </si>
  <si>
    <t>sector</t>
  </si>
  <si>
    <t>employees</t>
  </si>
  <si>
    <t>market_index</t>
  </si>
  <si>
    <t>ghg</t>
  </si>
  <si>
    <t>inventory_year</t>
  </si>
  <si>
    <t>higher_net_zero</t>
  </si>
  <si>
    <t>Not Specified</t>
  </si>
  <si>
    <t>2022-05-28 08:07:58</t>
  </si>
  <si>
    <t>COU-0001</t>
  </si>
  <si>
    <t>Western and Central Asia</t>
  </si>
  <si>
    <t>No</t>
  </si>
  <si>
    <t>Net zero</t>
  </si>
  <si>
    <t>Reduction v. BAU</t>
  </si>
  <si>
    <t>Climate Ambition Alliance  - no further information about end target
According to https://eciu.net/netzerotracker</t>
  </si>
  <si>
    <t>13.6% GHG reduction by 2030 compared to BAU (conditional). Base Year: 2005
Target Years: 2020 to 2030
Contribution Type: Conditional
Sectors: Energy, natural resource management, agriculture, waste management and mining
Gases Covered: Carbon dioxide (CO2), methane (CH4), and nitrous oxide (N2O)
Target: There will be a 13.6% reduction in GHG emissions by 2030 compared to a business
as usual (BAU) 2030 scenario, conditional on external support.
Financial Needs: Total: USD 17.405 billion
 Adaptation: USD 10.785 billion
 Mitigation: USD 6.62 billion (2020-2030)</t>
  </si>
  <si>
    <t xml:space="preserve">BAU target https://www4.unfccc.int/sites/ndcstaging/PublishedDocuments/Afghanistan%20First/INDC_AFG_20150927_FINAL.pdf </t>
  </si>
  <si>
    <t>https://cop25.mma.gob.cl/wp-content/uploads/2020/02/Annex-Alliance-ENGLISH.pdf</t>
  </si>
  <si>
    <t xml:space="preserve">NDC uses conventional UNFCCC scope conditions https://www4.unfccc.int/sites/ndcstaging/PublishedDocuments/Afghanistan%20First/INDC_AFG_20150927_FINAL.pdf </t>
  </si>
  <si>
    <t>Less than annual reporting</t>
  </si>
  <si>
    <t>Yes</t>
  </si>
  <si>
    <t xml:space="preserve">NDC issued by prior government. </t>
  </si>
  <si>
    <t>Yes (nature-based removals e.g. Forestation, soil carbon enhancement)</t>
  </si>
  <si>
    <t>NDC states: "Forests and Rangelands Carbon sequestration on forest/rangelands, and forest carbon skills. Funding institutional capacity to monitor and verify projects. Better spatial planning for community and production agriculture. Reduce rural peoples’ dependence on fuel for cooking and heating. 100 Million/Year."</t>
  </si>
  <si>
    <t>Climate Ambition Alliance</t>
  </si>
  <si>
    <t>Carbon dioxide only</t>
  </si>
  <si>
    <t>v</t>
  </si>
  <si>
    <t>2023-05-31 13:40:37</t>
  </si>
  <si>
    <t>COU-0002</t>
  </si>
  <si>
    <t>Africa</t>
  </si>
  <si>
    <t>Emissions reduction target</t>
  </si>
  <si>
    <t>This list brings together countries, businesses, investors, cities and regions who are working towards achieving net-zero CO2 emissions by 2050.</t>
  </si>
  <si>
    <t>Angola plans to reduce GHG emissions up to 14% by 2025 as compared to the base year 2015 (unconditionally). Without any conditions and based on their own resources and capabilities.
An additional reduction of 10% relative to BAU in the year 2025; equivalent to an estimated mitigation level of 11,1 million tCO2e e in that year. This represents an additional targeted contribution, based on the provision of international support and funding.
The combined unconditional and conditional contribution is therefore a 24% reduction in GHG emissions compared to BAU scenario in 2025; this is equivalent to an estimated mitigation level of up to 26,5 million tCO2e in 2025.
Unconditionally, the target it is to achieve a 21% emission reduction by 2030, equivalent to an estimated mitigation level of 23,3 million tCO2e in that year. In addition, it is expected that through a conditional mitigation scenario the country could reduce an additional 15% below BAU emission levels by 2030, equivalent to an estimated mitigation level of 39,7 million tCO2e in that year https://www4.unfccc.int/sites/ndcstaging/PublishedDocuments/Angola%20First/NDC%20Angola.pdf</t>
  </si>
  <si>
    <t>https://cop25.mma.gob.cl/wp-content/uploads/2020/12/1312-Annex-Alliance-ENGLISH-VF-2012.pdf</t>
  </si>
  <si>
    <t>Interim target: The mitigation action of this NDC comprises 4 sectors, namely:
 Energy
 AFOLU
 Industry
 Waste
The coverage is nation-wide, and the gases covered include CO2, CH4 and N2O gases.</t>
  </si>
  <si>
    <t>No reporting mechanism</t>
  </si>
  <si>
    <t xml:space="preserve">For the short term (up to 2025), it is planned that Angola will develop and implement a MRV system, as part of the tracking process of the NDC. 
Regarding the process of monitoring and evaluation, the mitigation efforts will be assessed on an annual basis, based on the implementation results of the mitigation contributions proposed.
</t>
  </si>
  <si>
    <t>Angola has only one project registered under the CDM mechanism, the Gove hydroelectric power station. The project was registered in 2014 and has the potential to reduce 126,118 tCO2e / year. By the end of 2016 the project had not issued any certified emission reduction (CER) and therefore had no access to finance from developed countries.
Article 6 of the Paris Agreement allows Parties to voluntarily cooperate in the implementation of their NDCs through market and non-market-based mechanisms. Negotiations on Article 6 are currently underway, and the country is following the opportunities that can arise from the future carbon market.
For reforestation, 50% of what was proposed for reduction in the INDC by 2030 (target 2030: 2032 ktCO2and sequestration) was considered.
For the reduction of flaring, the information from the World Bank9was used, which said in 2011 that Angola aimed to reduce flaring by 75%. In this scenario half 
of this reduction target was considered, compared to the value of flaring in 2015 (reported in the National Inventory).
For the solar villages it was considered as an assumption what was present in the PND 2013-2017, where the objective was the installation of 100 MW of solar 
PV in solar villages by 2025.
For solar panels in industry a value of 2 MW was proposed, since ENAC did not make assumptions associated with this measure.
Finally, composting, the capacity to send 500 ton/day of waste for composting was considered.</t>
  </si>
  <si>
    <t>Carbon dioxide and other GHGs</t>
  </si>
  <si>
    <t>2023-11-01 22:20:49</t>
  </si>
  <si>
    <t>COU-0003</t>
  </si>
  <si>
    <t>Latin America and the Caribbean</t>
  </si>
  <si>
    <t>in its ndc, argentina has set an unconditional target of not exceeding 349 mtco2e in 2030. this target covers all sectors. the cat excludes emissions from land use, land use change and forestry from this target and converts it to gwp ar4, resulting in 368 mtco2e in 2030.</t>
  </si>
  <si>
    <t>In November 2022, Argentina submitted a long-term strategy (LTS) to the UNFCCC that includes a target to reach GHG neutrality by 2050 (Government of Argentina, 2022a).
https://climateactiontracker.org/countries/argentina/targets/</t>
  </si>
  <si>
    <t>Argentina’s 2021 NDC target of not exceeding the net emission of 349 MtCO2e in 2030 is just 2% below the previous target submitted in December 2020, but 26% below its first NDC target. Argentina’s revised NDC covers emissions from all sectors and covers CO2, CH4, N2O, HFCs and PFCs. The country’s first NDC also covered sulphur hexafluoride (SF6).
This new target represents a an 16% increase in emissions above 2010 levels (excl. LULUCF).
https://climateactiontracker.org/countries/argentina/targets/</t>
  </si>
  <si>
    <t>Target for net zero by 2050 declared (https://climateactiontracker.org/countries/argentina/targets/), but very briefly, with most focus on curbing emissions to 349/359 by 2030</t>
  </si>
  <si>
    <t>https://climateactiontracker.org/countries/argentina/targets/</t>
  </si>
  <si>
    <t xml:space="preserve">Report claims to cover all sectors as well as GHGs beyond CO2, however there is no indication as to this coverage extends to international emissions. 
Argentina’s revised NDC covers emissions from all sectors and covers CO2, CH4, N2O, HFCs and PFCs. The country’s first NDC also covered sulphur hexafluoride (SF6).
(https://climateactiontracker.org/countries/argentina/net-zero-targets/).
</t>
  </si>
  <si>
    <t>Information in line with CAT ARG net zero assessment as of 15.03.2022 (https://climateactiontracker.org/countries/argentina/net-zero-targets/).
Reporting mechanism (less than annual) as inventories: https://unfccc.int/BURs
Refer to equity:
Spanish: "La política climática de la República Argentina habrá logrado aumentar la capacidad de adaptación, fortalecer la resiliencia y disminuir la vulnerabilidad de los diferentes sectores sociales, económicos y ambientales, a través de medidas que priorizarán a las comunidades y grupos sociales en situación de vulnerabilidad e incorporarán el enfoque de género y la equidad intergeneracional. Todo ello será con miras a contribuir al desarrollo sostenible, construir una sociedad más equitativa, justa, solidaria y lograr una respuesta al cambio climático adecuada y compatible con los objetivos del Acuerdo de París."
English translation: "The climate policy of the Argentine Republic will have managed to increase the capacity for adaptation, strengthen resilience and reduce the vulnerability of the different social, economic and environmental sectors, through measures that will prioritize communities and social groups in vulnerable situations and will incorporate the gender approach and intergenerational equity. All of this will be with a view to contributing to sustainable development, building a more equitable, fair, and supportive society and achieving an adequate response to climate change compatible with the objectives of the Paris Agreement."
(https://unfccc.int/sites/default/files/NDC/2022-05/Actualizacio%CC%81n%20meta%20de%20emisiones%202030.pdf)</t>
  </si>
  <si>
    <t>very little information on offsetting mentioned</t>
  </si>
  <si>
    <t>2023-05-15 19:40:32</t>
  </si>
  <si>
    <t>COU-0004</t>
  </si>
  <si>
    <t>Updated NDC: "Armenia maintains its 2050 mitigation goal of reducing its GHG emissions to at most 2.07 tCO2eq/capita, to be reflected in its Long Term - Low Emission Development Strategy (LT-LEDS)." 
1st NDC: "The Republic of Armenia strives to achieve ecosystem neutral GHG emissions in 2050 (2.07 tons/per capita annual) with the support of adequate (necessary and sufficient) international financial, technological and capacity building assistance." https://unfccc.int/sites/default/files/NDC/2022-06/INDC-Armenia.pdf</t>
  </si>
  <si>
    <t>The new mitigation target to be achieved in 2030 equals 40 per cent reduction below 1990 emissions levels. https://www4.unfccc.int/sites/ndcstaging/PublishedDocuments/Armenia%20First/NDC%20of%20Republic%20of%20Armenia%20%202021-2030.pdf</t>
  </si>
  <si>
    <t>A brief mention of the potential target in the NDC: "By 2030, Armenia is going to double its share of renewables in energy generation on the path to achieve climate neutrality in the second half of this century." https://www4.unfccc.int/sites/ndcstaging/PublishedDocuments/Armenia%20First/NDC%20of%20Republic%20of%20Armenia%20%202021-2030.pdf
See also: https://cop25.mma.gob.cl/wp-content/uploads/2020/12/1312-Annex-Alliance-ENGLISH-VF-2012.pdf</t>
  </si>
  <si>
    <t>https://unfccc.int/sites/default/files/NDC/2022-06/INDC-Armenia.pdf</t>
  </si>
  <si>
    <t>7. General description ofthe target Economy-wide
8. GHG covered 1. Carbon dioxide (CO2)
2. Methane (CH4)
3. Nitrous Oxide (N2O)
4. F-gases (HFCs, SF6)</t>
  </si>
  <si>
    <t>National Forestry Programme (2021): increase of forest cover to 12.9 per cent of the territory of Armenia by 2030;</t>
  </si>
  <si>
    <t>Antigua and Barbuda</t>
  </si>
  <si>
    <t>ATG</t>
  </si>
  <si>
    <t>2022-05-24 23:25:32</t>
  </si>
  <si>
    <t>COU-0005</t>
  </si>
  <si>
    <t>list of sectoral targets</t>
  </si>
  <si>
    <t>The NDC targets included in this submission are based on the 1.5°C mitigation goal and adaptation goals that assume a 3.4°C increase in global temperatures (based on projections from the assessments of the INDCs). The targets are aligned with the Government of Antigua and Barbuda’s (GoAB) goal of net-zero by 2040.</t>
  </si>
  <si>
    <t>1. 86% renewable energy generation from local resources in the electricity sector by 2030 - Conditional
2. 100% all new vehicle sales to be electric vehicles by 2030 - Conditional
3. Explore potential for emissions reductions in the waste sector by 2025 - Conditional
4. Explore potential for emissions reductions in the Agriculture, Forestry and
Other Land Use (AFOLU) sector by 2030 - Conditional</t>
  </si>
  <si>
    <t>https://www4.unfccc.int/sites/ndcstaging/PublishedDocuments/Antigua%20and%20Barbuda%20First/ATG%20-%20UNFCCC%20NDC%20-%202021-09-02%20-%20Final.pdf</t>
  </si>
  <si>
    <t>NDC dated 2 Sept 2021 includes a section on Just Transition with "targets to support social inclusion, gender and reduce transitional risks"</t>
  </si>
  <si>
    <t>Within the NDC (2021-2030), there is no mention of any carbon removal strategies. Pathway towards interim target for 2030 is largely focused on energy transition, and emission reductions in transport (electric vehicles), waste, agriculture, forestry and other land use sectors.</t>
  </si>
  <si>
    <t>2023-05-12 15:08:13</t>
  </si>
  <si>
    <t>COU-0006</t>
  </si>
  <si>
    <t>Europe</t>
  </si>
  <si>
    <t>Climate neutral</t>
  </si>
  <si>
    <t>In law</t>
  </si>
  <si>
    <t xml:space="preserve">Section 4. (1) This Federal Act is intended to contribute to the goals of the Paris Climate Agreement of 2015, to the goal of the European Union to cover at least 32% of the Union’s gross final consumption of energy through renewable sources by 2030, and to the goal to make Austria climate neutral by 2040. </t>
  </si>
  <si>
    <t>36% of GHGs (non-EU ETS) by 2030 on 2005 base year; 100% of electricity from renewable sources by 2030; 43% by 2030 on 2005 for EU ETS sectors; EU target: at least 40% domestic reduction by 2030 compared to 1990
"The EU and its Member States, acting jointly, are committed to a binding target of a net domestic reduction of at least 55% in greenhouse gas emissions by 2030 compared to 1990."</t>
  </si>
  <si>
    <t>Following EU set out regulations https://ec.europa.eu/clima/eu-action/european-green-deal/2030-climate-target-plan_en</t>
  </si>
  <si>
    <t>https://cdn.climatepolicyradar.org/navigator/AUT/2021/renewable-energy-expansion-act_48b789e0a4cd6e290a641e3a6a5ed61c.pdf</t>
  </si>
  <si>
    <t>https://unfccc.int/sites/default/files/resource/LTS1_Austria.pdf  - information on aviation and shipping, as well as sector by sector GHG reductions</t>
  </si>
  <si>
    <t>Measures for all emission scopes that are covered by the target|Schedule for regular review of measures</t>
  </si>
  <si>
    <t>Annual reporting</t>
  </si>
  <si>
    <t>The emission reduction target 2030 is an EU target with formal accountability, as does the 2050 target</t>
  </si>
  <si>
    <t>Yes (nature-based and CCS-based removals)</t>
  </si>
  <si>
    <t>Permanent sequestration in products and applications (CCU – carbon capture and utilisation) and the permanent storage of CO2 in geological structures (CCS – carbon capture and storage). It must be noted here that secured storage capacity that is generally suitable for CO2 is very limited in Austria. The current potential domestic storage capacity is estimated at between 400 and 510 million tonnes of CO2, or up to 6.5 times the current annual CO2 emissions in Austria. The transport of CO2 to storage facilities outside of Austria can be considered as an alternative or long-term solution. - no clear commitments but intention to implement carbon removal
https://unfccc.int/sites/default/files/resource/LTS1_Austria.pdf</t>
  </si>
  <si>
    <t>2022-06-22 19:26:20</t>
  </si>
  <si>
    <t>COU-0007</t>
  </si>
  <si>
    <t>Carbon neutral(ity)</t>
  </si>
  <si>
    <t>Belgium's end emission targets are not set at the federal level but are instead determined by its constituent regions.
Namely, Wallonia and Brussels-Capital region aims for carbon neutrality by 2050, Flanders aims for 85% reduction in non-ETS sectors by 2050 (compared to 2005)
See: https://unfccc.int/sites/default/files/resource/LTS_BE_EN_summary.pdf</t>
  </si>
  <si>
    <t>https://unfccc.int/sites/default/files/resource/LTS_BE_EN_summary.pdf</t>
  </si>
  <si>
    <t>Information on the extent to which measures will be applied (e.g. if switching to EVs, what share of the fleet; if installing an own solar PV installation, what is the installed capacity)|Schedule for regular review of measures|Measures for all emission scopes that are covered by the target</t>
  </si>
  <si>
    <t>The plan refers to equity in terms of 'energy poverty', where in some regions of the country energy is more expensive and can lead to households struggling financially.</t>
  </si>
  <si>
    <t>The most recent plan mentions only reducing emissions without carbon removal.</t>
  </si>
  <si>
    <t>2022-08-07 15:25:49</t>
  </si>
  <si>
    <t>COU-0008</t>
  </si>
  <si>
    <t>Member of CAA; https://www4.unfccc.int/sites/ndcstaging/PublishedDocuments/Benin%20First/CDN_BENIN_VERSION_ANGLAISE.pdf</t>
  </si>
  <si>
    <t xml:space="preserve">Période de 2021 à 2030 : Pour les années à venir, les mesures envisagées dans la CDN révisée, dans les secteurs Energie, Agriculture et Déchets sont susceptibles de contribuer à réduire les émissions cumulées de GES (hors UTCATF) d’environ 48,75 Mt E CO2 par rapport au scénario de référence, soit une réduction de 20,15 % sur la période 2021-2030
20.15% reduction vs BAU for 2021-2030 (excluding 'Utilisation des Terres, Changement d’Affectation des Terres et Foresterie' i.e. land use and forestry). </t>
  </si>
  <si>
    <t>Member of CAA; https://www4.unfccc.int/sites/ndcstaging/PublishedDocuments/Benin%20First/CDN_BENIN_VERSION_ANGLAISE.pdf
https://cop25.mma.gob.cl/wp-content/uploads/2020/02/Annex-Alliance-ENGLISH.pdf
The target includes both conditional and unconditional measures. The unconditional target is 214.03 vs 241.98 BAU (Mte CO2)
12 mesures ont été envisagées dans le secteur Energie et sont susceptibles de contribuer à réduire les émissions de carbone noir d’environ 1,8 Mt en 2030 par rapport au scénario de référence, soit une réduction de 14,2 % - an additional target for solid carbon pollution
A 2018 law exists relating to mitigating climate change, but does not cover this target. It requires that climate change is incorporated in development plans. https://sgg.gouv.bj/doc/loi-2018-18/</t>
  </si>
  <si>
    <t>https://unfccc.int/sites/default/files/NDC/2022-06/CDN_ACTUALISEE_BENIN2021.pdf</t>
  </si>
  <si>
    <t>GES directs : Dioxyde de carbone (CO2), méthane (CH4), oxyde nitreux (N2O), HFCs Autres polluants (SLCP autres que GES et polluants atmosphériques : carbone noir, carbone organique, l’ammoniac (NH3), PM2,5, PM10, monoxyde de carbone (CO), oxydes d’azote (NOx), composés organiques volatils non méthaniques (COVNM).  
Couverture geographique: Tout le territoire national  
Geographic coverage is the whole country</t>
  </si>
  <si>
    <t>"AMBITION ET EQUITÉ " - "L’objectif de réduction des émissions cumulées sur la période 2021 à 2030 de 20,15 % fondé sur des mesures est équitable au regard de la faible contribution du Bénin aux émissions globales, de son faible niveau de développement et de sa fragilité socio-économique."
Reference to equity largely focuses on the burden emission reduction will have on the development Benin economy</t>
  </si>
  <si>
    <t>2022-06-06 15:36:29</t>
  </si>
  <si>
    <t>COU-0009</t>
  </si>
  <si>
    <t>https://www4.unfccc.int/sites/ndcstaging/PublishedDocuments/Burkina%20Faso%20First/INDC%20Burkina_ENG.%20version_finale.pdf</t>
  </si>
  <si>
    <t>ble 5. Change in emissions (BaU) and percentage of reduction by scenario
2007 2015 2020 2025 2030
BaU (in Gg) 21,916 75,633 92,062 105,316 118,323
Unconditional scenario (reduction in Gg) – 5,133 6,608 7,808
Unconditional scenario (reduction in %) 0% 5.58% 6.27% 6.60%
Conditional scenario (reduction in Gg) 10,953 11,829 13,766
Conditional scenario (reduction in %) 0% 11.9% 11.2% 11.6%
6% GHG reduction by 2030 based on BAU (unconditional); 36.95% GHG reduction by 2030 on BAU (conditional)</t>
  </si>
  <si>
    <t>2023-04-19 10:56:10</t>
  </si>
  <si>
    <t>COU-0010</t>
  </si>
  <si>
    <t>South Asia</t>
  </si>
  <si>
    <t>Unconditional scenario: GHG emissions would be reduced by 27.56 Mt CO2e (6.73%) below BAU in 2030. [https://unfccc.int/sites/default/files/NDC/2022-06/NDC_submission_20210826revised.pdf]</t>
  </si>
  <si>
    <t xml:space="preserve">Bangladesh's INDC stated a 5% GHG reduction on BAU by 2030 and a further 24 million tonnes (10%) conditional reduction in GHG emissions with support from the international community. This was updated in the 2021 NDC to be a 6.73% reduction, which also includes the Energy, Industrial Processes, and Product Use, Agriculture, Forestry and other Land Use (AFOLU) and Waste. 
[https://unfccc.int/sites/default/files/NDC/2022-06/NDC_submission_20210826revised.pdf]. </t>
  </si>
  <si>
    <t xml:space="preserve">Net Zero proposed in Annex II of COP25 Annex Alliance [https://cop25.mma.gob.cl/wp-content/uploads/2020/12/1312-Annex-Alliance-ENGLISH-VF-2012.pdf] but is not included in the 2021 NDC. 
Other resources: https://climateanalytics.org/media/decarbonisingasia2019-profile-bangladesh-climateanalytics.pdf
</t>
  </si>
  <si>
    <t>https://www4.unfccc.int/sites/ndcstaging/PublishedDocuments/Bangladesh%20First/NDC_submission_20210826revised.pdf</t>
  </si>
  <si>
    <t xml:space="preserve">GASES: NDC states that the reduction in AFOLU includes methane, and nitrous oxide. </t>
  </si>
  <si>
    <t xml:space="preserve">Equity: NDC is contextualized within Bangladesh's contribution to overall global emissions (less than 0.35%). </t>
  </si>
  <si>
    <t>The Bahamas</t>
  </si>
  <si>
    <t>2022-12-08 10:48:37</t>
  </si>
  <si>
    <t>COU-0011</t>
  </si>
  <si>
    <t>Climate Ambition Alliance (https://climateinitiativesplatform.org/index.php/Climate_Ambition_Alliance:_Net_Zero_2050)</t>
  </si>
  <si>
    <t>Economy-wide reduction GHG emission of 30% when compared to BAU scenario by 2030
The reference year for the target is 2030 and the target is expressed both as relative to a BAU scenario for that year, and relative to 2010 baseline emissions.(Updated NDC 2022, p.43)
- It is however important to highlight that a reduction on emissions from the LULUCF sector plays a major role in achieving the set goals and that the country’s longer-term ambition is to reach net zero emissions from the LULUCF sector by 2045.</t>
  </si>
  <si>
    <t>https://unfccc.int/sites/default/files/NDC/2022-11/Bahamas%20Updated%20Nationally%20Determined%20Contributio</t>
  </si>
  <si>
    <t>GHG coverage source: (Updated NDC 2022, p.43)</t>
  </si>
  <si>
    <t>- NDC contains a list of mitigation efforts
- The social implications of the adoption of mitigating measures, such as investments in skill training, cultural practices, and gender parity, also have to be adequately considered. Cultural and practical barriers are for instance key when implementing mitigation actions in the transportation sector. (Changing yes to equity)</t>
  </si>
  <si>
    <t>No conditions specified</t>
  </si>
  <si>
    <t>'The Bahamas has put into place a legislative and policy regime, i.e., the Climate Change and Carbon Markets Initiative Act and the Carbon Trading Act to facilitate both Article 6 and market mechanisms in the VCM, which can benefit the country in the implementation of its climate targets.' (Updated NDC 2022, p.46)
From NDC in 2015: " GHG emission reductions from land degradation and deforestation has the potential to increase carbon sequestration of some approximately 5,661,077tC02eq across several pine islands in the Bahamas."</t>
  </si>
  <si>
    <t>2023-08-15 06:28:42</t>
  </si>
  <si>
    <t>COU-0012</t>
  </si>
  <si>
    <t>avoid 5,647 ktco2e of emissions via sector-specific targets</t>
  </si>
  <si>
    <t>Belize shifted from an action only commitments in the first NDC to a quantifiable reduction target of avoiding cumulative emissions across all sectors of 5,647 Kt CO2e between 2021 and 2030. The country commits to developing a long-term strategy aligned with achieving net-zero global emissions by 2050.</t>
  </si>
  <si>
    <t>Targets included in this updated NDC are estimated to avoid a cumulative emissions total across all sectors of 5,647 KtCO2e between 2021 and 2030 (peaking at1,080 KtCO2e in avoided emissions in the year 2030) (p4)</t>
  </si>
  <si>
    <t>https://climatepromise.undp.org/what-we-do/where-we-work/belize#:~:text=Belize%20shifted%20from%20an%20action,zero%20global%20emissions%20by%202050.
https://production-new-commonwealth-files.s3.eu-west-2.amazonaws.com/migrated/inline/Climate_Finance_Strategy_of_Belize_UPDF.pdf
https://unfccc.int/sites/default/files/resource/Belize%20LEDS.pdf?download.</t>
  </si>
  <si>
    <t>https://unfccc.int/sites/default/files/NDC/2022-06/Belize%20Updated%20NDC.pdf</t>
  </si>
  <si>
    <t xml:space="preserve">The first Nationally Determined Contributions (NDC) of Belize were officially submitted by Belize in April 2016 with the goals of strategically transiting towards low carbon development and strengthening resilience to the effects of climate change. The National Climate Change Policy, Strategy and Action Plan (NCCPSAP): 2015–2020 provided policy guidance for the development of an appropriate administrative and legislative framework, in harmony with other sectoral policies, for the pursuance of a low-carbon development path for Belize. </t>
  </si>
  <si>
    <t>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t>
  </si>
  <si>
    <t xml:space="preserve">Additionally, the Sustainable Energy Action Plan is a tool to achieve Belize’s renewable energy and energy efficiency potential while meeting the Government’s economic, social and environmental goals. It provides a framework of actions and tasks to overcome barriers to sustainable energy for the period 2014-2030. https://unfccc.int/sites/default/files/NDC/2022-06/Belize%20Updated%20NDC.pdf
Low emissions development strategy:
https://unfccc.int/sites/default/files/resource/Belize%20LEDS.pdf?download.
</t>
  </si>
  <si>
    <t>LEDS states that Belize is a net GHG sink due to removals via forest growth. Targets are sector-specific, meaning that e.g. reductions in the energy sector have separate targets to removals via forest management</t>
  </si>
  <si>
    <t>2023-05-06 12:45:44</t>
  </si>
  <si>
    <t>COU-0013</t>
  </si>
  <si>
    <t xml:space="preserve">The Government of Barbados has, therefore, set the aspirational goal to achieve a fossil fuel-free economy and to reduce GHG emissions across all sectors to as close to zero as possible by 2030.
</t>
  </si>
  <si>
    <t>Barbados adopts the following ambitious contributions for 2025 and 2030:
2025
● 20% reduction relative to business-as-usual emissions in 2025 without international support
(unconditional).
● 35% reduction relative to the business-as-usual emissions in 2025 conditional upon international
support.</t>
  </si>
  <si>
    <t>See also: This revolutionary policy will see the transformation of Barbados from a petroleum based economy to the first green, 100% renewable energy and carbon neutral island state in the world. https://cdn.climatepolicyradar.org/navigator/BRB/2019/national-energy-policy-2019-2030_19fbfbb2c35d8f43bfa1b8c3219605b4.pdf
Other targets in NDC: 2030
● 35% reduction relative to business-as-usual emissions in 2030 without international support
(unconditional).
● 70% reduction relative to business-as-usual emissions in 2030 conditional upon international
support</t>
  </si>
  <si>
    <t>https://web.archive.org/web/20230506121524/https://unfccc.int/sites/default/files/NDC/2022-06/2021%20Barbados%20NDC%20update%20-%2021%20July%202021.pdf</t>
  </si>
  <si>
    <t>Gases included:
• Carbon dioxide (CO2)
• Methane (CH4)
• Nitrous Oxide (N20)
• HFCs
• SF6</t>
  </si>
  <si>
    <t>Measures for all emission scopes that are covered by the target|Information on the extent to which measures will be applied (e.g. if switching to EVs, what share of the fleet; if installing an own solar PV installation, what is the installed capacity)</t>
  </si>
  <si>
    <t xml:space="preserve">No economy wide plan; other plans include: National Energy Policy (2013 - 2033) (created 2013), National Policy for the Adaptation to Climate Change (created 2005). Within the updated NDC, Barbados through the 2019 Barbados National Energy Policy aims to have a fossil-fuel free electricity sector. It mentioned conditional mitigation contributions for 2030 including 100% electric or alternatively-fueled vehicles in its passenger fleet and a 95% share of renewable energy in the electricity mix.
"The NDC process included an exhaustive review of national policies, programs, and projects; data collection; as well as the identification of main challenges and opportunities for enhancement. The entire process was led by the Ministry of Environment and National Beautification, the Ministry of Finance, Economic Affairs and Investments, and the Ministry of Energy to ensure alignment with national priorities and effective implementation. Additionally, an extensive stakeholder consultation process was conducted that included two rounds of dialogues involving close to one hundred participants."
for measures on the emission scopes: In preparing the NDC update, the scope of the coverage of the NDC has been extended to all categories of anthropogenic emissions in line with paragraph 31(c) by conducting a complete update of the historical energy and waste sectors emissions, as well as improvements in other sectors.
information on the extent to which measures will be applied: Since ratification of the Paris Agreement on 22 April 2016, Barbados has implemented the actions and activities specified in its NDC of 28 September 2015 needed to meet its conditional commitment. The implementation experience with the 2015 NDC has generally been positive:
Decentralized solar PV installations have increased with over 2,000 independent power producers now generating 45 MW of power. Progress has also been made in deploying electric passenger vehicles and public buses (EVs).
The Sustainable Energy Investment Program (SMART FUND II), financed by an Inter-American Development Bank (IDB) loan to the government and an investment grant from the European Union Caribbean Investment Facility (EU-CIF) provides financial and technical assistance for the preparation and retrofitting of at least 100 public buildings.
The Deployment of Cleaner Fuels and Renewable Energy project, financed by an IDB loan to the National Petroleum Corporation (NPC) and the Barbados National Oil Company Limited (BNOCL), supports the diversification of the energy mix, energy efficiency measures and the use of renewable energy and storage technology within the premises of the NPC and the BNOCL.
Importantly, in 2020 the first Caribbean Green Climate Fund grant to the Barbados Water Authority (BWA) financed 6.5 MW in solar/gas microturbine capacity. The project is being implemented by the Caribbean Community Climate Change Center (CCCCC) and will contribute to climate change adaptation in the water sector. The project involves a Revolving Adaptation Financing Facility to subsidize water efficiency measures for households, hotels and other businesses.
In 2019, the Fair Trading Commission established feed-in-tariffs (FITs) for renewable energy technologies up to 1 MW, and in 2020, established FITs for RE technologies up to 10 MW to replace a temporary tariff arrangement with the utility and provide stable and predictable price signals to potential investors.
Until 2018, the CHENACT project, initiated by the Caribbean Tourism Organization, the Caribbean Hotel and Tourism Association and the IDB supported energy audits and efficiency measures in small and medium-sized hotels enabling savings of up to 50% of water usage and 30-50 % of energy bills.
Finally, the government has made a number of policy interventions to further NDC implementation, such as the elimination in 2019 of customs duties on imported systems and equipment linked to renewable energy and the provision of several additional tax incentives.
also demonstration of mitigation ambitiion of 70% reduction in GHG emissions economy wide by 2030 will be complimented by:Support for research and development of renewable energy and energy storage technologies appropriate for SIDS, in particular ocean energy in line with the national strategy to develop its blue economy.
A deliberate focus on using distributed generation (e.g. household solar photovoltaics) to provide modern energy access and build resilience (adaptation co-benefits) for low-income households, with an initial target of retrofitting 3,000 low-income homes with solar PV by 2030 under the Roofs to Reefs Program.
https://htmlpreview.github.io/?https://github.com/WRI-ClimateWatch/ndc/blob/master/BRB-revised_first_ndc-EN.html
https://blogs.iadb.org/sostenibilidad/en/barbados-demonstrates-climate-leadership-with-an-ambitious-updated-ndc/#:~:text=The%20Government%20of%20Barbados%20sets,economy%2Dwide%2C%20by%202030.
Equity: This contribution is significantly greater than Barbados’ national historical and equitable obligation to
preventing dangerous anthropogenic climate change. Taken in the context of the COVID-19 pandemic and
resulting economic crisis, this bold and courageous commitment shows that increasing resilience of the
economy, society and ecology is necessary and possible.
</t>
  </si>
  <si>
    <t xml:space="preserve">It seems that Barbados will sell carbon credits but not clear whether the government intends to buy any to meet the target: "the Government of Barbados will put forward legislation that specifies that all emission reduction or removal units(carbon credits) belong to the Crown, unless otherwise specified. Barbados will allow for the sale of up to 50% of any certified carbon credits generated between the period 2020 and 2030."
In Updated NDC: No explicit mention of Forestation, or nature-based solutions in the updated NDC. Other sources indicate tree planting for climate mitigation. (https://news.trust.org/item/20200227115925-xprq1/) </t>
  </si>
  <si>
    <t>2023-11-08 17:03:51</t>
  </si>
  <si>
    <t>COU-0014</t>
  </si>
  <si>
    <t>Carbon negative</t>
  </si>
  <si>
    <t xml:space="preserve">(i) maintain carbon neutrality and building climate resilience, (ii) ensure effective stakeholder participation, and (iii) ensure effective implementation through mainstreaming with adequate support. </t>
  </si>
  <si>
    <t xml:space="preserve">• To remain carbon neutral (for all times) through targeted GHG mitigation in key economic sectors while also enhancing the sequestration potential of the forest and other land use in Bhutan.
• To prioritize adaptation interventions proactively to reduce climate induced disasters and capitalize on opportunities provided by climate change.
• To improve climate and weather forecasts and modeling through the in country capacity to build and develop a body of knowledge on climate mitigation and adaptation through local experiments and experiences.
• To finance local mitigation and adaptation interventions through global and regional climate financing instruments, including both market and non-market approaches.
• To continue being a leader in the global community of nations on climate change and sustainable development through rigorous engagement at both regional and global levels. </t>
  </si>
  <si>
    <t>Remaining carbon neutral and decoupling growth from carbon emissions by 2050</t>
  </si>
  <si>
    <t xml:space="preserve">Other sources:
https://www.gnhc.gov.bt/en/wp-content/uploads/2020/02/Climate-Change-Policy.pdf
https://www4.unfccc.int/sites/submissions/INDC/Published%20Documents/Bhutan/1/Bhutan-INDC-20150930.pdf
https://unfccc.int/sites/default/files/resource/LTS%20Report_final%20print_copy.pdf </t>
  </si>
  <si>
    <t>https://htmlpreview.github.io/?https://github.com/WRI-ClimateWatch/ndc/blob/master/BTN-second_ndc-EN.html</t>
  </si>
  <si>
    <t>Information on the extent to which measures will be applied (e.g. if switching to EVs, what share of the fleet; if installing an own solar PV installation, what is the installed capacity)|Information on the emission reductions expected from these measures within a certain time period</t>
  </si>
  <si>
    <t>Ability to maintain said targets is dependent on the level of international support received.
Refers to equity in the context of Bhutan's nationally determined contribution - not clear whether it's a consideration in their planned measures</t>
  </si>
  <si>
    <t>"The BCF will aggregate and monetise emission offsets (mitigation outcomes) from renewable projects in Bhutan, starting with the hydro sector." i.e. will sell offsets, but unclear whether they plan to buy any.
Bhutan's current and future carbon neutrality is based on the principle that Bhutan's forests sequester more CO2 than the nation emits. (e.g. 9.4Mt vs 3.8Mt CO2e in 2015).</t>
  </si>
  <si>
    <t>2023-10-30 08:36:11</t>
  </si>
  <si>
    <t>COU-0015</t>
  </si>
  <si>
    <t>"120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t>
  </si>
  <si>
    <t>L’ensemble des mesures agrégées conduisent la RCA à un niveau de réduction des gaz à effet de serre 
sous scénario inconditionnel de -9,03% et -11,82 respectivement en 2025 et 2030. Sous l’hypothèse 
d’un appui de la communauté internationale, ces réductions atteindront respectivement -14, 64% et -
24,28 en 2025 et 2030.
All the aggregated measures lead the CAR to a level of greenhouse gas reduction 
under an unconditional scenario (using only state resources) of -9.03% and -11.82% in 2025 and 2030 respectively. Under the assumption 
of the support of the international community, these reductions will reach -14%, 64% and
-24.28 in 2025 and 2030.
"Le niveau d'émission projeté en 2030 est de 17 643 GgeCO2. La réduction des émissions de GES est de 24,28% par rapport au niveau de référence (BAU) en 2030."
Projected levels of emissions in 2030 is 17,643 GgeCO2. The reduction of GHG emissions is 24.28% relative to the reference level (BAU) in 2030. 
"L’ensemble des mesures agrégées conduisent la RCA à un niveau de réduction des gaz à effet de serre sous scénario inconditionnel de -9,03% et -11,82 respectivement en 2025 et 2030."
These measures cumulatively drive the RCA to a level of GHG reduction under the unconditional scenario of -9.03% and -11.82% respectively in 2025 and 2030.</t>
  </si>
  <si>
    <t>https://unfccc.int/sites/default/files/NDC/2022-06/CDN%20Revis%C3%A9e%20RCA.pdf</t>
  </si>
  <si>
    <t>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t>
  </si>
  <si>
    <t xml:space="preserve">procedure: establishment of a reporting system.
</t>
  </si>
  <si>
    <t>The Central African Republic aspires to increase sequestration potential.
Les mesures ainsi prises ont à la fois une inférence sur le repli des émissions de gaz à effet de serre, 
mais aussi sur l’amélioration du niveau de séquestration du carbone par la biomasse et les sols. Cette 
capacité d’absorption est en 2030 respectivement de 735 140 GgCO2 et 739 086 GgCO2 sous 
scenario inconditionnel et sous scenario conditionnel.
The measures taken result in both the decline in greenhouse gas emissions, 
but also the improvement of the level of carbon sequestration by biomass and soils. This 
absorption capacity in 2030 is 735,140 GgCO2 and 739,086 GgCO2 respectively under 
the unconditional scenario and conditional scenario respectively.</t>
  </si>
  <si>
    <t>2023-11-27 20:26:34</t>
  </si>
  <si>
    <t>COU-0016</t>
  </si>
  <si>
    <t>North America</t>
  </si>
  <si>
    <t xml:space="preserve">The Government of Canada is committed to moving to net-zero emissions by 2050.
Canada passed the Canadian Net-Zero Emissions Accountability Act in June 2021 which enshrined its 2050 net zero target into law (Government of Canada, 2021e). Canada updated its long-term strategy in October 2022. The strategy explores a number of different scenarios capable of achieving net zero emissions in 2050, but does not set a particular pathway for the country to follow or outline the policies and measures needed to achieve its net zero target. While they are focused on reducing emissions domestically, Canada could also be looking to reduce emissions internationally through internationally transferred mitigation outcomes (ITMOs) and carbon credits, which Canada is working on its policy towards international carbon credits (Environment and Climate Change Canada, 2022a) Reliance on LULUCF and CDR could be as high as 45% of Canada’s emissions in 2020 (or 301 MtCO2e). Under all scenarios, Canada is still producing and exporting oil and gas in 2050.
https://climateactiontracker.org/countries/canada/targets/
</t>
  </si>
  <si>
    <t>- In July 2021, Canada submitted its updated NDC, where it strengthened its emission reduction target from a 30% reduction below 2005 levels by 2030 to at least 40-45% (Government of Canada, 2021c). The inclusion of the reference to ‘at least’ suggests that Canada may exceed this target. We calculate that this target equates to an emissions level in 2030 of 419-462 MtCO2e once the contribution from its land sector has been excluded.
- It establishes the 2030 greenhouse gas emissions target as Canada’s Nationally Determined Contribution (NDC) under the Paris Agreement emissions reductions of 40-45 percent below 2005 levels by 2030.
https://climateactiontracker.org/countries/canada/targets/
https://www.canada.ca/en/services/environment/weather/climatechange/climate-plan/net-zero-emissions-2050/canadian-net-zero-emissions-accountability-act.html</t>
  </si>
  <si>
    <t>Net zero act: https://www.canada.ca/en/services/environment/weather/climatechange/climate-plan/net-zero-emissions-2050/canadian-net-zero-emissions-accountability-act.html
NDC document: https://unfccc.int/sites/default/files/NDC/2022-06/Canada%27s%20Enhanced%20NDC%20Submission1_FINAL%20EN.pdf</t>
  </si>
  <si>
    <t>https://climateactiontracker.org/countries/canada/targets/</t>
  </si>
  <si>
    <t>Mandatory carbon pricing has been in effect across Canada since 2019 (Government of Canada, 2018a). The legislation enacting the carbon pricing scheme, the Greenhouse Gas Pollution Pricing Act, was found to be constitutional by the country’s top court in March 2021 after three provinces challenged it (Supreme Court of Canada, 2021). A second challenge from the province of Manitoba was also dismissed by the Federal Court in October 2021.
In June 2022, the federal government established a GHG Offset system for activities not covered by carbon pricing (Government of Canada, 2022d). Credits generated under the system can be used to reduce the compliance costs of industrial facilities covered by the OBPS. At present, the system only covers landfill methane recovery, but protocols are being developed for agriculture, forest management and refrigerant F-gases (Government of Canada, 2022b). In mid-2022, the environment ministry began to develop protocol requirements for direct air carbon capture and sequestration related projects. The ministry is also looking into ways to remove barriers and enhance participation in the system by Indigenous peoples (Government of Canada, 2022e).
At over a quarter of total emissions, oil and gas production represents Canada’s largest source of emissions (Environment and Climate Change Canada, 2022e). While the sector’s emissions dropped in 2020 due to the pandemic, they are projected to be around 2019 levels in 2030 under current policies. The government is planning to strengthen methane emission regulations in the sector, but this is currently only reflected in our planned policies scenario.
14% of Canada’s emissions come from methane and of that the oil and gas sector is the largest source at 38%. Canada has committed to reducing methane emissions from the sector by 40–45% from 2012 levels by 2025 and at least 75% by 2030 (Environment and Climate Change Canada, 2018, 2021a). It adopted regulations to support the 2025 target in 2018 (Government of Canada, 2018b, 2020d, 2020b, 2020c). These started to come into effect in 2020, with further measures scheduled for 2023. The government began consulting on the further regulations that will be needed to achieve the 2030 target in the first half of 2022 (Government of Canada, 2022j). Draft regulations are expected in the first half of 2023 and final ones by 2024.
Electricity generation is responsible for around 8% of Canada’s emissions (Environment and Climate Change Canada, 2022e). Its share of the country’s emissions has been falling since 2015 as Canada shifts away from coal (Environment and Climate Change Canada, 2022b). Canada adopted the necessary regulations for the coal phase-out in 2018, as well as performance standards on fossil gas-fired power plants (Government of Canada, 2018e, 2018d). At the time, it was assumed that many of the coal-fired power stations affected by the phase-out, or that were otherwise nearing end of life, would be replaced with new fossil gas plants or coal-to-gas conversions (Government of Canada, 2018d).
Canada, and the world’s, only commercial CCS abated coal-fired power plant in operation continues to face problems. Saskatchewan’s Boundary Dam CCS project, built at a cost of CAD 1.5bn in 2014, has never met its annual CO2 capture target (SaskPower, 2022b; Schlissel, 2021; Taylor, 2019). In 2021, it was offline for more than half the year due to technical issues, captured only a fraction of the CO2 emissions for which it was designed, and contributed to the utility missing its annual GHG emissions reduction target for that year (Rives, 2022; SaskPower, 2022a).
Also check: https://climateactiontracker.org/countries/canada/net-zero-targets/</t>
  </si>
  <si>
    <t>Schedule for regular review of measures|Measures for all emission scopes that are covered by the target</t>
  </si>
  <si>
    <t>In November 2021, Canada’s Commissioner of the Environment and Sustainable Development issued a damning report outlining 30 years of the government’s failure to meet its targets and reduce greenhouse gas emissions (Commissioner of the Environment and Sustainable Development, 2021a; Office of the Auditor General of Canada, 2021b). The Commissioner stressed the need for strong plans and the implementation of those plans, and called out incoherence in policies, like the government’s purchase of the Trans Mountain Pipeline Expansion and the Emissions Reduction Fund which undermined existing oil and gas sector regulations. He called for stronger leadership and coordination within government.
In March 2022, Canada released its latest climate change plan, building on earlier strategies released in 2016 and 2020 (Environment and Climate Change Canada, 2020a, 2022a; Government of Canada, 2016b). The measures outlined in the plan are not yet sufficient to ensure Canada meets its NDC target, nor have all been implemented yet.
Measures outlined in NDC document p3-6
Full plan available at https://www.canada.ca/en/services/environment/weather/climatechange/climate-plan/climate-plan-overview/healthy-environment-healthy-economy.html
Equity: see  'just transition', p9 of NDC document
Reporting: annual synthesis report https://publications.gc.ca/site/eng/9.847802/publication.html
p11: The government is an important player in Canada’s work to reach to net-zero emissions by 2050. 
Also check the policies and action to be adopted by Canada in: https://climateactiontracker.org/countries/canada/policies-action/</t>
  </si>
  <si>
    <t>Yes (unspecified)</t>
  </si>
  <si>
    <t>NDC document page 5 "...a federal GHG offset system will complement carbon pricing". Also mentioned on p37 of climate plan: https://www.canada.ca/en/services/environment/weather/climatechange/climate-plan/climate-plan-overview/healthy-environment-healthy-economy.html
dCanada's Copenhagen pledge aimed to reduce emissions by 17% below 2005 levels by 2020 (incl. LULUCF). The Copenhagen pledge aligned Canada’s level of ambition to the United States, which also had a target of 17% reduction in emissions from 2005 levels by 2020.
Canada did not achieve its 2020 target, even with the effect that the pandemic had on emissions in 2020. Canada’s target level was 625 MtCO2e (excluding the land sector contribution). Its emissions in 2020 were 672 MtCO2e (excl. LULUCF), which are only 9% below 2005 levels (Government of Canada, 2022a).</t>
  </si>
  <si>
    <t>2023-06-19 08:54:31</t>
  </si>
  <si>
    <t>COU-0017</t>
  </si>
  <si>
    <t xml:space="preserve">"On 28 August 2019, the Federal Council decided that Switzerland would aim to reduce its greenhouse gas emissions to net zero by 2050 and gave the Federal Department of the Environment, Transport, Energy and Communications (DETEC) the task of drawing up a long-term climate strategy, thus ensuring that Switzerland meets a requirement of the Paris Agreement." [Source: https://www.bafu.admin.ch/bafu/en/home/topics/climate/info-specialists/emission-reduction/reduction-targets/2050-target/climate-strategy-2050.html] </t>
  </si>
  <si>
    <t>"Switzerland submitted its “nationally determined contribution” (NDC), in which it set a total GHG emissions reduction target of at least 50% by 2030 compared with 1990 levels. Switzerland’s long-term goal is to reduce its GHG emissions to net zero by 2050. "</t>
  </si>
  <si>
    <t xml:space="preserve">" The Federal Council is endeavouring to cut greenhouse gas emissions to the target of net zero by 2050, as it announced in 2019." [https://www.bafu.admin.ch/bafu/en/home/topics/climate/news-releases.msg-id-76206.html] </t>
  </si>
  <si>
    <t>https://www.bafu.admin.ch/bafu/en/home/topics/climate/info-specialists/emission-reduction/reduction-targets/2050-target/climate-strategy-2050.html</t>
  </si>
  <si>
    <t xml:space="preserve">"In 2019, the Federal Council decided that, by 2050, Switzerland should not emit more greenhouse gases than can be absorbed naturally or by technical means."
Source: https://www.admin.ch/gov/en/start/documentation/media-releases.msg-id-82140.html
"International aviation will also have to contribute to the attainment of the target, particularly through the use of renewable sustainable fuels and alternative drive systems' [https://www.bafu.admin.ch/bafu/en/home/topics/climate/info-specialists/emission-reduction/reduction-targets/2050-target/climate-strategy-2050.html]
"Switzerland should achieve balanced greenhouse gas performance by 2050 at the latest (net zero)...also includes the emissions from international aviation and shipping attributable to Switzerland" [https://www.bafu.admin.ch/bafu/en/home/topics/climate/info-specialists/emission-reduction/reduction-targets/2050-target/climate-strategy-2050.html]  </t>
  </si>
  <si>
    <t xml:space="preserve">Equity: "The transition to net zero will be carried out in a socially acceptable way. Additional financial burdens for low-income households or particular regions will be avoided or mitigated with appropriate measures. Infrastructure will be planned with a view to facilitating the transition to net zero for the population.' </t>
  </si>
  <si>
    <t>– Carbon credits: 'The Swiss ETS was introduced on January 1, 2008 as an alternative option for complying with the national CO2 levy on heating, industrial process, and transport fuels, which also went into effect on that day. For the period 2008-2012, firms covered by the levy had two choices: (1) pay the CO2 levy, or (2) voluntarily set a verified absolute emissions target and associated allowance allocation and participate in the Swiss ETS, which exempted them from paying the CO2 levy.'  
(https://www.edf.org/sites/default/files/EDF_IETA_Switzerland_Case_Study_May_2013.pdf)
– 'According to December 2011 revisions on the CO2 Act, the Federal Council shall regulate allowance allocation details, and “in doing so shall take account of comparable international regulations.”' 
– 'The Swiss legislation is currently silent regarding the treatment of carbon credits. The uncertainty thereby generated may be detrimental to a rapidly developing market and to the competitiveness of Switzerland as a major financial centre.' (https://caplaw.ch/2022/transactions-on-carbon-rights-in-switzerland-legislative-landscape-and-perspectives/)
– "In 2019, the Federal Council decided that, by 2050, Switzerland should not emit more greenhouse gases than can be absorbed naturally or by technical means."
Source: https://www.admin.ch/gov/en/start/documentation/media-releases.msg-id-82140.html
- "To eliminate the remaining emissions and to create negative emissions long-term, the use of CCS and negative emissions technology is required... The remaining emissions from cement production (around 2.4 million tonnes of CO2eq in 2050) can be largely reduced with CCS."
"Approaches in the field of soil management and the storage of biochar offer potential- depending on the method- which could be used sustainably."
Source: https://unfccc.int/sites/default/files/resource/LTS1_Switzerland.pdf</t>
  </si>
  <si>
    <t>2022-09-29 12:07:36</t>
  </si>
  <si>
    <t>COU-0018</t>
  </si>
  <si>
    <t>Absolute emissions target</t>
  </si>
  <si>
    <t>"Article 1.- Object. The purpose of this law is to face the challenges presented by climate change, move towards a development low in greenhouse gas emissions and other climate forcing, until reaching and maintaining the neutrality of greenhouse gas emissions by the year 2050. , adapt to climate change, reducing vulnerability and increasing resilience to the adverse effects of climate change, and comply with the international commitments assumed by the State of Chile on the matter."
Artículo 1°.- Objeto. La presente ley tiene por objeto hacer frente a los desafíos que presenta el cambio climático, transitar hacia un desarrollo bajo en emisiones de gases de efecto invernadero y otros forzantes climáticos, hasta alcanzar y mantener la neutralidad de emisiones de gases de efecto invernadero al año 2050, adaptarse al cambio climático, reduciendo la vulnerabilidad y aumentando la resiliencia a los efectos adversos del cambio climático, y dar cumplimiento a los compromisos internacionales asumidos por el Estado de Chile en la materia</t>
  </si>
  <si>
    <t xml:space="preserve">
"Chile commits to a GHG emission budget not exceeding 1,100 MtCO2eq between 2020 and 2030, with a GHG emissions maximum (peak) by 2025, and a GHG emissions level of 95 MtCO2eq by 2030."
This is an intermediate point on the road to carbon neutrality by 2050, which we have established in the Draft Framework Law on Climate Change that is currently under discussion in the National Congress of Chile. "The NDC also includes a target to "Reduce total black carbon emissions by at least 25% by 2030, with respect to 2016 levels."</t>
  </si>
  <si>
    <t>2015 NDC - excluding emissions or removals from the Land Use, Land Use Change and Forestry (LULUCF) sector  "Chile is committed to reduce its CO2 emissions per GDP unit by 30% below their 2007 levels by 2030, considering a future economic growth which allows to implement adequate measures to reach this commitment. 
b) In addition, and subject to the grant of international monetary funds, the country is committed to reduce its CO2 emission per GDP unit by 2030 until it reaches a 35% to 45% reduction with respect to the 2007 levels, considering, in turn, a future economic growth which allows to implement adequate measures to achieve this commitment"
The 2020 NDC Target has an unconditional target and a conditional target. 
The unconditional target includes two scopes: 
1) "Chile commits to a GHG emission budget not exceeding 1,100 MtCO2eq between 2020 and 2030, with a GHG emissions maximum (peak) by 2025, and a GHG emissions level of 95 MtCO2eq by 2030."
*  The absolute target excludes emissions or removals from the Land Use, Land Use Change and Forestry (LULUCF) sector.
2) "Reduce total black carbon emissions by at least 25% by 2030, with respect to 2016 levels."
The conditional target - depending on international finance: 
"Chile could exceed a 30% reduction, potentially with a reduction of up to 45% in net
emissions by 2030 (including LULUCF), taking into account actions for GHG emissions mitigation and/or capture."</t>
  </si>
  <si>
    <t>https://www.bcn.cl/leychile/navegar?idNorma=1177286</t>
  </si>
  <si>
    <t>https://unfccc.int/sites/default/files/resource/NDC_Update_Chile_PPT_20200409.pdf</t>
  </si>
  <si>
    <t xml:space="preserve">By 2021: National Landscape Scale Restoration Plan.
By 2030: incorporation of 1,000,000 hectares into the landscape restoration process, prioritizing those with the greatest social, economic and environmental vulnerability.
</t>
  </si>
  <si>
    <t>Chile commits to afforesting 200,000 hectares, of which at least 100,000 hectares correspond to permanent forest cover, with at least 70,000 hectares of native species, by 2030.(catches from 3.0 to 3.4 MtCO2eq per year).</t>
  </si>
  <si>
    <t>2023-10-02 09:45:34</t>
  </si>
  <si>
    <t>COU-0019</t>
  </si>
  <si>
    <t>East Asia</t>
  </si>
  <si>
    <t>Emissions intensity target</t>
  </si>
  <si>
    <t>co2 emissions per unit gdp</t>
  </si>
  <si>
    <t>China will 'achieve carbon neutrality before 2060.' 
[p.8, Updated NDC, 2022, retrieved from https://unfccc.int/sites/default/files/NDC/2022-11/Progress%20of%20China%20NDC%202022.pdf]</t>
  </si>
  <si>
    <t>China's updated NDC contains two interim emissions targets - 'strive to carbon dioxide peaking before 2030' to 'lower its carbon dioxide emissions per unit of GDP by over 65 percent from the 2005 level'.  The updated NDC also contained three energy-related targets; 'increase the share of non-fossil fuels in primary energy consumption to around 25 percent by 2030'; 'increase the forest stock by 6 billion m3 from the 2005 level';  and 'increase the total installed capacity of wind and solar power to over 1.2 billion kW by 2030.' 
[Updated NDC, 2022, retrieved from https://unfccc.int/sites/default/files/NDC/2022-11/Progress%20of%20China%20NDC%202022.pdf]</t>
  </si>
  <si>
    <t>Updated NDC [Chinese]: https://unfccc.int/sites/default/files/NDC/2022-11/Progress%20of%20China%20NDC%202022.pdf</t>
  </si>
  <si>
    <t>https://unfccc.int/sites/default/files/NDC/2022-11/Progress%20of%20China%20NDC%202022.pdf</t>
  </si>
  <si>
    <t xml:space="preserve">Coverage of gases: The phraseology in the Chinese NDC and Mid-Century Long-Term Low Greenhouse Gas Emission Development Strategy (LTS) refers only to "carbon" neutrality (碳中和). 
Although Chinese Special Climate Envoy Xie Zhenhua stated, in mid-2021, that the 2060 neutrality target will cover all greenhouse gas emissions (not just CO2) the LTS has explicit reference 'carbon neutrality' and links to the 2030 emissions peaking target which relates only to carbon emissions.  This coding preferences the official documents over the government announcement. 
Special Climate Envoy Xie Zhenhua references (https://chinadialogue.net/en/digest/2060-neutrality-pledge-includes-all-greenhouses-gases/) or in Chinese (http://www.ncsc.org.cn/xwdt/gnxw/202107/t20210727_851433.shtml). 
</t>
  </si>
  <si>
    <t>Information on the emission reductions expected from these measures within a certain time period|Information on the extent to which measures will be applied (e.g. if switching to EVs, what share of the fleet; if installing an own solar PV installation, what is the installed capacity)|Measures for all emission scopes that are covered by the target</t>
  </si>
  <si>
    <t>Plan: China's Mid-Century Long-Term Low Greenhouse Gas Emission Development Strategy (LTS) (https://unfccc.int/sites/default/files/resource/China%E2%80%99s%20Mid-Century%20Long-Term%20Low%20Greenhouse%20Gas%20Emission%20Development%20Strategy.pdf)</t>
  </si>
  <si>
    <t xml:space="preserve">China will use domestic carbon removals as offsets, predominantly via the CCER (China Certified Emissions Reductions) scheme (https://chinadialogue.net/en/climate/rebooting-chinas-carbon-credits-what-will-2022-bring/). Projects eligible for CCER include forestry and other ecosystem carbon sink projects, which China plans to grow. CCUS/CCS/DAC is not directly mentioned in China's NDC, but domestic policy documents pledge to boost investment in these technologies, and it is likely that removals will eventually be incorporated into the nation's emissions accounting schemes. </t>
  </si>
  <si>
    <t>Dem. Rep. Congo</t>
  </si>
  <si>
    <t>2023-05-31 16:30:23</t>
  </si>
  <si>
    <t>COU-0020</t>
  </si>
  <si>
    <t xml:space="preserve">DRC joined a subgroup (Annex II) of the Climate Action Alliance who pledged to be 'working towards achieving net-zero CO2 emissions by 2050'. </t>
  </si>
  <si>
    <t>"La cible de réduction conditionnelle visée sous la soumission de 2015 était de 17% à l’horizon 2030 prenant en compte trois principaux secteurs dont Energie, Agriculture et Forêt associés aux émissions de dioxyde de carbone (CO2), méthane (CH4) et protoxyde d’azote (N2O)."
"La présente CDN, dont la cible de réduction est fixée à 21 % avec les interventions conditionnelles à 19%, et inconditionnelle à 2%, actualise et renforce la première en termes des contributions à l'atténuation et à l'adaptation, d’une part, et par une collecte de données améliorée, une analyse technique approfondie et un engagement étendu des parties prenantes, d’autre part. Elle inclut, outre les trois secteurs précités (Agriculture, Forêts et Energie), celui de Déchets et concerne les mêmes gaz. "
"La contribution inconditionnelle et conditionnelle combinée est ainsi une réduction de 21% des émissions totales des GES par rapport au BAU en 2030 (dont 19% conditionnel et 2%"
(https://www4.unfccc.int/sites/ndcstaging/PublishedDocuments/Democratic%20Republic%20of%20the%20Congo%20First/CDN%20Revis%C3%A9e%20de%20la%20RDC.pdf)
Commitment period: 2021 - 2030. Reduction level: 21%. NDC submitted to UNFCC. 
21% is broken down into 2% unconditional and 19% conditional (on external financing)
Target and BAU emissions are not given (estimated from figures in NDC text)</t>
  </si>
  <si>
    <t>Gas coverage for end target: 'This list brings together countries, businesses, investors, cities and regions who are working towards achieving net-zero CO2 emissions by 2050.' (Climate Ambition Alliance)
For interim target:  émissions de dioxyde de carbone (CO2), méthane (CH4) et protoxyde d’azote (N2O).
Sectors covered: not specified for the end target. 
For interim target:  quatres principaux secteurs dont Energie, Agriculture, Forêt et Déchets (energy, agriculture, forests and waste)</t>
  </si>
  <si>
    <t>Congo</t>
  </si>
  <si>
    <t>2023-09-07 22:16:17</t>
  </si>
  <si>
    <t>COU-0021</t>
  </si>
  <si>
    <t>➢ 32,19% dans le scénario conditionnel et 21,46% dans le
scénario inconditionnel en 2030.</t>
  </si>
  <si>
    <t>➢ 39,88% dans le scénario conditionnel et 17,09% dans le
scénario inconditionnel en 2025 ;</t>
  </si>
  <si>
    <t>In August 2021, the Republic of Congo submitted its revised NDC to the UNFCCC. For the first time, the country set an unconditional target of 17.09% of GHG reduction by 2025 and 21.46% by 2030, compared to a business-as-usual scenario
Reduction target: 
➢ 39,88% dans le scénario conditionnel et 17,09% dans le
scénario inconditionnel en 2025 ;
➢ 32,19% dans le scénario conditionnel et 21,46% dans le
scénario inconditionnel en 2030.</t>
  </si>
  <si>
    <t>https://unfccc.int/sites/default/files/NDC/2022-06/CDN_Congo.pdf</t>
  </si>
  <si>
    <t xml:space="preserve">NDC, updated 2021: CO2, CH4, N2O, HFC, PFC and SG6
https://unfccc.int/sites/default/files/NDC/2022-06/CDN_Congo.pdf </t>
  </si>
  <si>
    <t xml:space="preserve">Apparently, Congo is about to adopt a plan to achieve the target, but it is not in place yet:" En attendant que le Congo se dote d’un Plan National d’Adaptation (PNA) qui fixera ses priorités en matière d’adaptation et précise les moyens pour sa mise en œuvre... " p. 38 https://unfccc.int/sites/default/files/NDC/2022-06/CDN_Congo.pdf </t>
  </si>
  <si>
    <t xml:space="preserve">"1000 had de reboisement" in the plan p. 13 https://unfccc.int/sites/default/files/NDC/2022-06/CDN_Congo.pdf </t>
  </si>
  <si>
    <t>2023-05-15 20:35:54</t>
  </si>
  <si>
    <t>COU-0022</t>
  </si>
  <si>
    <t>ARTÍCULO 5. Metas en materia de mitigación. Las metas nacionales de mitigación de GEl a 2030, así como las acciones mínimas para lograrlo, comprenden las establecidas aquí y en las "Actualizaciones de la Contribución Determinada a Nivel Nacional de Colombia (NDC)" sometidas ante la CMNUCC, o cualquiera que lo actualice o sustituya. 1. Reducir en un cincuenta y uno por ciento (51 %) las emisiones de Gases de
Efecto Invernadero (GEl) con respecto al escenario de referencia a 2030 de
la I\lDC, lo que representa un máximo de emisiones país de 169.44 millones
de tC02eq en 2030.
2. Alcanzar la carbono neutralidad a 2050.
3. Establecer presupuestos de carbono para el período 2020-2030 a más tardar
en 2023.
4. Reducir las emisiones de carbono negro en un cuarenta por ciento (40%)
! respecto al 2014, lo que representa una emisión máxima de carbono negro
de 9.195 toneladas en 2030, excluyendo incendios forestales.
5. Reducir la deforestación neta de bosque natural a O hectáreas/año a 2030, a
partir de la implementación tanto de herramientas de política, como de
medidas cooperativas y de mercado</t>
  </si>
  <si>
    <t>1. Reducir en un cincuenta y uno por ciento (51 %) las emisiones de Gases de
Efecto Invernadero (GEl) con respecto al escenario de referencia a 2030 de
la I\lDC, lo que representa un máximo de emisiones país de 169.44 millones
de tC02eq en 2030.
2. Alcanzar la carbono neutralidad a 2050.
3. Establecer presupuestos de carbono para el período 2020-2030 a más tardar
en 2023.
4. Reducir las emisiones de carbono negro en un cuarenta por ciento (40%)
! respecto al 2014, lo que representa una emisión máxima de carbono negro
de 9.195 toneladas en 2030, excluyendo incendios forestales.
5. Reducir la deforestación neta de bosque natural a O hectáreas/año a 2030, a
partir de la implementación tanto de herramientas de política, como de
medidas cooperativas y de mercado</t>
  </si>
  <si>
    <t>https://www.climate-transparency.org/wp-content/uploads/2021/01/Colombia-CT-2020.pdf
https://www.oecd.org/regional/RO2021%20Colombia.pdf
https://www4.unfccc.int/sites/ndcstaging/PublishedDocuments/Colombia%20First/NDC%20actualizada%20de%20Colombia.pdf
https://climate-laws.org/document/law-2169-2021-promoting-low-carbon-development_add6'Colombia's updated goal is based on a long-term vision that is established by the aspiration towards carbon neutrality manifested by the country at the United Nations Climate Action Summit in September 2019, and which will be reflected in the Long-Term Strategy E2050, a medium-term vision to 2030 that is established through the Colombian Strategy for Low Carbon Development and the Comprehensive Strategy for Deforestation Control and Forest Management, and a short-term vision through the National Plan for Development.'Subject to the provision of international support, Colombia could increase its ambition from 20% reduction with respect to BAU to 30% with respect to BAU by 2030.
Ley de Accion Climatica N°2169/2021, 2021</t>
  </si>
  <si>
    <t>https://dapre.presidencia.gov.co/normativa/normativa/LEY%202169%20DEL%2022%20DE%20DICIEMBRE%20DE%202021.pdf?TSPD_101_R0=0883a32c4dab200084a4b2bf4b5a5f1f7a1f98da8cb7e17179c3d426345f76303f17ea2febaa0b0a08f65ee8b0145000823f20ede5fc8bb239167cafae7e9ae934084b1706c4e42519c66eddb5adb1a94fda360a94ff303798d3809a80344b3ca0458473c72be91ceebd55547768697fee37de2f3f7cda8253ffb5216e8029e8</t>
  </si>
  <si>
    <t>In the Climate Change Law is specified GHG.
https://dapre.presidencia.gov.co/normativa/normativa/LEY%202169%20DEL%2022%20DE%20DICIEMBRE%20DE%202021.pdf
https://idm.presidencia.gov.co/prensa/Paginas/Regulacion-firmada-por-Colombia-permitira-reducir-emisiones-de-CO2-220217.aspx --signed Global Methane Pledge at COP26, adopted resolution to reduce methane emissions</t>
  </si>
  <si>
    <t>2022-05-23 16:29:34</t>
  </si>
  <si>
    <t>COU-0023</t>
  </si>
  <si>
    <t xml:space="preserve">"Emission en 2030(CNA), scénario de référence: -1 260 kt CO2eq (hors UTCATF)"
Emissions in 2030 (BAU), reference scenario: -1,260 kt CO2eq (outside of LULUCF)
"la vision du Chef de l’Etat de faire des Comores « un pays émergeant à l’horizon 2030 résilient
aux chocs dans toutes les dimensions du développement durable »."
The vision of the Head of State of the Comoros: 'a country emerging on the cusp of 2030 resilient to shocks in all areas of durable development'.
"L’union des Comores prévoit, à travers cette CDN révisée, une réduction nette de ces émissions de GES, hors UTCAT, de 23% et une augmentation de son puits net d’absorptions de CO2 de 47% à l’horizon 2030 par rapport au scénario de référence."
The union of Comoros forsees, in line with this revised NDC, a net reduction of GHG emissions, outside of UTCAT, of 23% and an increase in the net sink absorption of CO2 of 47% by 2030 in relation to the reference scenario. </t>
  </si>
  <si>
    <t>Already net negative, policy to reduce emissions further involve reducing sectoral emissions and improving LULUCF sink
https://www4.unfccc.int/sites/ndcstaging/PublishedDocuments/Comoros%20First/CDN_r%C3%A9vis%C3%A9e_Comores_vf.pdf</t>
  </si>
  <si>
    <t>Covers: energy, industry, agriculture, and waste
"Conso-energie, industrie, agriculture, dechets"</t>
  </si>
  <si>
    <t>Measures for all emission scopes that are covered by the target|Information on the emission reductions expected from these measures within a certain time period|Schedule for regular review of measures</t>
  </si>
  <si>
    <t>2022-05-23 16:01:38</t>
  </si>
  <si>
    <t>COU-0024</t>
  </si>
  <si>
    <t>https://www4.unfccc.int/sites/ndcstaging/PublishedDocuments/Cabo%20Verde%20First/Cabo%20Verde_NDC%20Update%202021.pdf</t>
  </si>
  <si>
    <t>Cape Verde commits to reduce GHG emissions by 18% (unconditional) and 24% (conditional) by 2030 compared to BAU."  - 180,000 tCO2eq to 242,000 tCO2eq (18% to 24% below BAU, incl. LULUCF) by 2030 
Mitigation commitment to achieve a 30% renewable energy penetration
rate into the electric grid by 2025...Cabo Verde estimates that the renewable energy target will generate annual GHG emission reductions in the range of 600-700 tCO2eq</t>
  </si>
  <si>
    <t>By 2030, Cabo Verde commits to reduce economy-wide GHG emissions by 18% below the BAU 
scenario. Conditional on adequate international support, this reduction target may go up to 24% 
below the BAU scenario.  The 2030 commitments are set with the long-term goal of achieving a decarbonised net-zero 
emissions economy by 2050.
https://www.climatewatchdata.org/countries/CPV?end_year=2018&amp;start_year=1990</t>
  </si>
  <si>
    <t>By 2023, quantify the national GHG reductions possible by switching to lower carbon international maritime transport (i.e.sails or solar vessels, engine efficiency improvement, lower carbon fuels, optimise logistics and operating processes or avoidance strategies etc.) and develop a policy framework and national action plan as a measure under the International Maritime Organisation. Encourage the international community to bring ocean transport decarbonisation technologies to scale.
By 2025, evaluate the feasibility and engage with relevant international partners in order to lower the 
carbon footprint of air travel.  - aviation and shipping are within the framework, but currently undeveloped</t>
  </si>
  <si>
    <t>By 2030, commit to afforestation of 7 000 hectares with diverse, resilient, adapted species;
By 2030, commit to reforestation of 3 000 hectares with diverse, resilient, adapted species;
By 2025, deliminate priority areas, accounting for 6 000 hectares, which contribute to the conservation 
and protection of soils, wetlands, headwaters, ribeiras and water bodies and verify compatibility with 
other land uses;
Elaborate forest management plans and forest fire prevention plans in Maio, Santo Antão, Fogo, 
Santiago and Boavista islands;
 Explore ocean-based natural carbon sequestration, which proves harmless to the maritime resources, 
coastal communities and sea ecosystems;
https://www4.unfccc.int/sites/ndcstaging/PublishedDocuments/Cabo%20Verde%20First/Cabo%20Verde_NDC%20Update%202021.pdf</t>
  </si>
  <si>
    <t>2023-05-31 12:46:18</t>
  </si>
  <si>
    <t>COU-0025</t>
  </si>
  <si>
    <t xml:space="preserve">'Costa Rica commits to becoming a decarbonized economy with net-zero emissions by 2050' (National Decarbonisation Plan, 2018). </t>
  </si>
  <si>
    <t xml:space="preserve">2020 NDC includes two unconditional targets:
1.  An absolute target of 9.11 MtCO2e emissions in 2030 (including LULUCF and all emissions and sectors covered by the IPCC AR2) 
2. A cumulative emissions budget between 2021 and 2030 of 106.53 MtCO2e emissions (including LULUCF and all emissions and sectors covered by the IPCC AR2).
NDC text: 'Costa Rica se compromete a un máximo absoluto de emisiones netas en el 2030 de 9.11 millones de toneladas de dióxido de carbono equivalente (CO2e) incluyendo todas las emisiones y todos los sectores cubiertos por el Inventario Nacional de Emisiones de Gases de Efecto Invernadero correspondiente....Costa Rica se compromete a un presupuesto máximo absoluto de emisiones netas para el periodo 2021 al 2030 de 106.53 millones de toneladas de dióxido de carbono equivalente (CO2e) incluyendo todas las emisiones y todos los sectores cubiertos por el Inventario Nacional de Emisiones de Gases de Efecto Invernadero correspondiente. ' 
[Translation: Costa Rica commits to an absolute maximum of net emissions in 2030 of 9.11 million tons of carbon dioxide equivalent (CO2e) including all emissions and all sectors covered by the National Inventory of Greenhouse Gas Emissions correspondent....Costa Rica commits to an absolute maximum net emissions budget for the period 2021 to 2030 of 106.53 million tons of carbon dioxide equivalent (CO2e) including all emissions and all sectors covered by the National Inventory of Gas Emissions of the corresponding Greenhouse Effect.] </t>
  </si>
  <si>
    <t xml:space="preserve">The actions are divided into three major stages: a) foundations stage (2018-2022), b) inflexion stage (2023-2030) and c) transformation normalization stage or massive deployment (2031-2050). E.g. By 2030, the electricity matrix operates at 100% with renewable energy. (National Decarbonisation Plan, 2018). </t>
  </si>
  <si>
    <t>https://cambioclimatico.go.cr/wp-content/uploads/2020/01/NationalDecarbonizationPlan.pdf</t>
  </si>
  <si>
    <t xml:space="preserve">Consumption: Activities to foster change include 'transformation of the industrial sector', including the promotion of the 'consumption of products and services with smaller footprints and environmental impact' and increased 'energy consumption efficiency in the public sector.' (2018 National Decarbonisation Plan). 
</t>
  </si>
  <si>
    <t>Measures for all emission scopes that are covered by the target</t>
  </si>
  <si>
    <t xml:space="preserve">2018 National Decarbonisation Plan: https://unfccc.int/sites/default/files/resource/NationalDecarbonizationPlan.pdf
2022 National Adaptation Plan: https://unfccc.int/sites/default/files/resource/NAP_Documento-2022-2026_Costa-Rica.pdf
</t>
  </si>
  <si>
    <t xml:space="preserve">Separate emissions reductions and removals targets: National Decarbonisation Plan does not state that Costa Rica will have separate reduction and removal targets, however, it does specify 'sectoral contribution targets' which estimate that for a 1.5 degree scenario by 2050, the Energy, Industrial Processes, Agriculture, and Waste will emit 5.5MtCO2e, while forestry will remove 5.5MtCO2e (Table 4 &amp; Figure 10, p25-26). 
Carbon removal:  AFOLU expected to contribute 5.5 Mt CO2e removal by 2050. </t>
  </si>
  <si>
    <t>2023-10-05 08:22:56</t>
  </si>
  <si>
    <t>COU-0026</t>
  </si>
  <si>
    <t>Cyprus’ Long-term Low GHG emission development strategy, 2022 Update: Cyprus endorses the objective of achieving a climate-neutral EU by 2050: https://unfccc.int/sites/default/files/resource/2022_lts_final_cyprus.pdf</t>
  </si>
  <si>
    <t>'Economy-wide net domestic reduction of at least 55% in greenhouse gas emissions by 2030 compared to 1990.'
[Updated NDC of EU and its member states, including Cyprus]
https://unfccc.int/sites/default/files/NDC/2022-06/EU_NDC_Submission_December%202020.pdf
Multilateral Assessment updated in May-June 2021:
//efaidnbmnnnibpcajpcglclefindmkaj/https://unfccc.int/sites/default/files/resource/3_Cyprus_MA2020.pdf
Update Cyprus’ Longterm low GHG emission development strategy 2022:
//efaidnbmnnnibpcajpcglclefindmkaj/https://unfccc.int/sites/default/files/resource/2022_lts_final_cyprus.pdf</t>
  </si>
  <si>
    <t>2022 updates (the NECP scenario is under implementation now for  Projected emission reductions and enhancement of removals by 2050):
With the WEM AMB is the scenario, emissions in 2050 are expected to reduce by 10% compared to 1990 and 46% compared to 2005; 
 With the NECP scenario, emissions in 2050 are expected to reduce by 1990 and 5 6% compared to 2005; 28 % compared to 2005;
With the WAM scenario, emissions in 2050 are expected to reduce by 63% compared to 1990 and 78% compared to 2005;
https://unfccc.int/sites/default/files/resource/2022_lts_final_cyprus.pdf</t>
  </si>
  <si>
    <t>https://unfccc.int/sites/default/files/NDC/2022-06/EU_NDC_Submission_December%202020.pdf</t>
  </si>
  <si>
    <t>The target is an economy-wide net reduction from base year (NDC, p.8)
Gases covered: CO2, CH4, N2O, HFCs, PFCs, SF6, NF3 Aviation: Not international, but covers flights within European Economic Area (NDC, p.10)
Sectors covered: Energy, Industrial processes and product us, Agriculture, Waste, Land Use, Land Use Change and Forestry (LULUCF) (NDC, p.9)</t>
  </si>
  <si>
    <t>Schedule for regular review of measures|Measures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t>
  </si>
  <si>
    <t xml:space="preserve">Fairness considerations: The IPCC Special Report on global warming of 1.5°C shows that pathways limiting warming to 1.5°C typically achieve net zero greenhouse gas emissions at global level in the second half of this century. This enhanced NDC is in line with the EU’s agreed objective of achieving a climate-neutral EU by 2050. The EU therefore considers the enhanced NDC to be a fair contribution towards the global temperature goal of the Paris Agreement (NDC, p.18). </t>
  </si>
  <si>
    <t>Traded credits: 'without contribution from international credits' (NDC, p.8)
Carbon removals: 
-Land-use related emissions and removals addressed by the regulation on emissions and removals from land use, land use change and forestry (LULUCF) (NDC, p.3) ; LULUCF absorption to reach 1,100 Gg CO2eq in 2050 in the ambitious (AMB) scenario (LTS, p.26)
- CCS  / CCUS devices to be installed in all ETS activities (i.e., electricity, cement, ceramics) from 2040 ("20% in 2040-2049, 70% in 2050) (LTS, pp. 19 and 22)</t>
  </si>
  <si>
    <t>2023-05-11 14:50:52</t>
  </si>
  <si>
    <t>COU-0027</t>
  </si>
  <si>
    <t>We will present a new Climate Protection Policy of the Czech Republic, which will take into account the new ambitious EU goals by 2030 and set guidelines for achieving the goal of climate neutrality by 2050 at the latest. The policy will be prepared in close cooperation with the update of the State Energy Policy so that the government will discuss both documents in 2023. The strategies will be based on the National Energy and Climate Plan, a draft of which will be prepared by the Government during 2023.</t>
  </si>
  <si>
    <t xml:space="preserve">The main target of the Czech Republic is to reduce the total greenhouse gas emissions by 30 % by 2030 compared to 2005, corresponding to a reduction of emissions of 44 million tonnes CO2 eq. </t>
  </si>
  <si>
    <t>https://ec.europa.eu/energy/sites/default/files/documents/cs_final_necp_main_en.pdf
This Regulation sets out a binding objective of climate neutrality in the Union by 2050 in pursuit of the long-term temperature goal set out in point (a) of Article 2(1) of the Paris Agreement, and provides a framework for achieving progress in pursuit of the global adaptation goal established in Article 7 of the Paris Agreement. 
https://eur-lex.europa.eu/legal-content/EN/TXT/PDF/?uri=CELEX:32021R1119&amp;from=EN
https://www.europarl.europa.eu/RegData/etudes/BRIE/2021/689329/EPRS_BRI(2021)689329_EN.pdf
https://energy.ec.europa.eu/system/files/2020-03/cs_final_necp_main_en_0.pdf</t>
  </si>
  <si>
    <t>https://www.vlada.cz/en/jednani-vlady/policy-statement/policy-statement-of-the-government-193762/</t>
  </si>
  <si>
    <t>https://ec.europa.eu/energy/sites/default/files/documents/cs_final_necp_main_en.pdf</t>
  </si>
  <si>
    <t>2022-06-01 14:16:16</t>
  </si>
  <si>
    <t>COU-0028</t>
  </si>
  <si>
    <t>"By 2045 Germany is to become greenhouse gas neutral. This means that there must be a balance between greenhouse gas emissions and the removal of such gases."
(https://www.bundesregierung.de/breg-de/themen/klimaschutz/climate-change-act-2021-1936846)</t>
  </si>
  <si>
    <t>"Germany is to reduce its greenhouse gas emissions by 65 per cent of the 1990 levels."
(https://www.bundesregierung.de/breg-de/themen/klimaschutz/climate-change-act-2021-1936846)</t>
  </si>
  <si>
    <t>https://www.bundesregierung.de/breg-de/themen/klimaschutz/climate-change-act-2021-1936846</t>
  </si>
  <si>
    <t>All information in line with CAT DEU assessment as of 19.10.2021 (https://climateactiontracker.org/countries/germany/net-zero-targets/).</t>
  </si>
  <si>
    <t>All information in line with CAT DEU assessment as of 19.10.2021 (https://climateactiontracker.org/countries/germany/net-zero-targets/).
Germany produces Biennial Progress Reports under the UNFCCC (https://unfccc.int/MA/Germany).
"The climate goals are reviewed through continuous monitoring. Every two years, the Council of Experts for Climate Matters is going to present a report of the goals achieved, as well as measures and trends. The first report will be prepared in 2022. If budgets are not met, the Federal Government will adjust its approach immediately." (https://www.bundesregierung.de/breg-de/themen/klimaschutz/climate-change-act-2021-1936846)</t>
  </si>
  <si>
    <t xml:space="preserve">All information except traded credits in line with CAT DEU assessment as of 19.10.2021 (https://climateactiontracker.org/countries/germany/net-zero-targets/). Traded credits comes from text of climate legislation (https://www.gesetze-im-internet.de/ksg/BJNR251310019.html) which states „Die Möglichkeit, die nationalen Klimaschutzziele teilweise im Rahmen von staatenübergreifenden Mechanismen zur Minderung von Treibhausgasemissionen zu erreichen, bleibt unberührt" and the text of the previous legislation (https://dserver.bundestag.de/btd/19/143/1914337.pdf#page=27&amp;zoom=auto,-22,374) which states „In Betracht kommen aber auch zwischen-staatliche Mechanismen auf Grundlage europäischen Rechts, wie die Verlinkung regionaler Emissionshandels-systeme, sowie internationale Mechanismen in Umsetzung von Artikel 6 der Übereinkunft von Paris." </t>
  </si>
  <si>
    <t>2023-05-31 13:47:06</t>
  </si>
  <si>
    <t>COU-0029</t>
  </si>
  <si>
    <t>The Republic of Djibouti has committed to reducing its GHG emissions by 40% by the year 2030, representing close to 2 Mt of CO2e, compared to projections for that year according to the businessas-usual scenario. Reduction is of 2Mt- could not find target vs BAU numbers
An additional US $1.6 billion, conditional on new funding sources like the Green Climate Fund, along with international support, would enable the country to reduce its emissions by a further 20% by 2030. https://unfccc.int/sites/default/files/NDC/2022-06/CPDN%20Djibouti_9%20-%20CPDN%20-%20Format%20pour%20soumission%20CCNUCC.pdf</t>
  </si>
  <si>
    <t>Interim: The contribution of the Republic of Djibouti is based on estimated carbon dioxide (CO2), methane (CH4) and nitrous oxide (N2O) emissions across all economic sectors. Fluoride gas emissions were not counted, because they were deemed negligible at the national level.</t>
  </si>
  <si>
    <t xml:space="preserve">the Republic of Djibouti is in the process of developing a national strategy on climate change. That strategy will draw on both the National Adaptation Plan (NAP) and the National Adaptation Programme of Action (NAPA), adopted in 2006. </t>
  </si>
  <si>
    <t>2022-12-12 15:27:20</t>
  </si>
  <si>
    <t>COU-0030</t>
  </si>
  <si>
    <t>Based on these six (6) results areas, the Government of Dominica is committed to achieving 20
Climate Resilience Targets by 2030: ...  20. Becoming carbon neutral through 100% domestic renewable energy production, and an increase of protected forest areas to 67% of Dominica’s land mass</t>
  </si>
  <si>
    <t>Reduce total gross greenhouse gas (GHG) emissions below 2014 levels (updated baseline: 219.71 Ggs est.) at 39.2% by 2025. Reduce total gross greenhouse gas (GHG) emissions below 2014 levels (updated baseline: 219.71 Ggs est.) at 44.7% by 2030. https://unfccc.int/sites/default/files/2022-07/The%20Commonwealth%20of%20Dominica%20updated%20NDC%20July%204%20%2C.pdf</t>
  </si>
  <si>
    <t>1. Sectoral Emissions Reduction Targets is as follows: Energy Industries: 98.6%; Agriculture: 50%; Solid Waste: 78.6%; Industrial Processes: 8.8%; Transport: 20%; Shipping: 100%; Commercial/Institutional, Residential and Fishing: 8.1%.
2. Other targets include:  
- 100% renewable energy by 2030 (principally from geothermal resources) 
- 200Gg+ annual export of geothermal resources to Martinique and Guadeloupe from 2027 
- ~648Gg forest carbon sequestration 2020-2025, ~621Gg 2025-2030 through REDD+ Strategy 
- 50% increase in agroforestry farmers 
- 10% HFC emissions reduction by 2030</t>
  </si>
  <si>
    <t>https://cdn.climatepolicyradar.org/navigator/DMA/2020/dominica-climate-resilience-and-recovery-plan-2020-2030_6be7778ae868a2a1e7bd2e46e1e94a19.pdf</t>
  </si>
  <si>
    <t xml:space="preserve">- Interim target: The GHGs covered by Dominica’s NDC include carbon-dioxide (CO2), methane (CH4), nitrous-oxide (N2O), non-methane volatile organic compounds (NMVOC), sulphur-dioxide (SO2), hydrofluorocarbons (HFCs).
- Interim: NDC Mitigation Targets benchmark states: "Develop and agree on a 1.5°C - consistent vision for aviation and shipping". Assumed as international flights and shipping as Domenica is a very small country for local aviation and shipping.
</t>
  </si>
  <si>
    <t xml:space="preserve">Equity (refer to p.75 (6a) of the NDC report: https://unfccc.int/sites/default/files/2022-07/The%20Commonwealth%20of%20Dominica%20updated%20NDC%20July%204%20%2C.pdf). Also: Dominica is committed not just to adapting to climate change, but also to doing its part to reduce any
contribution, however small, to greenhouse gas emissions. 
</t>
  </si>
  <si>
    <t>" 20. Carbon Neutral Dominica, achieved through 100% domestic renewable energy
production, and increase of protected forest areas to 67% of Dominica’s land mass
Dominica is committed not just to adapting to climate change, but also to doing its part to reduce any
contribution, however small, to greenhouse gas emissions. As such, the country will become ‘carbon
neutral’, producing less emissions than it sequesters. This will be achieved by leveraging its large
domestic renewable energy resources (hydro power, geothermal power, solar power) that can
produce electricity more cheaply than using imported fossil fuels. Use of these renewable resources
will also reduce energy costs and tariffs to the consumer. Increasing energy efficiency will further
reduce energy costs and increase environmental sustainability. It will also increase forest coverage
from the current level of 62 percent of land mass to 67 percent of landmass, thereby further
sequestering carbon emissions."</t>
  </si>
  <si>
    <t>2024-01-21 17:51:12</t>
  </si>
  <si>
    <t>COU-0031</t>
  </si>
  <si>
    <t>The Climate Act ensures that Denmark works to reduce its carbon emissions by 70 percent in 2030 compared to 1990 levels and towards net-zero by 2045. The Climate Act contains a mechanism for setting milestone targets. Every five years the government must set a legally binding target with a ten-year perspective. The milestone targets will be implemented in Danish law
https://en.kefm.dk/news/news-archive/2019/dec/during-the-cop-denmark-passes-climate-act-with-a-70-percent-reduction-targetws-page-eng
https://stateofgreen.com/en/news/new-danish-government-moves-forward-net-zero-climate-target-to-2045/</t>
  </si>
  <si>
    <t>Denmark will reduce emissions by 70 percent by 2030, compared to 1990.
By 2025 all relevant decisions must be in place. The new deadline is underpinned by a concrete policy roadmap consisting of 24 green initiatives.
https://en.kefm.dk/news/news-archive/2021/sep/denmark-is-accelerating-climate-efforts-with-new-2025-deadline</t>
  </si>
  <si>
    <t xml:space="preserve">8 out of 10 political parties voted to enshrine the 2050 and 2030 climate targets into law in 2020 and so the broad political coalition provides stable support for the Climate Act. 
The new Danish government has announced more ambitious climate change targets, proposing to reach net zero by 2045 instead of 2050: https://www.stm.dk/statsministeriet/publikationer/regeringsgrundlag-2022/ </t>
  </si>
  <si>
    <t>https://en.kefm.dk/news/news-archive/2019/dec/during-the-cop-denmark-passes-climate-act-with-a-70-percent-reduction-targetws-page-eng</t>
  </si>
  <si>
    <t xml:space="preserve">The Climate Act includes a provision that requires a yearly report on the international effects of Danish climate action including on reductions in international shipping and aviation. 
https://ens.dk/sites/ens.dk/files/Basisfremskrivning/global_afrapportering_2021.pdf
The Danish shipping industry has committed to carbon neutrality by 2050 without using offsets after a voluntary partnership with the government, yet this is not enshrined in law. 
Page 110: https://klimaraadet.dk/sites/default/files/downloads/statusrapport_2021_-_danmarks_nationale_og_globale_klimaindsats.pdf
</t>
  </si>
  <si>
    <t>Schedule for regular review of measures|Information on the emission reductions expected from these measures within a certain time period|Information on the extent to which measures will be applied (e.g. if switching to EVs, what share of the fleet; if installing an own solar PV installation, what is the installed capacity)</t>
  </si>
  <si>
    <t>The Danish Government will develop annual Climate Action Plans that will outline concrete policies to reduce emissions for all sectors: energy, housing, industry, transportation, energy efficiency, agriculture, and land use change and forestry.
The Danish Council on Climate Change will present their professional assessment of whether the initiatives in the Climate Action Plan is sufficient to reduce emissions. 
The Danish Council on Climate Change provides recommendations on climate initiatives. The council’s budget will be more than doubled with the Annual budget and more experts are added to the council. Furthermore, the council’s political independence is strengthened as it can now elect its own chairperson and members.
The Climate Act commits the Government to separately report on Denmark’s impact on international emissions, including those pertaining to international shipping and aviation. Furthermore, reductions from electricity produced from renewable sources and the effects of Denmark’s bilateral energy cooperation with 15 countries* can be taken into account. Finally, it will shed light on the impacts of consumption.
https://en.kefm.dk/news/news-archive/2019/dec/during-the-cop-denmark-passes-climate-act-with-a-70-percent-reduction-targetws-page-eng
Equity concerns are considered at a global level. Denmark reports on its share of development aid that goes towards climate-related projects or climate-related foundations (i.e. "climate aid") and has a dedicated Investment Fund for Development (IFU) that combines public and private funds for development investments.
https://ens.dk/sites/ens.dk/files/Basisfremskrivning/global_afrapportering_2021.pdf</t>
  </si>
  <si>
    <t>Denmark plans to allocate 26.8 billion Danish crowns ($3.9 billion) in state aid over 15 years for projects [performed by 3 different companies] to capture and store 2.3 million metric tons of carbon dioxide (CO2) emissions per year. 
https://www.reuters.com/sustainability/climate-energy/denmark-plans-allocate-268-bln-crowns-new-co2-capture-storage-tenders-2023-08-21/</t>
  </si>
  <si>
    <t>2022-05-16 12:14:42</t>
  </si>
  <si>
    <t>COU-0032</t>
  </si>
  <si>
    <t>República Dominicana, en su NDC 2020, aumenta su ambición climática al comprometerse a la reducción de un 27 % de las emisiones de GEI con respecto
al BAU o business as usual al 2030. Este con un objetivo de un 20 % condicionado a finanzas externas y un 7 % Incondicionado a finanzas domésticas,
siendo este distribuido en un 5 % correspondiente al sector privado y un 2 % al sector público. Se presentan 46 opciones de mitigación distribuidas en:
27 opciones identificadas y evaluadas para el sector de Energía (enfocadas en generación de electricidad, eficiencia energética y transporte carretero),
4 opciones identificadas y evaluadas para el sector de Uso de Productos y Procesos Industriales (IPPU), 10 opciones identificadas para los sectores de
Agricultura, Silvicultura y Otros Usos del Suelo (AFOLU) y 5 para el sector Desechos. El país propone lograr, a partir de opciones de mitigación evaluadas
y propuestas, reducir 13,853.71 Gg CO2eq lo que representa 27.16 % con respecto al escenario BAU 2030 estimado en 51 mil Gg CO2eq, con una inversión
requerida estimada de USD $ 8,916,950,000.00 expresada de forma condicionada e incondicionada.</t>
  </si>
  <si>
    <t>Target Emissions and BAU emissions are in thousand GgCO2eq</t>
  </si>
  <si>
    <t>https://www4.unfccc.int/sites/ndcstaging/PublishedDocuments/Dominican%20Republic%20First/INDC-DR%20August%202015%20(unofficial%20translation).pdf</t>
  </si>
  <si>
    <t>"As a developing country according to its capacities, the Dominican Republic is in a position to report three gases (CO2, CH4 and N2O) in the first implementation period of the NDC 2021-2025, and will prepare its capacities with the support of the National Protection Program of the Ozone Layer (PRONAOZ), according to national circumstances”</t>
  </si>
  <si>
    <t>https://climateactiontransparency.org/dominican-republic-emits-decree-containing-national-mrv-system-for-ghg-inventories/
Regarding the update of NDCs: "El Plan de Acción de la NDC estará actualizándose a raíz de esta mejora y actualización en el 2021, con un periodo de
revisión de tres años. Asimismo, conllevará a una actualización de la NDC-RD en el 2025, en correspondencia con las
prioridades y circunstancias nacionales, tomando en cuenta el Plan Plurianual de Inversión Pública del país para la
articulación de las estrategias de financiamiento. "</t>
  </si>
  <si>
    <t>2023-04-03 23:36:49</t>
  </si>
  <si>
    <t>COU-0033</t>
  </si>
  <si>
    <t>Zero carbon</t>
  </si>
  <si>
    <t>Ecuador Zero Carbon Program (PECC): Reduce emissions in the energy sector in 20.4-25% below the 2025 BAU scenario</t>
  </si>
  <si>
    <t>https://www.ambiente.gob.ec/ministerio-pone-en-marcha-el-programa-ecuador-carbono-cero/</t>
  </si>
  <si>
    <t>Dióxido de carbono (CO2), Metano, (CH4), Óxido Nitroso (N2O), Hidrofluorocarbonos (HFC), Perfluorocarbonos (PFCs),  Hexafluoruro de azufre (SF6), Trifluoruro de nitrógeno (NF3).
https://www4.unfccc.int/sites/ndcstaging/PublishedDocuments/Ecuador%20First/Primera%20NDC%20Ecuador.pdf
https://cop25.mma.gob.cl/wp-content/uploads/2020/02/Annex-Alliance-ENGLISH.pdf</t>
  </si>
  <si>
    <t>https://www.ambiente.gob.ec/wp-content/uploads/downloads/2021/08/NT-PECC-PRODUCTO.pdf
https://www.ambiente.gob.ec/ministerio-pone-en-marcha-el-programa-ecuador-carbono-cero/#search
Interesting process of consultation of this new "carbon cero" norm; leaving out carbon neutral as it seems did not worked.. "el mecanismo de Reconocimiento Ecuatoriano Ambiental “Carbono Neutral” regulado en los Acuerdos Ministeriales No. 141, 264 y 265 no ha funcionado de acuerdo a lo esperado, ya que desde su vigencia no se ha registrado ningún proponente que haya implementado dicho mecanismo, de manera que el Ministerio del Ambiente ha considerado reformular el mecanismo de carbono neutralidad a fin de contar con una Certificación bajo la marca Punto Verde y estándares internacionales que sea catalizador de otros incentivos ambientales y que brinde mayor competitividad en el mercado..."</t>
  </si>
  <si>
    <t xml:space="preserve">In the past Ecuador was a leading country on nature based removals (e.g., Yasuni ITT project).There are significant challenges however:  https://energytransition.org/2021/03/the-international-oil-trap-ecuadors-quest-for-energy-transition/
"Even though the production of renewable energies has increased steadily, rising energy demand within the country and the widely held belief that fossil fuels go hand in hand with economic development make it difficult to disengage from oil extraction. To restructure the national energy sector, energy governance to ensure the socio-economic sustainability is needed. Thus the social, economic, and environmental impacts must be assessed, and policies developed to meet regional needs. This means, of course, that the acceptance of renewable energies in society must be promoted through economic incentives such as new job opportunities, affordable electricity prices and accessible infrastructure. In addition, it is necessary and to limit damage to flora and fauna caused by renewable energy construction. The switch to cleaner energy sources will entail huge financial and administrative efforts to implement necessary technology, to adjust the existing energy infrastructure and to create institutions to help achieve emission reduction and energy efficiency. Efforts must be made on the national level as well as globally to achieve sustainable development in countries that are trying to balance resource rent dependencies, increasing energy demand, as well as achieving a national energy transition. Global energy policies could consider the needs of these countries and help improve, rather than worsen, already unequal power relations. Combating climate change should be the most important goal on the global agenda, meaning that new policy paths are required which prioritize international cooperation instead of international power struggles. The future should feature new approaches similar to the Yasuní-ITT initiative in Ecuador, which sought international payments for leaving fossil fuels in the ground, thus preserving biodiversity and globally important oxygen sources. Ecuador, like other countries dependent on fossil fuels or coal, must be supported in their quest for clean energy. Without international support, the nations’ access to a green future will be thwarted, aggravating climate change."
http://www.edicioneslegales-informacionadicional.com/webmaster/directorio/SU128_2022.pdf
</t>
  </si>
  <si>
    <t>2022-05-25 07:38:26</t>
  </si>
  <si>
    <t>COU-0034</t>
  </si>
  <si>
    <t>'The government of Eritrea is committed to reduce the CO2 emissions from fossil fuels by 4.2% in 2020, 6.2% by 2025 and 12.0% by 2030 compared to the projected BAU of the reference year of 2010. If additional support is availed, it can further be reduced by 12.6% in 2020, 24.9% by 2025 and 38.5 by the year 2030.'</t>
  </si>
  <si>
    <t xml:space="preserve">The government of Eritrea is committed to reduce the CO2 emissions from fossil fuels by 6.2% by 2025 compared to the projected BAU of the reference year of 2010. </t>
  </si>
  <si>
    <t xml:space="preserve">https://www4.unfccc.int/sites/ndcstaging/PublishedDocuments/Eritrea%20First/NRC%20Eritrea.pdf
</t>
  </si>
  <si>
    <t>Gases covered: Carbon dioxide, CO2, Methane (CH4), and Nitrous Oxide (N2O).</t>
  </si>
  <si>
    <t>Measures for all emission scopes that are covered by the target|Information on the emission reductions expected from these measures within a certain time period</t>
  </si>
  <si>
    <t xml:space="preserve">https://www4.unfccc.int/sites/ndcstaging/PublishedDocuments/Eritrea%20First/NRC%20Eritrea.pdf#page16
On reporting the NDC says 'Combined with an overall shortage of quantitative climate change data, accurate monitoring and evaluation of global environmental benefits is complex. 
 onetheless, M &amp; E of the Mitigation and adaption projects will be harmonised. Incongruent data and systems will be synchronised among the various agencies and project management offices in the national institutions'. 
</t>
  </si>
  <si>
    <t xml:space="preserve">The plan includes a large focus on foresty: 
The GOE has developed an Interim Poverty Reduction Strategy Paper (I-PRSP) (GOE, 2003) which lays out a macroeconomic framework and steps to create the conditions for resuming rapid
economic growth, and policies and programs for poverty reduction. Among others, it recognizes the negative impact of forest destruction. In order to prevent further deforestation, it identifies
improved forest and wildlife legal and policy frameworks, enhancing conservation measures, undertaking a forest resources inventory, accelerating participatory afforestation programs. </t>
  </si>
  <si>
    <t>2023-12-16 16:34:03</t>
  </si>
  <si>
    <t>COU-0035</t>
  </si>
  <si>
    <t>PSOE already made its green ambitions clear when it adopted Spain's first Climate Change and Energy Transition Law in 2021, which included the target of reaching climate neutrality by 2050.</t>
  </si>
  <si>
    <t>[Bloque 7: #a3] "1. Se establecen los siguientes objetivos mínimos nacionales para el año 2030 al objeto de dar cumplimiento a los compromisos internacionalmente asumidos y sin perjuicio de las competencias autonómicas:
a) Reducir en el año 2030 las emisiones de gases de efecto invernadero del conjunto de la economía española en, al menos, un 23 % respecto del año 1990.
b) Alcanzar en el año 2030 una penetración de energías de origen renovable en el consumo de energía final de, al menos, un 42 %.
c) Alcanzar en el año 2030 un sistema eléctrico con, al menos, un 74 % de generación a partir de energías de origen renovables.
d) Mejorar la eficiencia energética disminuyendo el consumo de energía primaria en, al menos, un 39,5 %, con respecto a la línea de base conforme a normativa comunitaria."
(The following minimum national objectives are established for the year 2030 in order to comply with the internationally assumed commitments and without prejudice to the autonomous powers:
a) Reduce greenhouse gas emissions in the Spanish economy as a whole in 2030 by at least 23% compared to 1990.
b) Reach in 2030 a penetration of renewable energies in final energy consumption of at least 42%.
c) Reach an electrical system by 2030 with at least 74% generation from renewable energy sources.
d) Improve energy efficiency by reducing primary energy consumption by at least 39.5%, with respect to the baseline in accordance with community regulations)</t>
  </si>
  <si>
    <t xml:space="preserve">Spain accounts for 9 % of the EU's total greenhouse gas (GHG) emissions. Between 2005 and 2019, the country reduced emissions by 27 %, performing better than the EU average. The carbon intensity of the Spanish economy is slightly below the EU average. The transport sector is the largest emitter in the country, generating 27 % of emissions, followed by the
energy industry with a share of 16 % of emissions. The energy sector cut emissions by 57 % during the 2005-2019 period, strongly contributing to the country's total emission reduction. Under the EU effortsharing regulation, Spain has committed to reducing non-ETS emissions by 26 % by 2030 (compared with 2005) and plans to surpass this target. Looking forward to 2030, Spain has considerably increased its level of ambition for the energy transition, moving from a 2020 target of a 20 % share of renewable energy in the energy mix to a 2030 target of 42 %. The country plans to focus primarily on the deployment of solar and wind power. The proposed measures are expected to generate energy efficiency improvements of over 39 %. </t>
  </si>
  <si>
    <t>https://www.europarl.europa.eu/RegData/etudes/BRIE/2021/690579/EPRS_BRI(2021)690579_EN.pdf</t>
  </si>
  <si>
    <t xml:space="preserve">In 2019, Spain accounted for total GHG emissions of 333MtCO2e, representing nearly 9% of total EU emissions. Between 2005 and 2019, Spain reduced its emissions by almost 27%, well above the EU-wide achievement of a 19%reduction. Emission cuts in energy industries accounted for 59% of total emission reductions. The NECP sets a 2030 target of a 23 % emission reduction (excluding LULUCF) compared with 1990 (a 50% emission reduction compared to 2005), and a 2050 climate neutrality target. </t>
  </si>
  <si>
    <t>Reporting: "En la misma línea, la Estrategia se actualizará cada cinco años con la última información disponible, por lo que las trayectorias especí cas de los sectores y de las tecnologías irán variando." (Along the same lines, the Strategy will be updated every five years with the latest information available, so that the specific trajectories of the sectors and technologies will vary.)
https://www.miteco.gob.es/es/prensa/ultimas-noticias/el-gobierno-aprueba-la-estrategia-de-descarbonización-a-largo-plazo-que-marca-la-senda-para-alcanzar-la-neutralidad-climática-a-2050/tcm:30-516141</t>
  </si>
  <si>
    <t>Increasing absorption capacities of carbon sinks: https://boe.es/buscar/act.php?id=BOE-A-2021-8447#:~:text=%5BBloque%2034%3A%20%23-,a2,--8%5D</t>
  </si>
  <si>
    <t>2022-06-01 14:17:03</t>
  </si>
  <si>
    <t>COU-0036</t>
  </si>
  <si>
    <t>Its long-term target is a reduction of 80 % by 2050. The new government has set an even more ambitious target, aiming for climate neutrality by 2050.
 Achievement of an 80% reduction in GHG emissions by 2050 (including 70%
by 2030)
https://www.europarl.europa.eu/thinktank/de/document.html?reference=EPRS_BRI%282021%29690684</t>
  </si>
  <si>
    <t xml:space="preserve">Estonia’s national target for GHG emission reduction compared to 1990 emissions levels is 70% by 2030
</t>
  </si>
  <si>
    <t>Estonia also have a target set by the EU of 13% reduction in GHG emissions compared to the 2005 level by 2030
https://ec.europa.eu/energy/sites/ener/files/documents/ee_final_necp_main_en.pdf</t>
  </si>
  <si>
    <t>https://www.europarl.europa.eu/thinktank/de/document.html?reference=EPRS_BRI%282021%29690684</t>
  </si>
  <si>
    <t>EU Members are required to report on climate targets every 5 years.
Estonia signed the Solidarity and Just Transition Silesia Declaration at the end of 2018
at COP24 in Poland.</t>
  </si>
  <si>
    <t>2023-09-01 14:45:54</t>
  </si>
  <si>
    <t>COU-0037</t>
  </si>
  <si>
    <t xml:space="preserve">"In 2015, as a signatory to the Paris Agreement, Ethiopia formulated an NDC, which was updated in 2021 through improved modeling and new data. Ethiopia pledged to limit its annual net emissions to 126 Mt CO2e or lower by 2030, which would constitute a 278 Mt CO2e (or 69%) reduction from the BAU scenario of 403 Mt CO2e." p.22 
" The CRGE is an ambitious national blueprint that intends to reduce Ethiopia’s GHG emissions by 64%, compared to the BAU scenario, by 2030. .... The LT-LEDS outlines ambitious scenarios to decarbonize seven priority sectors of Ethiopia’s economy by 2050. " p,18 </t>
  </si>
  <si>
    <t>Reduction of 68.8 compared to BAU projection by 2030. Unconditional reduction of 14% and conditional component of 54.8% compared to BAU projection by 2030. (p26)
The Projections have three scenarios:
1. BAU
2. Conditional
3. Unconditional 
In 2015, as a signatory to the Paris Agreement, Ethiopia formulated an NDC, which was updated in 2021 through improved modeling and new data. Ethiopia pledged to limit its annual net emissions to 126 Mt CO2e or lower by 2030, which would constitute a 278 Mt CO2e (or 69%) reduction from the BAU scenario of 403 Mt CO2e. The country has committed to achieving 20% of this scenario out of its own financial resources (unconditional scenario), whereas it requests international financial support to achieve the other 80% (conditional scenario). Table 3.2 gives an overview of the emission reduction ambitions and the policy actions in each sector. https://unfccc.int/sites/default/files/resource/ETHIOPIA_%20LONG%20TERM%20LOW%20EMISSION%20AND%20CLIMATE%20RESILIENT%20DEVELOPMENT%20STRATEGY.pdf</t>
  </si>
  <si>
    <t>The plan includes landfill gas reduction of 5% by 2030, 20% by 2040, and 35% by 2050. p.104 https://unfccc.int/sites/default/files/resource/ETHIOPIA_%20LONG%20TERM%20LOW%20EMISSION%20AND%20CLIMATE%20RESILIENT%20DEVELOPMENT%20STRATEGY.pdf 
The plan also mentions CH4
and N2O from crop production:  "The estimation of GHG emissions from managed soils shows carbon sequestration, even under the BAU scenario, when perennial crops (e.g., coffee, fruits, chat, and tea plantation) are considered (Figure 4.16). .... emissions from managed soils consist of CH4
and N2O gases from annual crops production, CO2 from limestone application, and N2O from nitrogen fertilizers" p. 48</t>
  </si>
  <si>
    <t>They mention a plan to develop a reporting system, but there are no details about frequency of reporting: "A measurement, reporting, and verification (MRV) system and an adaptation monitoring and evaluation (M&amp;E) system should be developed in an integrated manner to support Ethiopia in evaluating progress toward implementing the actions and achieving the aims of the LT-LEDS." p. 102</t>
  </si>
  <si>
    <t>Reforestation of 8.2 million ha by 2050, p. 104  https://unfccc.int/sites/default/files/resource/ETHIOPIA_%20LONG%20TERM%20LOW%20EMISSION%20AND%20CLIMATE%20RESILIENT%20DEVELOPMENT%20STRATEGY.pdf 
They do include CCS-based removals, but state that there will be minimal investment in the technology and for now it is not economically feasible: "Forming a carbon capture and storage unit: while CCS is still not economically feasible in developing countries, it continues to be prominently featured in all existing approaches to achieving NZE. The expectation is that the technology will mature in the coming decades and be economically feasible for global implementation. Uncertainty remains regarding permanence of the technology, its scale of implementation, and the necessary public support. If these and other necessary conditions are met, the technology can contribute to a large-scale reduction in GHG emissions. The IEA analysis also covers future CCS as a key contributor in the iron and steel industry. The low-emission scenario defines itself as a deviation from the BAU scenario due to the policy interventions" p. 72</t>
  </si>
  <si>
    <t>2024-01-14 11:24:45</t>
  </si>
  <si>
    <t>COU-0038</t>
  </si>
  <si>
    <t>'1(2)(1) The objective of the Act and the climate policy planning system based on it is to contribute to
ensuring that: 1) anthropogenic greenhouse gas emissions decrease and the removals by sinks increase so that,
at the latest by 2035, Finland has reached a situation where its greenhouse gas emissions are at
most equal to the removals and that the removals continue to increase and emissions decrease
after that as well.'</t>
  </si>
  <si>
    <t>'1(2)(2) the combined anthropogenic greenhouse gas emissions to the atmosphere from the effort-sharing and emissions trading sectors decrease by at least 60 per cent by 2030'</t>
  </si>
  <si>
    <t xml:space="preserve">The Climate Act in original Finnish: https://www.finlex.fi/fi/laki/alkup/2022/20220423
The Finnish Climate Change Act (2022) specifies an ultimate target of net negative emissions with 1990 as the baseline year, with an interim target of achieving climate neutrality by 2035. However, this net negative emissions target only covers the combined emissions from the effort-sharing and emissions trading sectors, but not the land use sector. Because the climate neutrality target covers all sectors, it is recorded here as the end target. 
Finland's different targets can best be represented as:
- 60% reduction in GHG emissions from the effort-sharing and emissions trading sectors by 2030 
- Overall climate neutrality by 2035, after which emissions should continue to decrease and removals through sinks to increase
- 80% reduction in GHG emissions from the effort-sharing and emissions trading sectors by 2040
- 90% reduction in GHG emissions from the effort-sharing and emissions trading sectors by 2050, with the aspiration to achieve 95% </t>
  </si>
  <si>
    <t>https://cdn.climatepolicyradar.org/navigator/FIN/2015/climate-change-act-609-2015_470ed136ca9e120622f16e71f199b58b.pdf</t>
  </si>
  <si>
    <t>Gases: '1(6)(1) In this Act: 1) greenhouse gas means carbon dioxide, methane, nitrous oxide, hydrofluorocarbons, perfluorocarbons, sulphur hexafluoride, nitrogen trifluoride and other gaseous components of the atmosphere, both natural and anthropogenic, which absorb and transmit infrared radiation;" 
International aviation and shipping are included in the emissions trading sector, which is further governed by the Finnish Emissions Trading Act (2023): https://finlex.fi/fi/laki/alkup/2023/20231270#Pidm46434451472624.
International aviation (some exemptions apply):
- Aviation within the European Economic Area ('EEA') and from the EEA to UK and Switzerland will need to have emissions rights for CO2 emissions.
- From 2027, flights arriving to or leaving the EEA will require emissions rights for CO2 emissions. 
International shipping 2(8):
- Applies to the CO2 emissions of ships with gross tonnage of over 5000 that commercially transport passengers or cargo, and will include their methane and nitrous oxide emissions from 2026. 
- Trips from an European Union ('EU') harbor and to a third party harbor will need to have emissions rights for 50% of their emissions
- Trips from a third party harbor to an EU harbor will need to have emissions rights for 50% of their emissions
- Trips from EU harbor to an EU harbor will need to have emissions rights for 100% of their emissions
- Ships will need 100% emissions rights for emitting within an EU harbor</t>
  </si>
  <si>
    <t>Measures for all emission scopes that are covered by the target|Information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t>
  </si>
  <si>
    <t>Public plans: '3(15) The Government shall submit reports to Parliament on the following documents that it has
adopted:
1) the Long-term Climate Plan referred to in section 9;
2) the National Climate Change Adaptation Plan referred to in section 10;
3) the Medium-term Climate Plan referred to in section 11;
4) the Climate Plan for the Land Use Sector referred to in section 12.'
Reporting: 
- Annual Climate Reports: https://ym.fi/en/annual-climate-report
- The Annual Climate Reports follow the achievement of Finland's emission reduction targets. They contain information on the trends in the emissions and sinks in Finland. They also deal with climate change adaptation and the impacts of the envisaged policy measures on emissions. The reports also consider whether new measures are needed to achieve the objectives set.
Equity:
- 1(2) 'In addition, the objective of the Act and the climate policy planning system based on it is to: 1) contribute to ensuring sustainable development and justice of the climate measures; 2) contribute to ensuring the prerequisites for the Sámi people to maintain and develop their own language and culture.'
- 2(14): 'When the climate policy plans referred to in sections 9–12 above are prepared, consideration shall be given to the right of the Sámi people to maintain and develop their own language and culture in the Sámi Homeland referred to in the Act on the Sámi Parliament (974/1995). To safeguard this right, the authorities shall negotiate with the Sámi Parliament when preparing the plans. The negotiations shall take place in accordance with the procedure laid down in section 9 of the Act on the Sámi Parliament. The provisions of the Skolt Act (253/1995) on promoting the living conditions of the Skolt people and opportunities to practice their livelihoods in the Skolt area and on maintaining and promoting the Skolt culture shall also be taken into account in the preparation of the plans.'</t>
  </si>
  <si>
    <t xml:space="preserve">Carbon credits: 
- The climate neutrality target includes the emissions trading sector, which is further detailed in the Emissions Trading Act (2023). 
- This Act implements the EU Emissions Trading Directive (2003/87/EC): https://eur-lex.europa.eu/legal-content/EN/TXT/?uri=celex%3A32003L0087.
- Therefore, the usage of carbon credits to achieve Finland's targets is subject to the country's participation in the EU's ambition to be collectively climate neutral by 2030, and is governed by the EU Emissions Trading System: https://climate.ec.europa.eu/eu-action/eu-emissions-trading-system-eu-ets_en.
Carbon removal:  A key factor for the carbon neutrality target is the expected number of carbon sinks in 2035, which determines the magnitude of the required emissions reductions. If a net sink of 21 million tonnes is aimed for in the land use sector in 2035, emissions should likewise decrease to 21 million tonnes (https://ym.fi/documents/1410903/0/Ilmastolaki_HE1_final+(2).pdf/f7d54a89-0217-bb86-c1e9-d1399190755c/Ilmastolaki_HE1_final+(2).pdf?t=1655972473665).
</t>
  </si>
  <si>
    <t>2023-12-16 13:06:47</t>
  </si>
  <si>
    <t>COU-0039</t>
  </si>
  <si>
    <t>Oceania</t>
  </si>
  <si>
    <t>An update to its existing Nationally Determined Contribution (NDC) pursuant to Article 4.11 of the Paris Agreement that includes:
 a reaffirmation of its 2030 target;
 a commitment to achieve net zero greenhouse gas emissions by 2050;
 up-front information to facilitate clarity, transparency and understanding;
 a commitment to enact its Climate Change Bill by 2021; and
 a commitment to operationalise its National Adaptation Plan.
https://www4.unfccc.int/sites/ndcstaging/PublishedDocuments/Fiji%20First/Republic%20of%20Fiji's%20Updated%20NDC%2020201.pdf
Climate Change Bill 2021 clauses 6(5) and 38(1)
http://www.economy.gov.fj/images/CCIC/uploads/Climatechangeact/20210927_161640.pdf</t>
  </si>
  <si>
    <t xml:space="preserve">30% emission reduction by 2030 compared to BAU. 10% unconditional whereas the remaining target can only be met with the availability of external funding amounting to US$500 million (conditional). Base-year emissions were estimated at 1500 kilo tonnes of carbon dioxide (kTCO2 e). The baseline scenario projects energy sector emissions to reach 2,341 kTCO2 e by 2030. Fiji’s emissions peak will be demonstrated in the national greenhouse gas (GHG) inventory time series reported in its Biennial Update Report 2022. </t>
  </si>
  <si>
    <t>https://climate-laws.org/documents/national-climate-change-policy-2018-2030_676a?id=national-climate-change-policy-2018-2030_4019</t>
  </si>
  <si>
    <t>https://unfccc.int/sites/default/files/resource/Fiji_Low%20Emission%20Development%20%20Strategy%202018%20-%202050.pdf</t>
  </si>
  <si>
    <t>Net zero greenhouse gas emissions by 2050. “greenhouse gas” or “GHG” means carbon dioxide (CO2), methane (CH4), nitrous oxide (N2O), hydrofluorocarbons (HFCs), perfluorocarbons (PFCs), sulphur hexafluoride (SF6) and nitrogen trifluoride (NF3)
Emissions from international aviation or international shipping are not emissions from sources in Fiji for the purposes of this Act. The Minister may make regulations to prescribe matters that are required or permitted by this Act to be prescribed or are necessary or convenient to be prescribed for carrying out or giving effect to this Act and generally for achieving the purposes of
this Act including providing for—(a) Fiji’s participation in schemes adopted to regulate emissions from international aviation or international shipping;
A number of parallel international processes address specific sources of emissions, which have implications for emission reductions in Fiji either because they are likely to effect technology development or market conditions in Fiji. These include: the Carbon Offsetting and Reduction Scheme for International Aviation (CORSIA) adopted under the International Civil Aviation
Organization (ICAO) in 2016, which creates a Global Market-Based Measure (GMBM) to promote carbon neutral growth in the international aviation sector; 24 the Initial Strategy on Reduction of GHG Emissions from Ships adopted by the International Maritime Organization (IMO) in 2018, which aims to reduce the carbon intensity of international shipping;25</t>
  </si>
  <si>
    <t>Shows tables in Climate Act document on how their emissions from e.g. energy use will change with the addition of e.g. renewable energy</t>
  </si>
  <si>
    <t>Not include biological sequestration (e.g. via afforestation)|Other conditions</t>
  </si>
  <si>
    <t>In the forestry sector, an improved BAU scenario involves promoting sustainable forest management, which can be implemented, on the one hand, to avoid emissions in connection with timber harvesting measures and, on the other hand, to increase biomass production and thus carbon sequestration. Conducting a cost-benefit analysis can help take into account the carbon sequestration value of mangroves as part of any proposals requesting conversion of significant tracts of mangroves. Improving Monitoring: Capacity building and training will be provided for mangrove and seagrass monitoring, and for carbon sequestration measurements.</t>
  </si>
  <si>
    <t>2023-05-31 09:38:06</t>
  </si>
  <si>
    <t>COU-0040</t>
  </si>
  <si>
    <t>« d'atteindre la neutralité carbone à l'horizon 2050 en divisant les émissions de gaz à effet de serre par un facteur supérieur à six »
Reach carbon neutrality by 2050 by reducing GHG emissions by at least a factor of 6</t>
  </si>
  <si>
    <t xml:space="preserve">https://unfccc.int/sites/default/files/NDC/2022-06/EU_NDC_Submission_December%202020.pdf
"The EU and its Member States, acting jointly, are committed to a binding target of a net domestic reduction of at least 55% in greenhouse gas emissions by 2030 compared to 1990."
"The target is an economy-wide net reduction from base year emissions, of at least 55% greenhouse gas reductions, without contribution from international credits. "
</t>
  </si>
  <si>
    <t>https://www.ecologie.gouv.fr/sites/default/files/2018.12.20_PNACC2.pdf
https://www.ecologie.gouv.fr/sites/default/files/Projet%20SNBC%20EN.pdf
https://www.climatewatchdata.org/countries/FRA
https://www.ecologie.gouv.fr/loi-energie-climat
"le texte inscrit l’objectif de neutralité carbone en 2050 pour répondre à l’urgence climatique et à l’Accord de Paris"
(The 2019 law enshrines the 2050 target of carbon neutrality to respond to the climate emergency and the Paris Agreement.)
La loi inscrit un objectif de réduction de 40 % de la consommation d’énergies fossiles – par rapport à 2012 – d’ici 2030 (contre 30 % précédemment). Selon l’article 1 du texte, « la neutralité carbone est entendue comme un équilibre, sur le territoire national, entre les émissions anthropiques par les sources et les absorptions anthropiques par les puits de gaz à effet de serre, tel que mentionné à l'article 4 de l'accord de Paris ratifié le 5 octobre 2016 ». (The law sets the target of reducing fossil fuel consumption by 40%, compared to 2012, by 2030 (compared to 30% previously.) According to article 1 of the text, 'carbon neutrality is understood as an equilibrium, on the national territory, between anthropological emissions and anthropological absorptions by greenhouse gas sinks, as mentioned in article 4 of the Paris agreement ratified on the 5th of October 2016. )
"La loi confirme l’arrêt de la production d’électricité à partir du charbon d’ici 2022." (The law confirms the end of the production of electricity from coal by 2022.)</t>
  </si>
  <si>
    <t>https://www.legifrance.gouv.fr/jorf/id/JORFTEXT000039355955/</t>
  </si>
  <si>
    <t xml:space="preserve">Coding aligned with UNEP EGR Chapter 3 (forthcoming on 26.10.2021).
French climate law: https://www.legifrance.gouv.fr/jorf/id/JORFTEXT000039355955/
Does not include consumption emissions, but mentions international trade measures. 
Whilst the target does not include international aviation or international shipping the report above highlights that 'le Haut Conseil [..] émet des recommandations et propositions pour améliorer l'action de la France [..] ainsi que la réduction des émissions de gaz à effet de serre liées aux transports aéronautique et maritime internationaux.' (the High Council on Climate in the French Government recommends and proposes in this report for the improvement of climate action in France for the reduction of greenhouse gas emissions linked to international airtravel and international shipping.)
Gases from EU NDC: Carbon Dioxide (CO2) Methane (CH4) Nitrous Oxide (N2O) Hydrofluorocarbons (HFCs) Perfluorocarbons (PFCs) Sulphur hexafluoride ((SF6) Nitrogen trifluoride (NF3) </t>
  </si>
  <si>
    <t>Information on the emission reductions expected from these measures within a certain time period|Schedule for regular review of measures|Measures for all emission scopes that are covered by the target|Information on the extent to which measures will be applied (e.g. if switching to EVs, what share of the fleet; if installing an own solar PV installation, what is the installed capacity)</t>
  </si>
  <si>
    <t xml:space="preserve">https://www.ecologie.gouv.fr/loi-energie-climat
"La Stratégie nationale bas-carbone (SNBC) est confirmée comme étant l’outil de pilotage de l’action française. Elle sera révisée tous les 5 ans et pourra être ajustée et affutée en fonction de l’évolution de nos émissions." (The National Low Carbon Strategy is affirmed as being the tool for steering French climate action. It will be revised every 5 years and can be adjusted and refined based on the evolution of our emissions.) 
"Dès 2023, une loi de programmation quinquennale fixera les grands objectifs énergétiques" 
(From 2023, the SNBC (low carbon strategy), will be reviewed every five years, setting the major energy objectives. )
"Enfin, la France s’engage également dans une démarche de budget vert (article 1) : concrètement, un rapport annuel sur les incidences du projet de loi de finances en matière environnementale sera produit permettant au Gouvernement d’être transparent sur l’impact écologique de son action." (Finally, France will commit to the pursuit of a green budget (article 1) : in particular, an annual report on the implications of the environmental finance bill will be produced permitting the Government to be transparent on the environmental impact of its action.)
Current strategy: https://www.ecologie.gouv.fr/sites/default/files/2020-03-25_MTES_SNBC2.pdf
"La France prend ses responsabilités dans la lutte contre le changement climatique, en assumant le principe déjà approuvé au niveau international d’une action proportionnée aux responsabilités communes des États, mais équitable et donc différenciée suivant les pays, en tenant compte des différences dans les situations nationales, notamment leur capacité et potentiel à réduire les émissions ou leur responsabilité historique." (France accepts its responsibility in the fight against climate change, adopting the principal already approved on the international scale of action proportionate to the common responsibility of states, whilst being equitable and differentiated, taking into account the differences in national circumstances, notably capacity and potential to reduce emissions, as well as historic responsibility.) 
'Équité internationale' is 'un axe stratégique' (International equity is a strategic axis.) </t>
  </si>
  <si>
    <t>Coding aligned with UNEP EGR Chapter 3 (forthcoming on 26.10.2021).
In the baseline scenario, it is thought that around 5 MtCO2 in industry per year could be avoided by 2050, and that about 10 MtCO2 of negative emissions could be produced annually thanks to the BECCS. Following the adaptation of the European CCS Directive in 2009, the legislative framework is ready. The use of BECCS will require an adequately centralized use of biomass (in fixed facilities and therefore excluding transport), whereas bio-energy generally is more often used in small facilities in a more scattered way. Rolling out these technologies will benefit from proper integration with the regions’ economies, ideally reusing existing infrastructure and underground storage, offshore if necessary.
Uncertainties regarding these technologies, their acceptability and the availability and reliability of storage mean that their development must be carefully considered and based on the definition of a viable economic model combined with good long-term risk management. That being said, it is most likely that it is an essential option for the future, as it allows for the generation of continuous negative emissions over the very long term (with forest storage eventually reaching an optimum level, draining carbon sinks in a few decades/centuries). Direct capture of CO2 from the atmosphere is also an option, but it is still in the very early stages of research and development.</t>
  </si>
  <si>
    <t>Micronesia</t>
  </si>
  <si>
    <t>2022-11-02 14:46:45</t>
  </si>
  <si>
    <t>COU-0041</t>
  </si>
  <si>
    <t>The net-zero target is in discussion because Micronesia is part of the climate ambition alliance, which aims for net zero by 2050. Source: 
"The FSM recognizes the humanitarian imperative to achieve net zero greenhouse gas emissions at
the global level by 2050 in order to preserve a reasonable chance at achieving the long-term
temperature goal under Article 2 of the Paris Agreement" (pg.11)</t>
  </si>
  <si>
    <t>The Federated States of Micronesia has an ambitious emission reduction target of 35% reduction by 2025. The achievement of this target of 35% emission reduction by 2025 will be through both unconditional (28%) and conditional (additonal up to 35%) means based on additional external financing being made available to the Federated States of Micronesia.
Source: https://pacificndc.org/pacific-ndcs/federated-states-micronesia</t>
  </si>
  <si>
    <t>The FSM also recognizes the importance of all countries taking action to reduce their greenhouse
gas emissions as part of the shared effort to limit global average temperature rise to below 1.5°C.
With a population of approximately 105,000 people and a developing economy, the FSM emits a
negligible quantity of greenhouse gas emissions. However, we are taking ambitious action to
rapidly reduce our emissions over the next decade, and we strongly urge other nations to do the
same. (pg.3)
Note the inclusion on conditional and unconditional targets:
Conditional - "Subject to the availability of external additional financing, technical and capacity building support from the international community, the Federated States of Micronesia could reduce by 2025 an additional up to 35% of greenhouse gas emissions compared to a base year of 2000. This is an approximate 94,000tCO2e."
Unconditional - "In the absence of receiving any external support, the Federated States of Micronesia commits to unconditionally reduce its greenhouse gas emissions by 28% by 2025 compared to a baseline year of 2000. This is an approximate 108,000tCO2e"</t>
  </si>
  <si>
    <t>https://unfccc.int/sites/default/files/NDC/2022-10/Updated_NDC_of_the_Federated_States_of_Micronesia.pdf</t>
  </si>
  <si>
    <t>2023-02-21 15:09:52</t>
  </si>
  <si>
    <t>COU-0042</t>
  </si>
  <si>
    <t xml:space="preserve">net absorption by forests of 122 108 (ggco2eq), emissions in energy (3322 ggco2eq) and agriculture (476 ggco2eq). 
</t>
  </si>
  <si>
    <t>The Gabonese Republic currently net absorbs just over 100 million tons of CO2 equivalent (103 million tons of CO2eq) per year. Over the last decade, we have net absorbed just over 1 billion tons of CO2eq and increased net absorptions by about 100 million tons. We have increased net absorption whilst many countries have increased net emissions.
In its second NDC, the Gabonese Republic commits unconditionally to remain carbon-neutral up to and beyond 2050. Furthermore, and subject to continued access to international markets for its wood products, access to a carbon market for its net-sequestration carbon credits in the form of ITMOs (Internationally Transferred Mitigation Outcomes) at a competitive carbon price and / or appropriate international support through non-market mechanisms, Gabon will strive to maintain its net absorption of at least 100 million tons of CO2eq per year beyond 2050. This goes well beyond the global net carbon neutrality target for 2050 commonly adopted.</t>
  </si>
  <si>
    <t>en 2030, les émissions brutes seront de l’ordre de 3 798 ggco2eq pour les secteurs de l’énergie et de l’agriculture, et les absorptions nettes de 122 108 ggco2eq pour le secteur fat. cumulées, les absorptions nettes seront, tous secteurs confondus, de 118 310 ggco2eq en 2030</t>
  </si>
  <si>
    <t>Also in law, see: https://climate-laws.org/document/ordinance-no-019-2021-of-13-09-2021-relating-to-climate-change_883e</t>
  </si>
  <si>
    <t>https://unfccc.int/sites/default/files/NDC/2022-07/20220706_Gabon_Updated%20NDC.pdf</t>
  </si>
  <si>
    <t>Gases: differ by sector but include: "CO2 et émissions fugitives de méthane. GES indirects: NOx, CO, CONMV, SO2... CO2, N2O, CH4." 
Gabon plans to maintain our emissions in the energy sector, the second source of emissions, at or below 2005 levels, mainly by transitioning from hydrocarbon sources of energy to hydro and solar energy, by improving energy efficiency in households, services, industries and transport, by replacing fuel oil plants with natural gas, implementing a « zero flaring » policy in the oil industry and improving interconnectivity of the electricity grid.
In the agriculture sector, Gabon commits to promoting tow-till agriculture by developing irrigation and agro-forestry, formalising agricultural land-tenure systems, preserving High Conservation Value (HCV) areas in industrial concessions, and using cover crops to reduce the need for chemical fertilisers in plantations.</t>
  </si>
  <si>
    <t>Equity: Access to international finance through a carbon market under the Paris Agreement, that recognises the historic and ongoing contribution Gabon has made through net sequestration of carbon to the mitigation of the climate change and the loss of services provided by Nature in the form of ITMOs, as well as through appropriate non-market mechanisms... The economic costs of adaptation will be significant, and Gabon will require support for adaptation to be made available. In particular, this will be necessary to: 1) Compensate or accompany Gabon as we adjust to the loss of the 60% of our economy currently generated from oil and gas that will almost certainly disappear by 2040;</t>
  </si>
  <si>
    <t xml:space="preserve">"By supplementing timber production from natural forests through afforestation with carbon-positive plantations in savanna areas, Gabon could transform its timber industry from a $1 billion turnover to $10 billion per annum and from 30,000 jobs at present to 300,000 by 20302, while securing its carbon sink through forest management and sound land-use planning." - this suggests lack of ecological safeguards (given potential for afforestation in savanna areas). </t>
  </si>
  <si>
    <t>2023-09-27 17:09:13</t>
  </si>
  <si>
    <t>COU-0043</t>
  </si>
  <si>
    <t>"The target will require the UK to bring all greenhouse gas emissions to net zero by 2050, compared with the previous target of at least 80% reduction from 1990 levels."
"The Act originally committed the UK to cut its emissions by at least 80% below the 1990 baseline level by 2050. On 27 June 2019, this target was amended, committing the UK to a legally binding target of net zero emissions by 2050, set on a whole-economy basis."
There is a separate end target for Scotland: "This legislation includes targets for Scotland to reach net zero greenhouse gas emissions by 2045"</t>
  </si>
  <si>
    <t>"In its NDC, the UK commits to reducing economy-wide greenhouse gas emissions by at least 68% by 2030, compared to 1990 levels."
There are separate interim targets for Scotland – "interim targets of 75% and 90% reductions in emissions by 2030 and 2040 respectively, relative to a 1990-95 baseline" – and Wales (63% reduction by 2030 and 89% reduction by 2040)</t>
  </si>
  <si>
    <t xml:space="preserve">The 'Climate Change Act 2008 (2050 Target Amendment) Order 2019' (https://www.legislation.gov.uk/uksi/2019/1056/made) puts the net-zero by 2050 target into law, replacing the 80% reduction target from 2008 with 100%.
The UK's NDC for the UNFCCC in 2020 (https://www4.unfccc.int/sites/ndcstaging/PublishedDocuments/United%20Kingdom%20of%20Great%20Britain%20and%20Northern%20Ireland%20First/UK%20Nationally%20Determined%20Contribution.pdf) commits to a 68% reduction of 1990 levels by 2030.
Sixth Carbon Budget (2021), which came into law in the Carbon Budget Order 2021 (https://www.legislation.gov.uk/uksi/2021/750/made): 965Mt CO2e for 2033-2037, which equates to a 78% reduction compared to 1990 levels by 2035. "The new target will become enshrined in law by the end of June 2021, with legislation setting out the UK government’s commitments laid in Parliament tomorrow (Wednesday 21 April)" https://www.gov.uk/government/news/uk-enshrines-new-target-in-law-to-slash-emissions-by-78-by-2035 </t>
  </si>
  <si>
    <t>https://unfccc.int/sites/default/files/NDC/2022-09/UK%20NDC%20ICTU%202022.pdf</t>
  </si>
  <si>
    <t>"Gases covered: CO2, CH4, N2O, HFCs, PFCs, SF6 and NF3." (https://unfccc.int/sites/default/files/NDC/2022-09/UK%20NDC%20ICTU%202022.pdf)
Climate Change Act 2008, section 24 defines the 'targeted greenhouse gases' as CO2, methane, nitrous oxide, hydrofluorocarbons, perfluorocarbons, sulphur hexafluoride, and 'any other greenhouse gas designated as a targeted greenhouse gas by order made by the Secretary of State.'
Section 30 states that international aviation and shipping are not included. However this has since been updated in the 6th Carbon Budget: In line with the recommendation from the independent Climate Change Committee, this sixth Carbon Budget limits the volume of greenhouse gases emitted over a 5-year period from 2033 to 2037, taking the UK more than three-quarters of the way to reaching net zero by 2050. The Carbon Budget will ensure Britain remains on track to end its contribution to climate change while remaining consistent with the Paris Agreement temperature goal to limit global warming to well below 2°C and pursue efforts towards 1.5°C. For the first time, this Carbon Budget will incorporate the UK’s share of international aviation and shipping emissions – an important part of the government’s decarbonisation efforts that will allow for these emissions to be accounted for consistently." https://www.gov.uk/government/news/uk-enshrines-new-target-in-law-to-slash-emissions-by-78-by-2035
ONS website suggests consumption emissions not included in net zero target, as the Climate Change Act only accounts for territorial emissions (July 2019). "They exclude emissions or removals from: [...] the production of goods and services that the UK imports from other countries" https://www.ons.gov.uk/economy/environmentalaccounts/articles/netzeroandthedifferentofficialmeasuresoftheuksgreenhousegasemissions/2019-07-24
Government's heat and Building Strategy published in Oct 2021 sets out a plan to decarbonise heating and increase efficiency of buildings to reduce energy consumption https://assets.publishing.service.gov.uk/government/uploads/system/uploads/attachment_data/file/1044598/6.7408_BEIS_Clean_Heat_Heat___Buildings_Strategy_Stage_2_v5_WEB.pdf
Government's Energy Security Strategy released in 2022 in response to energy price increase sets out a plan to reduce reliance on fossil fuel https://www.gov.uk/government/publications/british-energy-security-strategy#:~:text=The%20'British%20energy%20security%20strategy,as%20Russia's%20invasion%20of%20Ukraine.</t>
  </si>
  <si>
    <t>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t>
  </si>
  <si>
    <t>Energy decarbonisation plan, February 2020: https://www.ofgem.gov.uk/publications/ofgems-decarbonisation-action-plan
Transport decarbonisation plan, July 2021: https://www.gov.uk/government/publications/transport-decarbonisation-plan
Industrial decarbonisation plan, March 2021: https://www.gov.uk/government/publications/industrial-decarbonisation-strategy
Energy net zero white paper, December 2020: https://www.gov.uk/government/publications/energy-white-paper-powering-our-net-zero-future
Green industrial revolution, November 2020: https://www.gov.uk/government/publications/the-ten-point-plan-for-a-green-industrial-revolution
The Committee on Climate Change report annually to Parliament on emissions reductions and report every 2 years on climate change adaptation progress.
https://www.theccc.org.uk/publication/2021-progress-report-to-parliament/
'The Department for Business, Energy and Industrial Strategy (BEIS) is responsible for the strategic oversight of the UK’s international climate and energy policy, and for HM Government’s domestic climate and energy policy (...) As climate change policy is devolved, the Devolved Administrations in Scotland, Wales and Northern Ireland have their own statutory emissions reduction targets. The Crown Dependencies and Overseas Territories are also responsible for setting their own emission reduction targets' (8,9)
In Feb 2023, BEIS was replaced by a number of new departments. Responsibility now lies with the Department for Energy Security &amp; Net Zero (DESNZ) https://www.nao.org.uk/reports/support-for-innovation-to-deliver-net-zero/
In September 2023, the UK government delayed/changed some of its plans (ban of new petrol/diesel cars; ban on fossil fuel boilers; energy efficiency requirements and policies encouraging more sustainable practices)
This does not change the overarching 2050 and 2030 targets, although does weaken the pathways towards them.
https://www.gov.uk/government/news/pm-recommits-uk-to-net-zero-by-2050-and-pledges-a-fairer-path-to-achieving-target-to-ease-the-financial-burden-on-british-families</t>
  </si>
  <si>
    <t>Net Zero Strategy 2021 https://www.gov.uk/government/publications/net-zero-strategy. The net zero strategy released by the government in 2021 includes at least 5m tonnes of CO2 (MtCO2) per year of “engineered” removals by 2030, 23MtCO2 by 2035 and 75-81MtCO2 by 2050.
The Climate Change Act 2008, Schedule 2 Part 1.7: "The regulations may enable participants to offset the carrying on of the activities in a trading period by acquiring credits..."
The transport &amp; industry decarbonisation plans both mention BECCS for offsetting (https://assets.publishing.service.gov.uk/government/uploads/system/uploads/attachment_data/file/1009448/decarbonising-transport-a-better-greener-britain.pdf), and the UK gov has a 'Trees action plan' (https://www.gov.uk/government/publications/england-trees-action-plan-2021-to-2024)
"The Committee on Climate Change estimate that in 2050 it is likely that somewhere between 75 to 175 million tonnes of carbon dioxide equivalent will need to be removed by CC(U)S annually in order to meet net zero, given it is unlikely that all sources of GHG emissions can be eliminated.
The amount of greenhouse gas removal or emissions possible from the UK’s natural environment is dependent on how the UK uses its land and the land’s condition. In 2017, an estimated 28 million tonnes of CO2 and other carbon gases were removed by vegetation in the UK3. Such removals are included and netted off against the UK’s GHG emissions in the Climate Change Act definition of how GHG emissions are measured.
However, potential GHG emissions from some areas of the UK’s natural environment that are not in good condition are currently excluded from the definition. The Centre for Ecology and Hydrology (CEH) have reported estimates of carbon dioxide emissions from peatland in the UK as 23 million tonnes of carbon dioxide equivalent per year4"
https://www.ons.gov.uk/economy/environmentalaccounts/articles/netzeroandthedifferentofficialmeasuresoftheuksgreenhousegasemissions/2019-07-24
https://www.forestcarbon.co.uk/knowledge-base/carbon-credits-and-offsetting: "The UK is one of only a few countries to have domestic carbon standards in place for woodland creation and peatland restoration: the Woodland Carbon Code (WCC) and Peatland Code (PC)" UK adopts nature-based solutions 
Separate biodiversity plans but not integrated in Carbon Credit Conditions</t>
  </si>
  <si>
    <t>2022-08-05 10:58:26</t>
  </si>
  <si>
    <t>COU-0044</t>
  </si>
  <si>
    <t>-13% greenhouse gas emissions in 2030 as compared to 1994.</t>
  </si>
  <si>
    <t>https://www4.unfccc.int/sites/ndcstaging/PublishedDocuments/Guinea%20First/INDC_Guinea_english_version%20UNFCCC.pdf</t>
  </si>
  <si>
    <t>Equity: The GHG emissions of the Republic of Guinea are very low in relation to the global average. The country was considered a carbon sink. Despite this, the Republic of Guinea plans to implement mitigation measures which will mean a deviation of around -13% from the ‘business as usual’ scenario by 2030.</t>
  </si>
  <si>
    <t>Guinea supports the inclusion of the international carbon markets, such as the Clean Development Mechanism (CDM), and proposes that such an instrument should help fund investments in low-carbon, climate change resilient infrastructure. Guinea considers that some of the low-carbon development options could be funded through the international transfer of carbon assets.
Guinea has abundant forests and strives to keep its status as a carbon sink. Source: https://www4.unfccc.int/sites/ndcstaging/PublishedDocuments/Guinea%20First/INDC_Guinea_english_version%20UNFCCC.pdf</t>
  </si>
  <si>
    <t>The Gambia</t>
  </si>
  <si>
    <t>2023-04-15 09:09:37</t>
  </si>
  <si>
    <t>COU-0045</t>
  </si>
  <si>
    <t>We will endeavour to reach net-zero carbon emissions by 2050, with enhanced adaptive capacities and resilience, and play our part to address climate change through vigorous public agency, backed by the full engagement of our citizens from all walks of life</t>
  </si>
  <si>
    <t xml:space="preserve">The GHG emissions reduction from baseline level (BAU) in 2030 is 49.7percent. (p4 - https://unfccc.int/sites/default/files/NDC/2022-06/Second%20NDC%20of%20The%20Republic%20of%20The%20Gambia-16-12-2021.pdf) </t>
  </si>
  <si>
    <t>This entry codes for The Gambia's 2nd NDC. 
See also: https://unfccc.int/sites/default/files/resource/Long_Term_Climate_Change_Strategy_of_The_Gambia_Final.pdf</t>
  </si>
  <si>
    <t>https://cdn.climatepolicyradar.org/navigator/GMB/2021/the-gambia-2050-climate-vision_f5efe2396680a7bee728aeea67455bf7.pdf</t>
  </si>
  <si>
    <t>Interim target -- gases covered: 'Gases covered are Carbon Dioxide (CO2 ), Methane (CH4 ), Nitrous oxide (N2 O), Nitrogen Oxides (NOx), perfluorocarbons (PFCs), hydrofluorocarbons (HFCs), sulfur hexafluoride (SF6), and Nitrogen Trifluoride (NF3)' (p4)</t>
  </si>
  <si>
    <t>Information on the emission reductions expected from these measures within a certain time period</t>
  </si>
  <si>
    <t>Plan: Strategic Programme for Climate Resilience outlines a list of activities (p5)
Equity: reference to fairness (p9); 13
The inception meeting (30–31 January 2020) was convened at the senior technical-expert level to
inform experts on the context and planning of the project and the purpose of the activities. At a two-
day stakeholder meeting in December 2020, a draft vision was presented. Comments and
observations from stakeholder at the meeting were used to further improve the vision and address
divergent views and concerns. Both meetings were attended by about 50 participants and 50
experts, hailing from ministries, departments, local government authorities/regional councils, NGOs,
youth and academic groups, industry and trade associations, development partners, the media and
the private sector. In addition to this consultative process, the lead consultant drafting the 2050
Climate Vision reviewed all available literature (print and digital), including current policy and
programmatic work underway across government as well as other international commitments.
2.4 Guiding principles for the 2050 Climate Vision and LTS
Building on the Gambian concept of ‘tesito’ (self-reliance, drawing upon one’s own resources)
several key principles underpin the development of our 2050 Climate Vision and long-term strategy:
 Use inclusive processes based on informed participation, equity (including intergenerational
equity) and social inclusion.</t>
  </si>
  <si>
    <t>'aiming at securing the protection of the planet by meeting standards that deliver real, permanent, additional and verified mitigation outcomes, avoid double counting of emissions' (p4)</t>
  </si>
  <si>
    <t>Traded credits: 'The country does not plan to achieve any of
its commitments by acquiring ITMOs' (p9) https://unfccc.int/sites/default/files/NDC/2022-06/Second%20NDC%20of%20The%20Republic%20of%20The%20Gambia-16-12-2021.pdf
Nature-based removals: 'Protecting and restoring forest and agricultural
landscapes through afforestation and reforestation' (p5) https://unfccc.int/sites/default/files/NDC/2022-06/Second%20NDC%20of%20The%20Republic%20of%20The%20Gambia-16-12-2021.pdf
The Gambia plans to undertake considerable abatement
through afforestation with targets for 2025 and 2030. https://cdn.climatepolicyradar.org/navigator/GMB/2021/the-gambia-2050-climate-vision_f5efe2396680a7bee728aeea67455bf7.pdf</t>
  </si>
  <si>
    <t>2022-05-24 13:00:34</t>
  </si>
  <si>
    <t>COU-0046</t>
  </si>
  <si>
    <t>Member of Climate Alliance, and self-declared net carbon sink https://cop25.mma.gob.cl/wp-content/uploads/2020/12/1312-Annex-Alliance-ENGLISH-VF-2012.pdf</t>
  </si>
  <si>
    <t>Guinea-Bissau's unconditional contribution corresponds to a decrease of GHG emissions in 2030
by 10% compared to the reference scenario. This contribution, based on the country's own
efforts, is ambitious given the country's economic situation and its level of development.
The conditional contribution, the implementation of which requires international support,
allows an additional reduction of GHG emissions in 2030 by 20% compared to the emissions of
the reference scenario, as shown in the following graph:</t>
  </si>
  <si>
    <t>Already net GHG sink country, but it is nevertheless willing to make efforts to further reduce their emissions [through reducing deforestation]
Unconditional reduction- 10%
Conditional- 30%</t>
  </si>
  <si>
    <t>https://www4.unfccc.int/sites/ndcstaging/PublishedDocuments/Guinea-Bissau%20First/NDC-Guinea%20Bissau-12102021.Final.pdf</t>
  </si>
  <si>
    <t>Talks about goal being "fair and ambitious", "Fairness considerations, including reflecting on equity;" since Guinea-Bissau contributes to less than 0.02% in global emissions.</t>
  </si>
  <si>
    <t>Unsure whether carbon removal within country is included under target- "The long-term vision is to return to the situation of net absorber of the Bissau-Guinean Forest
by returning to situations like those before 2012. However, the implementation of this objective
is difficult to achieve by 2030
The updated NDC aims, as an intermediate but ambitious step, at a reduction of approximately
40% of emissions from the LULUCF sector compared to the baseline scenario, by 2030."</t>
  </si>
  <si>
    <t>2023-05-15 20:09:06</t>
  </si>
  <si>
    <t>COU-0047</t>
  </si>
  <si>
    <t>1. Σκοπός του παρόντος νόμου είναι η δημιουργία ενός συνεκτικού πλαισίου για τη βελτίωση της προσαρμοστικής ικανότητας και της κλιματικής ανθεκτικότητας της χώρας και τη διασφάλιση της σταδιακής μετάβασης της χώρας στην κλιματική ουδετερότητα έως το έτος 2050, με τον πλέον περιβαλλοντικά βιώσιμο, κοινωνικά δίκαιο και οικονομικά αποδοτικό τρόπο.</t>
  </si>
  <si>
    <t>Προκειμένου να επιτευχθεί ο μακροπρόθεσμος στόχος κλιματικής ουδετερότητας της παρ. 1, ορίζονται ως ενδιάμεσοι κλιματικοί στόχοι για τα έτη 2030 και 2040 η μείωση των καθαρών ανθρωπογενών εκπομπών αερί-ων θερμοκηπίου κατά τουλάχιστον πενήντα πέντε τοις εκατό (55%) και ογδόντα τοις εκατό (80%), αντίστοιχα, σε σύγκριση με τα επίπεδα του έτους 1990, λαμβάνοντας υπόψη τις προβλέψεις του Εθνικού Σχεδίου για την Ενέργεια και το Κλίμα (ΕΣΕΚ) το οποίο καταρτίζεται σύμφωνα με το άρθρο 3 του Κανονισμού (ΕΕ) 2018/1999 του Ευρωπαϊκού Κοινοβουλίου και του Συμβουλίου της 11ης Δεκεμβρίου 2018 για τη διακυβέρνηση της Ευρω- παϊκής Ένωσης και της Δράσης για το Κλίμα (L 328) και ειδικότερα με τη διαδικασία του άρθρου 5 της υπ’ αρ. 31/30.9.2019 Πράξης του Υπουργικού Συμβουλίου (Α’ 147), περί κύρωσης του ΕΣΕΚ.</t>
  </si>
  <si>
    <t>https://www4.unfccc.int/sites/ndcstaging/PublishedDocuments/Greece%20First/EU_NDC_Submission_December%202020.pdf: "This enhanced NDC is in line with the EU’s agreed objective of achieving a climate-neutral EU by 2050."</t>
  </si>
  <si>
    <t>https://cdn.climatepolicyradar.org/navigator/GRC/2022/national-climate-law-4936-2022-on-the-transition-to-climate-neutrality-and-adaptation-to-climate-change_968e8c9e58b21cb01a5c0bd547c7247f.pdf</t>
  </si>
  <si>
    <t>Scope: "Άρθρο 3
Ορισμοί
Για τους σκοπούς του παρόντα νοούνται ως:
1. Αέρια του θερμοκηπίου: Το διοξείδιο του άνθρακα
(CO 2 ), το μεθάνιο (CH4 ), το υποξείδιο του αζώτου (N2 O),
οι υδροφθοράνθρακες (HFCs), οι υπερφθοράνθρακες
(PFCs), το εξαφθοριούχο θείο (SF 6
) και άλλα αέρια συστατικά της ατμόσφαιρας, τόσο φυσικά, όσο και ανθρωπογενή, τα οποία απορροφούν και επανεκπέμπουν υπέρυθρη
ακτινοβολία."
"Greece has no mitigation targets for specific sectors and limited analysis of expected emission reductions from policies outside the energy sector" (assessment by OECD, 2020 [https://www.oecd-ilibrary.org/sites/ff34a34b-en/index.html?itemId=/content/component/ff34a34b-en]).
"Under the initial NDC, civil aviation is included, calculated including emissions from outgoing flights that start in the EU, on the basis of fuels sold in the EU. This information is subject to revision in light of the enhanced target. Under the initial NDC, domestic waterborne navigation is included as in the GHG inventories. This information is subject to revision in light of the enhanced target"
https://www4.unfccc.int/sites/ndcstaging/PublishedDocuments/Greece%20First/EU_NDC_Submission_December%202020.pdf</t>
  </si>
  <si>
    <t>"These legal acts include review clauses in line with the five-year-cycle under the Paris Agreement."
https://www4.unfccc.int/sites/ndcstaging/PublishedDocuments/Greece%20First/EU_NDC_Submission_December%202020.pdf
''Άρθρο 5
Εθνική Στρατηγική για την Προσαρμογή στην
Κλιματική Αλλαγή
.......2. Η ΕΣΠΚΑ καλύπτει χρονική περίοδο δέκα (10) τουλάχιστον ετών. Η ΕΣΠΚΑ αξιολογείται τουλάχιστον ανά
πενταετία από το Υπουργείο Κλιματικής Κρίσης και Πολιτικής Προστασίας και αναθεωρείται, εφόσον απαιτείται, έπειτα από γνώμη του Εθνικού Συμβουλίου για την
Προσαρμογή στην Κλιματική Αλλαγή, η οποία παρέχεται
εντός προθεσμίας τριάντα (30) ημερών από τη λήψη του
σχετικού αιτήματος.''
https://cdn.climatepolicyradar.org/navigator/GRC/2022/national-climate-law-4936-2022-on-the-transition-to-climate-neutrality-and-adaptation-to-climate-change_968e8c9e58b21cb01a5c0bd547c7247f.pdf
Public plan only addresses climate resilience.
https://cdn.climatepolicyradar.org/navigator/GRC/2022/national-climate-law-4936-2022-on-the-transition-to-climate-neutrality-and-adaptation-to-climate-change_968e8c9e58b21cb01a5c0bd547c7247f.pdf</t>
  </si>
  <si>
    <t>"The target is an economy-wide net reduction from base year emissions, of at least 55% greenhouse gas reductions, without contribution from international credits."
https://www4.unfccc.int/sites/ndcstaging/PublishedDocuments/Greece%20First/EU_NDC_Submission_December%202020.pdf
''Άρθρο 7
Τομεακοί προϋπολογισμοί άνθρακα.......... ζ) δραστηριότητες χρήσης γης,
αλλαγή χρήσεων γης και δασοπονίας, σύμφωνα με τον
Κανονισμό 2018/841 του Ευρωπαϊκού Κοινοβουλίου και
του Συμβουλίου της 30ής Μαΐου 2018 «σχετικά με τη συμπερίληψη των εκπομπών αερίων θερμοκηπίου και
των απορροφήσεων από δραστηριότητες χρήσης γης,
αλλαγής χρήσης γης και δασοπονίας στο πλαίσιο των
ρυθμίσεων για το κλίμα και την ενέργεια έως το 2030,
καθώς και για την τροποποίηση του Κανονισμού (EE)
αριθμ. 525/2013 και της απόφασης (EE) αριθμ. 529/2013/
ΕΕ» (L 156). Οι τομεακοί προϋπολογισμοί άνθρακα συνοδεύονται από εφαρμοστικές ρυθμίσεις που εξειδικεύουν
τα μέτρα, τους άξονες δράσεων και τις κατευθύνσεις του
Εθνικού Σχεδίου για την Ενέργεια και το Κλίμα (ΕΣΕΚ).''
https://cdn.climatepolicyradar.org/navigator/GRC/2022/national-climate-law-4936-2022-on-the-transition-to-climate-neutrality-and-adaptation-to-climate-change_968e8c9e58b21cb01a5c0bd547c7247f.pdf</t>
  </si>
  <si>
    <t>2022-05-23 22:41:47</t>
  </si>
  <si>
    <t>COU-0048</t>
  </si>
  <si>
    <t>The emissions reductions in this new NDC are a confirmation of the indicative ambitious 2030 
NDC target of 40% below 2010 levels submitted in the 2016 NDC, which is conditional on external 
funding. 
net zero by 2050 commitment
https://www.climate-laws.org/geographies/grenada/climate_targets/Economy-wide</t>
  </si>
  <si>
    <t xml:space="preserve">The emissions reductions in this new NDC are a confirmation of the indicative ambitious 2030 
NDC target of 40% below 2010 levels submitted in the 2016 NDC, which is conditional on external 
funding. </t>
  </si>
  <si>
    <t>https://www4.unfccc.int/sites/ndcstaging/PublishedDocuments/Grenada%20First/Grenada%20INDC.pdf
https://sdg.iisd.org/commentary/policy-briefs/grenadas-second-ndc-confirms-40-emission-reduction-target-investment-law-under-scrutiny-for-hampering-energy-transition/</t>
  </si>
  <si>
    <t>https://www4.unfccc.int/sites/ndcstaging/PublishedDocuments/Grenada%20Second/GrenadaSecondNDC2020%20-%2001-12-20.pdf</t>
  </si>
  <si>
    <t>Gases covered: Carbon Dioxide, Methane.
CFCs emissions are covered under the Montreal protocol. Emissions of other gases such as Nitrous oxide are assumed to be very little as to be considered negligible.
https://www4.unfccc.int/sites/ndcstaging/PublishedDocuments/Grenada%20First/Grenada%20INDC.pdf
Grenada’s economy wide target to reduce emissions by 40% by 2030 covers the energy, forestry, waste and IPPU sectors. The inclusion of F-gases is a new addition to Grenada’s second NDC.</t>
  </si>
  <si>
    <t xml:space="preserve">Planned actions include tax reduction incentive for use of solar panels and solar water heaters, installation of more energy efficient light bulbs in government buildings.
Grenada plans a 30% reduction in emissions through electricity production by 2025 with 10% from renewables and 20% from energy efficiency measures. To achieve this goal Grenada needs to produce 20MW hours of electricity from renewable sources at a conservative 45% portfolio capacity factor. This will emerge in the form of 10MW from solar, 15MW from geothermal and 2 MW from wind. Energy efficiency actions to reduce emissions include retrofitting of all buildings (20% reduction), establishment of policies for energy efficiency building codes for all building sectors (30% reduction) and implementation of energy efficiency in hotels (20% reduction).
Grenada plans to undertake actions including introduction of biofuel blends (specifically liquefied natural gas and diesel blend), implementation of gasoline and diesel taxes and implementation of fuel efficiency standards for vehicles through incentives.
Fairness and Ambition:  Grenada’s contribution is ambitious as it exceeds the requirements for Small Island Developing States that were decided upon at COP20 in Lima. </t>
  </si>
  <si>
    <t>Carbon sequestration and consequent accumulation rate of carbon per hectare per year would increase more than double in Protected Areas where project activities are proposed. The replacement of the invasive bamboo with fast growing indigenous species that are ecologically adapted to the particular Protected Areas will sequester more carbon than that of bamboos. 
Grenada is willing to explore market mechanisms (https://www4.unfccc.int/sites/ndcstaging/PublishedDocuments/Grenada%20First/Grenada%20INDC.pdf).</t>
  </si>
  <si>
    <t>2023-02-21 15:42:50</t>
  </si>
  <si>
    <t>COU-0049</t>
  </si>
  <si>
    <t>100% renewable energy power supply by 2025</t>
  </si>
  <si>
    <t>“Let me be very clear about our position. We support net zero by 2050. In fact, at this point in time, because our forest is such a huge carbon sink, we are already at net zero. In fact, we are positive,” the Vice President stated.</t>
  </si>
  <si>
    <t>Our intended contributions are presented below.
Forestry i) Unconditional contributions
Guyana is willing to continue making the following contributions unconditionally:
7
Continue and improve ongoing work to realize sustainable forest management. GFC
will ensure compliance with the various Codes of Practice that govern the timber
industry using local resources.
Forest monitoring will maintain a high level of timber legality, with the GFC
committing 50% of its staff to field monitoring from its 54 forest monitoring stations
countrywide. These efforts will maintain a low rate of illegal logging (at less than 2% of
production).
Guyana is also prepared to finalize and implement the Voluntary Partnership
Agreement (VPA) under EU- FLEGT. The VPA is expected to be finalized in 2016 and to
provide independent accreditation of forest legality and management practices
throughout Guyana‟s timber industry.
We are prepared to improve added- value activities locally to assist in creating a
higher potential for carbon storage in long-use wood products. This could also
potentially reduce the pressure on forest resources as derivation of a higher value
may result in reduced harvest levels.
Indigenous people own and manage some 14% of Guyana‟s lands. The culture and
traditions of Guyana‟s indigenous peoples are rooted in sustainable use of nature,
evident in the forests and other natural ecosystems maintained through centuries on
the lands they have customarily occupied and used. Guyana will strengthen its
support for indigenous communities as they continue the stewardship of their lands
and inter alia the benefits that accrue from any REDD+ activities from these lands.
If they choose to, communities will be supported to better manage their transition to
more market-based means of provisioning for their social and cultural well-being in
ways that continue the tradition of wise use. Indigenous peoples themselves, through
the full application of the FPIC process, in keeping with the stated policy in the
LCDS, will decide whether or not to include their titled lands as part of Guyana‟s
REDD+ programme. Policies will also be implemented to reflect equity between the
extractive sector and indigenous peoples as the nation moves to genuinely ensure
that the fight against climate change continues.
ii) Conditional Contributions
Avoided Deforestation
Guyana‟s proposal for a Reference Level for REDD+ is based on the Combined
Reference Level approach, in which a global forest carbon emissions loss of 0.44%, as
concluded by Baccini et. al. 2012 is used, along with Guyana‟s historic emissions level
for the period 2000 to 2009 (0.06%) as established in the GNA. Using a total carbon
stock of forests in aboveground and belowground biomass of 19,197,411,268 tCO2e,
Guyana‟s Proposed Reference Level for its REDD+ Programme is 48.7 MtCO2e. Through
this approach, Guyana can continue to avoid emissions in the amount of 48.7 MtCO2e
annually if adequate incentives are provided.
8
To contribute to avoided deforestation and achieve an effective REDD+ programme,
Guyana will implement policies measures, and incentive programmes, to engender
broader participation of civil society and the private sector in actions to avoid
deforestation and forest degradation. The Guyana Government is cognizant of the need
for comprehensive land use planning in order to efficiently management and rationally
exploit our national resources.
In summary, avoided emissions contributions resulting from reforms in the timber and
mining industries can contribute up to 48.7 MtCO2e to the global mitigation effort
through the implementation of the Emission Reduction Programme described in greater
detail below.
Emission Reduction Programme for Forests
Given that the bulk of Guyana‟s emissions emanate from mining and logging activities,
our Emissions Reductions Programme (ERP) will therefore focus on making these
industries more efficient and compliant with our targets. With adequate resources,
Guyana will develop a suite of ERP measures that will include:
- the conservation of an additional 2 million hectares through Guyana‟s
National Protected Area System and other effective area -based conservation
measures as per Guyana‟s commitment under the UNCBD, including the
protection of conservancies and reservoirs and their watersheds and the
watersheds upstream of new hydro-power sites. Existing mangrove forests
will be counted in this target and the mangrove restoration programme along
the vulnerable coast will be expanded.
Timber harvesting contributed 40% of Guyana‟s emissions from land use between
2001 and 2012. In the timber industry the ERP will:
• Use of Reduced Impact Logging (RIL). Reducing the incidental and
collateral damage during tree felling by about 10% and the damage from skid
trails by about 35% (avoiding mid-size trees during skidding), could reduce the
annual emissions by 13.5%. This translates to a reduction of about 430,000
tCO2 per year.
This will result in a reduction of the annual emissions from the timber industry
from 3.5M tCO2 to 2.3M tCO2, a 20% reduction from historic levels for this
driver, and an 11% reduction in the overall historic level.
• Guyana is in the process of reviewing compliance of significant timber
concession agreements with a view to determining if they meet agreed targets. 
9
A wider review to determine the most optimal use of these lands will be
undertaken. If, in fact, REDD+ can provide adequate incentives, Guyana would
be prepared to reduce the area to be logged in favour of conservation
concessions and to further the development of non-timber forest products and
other forest-based services while recognizing the need for livelihoods.
Our MRVS has verified that small scale gold mining resulted in 89% of the deforestation
recorded in Guyana over the past three years. To address this, the ERP will include
actions by the Guyana Geology and Mines Commission (GGMC) to implement policy
reforms, education, and incentives for integrated planning and management of the
mining sector. This will support the transformation of the mining sector by 2020 and
include actions to:
• Implement mineral mapping in the mining districts to identify
economically exploitable deposits. This will significantly reduce deforestation
by avoiding clearing of forest cover from lands which contain only marginal
mineral deposits. A significant portion of Guyana‟s deforestation results from
forest clearing for mining that does not generate a profit.
• Implement awareness and incentive programmes to improve the
efficiency of technologies and practices in the mining industry. This will
include replacing inefficient mercury-based technology with more efficient
technologies, such as shaker-tables and centrifuge systems that can increase
gold recovery rates from 30% to 80%. Currently, low recovery rates cause
miners to often return to previously mined areas when technology or
economic circumstances favour them doing so. Improved recovery efficiency
would make reprocessing of sites unnecessary and better facilitate costeffective reforestation and recovery of mined sites.
• Implement policies to institute mandatory, nation-wide land
reclamation and reforestation of mined areas.
Forest Governance
Guyana has made significant progress in complying with EU-FLEGT for our timber
exports to the European Union. Additional resources are required to build institutional
and private sector capacity to meet other trade and supply conditions such as the Lacey
Act, FSC certification and other procurement requirements.
MRVS
A comprehensive and robust MRV system, one of the most advanced of its kind, has
been developed under Guyana‟s REDD+ programme. The development of this system
has contributed considerably to the global understanding of how small forested tropical
countries can reliably and cost-effectively measure and report on its forest carbon 
10
emissions. Guyana is willing to build on the lessons learnt thus far to complete and
maintain its MRVS if adequate financial resources are provided to do so.
Implementation cost
The cost of implementation of these forest-conservation initiatives in total is estimated
to be determined annually.
Energy
Unconditional Contributions
Guyana is in the process of reviewing our options toward the rapid expansion of a
renewable energy supply. Our goal is to develop a mix of wind, solar, biomass and
hydropower to supply both the demand of the national grid and the energy
requirements for towns and villages in Guyana‟s hinterland.
Guyana will seek to construct and/or promote the construction of small hydro systems
at suitable locations such as Moco Moco, Kato and Tumatumari. Guyana will power all
of the six newly established townships, starting with Bartica, using renewable energy
sources. Currently, Guyana has installed cogeneration from bagasse to power sugar
mills. Independent power producers and suppliers are being encouraged to construct
energy farms and sell energy to the national grid. Preliminary approvals have been given
for a 26MW wind farm.
The Government of Guyana will continue to work closely with farmers in agricultural
areas across Guyana to encourage the use of bio-digesters to reduce waste, produce
biogas and provide affordable, healthy and efficient cooking means at the household
level.
Legislation has been enacted to remove import duty and tax barriers for the importation
of renewable energy equipment, compact fluorescent lamps and LED lamps to
incentivize and motivate energy efficient behavior. Guyana will continue to conduct
energy audits and replace inefficient lighting at public, residential and commercial
buildings to reduce energy consumption. Public education and awareness programmes
will continue to play a major role in providing consumers with information and tools to
reduce energy consumption and expenditure. Guyana will implement other policies to
encourage energy efficiency and the use of renewable energy, including building codes
and net-metering of residential renewable power.
We expect that these unconditional contributions will significantly reduce Guyana‟s
energy consumption.
Conditional Contributions
Guyana is committed to eliminating our near complete dependence on fossil fuels.
Given our solar, wind and hydropower potential and relatively small national demand, 
11
we believe that with adequate and timely financial support, Guyana can develop a 100%
renewable power supply by 2025. Assessment of the potential of the renewable power
sources will be undertaken to determine the most cost effective and efficient means of
developing this potential; to this end an independent review of the Amaila Falls Project
is to be undertaken with the assistance of the Kingdom of Norway.</t>
  </si>
  <si>
    <t xml:space="preserve">Inventory shows negative emissions, and is member of the Climate Ambition Alliance
4 This country is part of the Carbon Neutrality Coalition, which brings together countries that agreed to
develop ambitious long-term low emissions development strategies to transition to a net-zero greenhouse
gases and climate-resilient future. Some members of the coalition are in the process of reviewing their 2050
commitments.
Other URLs
https://www4.unfccc.int/sites/ndcstaging/PublishedDocuments/Guyana%20First/Guyana's%20revised%20NDC%20-%20Final.pdf
https://cop25.mma.gob.cl/wp-content/uploads/2020/02/Annex-Alliance-ENGLISH.pdf
http://spappssecext.worldbank.org/sites/indc/PDF_Library/gy.pdf
</t>
  </si>
  <si>
    <t>https://dpi.gov.gy/guyana-in-full-support-of-net-zero-by-2050/</t>
  </si>
  <si>
    <t>Gases: Interim target covers only carbon dioxide but net zero target is not clear. 
Equity: Interim target: While we look forward to broad-based and economically holistic emission reduction commitments from developed countries, the contribution of Guyana and other
developing countries will in the main be policy-based including measures to reduce the normative "business as usual" growth in emissions. As a developing country, a coastal
low-lying SIDS state, and one of few net carbon sink countries, Guyana proposes the following policies, measures and actions, both conditional and unconditional.</t>
  </si>
  <si>
    <t>"With the world‟s second highest percentage of rainforest cover (85%), Guyana commands globally important carbon stocks (19.5 GtCO2eq). As one of only a handful of
countries that are net carbon sinks, Guyana‟s forests sequester more carbon than the nation‟s human activities generate. Guyana‟s 18.48 million forested hectares in total
hold carbon in unusually high density (up to 350 tons/hectare), and store some 5.31 gigatons of carbon. That amounts to approximately 6,638 tons/person, the second
highest forest carbon stock per capita of any country on Earth.</t>
  </si>
  <si>
    <t>2023-03-13 16:06:36</t>
  </si>
  <si>
    <t>COU-0050</t>
  </si>
  <si>
    <t>'The strategy says that a net-zero emissions scenario will be presented once the implications of the European Union’s (EU) climate neutrality goal become clear. As a member of the EU, Croatia shares the bloc’s ambition to reach net-zero greenhouse gas emissions by 2050.' 
(https://www.global-climatescope.org/markets/hr/, based on https://mingor.gov.hr/UserDocsImages/klimatske_aktivnosti/odrzivi_razvoj/NUS/lts_nus_eng.pdf)</t>
  </si>
  <si>
    <t>'Croatia’s Low-Carbon Development Strategy published in 2021 lays out how emissions can be lowered from 1990 levels under three scenarios – a continuation of existing practices, and a “gradual” and “strong” transition. Under the gradual transition scenario, the country’s emissions would be reduced by 33.5% by 2030 and 56.8% by 2050. In the strong transition scenario, emissions would be lowered by 36.7% by 2030 and 73.1% by 2050.' 
(https://www.global-climatescope.org/markets/hr/, based on https://mingor.gov.hr/UserDocsImages/klimatske_aktivnosti/odrzivi_razvoj/NUS/lts_nus_eng.pdf)</t>
  </si>
  <si>
    <t>https://mingor.gov.hr/UserDocsImages/klimatske_aktivnosti/odrzivi_razvoj/NUS/lts_nus_eng.pdf</t>
  </si>
  <si>
    <t xml:space="preserve">– On international aviation and shipping: Some plans but none implemented as of yet; ' In maritime and inland waterway transport, the possibilities of introducing appropriate mechanisms to ensure the transition to low-carbon solutions will be analysed, especially in terms of the application of alternative energy sources for navigation. In this context, an action plan for shipping will be defined, which will, among other things, define appropriate emission standards for the coming period. Also, in air transport, the Republic of Croatia will define a plan and develop detailed guidelines for achieving a significant reduction in greenhouse gas emissions.' (https://mingor.gov.hr/UserDocsImages/klimatske_aktivnosti/odrzivi_razvoj/NUS/lts_nus_eng.pdf) 
– 'The Commission assessment of the Croatian NECP points to a frequent lack of detail concerning the implementation or impacts of proposed policy measures, as well as a lack of sectorial targets and details on measures for rail, aviation or shipping.' (https://www.europarl.europa.eu/RegData/etudes/BRIE/2021/690662/EPRS_BRI(2021)690662_EN.pdf) </t>
  </si>
  <si>
    <t>Measures for all emission scopes that are covered by the target|Schedule for regular review of measures|Information on the emission reductions expected from these measures within a certain time period</t>
  </si>
  <si>
    <t xml:space="preserve">– Presents 'envisaged emission reductions' for their three scenarios from pp. 23-25 of their report (https://mingor.gov.hr/UserDocsImages/klimatske_aktivnosti/odrzivi_razvoj/NUS/lts_nus_eng.pdf)  </t>
  </si>
  <si>
    <t xml:space="preserve">– Croatia's Recovery and Resilience Plan: 'The plan allocates €658 million to low-carbon energy transition through modernising energy infrastructure, supporting investments for the production of advanced biofuels and renewable hydrogen and financing innovative carbon capture and storage projects.' (https://commission.europa.eu/business-economy-euro/economic-recovery/recovery-and-resilience-facility/croatias-recovery-and-resilience-plan_en) 
– Nature-based removales include 'implementation of afforestation of non-overgrown productive forest land according to forest management plans' (p. 18 of https://mingor.gov.hr/UserDocsImages/klimatske_aktivnosti/odrzivi_razvoj/NUS/lts_nus_eng.pdf) </t>
  </si>
  <si>
    <t>2022-12-16 03:32:56</t>
  </si>
  <si>
    <t>COU-0051</t>
  </si>
  <si>
    <t>2030 BAU Emission estimated: 18.970 MtCO2eq
Unconditional Reduction Target: 1.196 MtCO2eq (6.32% of the BAU Emission projected)
Conditional Reduction Target: 6.032 MtCO2eq (31.80% of the BAU Emission projected)</t>
  </si>
  <si>
    <t>https://unfccc.int/sites/default/files/NDC/2022-06/CDN%20Revisee%20Haiti%202022.pdf</t>
  </si>
  <si>
    <t xml:space="preserve">Haiti does not yet participate in carbon trading activities.
https://openknowledge.worldbank.org/bitstream/handle/10986/9476/537930BRI0Clim10Box345626B01PUBLIC1.pdf
However, Haiti indicated that it is willing to participate in the financial mechanism related to voluntary carbon market as per Article 6 of Paris Agreement (page 38), however this does not necessarily imply Haiti will purchase carbon credits from other countries to meet its NDC. </t>
  </si>
  <si>
    <t>2023-11-15 14:12:40</t>
  </si>
  <si>
    <t>COU-0052</t>
  </si>
  <si>
    <t>https://www.parlament.hu/irom41/07021/07021-0010.pdf</t>
  </si>
  <si>
    <t>binding target of an at least 40% domestic reduction in greenhouse gas emissions by 2030 compared to 1990, https://unfccc.int/sites/default/files/resource/HR-03-06-2020%20EU%20Submission%20on%20Long%20term%20strategy.pdf
https://www.eea.europa.eu/policy-documents/2030-climate-target-plan</t>
  </si>
  <si>
    <t>2023-03-13 15:39:36</t>
  </si>
  <si>
    <t>COU-0053</t>
  </si>
  <si>
    <t>Ireland aims to achieve net zero emissions by 2050.</t>
  </si>
  <si>
    <t xml:space="preserve">'Economy-wide net domestic reduction of at least 55% in greenhouse gas emissions by 2030 compared to 1990.' This interim target was based on the updated NDC submitted by Ireland to UNFCCC. 
https://unfccc.int/sites/default/files/NDC/2022-06/EU_NDC_Submission_December%202020_0.pdf
</t>
  </si>
  <si>
    <t xml:space="preserve">2050 Net Zero goal is in law within the Climate Action and Low Carbon Development (Amendment) Bill 2021 [see https://www.gov.ie/en/publication/984d2-climate-action-and-low-carbon-development-amendment-bill-2020/]
These changes come as the European Commission introduced the European Green Deal at the end of 2019, setting out increased levels of ambition for the EU as a whole, and aims to deliver net-zero greenhouse gas emissions at EU level by 2050 and to increase the EU-wide
greenhouse gas emissions reduction target from 40% to up to 55% by 2030. This hopes to decouple economic growth from resource use and to transform the EU with more environmentally sustainable agricultural, industrial and energy sectors [https://energy.ec.europa.eu/system/files/2020-08/ie_final_necp_main_en_0.pdf].
</t>
  </si>
  <si>
    <t>https://energy.ec.europa.eu/system/files/2020-08/ie_final_necp_main_en_0.pdf</t>
  </si>
  <si>
    <t>Gases covered based on updated NDC: GO2, CH4, N2O, HFCs, PFCs, SF6, NF3 Aviation: Not international, but covers flights within European Economic Area</t>
  </si>
  <si>
    <t>Schedule for regular review of measures</t>
  </si>
  <si>
    <t>Ireland has adopted a 5-year CCS review process, with a steering group established in 2019
From updated NDC: Traded credits: 'without contribution from international credits' Carbon removal: says that 'nature-based solutions play an important role' but unclear what these are exactly.
Ireland aims to improve the management of its forests, peatlands, wetlands and grasslands by 2030, in addition to the area under cover crops (to 50 000 ha).
[https://www.gov.ie/en/press-release/16421-climate-action-plan-2021-securing-our-future/].</t>
  </si>
  <si>
    <t>2023-05-15 20:17:37</t>
  </si>
  <si>
    <t>COU-0054</t>
  </si>
  <si>
    <t xml:space="preserve">    a. to reduce the emission of greenhouse gases in an economical and efficient way,
    b. to increase the sequestration of carbon from the atmosphere,
    c. to promote adaptation to the consequences of climate change, ... 
    d. to create conditions for the government to fulfill Iceland's international obligations in climate matters,
    [e. to achieve carbon neutrality no later than the year 2040. Should the government's climate goals be updated, amendments to this provision shall be proposed accordingly].</t>
  </si>
  <si>
    <t>The target of at least 55% net reduction by 2030 is intended to be achieved through domestic measures, in the context of acting jointly with the European Union and its Member States and with Norway, without contribution from international credits.  (p.11 )https://www4.unfccc.int/sites/ndcstaging/PublishedDocuments/Iceland%20First/Iceland_updated_NDC_Submission_Feb_2021.pdf</t>
  </si>
  <si>
    <t xml:space="preserve">Included in new NDC document: https://www4.unfccc.int/sites/ndcstaging/PublishedDocuments/Iceland%20First/Iceland_updated_NDC_Submission_Feb_2021.pdf
</t>
  </si>
  <si>
    <t>https://www.althingi.is/lagas/nuna/2012070.html</t>
  </si>
  <si>
    <t>GHGs:  [6. Kolefnishlutleysi: Ástand þar sem jafnvægi hefur náðst milli losunar gróðurhúsalofttegunda og bindingar kolefnis af mannavöldum og nettólosun er því engin.] 2) 
4. Gróðurhúsalofttegundir:
    a. Koldíoxíð, CO 2.
    b. Metan, CH 4.
    c. Díköfnunarefnisoxíð, N 2O.
    d. Vetnisflúorkolefni, HFCs.
    e. Perflúorkolefni, PFCs.
    f. Brennisteinshexaflúoríð, SF 6.
    g. Köfnunarefnistríflúoríð, NF 3.
Aviation: V. kafli. Losun gróðurhúsalofttegunda frá flugstarfsemi.
15. gr. Viðskiptakerfi ESB með losunarheimildir.
Kafli þessi gildir um flugrekendur sem stunda starfsemi sem getið er í II. viðauka og heyra þar með undir gildissvið viðskiptakerfis ESB með losunarheimildir samkvæmt því sem kveðið er á um í lögum þessum.
16. gr. Flugrekendur sem heyra undir umsjón íslenska ríkisins.
Ísland telst umsjónarríki eftirfarandi flugrekenda:
    a. flugrekenda sem hafa flugrekstrarleyfi útgefið á Íslandi, og
    b. flugrekenda sem ekki hafa flugrekstrarleyfi útgefið í ríki á Evrópska efnahagssvæðinu, ef stærsti hluti losunar þeirra sem fellur undir II. viðauka á viðmiðunarári tilheyrir Íslandi.
Viðmiðunarár skv. 1. mgr. skal vera árið 2006. Ef flugrekandi hefur hafið flugstarfsemi skv. II. viðauka eftir 1. janúar 2006 skal viðmiðunarárið vera fyrsta heila almanaksárið sem hann er í rekstri.
Ef ekkert af losun flugrekanda sem getið er í b-lið 1. mgr. tilheyrir Íslandi á fyrstu tveimur árum viðkomandi viðskiptatímabils skal flugrekandi frá og með næsta viðskiptatímabili heyra undir umsjón þess ríkis Evrópska efnahagssvæðisins sem stærstur hluti losunar flugrekandans tilheyrði á þessum tveimur árum.
Ráðherra skal setja reglugerð 1) um það hvaða flugrekendur heyra undir umsjón Íslands. Reglugerðin skal vera í samræmi við skrá sem gefin er út árlega af framkvæmdastjórn Evrópusambandsins um niðurröðun flugrekenda á umsjónarríki á Evrópska efnahagssvæðinu. Í reglugerðinni skal kveðið á um hvernig bregðast skuli við ef ekki er ljóst hvaða ríki telst umsjónarríki flugrekanda. Tilgreining flugrekanda eða skortur á tilgreiningu hans í skránni hefur ekki áhrif á það hvort flugrekandi heyri undir gildissvið þessara laga.
Ef flugrekanda er ekki getið í skránni, sbr. 4. mgr., skal mat á því hvaða ríki losun tilheyrir byggjast á upplýsingum frá Evrópustofnun um öryggi flugleiðsögu (Eurocontrol). Í slíkum tilvikum skal Ísland þó aðeins teljast umsjónarríki flugrekanda að fenginni staðfestingu Umhverfisstofnunar. 
https://www.stjornarradid.is/library/02-Rit--skyrslur-og-skrar/Iceland_LTS_2021.pdf</t>
  </si>
  <si>
    <t>"The target of at least 55% net reduction by 2030 is intended to be achieved through domestic measures, in the context of acting jointly with the
European Union and its Member States and with Norway, without contribution from international credits. " (p.11) However, this does not specify that international credits will not count, just that the target is for domestic reductions.
They aim to use nature-based solutions to enhance and support other emission reduction measures. Additionally: "The legislation and further work on the legal framework for CCS in Iceland aims to enable the use of the CCS opportunities in order to reach climate neutrality."
https://www.stjornarradid.is/library/02-Rit--skyrslur-og-skrar/Iceland_LTS_2021.pdf</t>
  </si>
  <si>
    <t>2023-05-04 10:45:07</t>
  </si>
  <si>
    <t>COU-0055</t>
  </si>
  <si>
    <t>REGULATION (EU) 2021/1119 OF THE EUROPEAN PARLIAMENT AND OF THE COUNCIL, of 30 June 2021, outlines goal for climate neutrality by 2050, maintaining the interim 55% by 2030 emissions reduction goal (https://eur-lex.europa.eu/legal-content/EN/TXT/?uri=CELEX%3A32021R1119&amp;qid=1651147232273). ...the National Long-term Strategy (hereinafter referred to as the “Strategy”) identifies the possible pathways to achieve "climate neutrality" in Itay by 2050, in which the remaining greenhouse gas emissions are offset by CO2 sequestration and the eventual use of CCS-CCU.
...the National Long-term Strategy (hereinafter referred to as the “Strategy”) identifies the possible pathways to achieve "climate neutrality" in Itay by 2050, in which the remaining greenhouse gas emissions are offset by CO2 sequestration and the eventual use of CCS-CCU.</t>
  </si>
  <si>
    <t>The target of reducing greenhouse gas emissions by at least 40% at European level by 2030 compared with 1990 is shared amongst the ETS sectors (energy industries, energy-intensive industrial sectors and aviation) and non-ETS sectors (transport, residential, tertiary, industry not included in the ETS sector, agriculture and waste), which will need to record a -43% and
-30% decrease, respectively, compared with 2005.
While the target for ETS sectors is set at European level, as it is a system applied to all Member States on a harmonised and centralised basis, the target of reducing greenhouse gases relating to sectors falling under the Effort Sharing Regulation is split between the various Member States.
Regulation (EU) 2018/842 on binding annual greenhouse gas emission reductions by Member States from 2021 to 2030 contributing to climate action to meet commitments under the Paris Agreement (the Effort Sharing Regulation, ESR) sets Italy a reduction target of -33% compared with 2005 levels for non-ETS sectors [NECP, p.239]. This target must be achieved by following a linear reduction trajectory that will identify an emissions limit for each year.
"In a phone conversation between EU Ecology Minister Roberto Cingolani, and US Special Presidential Envoy for Climate John Kerry, Cingolani said that Italy plans to reduce its carbon emissions by roughly 60% by 2030 from 1990 levels." This commitment does not appear in policy documents, so it is not clear whether it still stands (source: https://esgreview.net/2021/03/17/heres-how-italy-plans-to-cut-carbon-emissions-by-60-by-2030/).</t>
  </si>
  <si>
    <t>EU Climate Law includes: recognition of the need to enhance the EU’s carbon sink through a more ambitious LULLUCF regulation, for which the Commission made a proposal in July 2021, and a commitment to negative emissions post 2050. (https://eur-lex.europa.eu/legal-content/EN/TXT/?uri=CELEX%3A32021R1119&amp;qid=1651147232273). Italy has submitted a National Long-Term Strategy to achieve "climate neutrality" by 2050 in accordance with the Paris Agreement. Its National Energy and Climate Plan (NECP) also references an objective of decarbonisation by 2050 and sets interim targets for 2030. The EU's European Climate Law brings the European Green Deal (and hence the 2050 target) into law: https://ec.europa.eu/clima/policies/eu-climate-action/law_en
Italy has submitted a National Long-Term Strategy to achieve "climate neutrality" by 2050 in accordance with the Paris Agreement. Its National Energy and Climate Plan (NECP) also references an objective of decarbonisation by 2050 and sets interim targets for 2030. 
The EU's European Climate Law brings the European Green Deal (and hence the 2050 target) into law: https://ec.europa.eu/clima/policies/eu-climate-action/law_en
The interim target is reported as 33% emissions reductions compared to 2005 for now. We feel 40% reductions compared to 1990 may be more accurate but the system does not allow entry of a year prior to 2000. 
National Long-Term Strategy (January 2021): see source URL below or English-language summary at https://ec.europa.eu/clima/sites/lts/lts_it_sum_en.pdf  
National Energy and Climate Plan (published January 2020): https://ec.europa.eu/energy/sites/default/files/documents/it_final_necp_main_en.pdf
Italy has its own 2019 Law (https://www.gazzettaufficiale.it/eli/id/2019/12/13/19G00148/sg) relating to obligations from Directive 2008/50/EC on air quality and to climate. They do not have national legislation explicitly relating to the 2050 target.</t>
  </si>
  <si>
    <t>https://ec.europa.eu/clima/sites/lts/lts_it_it.pdf</t>
  </si>
  <si>
    <t>Other GHGs are mentioned in the EU's NDC (https://www4.unfccc.int/sites/ndcstaging/PublishedDocuments/Italy%20First/EU_NDC_Submission_December%202020.pdf, p.10), which the rest of this target refers to. Consumption emissions aren't covered in the target, but they're introducing a 'Carbon Border Adjustment Mechanism' to tax imports and avoid 'pushing carbon-intensive production outside Europe' (https://ec.europa.eu/commission/presscorner/detail/en/IP_21_3541) Intra-EU flights are covered in the EU's ETS, but extra-EU flights aren't (instead covered by CORSIA) (https://ec.europa.eu/clima/policies/transport/aviation_en). (Since 50% of flights are intra-EU or domestic, I've considered this as 'Yes') Shipping: 'Intra-EU traffic' is covered by these targets, but only 50% of extra-EU voyages (i.e. trips that only start/end in the EU) (https://ec.europa.eu/commission/presscorner/detail/en/fs_21_3665)</t>
  </si>
  <si>
    <t>Both nature-based and CCs-based removals listed in Italian LTS (https://ec.europa.eu/clima/sites/lts/lts_it_sum_en.pdf). The EU's target plans don't allow the use of credits but no explicit statement in LTS that offsetting is ruled out (https://eur-lex.europa.eu/legal-content/EN/TXT/?uri=CELEX:52021PC0552).</t>
  </si>
  <si>
    <t>Both nature-based and CCs-based removals listed in Italian LTS (https://ec.europa.eu/clima/sites/lts/lts_it_sum_en.pdf).
The EU's target plans don't allow the use of credits but no explicit statement in LTS that offsetting is ruled out (https://eur-lex.europa.eu/legal-content/EN/TXT/?uri=CELEX:52021PC0552).</t>
  </si>
  <si>
    <t>2024-02-03 16:00:11</t>
  </si>
  <si>
    <t>COU-0056</t>
  </si>
  <si>
    <t>25.4% reduction relative to business-as-usual emissions in 2030 without international support (unconditional), 28.5% reduction relative to business-as-usual emissions in 2030 conditional upon international support; covers the energy sector (supply and end-use) and land-use change and forestry; business-as-usual emissions calculated based on policies in place in 2005.</t>
  </si>
  <si>
    <t>Annex II: Net zero CO2 emissions by 2050
This list brings together countries, businesses, investors, cities and regions who are working towards achieving net-zero CO2 emissions by 2050. Under the Paris Agreement, Parties should communicate long-term, low- greenhouse gas emission development strategies which target the middle of the century. 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The overall goal is clear and needs to be net-zero CO2 emissions in line with latest scientific information.</t>
  </si>
  <si>
    <t>By 2030, it foresees emission reductions covering these two sectors of between 25.4 per cent (unconditional) and 28.5 per cent (conditional) relative to a business-as-usual scenario (which takes into account policies in place as of 2005. Source, updated NDC: https://unfccc.int/sites/default/files/NDC/2022-06/Updated%20NDC%20Jamaica%20-%20ICTU%20Guidance.pdf</t>
  </si>
  <si>
    <t>Member of the Climate Ambition Alliance 2050: Net Zero 2050 (https://climateaction.unfccc.int/Initiatives?id=12)</t>
  </si>
  <si>
    <t xml:space="preserve">All relevant GHG gases were accounted for using the IPCC 2006 Guidelines for the National  Greenhouse Gas Inventories and IPCC 2013 Wetlands Supplement.
Interim target notes: Energy sector coverage: carbon dioxide, methane, nitrous oxide, hydrofluorocarbons; Land-use change and forestry coverage: carbon dioxide. Updated NDC presents activities in agriculture and waste sectors but specifies that those activities are not covered in quantitative commitments.
</t>
  </si>
  <si>
    <t>Periodic reporting via National Communication to the UN Framework Convention on Climate Change; most recent report is from 2018 (https://www4.unfccc.int/sites/SubmissionsStaging/NationalReports/Documents/578491_Jamaica-NC3-1-TNC_Final_December132018.pdf). Long-Term Emissions Reduction and Climate Resilient Strategy is in development; expected delivery was end of 2023 (https://ndcpartnership.org/news/jamaicas-long-term-emissions-reduction-and-climate-resilience-strategy-2050). Updated NDC is subject to the Code of Consultations and the National Policy for Gender Equity (https://climatepromise.undp.org/what-we-do/where-we-work/jamaica).</t>
  </si>
  <si>
    <t>Jamaica conducted a detailed assessment to determine whether other sources and sinks of emissions could be included within its updated NDC but concluded that the data needed to rigorously assess the impact of policies and actions on emissions in other sectors was not available. Efforts will be made to address these data gaps over time with the support of national, regional and international partners.</t>
  </si>
  <si>
    <t>2023-10-24 18:50:02</t>
  </si>
  <si>
    <t>COU-0057</t>
  </si>
  <si>
    <t>'...longterm goal of achieving net-zero by 2050'</t>
  </si>
  <si>
    <t>'46% below 2013 levels by 2030'</t>
  </si>
  <si>
    <t>Japan aims to reduce its greenhouse gas emissions by 46 percent, equivalent to the reduction of 760 million t-CO2, in fiscal year 2030 from its fiscal year 2013 levels (1408 million t-CO2). Furthermore, Japan will continue strenuous efforts in its challenge to meet the lofty goal of cutting its emission by 50 percent from its fiscal year 2013 levels (pages 1 -2 of NDC report).</t>
  </si>
  <si>
    <t>https://www4.unfccc.int/sites/ndcstaging/PublishedDocuments/Japan%20First/JAPAN_FIRST%20NDC%20(INTERIM-UPDATED%20SUBMISSION).pdf</t>
  </si>
  <si>
    <t xml:space="preserve">All sectors and categories encompassing the following: (a) Energy (b) Industrial processes and product use (c) Agriculture (d) Land Use, Land-Use Change and Forestry (LULUCF) (e) Waste </t>
  </si>
  <si>
    <t xml:space="preserve">Although not quantitatively outlined, Japan's NDC does outline countermeasures and policy measures to be implemented to achieve its 2030 target. These include, but are not limited to: Strategy for Sustainable Food Systems", "MLIT's Green Challenge" and transitioning to a more circular economy. Full details can be found on Pages 5 - 7 of the NDC report: https://unfccc.int/sites/default/files/NDC/2022-06/JAPAN_FIRST%20NDC%20%28UPDATED%20SUBMISSION%29.pdf
The report does refer to equity, however, it is rather vague and simply encourages the political party in power to be transparent and share information widely.  </t>
  </si>
  <si>
    <t xml:space="preserve">There are vague mentions to sinks: "Removals by measures for forest and other carbon sinks sector are accounted for in line with
approaches equivalent to those under the Kyoto Protocol." (Page 9 NDC). Nothing quantifiable or significant though. </t>
  </si>
  <si>
    <t>2023-12-12 18:51:28</t>
  </si>
  <si>
    <t>COU-0058</t>
  </si>
  <si>
    <t>"This LTS4CN essentially aims to serve as a roadmap or vision document based on a comprehensive analysis and modelling of all relevant economic sectors, and it looks several decades ahead. It outlines priority mitigation actions for each sector to achieve the country’s goal of a carbon neutral economy in 2050." (p3)</t>
  </si>
  <si>
    <t>"In the Updated NDC, Cambodia aims to reduce emissions by around 42 percent from 155 MtCO2e under BAU to 90.5 MtCO2e by 2030." (p6)
Table of values on p3 https://unfccc.int/documents/499051 gives target emissions and BAU emissions 90.5 and 155 (NB there are slight difference between values in the updated NDC and the carbon neutrality strategy documents)
From Cambodia's updated NDC (31 Dec 2020): The estimated total emissions reduction by 2030 under the updated NDC scenario is expected to​​ be approximately 64.6 million tCO2eq/year (41.7%)
Press release for NDC: 
https://ncsd.moe.gov.kh/dcc/news/press-release-cambodia%E2%80%99s-updated-ndc-under-unfccc#:~:text=The%20estimated%20total%20emissions%20reduction,date%20will%20be%20announced%20later.
NDC: 
https://www4.unfccc.int/sites/ndcstaging/PublishedDocuments/Cambodia%20First/20201231_NDC_Update_Cambodia.pdf</t>
  </si>
  <si>
    <t>The source document seems to set out a strategy for carbon neutrality by 2050, although there isn't a clear statement of 'this is our official target'.
Downloaded from: https://ncsd.moe.gov.kh/resources/document/cambodia-LTS4CN-En (links to other related documents as well)
This statement from Cambodia's National Council for Development seemingly further supports the fact that this is their official target:
"The move by Cambodia is warmly welcomed and applauded by the climate community, as Cambodia is one of the only forty-nine out of 197 parties of the Climate Conference and two of the Least Developed Countries that submitted the strategy with a clear target for carbon neutrality by 2050 (https://unfccc.int/process-and-meetings/the-convention/status-of-ratification/status-of-ratification-of-the-convention)."
(Source: https://ncsd.moe.gov.kh/node/12785)
Climate Ambition Alliance member
https://cop25.mma.gob.cl/wp-content/uploads/2020/12/1312-Annex-Alliance-ENGLISH-VF-2012.pdf</t>
  </si>
  <si>
    <t>https://unfccc.int/sites/default/files/resource/KHM_LTS_Dec2021.pdf</t>
  </si>
  <si>
    <t>Cambodia published its LTS4CN in December 2021: https://unfccc.int/sites/default/files/resource/KHM_LTS_Dec2021.pdf</t>
  </si>
  <si>
    <t>Cambodia published its LTS4CN in December 2021: https://unfccc.int/sites/default/files/resource/KHM_LTS_Dec2021.pdf
Equity: impact of LTS4CN on gender equality assessed on p36</t>
  </si>
  <si>
    <t>'Under the LTS4CN scenario, full implementation of the REDD+ Investment Plan will drive afforestation and reforestation activities.' (p9)
'This will include major investment in public transportation and rail freight as well as support for the forestry sector and financing for carbon capture and storage and, grid flexibility' (p16)</t>
  </si>
  <si>
    <t>2023-03-20 16:14:31</t>
  </si>
  <si>
    <t>COU-0059</t>
  </si>
  <si>
    <t xml:space="preserve">interim: to unconditionally reduce 9.5% of bau ghg emissions and conditionally reduce 16.7% of bau ghg emissions by 2025. Unconditionally reduce 8.0% of bau ghg emissions, and conditionally reduce 23.8% of bau ghg emissions by 2030. https://unfccc.int/sites/default/files/NDC/2023-03/221213%20Kiribati%20NDC%20Web%20Quality.pdf
</t>
  </si>
  <si>
    <t xml:space="preserve">INTERIM:
Addresses the transport sector: Kiribati commits to developing a National Action Plan for Decarbonizing maritime transport, building and operationalising low carbon vessels and ensuring the use of fuel-efficient outboard motors. 
for land transport: the mitigation actions involve increasing use of bicycles, increased use of public transport and biofuel blends. 
for the aviation sector although not grounded in policy, Kiribati has committed to operationalise a training program and enhance operational efficiency measures. 
collectively, transport mitigation proposals have potential to mitigate 18.1ktCO2e in 2030. </t>
  </si>
  <si>
    <t>INTERIM: KJIP (Kiribati Joint Implementation Plan) 2019-2028 aims to "increase resilience through sustainable climate change and disaster risk reduction". Some key adaptation strategies include 1. strengthening good governance, policies, strategies etc... 2. improving knowledge and information generation including an up to date national database 3. promotion of water and food security among others... https://www4.unfccc.int/sites/NAPC/Documents/Parties/Kiribati-Joint-Implementation-Plan-for-Climate-Change-and-Disaster-Risk-Management-2019-2028.pdf
Activities proposed in 2020: (1) Solar PV mini grid system for Southern Kiribati Hospital (2.4 million AUD) - design, procure and install off-grid PV systems for the Southern main hospital (265kWp); (2) Outer Island Clinic solar system rehabilitation ($230,000 AUD) - design, procure, and install 58 systems in total on 20 outer Islands; (3) Mereang Taabwai Secondary Schools solar PV mini-grid ($500,000 AUD) - design, procure and install off-grid PV systems (20 kWp) for the school; and many more activities at the source https://www4.unfccc.int/sites/ndcstaging/PublishedDocuments/Kiribati%20First/INDC_KIRIBATI.pdf
Equity: Kiribati national action plan for climate change responds to gender inclusive policies imperatives at regional and international levels. 
- NDC roadmap recognise the need for information on inclusive gender processes and participation in planning and implementation of the mitigation and adaptation strategies highlighted under the NDC. 
- idea of sustainability: Kiribati's NDC roadmap identities links between mitigation actions and the SDGS. 
https://unfccc.int/sites/default/files/NDC/2023-03/221213%20Kiribati%20NDC%20Web%20Quality.pdf</t>
  </si>
  <si>
    <t>INTERIM
carbon storage in the ocean ecosystem.
idea of planting new mangroves - planting of a mangrove forest aims to increase carbon sinks by 0.15ktCO2e by 2030 https://unfccc.int/sites/default/files/NDC/2023-03/221213%20Kiribati%20NDC%20Web%20Quality.pdf
Kiribati will consider market based mechanisms.
https://www4.unfccc.int/sites/ndcstaging/PublishedDocuments/Kiribati%20First/INDC_KIRIBATI.pdf</t>
  </si>
  <si>
    <t>Saint Kitts and Nevis</t>
  </si>
  <si>
    <t>2023-05-31 21:18:58</t>
  </si>
  <si>
    <t>COU-0060</t>
  </si>
  <si>
    <t>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https://unfccc.int/sites/default/files/NDC/2022-06/St.%20Kitts%20and%20Nevis%20Revised%20NDC_Updated.pdf
St. Kitts and Nevis is committed to reducing its emissions and limiting the average global temperature rise to 1.5° C. In the first NDC, St. Kitts and Nevis proposed a CO2 emissions reduction target of 22% by 2025 and 35% by 2030 compared to the business-as-usual scenario, decreasing economy-wide emissions to 529 GgCO2e. and 540 GgCO2e. by 2025 and 2030 respectively. The first NDC covered all economic sectors, but special attention as given to the power generation and transportation sectors because they had the highest CO2 emissions reduction potential.
This revised and strengthened NDC pledges a significantly more ambitious mitigation target of reducing economy-wide CO2 emissions by 61% by 2030, compared to the base year 2010, conditional upon adequate access to resources including climate finance as well as capacity building support. This will be achieved by switching to 100% renewable energy in electricity generation and increasing the share of electric vehicles in the vehicle fleet to at least 2%
https://unfccc.int/sites/default/files/NDC/2022-06/St.%20Kitts%20and%20Nevis%20Revised%20NDC_Updated.pdf</t>
  </si>
  <si>
    <t>All measurements of greenhouse gases are measured in GtCO2e.</t>
  </si>
  <si>
    <t>Plan to apply the NDC targets:
April 2022 launch of the NDC Implementation Plan.
https://ndcpartnership.org/news/highlights-saint-kitts-and-nevis’-ndc-implementation-plan-launch-event-and-partner-roundtable
"The St Kitts and Nevis NDC Implementation Plan and Financing Strategy describes in more detail the mitigation and adaptation measures expected to be implemented for this NDC. The strategy lays the groundwork to reduce and adapt to the effects of climate change and translate the NDC target to real actions, intervention, and support identifying potential funding sources and mechanisms to help achieve the NDC target".  https://unfccc.int/sites/default/files/NDC/2022-06/St.%20Kitts%20and%20Nevis%20Revised%20NDC_Updated.pdf
EQUITY in interim target: 
"St. Kitts and Nevis is already experiencing loss and damage from climate change and is projected to continue to experience loss and damage despite mitigation and adaptation measures. Based on projections of changes to climate hazards and resultant risks, climate change is likely to result in increased levels of both economic and non-economic loss and damage. International support to avert, minimize and address loss and damage in St. Kitts and Nevis is needed."
'[...] St. Kitts and Nevis’ revised NDC is fair and ambitious. The revised NDC target of a 61% reduction of greenhouse emissions against base year 2010 is consistent with the IPCC Special Report on the Impacts of Global Warming of 1.5 ℃."
"St. Kitts and Nevis recognizes climate change has differentiated impacts on the lives of women and men. Mitigation actions present the possibility to close gender gaps by, for example, increasing the participation of diverse women and men in new labor markets, their insertion in non-traditional roles, or by making their production processes more efficient and increasing their income generation capacity. Meanwhile, women and men experience differentiated vulnerabilities in the face of climate change that vary depending on their position in existing value chains, and their access to information and investment resources, among other variables."</t>
  </si>
  <si>
    <t xml:space="preserve">Removal through forests for interim target: '[...] The FAO Statistics Division 2014 estimates that forests in St. Kitts and Nevis remove approximately 137 Gg of carbon dioxide annually. However, recent data on land use change, biomass stock, or biomass growth is lacking, and the calculation of the amount of greenhouse gas removed relies on estimations from default values.[...]'
</t>
  </si>
  <si>
    <t>2022-12-12 16:41:08</t>
  </si>
  <si>
    <t>COU-0061</t>
  </si>
  <si>
    <t>The RoK announced its goal of reaching carbon neutrality by 2050 in Dec 2020. This target was written into law in the Carbon Neutrality Act, enacted Sept 2021.</t>
  </si>
  <si>
    <t>In December 2021, the Republic of Korea submitted an updated emission reduction target to UNFCCC, scaling up the absolute emissions reduction target from 709.1 MtCO2eq to 727.6 MtCO2eq, which is equivalent to the 40% reduction from the total national GHG emissions in 2018. (Previously reduction target of 709.1 MtCO2eq corresponds to a 24.4% reduction from the 2017 level) In line with its previous target, the updated target (2021) is more predictable and transparent than the target relative to Business-As-Usual (BAU) emissions projection in the previous first NDC.</t>
  </si>
  <si>
    <t xml:space="preserve">As the Republic of Korea has significantly enhanced the previous update of its first NDC by 2030 from the 24.4% reduction compared to 2017 to level to 40% reduction from 2018 level, the GHG emissions level targeted in 2030 is reduced from 535.1 MtCO2equ to 436.6 MtCO2eq, which is approximately 100 MtCO2eq reduction. 
To achieve this updated NDC target, the Republic of Korea is seeking to bring about transitions in its economy and society. In line with the 2030 target and the 2050 goal, sectoral strategies will be developed and policy directions of each sector – energy, industry, transportation, buildings, circular economy, and agriculture, forestry, livestock farming and fisheries – will be coordinated accordingly. </t>
  </si>
  <si>
    <t>https://unfccc.int/sites/default/files/NDC/2022-06/211223_The%20Republic%20of%20Korea%27s%20Enhanced%20Update%20of%20its%20First%20Nationally%20Determined%20Contribution_211227_editorial%20change.pdf</t>
  </si>
  <si>
    <t xml:space="preserve">Sectors: energy, industrial process, agriculture, LULUCF, and waste
GHGs: carbon dioxide (CO2), methane (CH4), nitrous oxide (N2O), hydrofluorocarbons (HFCs), perfluorocarbon (PFCs), sulfur hexafluoride (SF6)
GHGs from all sectors are included except NF3. The NF3 is not included because of the absence of its activity data. However, once the activity data is collected, it will be compiled in the National GHG Inventory Report. 
(Source: p. 10 - https://unfccc.int/sites/default/files/NDC/2022-06/211223_The%20Republic%20of%20Korea%27s%20Enhanced%20Update%20of%20its%20First%20Nationally%20Determined%20Contribution_211227_editorial%20change.pdf)
The Republic of Korea has joined the Global Methane Pledge to become a part of the global efforts to tackle the climate crisis. By joining the Pledge, the Republic of Korea aims to reduce its domestic methane emissions, in order to contribute to the achievement of the goal of the Pledge, which is to reduce global methane emissions by at least 30% from 2020 level by 2030. </t>
  </si>
  <si>
    <t>Measures for all emission scopes that are covered by the target|Schedule for regular review of measures|Information on the extent to which measures will be applied (e.g. if switching to EVs, what share of the fleet; if installing an own solar PV installation, what is the installed capacity)</t>
  </si>
  <si>
    <t xml:space="preserve">In September 2021, the Republic of Korea enacted the Framework Act on Carbon Neutrality and Green Growth for Climate Crisis Response (or “the Carbon Neutrality Act”). (English version available at https://elaw.klri.re.kr/kor_service/lawView.do?hseq=59958&amp;lang=ENG) According to the Article 7, 8 and 9 of the Carbon Neutrality Act, the Government should set forth the National Vision and Strategy, and the National mid- and long-term greenhouse gas reduction targets, which are subjet to annual review and inspections. 
Followings are key factors to be considered when formulating the mid- and long-term emission reduction targets: 
1. Mid- and long-term outlook for the national greenhouse gas emission and absorption;
2.	National visions and strategies;
3.	Attainability of the mid- to long-term reduction targets, etc.;
4.	Sectoral contributions to greenhouse gas emissions and reductions;
5.	Impacts on national energy policies;
6.	Impacts on the domestic industry, especially on the industry type and region highly dependent on fossil fuels;
7.	Impacts on the national finance;
8.	Prospect of related technologies for reducing greenhouse gases, etc.;
9.	Trend of the international community in coping with climate crisis.
</t>
  </si>
  <si>
    <t xml:space="preserve">The Republic of Korea plans to use voluntary cooperation under Article 6 of the Paris Agreement as a complementary measure to its domestic mitigation efforts including LULUCF to achieve its target. The Republic of Korea plans to use voluntary cooperation under Article 6 of the Paris Agreement as a supplementary measure to achieve its NDC. (p.9 and p.23 - https://unfccc.int/sites/default/files/NDC/2022-06/211223_The%20Republic%20of%20Korea%27s%20Enhanced%20Update%20of%20its%20First%20Nationally%20Determined%20Contribution_211227_editorial%20change.pdf)
Separate targets for emissions reductions and removals are set for 2030: 2050 Carbon Neutrality Commission (chaired by the Prime Minister) indicated separated target for absorption and removal (Carbon sink, CCUS, Overseas reduction) which is equivalent to 48.6 MtCO2eq in total. 
(source - official website: https://2050cnc.go.kr/eng/contents/view?contentsNo=43&amp;menuLevel=2&amp;menuNo=50)
</t>
  </si>
  <si>
    <t>2022-06-05 15:20:12</t>
  </si>
  <si>
    <t>COU-0062</t>
  </si>
  <si>
    <t>As per Paris Agreement Article 4, the 2020 NDC update builds upon the 2015 submission with a view to enhancing its ambition through the introduction of three national level greenhouse gas (GHG) emissions scenarios, namely a baseline emissions scenario, an unconditional mitigation scenario to 2030, as well as a more ambitious conditional mitigation scenario to 2030 towards achieving net zero GHG emissions by 2050.</t>
  </si>
  <si>
    <t>Business as usual scenario is based on a projection starting in year 2000.
A 34% GHG emission reduction versus business as usual levels has already been achieved by 2020 using this model.</t>
  </si>
  <si>
    <t>Interim target for 2030 is unconditional on international support. However additional measures could be implemented with international support, allowing for a more ambitious target.
Net zero aim is conditional on international support.</t>
  </si>
  <si>
    <t>https://www4.unfccc.int/sites/ndcstaging/PublishedDocuments/Lao%20People%27s%20Democratic%20Republic%20First/NDC%202020%20of%20Lao%20PDR%20(English),%2009%20April%202021%20(1).pdf</t>
  </si>
  <si>
    <t>Equity mentioned in NDC 2020: The National Green Growth Strategy to 2030 (2019) further places climate change adaptation as a cross-cutting focus area with the objective of reducing vulnerability of the country and of the population, especially disadvantaged groups, to natural disasters and global economic uncertainties which have become more serious and unpredictable. Adaptation measures also generate mitigation co-benefits and contribute to economic diversification. For instance, improved forest management within conservation forest areas increases mitigation potential as well resilience to climate-induced shocks such as floods and droughts. Next to this, the circular economy can also improve the resilience of Lao PDR to climate change. For example, by prioritizing the use of domestically available regenerative resources and closing nutrient cycles at a local level, communities can become less dependent on vulnerable international value chains.</t>
  </si>
  <si>
    <t>Increase green spaces to 70% of the country's land area to absorb CO2 emitted by industry and other processes (https://asianews.network/laos-eyes-zero-greenhouse-gas-emissions-by-2050/)</t>
  </si>
  <si>
    <t>2023-04-15 09:39:49</t>
  </si>
  <si>
    <t>COU-0063</t>
  </si>
  <si>
    <t xml:space="preserve">Joined Climate Ambition Alliance at COP26
https://cop25.mma.gob.cl/wp-content/uploads/2020/02/Annex-Alliance-ENGLISH.pdf
</t>
  </si>
  <si>
    <t>1. A GHG emission reduction of 20% compared to the Business-As-Usual (BAU) scenario in 2030, (amounting to 7,790 Gg. CO2eq.).
2.  A GHG emission reduction of 31% compared to the Business-As-Usual (BAU) scenario in 2030 (amounting to 12,075 Gg. CO2eq.).</t>
  </si>
  <si>
    <t>Gg to tons: 1 G = 10^9 hence 1 Gg = 10^9 g = 10^6 kg = 10^3 t = 1000 t</t>
  </si>
  <si>
    <t>https://www4.unfccc.int/sites/ndcstaging/PublishedDocuments/Lebanon%20First/Lebanon%27s%202020%20Nationally%20Determined%20Contribution%20Update.pdf</t>
  </si>
  <si>
    <t>Carbon dioxide (CO2), methane (CH4) and nitrous oxide (N2O).
The inclusion of perfluorocarbons (PFCs), hydrofluorocarbons (HFCs), sulphur
hexafluoride (SF6) and nitrogen trifluoride (NF3) will be added to the NDC coverage once
included in Lebanon’s GHG inventory.</t>
  </si>
  <si>
    <t>2022-05-24 15:36:13</t>
  </si>
  <si>
    <t>COU-0064</t>
  </si>
  <si>
    <t>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t>
  </si>
  <si>
    <t>Reducing GHGs by at least 10% by 2030
The energy sector is the highest contributor of GHG in Liberia emanating mainly from the
use of traditional fuels such as firewood, charcoal and palm oil and the use of fossil fuels,
especially petroleum products. To reduce the reliance on traditional fuel and increase the
use of modern and renewable energy sources, the National Energy Policy (2009) was
developed with a set of goals targeted at maximizing efficiency, minimizing costs and
adverse environmental impacts as principle of extending energy access to all Liberians.
Most recently, Liberia’s Initial National Communication (2013) reinforces the National
Energy Policy with additional long-term targets and related activities, which includes:
• Reducing GHGs by at least 10% by 2030
• Improving energy efficiency by at least 20% by 2030
• Raising share of renewable energy to at least 30% of electricity production and
10% of overall energy consumption by 2030
• Replacing cooking stoves with low thermal efficiency (5-10%) with the higherefficiency (40%) stoves.
The long-term strategy of Liberia is to achieve carbon neutrality by 2050. The strategic
options for mitigation considered under the INDC are the energy sector (electricity,
transport) and the waste sector. The Waste Sector focuses on solid waste disposal on land.
In 2000, the waste sector accounted for about 0.60% of Liberia’s national total CO2 eq
emissions. A significant subcategory is CH4 emissions from solid waste disposal sites
(SWDS) on land, which contributed 91.7%. CH4 mitigation targets will include landfill
recovery, waste incineration with energy recovery, composting of organic waste,
controlled wastewater treatment, and recycling and waste minimization.</t>
  </si>
  <si>
    <t xml:space="preserve">
https://cop25.mma.gob.cl/wp-content/uploads/2020/02/Annex-Alliance-ENGLISH.pdf</t>
  </si>
  <si>
    <t>https://www4.unfccc.int/sites/ndcstaging/PublishedDocuments/Liberia%20First/INDC%20Final%20Submission%20Sept%2030%202015%20Liberia.pdf</t>
  </si>
  <si>
    <t>Saint Lucia</t>
  </si>
  <si>
    <t>2023-05-31 21:25:47</t>
  </si>
  <si>
    <t>COU-0065</t>
  </si>
  <si>
    <t>[Updated NDC] 
- Saint Lucia submitted an updated NDC in January 2021, with an increased ambition in mitigation, adaptation and loss and damage.  
INDC wording: 758 GgCO2-eq in 2025 and 816 GgCO2-eq in 2030, excluding LULUCF. Updated 2021 NDC wording is 'Saint Lucia’s emissions in 2010 are estimated to be 643 GgCO2eq. as
communicated in the first NDC. Net emissions considering carbon removal from forests was 572 GgCO2eq in 2010. BAU emissions from the first NDC for 2025 is 758 GgCO2e. and for 2030 is 816 GgCO2e...' 
For the energy sector: 7% Greenhouse Gas (GHG) emissions reduction in the energy sector relative to 2010, by 2030.' https://unfccc.int/sites/default/files/NDC/2022-06/Saint%20Lucia%20First%20NDC%20%28Updated%20submission%29.pdf</t>
  </si>
  <si>
    <t>Gases - final: This list brings together countries, businesses, investors, cities and regions who are working towards achieving net-zero CO2 emissions by 2050.
Gases - interim: ● Carbon Dioxide (CO2) ● Methane (CH4) ● Nitrous Oxide (N2O)
Sectors: ● Energy: electricity generation and transportation</t>
  </si>
  <si>
    <t xml:space="preserve">on reporting for interim: finance reporting for NDC implementation- https://gggi.org/site/assets/uploads/2021/09/Saint-Lucia-NDC-Financing-Strategy-2.pdf
' Energy efficiency in the public sector: 20% reduction in energy use in public buildings by 2020'
'The Green Schools Nationally Appropriate Mitigation Action (NAMA) involves renewable energy and energy efficiency solutions and technologies in school buildings in Saint Lucia. The targets include a reduction in energy consumption of 20% by 2025 and emissions reduction of 35% by 2025' 
Equity in interim target: '[...] The Government of Saint Lucia is steadfast in its conviction that global mitigation efforts should focus on stabilizing global GHG emissions at levels that will limit
increases in global average temperatures to well below 1.5°C above preindustrial levels. Nevertheless, the Government of Saint Lucia has decided to pursue an aggressive and ambitious plan to reduce its emissions by focusing on the Energy, Electricity Generation and Transportation sectors. [...]' 
</t>
  </si>
  <si>
    <t>On Carbon sinks in interim target: 
'[...] Saint Lucia is in the process of exploring a national REDD+ program and is implementing efforts to maintain its current forest cover, as well as undertaking efforts to protect watersheds by forest protection measures. [...]'
'[...]National level market-based instruments, such as cap-and- trade emission trading schemes and offsetting, are crucial to price carbon emissions and keep
the costs of mitigation in Saint Lucia low. These will be pursued to encourage implementation of the proposed mitigation measures drawing on any applicable
international arrangements. Saint Lucia is in the process of developing a national
REDD+ program.[..]'
'Net emissions considering carbon removal from forests was 572 GgCO2eq in 2010.'
https://www4.unfccc.int/sites/ndcstaging/PublishedDocuments/Saint%20Lucia%20First/Saint%20Lucia%20First%20NDC%20(Updated%20submission).pdf</t>
  </si>
  <si>
    <t>2023-03-20 16:33:11</t>
  </si>
  <si>
    <t>COU-0066</t>
  </si>
  <si>
    <t>Lesotho intends to unconditionally lower her net Greenhouse Gas emissions (GHG) by 10% by 2030 relative to a business as usual (BAU) scenario emission of 5.713 Metric tonnes of carbon dioxide equivalent.
An additional 25% GHG emission reduction is attainable on condition that external support (finance, investment, technology development and transfer, and capacity building) is made available to cover the full cost of implementing the adaptation and mitigation actions. 
With the external support, a combined total emission reduction of 35% below the BAU emission levels can be achieved by 2030. https://unfccc.int/sites/default/files/NDC/2022-06/Lesotho%20First%20NDC.pdf</t>
  </si>
  <si>
    <t>Interim target coverage:
- Energy (production, demand)
- Agriculture (fermentation, manure management, cropping, land use)
- Industrial processes (cement, other industries)
- Waste (solid and waste water)
- LULUCF (natural forests, afforestation and reforestation, forest fires)</t>
  </si>
  <si>
    <t>Interim -- Equity: "Lesotho’s NDC is an ambitious, fair and responsible contribution to global efforts towards meeting the objective of the UNFCCC and the goal of limiting global average temperature rise to below 2.0°C. The country’s proposed targets are ambitious, despite its status as a very vulnerable, small and landlocked least developed country with a fragile mountainous
ecosystem and numerous pressing social and economic development needs and priorities. In order to maximise the ambition of its mitigation contribution while taking into account the
need for economic development, Lesotho has prioritised mitigation actions that both address the main causes of future increases in emissions and also have significant development cobenefits. Therefore, we submit that these nationally determined contributions are fair and equitable commensurate to the national circumstances especially its low GDP per capita (≈ US$1,126) and the level of dependence on external support."</t>
  </si>
  <si>
    <t xml:space="preserve">Interim: Without decisive action, energy-related emissions of carbon dioxide (CO2) will continue to rise. It is therefore imperative for Lesotho to change its current path. Such a change entails an energy revolution with low-carbon energy technologies plying a crucial role together with widespread deployment of various types of renewable energy, carbon capture and storage and new transport technologies.
Forestry based actions will not only increase the amount of GHG sinks, but will also provide adaptation co-benefits contributing to prevention of flooding, soil erosion and landslides, protection of biodiversity and ecosystem services and recovery of degraded land.
Forestry: Improved afforestation; reforestation; forest management; reduced deforestation.
</t>
  </si>
  <si>
    <t>2023-03-13 16:21:53</t>
  </si>
  <si>
    <t>COU-0067</t>
  </si>
  <si>
    <t>"The European Climate Law, adopted in 2021 sets the legally binding EU’s climate neutrality target at the latest by 2050."
"The Agenda sets a long-term objective of reaching net-zero emissions by 2050."
[https://unfccc.int/sites/default/files/resource/8th%20NC%20and%205th%20BR_20230105%20final.pdf]</t>
  </si>
  <si>
    <t xml:space="preserve">The national climate change mitigation targets by 2030 are as follows:
• to reduce GHG emissions by 30% compared to 2005 (including LULUCF) by shifting economic sectors towards innovative, low-emission and environmentally friendly technologies and the use of RES;
• for ETS sectors to reduce GHG emissions at least 50% compared to 2005;
• for non-ETS sectors (transport, industry, agriculture, waste, small-scale energy sector), to reduce GHG emissions at least 25% compared to 2005 (including LULUCF) and not exceed the annual GHG emission allocations set for the period 2021-2030 by EU Effort Sharing Regulation.
The national climate change mitigation target by 2040 is to reduce GHG emissions by 85% compared to 1990
[https://unfccc.int/sites/default/files/resource/8th%20NC%20and%205th%20BR_20230105%20final.pdf]
</t>
  </si>
  <si>
    <t xml:space="preserve">The targets are laid out in the National Climate Change Management Agenda, passed on 30 June 2021 by the Decree No XIV-490 of the Parliament of the Republic of Lithuania.
The Agenda sets the short-term (until 2030), mid-term (until 2040) and long-term (until 2050) goals and objective in the field of climate change mitigation and adaptation.
Lithuania aims to reach net zero emissions by 2050, with the interim targets of 30% emissions reduction (compared to 2005) by 2030, and 85% emissions reduction (compared to 1990) by 2040. In 2020, emissions had already decreased by 57.8% compared to 1990.
</t>
  </si>
  <si>
    <t>https://unfccc.int/sites/default/files/resource/8th%20NC%20and%205th%20BR_20230105%20final.pdf</t>
  </si>
  <si>
    <t>In sectors covered by the EU Emissions Trading System (EU ETS), in which Lithuanian operators participate together with operators from other EU Member States participating in the EU ETS, emissions must be reduced by 50% by 2030 compared to the 2005 levels.
Non-ETS sectors (transport, agriculture, waste management, industrial enterprises engaged in other activities or fuel burning installations with boilers with installed capacity below 20 MW (small district heating enterprises), public sector buildings, households, fisheries, construction, services and other sectors) will have to comply with Lithuania's annual emission reduction limits (t CO2 eq.) and achieve at least a 30% reduction in 2030 compared to 2005.
Gases covered: GO2, CH4, N2O, HFCs, PFCs, SF6, NF3
Aviation: Not worldwide, but ETS covers flights within European Economic Area
MEPC 70 agreed to develop a Road Map for addressing
CO2 emissions from international shipping, with initial CO2 reduction commitments to be agreed to by 2018. The progress of this has not been updated in the UNFCC report for 2022.
[https://unfccc.int/sites/default/files/resource/8th%20NC%20and%205th%20BR_20230105%20final.pdf]</t>
  </si>
  <si>
    <t xml:space="preserve">Lithuania’s strategic planning system is defined in the 2021-2030 National progress program (2020), which sets strategic goals and objectives and progress indicators in main national policy areas, including clean and safe environment, covering climate change mitigation and adaptation. Also, this Program determines strategic goals and targets for the planning 2021-2027 EU fund investments and for the formation of the state budget, the assurance of coherence between state budget and EU funds. 
</t>
  </si>
  <si>
    <t>Lithuania plans to employ different nature-based removal strategies, including the restoration of damaged forests/afforestation, promotion of perennial crop growth, the growth of grasslands in organic soils and the protection of organic soils [https://unfccc.int/sites/default/files/resource/8th%20NC%20and%205th%20BR_20230105%20final.pdf p147]</t>
  </si>
  <si>
    <t>2022-06-26 08:25:15</t>
  </si>
  <si>
    <t>COU-0068</t>
  </si>
  <si>
    <t>"l’objectif à long terme de la neutralité climatique, qui consiste à atteindre le « zéro émissions nettes » au Luxembourg, d’ici 2050 au plus tard"
Net zero emissions by 2050 (long term carbon neutrality)</t>
  </si>
  <si>
    <t>"l’objectif intermédiaire qui consiste à réduire de 55 pour cent d’ici à 2030 par rapport aux niveaux de 2005 les émissions attribuées au Luxembourg au titre du règlement (UE) 2018/842 du Parlement européen et du Conseil du 30 mai 2018 relatif aux réductions annuelles contraignantes des émissions de gaz à effet de serre par les États membres de 2021 à 2030 contribuant à l’action pour le climat afin de respecter les engagements pris dans le cadre de l’Accord de Paris et modifiant le règlement (UE) 525/2013"
2030 target: 55% reduction from 2005 baseline (in accordance with Paris Agreement and EU regulation)</t>
  </si>
  <si>
    <t>https://ec.europa.eu/energy/sites/ener/files/documents/lu_final_necp_main_en.pdf
In law according to https://crsreports.congress.gov/product/pdf/R/R46945
15/12/2020 law: https://legilux.public.lu/eli/etat/leg/loi/2020/12/15/a994/jo#:~:text=La%20pr%C3%A9sente%20loi%20%C3%A9tablit%20un,par%20rapport%20aux%20niveaux%20pr%C3%A9industriels.</t>
  </si>
  <si>
    <t>https://legilux.public.lu/eli/etat/leg/loi/2020/12/15/a994/jo#:~:text=La%20pr%C3%A9sente%20loi%20%C3%A9tablit%20un,par%20rapport%20aux%20niveaux%20pr%C3%A9industriels.</t>
  </si>
  <si>
    <t xml:space="preserve">"Le recours à l’énergie de source nucléaire est exclu pour atteindre les objectifs visés au présent article et à l’article 5" - nuclear power cannot be used to meet the targets covered by the law
</t>
  </si>
  <si>
    <t>Luxembourg can be held accountable by the EU
"Au plus tard le 1er janvier 2029, et tous les dix ans par la suite, sur base d’un projet établi par le ministre et le ministre ayant l’Énergie dans ses attributions, le Gouvernement en conseil établit une stratégie à long terme à un horizon d’au moins trente ans. La stratégie à long terme est, le cas échéant, actualisée de la même manière tous les cinq ans." 
By 2029, long term strategy for following 30 years established. This happens every ten years follow, with updates to strategy every 5 years as necessary
"The success of this plan depends fundamentally on its acceptance by large parts of the population. The social justice of the various measures of the plan is therefore one of the government’s central concerns. " - https://ec.europa.eu/energy/sites/ener/files/documents/lu_final_necp_main_en.pdf
"The social fairness of an energy and resource taxation reform is a prerequisite for its success. The coalition agreement states in this regard that revenue from an increase in energy taxes is to be used to finance the social efforts necessary to create ecological change, which should at the same time be socially just. "</t>
  </si>
  <si>
    <t>Other conditions</t>
  </si>
  <si>
    <t>"Système d’échange de quotas d’émission de gaz à effet de serre" forms part of 2020 law and requires certain entities in certain sectors to buy allowances from others if they exceed allocated emissions or sell if they have surplus credits (EU Emissions Trading System)</t>
  </si>
  <si>
    <t>Mentions Forestry and soil for carbon storage.
" Luxembourg will also increase carbon offsetting measures, for example through the tax deductibility of payments to governmentaccredited organisations (e.g. myclimate.org)."</t>
  </si>
  <si>
    <t>2023-12-16 12:50:46</t>
  </si>
  <si>
    <t>COU-0069</t>
  </si>
  <si>
    <t>Latvia set 2050 as its long-term climate neutrality goal. The CCPI country experts note that this target does not include a clear pathway or action plan to achieve its goal. They also judge Latvia’s National Energy and Climate Plan (NECP) as insufficient.https://ccpi.org/country/lva/</t>
  </si>
  <si>
    <t xml:space="preserve">At least 40% domestic reduction in greenhouse gas emissions by 2030 compared to 1990. </t>
  </si>
  <si>
    <t xml:space="preserve">Emissions from the transport sector increased by 6.9 % between 2005 and 2019, accounting for 27.8 % of total emissions. The manufacturing industries and construction sector showed the biggest percentage reduction (42 %) in emissions over the period. Under EU effort-sharing legislation, Latvia was allowed to increase its emissions by 17 % by 2020, compared with 2005, and in 2019 was on track to achieving the target. Latvia achieved a 41 % share of renewable energy sources in 2019 and aims to reach 50 % by 2030. The European Commission regards this ambition as adequate, but warns of possible hurdles. https://ec.europa.eu/clima/sites/lts/lts_lv_en.pdf </t>
  </si>
  <si>
    <t>https://climate-adapt.eea.europa.eu/en/countries-regions/countries/latvia</t>
  </si>
  <si>
    <t>There is mention of aviation but nothing specific, there is no mention of shipping.</t>
  </si>
  <si>
    <t>There is mention of review and reporting practices but I don't find any specific mention of the timeframe or process.</t>
  </si>
  <si>
    <t>2023-03-13 16:49:57</t>
  </si>
  <si>
    <t>COU-0070</t>
  </si>
  <si>
    <t>"Ces politiques visent également à inscrire le territoire dans une tendance de réduction des émissions de gaz à effet de serre pour parvenir à la neutralité carbone en 2050"
https://unfccc.int/sites/default/files/NDC/2022-06/Monaco_NDC_2020.pdf</t>
  </si>
  <si>
    <t>"La Principauté de Monaco s’est fixée comme objectif, dans le cadre de la présente Contribution
Déterminée au Niveau National, de réduire ses émissions de gaz à effet de serre de 55% en 2030"
https://unfccc.int/sites/default/files/NDC/2022-06/Monaco_NDC_2020.pdf</t>
  </si>
  <si>
    <t xml:space="preserve">Carbon Neutrality by 2050.
Reduction in territorial GHG emissions by 55% compared to 1990 by 2030
</t>
  </si>
  <si>
    <t>https://unfccc.int/sites/default/files/NDC/2022-06/Monaco_NDC_2020.pdf</t>
  </si>
  <si>
    <t xml:space="preserve">"L’engagement de Monaco porte sur la totalité des émissions territoriales, telles que rapportées dans les Rapports Nationaux d’Inventaire.
Il concerne l’ensemble des secteurs : Energie, Procédés Industriels et Utilisation de Produits, Agriculture, Forêts et utilisation des terres et déchets.
Enfin, il couvre l’ensemble des gaz : le dioxyde de carbone (CO2), le méthane (CH4), le protoxyde d’azot (N2O), les gaz fluorés hydrofluorocarbures(HFC) et perclofluorocarbures (PFC), l’hexafluorure de soufre (SF6) et le trifluorure d'azote (NF3)."
https://unfccc.int/sites/default/files/NDC/2022-06/Monaco_NDC_2020.pdf
The plan covers territorial emissions, as reported in the NIR, covering the following sectors:
Energy, Industrial Processes and Product Use, Agriculture, Forestry and Land Use and Waste.
The plan covers the following greenhouse gases:
Carbon dioxide (CO2), methane (CH4), nitrous oxide (N2O), fluorinated gases hydrofluorocarbons (HFCs) and perclofluorocarbons (PFCs), sulfur hexafluoride (SF6) and nitrogen trifluoride (NF3).
The NIR includes international aviation and shipping, so I think this means these are also included in the target.
https://unfccc.int/documents/461822
</t>
  </si>
  <si>
    <t xml:space="preserve">NDC gives a plan, including measures for the sectors mentioned above (Energy, Industrial Processes and Product Use, Agriculture, Forestry and Land Use and Waste)
However, these measures are generally not accompanied by details on expected emissions reduction, or the extent to which they will be applied.
There is no schedule for regular review of measures.
The plan does not refer to equity.
Monaco is required to produce a NIR of GHG emissions annually. (This counts as less than annual reporting according to codebook)
The government is acountable under the Paris Agreement
</t>
  </si>
  <si>
    <t>The reduction of greenhouse gas emissions in the territory is primarily the effect of national measures. In the event that these reductions do not make it possible to achieve the objectives set, Monaco may use the market mechanisms referred to in Article 6 of the Paris Agreement.</t>
  </si>
  <si>
    <t>2023-02-21 15:26:13</t>
  </si>
  <si>
    <t>COU-0071</t>
  </si>
  <si>
    <t>La contribution nationale de Madagascar est la résultante des mesures d’atténuation pour tous les secteurs, comparée au scénario de référence national BAU (« business as usual » ; voir
Figure 1). A l’horizon 2030, Madagascar vise une réduction de l’ordre de 30 MtéqCO2 de ses émissions de GES, soit 14% par rapport au scénario BAU, projections établies sur la base de
l’inventaire de GES de l’année 2000 à l’année 2010. A cette réduction s’ajoute l’augmentation des absorptions du secteur UTCATF qui sont de l’ordre de 61 MtéqCO2 en 2030. Ceci représente un augmentation de la capacité de puits de Madagascar de 32% par rapport au scénario BAU. Ces objectifs restent conditionnés aux supports financiers qui seront reçues de la part des
partenaires mondiaux (contributions conditionnelles). 
A 14% reduction in emissions by 2030, or a 32% reduction if the land use sector is included. Conditional upon international finance.
Madagascar as a carbon sink: "Madagascar fait partie des pays les moins avancés. Le PIB est de 440 USD/habitant, en dessous de la moyenne des pays pauvres subsahariens. Environ 91% des ménages sont classés pauvres sur la base de 2 dollars par jour, avec un indice de pauvreté de 36,1. Les émissions nationales de GES représentent 0,2% des émissions mondiales en 2000, et Madagascar est un pays non émetteur. En effet, Madagascar a été un puits net de 13 téqCO2/habitant en 2000, et de 3 tonnes en 2010." [https://unfccc.int/sites/default/files/NDC/2022-06/Madagascar%20INDC.pdf]</t>
  </si>
  <si>
    <t>https://web.archive.org/web/20230824130656/https://cop25.mma.gob.cl/wp-content/uploads/2020/12/1312-Annex-Alliance-ENGLISH-VF-2012.pdf</t>
  </si>
  <si>
    <t xml:space="preserve">Gases - final: "This list brings together countries, businesses, investors, cities and regions who are working towards achieving net-zero CO2 emissions by 2050."
Gases - interim: "Dioxyde de carbone (CO 2) ; Méthane (CH4) ; Oxyde Nitreux (N 2O)." 
Sectors and geography - interim: "La contribution concernera l’ensemble des secteurs de l’économie. La portée géographique est de 100% du territoire national." </t>
  </si>
  <si>
    <t xml:space="preserve">Equity - interim: "Malgré sa très faible responsabilité en termes d’émission de GES, l’ambition du pays est de réduire ses émissions de GES de l’ordre de 30 MtéqCO2 à l’horizon 2030 par rapport au scénario de référence « Business as Usual » et augmenter les absorptions du secteur UTCAF autour de 61 MtéqCO2. Cet apport combiné atteindra 91 MtéqCO 2 de GES ainsi évités. Dans ce contexte, la contribution de la République de Madagascar est considérée comme équitable et ambitieuse." </t>
  </si>
  <si>
    <t>Removals - interim: "Pas de réduction à partir d’achats de crédits carbone hors Madagascar"</t>
  </si>
  <si>
    <t>2023-05-15 20:20:10</t>
  </si>
  <si>
    <t>COU-0072</t>
  </si>
  <si>
    <t xml:space="preserve">In our updated NDC we have made ambitious plans to reduce 26% of our emissions by 2030. Furthermore, we
will strive to achieve net zero by 2030, if we receive adequate international support and assistance. To achieve
the emission reduction targets, we have set forth ambitious plans to increase our share of renewable energy
in the energy mix through various initiatives. </t>
  </si>
  <si>
    <t>) Reference year(s), base year(s), reference
period(s) or other starting point(s)
Target is given relative to the projected emissions
to 2030 under a BAU scenario with 2011 as the base
year of emissions.
(b) Quantifiable information on the reference
indicators, their values in the reference
year(s), base year(s), reference period(s)
or other starting point(s), and, as
applicable, in the target year
Emissions in 2030 under a BAU is 3,284.92 Gg CO2e.
Reducing GHG emissions (sector based) by percentages e.g. by 2015, reduce the transport sector GHG emissions by 25%.</t>
  </si>
  <si>
    <t>https://backend.orbit.dtu.dk/ws/files/96933631/LCDS_report_final_June_2014.pdfhttp://extwprlegs1.fao.org/docs/pdf/mdv172920.pdf
https://www4.unfccc.int/sites/ndcstaging/PublishedDocuments/Maldives%20First/Maldives%20Nationally%20Determined%20Contribution%202020.pdf
https://crsreports.congress.gov/product/pdf/R/R46945</t>
  </si>
  <si>
    <t>https://gazette.gov.mv/gazette/6115</t>
  </si>
  <si>
    <t>2023-05-31 21:11:19</t>
  </si>
  <si>
    <t>COU-0073</t>
  </si>
  <si>
    <t>"México aumenta su meta de reducción de gases de efecto invernadero de 22% a 35% en 2030, con respecto a su línea base, con recursos nacionales que aportarán al menos un 30% y 5% con cooperación y financiamiento internacional previsto para energías limpias. De forma condicionada, México puede aumentar su meta al 2030 hasta 40%, con respecto a su línea base en 2030, si se escala el financiamiento internacional, la innovación y transferencia tecnológica, y si otros países, principalmente los mayores emisores, realizan esfuerzos conmensurados a los objetivos más ambiciosos del Acuerdo de París. Finalmente, se ratifica la meta de reducción de las emisiones de carbono negro de 51% de forma no condicionada en 2030, y 70% de forma condicionada.  "
35% unconditional reduction on BAU for 2030; 40% conditional on receiving financial/other support
51% unconditional reduction of black carbon and 70% conditional
Mexico has a 'general law on climate change' from 2012, amended 2022, that includes the NDC and also mentions aspirations to reduce emissions by 30% by 2020, and 50% by 2050 compared to 2000 (although these targets are not legally binding).
https://cdn.climatepolicyradar.org/navigator/MEX/2012/general-law-on-climate-change-2022-amended-text_176ccb532f0fe7789f6ce1311b851fec.pdf
p.45
https://unfccc.int/sites/default/files/NDC/2022-11/Mexico_NDC_UNFCCC_update2022_FINAL.pdf</t>
  </si>
  <si>
    <t>"El escenario tendencial proyectado al 2030, sin intervención de política de mitigación se cuantificó en 991 MtCO2e como punto de referencia para 2030.  Se precisa que este punto de referencia es 1.8% superior al establecido en 2015 en la iNDC debido a mejoras metodológicas derivadas de la actualización del Inventario Nacional de Emisiones de Gases y Compuestos de Efecto Invernadero, mismo que se actualizó con las metodologías del IPCC 2006 y su Refinamiento de 20192. " 
- BAU emissions 991MtCO2e for 2030 (an increase on 2015 estimate)
La reducción de emisiones de 35% al 2030 implica 347 MtCO2e reducidas en dicho año, mientras que el cumplimiento de los compromisos condicionados asciende a 397 MtCO2e. 
- reduction 347 MtCO2e unconditional and 397 MtCO2e conditional
https://climateactiontracker.org/climate-target-update-tracker/mexico/
Climate action tracker notes that Mexico had previously committted "to reduce emissions by 50% below 2000 levels in 2050". It no longer has targets beyond 2030.
" En el iNDC de 2015, de carácter intencionado y no vinculante, México planteó un pico de emisiones en 2026; sin embargo, en el marco de las negociaciones del Acuerdo de París se acordó que los países en desarrollo buscarían un pico de emisiones lo antes posible, sin especificar un año, teniendo presente que las Partes que son países en desarrollo tardarán más en lograrlo. " p9
Mexico previously intended (but did not formalise) a target of 2026 peak emissions but now states that peak emissions should be asap without specifying a year</t>
  </si>
  <si>
    <t>Gases: This list brings together countries, businesses, investors, cities and regions who are working towards achieving net-zero CO2 emissions by 2050.</t>
  </si>
  <si>
    <t>Interim: 
Contribución Determinada a nivel Nacional. Actualización 2022 (pp. 1–45). Gobierno de México. https://unfccc.int/sites/default/files/NDC/2022-11/Mexico_NDC_UNFCCC_update2022_FINAL.pdf
"México subraya que la acción climática debe ser respetuosa de los derechos humanos, y que debe vigilar en todo momento y promover todos los derechos para todas y todos, mujeres, pueblos originarios indígenas y afromexicanos, niños y niñas, juventudes, migrantes, personas con discapacidad, población LGBTQ, grupos de bajos ingresos y personas adultas mayores" - climate action must respect the rights of groups listed p.6
"México integra su Inventario Nacional de Emisiones de Gases y Compuestos de Efecto Invernadero (INEGyCEI), con las metodologías del IPCC 2006 y su Refinamiento 2019.  Conforme a las directrices de la Convención se presentará la actualización de los inventarios a través de los Informes Bienales de Transparencia en los que se describen los avances y las mejoras metodológicas del INEGyCEI, así como de la línea base. " p17 states biennial reporting
Plan for 2021-24: https://www.gob.mx/cms/uploads/attachment/file/685848/SEMARNAT_081121_EV.PDF</t>
  </si>
  <si>
    <t>Interim:
https://www.carbonbrief.org/perfil-carbon-brief-mexico   planting trees and expanding hydroelectric dams 
https://wedocs.unep.org/bitstream/handle/20.500.11822/30797/EGR2019.pdf?sequence=1&amp;isAllowed=y
Nature-based solutions
- declaring over 2 million hectares of new Natural Protected Areas, ANPs (Áreas Naturales Protegidas), 1 million hectares for conservation areas and 40,785 hectares for restoration
- a National Blue Carbon Strategy to conserve sites of blue carbon like mangroves and seagrasses</t>
  </si>
  <si>
    <t>2023-10-27 15:21:56</t>
  </si>
  <si>
    <t>COU-0074</t>
  </si>
  <si>
    <t>Commitment to reduce GHG emissions to at least 32% below 2010 levels by 2025 and to at least 45% below 2010 levels by 2030. Indicative target to reduce GHG emissions by at least 58% below 2010 levels by 2035.
https://www4.unfccc.int/sites/ndcstaging/PublishedDocuments/Marshall%20Islands%20Second/180924%20rmi%202050%20climate%20strategy%20final_0.pdf</t>
  </si>
  <si>
    <t>https://unfccc.int/sites/default/files/resource/180924%20rmi%202050%20climate%20strategy%20final_0.pdf
https://www4.unfccc.int/sites/ndcstaging/PublishedDocuments/Marshall%20Islands%20First/20181122%20Marshall%20Islands%20NDC%20to%20UNFCCC%2022%20November%202018%20FINAL.pdfhttps://www.docdroid.net/W2hK5Qj/180924-rmi-2050-climate-strategy-final-pdf#page=2</t>
  </si>
  <si>
    <t>https://unfccc.int/sites/default/files/resource/180924%20rmi%202050%20climate%20strategy%20final_0.pdf</t>
  </si>
  <si>
    <t>For GHGs, they are specified as "carbon dioxide (CO2) emissions, methane (CH4) emissions, and nitrous oxide (N2O)", which are found under Section 11, page 71 from https://faolex.fao.org/docs/pdf/mas193390.pdf
There are new targets for the shipping industry, "a 30 percent reduction by 2030 and an 80 percent cut by 2040, adding that near-zero fuels should make up 5 percent of shipping’s energy mix by the end of the decade." (from https://www.aljazeera.com/economy/2023/7/11/global-shipping-regulator-underwhelms-with-new-emissions)</t>
  </si>
  <si>
    <t>2023-12-26 08:38:21</t>
  </si>
  <si>
    <t>COU-0075</t>
  </si>
  <si>
    <t>Mali submitted its updated NDC in October 2021. https://climatepromise.undp.org/what-we-do/where-we-work/mali</t>
  </si>
  <si>
    <t>"La séquestration de 211864 KT Eq CO2 en 2030 selon le scenario de base et 296483 KT Eq CO2 selon le scenario d'atténuation "
"La mise à jour de la période de référence avec des niveaux de réduction des GES du scenario d'atténuation par rapport au scenario de base de 31% pour l'énergie, 25% pour l'agriculture, 39% pour les forêts et 31% les déchets"
https://www4.unfccc.int/sites/ndcstaging/PublishedDocuments/Mali%20First/MALI%20First%20NDC%20update.pdf</t>
  </si>
  <si>
    <t>According to its NDC (CDN), Mali is already net positive, due to sequestration from forests. It is targeting an overall reduction of 40% for 2030 vs BAU (this is -296 MTeCO2 compared to BAU -211 MTeCO2). 
It is targeting 31% reduction for waste, 31% for energy, 25% for agriculture and 39% for forests to achieve this. 
Figures from p50:
Sequestration: -334 MTeCO2 BAU vs -391 MTeCO2 2030 target
Cumulative emissions from 4 sectors: 122.137 MTeCO2 BAU vs 94.547 MTeCO2 2030 target (this is a 22.6% reduction)</t>
  </si>
  <si>
    <t xml:space="preserve">Gases considered: CO2, CH4, N20, N0x, SO2 and NH3 ("les émissions sont dominées par" CO2, N2O, CH4) 
Sectors considered: agriculture, forests, energy and waste </t>
  </si>
  <si>
    <t>Information on the emission reductions expected from these measures within a certain time period|Information on the extent to which measures will be applied (e.g. if switching to EVs, what share of the fleet; if installing an own solar PV installation, what is the installed capacity)</t>
  </si>
  <si>
    <t>2023-12-31 17:04:25</t>
  </si>
  <si>
    <t>COU-0076</t>
  </si>
  <si>
    <t>The Strategy aims to move towards climate neutrality by 2050 in line with Malta’s contribution to EU- wide goals. Carbon neutrality is also one of Malta’s five pillars for economic growth and recovery from the COVID-19 pandemic.</t>
  </si>
  <si>
    <t>Within the EU, the headline target (previously set at -40%) has been increased to a -55% reduction by 2030 (over 1990 levels), while the long term objective of climate neutrality by 2050 has also been adopted. EU negotiations in 2018 resulted in legislation relating to the Effort Sharing Regulation (ESR) that has led to Malta’s bespoke targets. The ESR targets relate to emissions not covered by the scope of the EU Emissions Trading Scheme (ETS) emissions. For Malta, the target is to achieve a 19% reduction in net territorial non-ETS GHGEs (relative to 2005) by 2030. Proposals revising this target shall be published in mid-2021. This LCDS was drafted basing on existing ESR reduction target emanating from the legislative instruments for the -40% EU reduction target (i.e. -19% for Malta).</t>
  </si>
  <si>
    <t>Malta Draft National Energy and Climate Plan 2021-2030 (September 2023): https://energy.ec.europa.eu/system/files/2020-01/mt_final_necp_main_en_0.pdf</t>
  </si>
  <si>
    <t>https://meae.gov.mt/en/Public_Consultations/MECP/PublishingImages/Pages/Consultations/MaltasLowCarbonDevelopmentStrategy/Malta%20Low%20Carbon%20Development%20Strategy.pdf</t>
  </si>
  <si>
    <t>Even though they did not clearly describe which GHGs they are covering in their net-zero plan, it seems like they cover carbon dioxide and other GHGs, as indicated by actions in the plan, such as assessing the feasibility of methane-inhibiting vaccines.</t>
  </si>
  <si>
    <t>2024-02-05 16:51:42</t>
  </si>
  <si>
    <t>COU-0077</t>
  </si>
  <si>
    <t>myanmar will initiate its efforts to promote energy efficiency across a range of sectors. highlighting the fact that the country is becoming increasingly urban and industrial, myanmar has set 2030 targets for improvement of energy efficiency of the residential sector by 7.8%, the industrial sector by 6.63%, the commercial sector by 4%, and other sectors by 1.36%. thus, the policy target for energy efficiency is a cumulative of 20% by 2030 avoiding a cumulative of 0.133 million tco2e as a conditional energy efficiency target.
https://www4.unfccc.int/sites/ndcstaging/publisheddocuments/myanmar%20first/myanmar%20updated%20%20ndc%20july%202021.pdf (pg. ii, iii)</t>
  </si>
  <si>
    <t>Myanmar
Target: Net-zero emissions from land use, land use change and forestry (LULUCF) by 2040
Myanmar’s net-zero target focuses on land use, land use change and forestry (LULUCF) with the goal of achieving net-zero by this measure by 2040. Its total emissions reductions contributions as a part of its NDC are 244.52 million tCO2e unconditionally, and a total of 414.75 million tCO2e, subject to conditions of international finance and technical support by 2030. 
https://www.officialenergyasia.com/growing_ambition_underpins_asean_net_zero_targets/,   
https://www.amro-asia.org/wp-content/uploads/2023/04/Chapter-2-Full_1.pdf (pg.55)</t>
  </si>
  <si>
    <t>Myanmar’s total emissions reductions contributions as a part of its NDC are 244.52 million tCO2e unconditionally, and a total of 414.75 million tCO2e, subject to conditions of international finance and technical support by 2030, which represents a significant commitment to global climate change efforts based on its national circumstances. 
https://www4.unfccc.int/sites/ndcstaging/PublishedDocuments/Myanmar%20First/Myanmar%20Updated%20%20NDC%20July%202021.pdf</t>
  </si>
  <si>
    <t>Myanmar has not yet adopted an economy wide emission reductions target. Nevertheless, Myanmar has increased the number of target sectors from the two indicated in the INDC (Forestry and Energy) to five and has identified a number of additional priority sectors that it would like to seek support in the future. In the current socio-economic context, as the country is still in the process of developing is basic infrastructure, and with the need to stimulate economic growth, Myanmar‟s emissions are expected to peak during this NDC period as investments materialize in the county. However, if the much-needed international green investments come in a more-timely manner, Myanmar will be able to realize its low carbon vision earlier than expected.
https://www4.unfccc.int/sites/ndcstaging/PublishedDocuments/Myanmar%20First/Myanmar%20Updated%20%20NDC%20July%202021.pdf</t>
  </si>
  <si>
    <t>https://www.officialenergyasia.com/growing_ambition_underpins_asean_net_zero_targets/</t>
  </si>
  <si>
    <t>In the new Nationally Determined Contribution of Myanmar (Updated in August, 2021), Myanmar aims to achieve a conditional target (with international support) of avoiding 144 MtCO2eq of greenhouse gas (GHG) emissions by 2030 against that predicted under the BAU (Business as Usual) scenario, of 297 MtCO2eq. The country aims to achieve this target by increasing the share of solar and wind to 54% (from 2,000 MW to 3,070 MW) by 2030 and decreasing the share of coal by 73.5% (from 7,940 MW to 2,120 MW) by 2030. 
https://www.enerdata.net/publications/daily-energy-news/myanmar-releases-its-new-nationally-determined-contribution.html,   
Myanmar government has set an unconditional target to support the distribution of one million LPG stoves by the private sector resulting in an emission reduction of 14.94 million tCO2e by 2030. Under the national program for rural electrification, renewable energy technologies currently contribute an annual electricity generation capacity of 166.4MW. Of this total, 44.41MW is generated through RE mini-grids, providing electricity to 1.8m people of the off-grid rural population, and which will generate 0.564 million tons of CO2e in emissions avoided cumulatively by 2030 as compared to the alternative of power generation using standard diesel generators. The government has set a new NDC conditional target for mini-grid development, that will further increase renewable energy access to the total off-grid rural population of 3.6m people, power generation (88.82MW), and GHG emission avoided will be 0.874 million tCO2e by 2030. The governmen's NDC unconditional target will increase renewable energy access through mini-grids to the total off-grid rural population of 2.7m people, power generation (66.62MW), and GHG emission avoided will be 0.719 million tCO2e by 2030.
https://unfccc.int/sites/default/files/NDC/2022-06/Myanmar%20Updated%20%20NDC%20July%202021.pdf (pg. ii)</t>
  </si>
  <si>
    <t xml:space="preserve">Plan(s): Myanmar National Environmental Policy (2020); Climate Change Plan, 2018-2030 (2019); 
[https://myanmar.un.org/sites/default/files/2019-11/Myanmar%20Climate%20Change%20master%20plan.pdf]
Reporting: Myanmar would like to put in place a monitoring framework so that the national committee will be able to measure progress on a regular basis. 
Equity: NDC mentions 'climate justice and equity' as one of the nine guiding principles of the Myanmar Climate Change Master Plan. </t>
  </si>
  <si>
    <t>Through the distribution of 5.1 million fuel-efficient cookstoves Myanmar will achieve a cumulative emissions reduction of approximately 12.99 million tCO2e during 2021-2030. Of this amount 10.25 million tCO2e will be subject to carbon offsetting while 2.74million tCO2e will contribute to Myanmar's NDC target.  
With a large expanse of tropical forest, Myanmar is a net greenhouse gas sink. Actions in the forestry sector will preserve a GHG sink.
https://www4.unfccc.int/sites/ndcstaging/PublishedDocuments/Myanmar%20First/Myanmar's%20INDC.pdf
Credits: The NDC implementation plan will include an assessment of both the conditional and unconditional targets set in this NDC, the necessary enabling environment, the key stakeholders to be consulted in the development of such plans as well as human, technical, and financial resources. It will explore the various pathways in which the NDC targets can be achieved, including an assessment of any market mechanisms that can be deployed to support the country. Sinks and separate emissions removal target: In the Agriculture sector, Myanmar has introduced a new conditional cumulative target of sequestrating 10.4 million tCO2e over the period of 2021-2030. Through promotion of tree planting and agroforestry Myanmar will raise the average tree canopy cover across 275,000 ha of its agricultural land with &lt;10% tree canopy cover per hectare.
https://www4.unfccc.int/sites/ndcstaging/PublishedDocuments/Myanmar%20First/Myanmar%20Updated%20%20NDC%20July%202021.pdf</t>
  </si>
  <si>
    <t>2022-12-12 14:34:29</t>
  </si>
  <si>
    <t>COU-0078</t>
  </si>
  <si>
    <t>total emission reduction of 40 mtco2eq between 2020 and 2025</t>
  </si>
  <si>
    <t xml:space="preserve">With the implementation of the identified actions, measures, projects, policies and programmes, Mozambique expects to reduce its GHG emissions by about 40 Mt CO2eq between 2020 and 2025. The indicators are the tons of CO2eq reduced following the baseline parameters and mitigation actions calculated by measures and accounted in annual results, which will be aggregated and compared to the quantities committed in 2025. </t>
  </si>
  <si>
    <t xml:space="preserve">https://unfccc.int/sites/default/files/NDC/2022-06/NDC_EN_Final.pdf
Mozambique state how they are facing issues with implementing adaptation and emission reduction actions, relating to finance, technology transfer and training. Their implementation of action is "conditional to international climate support". They suffer from natural disasters and military instability. </t>
  </si>
  <si>
    <t>Due to the nature of its development and land management, Mozambique has not historically contributed to relevant GHG emissions. So it doesn't includes previous emissions, but claims historic insignificance.</t>
  </si>
  <si>
    <t>Reporting:
Within this framework, Mozambique expects to prepare and submit, on time, national communications, biennial update reports, biennial transparency reports and update the NDC.</t>
  </si>
  <si>
    <t>Payment for Carbon Credits in Zambezia.</t>
  </si>
  <si>
    <t>Uncertain information about carbon removal:
As part of NDC: Establishment and increased adoption of integrated agroforestry systems (agro-silvo-pastoral); use of multiple-use forest species: shade/nitrogen fixing/forage
But
Emissions and removals from the Forestry/afforestation component:
"it was decided not to include as part of the mitigation contribution of this updated NDC 1 the removals and emissions from the commercial-scale tree planting (afforestation) component"</t>
  </si>
  <si>
    <t>2022-07-02 18:38:54</t>
  </si>
  <si>
    <t>COU-0079</t>
  </si>
  <si>
    <t xml:space="preserve">"Avec un appui plus conséquent, la Mauritanie pourrait assurer sa neutralité carbone, allant jusqu’à une réduction de 92% conditionnelle par rapport au BAU".
Could achieve a conditional 92% reduction (carbon neutriality) with enough financing
Unconditional target: "une réduction de 11% inconditionnel de l’émission de l’année 2030 selon le scenario BAU"
Unconditional 11% reduction compared to BAU scenario </t>
  </si>
  <si>
    <t xml:space="preserve">L’ambition d’atténuation du pays est composée au total de 55 mesures dont 33 mesures
inconditionnelles d’une capacité totale de 1834,268 Gg Eq CO2par rapport au scenario de
cours normal des affaires (BAU) et 22 mesures conditionnelles pour une réduction en 2030
de 16134,62 Gg Eq. CO2représentant une réduction de 92% par rapport au BAU. </t>
  </si>
  <si>
    <t>https://www4.unfccc.int/sites/ndcstaging/PublishedDocuments/Mauritania%20First/CDN-actualis%C3%A9%202021_%20Mauritania.pdf</t>
  </si>
  <si>
    <t>Couverture des émissions : cible à l'échelle de l'économie
GES couverts : CO2, CH4, N2O</t>
  </si>
  <si>
    <t>En termes de renforcement de capacités, la mise en place d’un système opérationnel de
mesure, vérification et notification (MNV et MRV, en anglais) est une action prioritaire dans le
processus de mise en œuvre de la CCNUCC et de l’Accord de Paris. La mise en place de ce
système est obligatoire pour le pays (date butoir 2024 de remise du rapport biannuel de
transparence- BTR intial). En outre, et bien que non contraignant pour le pays, l’élaboration
d’un plan d’action pour la mise en œuvre de la CDN est un prérequis pour le MNV/MRV.
En septembre 2020, le Ministère de l’environnement et du développement durable (MEDD) a consolidé son
dispositif institutionnel en instituant la Direction du climat et de l’économie verte (DCEV) pour
coordonner l’ensemble du programme national sur le changement climatique. Ce dispositif
institutionnel est consolidé par un réseaud’experts indépendants du milieu académique qui a
contribué à l’élaboration de toutes les communications nationales, inventaires de GES et
rapports biannuels actualisés, etc. requis dans le cadre des rapports à la CCNUCC.</t>
  </si>
  <si>
    <t>2022-05-24 11:20:10</t>
  </si>
  <si>
    <t>COU-0080</t>
  </si>
  <si>
    <t xml:space="preserve">Mauritius aims to reduce overall GHG emissions by 40% in 2030 compared to the Business as Usual (BAU) scenario of around 6,900 ktCO2eq (including LULUCF) in 2030.
https://www4.unfccc.int/sites/NDCStaging/Pages/All.aspx
</t>
  </si>
  <si>
    <t>https://www4.unfccc.int/sites/ndcstaging/PublishedDocuments/Mauritius%20First/Final%20INDC%20for%20Mauritius%2028%20Sept%202015.pdf</t>
  </si>
  <si>
    <t>2022-05-24 16:35:23</t>
  </si>
  <si>
    <t>COU-0081</t>
  </si>
  <si>
    <t>net zero target as part of climate ambition alliance: net zero 2050, but for detailed goals see interim target</t>
  </si>
  <si>
    <t>Under a business-as-usual (BAU) scenario, emissions are forecast to increase by more than three times by 2040, rising from around 9 million tCO2e in 2017 to over 34 million tCO2e.2 
Analyses of Malawi’s mitigation potential shows that projected emissions could be reduced by around 50 per cent (50%) by 2040 if all identified measures were funded, including through international support. This falls to 6 per cent (6%) for domestically funded measures only.</t>
  </si>
  <si>
    <t>https://www4.unfccc.int/sites/ndcstaging/PublishedDocuments/Malawi%20First/Malawi%20NDC_Policy%20Brief_30%20June%202021.pdf</t>
  </si>
  <si>
    <t>2023-04-02 20:28:43</t>
  </si>
  <si>
    <t>COU-0082</t>
  </si>
  <si>
    <t>Namibia's mitigation commitment is in the form of a decrease in GHG emissions compared to the Business as
Usual (BAU) baseline over the 2015-2030 period. This update presents an improvement in the commitment of
the devotion of Namibia to meeting the Paris Agreement goal and following the road to net zero emissions by
2050.</t>
  </si>
  <si>
    <t>In the BAU scenario, overall GHG emissions in 2030 are expected to rise by up to 24.167 MtCO2e. The estimated emissions reduction will be 21.996 MtCO2e through 2030 (91% reduction of which 78.7% is from the AFOLU) (Table ES-1).
Namibia aims at a reduction of about 89% of its GHG emissions at the 2030 time horizon compared to the BAU scenario. The projected GHG emissions to be avoided in 2030 is of the order of 20000 Gg CO2-eq</t>
  </si>
  <si>
    <t>https://cop25.mma.gob.cl/wp-content/uploads/2020/02/Annex-Alliance-ENGLISH.pdf
https://unfccc.int/sites/default/files/NDC/2022-06/Namibia%27s%20Updated%20NDC_%20FINAL%2025%20July%202021.pdf</t>
  </si>
  <si>
    <t>https://www4.unfccc.int/sites/ndcstaging/PublishedDocuments/Namibia%20First/Namibia%27s%20Updated%20NDC_%20FINAL%2025%20July%202021.pdf</t>
  </si>
  <si>
    <t>Target includes energy, IPPU (including RAC), AFOLU, and waste. Emission from these sectors are compared to a dynamic baseline scenario for BAU in 2015-2030.</t>
  </si>
  <si>
    <t>Information on the emission reductions expected from these measures within a certain time period|Measures for all emission scopes that are covered by the target</t>
  </si>
  <si>
    <t>Plan detailed in table 2.5 (p16)
Equity is specifically a goal for the Environmental Investment Fund (EIF) which aims to contribute to health equity in particular: On the EIF the document outlines "Expertise in
gender. Its gender policy is aimed at contributing to better health for both women and men, through health research, policies and programmes which give due attention to gender considerations and promote equity and equality between women and men.
Member of NCCC and responsible for resource mobilization for NCCC."</t>
  </si>
  <si>
    <t>Removals - see eg. chart on p14</t>
  </si>
  <si>
    <t>2023-04-15 10:27:58</t>
  </si>
  <si>
    <t>COU-0083</t>
  </si>
  <si>
    <t>the conditional intended nationally determined contribution of ghg reduction in comparison to bau 2030 is 34.6%. the unconditional intended nationally determined contribution of ghg reduction in comparison to bau 2030 is 3.5%. reduction of ghg emissions from now to 2030: unconditional reduction of 3.5% (2030) and conditional reduction of 34.6% (2030, or a reduction of 33,400 ggco2e).</t>
  </si>
  <si>
    <t>Niger’s ambition is to limit its emissions to 2,1 tCO2e/inhabitant in the 2030 horizon.</t>
  </si>
  <si>
    <t>https://www4.unfccc.int/sites/ndcstaging/PublishedDocuments/Niger%20First/Niger-INDC-final_Eng.pdf</t>
  </si>
  <si>
    <t>Gases covered under the interim target: CO2, CH4, N2O.</t>
  </si>
  <si>
    <t>There is a plan for the interim target. The emissions reduction of two sectors  (a) Agriculture, Forestry, and Other Land Use and (b) energy is estimated at 33,400 GgCO2e, 34,7% compared to BaU in 2030.  
Improve the rate of access to electricity. Exceed 60% in 2030, of which 47% to 100% is in the urban zone and 0.4% to 30% in 2030 is in the rural zone.
Cooking energy: reduction in the demand for wood energy per inhabitant by the spread of improved cook stoves, with a rate of penetration of 100% in urban areas and 30% in rural areas.
Renewable energy: Exceed a capacity of 250 MW in 2030, 130 MW of which comes from the Kandadji hydroelectric plant and 20°MW comes from wind energy (currently 0.035 MW).
Equity as of 2015: Since Niger is a non-Annex I Party to the UNFCCC, it has no quantitative obligations with respect to mitigation.</t>
  </si>
  <si>
    <t>The communities have the possibility of selling mitigation services on the carbon market. The possible problems are the difficulty of accessing this market and the low level of current prices for carbon credits. 
Niger supports the mechanisms of the international CO2 market, such as the Clean Development Mechanisms.
Carbon sequestration is a priority.</t>
  </si>
  <si>
    <t>2022-05-15 18:12:13</t>
  </si>
  <si>
    <t>COU-0084</t>
  </si>
  <si>
    <t>The energy sector will increase the percentage of electricity generation through renewable energy sources to 60% in 2030.
The project "Promotion of Environmentally Sustainable Transportation in Metropolitan Managua" is being implemented to reform the public transportation system in the Metropolitan area of Managua. Obtain a direct reduction of 892,000 tons of CO2 emissions over the next 20 years.
To protect the ozone layer, the consumption of CFCs was eliminated by 100% as of January 1, 2010 and a plan is being implemented for the elimination of HCFCs gases from 2012 to 2020.
In 2010, Nicaragua joined the Global Methane Initiative, which aims to reduce methane emissions, capturing it at a reasonable cost and using it as a source of clean energy. Until 2010, 1,512 biodigesters have been built, of which between 300 and 400 approximately are in operation.
Nicaragua's greenhouse gas emissions reported between 2000 and 2010 represent 0.01% of global emissions for that same period, values insignificant in world statistics.
https://www4.unfccc.int/sites/ndcstaging/PublishedDocuments/Nicaragua%20First/Contribucion%20Nacionalmente%20Determinada%20Nicaragua.pdf</t>
  </si>
  <si>
    <t>2023-09-09 16:29:41</t>
  </si>
  <si>
    <t>COU-0085</t>
  </si>
  <si>
    <t>The goal is for Norway to become a low-emission society by 2050. By low-emission society is meant a society where greenhouse gas emissions, based on the best scientific basis, emission developments globally and national circumstances, are reduced to counteract the harmful effects of global warming as described in the Paris Agreement 12 December 2015 Article 2 (1) (a).
The goal is for greenhouse gas emissions in 2050 to be reduced by around 90 to 95 per cent from the emission level in the reference year 1990.
(https://lovdata.no/dokument/NLE/lov/2017-06-16-60)</t>
  </si>
  <si>
    <t>"Economy-wide, emission reductions by at least 55 per cent in 2030 compared to base year (1990) emissions. The target covers all sectors and greenhouse gases." ( https://unfccc.int/sites/default/files/NDC/2022-11/NDC%20Norway_second%20update.pdf)</t>
  </si>
  <si>
    <t>Archived Norweigan climate change updates can be found here: https://www4.unfccc.int/sites/NDCStaging/pages/Party.aspx?party=NOR</t>
  </si>
  <si>
    <t>https://unfccc.int/sites/default/files/NDC/2022-11/NDC%20Norway_second%20update.pdf</t>
  </si>
  <si>
    <t>Gases included in the 2030 NDC target are: Carbon dioxide (CO2), methane (CH4), nitrous oxide (N2O), perfluorocarbons (PFCs), hydrofluorocarbons (HFCs), sulphur hexafluoride (SF6) and nitrogen trifluoride (NF3)</t>
  </si>
  <si>
    <t xml:space="preserve">The plan refers to human rights, food security, a 'just transition', indigenous people and gender equality. It also 'takes into account national circumstances, including the fact that Norway is a high-income country that should undertake ambitious emission reduction targets.' 
(https://unfccc.int/sites/default/files/NDC/2022-11/NDC%20Norway_second%20update.pdf)
Whilst there is an annual public reporting mechanism, the Climate Change Act (Lov om klimamål) is reviewed every five years - making the next review due in 2027 [https://www.regjeringen.no/en/dokumenter/norways-eighth-national-communication/id2971116/?ch=1]
</t>
  </si>
  <si>
    <t>Mentions forests and wood harvesting for carbon removal as well as CCS plants. CCS-based removals are tentatively described as 'done using combustion of biomass in power plants combined with carbon capture and storage (bioenergy with CCS, or BECCS)' [https://unfccc.int/sites/default/files/resource/LTS1_Norway_Oct2020.pdf]. Moreover, there is a plan to use blue hydrogen production during this transition period in lowering emissions [https://www.regjeringen.no/en/aktuelt/speech-at-enercy-connected/id2913609/].
'A full-scale CCS demonstration project, Longship, for capture, transport and storage of CO2 is under development in Norway. The Longship project is a central part of the Norwegian government’s policy for CO2-management, and of Norway’s contribution to developing necessary climate technologies. The project consists of two Norwegian CO2 capture facilities, Hafslund Oslo Celsio (waste incineration) and Norcem (cement), and a CO2 transport and storage project, The Northern Lights (Equinor, Shell and Total). The permanent storage will take place on the Norwegian continental shelf. Northern Lights is engaging with industrial emitters around the North Sea to enlarge the project in a possible next phase.' [https://www.regjeringen.no/en/dokumenter/norways-eighth-national-communication/id2971116/?ch=1]</t>
  </si>
  <si>
    <t>2023-04-19 12:23:34</t>
  </si>
  <si>
    <t>COU-0086</t>
  </si>
  <si>
    <t>Nepal has made a commitment to achieving a net-zero emission by 2045.
In his address to the World Leaders Summit during the 26th Conference of Parties (COP26) of the UN Framework Convention on Climate Change (UNFCCC) in Glasgow, United Kingdom, on Monday, Nepal’s delegation head, Prime Minister Sher Bahadur Deuba made the announcement.</t>
  </si>
  <si>
    <t>'...net CO2 emissions will be reduced by 30 mMtCO2 in 2030 and 50 mMtCO2 in 2050.' [https://unfccc.int/sites/default/files/resource/NepalLTLEDS.pdf]</t>
  </si>
  <si>
    <t>https://unfccc.int/sites/default/files/resource/NepalLTLEDS.pdf</t>
  </si>
  <si>
    <t xml:space="preserve">Carbon removal: Nepal is part of the World Banks Forest Carbon Partnership Facility (FCPF) [https://kathmandupost.com/climate-environment/2021/02/27/everything-you-need-to-know-about-nepal-s-carbon-trade-deal]
</t>
  </si>
  <si>
    <t>2023-03-20 14:46:07</t>
  </si>
  <si>
    <t>COU-0087</t>
  </si>
  <si>
    <t>indicative actions to achieve 50% renewable energy capacity
• install 6mw solar photovoltaic farm with 5mw/2.5mw battery capacity
• conduct technical assessment of non-solar sources of renewable energy such as ocean
thermal energy conversion and waste-to-energy
• conduct technical assessment of low-carbon transport options</t>
  </si>
  <si>
    <t xml:space="preserve">Nauru has increased its unconditional greenhouse gas emission reduction target from 10% to 14%.
Nauru aspires to achieve a balance between anthropogenic emissions by sources and removals by sinks by 2050, on the basis of equity and in the context of sustainable development and efforts to eradicate poverty. This updated NDC sets the beginning of the path for Nauru to progress towards our aspiration of achieving net zero greenhouse gas emissions by 2050. But achieving this aspirational goal will be contingent on the effective mobilization of sufficient international financial, technical and capacity building support. 
Nauru has in recent years begun to expand our solar generation capacity through a number of
projects with the support of the United Arab Emirates, New Zealand and the European Union, and is in
the beginning stages of embarking on a major 6MW solar project with 5 MW/2.5MWh battery storage
capacity with the ADB. This project, which is projected to reduce Nauru’s greenhouse gas emissions by
11,155 tons of CO2 equivalent annually, will place Nauru within reach of nearly achieving its renewable energy objectives. But Nauru’s ability to fully reach our 50% renewable energy goal will be tied closely to the success of our efforts on energy efficiency. </t>
  </si>
  <si>
    <t>https://unfccc.int/sites/default/files/NDC/2022-06/Nauru%20Updated%20NDC%20pdf.pdf</t>
  </si>
  <si>
    <t>2023-06-07 17:13:43</t>
  </si>
  <si>
    <t>COU-0088</t>
  </si>
  <si>
    <t xml:space="preserve">From Climate Change Law: '[...]The target for emissions reduction (the 2050 target) requires that— (a) net accounting emissions of greenhouse gases in a calendar year, other than biogenic methane, are zero by the calendar year beginning on 1 January 2050 and for each subsequent calendar year... (b) emissions of biogenic methane in a calendar year—(i) are 10% less than 2017 emissions by the calendar year beginning on 1 January 2030; and (ii) are 24% to 47% less than 2017 emissions by the calendar year beginning on 1 January 2050 and for each subsequent calendar year.[...]' (https://www.legislation.govt.nz/act/public/2019/0061/latest/whole.html#LMS183771)
</t>
  </si>
  <si>
    <t xml:space="preserve">Emissions will be reduced by 50 percent below gross 2005 levels by 2030, which corresponds to a 41 percent reduction when managed using a multi-year emissions budget, this equates to 571 Mt CO2e over 2021-2030. 
(https://unfccc.int/sites/default/files/NDC/2022-06/New%20Zealand%20NDC%20November%202021.pdf) </t>
  </si>
  <si>
    <t>https://www.legislation.govt.nz/act/public/2019/0061/latest/whole.html#LMS183791</t>
  </si>
  <si>
    <t>Schedule for regular review of measures|Measures for all emission scopes that are covered by the target|Information on the extent to which measures will be applied (e.g. if switching to EVs, what share of the fleet; if installing an own solar PV installation, what is the installed capacity)|Information on the emission reductions expected from these measures within a certain time period</t>
  </si>
  <si>
    <t xml:space="preserve">Plan: sector sub-targets &amp; emissions reductions expected (p. 33, Chpters 10- 16); schedule for regular review of emissions budgets (p. 12, 33). 
(https://cdn.climatepolicyradar.org/navigator/NZL/2022/aotearoa-new-zealand-s-first-emissions-reduction-plan-erp_bfc5ebf2046c5323a22fc211ce9740c0.pdf) 
Equity: 'We need to ensure an equitable transition for Māori, led by Māori, to uphold their rights and interests under Te Tiriti o Waitangi. That will require building Crown– Māori relationships and capability to work together as equal partners on our climate response...' (p. 15, Emissions Reduction Plan) 
International equity
"The Climate Change Response Act (CCRA) recognises the Government’s responsibility to give effect to the principles of the Treaty of Waitangi. The CCRA requires emissions reduction plans to include a strategy to recognise and mitigate the impacts on Māori, and that Māori are adequately consulted on these plans."
Accountability: 'The Minister of Climate Change is responsible for achieving successive emissions
budgets and the long-term 2050 target.' </t>
  </si>
  <si>
    <t>Must be high environmental integrity</t>
  </si>
  <si>
    <t>Emissions budgets must be met, as far as possible, through domestic emissions reductions and domestic removals.
'Commission must advise the Minister... the appropriate limit on offshore mitigation that may be used to meet an emissions budget, and an explanation of the circumstances that justify the use of offshore mitigation'</t>
  </si>
  <si>
    <t>End target: 'Emissions budgets must be met, as far as possible, through domestic emissions reductions and domestic removals. However, offshore mitigation may be used if there has been a significant change of circumstance, (a)
that affects the considerations on which the relevant emissions budget was based; and (b)
that affects the ability to meet the relevant emissions budget domestically.' (section 5Z, Climate Change Response Act). 
Nature based solutions which may be used include the restoration of wetlands, peatlands, mangroves, and native forests (p. 83, Emissions Reduction Plan). 
Conditions: "The Government is in the early stages of developing a portfolio for accessing offshore mitigation, including exploring options to: &gt; source or support offshore mitigation activities that meet the requirements for environmental integrity..." [www.treasury.govt.nz/sites/default/files/2023-04/cefa23.pdf]
Interim target: "New Zealand plans to achieve its 2021-2030 NDC target, by prioritising domestic emissions reductions across all sectors and greenhouse gases and increasing carbon dioxide removals through forestry." (https://unfccc.int/sites/default/files/NDC/2022-06/New%20Zealand%20NDC%20November%202021.pdf)</t>
  </si>
  <si>
    <t>2022-05-30 10:49:29</t>
  </si>
  <si>
    <t>COU-0089</t>
  </si>
  <si>
    <t xml:space="preserve"> Member of Climate Ambition Alliance</t>
  </si>
  <si>
    <t xml:space="preserve">akistan  aim of conditional and voluntary contributions of overall 50% reduction of its projected emissions by 2030, with an unconditional 15% drop below business as usual (BAU) from the country’s own resources, and an additional 35% drop below BAU subject to international financial support.
pakistan has divided its end target into several smaller targets in areas including : renewable energy, transportation, coal, land use change and forestry. these goals include: 
 - aiming for 60 % of all energy produced in the country to be generated from renewable energy resources including hydropower by 2030.
-  aiming for 30 % of all new vehicles sold in pakistan in various categories to be electric vehicles (evs).
- from 2020, ensuring that new coal power plants are subject to a moratorium, and no generation of power through imported coal shall be allowed, shelving plans for two new coal fired power plants in favor of hydroelectric power and focusing on coal gasification and liquefaction for indigenous coal.
2016 onwards, continued investments in nbs through the largest ever afforestation program in the history of the country—the ten billion tree tsunami programme (tbttp)—will sequester 148.76 mtco2e emissions over the next 10 years. the estimated project cost of about us$800 million is being met nationally from indigenous resources as an unconditional contribution.
</t>
  </si>
  <si>
    <t>https://www4.unfccc.int/sites/ndcstaging/PublishedDocuments/Pakistan%20First/Pakistan%20Updated%20NDC%202021.pdf</t>
  </si>
  <si>
    <t>The new NDC submission in 2021 includes  sectors like gases (HFC - Hydrofluorocarbons and
Nitric acid), and short-lived climate pollutants (SLCP), not covered in the previous NDC of
2016. The additional sectors include blue carbon ecosystems, health, waste, Water Sanitation
and Hygiene (WASH), air pollution, gender and youth.</t>
  </si>
  <si>
    <t>As a signatory to the Paris Agreement, Pakistan's updated NDC,  states that it agrees that is required under Enhanced Transparency Framework (ETF), to regularly track
the progress on contributions, and particularly to put in place methodological tools necessary to account for GHG emissions, track mitigation, and adaptation Policies &amp; Measures (P&amp;M) as
well as support needed and received. Further, under the ETF, Parties are expected to submit their first biennial transparency reports (BTRs) and national inventory reports, if submitted
separately, no later than 31 December 2024.</t>
  </si>
  <si>
    <t>2022-05-29 09:22:01</t>
  </si>
  <si>
    <t>COU-0090</t>
  </si>
  <si>
    <t xml:space="preserve">Finalmente, es importante indicar que el Perú iniciará en el año 2021 el proceso de actualización de su
Estrategia Nacional ante el Cambio Climático con un
horizonte al año 2050. En ese sentido, ha iniciado la
generación participativa de dos referentes importantes con relación a la mitigación de GEI y la adaptación
al cambio climático a través de la elaboración, por un
lado, del Estudio Técnico para la Carbono Neutralidad
del Perú al 2050 y, por otro, del desarrollo del Plan Nacional de Adaptación, con horizontes temporales hacia
los años 2030 y 2050. </t>
  </si>
  <si>
    <t xml:space="preserve">2020 NDC unconditional target:
1) Keep GHG emissions below 208,8 MtCO2eq by 2030  (excluding land use, land-use change and forestry - LULUCF sector).
2020 NDC conditional target (subject to financial support):
1) Keep GHG emissions below 179,0 MtCO2eq by 2030 (excluding land use, land-use change and forestry - LULUCF sector).
By 2030, 20% GHG emission reduction (non-conditional) and additional 10% (conditional) comparison to BAU. </t>
  </si>
  <si>
    <t>https://www4.unfccc.int/sites/ndcstaging/PublishedDocuments/Peru%20First/Reporte%20de%20Actualizacio%CC%81n%20de%20las%20NDC%20del%20Peru%CC%81.pdf</t>
  </si>
  <si>
    <t>GHG coverage: GEI considerados: Dióxido de carbono (CO2), metano (CH4), óxido nitroso (N2O), hidrofluorocarburos (HFC), per-fluorocarburos (PFC) y hexafluoruro de azufre (SF6).</t>
  </si>
  <si>
    <t>2023-03-20 15:35:08</t>
  </si>
  <si>
    <t>COU-0091</t>
  </si>
  <si>
    <t>Under the BAU scenario, emissions would be 140 thousand tCO2e in 2025, compared to 68 thousand tCO2e if both the renewable energy and energy efficiency targets are met. Full implementation of the energy strategies puts Palau on a trajectory to reducing emissions by "half"* as against BAU in 2025.
*calculation: 68,000/140,000 is approximately 0.48.</t>
  </si>
  <si>
    <t>https://www4.unfccc.int/sites/ndcstaging/PublishedDocuments/Palau%20First/Palau_INDC.Final%20Copy.pdf</t>
  </si>
  <si>
    <t>Gases covered: carbon dioxide and methane.</t>
  </si>
  <si>
    <t>To achieve the renewable energy target Palau will need installed capacity, including the 5MW of solar planned (two or more solar projects plus roof-top solar) plus 10 MW to power the water sector.  
Targets: (1) 22% energy sector emissions reductions below 2005 levels by 2025; (2) 45% renewable energy target by 2025; and (3) 35% energy efficiency target by 2025.
Equity: The Republic of Palau’s total emissions are de minimis in the global context. Given Palau’s remoteness, the small size of the economy, low GDP per capita, dependence on partnership support and vulnerability to climate change, Palau’s proposed targets are ambitious and fair as measured against other nations.
https://www4.unfccc.int/sites/ndcstaging/PublishedDocuments/Palau%20First/Palau_INDC.Final%20Copy.pdf
The government can achieve its 100% target through the deployment of more solar PV, wind and battery storage systems, in addition to decommissioning the diesel generators currently operating in the island.
https://www.irena.org/publications/2022/Jun/Republic-of-Palau-Renewable-Energy-Roadmap</t>
  </si>
  <si>
    <t>No intention to use market-based mechanisms to meet target.
https://www4.unfccc.int/sites/ndcstaging/PublishedDocuments/Palau%20First/Palau_INDC.Final%20Copy.pdf</t>
  </si>
  <si>
    <t>2023-03-20 15:03:38</t>
  </si>
  <si>
    <t>COU-0092</t>
  </si>
  <si>
    <t xml:space="preserve">the [climate compatible development management policy accords] outlines the government’s commitment to be 50% carbon-neutral by 2030
</t>
  </si>
  <si>
    <t xml:space="preserve">To help reach carbon neutrality by 2050 there is a target to reduce annual emissions from deforestation and forest degradation by 10,000Gg of carbon dioxide equivalent emissions compared to 2015 levels. </t>
  </si>
  <si>
    <t xml:space="preserve">The country aims to achieve carbon neutrality in energy industries by 2030.
Increasing levels of renewables in the energy mix for on-grid connection – through increasing the share of installed capacity of renewable energy from 30 percent in 2015 to 78 percent in 2030
By 2030, annual net emission from deforestation and forest degradation due to agriculture expansion and commercial logging is reduced by 10,000 Gg CO2eq comparing to 2015 level.
</t>
  </si>
  <si>
    <t>To reach carbon neutrality by 2050, there is a target to achieve carbon neutrality within the energy industries by 2030. idea that will be completed by increasing the proportion of on-grid electricity generation powered by renewables to 78% by 2030 and png is currently on track to achieve this target. 
goal to reduce annual deforestation and forest degradation by 25% against 2015 levels by 2030 (equating to a reduction of 43,300 ha of annual degradation). 
https://unfccc.int/sites/default/files/resource/PNG_BUR2_including%20REDD%20%20TA.pdf
CCDMP can be accessed at: 
https://storage.googleapis.com/cclow-staging/196fp35oiht2vnuo6ineic8p1fl0?GoogleAccessId=laws-and-pathways-staging%40soy-truth-247515.iam.gserviceaccount.com&amp;Expires=1679332725&amp;Signature=biqt8TibSOS7AZab71oAku7udeFC5t7jXf%2FYf3S%2Fck6SklJXF2fCrsxyb%2Boa%2FkzTI4ZMuXrKaO5yFK4rJzaAtQFL7K0s0tSweToDy8FQlrPl0cMSf1Iz9ik%2Bk7YICU6XaO%2BxoDn2QYQIBF%2FmlsDoBmYeXbQ%2Fmfol6PIJyuAGRsa00K3BZyWl9GpiltPXh08Su6ZL1RwMh3Z1uS%2FQ87BYJZoJqTakHEQIoYeijO8jll8UTUgpI9fq7YXe8KBIP60UpEeW6lVCutMGIXJQ6sJBPwgPgUbeK%2FfmdnX9bYiPx7IQn3xPRp34VYU3ATx58U2%2BYmLWKMtR6yv2ZhKE9rtbAw%3D%3D&amp;response-content-disposition=inline%3B+filename%3D%22f%22%3B+filename%2A%3DUTF-8%27%27f&amp;response-content-type=application%2Fpdf 
See also: https://cdn.climatepolicyradar.org/navigator/PNG/2014/national-climate-change-compatible-development-management-policy_8b802e43a64d7a65245b3c0129b8dd09.pdf</t>
  </si>
  <si>
    <t>https://pacificndc.org/sites/default/files/2020-12/PNG%20Enhanced%20NDC%202020_0.pdf</t>
  </si>
  <si>
    <t>Carbon dioxide and methane are gases covered.
https://www4.unfccc.int/sites/ndcstaging/PublishedDocuments/Papua%20New%20Guinea%20First/PNG_INDC%20to%20the%20UNFCCC.pdf</t>
  </si>
  <si>
    <t>Information on the extent to which measures will be applied (e.g. if switching to EVs, what share of the fleet; if installing an own solar PV installation, what is the installed capacity)</t>
  </si>
  <si>
    <t>The target is 100% renewable energy by 2030, contingent on funding made available. 
Electricity supply: The installed capacity of hydro of around 200MW presents a storage facility for intermittent renewable inputs to be fed to Port Moresby grid. There is geothermal potential, with 56 MW installed (2010) and 22 TWh/annum possible. Any final balance needed to achieve close to 100% renewables could be filled using solar PV.
Papua New Guinea will opt for a national target in the electricity sector to become carbon free by 2030. 
Equity: Papua New Guinea has low absolute emissions and relatively low per capita emissions. The nation is, however, committed to contribute to the reduction of global emissions by transitioning to a low carbon economy.
https://www4.unfccc.int/sites/ndcstaging/PublishedDocuments/Papua%20New%20Guinea%20First/PNG_INDC%20to%20the%20UNFCCC.pdf</t>
  </si>
  <si>
    <t>Avoid biodiversity harm</t>
  </si>
  <si>
    <t>Carbon offset project in April Salumei forest, Papua New Guinea: https://www.climatepartner.com/en/carbon-offset-projects/forest-conservation-papua-new-guinea
600,000 hectares of rainforest in April Salumei, Papua New Guinea is a carbon dioxide sink: https://www.climatepartner.com/en/carbon-offset-projects/forest-conservation-papua-new-guinea
Policies will support conservation and enhancement of forest carbon stocks, thereby leading to removals from the forestry sector.
https://www4.unfccc.int/sites/ndcstaging/PublishedDocuments/Papua%20New%20Guinea%20First/PNG_INDC%20to%20the%20UNFCCC.pdf</t>
  </si>
  <si>
    <t>2022-06-22 19:47:51</t>
  </si>
  <si>
    <t>COU-0093</t>
  </si>
  <si>
    <t>In some parts of the text, the Portuguese government compares the target with the 2005 baseline, as it follows: Carbon neutrality by 2050 is economically and technologically feasible and is based on a reduction in emissions of between 85% and 90% by 2050, compared with 2005 and offsetting the remaining emissions through a carbon sink provided by land use and forests. The trajectory to neutrality allows the anticipation of greenhouse gas emission reductions of between -45% and -55% by 2030 and between -65% and -75% by 2040, compared to 2005.</t>
  </si>
  <si>
    <t>https://unfccc.int/sites/default/files/resource/HR-03-06-2020%20EU%20Submission%20on%20Long%20term%20strategy.pdf</t>
  </si>
  <si>
    <t xml:space="preserve">Reduction of energy intensity in industry by -52% to -64% by 2050.
Aviation and shipping accounting for only 4% of
emissions. 
https://unfccc.int/sites/default/files/resource/RNC2050_EN_PT%20Long%20Term%20Strategy.pdf
Portugal’s average annual emissions in the decade 2007-2017 were 69 Mt CO2 (54 to 74 Mt CO2). When broken down by sector, national emissions are distributed by: 25% in energy production, 25% in transport, 23% in industry, 10% in agriculture, 8% in other energy uses; and 8% in waste.
National Carbon Neutrality Roadmap (https://unfccc.int/sites/default/files/resource/RNC2050_EN_PT%20Long%20Term%20Strategy.pdf) advises that targets do not include international shipping or aviation
</t>
  </si>
  <si>
    <t xml:space="preserve">Portugal has a series of governance structures:
1. National and political level:
- Interministerial Commission on Air, Climate Change and the Circular Economy (CA)
2. Technical level with sectoral articulation
- SPeM14 and the National System of Inventory of Emissions and Removal of Atmospheric Pollutants (SNIERPA) 
- CA2 provides guidance of a political nature and promotes the articulation and integration of climate change policies into sectoral
policies and monitoring of the implementation of the relevant sectoral measures, programs and actions that are adopted.
3. Monitoring and assessment 
- The National System of Policies and Measures (SPeM) aims to involve and strengthen sectoral accountability in integrating the
climate dimension into sectoral policies; ensure monitoring, follow-up and reporting of implementation of the policies and measures
and their effects, and reporting of the projections of greenhouse gas emissions and other air pollutants
</t>
  </si>
  <si>
    <t>Portugal doesn't establish any tangible way to capitalize the carbon offsets. 
The Government's plan is to achieve a GHG emissions reductions around 90% by 2050 and offset the rest.
Carbon sinks are the result of some land uses, notably in agriculture, pastures, forests and scrubland, and, during this period, they
absorbed from the atmosphere about -8.5 Mt CO2 (from -13 to +7 Mt CO2), or about -12% of the emissions from the other sectors8.
The net total of emissions and carbon sinks is therefore currently 60 Mt CO2, and this is the order of magnitude that will have to be
reduced by 2050 in order to achieve carbon neutrality.
National Carbon Neutrality Roadmap (https://unfccc.int/sites/default/files/resource/RNC2050_EN_PT%20Long%20Term%20Strategy.pdf) advises "The national commitment does not foresee having recourse to international carbon credits to achieve the carbon neutrality goal"</t>
  </si>
  <si>
    <t>2023-04-15 10:49:11</t>
  </si>
  <si>
    <t>COU-0094</t>
  </si>
  <si>
    <t>That is why Rwanda is committed to reducing emissions by 38% in the next decade, and reach Net Zero by 2050.</t>
  </si>
  <si>
    <t>Rwanda’s mitigation contribution takes the form of a reduction in GHG emissions relative to a business-as-usual (BAU) emissions baseline over the period 2015-2030. Rwanda’s latest GHG inventory data is reported in its Third National Communication (TNC) report to the UNFCCC and covers emissions up to the year 2015. This year is adopted as the NDC baseline year... Unconditional contribution: A reduction of 16 per cent relative to BAU in the year 2030; equivalent to an estimated mitigation level of 1.9 million tonnes of carbon dioxide equivalent (tCO 2 e) in that year. This is an unconditional target, based on domestically supported and implemented mitigation measures and policies
Conditional contribution: An additional reduction of 22 per cent relative to BAU in the year 2030; equivalent to an estimated mitigation level of 2.7 million tCO2e in that year. This represents an additional targeted contribution, based on the provision of international support and funding</t>
  </si>
  <si>
    <t>https://www4.unfccc.int/sites/ndcstaging/PublishedDocuments/Rwanda%20First/Rwanda_Updated_NDC_May_2020.pdf
https://cop25.mma.gob.cl/wp-content/uploads/2020/02/Annex-Alliance-ENGLISH.pdf</t>
  </si>
  <si>
    <t>https://unfccc.int/sites/default/files/resource/RWANDA_cop26cmp16cma3_HLS_EN.pdf</t>
  </si>
  <si>
    <t>The net zero target's GHG scope is not clear. However, the interim target covers methane, nitrous oxide, carbon dioxide.</t>
  </si>
  <si>
    <t>Estimated GHG mitigation potential in 2030 from mitigation measures: (a) energy: 1.53 MtCO2e; (b) agriculture: 2.24 MtCO2e; (c) waste: 0.66 MtCO2e; and (d) industrial processes and product use: 0.13 MtCO2e.
No plan for net zero target but there is a plan for the interim target: (a) development of 56.75 MW large hydro capacity (capacity &gt; 5 MW), 24.5 MW small hydro projects (capacity &lt;5MW) and 75 MW regional projects by 2030. Displacement of GHG emissions from fossil fuel power generation (peat, diesel oil); (b) installation of solar lighting and LED systems to replace high-pressure sodium lamps for street lighting and public spaces within populated areas and main roads by 2024. Reduction of grid-based GHG emisisons; and (c) dissemination of modern efficient cook stoves to 80% of the rural population and 50% of the urban population by 2030.
Biennial (every two years) update reports.
https://www4.unfccc.int/sites/ndcstaging/PublishedDocuments/Rwanda%20First/Rwanda_Updated_NDC_May_2020.pdf</t>
  </si>
  <si>
    <t>Work is ongoing to quantify removals from forestry.
National communications to be submitted every four years, covering measurements of GHG removals by sinks.
https://www4.unfccc.int/sites/ndcstaging/PublishedDocuments/Rwanda%20First/Rwanda_Updated_NDC_May_2020.pdf
National Strategy for Transformation (NST1) 2017-2024 (2017) includes focus on forest management</t>
  </si>
  <si>
    <t>2022-05-24 15:16:40</t>
  </si>
  <si>
    <t>COU-0095</t>
  </si>
  <si>
    <t>senegal commits to unconditionally reduce its ghg emissions by 4% and 5% by 2025 and 2030 respectively.</t>
  </si>
  <si>
    <t>Reduce emission on BAU by 4% and 5% respectively in 2025 and 2030 (unconditional). 
Reduce emissions on BAU by 15% and 21% over the same years (conditional).</t>
  </si>
  <si>
    <t>https://www.climatelinks.org/resources/greenhouse-gas-emissions-factsheet-senegal</t>
  </si>
  <si>
    <t>Gases: NO2 and CO.
Restrictions on used car importation: (1) The age limit for used cars that can be imported in Senegal is 8 years. (2) Pre-importation inspection is required for road worthiness.
https://wedocs.unep.org/bitstream/handle/20.500.11822/17099/Senegal.pdf?sequence=1&amp;isAllowed=y</t>
  </si>
  <si>
    <t>Energy sector policy development letter 2012-2017: Diversification of energy sources by introducing coal and natural gas with an objective of 20% in installed electrical capacity from renewable energy in 2017.
https://wedocs.unep.org/bitstream/handle/20.500.11822/17099/Senegal.pdf?sequence=1&amp;isAllowed=y
Senegal will strengthen the distribution of electricity through a renewable energy program (solar, wind, and hydro) and rural electrification. In 2016, the Ministry of Energy and Development of Renewable Energy prepared a National Rural Electrification Program to achieve universal access to electricity by 2025. Senegal aims to strengthen the public transport system through Bus Rapid Transit.
https://www.climatelinks.org/sites/default/files/asset/document/2016_USAID_Senegal%20GHG%20Emissions%20Fact%20Sheet.pdf</t>
  </si>
  <si>
    <t>The removals of carbon emissions through forest are estimated at two million tonnes of C02 in 2010. This is equal to 5% of the total emissions of the country. 
https://www.unccd.int/sites/default/files/inline-files/Senegal.pdf</t>
  </si>
  <si>
    <t>2023-03-20 15:03:47</t>
  </si>
  <si>
    <t>COU-0096</t>
  </si>
  <si>
    <t>Solomon Islands will commit to reduce its emissions by 14% by 2025 below 2015 and by 33% below 2015 by 2030 compared to a business-as-usual projection (NDC, p.9)
If and when Paris Agreement addresses international assistance to access financial and technical resources, Solomon Islands can, with international assistance, contribute:
• a further 27% reduction in GHG emissions by 2025, and
• a further 45% reduction in GHG emissions by 2030, compared to BaU projection.
With appropriate international assistance, Solomon Islands can achieve net zero emissions by 2050.
BaU projections are based on fossil fuel  consumption data for the period 1994-2010, with line of best fit extrapolation to 2030.</t>
  </si>
  <si>
    <t xml:space="preserve">Year when current target status was reached - this document was published in 2021 but within the document states mitigation contribution from March 2020 (NDC, p.9)
I have put .00 because it is Reduction v BAU but does not specify target emissions and BAU emissions. 
For the Interim target 'percentage reduction' field, I have used the unconditional reduction and the earliest interim target date (as there is another one for 2030, as well as conditional targets). 
</t>
  </si>
  <si>
    <t>https://unfccc.int/sites/default/files/NDC/2022-06/NDC%20Report%202021%20Final%20Solomon%20Islands%20%281%29.pdf</t>
  </si>
  <si>
    <t>Sector coverage (NDC, p.9): 
- Energy: Electricity generation (39%) and Transport (sea and land transport – 61%)
- Agriculture, Forestry and Land Use (AFOLU), and Coastal and Marine ecosystems
GHG coverage: Carbon dioxide only (more than 95% of inventory)</t>
  </si>
  <si>
    <t xml:space="preserve">EQUITY The Solomon Islands is a small contributor to the greenhouse gas emissions by any measurable indicator and yet it is at the frontline of the adverse impacts of climate change and sea level rise. Solomon Islands has a right to develop its economy and improve the well-being of its population. Thus Solomon Islands contribution towards limiting the global temperature to below 1.5oC relative to pre-industrial levels provides a moral imperative as a global citizen. The government has embarked on a number of actions which will result in increasing the use of renewable energy technologies, improving energy security and reduction of GHG emissions. However, the main focus for long term sustainable development still remains the issue of addressing the adverse impacts of climate change (NDC, p.21). 
</t>
  </si>
  <si>
    <t xml:space="preserve">NDC covers combustion of fossil fuels and forest carbon sequestration (NDC, p.10)
Carbon credits: Solomon Islands will consider other avenues as well as market-based mechanisms to support establishment and operation of a National Climate Change Trust Fund. Solomon Islands intends to use the market and non-market mechanisms under Article 6 of the Paris Agreement (NDC, p.10). </t>
  </si>
  <si>
    <t>2022-05-24 13:07:52</t>
  </si>
  <si>
    <t>COU-0097</t>
  </si>
  <si>
    <t>the indc limits the carbon footprint and intends to maintain the emission levels of sierra leone relatively low (close to the world average of 7.58 mtco2e) by 2035.</t>
  </si>
  <si>
    <t>The country does not have absolute emission reduction targets. 
Conditional contribution: Through the INDC, Sierra Leone commits to implementing emissions-reduction actions, such as advancing a feed-in tariff for renewable energy technologies, phasing out fossil fuel subsidies, or converting to no-tillage agricultural practices. As a country whose emission levels are relatively low, Sierra Leone could not commit to a certain outcome—for example, reducing greenhouse gas emissions to a specific level. The domestic situation Sierra Leone faces i.e being solely dependent on fuel imports to meet minimum energy needs, reducing emissions further than BAU can only be achieved through country wide LEDs which the country has already adopted. 
Business as usual emissions is estimated to be 6.6 MtCO2e by 2030. This excludes downstream exploitation in the mining/extractive sector. The BAU projection methodology base year is 1990.</t>
  </si>
  <si>
    <t>https://www4.unfccc.int/sites/ndcstaging/PublishedDocuments/Sierra%20Leone%20First/SIERRA%20LEONE%20INDC.pdf</t>
  </si>
  <si>
    <t>Gases covered: Carbon dioxide (CO2), Methane (CH4) and Nitrous Oxide (N2O) are prioritized. 
Base year for gases covered: 2000/1990 (not relevant where reference level is applied).
Sierra Leone target covers all greenhouse gases included in the 1990 and 2000 inventories under INC and SNC.
https://www4.unfccc.int/sites/ndcstaging/PublishedDocuments/Sierra%20Leone%20First/SIERRA%20LEONE%20INDC.pdf</t>
  </si>
  <si>
    <t>There is a strategy to report climate change issues. Frequency unknown.
Equity:
i) The country’s capability to implement a climate change contribution is subject to limitations.
ii) The country has a small emissions profile, &lt;0.1% of global emissions and per capita emissions less than 0.2tCO2 per year.
iii) The country does not have absolute emission reduction targets, but chose green growth and a low emission pathway.
The country is determined to continue playing its part in addressing climate change.
https://www4.unfccc.int/sites/ndcstaging/PublishedDocuments/Sierra%20Leone%20First/SIERRA%20LEONE%20INDC.pdf</t>
  </si>
  <si>
    <t>Sierra Leone intends to present an intensity based reduction target by 25 to 35% by 2050 in the phase 2020-2030 compared to 1990 including use of international credits.
Unavoidable emissions will have to be compensated through sinks or removals.
To enhance carbon sinks, Sierra Leone proposed to undertake the internationally communicated pre-2020 GHG emissions reduction plans under the Copenhagen Accord.
https://www4.unfccc.int/sites/ndcstaging/PublishedDocuments/Sierra%20Leone%20First/SIERRA%20LEONE%20INDC.pdf</t>
  </si>
  <si>
    <t>2023-03-20 16:16:03</t>
  </si>
  <si>
    <t>COU-0098</t>
  </si>
  <si>
    <t>Conditional: contribute to the reduction of greenhouse gases by about 57 ktCO2eq, which approximately corresponds to a 24% national emission reduction by 2030 related to 2005.</t>
  </si>
  <si>
    <t>The type of contribution chosen by Sao tome and Principe is based on estimated results for the reduction of GHG emissions below BAU levels by 2030. In 2012, these emissions stood at approx. 154 GgCO2eq, while BAU projections indicate that by 2030 these emissions could reach 400 ktCO2eq, maintained the projected growth parametres adopted. To date the following measures were identified under STP’s contribution: I. Increase of renewables share in energy generation mix; II. reduction of grid power losses and improvement in energy efficiency; and, III. reduction of carbon-intensity of the mobility sector. By implementing these measures, STP will be able to contribute toward reducing GHG emissions by close to 109 GgCO2eq, corresponding to about 27% of emissions reduction against business as usual by 2030.
https://unfccc.int/sites/default/files/NDC/2022-06/Updated_NDC_STP_2021_EN_.pdf</t>
  </si>
  <si>
    <t>Gases: Carbon, methane, and nitrous oxide (CO2, CH4, N2O, respectively). Excluding the LULUCF sector since the country has been climate-neutral since the start of the national GHG emissions inventory calculations. Sectors: The contribution covers all relevant national economic sectors in relation to GHG emissions even though the LULUCF sector is excluded from projection calculations since total emissions would be negative.
Gases: CO2, CH4, NOx.
https://www4.unfccc.int/sites/ndcstaging/PublishedDocuments/Sao%20Tome%20and%20Principe%20First/STP_INDC%20_Ingles_30.09.pdf</t>
  </si>
  <si>
    <t>The measures which Sao Tome and Principe considered as potential contributions: (1) isolated mini power plant (1 MW); (2) hydro power plant connected to the main network (9 MW); (3) photovoltaic solar panels (12 MW); and (4) mini-hydro power plant connected to the main grid (4 MW). The implementation of these measures would mean an introduction of about 47% renewable energy in the national electricity system. Thus, Sao Tome and Principe would be able to reduce greenhouse gases by about 57 ktCO2eq, which approximately corresponds to a 24% national emission reduction by 2030 related to 2005.
The country elaborated a proposal for a monitoring and progress report.
Equity: The country is an absolute sink of greenhouse gases (contributes to the sequestration of CO2) and is one of the countries most affected by climate change. Sao Tome and Principe is willing to make efforts to reduce emissions depending on support it may receive from the international community.
https://www4.unfccc.int/sites/ndcstaging/PublishedDocuments/Sao%20Tome%20and%20Principe%20First/STP_INDC%20_Ingles_30.09.pdf
Governance: Building off the national and sectoral plans and comprehensive consultations, in 2018, the country elaborated, with support from the NDC Partnership, a NDC Implementation Plan to drive mitigation, adaptation and crosscutting components of its NDC. The NDC Implementation Plan serves as a planning, coordination, transparency, and resource mobilization tool for the Government and is being implemented with support from national and international stakeholders. Equity: Equity and Ambition – The evolution of STP’s emissions is insignificant in comparison to global emissions and in terms of net emissions, as of 2012, it continues as a net CO2 sink country. Nevertheless, STP is ready to make efforts towards the reduction of additional emissions, as it receives financial, and technological resources as well as capacity strengthening support. The evolution of STP’s emissions is insignificant in comparison to global emissions and, in terms of net 2012 emissions, continues to be a net CO2 sink country. Thus, in practical terms, its historic and current contributions towards global emissions is already neutral.</t>
  </si>
  <si>
    <t>Sao Tome and Principe wants to be supported by market mechanisms with high environmental integrity. Sao Tome and Principe supports the use of market mechanisms including the results of mitigation pre-2020, such as the use of Emission Reduction Certificates generated by CDM projects and programs.
The country is an absolute sink of greenhouse gases, i.e. it contributes to the sequestration of CO2. There is CO2 absorption in forests. Net emissions from LULUCF under the BAU scenario are expected to be around -630 ktCO2eq, indicating that Sao Tome and Principe will continue to be a carbon sink country, in which net absorptions will be -400 ktCO2eq.
https://www4.unfccc.int/sites/ndcstaging/PublishedDocuments/Sao%20Tome%20and%20Principe%20First/STP_INDC%20_Ingles_30.09.pdf
STP recognises its own acquired experience with the implementation of the Clean Development Mechanism and wishes now, within the context of high environmental integrity, to be supported by market mechanisms that contribute towards sustainable development and establish strong incentives to take advantage of the private sector’s potential. In the medium and long term, it intends to plan and use the carbon market or new market mechanisms. STP supports the use of market mechanisms, including the pre-2020 mitigation results</t>
  </si>
  <si>
    <t>2023-05-31 21:50:17</t>
  </si>
  <si>
    <t>COU-0099</t>
  </si>
  <si>
    <t xml:space="preserve">Suriname joined a subgroup (Annex II) of the Climate Action Alliance who pledged to be 'working towards achieving net-zero CO2 emissions by 2050'.
However, Suriname's second NDC states that "Suriname's forests act as a carbon sink of global significance, making it a carbon-negative country." President Santhoki also referred to Suriname as a carbon negative country at the COP26 in Glasgow (https://www.dbsuriname.com/2021/11/02/president-santokhi-spreekt-cop26-toe-wereld-moet-suriname-erkennen-en-steunen-voor-behoud-bos-en-biodiversiteit/) The country's most recent GHG Inventory data is from 2008. The 2nd National Communication (2016) and the 2nd NDC (2020) both use this data, but provide different data points. It is not possible to verify whether Suriname is indeed a carbon negative country.
</t>
  </si>
  <si>
    <t>Updated NDC refers to 'Sectoral policies and measures' and 'Renewable electricity non-GHG target' 
(https://www4.unfccc.int/sites/ndcstaging/PublishedDocuments/Suriname%20Second/Suriname%20Second%20NDC.pdf)</t>
  </si>
  <si>
    <t>Greenhouse gases in NDC: CO2, N2O and CH4.
https://www4.unfccc.int/sites/ndcstaging/PublishedDocuments/Suriname%20First/Suriname%20First%20NDC.pdf
https://www4.unfccc.int/sites/ndcstaging/PublishedDocuments/Suriname%20Second/Suriname%20Second%20NDC.pdf</t>
  </si>
  <si>
    <t xml:space="preserve">Pertains to NDC only (no further developments on net zero target proposal from Climate Ambition Alliance)
Promote renewable energy access and the sustainable electrification of +200 villages in the interior by the replacement of diesel with solar supply and solar/hybrid systems from 2020 to 2025. The 2015 conditional contribution ensures the share of renewable energy stays above 25% by 2025. This NDC extends the target with an unconditional contribution to maintain the share of electricity from renewable sources above 35% by 2030.
The Final National Climate Change Policy, Strategy and Action Plan (2014-2021) aims to reduce GHGs (reduce traffic congestion and reuse road material) by amending the legislation to regulate levels from exhaust gases.
Suriname commits to introduce by 2027 vehicle emissions controls. Introduce a low or no emissions limit to exhaust gases/emissions from public and private vehicles such as cars, trucks, buses and other vehicles from 2020 to 2025.
Equity: Suriname‘s climate actions make a significant contribution to the Paris Agreement. Considering Suriname’s domestic circumstances and capabilities, the maintenance of the carbon stock and sectoral emission reductions are undertaken on the basis of equity.
https://www4.unfccc.int/sites/ndcstaging/PublishedDocuments/Suriname%20Second/Suriname%20Second%20NDC.pdf
</t>
  </si>
  <si>
    <t xml:space="preserve">Suriname has a forest carbon sink and commits to maintaining 93% forest cover. The forests stored 22,862 Gt CO2e in 2017.
https://unfccc.int/sites/default/files/resource/SURINAME%20NC3_2023_FINAL.pdf </t>
  </si>
  <si>
    <t>2022-06-01 14:20:34</t>
  </si>
  <si>
    <t>COU-0100</t>
  </si>
  <si>
    <t>This Strategy aims to identify measures, including additional measures, to achieve climate neutrality in Slovakia by 2050.</t>
  </si>
  <si>
    <t>Reduce GHG emissions by 40% in 2030 compared to 1990</t>
  </si>
  <si>
    <t xml:space="preserve">https://unfccc.int/sites/default/files/resource/LTS%20SK%20eng.pdf
https://ec.europa.eu/clima/sites/lts/lts_sk_en.pdf
https://cop25.mma.gob.cl/wp-content/uploads/2020/02/Annex-Alliance-ENGLISH.pdf </t>
  </si>
  <si>
    <t>https://unfccc.int/sites/default/files/resource/LTS%20SK%20eng.pdf</t>
  </si>
  <si>
    <t>2024-02-06 20:52:47</t>
  </si>
  <si>
    <t>COU-0101</t>
  </si>
  <si>
    <t>- From Slovenia's Resolution on the Long-Term Climate Strategy until 2050: Slovenija bo leta 2050 podnebno nevtralna in na podnebne spremembe odporna družba na temeljih trajnostnega razvoja.
– From Slovenia's Long-Term Climate Strategy Resolution (13/07/2021): '[T]he Republic of Slovenia sets a clear objective, i.e. to attain net zero emissions or climate neutrality by 2050. By setting the climate objective, the Climate Strategy is determining the goal of attaining net zero emissions by 2050 to other sectors and their sectoral policies. It also sets the strategic sectoral objectives for 2040 and  2050, which individual sectors must observe consistently and incorporate in their sectoral documents and plans.' (p.1, https://unfccc.int/sites/default/files/resource/LTS1_SLOVENIA_EN.pdf)</t>
  </si>
  <si>
    <t>2023 Update of the NDC of the European Union and its Member States:
'Regulation (EU) 2023/857 sets an EU-level greenhouse gas emission reduction target of 40% by 2030, compared to 2005, for the sectors that it covers. Each EU Member State will reduce its emissions from 2005 levels by 2030 in accordance with the following percentage:
...Slovenia 27%'
(https://unfccc.int/sites/default/files/NDC/2023-10/ES-2023-10-17%20EU%20submission%20NDC%20update.pdf)</t>
  </si>
  <si>
    <t>https://unfccc.int/sites/default/files/NDC/2023-10/ES-2023-10-17%20EU%20submission%20NDC%20update.pdf
https://unfccc.int/sites/default/files/resource/LTS1_SLOVENIA_EN.pdf</t>
  </si>
  <si>
    <t>https://unfccc.int/sites/default/files/resource/LTS1_SLOVENIA_EN.pdf</t>
  </si>
  <si>
    <t>– The target does not specify including international aviation or shipping, but the 'Action Plan for CO2 Emissions Reduction' does separately set 'the following objectives regarding the reduction of greenhouse gas emissions [...] in the field of transport: 20% reduction below the 2008 level by 2030, and at least a 70% reduction below the 2008 level by 2050' (https://www.ecac-ceac.org/images/activities/environment/Slovenia_Action_Plan_on_CO2_Emission_Reduction_2021.pdf) 
Note that the targets include international aviation, but do not set any quantifiable targets with regards to this.
[https://unfccc.int/sites/default/files/resource/LTS1_SLOVENIA_EN.pdf --&gt; p47]</t>
  </si>
  <si>
    <t xml:space="preserve">– On reporting: 'Participation of the public is possible while the report is being drafted. The National Assembly is informed about the adopted annual report. The adopted annual report is made public. At the international level, Slovenia is obliged to report to the EC and the United Nations Framework Convention on Climate Change (UNFCCC).' 
– Refers to equity in the future: 'The impact assessment of the socio-economic aspects will only be prepared by 2030.' </t>
  </si>
  <si>
    <t xml:space="preserve">– 'the projection with additional measures by 2040 foresees the employment of installation for carbon capture and utilisation (CCU)'  
(https://unfccc.int/sites/default/files/resource/4BR_2020_EN_SLOVENIA.pdf) 
– 'Slovenian Agriculture Minister Jože Podgoršek on Tuesday welcomed an initiative for a new business model for low-carbon farming that is based on the actual sequestration of carbon and involves the option of evaluating that on the market.' (https://sloveniatimes.com/slovenia-supports-new-business-model-of-low-carbon-farming/) </t>
  </si>
  <si>
    <t>2024-02-12 12:01:44</t>
  </si>
  <si>
    <t>COU-0102</t>
  </si>
  <si>
    <t xml:space="preserve">"By 2045, Sweden is to have zero net emissions of greenhouse gases into the atmosphere. This means that greenhouse gas emissions from activities in Sweden should be at least 85 percent lower than in 1990. The remaining 15 percent can be achieved through supplementary measures..." </t>
  </si>
  <si>
    <t>By 2030, emissions from domestic transport will be reduced by at least 70 per cent compared with 2010. By 2030, emissions in Sweden in the sectors that will be covered by the EU Effort Sharing Regulation should be at least 63 per cent lower than in 1990, out of which 8 percent may achieved through supplementary measures.. By 2040, emissions in Sweden in the sectors that will be covered by the EU Effort Sharing Regulation should be at least 75 per cent lower than in 1990, out of which 2 percent may achieved through supplementary measures.
(NB. Domestic aviation is not included in the goal since domestic aviation is included in the EU ETS.)</t>
  </si>
  <si>
    <t xml:space="preserve">Report by the Swedish Climate Policy Council is also useful: 
https://www.klimatpolitiskaradet.se/wp-content/uploads/2023/05/krrapport2023english11maj.pdf
Useful overview by the Swedish Government:
https://www.naturvardsverket.se/en/om-miljoarbetet/swedish-environmental-objectives/milestone-targets/ </t>
  </si>
  <si>
    <t>https://www.government.se/articles/2021/03/swedens-climate-policy-framework/</t>
  </si>
  <si>
    <t>p20 of Swedish Climate Policy Council report (https://www.klimatpolitiskaradet.se/wp-content/uploads/2023/05/krrapport2023english11maj.pdf) says:
"In April 2022, the Cross-Party Committee on Environmental Objectives appointed by Parliament proposed a new climate target for Sweden’s consumption-based emissions and a new target for the climate benefit of Sweden’s exports. The new targets are summarised, together with the territorial climate targets, in the objective that “By 2045, Sweden must have a negative global climate footprint”. This means that the emissions caused by Swedish consumption that occur in other countries should also reach net zero by 2045."
Also "Consumption-based emissions... include emissions not covered by the Paris Agreement, such as international shipping and aviation"
So in summary: current target doesn't cover these, but a target that does has been proposed and is under discussion.</t>
  </si>
  <si>
    <t>"The Government is required to present a climate report every year in its Budget Bill. Every fourth year, the Government is required to draw up a climate policy action plan to describe how the climate goals are to be achieved." (from main source)
p52 of Swedish Climate Policy Council report assess the climate policy action plan for 2019-22 and summarises thus:
"The Government has mainly met the requirements for the parts that have reported goals and existing policies, even if reporting on the effects of individual measures taken has been inadequate. However, there are no deadlines for the proposed measures or analyses of whether they are sufficient to achieve the climate targets and what additional measures may be needed." 
Accountability: "For the first time, Sweden also have an act under which each Government has an obligation to pursue a climate policy based on the climate goals adopted by the Riksdag [-Swedish Parliament]" (main source)</t>
  </si>
  <si>
    <t>Maximum percentage of emissions that can be offset</t>
  </si>
  <si>
    <t>"The remaining 15 percent can be achieved through supplementary measures such as increased carbon sequestration in forest and land, carbon capture and storage technologies (CCS) and emission reduction efforts outside of Sweden." (main source)
These removals are either in forests and land or through technical measures. (main source)</t>
  </si>
  <si>
    <t>2022-05-23 14:59:49</t>
  </si>
  <si>
    <t>COU-0103</t>
  </si>
  <si>
    <t>he republic of seychelles will reduce the economy-wide absolute ghg emissions by 122.5 ktco2e (21.4%) in 2025 relative to baseline emissions.
emissions reduction relative to business-as-usual baselines.</t>
  </si>
  <si>
    <t>Business As Usual scenario of emission projections based on economic growth in the absence of climate change policies, starting from 2010 in the case of public electricity and land transport sub-sectors (to which non-GHG outcomes have been applied) and 2012 for emission from solid waste management.t</t>
  </si>
  <si>
    <t>https://www4.unfccc.int/sites/ndcstaging/PublishedDocuments/Seychelles%20First/INDC%20of%20Seychelles.pdf</t>
  </si>
  <si>
    <t>Gases are CO2 and CH4. Emissions from other gases are insignificant.
https://www4.unfccc.int/sites/ndcstaging/PublishedDocuments/Seychelles%20First/INDC%20of%20Seychelles.pdf</t>
  </si>
  <si>
    <t>Schedule for regular review of measures|Information on the emission reductions expected from these measures within a certain time period</t>
  </si>
  <si>
    <t>The renewable energy sources together with legislation can contribute with 15% - 20% renewable energy in the supply matrix in 2030.  
Implementation of the policies can save 15% - 30% of electricity consumption towards 2030 compared to the baseline.
The Energy Policy proposed in 2010 set a target for 15% of energy supply to be met from renewable energy sources in 2030. 
The process of implementing the vision will be reviewed and reported by the Ministry of Environment, Energy and Climate Change.
Equity: Seychelles is an insignificant emitter of GHGs by world standard as it accounted for only 0.001% of the global emissions of GHGs in 2000 and less than 0.003% of world emissions in 2011.  In this context, the contribution of Seychelles is considered fair and ambitious.
https://www4.unfccc.int/sites/ndcstaging/PublishedDocuments/Seychelles%20First/INDC%20of%20Seychelles.pdf</t>
  </si>
  <si>
    <t>No intention to use market-based mechanisms to meet target.
The sink capacity of forests was 837,380 tCO2 in 2000 with an expected loss in sink capacity of 1% every 5 years.  
Excluding the offsetting capacity of ocean biomass and marine ecosystems (or blue carbon), Seychelles was a net sink of GHGs in 2000 at -564,232 tCO2e. Republic of Seychelles is a net sink and will remain a net sink in 2030. 
https://www4.unfccc.int/sites/ndcstaging/PublishedDocuments/Seychelles%20First/INDC%20of%20Seychelles.pdf</t>
  </si>
  <si>
    <t>2022-06-19 18:37:19</t>
  </si>
  <si>
    <t>COU-0104</t>
  </si>
  <si>
    <t>Unconditional reduction of 19.3% of the country’s emissions compared to the reference scenario by 2030,</t>
  </si>
  <si>
    <t>Other URLs
https://www4.unfccc.int/sites/ndcstaging/PublishedDocuments/Chad%20First/INDC%20Chad_Official%20version_English.pdf
https://www4.unfccc.int/sites/ndcstaging/PublishedDocuments/Chad%20First/CDN%20ACTUALISEE%20DU%20TCHAD.pdf</t>
  </si>
  <si>
    <t>Les actions couvrent essentiellement les secteurs de la production d’électricité, de l’industrie, du résidentiel, de la pêche et de la foresterie. Deux scénarios sont considérés pour les projections d’émissions : un scénario inconditionnel (où seules les actions financées au niveau national sont mises en œuvre) et un scénario conditionnel (avec des actions d’atténuation supplémentaires couvertes par des appuis internationaux)
The actions mainly cover the sectors of power generation, industry, residential, fishing and forestry. Two scenarios are considered for the emissions projections: an unconditional scenario (where only actions financed at the national level are implemented) and a conditional scenario (with additional mitigation actions covered by international support)</t>
  </si>
  <si>
    <t>2022-05-24 08:22:16</t>
  </si>
  <si>
    <t>COU-0105</t>
  </si>
  <si>
    <t>GHG reduction rate of 11.14% compared with Togo’s total 2030 emissions based on the baseline year (2010).
Unconditional NDC: 11.14% emission reduction below business-as-usual (BAU) and compared to the baseline scenario by 2030.
Conditional NDC: 31.14% emission reduction below BAU by 2030.
'De façon globale, la contribution du Togo s’élève à 50,57%, soit 15 378,55 Gg CO2-eq à l’horizon 2030 répartie comme suit : ✓ Cible inconditionnelle : 20,51% ; ✓ Cible conditionnelle : 30,06%.' (p12) - overall contribution of 50.57% or 15,378.55 Gg CO2-eq, unconditional target 20.51% and conditional target 30.06%
https://www4.unfccc.int/sites/ndcstaging/PublishedDocuments/Togo%20First/CDN%20Revis%C3%A9es_Togo_Document%20int%C3%A9rimaire_rv_11%2010%2021.pdf</t>
  </si>
  <si>
    <t>https://www.ndcs.undp.org/content/ndc-support-programme/en/home/our-work/geographic/africa/Togo.html
https://www4.unfccc.int/sites/ndcstaging/PublishedDocuments/Togo%20First/INDC%20Togo_english%20version.pdf</t>
  </si>
  <si>
    <t>Gases covered: CO2, CH4, N2O.</t>
  </si>
  <si>
    <t>Periodic reviews of INDC implementation and updates.
Biennial update report (https://unfccc.int/sites/default/files/resource/tgo.pdf).
Togo's greenhouse gas emissions in 2010 (baseline year) represented just 0.05% of total emissions worldwide. 
Togo commits to limit temperature rise to 2°C by 2030. Togo implemented activities to reduce greenhouse gas emissions, especially in the energy, agriculture and LULUCF (land use, land-use change and forestry) sectors. 
In terms of road transport, the planned actions aim to reduce the consumption of fossil fuels in Togo by 20% over the course of the period under review, by improving the road system, promoting the use of public transport, reducing the average age of imported vehicles (to 5-7 years) and promoting active modes of transport (bicycles, walking, bike paths).
Equity:
Togo is a small country that emits almost no GHGs and so has virtually no responsibility in terms of global warming. Through its INDC, Togo proposes to focus on carbon-lean sustainable development, by encouraging sustainable practices, whereas the easy solution would simply be to continue using fossil fuels while they are still available.
According to the IPCC, the estimated worldwide GHG emissions for 2010 totalled roughly 40,000 Mt of CO2e. The emissions from the Republic of Togo for the same year were estimated at 20.45 Mt of CO2e, representing about 0.05% of the total volume. The emissions are non-significant compared with worldwide emissions.
From the NDC:
Public plan: p25-27, containing specific information on the extent to which measures will be applied, e.g. 'Porter à 3% la part des véhicule électriques dans l’acquisition des véhicules neuf d’ici à 2025' - increase to 3% the share of electric vehicles in the acquisition of new vehicles by 2025 (p25) Public reporting: biannual reports; 'Les informations sur les mises à jour effectuées seront incluses dans les rapports biennaux sur la transparence (BTR).' (p19) Equity: reference to equity in p31, stating that the following indicators must be taken into consideration: responsibility in past and present GHG emissions, ability to invest in mitigation measures, and mitigation potential and costs</t>
  </si>
  <si>
    <t>From NDC: 'Le Togo mérite d'explorer le potentiel de la coopération bilatérale, multilatérale et régionale adaptée sur le marché, y compris dans le contexte de l'article 6 de l'AP, qui peut faciliter, accélérer et améliorer le développement et le transfert de technologies, le renforcement des capacités et l'accès aux ressources financières qui soutiennent la transition durable du Togo vers une croissance à faibles émissions et résiliente au changement climatique.' (p31) - Togo will explore the potential of regional markets, including in the context of Paris Agreement Art 6, which can facilitate, accelerate, and improve the technology development and transfer, capacity building, and access to resources that support Togo's sustainable transition towards low-emission and climate-resilient growth climate change</t>
  </si>
  <si>
    <t>Yes (CCS-based removals e.g. BECCS, DACCS)</t>
  </si>
  <si>
    <t>In the first BUR, submitted in 2017, Togo reported information on the national GHG inventory for the years 1995–2015. This included removals of CO2, CH4 and N2O for sinks.
https://unfccc.int/sites/default/files/resource/tgo.pdf
From NDC: Traded credits: 'Le Togo reconnaît le rôle important de la coopération internationale basée sur le marché pour contribuer à l'atténuation des émissions de GES et à la promotion du développement durable. Le Togo mérite d'explorer le potentiel de la coopération bilatérale, multilatérale et régionale adaptée sur le marché, y compris dans le contexte de l'article 6 de l'AP' - Togo will explore the potential of bilateral, multilateral, and adapted regional markets (p30) Nature-based removals: restoration of existing forest landscapes, reforestation (full list on p26) CCS-based: Togo wants investment for its CCS (p67)</t>
  </si>
  <si>
    <t>2024-01-02 15:02:09</t>
  </si>
  <si>
    <t>COU-0106</t>
  </si>
  <si>
    <t>Timor Leste joined a subgroup (Annex II) of the Climate Action Alliance and included as part of countries in the Annex II list which are working towards achieving net-zero CO2 emissions by 2050. (https://cop25.mma.gob.cl/wp-content/uploads/2020/12/1312-Annex-Alliance-ENGLISH-VF-2012.pdf)</t>
  </si>
  <si>
    <t>The INDC of Timor-Leste has not determined the reduction target of GHG emissions in all source categories, including energy sector and a new baseline reference level will be established once the GHG inventory is formally established and the processes required to validate a new emissions reference level are clarified.
(https://cop25.mma.gob.cl/wp-content/uploads/2020/12/1312-Annex-Alliance-ENGLISH-VF-2012.pdf)</t>
  </si>
  <si>
    <t>Although Timor-Leste is a part of the Climate Action Alliance, it's 2022 Updated NDC contains the following; 'In keeping with national circumstances, Timor-Leste’s Least Developed Country Status, and required assistance to formalise a robust GHG Inventory, Timor-Leste maintains the intention to refrain from setting a quantified emissions reduction target. (Updated 2022 NDC, p34) (https://unfccc.int/sites/default/files/NDC/2022-11/Timor_Leste%20Updated%20NDC%202022_2030.pdf)</t>
  </si>
  <si>
    <t xml:space="preserve">In the updated NDC which covers the timeframe from 1 January 2022 to 31st December 2030, the stated Greenhouse gases covered by this NDC are:
Carbon Dioxide (CO2)
Methane (CH4)
Nitrous Oxide (N2O)
https://unfccc.int/sites/default/files/NDC/2022-11/Timor_Leste%20Updated%20NDC%202022_2030.pdf
''GHG emissions from energy sector did not include GHG from biomass 
utilization in household, fossil fuel combustions for industrial sector, fossil fuel combustions for 
international aviation, fossil fuels combustion for own use in oil and gas field, and fugitives from
oil and gas field''.
(https://unfccc.int/sites/default/files/resource/Second%20National%20Communication%2C%20Timor-Leste.pdf) (pg,6)
</t>
  </si>
  <si>
    <t>Under the country's NDC, plans and actions in relation to low carbon development path include the scale-up of renewable energy services, improved energy efficiency and transport efficiency, the promotion of sustainable forest management, and the introduction of improved methods and policies related to waste management. (Updated 2022 NDC, p5)
Equity: Emissions are under 0.006% of global emissions. Highly vulnerable to climate change. Efforts to increase climate resilience. (Updated 2022 NDC, p34)
On reporting mechanism: Timor-Leste to submit its first Biennial Transparency Report in 2024 (Updated NDC, p50)
 Timor Leste's National Adaptation Programme of Action (NAPA) Priority areas includes developing resilience towards CC impacts especiallay for vulnerable communities . (Source: https://unfccc.int/sites/default/files/resource/Second%20National%20Communication%2C%20Timor-Leste.pdf) (pg,9)
Institutional Arrangement for Development of National Communication - which includes set up of working groups and defining role of various offices and institutions. (Source-https://unfccc.int/sites/default/files/resource/Second%20National%20Communication%2C%20Timor-Leste.pdf)(pg-50,51 and section 2.2 on page 54)</t>
  </si>
  <si>
    <t>On traded offset, 'Timor-Leste is committed to exploring opportunities to benefit from the mechanisms and potential established under Article 6' (Updated NDC, p63)
In the country's published NDC,  a mechanism (a policy framework) is said to be developed which will be designed to enable and incentivise climate repair activities that support healthy ecosystems, marine zone protection, blue carbon reservoirs, afforestation and reforestation projects, and soil enhancement, and landscape restoration through increased engagement with international carbon markets. (Updated NDC, p31)</t>
  </si>
  <si>
    <t>2023-10-23 09:13:58</t>
  </si>
  <si>
    <t>COU-0107</t>
  </si>
  <si>
    <t>Energy: 13% (16 Gg) reduction in GHG emissions by 2030 compared to
2006 through a transition to 70% renewable electricity as well as energy
efficiency measures.
 AFOLU: establishment of a forest inventory as prerequisite to identify a
GHG emission target for the 2025 NDC and planting one million trees by
2023.
Waste: expansion of the formal waste collection system as prerequisite to
identify a GHG emission target for the 2025 NDC.</t>
  </si>
  <si>
    <t>Interim target page 5
https://unfccc.int/sites/default/files/NDC/2022-06/Tonga%27s%20Second%20NDC.pdf
low emissions strategy:
https://unfccc.int/sites/default/files/resource/TON_LTS_Nov2021.pdf</t>
  </si>
  <si>
    <t>https://unfccc.int/sites/default/files/NDC/2022-06/Tonga%27s%20Second%20NDC.pdf</t>
  </si>
  <si>
    <t>Sectors:
x Energy
Gases:
x Carbon dioxide (CO2),
x Methane (CH4),
x Nitrous oxide (N2O),
x Carbon monoxide (CO)
x Sulphur dioxide (SO2)
x Non-Volatile organic compound(NMVOC)
x Nitrogen Oxide (NOx)
https://unfccc.int/sites/default/files/NDC/2022-06/Tonga%27s%20Second%20NDC.pdf p 16-17</t>
  </si>
  <si>
    <t>Information on the extent to which measures will be applied (e.g. if switching to EVs, what share of the fleet; if installing an own solar PV installation, what is the installed capacity)|Information on the emission reductions expected from these measures within a certain time period|Schedule for regular review of measures</t>
  </si>
  <si>
    <t>There is a plan to increase from 50% to 100% of renewable energy in total electricity production by 2030. 
Plan to include diesel engines efficiency services training to reduce fossil fuel consumption.
The Third National Greenhouse Gas Inventory Report, once completed, will present Tonga’s circumstance, plans and needs.
Statement on “Fair and Ambitious”: Tonga is one of the most at-risk countries in the world in terms of its exposure to the unfolding effects of climate change. The need for Tonga to invest large portions of its public service capacity in the ambitious quest to achieve climate resilience objectives is a consequence of the emissions of other large countries.
https://www4.unfccc.int/sites/ndcstaging/PublishedDocuments/Tonga%20First/Tonga%20INDC.pdf</t>
  </si>
  <si>
    <t>Forest and grassland conversion of biomass represents a source of slightly larger magnitude than energy industries and transport combined. However this is offset by removals from forests, making Tonga a net carbon sink overall, in the order of 1691.97 Gg CO2e. The forests absorb substantially more greenhouse gas emissions than is emitted through all other sources.
https://www4.unfccc.int/sites/ndcstaging/PublishedDocuments/Tonga%20First/Tonga%20INDC.pdf
Carbon sequestration from living biomass: https://www4.unfccc.int/sites/ndcstaging/PublishedDocuments/Tonga%20Second/Tonga%27s%20Second%20NDC.pdf</t>
  </si>
  <si>
    <t>2023-05-31 21:12:22</t>
  </si>
  <si>
    <t>COU-0108</t>
  </si>
  <si>
    <t>Trinidad and Tobago joined a subgroup (Annex II) of the Climate Action Alliance who pledged to be 'working towards achieving net-zero CO2 emissions by 2050'.</t>
  </si>
  <si>
    <t>Reduce emissions from the power generation, transportation and industrial sectors by 15% by 2030 from a 2013 baseline.
Additionally, robust policy measures for forest, land use and natural resources management are
underway that will result in greater mitigation of greenhouse gases but which are not included as part
of the iNDC. Trinidad and Tobago’s iNDC therefore goes beyond the requirements of the provisions
made for SIDS in Paragraph 11 of Decision 1/CP.20. Furthermore, the Energy Chamber of Trinidad
and Tobago is developing a feasible carbon trading scheme that will also result in reduced emissions
in the industrial sector</t>
  </si>
  <si>
    <t>https://www4.unfccc.int/sites/ndcstaging/PublishedDocuments/Trinidad%20and%20Tobago%20First/Trinidad%20and%20Tobago%20Final%20INDC.pdf
Also a biennial report from Sep 2021: 
https://unfccc.int/sites/default/files/resource/FIRST_%20BUR_TRINIDAD_AND_TOBAGO.pdf</t>
  </si>
  <si>
    <t>There is a task to establish the scope of improvement of the aviation fleet of Trinidad and Tobago compared to the latest trends in the international aviation. Based on that and the assessment of replacing the aircrafts, a roadmap establishing targets will be proposed, setting GHG emissions limits for the aircrafts. Reduce the GHG emissions of the air transport introducing the use of biofuels.
Gases: carbon dioxide, methane, nitrous oxide.
https://www4.unfccc.int/sites/ndcstaging/PublishedDocuments/Trinidad%20and%20Tobago%20First/Trinidad%20and%20Tobago%20Final%20INDC.pdf</t>
  </si>
  <si>
    <t>Schedule for regular review of measures|Information on the extent to which measures will be applied (e.g. if switching to EVs, what share of the fleet; if installing an own solar PV installation, what is the installed capacity)</t>
  </si>
  <si>
    <t>Convert thermal power plants into CCGT plants.
Install renewable energy technologies in industrial sites to provide supply for low energy consuming processes and replace public lighting with solar powered lighting.
Develop a pilot waste-to-energy plant, which will provide a solution for waste management and produce electricity.
Once a system is in place, there will be meetings at least once every six months to evaluate progress.  Reports focus on outcomes.
https://www.planning.gov.tt/sites/default/files/CRS%20_Strategy_Final.pdf
Equity: Trinidad and Tobago is a small island developing state with limited technological, technical, financial and human resources and a small economy. The country accounts for under 1% of global greenhouse gas emissions and is vulnerable to adverse impacts of climate change. Notwithstanding, the government places importance on mitigation and adaptation because it recognises the need for developing a low carbon economy to achieve sustainable development objectives. To this end, Trinidad and Tobago began to put in place the policy and legislative framework and commits to unconditional mitigation action.
https://www4.unfccc.int/sites/ndcstaging/PublishedDocuments/Trinidad%20and%20Tobago%20First/Trinidad%20and%20Tobago%20Final%20INDC.pdf</t>
  </si>
  <si>
    <t>Baseline-and-credit permit systems. The CCS report will include an assessment of the viability to generate carbon credits for the international carbon markets from the CCS projects developed in Trinidad. 
Biodiversity offsets/banking (e.g. REDD).</t>
  </si>
  <si>
    <t>2023-03-20 15:47:21</t>
  </si>
  <si>
    <t>COU-0109</t>
  </si>
  <si>
    <t>Zero-carbon development pathway by 2050.</t>
  </si>
  <si>
    <t>(1) reduction of emissions of GHGs from the electricity generation (power) sector, by
100%, i.e., almost zero emissions by 2030.
(2) reduction in total GHGs emissions from the entire energy sector 60% below 2010 levels by 2030.</t>
  </si>
  <si>
    <t>https://unfccc.int/sites/default/files/NDC/2023-02/Tuvalus%20Updated%20NDC%20for%20UNFCCC%20Submission.pdf</t>
  </si>
  <si>
    <t xml:space="preserve">Gases: Targets will apply to all gases: Carbon dioxide (CO2), Methane (CH4), Nitrous oxide (N2O), Carbon monoxide (CO), Sulphur dioxide (SO2), Non-Volatile organic compound (NMVOC), Nitrogen Oxide (NOx)
Sectors: Electricity, land transport, maritime transport, AFOLU
</t>
  </si>
  <si>
    <t>Schedule for regular review of measures|Information on the extent to which measures will be applied (e.g. if switching to EVs, what share of the fleet; if installing an own solar PV installation, what is the installed capacity)|Information on the emission reductions expected from these measures within a certain time period</t>
  </si>
  <si>
    <t>On the basis of Tuvalu’s national circumstances, Tuvalu considers its Updated NDC is fair and ambitious.
To meet electricity sector objectives, electricity will be generated using renewable energy in all
nine islands in Tuvalu.</t>
  </si>
  <si>
    <t>Tuvalu considers that the focus of the Updated NDC should primarily be mitigation.</t>
  </si>
  <si>
    <t>2023-05-31 21:01:29</t>
  </si>
  <si>
    <t>COU-0110</t>
  </si>
  <si>
    <t xml:space="preserve">In 2019, Uganda joined a subgroup (Annex II) of the Climate Ambition Alliance – an organisation that "brings together countries, businesses, investors, cities and regions who are working towards achieving net-zero CO2 emissions by 2050" (source in source URL section). The parties within this group have "[demonstrated] genuine leadership either by having developed plans to achieve net zero CO2 emissions by 2050, by having identified this target as a long-term national goal, or by advancing consultations on a long-term strategy for climate-neutrality in line with the Paris Agreement" (source in source URL section).
While they have demonstrated a commitment to work towards net zero, the focus of their updated NDC (2022) is on their interim target, and they do not currently have a longer-term emissions reduction plan aiming for net zero. </t>
  </si>
  <si>
    <t>In the updated NDC, Uganda presents an ambitious economy-wide mitigation target in 2030 of 24.7% reduction below the Business As Usual (BAU), a progression from the 22% reduction target communicated in the first NDC in 2016.
The mitigation component presents Uganda’s emissions profile, which is projected to increase from 90.1 MtCO2e in 2015 to 148.8 MtCO2e in 2030 and 235.7 MtCO2e by 2050 under the Business-As-Usual (BAU) Scenario. Uganda plans to implement policies and measures in the AFOLU, energy, waste, transport, and IPPU sectors that will result in a 24.7% reduction of national GHG emissions below the BAU trajectory in 2030, to 112.1 MtCO2e. 82.7% of the mitigation impact will come from the AFOLU sector, while 7.56%, 6.36%, 3%, and 0.4% will come from the transport, energy, waste, and IPPU sectors, respectively. The 24.7% reduction bears both conditional and unconditional targets. The 5.9% (unconditional target) BAU emission reduction by 2030 will be facilitated by domestic resources, and the 18.8% (conditional target) is subject to the availability of means of implementation from international support such as financial resources, capacity-building, and technology transfer.
Uganda also has other targets for 2025, which refer to adaptation measures, not mitigation. 
- The adaptation component of this updated NDC covers 13 sectors of agriculture, forestry, energy, health, ecosystems (wetlands, biodiversity, and mountains), water and sanitation, fisheries, transport, manufacturing, industry, and mining, cities and built environment, disaster risk reduction, tourism, and education, highlighting 48 priority adaptation actions and 82 indicators with targets for 2025 and 2030.
(Source: Updated NDC, https://unfccc.int/sites/default/files/NDC/2022-09/Updated%20NDC%20_Uganda_2022%20Final.pdf)</t>
  </si>
  <si>
    <t>More information on the Climate Ambition Alliance can be found here: https://web.archive.org/web/20230727103953/https://cop25.mma.gob.cl/en/climate-ambition-alliance/
It is only accessible via the Wayback Machine, and there appears to be little recent news on the Climate Ambition Alliance online.</t>
  </si>
  <si>
    <t>https://web.archive.org/web/20220714191524/https://cop25.mma.gob.cl/wp-content/uploads/2020/12/1312-Annex-Alliance-ENGLISH-VF-2012.pdf</t>
  </si>
  <si>
    <t>Gases covered: End target: 'This list brings together countries, businesses, investors, cities and regions who are working towards achieving net-zero CO2 emissions by 2050.' (Climate Ambition Alliance) 
Interim target: Carbon dioxide (CO2), Methane (CH4), and Nitrous oxide (N2O) (Updated NDC) 
As a non-Annex I party to the Convention, Uganda does not include emissions from international aviation and shipping in their national GHG totals; they are reported separately. ("Non-Annex I Parties should, to the extent possible, and if disaggregated data are available, to [sic.] report emissions from international aviation and marine bunker fuels separately in their inventories. Emission estimates from these sources should not be included in the national totals". Source: bullet point 19 in 'Decision 17/CP.8', https://web.archive.org/web/20221220042323/https://unfccc.int/files/meetings/workshops/other_meetings/application/pdf/dec17-cp.pdf)</t>
  </si>
  <si>
    <t>Plan relates to the interim target. 
The implementation of the updated NDC mitigation policies and measures will be across energy, agriculture, forestry, and other land use (AFOLU), peatland, waste, and industrial processes and product use (IPPU). Unlike the first NDC of 2016, the updated NDC defines sectoral mitigation and adaptation measures and interventions with clearly defined corresponding indicators and targets for 2025 and 2030. (https://unfccc.int/sites/default/files/NDC/2022-09/Updated%20NDC%20_Uganda_2022%20Final.pdf)
With regard to whether they included information on the extent to which measures will be applied: most of the measures lacked this specification; details were included only for some of the measures. This box is not ticked to reflect this.
The updated NDC does not appear to have information on their review schedule of the measures.
Although they record their annual GHG emissions, they do not appear to publish public reports annually.
Uganda has a Climate Change Act, however it doesn't specify the net zero target: https://climate-laws.org/documents/national-climate-change-act-2021_0dc4?q=Uganda&amp;c=Legislation</t>
  </si>
  <si>
    <t>From NDC Sept 2022: "Uganda will use voluntary cooperation provided for in Article 6 in accordance with the National Climate Change Act 2021 to demonstrate her mitigation and adaptation ambition and mobilize support to promote sustainable development."
- But no explicit mention of traded credits/offsets
In NDC: Emissions and removals were approached in accordance with the Good Practice Guidance for Land use, Land-Use Change and Forestry.
Net emissions from Land Use, Land Use Change and Forestry including REDD+ in 2000 were 10.6 MtCO2e, including removals of approximately 80 million tons carbon dioxide.
https://www4.unfccc.int/sites/ndcstaging/PublishedDocuments/Uganda%20First/INDC%20Uganda%20final%20%2014%20October%20%202015.pdf
- Mitigation action number 4 in Table 3-4 in their updated NDC details their plans to restore natural forests to abate GHG emissions.</t>
  </si>
  <si>
    <t>2023-02-06 20:47:09</t>
  </si>
  <si>
    <t>COU-0111</t>
  </si>
  <si>
    <t>Climate Alliance</t>
  </si>
  <si>
    <t xml:space="preserve">"Objectivos de mitigación a 2030 - No superar el siguiente nivel de emisiones (Gg de gas) - CO2: 9.267; CH4: 818; N20: 32" (p.14 of NDC https://unfccc.int/sites/default/files/NDC/2022-12/Uruguay%20Segunda%20CDN.pdf). 
I am unsure about the baseline emissions - p.64 of the NDC seems to be referring to "base years". </t>
  </si>
  <si>
    <t xml:space="preserve">2030 target mentioned in English in this article: https://www.qcintel.com/carbon/article/uruguay-sets-2030-co2-reduction-target-with-new-ndc-update-10791.html </t>
  </si>
  <si>
    <t>https://unfccc.int/sites/default/files/NDC/2022-12/Uruguay%20Segunda%20CDN.pdf</t>
  </si>
  <si>
    <t>Separate emissions targets are provided for CO2, CH4, and N20 (p.14 of NDC). 
"Los objetivos de mitigación en materia de emisiones cubren el 99,2% de las emisiones de GEI del INGEI 2019" (p.17 of NDC)</t>
  </si>
  <si>
    <t xml:space="preserve">Measures for all emission scopes: e.g., for methane (p.19) - "Se continuará promoviendo el uso de technologías e infraestructura para la gestión de los efluentes y el estiércol generados por el rodeo lechero nacional con el objetivo de lograr una economía circular y minimizar las emisiones de CH4" 
Info on the extent to which measures will be applied: e.g., targets for the energy sector (p.23 of NDC) - "A 2030 el 30% de las ventas de vehículos livianos de pasajeros 0km corresponde a vehículos eléctricos" 
Reference to equity: e.g., p.21 "Los objetivos de mitigación de Uruguay deben analizarse considerando que es un país en desarrollo ... , que deberá seguir avanzando en la senda de desarrollo sostenible, generar mayores oportunidades para sus habitantes, combatir la pobreza y la indigencia, alcanzar un mayor nivel de equidad..." </t>
  </si>
  <si>
    <t xml:space="preserve">Unsure about this section - struggled with the Spanish! </t>
  </si>
  <si>
    <t>United States of America</t>
  </si>
  <si>
    <t>2023-07-27 07:04:32</t>
  </si>
  <si>
    <t>COU-0112</t>
  </si>
  <si>
    <t>Achieve target of a net-zero emissions economy by no later than 2050</t>
  </si>
  <si>
    <t xml:space="preserve"> Reduce GHG emissions by 50-52% below 2005 levels by 2030.</t>
  </si>
  <si>
    <t>https://climate-laws.org/geographies/united-states-of-america</t>
  </si>
  <si>
    <t>https://www.whitehouse.gov/wp-content/uploads/2021/10/US-Long-Term-Strategy.pdf</t>
  </si>
  <si>
    <t>Reports biennially to the UN Framework Convention on Climate Change (UNFCC).</t>
  </si>
  <si>
    <t xml:space="preserve">The governmental report frequently states that they "support" nature-based solutions, however, they never mention how or if these will be used to offset emissions. 
Ref : https://www.whitehouse.gov/wp-content/uploads/2021/10/US-Long-Term-Strategy.pdf - pgs, 3, 16, 24, 49. </t>
  </si>
  <si>
    <t>Saint Vincent and the Grenadines</t>
  </si>
  <si>
    <t>2023-03-20 16:06:14</t>
  </si>
  <si>
    <t>COU-0113</t>
  </si>
  <si>
    <t xml:space="preserve">St. Vincent and the Grenadines joined a subgroup (Anexx II) of the Climate Ambition Alliance who 'are working towards achieving net-zero CO2 emissions by 2050' (https://cop25.mma.gob.cl/wp-content/uploads/2020/02/Annex-Alliance-ENGLISH.pdf) 
</t>
  </si>
  <si>
    <t>Reduction in GHG emissions of 22% compared to its business as usual (BAU) scenario by 2025 (with a base year of 2010) (NDC, p.5)
Note: Target emission and BAU emission numbers approximated from graph in the NDC (p.3)</t>
  </si>
  <si>
    <t xml:space="preserve">The Climate Ambition Alliance was meant to submit an updated NDC by 2020 (as also mentioned in St Vincent's 2019 National Climate Change Policy, p.13), however, St Vincent has not yet submitted an updated NDC with a net zero target, likely due to the impacts of COVID-19. </t>
  </si>
  <si>
    <t>https://unfccc.int/sites/default/files/NDC/2022-06/Saint%20Vincent%20and%20the%20Grenadines_NDC.pdf</t>
  </si>
  <si>
    <t>GHG coverage:  Carbon dioxide (CO2); Methane (CH4); Nitrous oxide (N2O);  HFCs  (NDC, p.5)
Sector coverage: Energy (including domestic transport); Industrial processes and product use; Agriculture; Land use, land use change and forestry; Waste (NDC, p.5)
Geographic boundary: Whole country (NDC, p.5)</t>
  </si>
  <si>
    <t>The 2019 National Climate Change Policy of Saint Vincent and the Grenadines (https://faolex.fao.org/docs/pdf/stv199829.pdf), p.42 focuse son MRV:
- Conduct annual reviews of the Implementation Plan and a comprehensive review of the National Climate Change Policy every five years, with effective engagement of stakeholders in the process
- Revise or develop a new Implementation Plan following five year review of the Policy as needed</t>
  </si>
  <si>
    <t>National sinks mentioned in the interim target report 
Carbon credits: "St. Vincent and the Grenadines supports the inclusion of the International Carbon Markets and mechanisms such as the CDM in a post-2020 agreement on climate change including the use of the mitigation outcome pre-2020" (NDC, p.6)</t>
  </si>
  <si>
    <t>2022-12-12 15:37:09</t>
  </si>
  <si>
    <t>COU-0114</t>
  </si>
  <si>
    <t>vanuatu has set various targets for 2030, the most prominent of which is to achieve 100% renewable power. other targets include a 10% efficiency improvement in transport, the forestry sector remaining a net carbon sink, etc.</t>
  </si>
  <si>
    <t xml:space="preserve">
Energy: 'reduce GHG emissions approximately 78.786 Gg CO2e from energy sector in comparison to BAU scenario in 2030, which is around 40% reduction in comparison to energy sector’s GHG emissions from the BAU scenario.' AFOLU: 'emissions reduction of about 30.977 Gg CO2eq in 2030; which is around 9% lesser than the GHG emissions in BAU scenario.' Waste: 'With the waste sector mitigation measures, the waste sector’s net GHG emissions will reduce about 29.335 Gg in 2030 in comparison to BAU scenario; which is around 56% lesser than the BAU scenario GHG emissions.' The above targets are expected to be achieved through the following: Energy Industry (Electricity Generation): By 2030, Renewable Energy Capacity Addition and substituting (replacement) of fossil fuels with Coconut (Copra) Oil-based Electricity Generation: transitioning to close to 100% renewable energy in the electricity generation sector. // Transport: By 2030, 10% improvement in transport (land and marine) energy efficiency, Electric Vehicles (e-Mobility): by 2030, (a) Introduce Electric Vehicles (e-buses) for public transportation (10% of total Public Buses); (b) Introduce Electric Cars (e-Cars) in Vanuatu (10% of government fleet); and (c) 1000 Electric Two wheelers (e-bikes) /Three Wheelers (erickshaw), By 2030, 20 % Bio-diesel (bio-fuel) Blending in Diesel, By 2030, Milage and Emission Standards for Vehicles //Other Sectors - Commercial, Institutional and Residential: By 2030, (a) 100% electricity access by households in off-grid areas; (b) 100% electricity access by public institutions (on- and off-grid); (c) 13% electricity sector end-use efficiency; (d) 14% improve biomass end use (improved cook stoves and drying) efficiency; (e) 65% renewable electricity use by rural tourism bungalows. By 2030, installation of 1000 numbers of Biogas Plants for Commercial and Residential Use, By 2030, Increase Energy Efficiency in Commercial and Residential, Sector, (a) 5% increase in Energy Efficiency in Commercial and Residential Sector; and (b) 10 Numbers of Energy Efficient Building (Green Building), By 2030, Increase Ecotourism Supported by Local Communities Waste: By 2030, Implement Waste to Energy Plant for Municipal Solid Waste, (MSW): (a) Waste to Energy Plant for Port Villa; (b) Waste to Energy Plant for Luganville; and (c) Waste to Energy Plant for Lenakel. By 2030, Introduce Composting for municipal organic waste to produce soil enhancer, By 2030, Implement Collect, Sort and Export of Recyclable Materials (first phase) for Port Vila, By 2030, Develop and Implement National Plastics Strategy, By 2030, Implement Waste Water Management System in Vanuatu: (a) Centralised Waste water collection and treatment system in municipal area including awareness and capacity building, By 2030, Improvements to Public and Communal Toilet Facilities including Bio- Toilets.
[This entry codes for the Updated NDC until 21/9/2021].
https://unfccc.int/sites/default/files/NDC/2022-06/Vanuatu%E2%80%99s%20First%20Nationally%20Determined%20Contribution%20%28NDC%29%20%28Updated%20Submission%202020%29.pdf</t>
  </si>
  <si>
    <t>The net GHG emissions (excluding removals) for the base year 2010 was "728. 359 [sic]" Gg CO2eq.
https://www4.unfccc.int/sites/ndcstaging/PublishedDocuments/Vanuatu%20First/Vanuatu’s%20First%20Nationally%20Determined%20Contribution%20(NDC)%20(Updated%20Submission%202020).pdf</t>
  </si>
  <si>
    <t>https://unfccc.int/sites/default/files/NDC/2022-08/Vanuatu%20NDC%20Revised%20and%20Enhanced.pdf</t>
  </si>
  <si>
    <t>Gases: CO2, CH4, NO2.
https://unfccc.int/sites/default/files/NDC/2022-08/Vanuatu%20NDC%20Revised%20and%20Enhanced.pdf</t>
  </si>
  <si>
    <t>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t>
  </si>
  <si>
    <t>Biennial update report. Aim for 50% renewable energy generation grid connected by 2025. By 2030, introduce electric buses (10% of public buses), electric cars in (10% of government fleet), and 1000 electric bicycles or rickshaws. By 2030, 10% improvement in transport (land and marine) energy efficiency and installation of 1000 numbers of biogas plants.
Equity: Vanuatu is a small island least developed country with a total CO2 equivalent emissions of ~0.0011% of the global GHG emissions in 2015. Vanuatu is among the most vulnerable to climate change and its impact.
Additional information:
PLAN: The Republic of Vanuatu First Biennal Update Report ( https://unfccc.int/sites/default/files/resource/First%20Biennial%20Update%20Report%20-%20Vanuatu.pdf); a list of measures is also presented in the NDC itself, e.g. 'By 2030, 10% improvement in transport (land and marine) energy efficiency' (p3) EQUITY (NDC): 'Vanuatu is a small island nation with limited economic sectors and activity; hence all the IPCC sectors, sub-sectors and categories are not applicable....All the key categories and gases identified for Vanuatu have been included in the NDC. Furthermore, Vanuatu is willing to include other remaining categories of anthropogenic emissions or removals (as may become applicable) in its future nationally determined contributions and will continue to include it for all future NDCs.' Reporting: 'Furthermore, the Government of Vanuatu has also developed and implemented Integrated Monitoring, Reporting and Verification (MRV) Tool for Energy Sector (currently being enhanced to cover additional mitigation sectors according to the updated NDC) and a Monitoring, Reporting Verification Tool for NERM 2016-2030.' (p15) - but unclear how frequent the reporting is required</t>
  </si>
  <si>
    <t>The forest acts as a net carbon sink. Vanuatu commits to maintain its forest cover and expects to remain net carbon negative. The REDD+ programme is being implemented to improve sustainable forest management.
Additional information:
Offsets: 'Vanuatu will explore opportunities for climate resilient socio-economic development with international cooperation and support including carbon market under Article 6' (p19 CARBON SINKS (NDC): 'The forestry sector in Vanuatu is a net carbon sink...Sustainable logging practices are being practiced in Vanuatu for commercial logging...Vanuatu is committed to maintaining its forest cover in the country and is expected to remain net carbon negative in future as well. The REDD+ programme is currently being implemented in Vanuatu to improve sustainable forest management practices.'</t>
  </si>
  <si>
    <t>2023-03-20 16:02:32</t>
  </si>
  <si>
    <t>COU-0115</t>
  </si>
  <si>
    <t>(NDC): 'Samoa aims to reduce overall GHG emissions by 26 percent in 2030 compared to 2007 levels (or by 91 Gg CO2 e compared to the new reference year once Samoa’s GHG emissions inventory has been updated).' This includes a number of sector-specific mitigation targets: Energy - reduce GHG emissions in the energy sector by 30 percent in 2030 compared to 2007 levels (or by 53 Gg CO2 e compared to the new reference year once the GHG emissions inventory is updated). ▪ Waste - reduce GHG emissions in the waste sector by 4 percent in 2030 compared to 2007 levels (or by 1.2 Gg CO2 e compared to the new reference year once the GHG emissions inventory is updated). ▪ AFOLU - reduce GHG emissions in the AFOLU sector by 26 percent in 2030 compared to 2007 levels (or by 35.2 Gg CO2e compared to the new reference year once the GHG emissions inventory is updated).
[This entry codes for the Updated NDC submitted to UNFCCC on 30/07/2021, no date on the document.]
https://unfccc.int/sites/default/files/NDC/2022-06/Samoa%27s%20Second%20NDC%20for%20UNFCCC%20Submission.pdf</t>
  </si>
  <si>
    <t>https://unfccc.int/sites/default/files/NDC/2022-06/Samoa%27s%20Second%20NDC%20for%20UNFCCC%20Submission.pdf</t>
  </si>
  <si>
    <t xml:space="preserve">Targets apply to gases: Carbon dioxide (CO2), Methane (CH4), Nitrous oxide (N2O), Carbon monoxide (CO), Sulphur dioxide (SO2), Non-Volatile organic compound (NMVOC), Nitrogen Oxide (NOx).
Reducing the use of fossil fuels will reduce expenditure on fuel imports.
Additional information: 
Sectors: Energy, Waste, AFOLU, Marine 
Targets will apply to all gases: Carbon dioxide (CO2 ), Methane (CH4), Nitrous oxide (N2O), Carbon monoxide (CO), Sulphur dioxide (SO2), Non-Volatile organic compound (NMVOC), Nitrogen Oxide (NOx) Shipping: only refers to domestic shipping (p24)
https://unfccc.int/sites/default/files/NDC/2022-06/Samoa%27s%20Second%20NDC%20for%20UNFCCC%20Submission.pdf </t>
  </si>
  <si>
    <t xml:space="preserve">reduce GHG emissions in the energy sector by 30 percent in 2030 compared to 2007 level.
reduce GHG emissions in the waste sector by 4 percent in 2030 compared to 2007 level.
reduce GHG emissions in the AFOLU sector by 26 percent in 2030 compared to 2007 level.
expand the area of mangrove forests in Samoa by 5 percent by 2030 relative to 2018.
expand the area under agroforestry to an additional 5 percent of agricultural land by 2030 relative to 2018.
increase total forest cover by 2 percent by 2030 relative to 2013.
Biennial Update Report.
Additional information from NDC:
PLAN: (not specific to NDC) Samoa Climate Change Policy 2020-2030 (https://climate-laws.org/geographies/samoa/policies/samoa-climate-change-policy-2020-2030); NDC itself also contains mitigation measures, e.g. 'Reach 100 percent renewable electricity generation by 2025' (p9) 
EQUITY :(NDC): 'Samoa is extremely vulnerable to climate change due to its geographic location, status as a SIDS, and the importance of natural resources to its main economic sectors of fisheries, agriculture, and tourism. Dealing with the impacts of climate change is made more challenging due to limited financial, technical, and human resources. However, Samoa recognizes the potential for reduction of its emissions to not only support global efforts and demonstrate its willingness to address climate change issues but also to support the government’s development vision of improved quality of life for all. Accounting for these circumstances, Samoa considers its NDC as fair and ambitious.' 
Reporting: 'The Third National Communication and First Biennial Update Report (BUR) is currently under development, however preliminary findings are not yet available, and are not expected until the second half of 2021. The report will include an updated national Greenhouse Gas Inventory' (p25)
https://unfccc.int/sites/default/files/NDC/2022-06/Samoa%27s%20Second%20NDC%20for%20UNFCCC%20Submission.pdf </t>
  </si>
  <si>
    <t xml:space="preserve">CREDITS: does not intend to use internationally traded credits to meet targets.
CARBON SINKS: ▪ Reforestation, forest restoration, and promoting agroforestry, including mangrove regions 
INTERNATIONAL MARKETS (NDC): 'Samoa intends to achieve the mitigation targets stated in its Second NDC through domestic efforts and actions, and it does not intend to use internationally traded credits to meet these targets. However, Samoa is interested in selling carbon credits to more developed countries that may be interested. ' (p22)
https://unfccc.int/sites/default/files/NDC/2022-06/Samoa%27s%20Second%20NDC%20for%20UNFCCC%20Submission.pdf </t>
  </si>
  <si>
    <t>2022-05-27 09:16:28</t>
  </si>
  <si>
    <t>COU-0116</t>
  </si>
  <si>
    <t>14% ghg emission reduction target by 2030 below bau which represents an estimated total cumulative ghg reduction of about 35 mtco2-eq from 2020 through 2030. this includes 1% unconditional target and 13% conditional target.</t>
  </si>
  <si>
    <t>https://www4.unfccc.int/sites/submissions/INDC/Published%20Documents/Yemen/1/Yemen%20INDC%2021%20Nov.%202015.pdf</t>
  </si>
  <si>
    <t>Target greenhouse gases: carbon dioxide, methane and nitrous oxide. Fluorinated and sulfur hexafluoride (SF6) gases are not covered.
The ghg emission projection for 2030 does not take into account the mitigation measures and actions implemented from 2015 in the business-as-usual scenarios. The conditional scenario (13%) assumes the implementation of actions over the period 2016 - 2030.</t>
  </si>
  <si>
    <t>Mitigation measure under implementation: Marib Gas Turbine Power Station 400 MW.
Biennial Update Report.
Equity: Yemen is a least developed country. The GHG emissions account for ~0.1% of the aggregate world total. Yemen has low GHG emission per capita of approximately 0.92 t CO2-eq in 2011 and ranks at the lowest levels relative to the world average which reached 7 t CO2-eq per capita in 2010.</t>
  </si>
  <si>
    <t>2022-04-23 16:17:17</t>
  </si>
  <si>
    <t>COU-0117</t>
  </si>
  <si>
    <t xml:space="preserve">for 2030, south africa’s annual ghg emissions will be in a range from 350-420 mt co2-eq. </t>
  </si>
  <si>
    <t xml:space="preserve">Currently, net zero target is a visionary statement and yet to be formalised. 
"We thus commit to ultimately moving towards a goal of net zero carbon emissions by 2050, which will require various interventions to reduce greenhouse gas emissions."
"This strategy sets out a direction of travel for South Africa as we refine our low carbon emission development pathway to meet our commitments to the international community and address our developmental agenda/priorities and needs. We know that success will require decades of dedicated effort. Therefore, we present this Strategy as a living document, the beginning of our journey towards ultimately reaching a net zero carbon economy by 2050" https://unfccc.int/sites/default/files/resource/South%20Africa%27s%20Low%20Emission%20Development%20Strategy.pdf
</t>
  </si>
  <si>
    <t>For 2030, "South Africa’s annual GHG emissions will be in a range from 350-420 Mt CO2-eq." (https://www4.unfccc.int/sites/ndcstaging/PublishedDocuments/South%20Africa%20First/South%20Africa%20updated%20first%20NDC%20September%202021.pdf).</t>
  </si>
  <si>
    <t xml:space="preserve">
Climate Change Bill has also been accepted by Parliament, but is to be formally discussed and approved after elections on Nov 1 2021. This will update the emissions reductions targets to having a legal status. https://mg.co.za/environment/2021-09-30-climate-change-bill-to-be-tabled-in-parliament/
Statement from the Department of Forestry, Fisheries and the Environment: "The Bill spells out that all adaptation and mitigation efforts should be based on the best available science, evidence and information. It further gives effect to South Africa’s international commitments and obligations in relation to climate change, and defines the steps to be taken to protect and preserve the planet for the benefit of present and future generations.
The tabling of the Climate Bill in the National Assembly will represent an important step forward in the development of our country’s architecture to manage and combat climate change."
https://www.environment.gov.za/mediarelease/cabinetapproves_cop26sandc_climatechangebill</t>
  </si>
  <si>
    <t>https://unfccc.int/sites/default/files/resource/South%20Africa%27s%20Low%20Emission%20Development%20Strategy.pdf</t>
  </si>
  <si>
    <t>Information in line with CAT ZAF net zero assessment as of 19.10.2021 (https://climateactiontracker.org/countries/south-africa/net-zero-targets/).</t>
  </si>
  <si>
    <t>Information in line with CAT ZAF net zero assessment as of 19.10.2021 (https://climateactiontracker.org/countries/south-africa/net-zero-targets/).
Reports are biennial for the UNFCCC - 4th and most recent report was published in April 2021 - https://unfccc.int/sites/default/files/resource/South%20Africa%20BUR4%20to%20the%20UNFCCC.pdf
Its Low Emissions Development Strategy is to be reviewed every 5 years: "SA-LEDS will thus be reviewed at least every five years or at an earlier date, should there be significant changes
in sectoral or national plans/programmes that can result in a big structural changes, growth or decay of the economy and major global events that impact on its content or implementation" https://unfccc.int/sites/default/files/resource/South%20Africa%27s%20Low%20Emission%20Development%20Strategy.pdf
Equity statement - "As a developing country, in line with the principles of equity, as well as common but differentiated responsibilities and respective capabilities, our ability to respond to climate change is likely to be far slower than our developed world counterparts. In view of this latter point, we would like to reiterate that effective responses to climate change can be accomplished with appropriate financial, technological, and capacity-building support from the developed world in line with their corresponding obligations to provide such support. South Africa received in excess of 4 billion US dollars in financial support from bilateral and multilateral sources towards climate change action. It is worth noting, with concern, that the majority of reported financial climate support has not been in the form of grants, but mostly in the form of loans. Be that as it may, South Africa remains committed to doing its best to combat climate change through various measures, drawing on the much appreciated capacity-building, technical and financial support of developed countries."
Other accountable bodies are the Presidential Climate Change Coordinating Commission (PCCCC) established 17/12/2020:
"The Commission is tasked with advising on South Africa’s climate change response. This includes mitigation and adaptation to climate change and its associated impacts. It will furthermore provide independent monitoring and review of South Africa’s progress in meeting its emissions reduction and adaptation goals. Under the Commission’s Terms of Reference it will advise on and facilitate a common understanding of a just transition, cognisant of the socio-economic, environmental and technological implications of climate change. This covers adaptation, mitigation as well as means of implementation." (https://www.gov.za/speeches/president-cyril-ramaphosa-appoints-presidential-climate-change-coordinating-commission%C2%A0-17)</t>
  </si>
  <si>
    <t>2022-05-24 16:39:26</t>
  </si>
  <si>
    <t>COU-0118</t>
  </si>
  <si>
    <t>Zambia intends to reduce its greenhouse gas emissions by 25% (at Business As Usual (BAU) level of international support prevailing in 2015) and towards 47% (with substantial international support) compared to 2010 levels.
At least 25% (20,000 Gg CO2 eq.) by 2030 against a base year of 2010 under the business as usual scenario with limited international support or By 47% (38,000 Gg CO2 eq.) with substantial international support.
The reference indicator has been quantified based on national total greenhouse gas (GHG) emissions with 2010 as the base year. The base year emission level was 120,604 Gg CO2- equivalents.
By this submission Zambia enhances its NDC by broadening the scope of sectors under mitigation by adding transport, liquid waste and coal (production, transportation and consumption) and by elaborating the adaptation component of the NDC by developing indicators that will enable the country track progress on building resilience in both the human and physical systems and on adaptation actions.
https://unfccc.int/sites/default/files/NDC/2022-06/Final%20Zambia_Revised%20and%20Updated_NDC_2021_.pdf</t>
  </si>
  <si>
    <t>Zambia committed to a 25% reduction compared to BAU levels conditional on continuing to receive 2015’s level of international support, or up to 47% compared to 2010 levels if it receives greater international support, by 2030. 
At least 25% (20,000 Gg CO2 eq.) by 2030 against a base year of 2010 under the business as usual scenario with limited international support or By 47% (38,000 Gg CO2 eq.) with substantial international support.
I calculated the reduction for target emissions above by multiplying .75 by the 2030 projected BAU emissions, as Zambia’s NDC only lists a percentage reduction and a projected BAU amount for 2030. This is different from the amount given by the NDC later in the document (which is 20,000 Gg CO2 eq. by 2030).</t>
  </si>
  <si>
    <t>Sectors
1. Energy-categories include; Energy industries, manufacturing industries and construction, transport, and other sectors
2. Agriculture Forestry and Other Land Use (AFOLU)-categories include; livestock, Land and Aggregate sources and non-CO2 emissions sources on land
3. Waste-categories include; solid waste disposal, biological treatment of solid waste, Incineration and Open Burning of Waste, and Wastewater Treatment and Discharge.
These sectors were selected because they are key categories and emerging sectors that are contributing to the emission profile of the country.
Sectors Energy, industrial processes and product use, Agriculture Forestry and Other Land Use (AFOLU), and waste. Gases Carbon dioxide (CO2), methane (CH4), nitrous oxide (N2O), perfluorocarbons (PFCs), hydrofluorocarbons (HFCs), sulphur hexafluoride (SF6)). For the AFOLU sector, emissions and removals the following reporting categories are included: forest land, cropland, grassland, and wetland (wetland remaining wetland only from 2026), including land use changes between the categories, and between these categories and settlements and other land. The five carbon pools above-ground biomass, below-ground biomass, litter, dead wood and soil organic matters are included. In addition, the carbon pool harvested wood products is included. https://unfccc.int/sites/default/files/NDC/2022-06/Zambia_Provisional_Updated_NDC_2020.pdf Gases: carbon dioxide (CO2), methane (CH4), nitrous oxide (N2O). https://www.mlnr.gov.zm/wp-content/uploads/2021/08/Final-Zambia_Revised-and-Updated_NDC_2021_-1.pdf
Gases
Carbon dioxide (CO2), methane (CH4), nitrous oxide (N2O)</t>
  </si>
  <si>
    <t>On equity: Zambia considers the updated NDC as fair and ambitious enough to contribute to low carbon and climate resilient economy by 2030 in accordance with its national circumstance and desire to become a low carbon and climate resilient middle income and prosperous country by 2030. Zambia is a low contributor to the global greenhouse gas emission. In developing the NDC, Zambia considered the general principles and provisions of the Convention and the Paris Agreement, especially those related to Common But Differentiated Responsibilities and Respective Capabilities (CBDR) and equitable access to atmospheric space.
Zambia regards its NDC to represent its fair share of the efforts to achieve the global long-term goal of the Paris Agreement as emission reductions of 25% and 47% conditional and non conditional pledges are very ambitious, taking into account country’s national circumstances
2016-2020 Implementation Plan on mitigating the impact of climate change: https://storage.googleapis.com/cclow-staging/jblpbel7b8ezimqowxz3ga3h1i3i?GoogleAccessId=laws-and-pathways-staging%40soy-truth-247515.iam.gserviceaccount.com&amp;Expires=1652959856&amp;Signature=ScJsiw%2B7nwQWk0ni%2BY3DWfgRlhtNotDYz8OxG1AoBWgdbewx6ViTkV0w1lLBT%2Fm0k0cFQe3kpfS40wJ7wUs42n2275NAqpS4yfLshq9zws1AUA7zAfTapkjDxwCL6LFEuFcZpKaXy0fv%2FDERqQnHSXiVXD%2BlxqAfRaEbUbAB0%2FcOjovKtpI2SUNmKAwT0qog3qIi7%2B8dETThB%2FKo5WLDWpVC77rLRddQYS6uGv8xKvF7Fo%2FeNCXE9cf%2B1o3m0esUsIc5kkMjamiEQNLvqGJ4w2BQFZLC%2Fou1rRXlu6wd8VT3Ncc0iqb530EgyJsIUHEexn1%2BdsfKr%2FYgRvBq8wwcvg%3D%3D&amp;response-content-disposition=inline%3B+filename%3D%22f%22%3B+filename%2A%3DUTF-8%27%27f&amp;response-content-type=application%2F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 Preliminary indicators for tracking progress on adaptation are in Annex 2. Biennial Update Report. Equity: Zambia regards its NDC to represent its fair share of the efforts to achieve the global goal of the Paris Agreement. https://www.mlnr.gov.zm/wp-content/uploads/2021/08/Final-Zambia_Revised-and-Updated_NDC_2021_-1.pdf</t>
  </si>
  <si>
    <t>Zambia intends to use voluntary cooperation under Article 6 of the Paris Agreement to fulfil part of its contribution
Zambia will also participate in market based mechanisms on emission reductions.
Emissions and removals in managed forests in the period 2021 – 2030 will be accounted for as the deviation from a projected forward-looking forest reference level, with regards to dynamic age-related forests characteristics.
Zambia will participate in market based mechanisms on emission reductions. Removals in forests in the period 2021 – 2030. https://www.mlnr.gov.zm/wp-content/uploads/2021/08/Final-Zambia_Revised-and-Updated_NDC_2021_-1.pdf Zambia will participate in market based mechanisms on emission reductions. Removals in forests in the period 2021 – 2030. https://www.mlnr.gov.zm/wp-content/uploads/2021/08/Final-Zambia_Revised-and-Updated_NDC_2021_-1.pdf</t>
  </si>
  <si>
    <t>2023-09-22 10:33:26</t>
  </si>
  <si>
    <t>COU-0119</t>
  </si>
  <si>
    <t xml:space="preserve">Zimbabwe’s revised NDC target is a 40% per capita emissions reduction across all sectors of the 
economy below the projected business as usual scenario by 2030 (relative to the 2017 emission 
baseline). </t>
  </si>
  <si>
    <t>https://unfccc.int/sites/default/files/NDC/2022-06/Zimbabwe%20Revised%20Nationally%20Determined%20Contribution%202021%20Final.pdf</t>
  </si>
  <si>
    <t>Greenhouse gases covered: carbon dioxide (CO2
), methane 
(CH4
), nitrous oxide (N2
O) and hydrofluorocarbons. Black 
carbon (a short-lived climate pollutant), and co-emitted air 
pollutants (PM2.5, NOx, SO2
, non-methane VOCs, carbon 
monoxide) were also included in the analysis.</t>
  </si>
  <si>
    <t>Preserving ecosystems and forests, and sustainable land use will lead to mitigation benefits through improved carbon-storage capacity</t>
  </si>
  <si>
    <t>2022-08-27 15:26:32</t>
  </si>
  <si>
    <t>COU-0120</t>
  </si>
  <si>
    <t>"Considering all sectors (including FOLU), emissions for the NDC scenario (with mitigation measures) increase from 10,139 kt CO2e in 2016 to 11,978 kt CO2e in 2030, which represents an increase of +18.1%. The difference, in 2030, with the BAU scenario, is -3,170 kt CO2e, which represents a mitigation impact of -20.9%."
"Overall, the mitigation actions accounted in the NDC scenario could help avoid, in total during the period 2021-2030, 16,828 kt CO2e compared to the BAU scenario. This is the cumulative effect of the emissions reduction between NDC scenario and BAU scenario"</t>
  </si>
  <si>
    <t>"A single year target, 2030, is considered."</t>
  </si>
  <si>
    <t>https://www4.unfccc.int/sites/ndcstaging/PublishedDocuments/Albania%20First/Albania%20Revised%20NDC.pdf</t>
  </si>
  <si>
    <t>Carbone dioxide (CO2)
Methane (CH4)
Nitrous oxide (N2O)
HFCs
PFCs, SF6 and NF3 are not covered as they are
considered negligible.
The inclusion of perfluorocarbons (PFCs), sulphur hexafluoride (SF6) and nitrogen trifluoride (NF3) will be added to the NDC coverage once included in Albania’s GHG inventory</t>
  </si>
  <si>
    <t>Precise objectives or means of implementation are sometimes lacking, and some of the policy and legal documents have not been fully approved. There is a lack of consistency among different areas of policy, which relies on a high number of external consultancy projects. There is a need to move from a project-based approach to a more mainstreamed process. There is a lack of public awareness to acknowledge relevance of climate change. Adopted policies and measures are not always applied.</t>
  </si>
  <si>
    <t>Albania intends to sell carbon credits during the period until 2030 to contribute to low emission development. The utilization of international market mechanisms is conditional on having environmental integrity.
Greenhouse gas emissions and removals from agriculture, forestry and other land uses are currently not included in the accounting. Emissions and removals from these sectors can be included in the INDC at a later stage when technical conditions allow for that.</t>
  </si>
  <si>
    <t>2022-12-12 16:35:44</t>
  </si>
  <si>
    <t>COU-0121</t>
  </si>
  <si>
    <t>Andorra's NDC update in 2020 pledges carbon neutrality by 2050: "The commitment presented in this update reinforces the actions to achieve the objective defined in the first NDC in the medium term, by 2030, and pursues carbon neutrality by 2050 in the long term."
Andorra's update in 2022 reflects that the commitment is maintained and reinforced: "se mantiene y refuerza así el compromiso ya adquirido en la primera actualización de la NDC a largo plazo para el 2050".</t>
  </si>
  <si>
    <t xml:space="preserve">Andorra's NDC in 2022 pledges a 55% reduction in unabsorbed gas emissions with respect to BAU by 2030. This is not written above as BAU because I could not find the target emissions/BAU emissions in the document.
2020:
They quote -193.73 Gg CO2e (=-0.19MTCO2e), which is expanded to 0.5236 BAU and 0.3299 target emissions.
2022:
I used the previous BAU emissions (0.5236) and the updated 55% target (quoted -292 Gg CO2eq (=-0.292MTCO2e)). I am slightly uncertain about these statistics though, and struggled to find updated BAU emissions.
</t>
  </si>
  <si>
    <t>Energy sector:
- Andorra want to decrease the intensity of energy by a minimum of 20%, with an increase in national energy production (which will be over 70% from renewable sources) of 33% of electricity demand
https://www4.unfccc.int/sites/ndcstaging/PublishedDocuments/Andorra%20First/20200514-%20Actualitzaci%C3%B3%20NDC.pdf
https://unfccc.int/sites/default/files/NDC/2022-11/20222410_Actualitzacio%20NDC.pdf
Interim transport goal (2030):
- Reducing internal movement by 50% 
- increasing electric passenger car vehicles by 20%
2050: 
- Decarbonising the transport sector 
Green tax for use of hydrocarbons in heating
BAU: 530.55 Gg CO2 eq, 
https://www.bopa.ad/bopa/033019/Documents/Mem%C3%B2ria_GD20210204_16_16_19.pdf</t>
  </si>
  <si>
    <t>https://unfccc.int/sites/default/files/NDC/2022-11/20222410_Actualitzacio%20NDC.pdf</t>
  </si>
  <si>
    <t>"The following greenhouse gases are included in the NDC, in accordance with the inventoried gases and reported in our BURs according to the 2006 GIECC Guidelines and subsequent reviews for conducting national GHG inventories:
Carbon dioxide (CO2 ), methane (CH4 ), nitrous oxide (N2O), hydrofluorocarbons (HFC), perfluorocarbons (PFC) and sulfur hexafluoride (SF6 ).</t>
  </si>
  <si>
    <t>An entire section on this within the NDC document: IMPLEMENTATION MECHANISMS TO REACH THE NDC'S COMMITMENTS</t>
  </si>
  <si>
    <t>Revised NDC 2020: "Agriculture, forestry and land use sector : around 23% of emissions are absorbed by the forest mass of the territory, so that an improvement in silvicultural management that incorporates nature-based solutions must allow not only the scenario foreseen in the medium term, that is to say, that at least the sink capacity of the country's forest mass of the year 2017 (quantified in -139 Gg CO2 eq. annual) will be maintained, but that the ambition regarding the sink capacity of the forests of the country."
2022: sustainable forest management will be permitted to increase the capacity of absorption through adaptive forestry.
Andorra has agreed to the Declaration of land use and forests, and want to accelerate reforestation, protect and restore natural ecosystems amongst other goals.</t>
  </si>
  <si>
    <t>2023-11-21 09:05:17</t>
  </si>
  <si>
    <t>COU-0122</t>
  </si>
  <si>
    <t>"The UAE has announced a goal of achieving net zero emissions by 2050..." [p. 8]</t>
  </si>
  <si>
    <t>"This National Determined Contribution (NDC) sets absolute, unconditional, economy-wide emissions reduction targets for 2030. The new reduction target for 2030 will reduce net greenhouse gas (GHG) emissions from the previously targeted figure of 208 MtCO2 e, as announced in the Updated Second NDC (2022), to 182 MtCO2 e. Despite sustained economic and population growth, this target represents an absolute GHG emissions reduction of 19% by 2030 relative to 2019." [p. 5; baseline emissions amount from graph on p. 7]</t>
  </si>
  <si>
    <t>Iterations of the second NDC: - https://unfccc.int/sites/default/files/NDC/2022-09/UpdateNDC-AR-2022.pdf
- https://www4.unfccc.int/sites/ndcstaging/PublishedDocuments/United%20Arab%20Emirates%20Second/UAE%20Second%20NDC%20-%20UNFCCC%20Submission%20-%20English%20-%20FINAL.pdf
- https://unfccc.int/sites/default/files/NDC/2023-07/Third%20Update%20of%20Second%20NDC%20for%20the%20UAE_v15.pdf
Net zero strategic initiative (2021): https://u.ae/en/information-and-services/environment-and-energy/climate-change/theuaesresponsetoclimatechange/uae-net-zero-2050
Net Zero pathway (2022): https://www.moccae.gov.ae/en/media-center/news/11/11/2022/uae-unveils-national-net-zero-by-2050-pathway-at-cop27-in-sharm-el-sheikh.aspx#page=1
Net Zero 2050 Charter (2023): https://wam.ae/en/details/1395303136015</t>
  </si>
  <si>
    <t>https://unfccc.int/sites/default/files/NDC/2023-07/Third%20Update%20of%20Second%20NDC%20for%20the%20UAE_v15.pdf</t>
  </si>
  <si>
    <t>Gases: It is specified that the interim target covers all gases: "The new base-year and fixed-level targets are economy-wide and cover all domestic sectors, including land use, land use changes, and forestry. They cover all national GHG emissions, including Carbon Dioxide (CO2 ), Methane (CH4 ) and Nitrous Oxide (N2 O). However, the targets do not cover emissions from Fluoridated Gases43 (F-gases), which are typically part of closed-system cooling applications, since a comprehensive and robust study of these gases is still under way." [p. 16] This specification does not extend to final target: "Sectoral targets and pathways beyond 2030 will be described in UAE’s Long-Term Strategy (LTS). The UAE plans to launch its LTS before COP28." [p. 15]. At the time of analysis (November 2023), the UAE had not yet released its LTS. There is some suggestion in a footnote that the target is mean to cover all cases: "In 2022, the UAE also became the first country in the region to announce a strategic initiative to pursue net zero by 2050 with the aim of transforming all sectors of its economy in line with the objectives of the Paris Agreement.4... FN 4 Excluding fluorinated gases (F-gases), and excluding international shipping and aviation sectors as per IPCC as detailed in Chapter 4.2 ‘Target Coverage’" [p. 6]
Aviation and shipping: Both international aviation and shipping are explicitly excluded from the interim target: "While domestic aviation and shipping is within the scope of this Third Update of Second NDC, emissions from international aviation and international shipping are not." [p. 16]. However, despite some language in the footnote mentioned above ("In 2022, the UAE also became the first country in the region to announce a strategic initiative to pursue net zero by 2050 with the aim of transforming all sectors of its economy in line with the objectives of the Paris Agreement.4... FN 4 Excluding fluorinated gases (F-gases), and excluding international shipping and aviation sectors as per IPCC as detailed in Chapter 4.2 ‘Target Coverage’" [p. 6]), it is not clear whether the net zero target covers international shipping and aviation. 
[Edit] I'm taking the mentioned p6 quote and footnote as saying that their 2050 target explicitly excludes international shipping and aviation.</t>
  </si>
  <si>
    <t>[Edit] Plan - see Section 4.3 "Sectoral targets and pathways" pp16-35 
Reporting - NDCs required every 5 years
Equity - the word is not used but it is referred to e.g. "This NDC also considers the needs of vulnerable groups, including youth, women, children, and people of determination." (p5)
"Inclusivity and empowerment are core elements of the UAE climate agenda. Protecting and enabling the most vulnerable groups of society, such as women, youth, and children, as well as people of determination, is a key priority." (p51)
Leadership - See e.g. section "2.2 Government Structure" (p10)</t>
  </si>
  <si>
    <t>Credits: "While the UAE primarily intends to rely on domestic efforts to achieve its NDC objectives, it may consider or reserve the right to use voluntary cooperation under Article 6 of the Paris Agreement to partially fulfil these commitments." [p. 68]
[Edit] (NB. Article 6 is about trading carbon credits to meet targets)
[Edit] - See also p35, which described removals including both NbS (via mangroves) and DAC
Removal - NbS: "Date palm trees have also been found to offer carbon capture and storage properties and at the same time showcase a strong ability to withstand hard environmental conditions. The Arab region boasts around 100 million date palm trees, which can be relied upon to absorb and store carbon. For this reason, at COP27, the UAE presented the International Initiative to Protect the Date Palm Oases under Climate Change Challenges. The initiative will officially launch at COP28" [p. 42]
CCS: "A national technology and R&amp;D strategy will support scaling and deploying the required technologies, including newer ones such as low-carbon hydrogen (blue, pink, and green  hydrogen), and Carbon Capture and Storage (CCS).| [p. 5] 
"Carbon capture and storage (CCS) solutions are key to decarbonising the UAE’s heavy emitting sectors and are particularly relevant to reducing emissions from the chemical process associated with the manufacturing of cement. The UAE is also designing a CCS policy package which includes plans to introduce Carbon Contracts for Difference (CCfDs) for carbon capture, regulated Transport and Storage (T&amp;S) and liability transfer policies. CCfDs offer long-term contracts to pay for the difference between any carbon price and actual abatement costs and are a key tool for overcoming cost barriers. The T&amp;S and liability transfer policies support the roll-out of a CCS infrastructure network. This includes setting up a regulated scheme to remunerate CCS network operators as well as a liability transfer from storage operators to the government." [p. 22]
"Among the UAE’s focus technologies are CCS, DAC, hydrogen production and distribution, green product standards for cement and concrete, and recycled material use." [p. 48]</t>
  </si>
  <si>
    <t>2023-05-15 20:29:54</t>
  </si>
  <si>
    <t>COU-0123</t>
  </si>
  <si>
    <t>10  Australia’s greenhouse gas emissions reduction targets
             (1)  Australia’s greenhouse gas emissions reduction targets are as follows:
                     (a)  reducing Australia’s net greenhouse gas emissions to 43% below 2005 levels by 2030:
                              (i)  implemented as a point target; and
                             (ii)  implemented as an emissions budget covering the period 2021‑2030;
                     (b)  reducing Australia’s net greenhouse gas emissions to zero by 2050.
Note:          The achievement of a target involves reducing Australia’s net greenhouse gas emissions to a level that is at or below the target. Accordingly, nothing in subsection (1) limits Australia’s ability to reduce its net greenhouse gas emissions beyond 43% below 2005 levels by 2030.</t>
  </si>
  <si>
    <t>Australia reaffirms its target to achieve net zero emissions by 2050. In the updated NDC, Australia is increasing the ambition of its 2030 target, committing to reduce greenhouse gas emissions 43% below 2005 levels by 2030.https://unfccc.int/sites/default/files/NDC/2022-06/Australias%20NDC%20June%202022%20Update%20%283%29.pdf</t>
  </si>
  <si>
    <t>https://www.legislation.gov.au/Details/C2023C00092</t>
  </si>
  <si>
    <t xml:space="preserve">GHG Coverage: Carbon dioxide (CO2); Methane (CH4); Nitrous oxide (N2O); Hydrofluorocarbons (HFCs); Perfluorocarbons (PFCs); Sulphur hexafluoride (SF6); Nitrogen trifluoride (NF3).
The plan (https://www.dcceew.gov.au/sites/default/files/documents/australias-long-term-emissions-reduction-plan.pdf) includes domestic aviation under transport. Australia is collaborating to reduce international aviation emissions (https://www.infrastructure.gov.au/infrastructure-transport-vehicles/aviation/aviation-safety/aviation-emissions) but there is nothing specific to indicate that the target includes them. "Australia’s international passenger airlines have committed to net zero emissions by 2050" </t>
  </si>
  <si>
    <t>Schedule for regular review of measures|Information on the extent to which measures will be applied (e.g. if switching to EVs, what share of the fleet; if installing an own solar PV installation, what is the installed capacity)|Measures for all emission scopes that are covered by the target|Information on the emission reductions expected from these measures within a certain time period</t>
  </si>
  <si>
    <t>1. The Australian Government will introduce a new annual statement to Parliament on climate policy, progress against national targets and international developments and will seek to formalise its targets in legislation. The annual statement and other climate policy will be informed by Australia’s Climate Change Authority, which the Government will restore as an independent source of advice. Australia’s net emissions in the most recently available year are published in the annual National Inventory Report.
2. Measures: In addition to Australia’s first National Electric Vehicle Strategy, the Government will also introduce an electric car tax discount and establish a real-world emissions testing program to help consumers make more informed choices about the fuel efficiency of their vehicles.
3. The Australian Government is implementing a substantial and rigorous suite of new policies across the economy to drive the transition to net zero (e.g., investment on decarbonisation of the grid, renewable manufacturing, decarbonisation priorities of existing industries)
4.  Australia will track progress towards both targets in its Biennial Transparency Reports under the Paris Agreement, on the basis of national emissions reported in its annual National Inventory Report. 
5. Equity (refer to p. 11 Table 2 Section 2.1.2: https://unfccc.int/sites/default/files/NDC/2022-06/Australias%20NDC%20June%202022%20Update%20%283%29.pdf)
Annual statement: https://www.dcceew.gov.au/climate-change/strategies/annual-climate-change-statement
Plan: https://www.dcceew.gov.au/sites/default/files/documents/australias-long-term-emissions-reduction-plan.pdf
Section 'an adaptive plan for the future' outlines reviewing process</t>
  </si>
  <si>
    <t xml:space="preserve">CCS is listed as a priority in the Technology Investment Roadmap and Low Emissions Technology Statement. In 2021, AUD 263.9m was directed towards CCS. The government's Low Emissions Technology Statement specifies the government's technology investment priorities and supports gas and CCS. 
The ERF allows the government to purchase low-cost abatement (Ausrtalian carbon credit units) to provide incentives to business and households to reduce their emissions. 
Enhancing carbon levels in soils offers huge potential to improve the uptake of carbon emissions across the globe. Australia is a world leader in this area and will be sharing its expertise with other countries. - https://www.pmc.gov.au/sites/default/files/publications/Summary%20Report%20Australias%202030%20Emission%20Reduction%20Target.pdf
In the updated NDC report- Carbon capture and storage – CO2 compression, hub transport and storage under $20/t of CO2 as well as soil carbon measurements under $3/ha/year
"Carbon capture and storage: The $20 per tonne of CO₂ stretch goal covers CO2 compression, hub transport and storage, but does not cover capture processes, noting the cost of capture technologies varies between applications and depends on factors such as the relative concentration of CO2 for different industrial processes. The stretch goal assumes CO₂ is transported within a hub distance of less than 100 km to suitable reservoirs. Achieving a stretch goal of under $20 per tonne would position CCS to be competitive over the long term with other forms of abatement supported by Australia’s Emissions Reduction Fund. Under a high technology scenario, CCS could be deployed as early as 2025, subject to securing offtake agreements and development approvals."
soil carbon- "Soil carbon measurement: The soil carbon measurement stretch goal time range was set based on consultations with industry. Based on a high technology uptake scenario, advancements in proximal sensing, simulation modelling and remote sensing technologies could see the stretch goal of under $3 per hectare per year reached as early as 2025. As of 2020, soil carbon measurement for Emissions Reduction Fund projects were estimated at around $30 per hectare per year (CSIRO estimates based on a land area of 300 hectares; estimates could be lower for larger areas)."
"Achievement of Australia’s priority technology stretch goals will have a significant impact on global emissions. The five technologies first identified in Australia’s first low emissions technology statement (2020) (hydrogen, energy storage, low emissions materials, carbon capture and storage and soil carbon measurement) address emissions in sectors that account for 90 per cent of global emissions, or around 45 billion tonnes CO2-e annually. Australia is targeting international partnerships that support these economic stretch goals, including access to global markets and more competitive supply chains. We are also prioritising partnerships that focus on critical research, development and deployment challenges for economically important, hard-to-abate sectors." 
so as mentioned above, there is a strong emphasis on technology stretch goals to have an impact on global emissions.
also discusses offsets and sinks in terms of Domestic institutional arrangements, public participation and engagement with local communities and indigenous peoples, in a gender-responsive manner; The five yearly review process will allow Australia to take stock of our progress towards our net zero target. This will ensure our policies are calibrated to reflect the latest technology advances, international developments and other factors. It will ensure there is transparency regarding how progress is tracked, including any updates or revisions, achievements and effectiveness of key national policies and investments, as well as the role of state and territory policies and targets in contributing to the national goal. It will enable Australia to balance its investments across domestic offsets, international offsets and pursuing technological breakthroughs).
</t>
  </si>
  <si>
    <t>2024-01-30 17:10:13</t>
  </si>
  <si>
    <t>COU-0124</t>
  </si>
  <si>
    <t>'The Republic of Azerbaijan, subject to its sustainable socio-economic development, will seek to reduce greenhouse gas emissions by 40% compared to 1990 (base year) level by 2050 if international support is provided through financing, technology transfer and capacity building.'</t>
  </si>
  <si>
    <t>The previous NDC was a 2030 target for 35% GHG reduction from a 1990 baseline. 
New NDC announced October 2023: https://eu4climate.eu/2023/10/12/advancing-climate-action-azerbaijan-approves-ndc-report-under-eu4climate-project/</t>
  </si>
  <si>
    <t>https://unfccc.int/sites/default/files/NDC/2023-10/Second%20NDC_Azerbaijan_ENG_Final%20%281%29.pdf</t>
  </si>
  <si>
    <t>'Target covering all sectors'
'Greenhouse gases: carbon dioxide (CO2), methane (CH4), nitrogen oxide (N2O), hydrofluorocarbons (HFCs), perfluorocarbons (PFCs).'</t>
  </si>
  <si>
    <t>'In order to avoid the growth of greenhouse gas emissions and to reduce its amount, the country will introduce green and smart technologies in accordance with the document “Azerbaijan 2030: National Priorities for Socio-Economic Development” approved by the President of Azerbaijan on 2 February 2021'
'In accordance with this document, the “Strategy of Socio-Economic Development of the Republic of Azerbaijan for 2022-2026” was approved, where a special place was given to measures on combating global climate change.'
The NDC details some broad principles for achieving the target in relation to energy, industry, transport, land use etc.</t>
  </si>
  <si>
    <t>p12: says the NDC is 'taking into account the maximum possible absorption capacity of forests and ecosystems', but nothing further is mention about sinks/credits/offsets</t>
  </si>
  <si>
    <t>2022-06-06 15:48:39</t>
  </si>
  <si>
    <t>COU-0125</t>
  </si>
  <si>
    <t>Table 3: Emissions by mitigation objective
OBJECTIVE Percentage CO2e emissions (Gg)
Unconditional objective (2030) % 3% 1,958
Conditional objective (2030) % 20% 14,897
Unconditional objective (2025) % 2% 1,305
Conditional objective (2025) % 17% 9,897
Unconditional objective (2020) % 1% 653
Conditional objective (2020) % 11% 4,897 
https://www4.unfccc.int/sites/ndcstaging/PublishedDocuments/Burundi%20First/Burundi_INDC-english%20version.pdf</t>
  </si>
  <si>
    <t>"120 Countries plus the EU (full list below) are demonstrating genuine leadership either by having developed plans to achieve net zero CO2 emissions by 2050, by having identified this target as a long-term national goal, or by advancing consultations on a long-term strategy for climate-neutrality in line with the Paris Agreement."
Do not use new version: (multiple statistical errors)
https://www4.unfccc.int/sites/ndcstaging/PublishedDocuments/Burundi%20First/CDN%20%20%20Burundi%20ANNEXE%201.pdf</t>
  </si>
  <si>
    <t>Reports every 6 months ("biannuelle")</t>
  </si>
  <si>
    <t>2022-05-20 19:15:52</t>
  </si>
  <si>
    <t>COU-0126</t>
  </si>
  <si>
    <t>The EU and its Member States, acting jointly, are committed to a binding target of a net domestic reduction of at least 55% in greenhouse gas emissions by 2030 compared to 1990.</t>
  </si>
  <si>
    <t>Interim target:
Under the initial NDC, civil aviation is included, calculated including emissions from outgoing flights that start in the EU, on the basis of fuels sold in the EU. This information is subject to revision in light of the enhanced target
Interim target:
Gases:
Carbon Dioxide (CO2)
Methane (CH4)
Nitrous Oxide (N2O)
Hydrofluorocarbons (HFCs)
Perfluorocarbons (PFCs)
Sulphur hexafluoride ((SF6)
Nitrogen trifluoride (NF3)
https://www4.unfccc.int/sites/ndcstaging/PublishedDocuments/Bulgaria%20First/EU_NDC_Submission_December%202020.pdf</t>
  </si>
  <si>
    <t>2022-05-26 08:00:33</t>
  </si>
  <si>
    <t>COU-0127</t>
  </si>
  <si>
    <t>There are no targets for emissions and only targets set for reduction of energy consumption by 2025, expressed as a percentage of the average final energy consumption. There have also been targets set for renewable energy share of 5% by 2025 and 10% by 2035.
https://www4.unfccc.int/sites/ndcstaging/PublishedDocuments/Bahrain%20First/NDC%20of%20the%20Kingdom%20of%20Bahrain%20under%20UNFCCC.pdf</t>
  </si>
  <si>
    <t>https://www.arabianbusiness.com/industries-energy/470085-bahrain-pledges-to-reach-net-zero-emissions-by-2060</t>
  </si>
  <si>
    <t>There are strategies for energy transformation, but none for emissions reduction/
On reporting in the NDC 2021: "Bahrain will periodically review the mitigation and adaptation measures mentioned in the NDCs to ensure that efforts are implemented." No actual timeline specified
Bahrain will have a specific monitoring and evaluation plan for the adaptation, for monitoring and reviewing and verification of projects and policies."
https://www4.unfccc.int/sites/ndcstaging/PublishedDocuments/Bahrain%20First/NDC%20of%20the%20Kingdom%20of%20Bahrain%20under%20UNFCCC.pdf</t>
  </si>
  <si>
    <t xml:space="preserve">Nature-based removals: "The national project for afforestation, to support increase green areas at the kingdom, better accommodate rise in temperatures and create green sinks for emission is still at early stages"
https://www4.unfccc.int/sites/ndcstaging/PublishedDocuments/Bahrain%20First/NDC%20of%20the%20Kingdom%20of%20Bahrain%20under%20UNFCCC.pdf
</t>
  </si>
  <si>
    <t>2023-07-29 13:06:10</t>
  </si>
  <si>
    <t>COU-0128</t>
  </si>
  <si>
    <t>"The emission reduction goal of the strategy: ... reduction of greenhouse gas emissions by 50% by 2050 compared to 2014" (p61)</t>
  </si>
  <si>
    <t>"The implementation of the actions presented in Table 4 results in a targeted reduction of GHG emissions by 12.8% until 2030 compared to 2014 emissions. Reduction of GHG emissions at the end of the observed period, i.e. 2050, is 50% compared to the 2014 emissions." (p95)</t>
  </si>
  <si>
    <t xml:space="preserve">2050 unconditional 50% reductions goal, 2030 interim goal with new proposed 2025 plan, but no available information
https://www.climatewatchdata.org/ndcs/country/BIH?document=revised_first_ndc
</t>
  </si>
  <si>
    <t>https://unfccc.int/sites/default/files/resource/ENG_CC%20adaptation%20and%20Low%20emission%20development%20Strategy%20BiH%202020-2030.pdf</t>
  </si>
  <si>
    <t>Information on the extent to which measures will be applied (e.g. if switching to EVs, what share of the fleet; if installing an own solar PV installation, what is the installed capacity)|Measures for all emission scopes that are covered by the target</t>
  </si>
  <si>
    <t>Plan: e.g. see pp87-95
As a member of the UNFCCC: biennial update reports on GHG emissions.
Equity: "The transition to a ‘green economy’ will particularly benefit the vulnerable and disadvantaged by being socially inclusive and contributing positively to gender equity." (p61)
In the case of the conditional target, more intensive international assistance is expected for faster decarbonisation of the power sector with an emphasis on fair transition of mining areas.</t>
  </si>
  <si>
    <t xml:space="preserve">Nature based removals: see "Measures to increase GHG sink in forestry" (p127)
</t>
  </si>
  <si>
    <t>2022-08-27 15:22:26</t>
  </si>
  <si>
    <t>COU-0129</t>
  </si>
  <si>
    <t>Taking into account the economic situation and the country's capabilities, the new unconditional economy-wide target is to reduce greenhouse gas emissions by at least 35 per cent from the 1990 level by 2030, inclusive of the LULUCF sector. 
The new conditional economy-wide target is to reduce greenhouse gas emissions by at least 40 per cent from the 1990 level by 2030, inclusive of the LULUCF sector and subject to using international financing mechanisms to introduce the best available technologies for achieving greenhouse gas emissions reduction.</t>
  </si>
  <si>
    <t>https://www4.unfccc.int/sites/ndcstaging/PublishedDocuments/Belarus%20First/Belarus_NDC_English.pdf</t>
  </si>
  <si>
    <t xml:space="preserve">Greenhouse gas emissions in the following sectors: Energy, Industrial Processes and Product Use (hereinafter referred to as “IPPU”), Agriculture, Waste, and LULUCF.
The commitments of the Republic of Belarus are related to the reduction of the emissions of the following greenhouse gases: carbon dioxide, methane, nitrous oxide, hydrofluorocarbons, perfluorocarbons, sulphur hexafluoride.
https://www4.unfccc.int/sites/ndcstaging/PublishedDocuments/Belarus%20First/Belarus_NDC_English.pdf </t>
  </si>
  <si>
    <t xml:space="preserve">Achievement of the target will be monitored in the Biennial Transparency Reports submitted by the Republic of Belarus, National Communications and other reporting documents in accordance with the Paris Agreement and the decisions adopted by the Conference of the Parties.
A roadmap was developed for the implementation of the NDC in the Republic of Belarus with due consideration for the global trends and national context of Belarus, which contains actions for the five-year period as well as longer-term activities.
https://www4.unfccc.int/sites/ndcstaging/PublishedDocuments/Belarus%20First/Belarus_NDC_English.pdf </t>
  </si>
  <si>
    <t>The LULUCF sector was not included in the INDC due to high uncertainty in the methodology of estimating greenhouse gas emissions and removals. This sector is included in the NDC, considering its potential as a carbon dioxide sink and all possible risks.
https://www4.unfccc.int/sites/ndcstaging/PublishedDocuments/Belarus%20First/Belarus_NDC_English.pdf
Forests in Belarus are a net sink that removed 25.5 million tCO2e in 2012.
https://www.oecd.org/environment/outreach/Belarus_Financing_Climate_Action.Nov2016.pdf</t>
  </si>
  <si>
    <t>2023-10-05 06:14:59</t>
  </si>
  <si>
    <t>COU-0130</t>
  </si>
  <si>
    <t>"[acheive a] 85% reduction in fossil fuel and a corresponding contribution of 85% from renewable resources by 2035." and "reduction of transport related carbon emissions over the next 15 years starting with (1) the electrification of vehicles beginning with government vehicles and public transportation and (2) the banning of 2-stroke motorcycles."(https://www.thebermudian.com/news-and-community/climate-crisis/simple-answers-to-complex-questions-about-the-climate-crisis/bermudas-role-in-climate-change/)</t>
  </si>
  <si>
    <t>"[i]n june 2019, the regulatory authority of bermuda published an integrated resource plan, which included a recommendation that renewable energy contributes at least 75 percent of the [bermuda]’s electricity by 2035... the plan rejected a shift to natural gas. instead, it recommended the deployment of 21mw of utility-scale solar power generation, up to 30mw of distributed solar and a 60mw offshore wind farm by 2025, as well as biomass generation by 2028." and "electrify road vehicles". (https://assets.kpmg.com/content/dam/kpmg/xx/pdf/2022/11/net-zero-readiness-spotlight-islands.pdf, pages 29-30)</t>
  </si>
  <si>
    <t>https://www.gov.bm/sites/default/files/The%20Bermuda%20Difference%20in%20Climate%20Change%20and%20the%20UN%20Conference%20Of%20%20Parties%2C%20Glasgow.pdf</t>
  </si>
  <si>
    <t>There was no mention of reducing carbon dioxide and other GHGs. There was only a recommendation to increase solar polar, i.e. "it recommended the deployment of 21MW of utility-scale solar power generation, up to 30MW of distributed solar and a 60MW offshore wind farm by 2025, as well as biomass generation by 2028." (https://assets.kpmg.com/content/dam/kpmg/xx/pdf/2022/11/net-zero-readiness-spotlight-islands.pdf, page 29)</t>
  </si>
  <si>
    <t>Sinks and Credits do not appear to be part of the target plan (https://assets.kpmg.com/content/dam/kpmg/xx/pdf/2022/11/net-zero-readiness-spotlight-islands.pdf and https://www.thebermudian.com/news-and-community/climate-crisis/simple-answers-to-complex-questions-about-the-climate-crisis/bermudas-role-in-climate-change/)</t>
  </si>
  <si>
    <t>2023-11-26 23:20:10</t>
  </si>
  <si>
    <t>COU-0131</t>
  </si>
  <si>
    <t xml:space="preserve">Their end target, scope, emissions reduction etc. will be specified when they release their first Biennial Transparency Report (TBD), according to their NDC. </t>
  </si>
  <si>
    <t>https://www4.unfccc.int/sites/ndcstaging/PublishedDocuments/Bolivia%20(Plurinational%20State%20of)%20First/INDC-Bolivia-english.pdf</t>
  </si>
  <si>
    <t>From NDC: "Living Well with the vision of holistic development in which the Intended Nationally Determined Contribution of Bolivia is based on, includes the construction of a holistic human being without material, social and spiritual poverty; universal access of the population to all basic services, in the context of the human right to water; a social and community production model that generates wealth and redistributes it to build a more equal society; productive growth based on diversification by strengthening the energy, agriculture and tourism, and boosting oil and mining sectors with industrialization; roadside, railway and river integration of the country, connecting populations and the flow of goods between the Atlantic Ocean and Pacific Ocean; and an environmental management model for living systems to eradicate poverty, fully develop the local and national economies in a complementary way with the conservation of environmental functions and the development of sustainable production systems"</t>
  </si>
  <si>
    <t>2024-02-07 21:31:24</t>
  </si>
  <si>
    <t>COU-0132</t>
  </si>
  <si>
    <t>The Government of Brazil further reiterates its long-term objective to achieve climate neutrality by 2050. (2023 adjustment. This was first communicated in the 2020 first NDC - see below.)
https://www.eyeonesg.com/2022/03/brazil-launches-methane-zero-national-program-with-a-package-of-incentive-measures-to-biogas-and-biomethane/  Brazil The new package – called Federal Strategy of Incentive to the Sustainable Use of Biogas and Biomethane – includes the Methane Zero National Program and is aligned with the commitments made by Brazil in the context of COP26, the Global Methane Pledge and other domestic regulatory efforts, such as the National Policy on Waste Management.  However, there is much yet to discuss until the newly proposed mechanisms are effectively functional, producing results and aligned not only with the already implemented RenovaBio, but also with the prospective legal framework governing the Brazilian carbon credit markets, which is currently under analysis in the National Congress.
https://www4.unfccc.int/sites/ndcstaging/PublishedDocuments/Brazil%20First/Updated%20-%20First%20NDC%20-%20%20FINAL%20-%20PDF.pdf</t>
  </si>
  <si>
    <t>Through this communication, Brazil confirms its absolute net greenhouse gas emission target in 2025 of 1.32 GtCO2e, consistent with a reduction of 48.4% in comparison with 2005, according to the latest inventory data. Additionally, Brazil commits to an absolute net greenhouse gas emission target in 2030 of 1.20 GtCO2e, consistent with a reduction of 53.1% in comparison with 2005, according to the latest inventory data.</t>
  </si>
  <si>
    <t>"Regarding the issue of means of implementation, the Brazilian NDC remains unconditional, yet it welcomes support from developed countries, as well as South-South cooperation initiatives on a complimentary basis, with a view to generate global benefits. The policies, measures and actions to achieve this contribution will be implemented without prejudice to the use of the financial mechanism of the Convention or of any other modalities of climate finance, international cooperation and support."
This (2023 adjustment) apparently replaces a statement in the 2020 First NDC (below) that long-term strategy and targets would be contingent on substantial climate finance.
https://www4.unfccc.int/sites/ndcstaging/PublishedDocuments/Brazil%20First/Updated%20-%20First%20NDC%20-%20%20FINAL%20-%20PDF.pdf</t>
  </si>
  <si>
    <t>https://unfccc.int/sites/default/files/NDC/2023-11/Brazil%20First%20NDC%202023%20adjustment.pdf</t>
  </si>
  <si>
    <t xml:space="preserve">"Economy-wide absolute targets, consistent with the sectors present in the National Inventory of Greenhouse Gas Emissions for 2025 and 2030, always compared with
2005. The targets will be translated into policies and measures to be detailed and implemented by the Brazilian Federal Government." (Second update to first NDC, below)
https://unfccc.int/sites/default/files/NDC/2022-06/Updated%20-%20First%20NDC%20-%20%20FINAL%20-%20PDF.pdf
https://www.climatelinks.org/sites/default/files/asset/document/2021-09/USAID-Climate-Change-Fact-Sheet-Brazil.pdf
https://www.sciencedirect.com/science/article/abs/pii/S0895981122000724 on measurements  of GHS in cerrado and other parts of Brazil and CO2
https://www.nationalgeographic.com/environment/article/trees-release-methane-what-it-means-climate-change more on the discussion that forest too are main source of producing N2O 
https://www.eyeonesg.com/2022/03/brazil-launches-methane-zero-national-program-with-a-package-of-incentive-measures-to-biogas-and-biomethane/  Brazil launches </t>
  </si>
  <si>
    <t>Plan not specified 
"The Interministerial Committee on Climate Change is currently working on the revision of the National Climate Change Policy and its sectorial mitigation and adaptation plans. Thus, Brazil will develop a National Adaptation Strategy and 14 sectoral/thematic plans."</t>
  </si>
  <si>
    <t>Plan not specified 
https://www4.unfccc.int/sites/ndcstaging/PublishedDocuments/Brazil%20First/Updated%20-%20First%20NDC%20-%20%20FINAL%20-%20PDF.pdf</t>
  </si>
  <si>
    <t>Brunei Darussalam</t>
  </si>
  <si>
    <t>2023-08-24 19:57:05</t>
  </si>
  <si>
    <t>COU-0133</t>
  </si>
  <si>
    <t>Brunei Darussalam is committed to a reduction in greenhouse gas emissions by 20% relative to Business-As-Usual levels by 2030.
Base year (2015) emission level: 11.6 Mt CO2e.
Business-As-Usual (2030) emission level: approximately 29.5 Mt CO2e.</t>
  </si>
  <si>
    <t>In Brunei's National Statement for COP26 (2021), the country states it is "moving towards net zero by 2050, that will be driven mainly through energy transition and forests preservation".
Source: https://unfccc.int/sites/default/files/resource/BRUNEI_DARUSSALAM_cop26cmp16cma3_HLS_EN.pdf</t>
  </si>
  <si>
    <t>https://unfccc.int/sites/default/files/NDC/2022-06/Brunei%20Darussalam%27s%20NDC%202020.pdf</t>
  </si>
  <si>
    <t>GHG covered: Carbon dioxide (CO2), Methane (CH4) and Nitrous oxide (N2O).
Key sectors covered: Energy, Industrial Processes and Product Use, Agriculture, Forestry and Other Land Use, and Waste.</t>
  </si>
  <si>
    <t>Increase total share of electric vehicles to 60% of the total annual vehicle sales by 2035. Increase total share of renewable energy to at least 30% of total capacity in the power generation mix by 2035.
Mandatory monthly and annual reporting of carbon inventory.
Despite Brunei Darussalam’s relatively small contribution to the global GHG emissions at around 0.025% in 2018, the Sultanate is affected by adverse impacts of climate change. The Government recognises the importance to present a fair and ambitious NDC.
The Mitigation Working Group, Adaptation and Resilience Working Group, and Support Framework Working Group respectively consist of members from the private and public sectors, non-government organisations and academia institutions to execute climate action in each respective area.</t>
  </si>
  <si>
    <t>Market mechanisms: Brunei Darussalam envisages to achieve the intended GHG emissions reductions under this NDC through domestic actions and financing. However, the Government of Brunei Darussalam will explore possible bilateral, regional and international mechanisms in meeting the NDC target. 
Increase carbon sink through afforestation and reforestation with a target of planting 500,000 new trees. Brunei Darussalam aims to increase its forest reserves from 41% to 55%.</t>
  </si>
  <si>
    <t>2023-04-12 17:01:39</t>
  </si>
  <si>
    <t>COU-0134</t>
  </si>
  <si>
    <t>The country intends to achieve an overall emissions reduction of 15% by 2030, taking 2010 as the base year. The emission reduction target was estimated based on the baseline inventory for the three GHGs being carbon dioxide (CO2), methane (CH4) and nitrous oxide (N2O). The reductions will be realised from the energy sources which is categorised as the stationary and mobile sources. The country will also continuously implement mitigation measures for the livestock sector to reduce CH4 emissions mainly from enteric fermentation though these initiatives are not estimated in the 15%. Initiatives for emission reductions will be developed from long term low carbon strategy</t>
  </si>
  <si>
    <t>other URL: https://www.un-gsp.org/sites/default/files/documents/18.botswana_ndc_presentation.pdf</t>
  </si>
  <si>
    <t>https://www4.unfccc.int/sites/ndcstaging/PublishedDocuments/Botswana%20First/BOTSWANA.pdf</t>
  </si>
  <si>
    <t xml:space="preserve">based on baseline GHGs inventory for the three GHGs being CO2, CH4 and N2O.
Sectors: Energy sector (mobile and stationary sources), Waste, and the Agriculture </t>
  </si>
  <si>
    <t>Consequently, it is essential that there are conducive legal 
frameworks in place to enable the achievement of the national target. This proposed emission 
reduction path will be subjected to legislative review and endorsement by Parliament.</t>
  </si>
  <si>
    <t>Côte d'Ivoire</t>
  </si>
  <si>
    <t>2022-05-23 14:24:16</t>
  </si>
  <si>
    <t>COU-0135</t>
  </si>
  <si>
    <t>En 2015, la Côte d’Ivoire s’est engagée, à travers ses
premières Contributions Déterminées au niveau
National (CDN) en prélude à la COP21 de Paris, à
réduire ses émissions de Gaz à Effet de Serre (GES) de
28,25%, soit un abattement d’environ dix (10) millions
de tonnes équivalent CO 2 à l’horizon 2030 par rapport
au Business as Usual ou scénario de référence.
L’évaluation desdites CDN a révélé quelques insuffi-
sances notamment la non prise en compte de la fores-
terie dans les estimations et le manque de dispositif de
suivi-évaluation des performances au regard des enga-
gements climatiques du pays. Ainsi, conformément aux
exigences de l’Accord de Paris, l’Etat de Côte d’Ivoire a
procédé à une révision de ses CDN en actualisant les
efforts de réduction des GES (atténuation) ainsi que
l’évaluation de sa vulnérabilité et des options
d’adaptation face aux changements climatiques.
Ce processus de révision, démarré en février 2020, a
permis une large consultation des parties prenantes
nationales stratégiques notamment les ministères clés,
le secteur privé, la société civile et les collectivités
térritoriales. A l’issue de ces consultations, la Côte
d’Ivoire rehausse son ambition climatique à 30,41%
correspondant à un abattement de trente-sept (37)
millions de tonnes équivalent CO2 des émissions de Gaz
à Effet de Serre (GES) de tous les secteurs, y compris la
Foresterie et les autres Affectations des Terres (FAT), à
l’horizon 2030 par rapport au nouveau scénario de
référence. Cette contribution inconditionnelle se
compose d’une réduction de 13,2 millions de tonnes
des émissions de GES résultant de la mise en œuvre
de mesures dans les secteurs de l’énergie, des déchets
et de l’agriculture (correspondant à une réduction de
10,5% des émissions nationales totales de GES en
2030 par rapport au scénario de référence), et d’une
réduction de 23,8 millions de tonnes des émissions de
GES résultant de la mise en œuvre de mesures dans le
secteur de la Foresterie et les autres Affectations des
Terres (correspondant à une réduction de 19,6% des
émissions nationales totales de GES en 2030 par
rapport au scénario de référence).</t>
  </si>
  <si>
    <t>Les objectifs d’atténuation des CDN révisées sont expri-
més par rapport à un scénario de référence correspon-
dant à une évolution des émissions de GES à l’horizon
2030, partant de l’année 2012 comme l’année de base... 
Les CDN révisées présentent un objectif inconditionnel
d’atténuation de 30,41% correspondant à un abatte-
ment de trente-sept (37) millions de tonnes équiva-
lent CO 2 à l’horizon 2030 par rapport au scénario de
référence ; tandis que l’objectif conditionnel est porté à
98,95% (mesures inconditionnelles et conditionnelles à l’horizon 2030 par rapport au scénario de référence.</t>
  </si>
  <si>
    <t>https://www4.unfccc.int/sites/ndcstaging/PublishedDocuments/C%C3%B4te%20d'Ivoire%20Second/CDN_CIV_2022.pdf</t>
  </si>
  <si>
    <t>Ainsi les CDN révisées devraient permettre, par rapport
au scénario de référence, de réduire :
• Les émissions de carbone noir (BC) de 58% en 2030 ;
• Les émissions de méthane (CH4) de 30 % en 2030 ;
• Les émissions de particules (PM) de 64 % en 2030 ;
• Les émissions des oxydes d’azote (NOx) de 42% en
2030.</t>
  </si>
  <si>
    <t>Au-delà des volets atténuation et adaptation, la
révision des CDN a également pris en compte des
aspects transversaux tels que les emplois verts et la
transition juste, le genre, les collectivités territoriales,
et les polluants climatiques de courte durée de vie
(SLCP) dont la réduction permettrait en plus, d’éviter
plus de 7 000 décès prématurés par an à l’horizon
2030.</t>
  </si>
  <si>
    <t>2022-06-09 00:20:03</t>
  </si>
  <si>
    <t>COU-0136</t>
  </si>
  <si>
    <t>"Reduction of GHG emissions by 35% compared to a reference scenario for the target year 2030 and divided into 12% unconditional and 23% conditional on the support of the international community in the form of financing, capacity building actions and technology transfer."</t>
  </si>
  <si>
    <t>other URLs http://www.nbspolicyplatform.org/countries/cameroon/pdf/ https://www4.unfccc.int/sites/ndcstaging/PublishedDocuments/Cameroon%20First/CDN%20r%C3%A9vis%C3%A9e%20CMR%20finale%20sept%202021.pdf</t>
  </si>
  <si>
    <t>https://www4.unfccc.int/sites/ndcstaging/PublishedDocuments/Cameroon%20First/CDN%20r%C3%A9vis%C3%A9e%20CMR%20finale%20sept%202021.pdf</t>
  </si>
  <si>
    <t>2022-06-01 14:36:24</t>
  </si>
  <si>
    <t>COU-0137</t>
  </si>
  <si>
    <t>the 2020 nationally determined contribution has base years that depend on the sector. by 2030, reduce greenhouse gas emissions from various sectors through implementation of the state plan.</t>
  </si>
  <si>
    <t>https://www4.unfccc.int/sites/ndcstaging/PublishedDocuments/Cuba%20First/Cuban%20First%20NDC%20Summary%20(Updated%20submission).pdf</t>
  </si>
  <si>
    <t>Gases: CO2; CH4; N2O.
https://www4.unfccc.int/sites/ndcstaging/PublishedDocuments/Cuba%20First/Cuban%20First%20NDC%20Summary%20(Updated%20submission).pdf</t>
  </si>
  <si>
    <t>In 2017, the Cuban ​government adopted the ​state ​plan “Tarea Vida” (Life Task)​ to confront ​climate ​change​.​
Increase to 24% of electricity generation based on renewable energy sources in the Cuban electricity matrix by 2030. It is estimated that the contribution will avoid the emission of 30.6 million ktCO2eq. into the atmosphere in the period 2014 – 2030. An increase of energy efficiency and saving is estimated to avoid the emission of 700 thousand ktCO2eq. into the atmosphere in the period 2014 – 2030. Increase of forest coverage in the country to 33% by 2030 or increase forest coverage by 165 000ha in the period 2019- 2030. This would remove 169​.​9 million tons of atmospheric CO2 in the period 2019-2030.​ Treatment of 100% of waste waters in the swine sector, reducing 8 million ktCO2eq. in emissions annually in the period of 2020-2030.​
There is no Measurement, Report and Verification system, an objective that is being worked on today to timely report on progress. USD 10 million is needed to establish the Measurement, Report and Verification System.
Cuba has shared outcomes with other developing nations, especially with other SIDS​.
https://www4.unfccc.int/sites/ndcstaging/PublishedDocuments/Cuba%20First/Cuban%20First%20NDC%20Summary%20(Updated%20submission).pdf</t>
  </si>
  <si>
    <t>Cuba shows interest in carbon trading and wants to get paid to reduce emissions, if a global carbon credit scheme is set up (Sep 2020).
https://www.eceee.org/all-news/news/despite-socialist-scepticism-cuba-shows-interest-in-carbon-trading/
Intend to use international transfers.
In 2016, the absorptions appraisals were 27,147.2 ktCO2eq.
https://www4.unfccc.int/sites/ndcstaging/PublishedDocuments/Cuba%20First/Cuban%20First%20NDC%20Summary%20(Updated%20submission).pdf</t>
  </si>
  <si>
    <t>2024-02-02 07:26:43</t>
  </si>
  <si>
    <t>COU-0138</t>
  </si>
  <si>
    <t xml:space="preserve">aim to transit into a climate-resilient and low or zero carbon economy </t>
  </si>
  <si>
    <t xml:space="preserve">"GOAL 2: Promote sustainable, low or zero carbon economic activity."  pg 25
</t>
  </si>
  <si>
    <t xml:space="preserve">"The Cayman Islands Government, elected in 2021, has formed a new Ministry of Sustainability and Climate Resiliency with the Premier as the responsible minister.40 It is yet to set a net zero target, but a previously-established energy policy aims to reduce greenhouse case emissions from 12.3tCO2e per person in 2014 to 4.8tCO2e by 2030." pg 32 of https://assets.kpmg.com/content/dam/kpmg/xx/pdf/2022/11/net-zero-readiness-spotlight-islands.pdf
"More recently, the Cayman Islands formally requested extension of the UNFCCC’s 2015 Paris Agreement [..] The extension will bring the Cayman Islands into scope of the UK’s ambitious Nationally Determined Contribution (NDC) targets, which include an economy-wide target of 68% reduction in greenhouse gas (GHG) emissions by 2030 compared to 1990 levels, as outlined in its 'Net Zero Strategy: Build Back Greener' (HM Government 2021). This Strategy commits the UK to the fastest rate of reducing GHG emissions on 1990 levels of any major economy and establishes its longer-term pathway towards the Paris-aligned goal of net zero by 2050 [..]  Cayman Islands seeks to play its part in tackling global climate change by adopting national GHG emissions reduction targets that align the country with those of the UK. Interim targets may be updated upon each review cycle to further progress towards the longer-term net zero target" pg 8-9
"The National Energy Policy 2017-2037 (NEP) established two high-level targets: 70% of total electricity generation to come from renewable sources by 2037 and to reduce GHG emissions to 4.8 tCO e (tonnes of carbon dioxide equivalent) per capita by 2030, which represents a 60% reduction on 2014 levels of 12.3 tCO e" pg 18
Cayman Islands have 3 goals in total: "GOAL 1: Reduce Cayman's vulnerability and enhance our resiliency to climate change, GOAL 2: Promote sustainable, low or zero carbon economic activity, GOAL 3: Establish a governance framework for climate action that is future-focused, fair to all, accountable and transparent." pg 25
</t>
  </si>
  <si>
    <t>https://cnslibrary.com/wp-content/uploads/Climate-Change-Policy-Public-Consultation-Draft-May-2023.pdf</t>
  </si>
  <si>
    <t>"Opportunities must also be sought for the domestic aviation, fishing and shipping interests to participate in climate action that reduces the country’s overall GHG emissions while increasing cost-efficient operations and compiling with international regulations." pg 19</t>
  </si>
  <si>
    <t>pg 23-24 lists the Ministry of Sustainability and Climate Resilience policy framework 
pg 26-38 lists the strategies (including short-term targets) they plan to adopt for each of the objectives listed in pg 25
 - equity: "Identify existing disparities in, and barriers to, health care access and develop resiliency plans to ensure continuity of key services in underserved communities, including improving digital access to information and targeted education and outreach programmes to address health and safety risks" pg 26
- "Ministries and Statutory Authorities and Government Companies (SAGCs), and large private corporations to formulate climate action plans and budgetary spending with the goal of significantly reducing GHG emissions and implementing adaptation measures before 2030." pg 37 
- "Conduct regular reviews of this Policy and report on progress against targets, including those in accordance with commitments under international climate treaties, and revise policy measures or thresholds accordingly" pg 38
"Responsibility for the timely and coordinated implementation of this Climate Change Policy shall be vested with the Climate &amp; Energy Council (CEC) that will be established through legislation and chaired by a Cabinet appointee" pg 39
"The Council shall report to Cabinet through the Office of the Premier on a schedule determined by its ToR, but not less than on a semi-annual basis, as well as at any other time deemed necessary. The CEC shall monitor the implementation of measures and keep this Policy under regular review and evaluation [..] Prior to the fifth anniversary of the date of this Policy, the Council shall conduct the first public review of this policy to determine its effectiveness in achieving its goals and objectives, and update the Policy and Implementation and Monitoring Plan based on the findings of the review. The report of this review shall be presented to Cabinet within one year of the beginning of the review." pg 40</t>
  </si>
  <si>
    <t xml:space="preserve">"Establish local values for carbon sequestration and storage for carbon resources and investigate the feasibility of establishing national verified carbon credit schemes." pg 35
</t>
  </si>
  <si>
    <t>2023-04-03 14:37:17</t>
  </si>
  <si>
    <t>COU-0139</t>
  </si>
  <si>
    <t>"Reduction of greenhouse gases emissions by 7% to 22%, by 2030, compared to a
business as usual -BAU- scenario, conditional on external support in terms of finance,
technology development and transfer, and capacity building. The 7% GHG reduction
will be achieved with national means."
Source: https://www4.unfccc.int/sites/submissions/INDC/Published%20Documents/Algeria/1/Algeria%20-%20INDC%20(English%20unofficial%20translation)%20September%2003,2015.pdf
https://unfccc.int/sites/default/files/NDC/2022-06/Alg%C3%A9rie%20-INDC-%2003%20septembre%202015.pdf</t>
  </si>
  <si>
    <t xml:space="preserve">Main planned actions set for a 7-22% reduction compared to BAU by 2030. These include actions to increase the percentage of electricity generated from renewable sources to 27%. Targets in MTCO2e are estimated based on figures from 2019 (source:https://knoema.com/atlas/Algeria/CO2-emissions#:~:text=In%202019%2C%20CO2%20emissions%20for,average%20annual%20rate%20of%205.20%25.)
Source: https://www4.unfccc.int/sites/submissions/INDC/Published%20Documents/Algeria/1/Algeria%20-%20INDC%20(English%20unofficial%20translation)%20September%2003,2015.pdf
The target was once again confirmed in "Plan National Climat" 2019 "
Cette dernière stipule que l’Algérie s’engage à réduire ses émissions de GES en fixant les objectifs nationaux à 7% à l’horizon 2030 par rapport au scénario de référence (Bu- siness As Usual - BAU) avec ses propres ressources et à 22% si le pays bénéficie d’un financement international." from https://www.me.gov.dz/telechargement/plan-national-climat/?utm_source=rss&amp;utm_medium=rss&amp;utm_campaign=plan-national-climat </t>
  </si>
  <si>
    <t>https://www4.unfccc.int/sites/submissions/INDC/Published%20Documents/Algeria/1/Algeria%20-%20INDC%20(English%20unofficial%20translation)%20September%2003,2015.pdf</t>
  </si>
  <si>
    <t>"Coverage of Greenhouse Gases: Carbon Dioxide (CO2), Methane (CH4), Nitrous
Oxide (N2O). " From NDC: https://www4.unfccc.int/sites/submissions/INDC/Published%20Documents/Algeria/1/Algeria%20-%20INDC%20(English%20unofficial%20translation)%20September%2003,2015.pdf</t>
  </si>
  <si>
    <t>https://www.climate-laws.org/geographies/algeria/policies/the-national-climate-plan
Through its mitigation actions for by 2030, considering its socio-economic
development objectives, and taking into account its national circumstances, Algeria
will contribute, on an equitable basis, to the achievement of the objective of article 2
of the Convention.</t>
  </si>
  <si>
    <t>2022-12-12 15:05:00</t>
  </si>
  <si>
    <t>COU-0140</t>
  </si>
  <si>
    <t xml:space="preserve">quantitative reduction for 3 sector groups by 2030, based on levels in 2015:
1- electricity generation, transmission, and distribution: 33% reduction
2- oil and gas: 65%
3- transport sector: 7%
(these three sectors represent about 43% of egypt’s total ghg emissions in 2015.)
policies and measures for the following sectors:
• industry
• buildings and urban cities
• tourism
• waste management
(agriculture and land use sector has not been included under the mitigation actions.)
</t>
  </si>
  <si>
    <t xml:space="preserve">Sectors covered:
Quantitative targets for the following sectors
•Electricity (Power Generation,Transmission, and Distribution)
•Oil &amp; Gas
•Transport
Policies and measures for the following sectors:
•Industry
•Buildings and Urban Cities
•Tourism
•Waste Management
Agriculture and Land Use sector has not been included under the mitigation actions.
</t>
  </si>
  <si>
    <t xml:space="preserve">The primary focus of the NDC is the adaptation component. 
The NDC is conditional; the fulfilment of the NDC is dependent on international financing
The main areas of focus for mitigation emission reduction are:
1. Electricity - 33% reduction 
2. Oil and gas - 65%
3. Transport - 7%
The key for Egypt to mitigate GHGs emissions is to provide appropriate foundations for
the development of low carbon energy systems.
Pathways to achieving high CO2 mitigation levels comprise the following:
 Widespread diffusion of locally-appropriate low-carbon energy production
technologies, with substantial reductions in energy intensity
 Comprehensive mitigation efforts covering all major sources of emissions
 Locally-appropriate technology transfer and financial flows from industrialized
countries (Annex I countries) to support carbon emission abatement according
to the UNFCCC principles, which acknowledges that developed countries should
provide required support to developing countries in this regard.
Policies targeting development that is more sustainable rely upon five main pillars:
1. More efficient use of energy, especially by end users;
2. Increased use of renewable energy as an alternative to non-renewable energy
sources;
3. Use of advanced locally-appropriate and more-efficient fossil fuel technologies,
which is less-emitting, in addition to new generations of nuclear power;
4. Energy efficiency is the cornerstone to be targeted by policy makers to decouple
demand on energy and economic growth; and
5. Reform energy subsidies. This policy is implemented using four pillars, namely:
set different prices for petroleum products based on energy generation
efficiency; increase the efficiency of energy use; provide support to certain
sectors to promote switching from conventional energy sources to clean energy
sources; and apply the fuel subsidy smartcard system to ensure that subsidies
are received by target beneficiaries.
The degree to which efficiency improvements can limit energy demand growth is one
of the main distinguishing characteristics of greenhouse gas reduction pathways.
Energy efficiency could be improved radically through a combination of behavioral
changes and rapid introduction of stringent efficiency regulations, technology
standards, and environmental externality pricing, which mitigates rebound effects.
Renewable energy technologies, which are relevant to the local context, will play a very
important role in reducing GHG emissions, but they would not suffice to keep climate
change manageable. However, renewable energy may provide a number of
opportunities since it also addresses sustainable and equitable economic development,
energy access, secure energy supply, and reduced local environmental and health
impacts. </t>
  </si>
  <si>
    <t>https://unfccc.int/sites/default/files/NDC/2022-07/Egypt%20Updated%20NDC.pdf.pdf</t>
  </si>
  <si>
    <t>Aviation - aim to green the sector by introducing 2% biofuels to airplanes, improve energy efficiency of facilities 
Greenhouse gases covered:
Carbon Dioxide (CO2), Methane (CH4), and Nitrous Oxide (N2O)</t>
  </si>
  <si>
    <t xml:space="preserve">refers to equity principle of common </t>
  </si>
  <si>
    <t>2023-07-26 14:40:23</t>
  </si>
  <si>
    <t>COU-0141</t>
  </si>
  <si>
    <t>"For this reason, Georgia proclaims ‘climate neutrality’ as its goal and aims at achieving it by mid-century."</t>
  </si>
  <si>
    <t>As a result of the consultations with the Energy Community, the European Commission and the Government of Georgia, there was a new GHG reduction target set for Georgia by 2030 which
envisages the reduction of greenhouse gases by 47% as compared to the level of 1990 (including land use, land use change and the forestry sector [LULUCF]). By the decision of the Council of Ministers of the Energy Community, dated December 15, 2022, this target was integrated into the Governance Regulation. This updated commitment will be reflected by Georgia in the updated NDC in 2025.</t>
  </si>
  <si>
    <t>See also: https://web.archive.org/web/20230809163833/https://unfccc.int/sites/default/files/NDC/2022-06/NDC%20Georgia_ENG%20WEB-approved.pdf</t>
  </si>
  <si>
    <t>https://web.archive.org//web/20230726144140/https://unfccc.int/sites/default/files/resource/Georgia%27s%20LT-LEDS%202023-eng.pdf</t>
  </si>
  <si>
    <t>Georgia plans to record the greenhouse gases: carbon dioxide (CO2), methane (CH4), nitrous oxide (N2O), perfluorocarbons (PFCs), hydrofluorocarbons (HFCs), sulphur hexafluoride (SF6), and nitrogen trifluoride (NF3). Georgia intends to report information on precursor greenhouse gases such as carbon monoxide (CO), nitrogen oxides and non-methane volatile organic compounds (NMVOCs), as well as sulphur oxides consistent with the air pollution emission.</t>
  </si>
  <si>
    <t>encourage climate smart agriculture and agritourism as low carbon development. encourage the climate-friendly innovative technologies to achieve 5% of emission limitations comparing to emissions projected by the reference scenario. By 2030 Georgia intends to increase the carbon capturing capacity through the forestry sector by 10% compared to 2015 level.
Biennial report. Since 1994, Georgia has been a Non-Annex I Party to the United Nations Framework Convention on Climate Change.
Georgia takes a commitment to fairly contributing to the global efforts against climate change. The observation of the impacts of extreme weather events on Georgia’s population, induced by the climate change during the last decades, reveals the vulnerable groups requiring urgent adaptation measures: children and adolescents, women, elderly persons, persons with disabilities, persons with chronic diseases, and eco-migrants displaced as a result of disasters caused by climate change or those who are threatened to be eco migrated due to the climate change.
For implementation of the climate change policy, Georgia is committed to operate the governmental Climate Change Council established by the decree #54 of the Government of Georgia dated January 2020.</t>
  </si>
  <si>
    <t>43.5% of the country’s territory is covered by forests. aim to maintain and increase the GHG absorption of the forests. Georgia commits to operationalize the system of the national anthropogenic emissions by national sources and removals by sinks of greenhouse gases by 2024.</t>
  </si>
  <si>
    <t>2022-10-18 14:27:14</t>
  </si>
  <si>
    <t>COU-0142</t>
  </si>
  <si>
    <t>net zero carbon emissions by 2070</t>
  </si>
  <si>
    <t>Ghana aims to implement 34 mitigation measures to achieve absolute emission reductions of 64 MtCO2e by 2030. This is against a 2019 base year of 58.8 MtCO2e. Ghana aims to implement 34 mitigation measures to achieve absolute emission reductions of 64 MtCO2e by 2030. This is against a 2019 base year of 58.8 MtCO2e.</t>
  </si>
  <si>
    <t>Out of the 34, nine unconditional measures are expected to lead to a 24.6 MtCO2e emission reduction amount. An additional 25 conditional measures can be implemented to further achieve 39.4 MtCO2e if financial support from the international and private sector is made available to cover the full cost for implementation.
Sources for 2070 target (not mentioned in NDC):
- https://www.africannewsagency.com/xinhua-news-agency/ghana-committed-to-achieving-net-zero-carbon-emission-by-2070-vp-dc1526f3-d8ae-5edf-b2af-105eba63c9d9/ 
- https://www.myjoyonline.com/ghana-will-transition-from-fossil-fuel-to-renewable-energy-by-2070-bawumia/ (September 2022) Deputy Vice President announces this committment, although also saying that will increase oil/gas use to help economic development</t>
  </si>
  <si>
    <t>https://www4.unfccc.int/sites/ndcstaging/PublishedDocuments/Ghana%20First/Ghana's%20Updated%20Nationally%20Determined%20Contribution%20to%20the%20UNFCCC_2021.pdf</t>
  </si>
  <si>
    <t>Gases covered by NDC: CO2, N2O, CH4, HFCs (CH4 and HFCs are relevant Short-Lived Climate Pollutants - SLCPs)
Net zero committment will presumably cover the same gases, although details have not been confirmed</t>
  </si>
  <si>
    <t>Plan: No plan for 2070 target as of yet. However, Ghana's NDC has an adaptation and mitigation contribution table with policy actions to be taken, including information on emission reductions expected, e.g. scale up renewable energy penetration by 10% by 2030, which will lead to emission reductions of 1,338.42 kT. 
Reporting: There is a midterm review in 2025. 
Equity: Ghana's NDC is fair, considering that it is a developing and climate-vulnerable country with developmental and public health challenges emerging from the COVID-19 pandemic; it has taken a formal emission reduction obligation despite having emitted 0.1% of global GHGs in 2018. "To demonstrate its firm commitment to the collective global efforts toward achieving the long-term temperature goal, Ghana has considerably increased the ambition of its updated nationally determined contribution. Ghana's updated nationally determined contribution represents a reasonable share of the global effort to tackle climate change."</t>
  </si>
  <si>
    <t>'The EPA (Environmental Protection Agency) and MESTI (Ministry of Environment, Science, Technology, and Innovation) will advocate adopting appropriate carbon pricing measures, including the operationalization of Article 6 and other international carbon market instruments to support green businesses, create jobs and facilitate technology transfer'
See also agreement with Singapore: https://www.mse.gov.sg/resource-room/category/2022-11-15-media-release-singapore-and-ghana-implementation-agreement-article-6</t>
  </si>
  <si>
    <t>Nature-based removals: gender-responsive sustainable forest management will achieve emission reduction 23,565 kT</t>
  </si>
  <si>
    <t>2022-05-24 11:59:05</t>
  </si>
  <si>
    <t>COU-0143</t>
  </si>
  <si>
    <t>... la ambición de Guinea Ecuatorial es reducir en un 20% de sus emisiones para el año 2030, con respecto a los niveles de 2010; a fin de alcanzar una reducción de 50% para el año 2050.</t>
  </si>
  <si>
    <t xml:space="preserve">other URLs
https://www.greenclimate.fund/sites/default/files/document/equatorial-guinea-country-programme.pdf
https://unfccc.int/sites/default/files/resource/INC%20of%20Equatorial%20Guinea_English%20version.pdf
</t>
  </si>
  <si>
    <t>https://www4.unfccc.int/sites/ndcstaging/PublishedDocuments/Equatorial%20Guinea%20First/Rep%C3%BAblica%20de%20Guinea%20Ecuatorial_INDC.pdf</t>
  </si>
  <si>
    <t>La atenuación de emisiones de Gases de Efecto Invernadero (GEI) a la atmósfera, teniendo
en cuenta los sectores más influentes en el impacto climático nacional:
a. Sector Silvicultura, Agricultura y Cambio de Uso de Suelos
b. Sector Residuos
c. Sector Energía
d. Sector Transporte</t>
  </si>
  <si>
    <t>Convertir a Guinea Ecuatorial en un país de referencia en concepto de agricultura climáticamente inteligente para las zonas tropicales con los objetivos de garantizar la 10
seguridad alimentaria, diversificar la economía nacional, limitar las emisiones de metano y óxido nitroso, así como favorecer la captación de carbono</t>
  </si>
  <si>
    <t>2023-04-15 09:17:32</t>
  </si>
  <si>
    <t>COU-0144</t>
  </si>
  <si>
    <t>Con la implementación de estas medidas se alcanzará la meta estipulada en la NDC de reducir el 11.2 % de las emisiones totales proyectadas al 2030 (Gobierno de la República de Guatemala, 2015). Por su parte, para cumplir con la meta condicionada, el país mantiene el compromiso de buscar apoyo técnico y financiero externo y adicional, con la finalidad de aumentar la ambición nacional y lograr la reducción del 22.6 % de emisiones proyectadas al 2030. En este sentido, con la actualización de los datos del escenario BAU, las metas de mitigación quedarían de la siguiente manera:
Meta no condicionada al apoyo internacional: Al 2030, se ha reducido el 11.2 % de las emisiones de GEI con respecto al escenario tendencial (BAU), lo cual conlleva reducir las emisiones a 64.9 millones de toneladas de CO2-eq.
Meta condicionada al apoyo internacional: Al 2030 se ha reducido el 22.6 % de las emisiones de GEI con respecto al escenario tendencial (BAU), lo cual conlleva reducir las emisiones hasta 56.6 millones de toneladas de CO2-eq.</t>
  </si>
  <si>
    <t>Guatemala's NDC also proposes a 22.6% GHG reduction, but this is conditional on international financial aid.
INDC (2015): https://www4.unfccc.int/sites/ndcstaging/PublishedDocuments/Guatemala%20First/Gobierno%20de%20Guatemala%20INDC-UNFCCC%20Sept%202015.pdf</t>
  </si>
  <si>
    <t>https://unfccc.int/sites/default/files/2022-06/NDC%20-%20Guatemala%202021.pdf</t>
  </si>
  <si>
    <t xml:space="preserve">I would be tempted to list the sectors listed in adaptation and mitigation, I.e.
•	Adaptación: Agricultura y seguridad alimentaria; Zonas marino-costeras; Recursos forestales, ecosistemas y áreas protegidas; Gestión integrada de los recursos hídricos; Salud humana; e Infraestructura. 
•	Mitigación: Uso de la tierra, cambio de uso de la tierra y silvicultura; Energía; Agricultura; y Residuos .
In terms of gases I would guess that they are continuing to focus on those stated in the first NDC: los tres principales GEI emitidos: dióxido de carbono (CO2 ), metano (CH4 ) y óxido nitroso (N2 
</t>
  </si>
  <si>
    <t>Plan: La Estrategia de Desarrollo con Bajos Emisiones para Guatemala (The Low Emissions Development Strategy for Guatemala): https://acrguatemala.com/wp-content/uploads/2019/01/Guatemala-Estrategia-de-Desarrollo-con-Bajas-Emisiones-2018-FINAL_v2-002.pdf
National Action Plan for Climate Change (2016) 'This Action Plan was adopted by the government in 2016 in application of the 2013 framework law (Congressional Decree 7-2013). The Plan lists the mitigation and adaptation priorities that should be dealt with by public and private institutions. Adaptation efforts should prioritise human health, coastal marine zones, small-scale agriculture, forests, infrastructure and water resources. Mitigation efforts should focus on energy, industrial processes, the agroindustrial sector, land use and scrap.' (https://climate-laws.org/geographies/guatemala/policies/national-action-plan-for-climate-change)
No Schedule: “El desarrollo e implementación de sistemas de monitoreo aún es una tarea pendiente. En el componente de adaptación únicamente dos de seis sectores priorizados cuentan con un sistema de Monitoreo, Evaluación y Reporte (MER) (inciso 4.4). El país tiene el reto de desarrollar estos sistemas para promover el reporte de los cuatro sectores faltantes. En mitigación, por el momento se cuenta con el SNIGT que está en fase de consolidación para iniciar la operación. Con este, se pretende actualizar los inventarios de GEI anualmente. Sin embargo, no se cuenta con mecanismos para monitorear las medidas de mitigación. Como parte de este reto también se tiene la creación de mecanismos que faciliten el control de calidad e intercambio de información entre actores, así como el fortalecimiento técnico y financiero para el monitoreo y reporte de las metas.” 
It seems that the monitoring process only covers two sectors for mitigation: Actualmente, Guatemala cuenta con dos sistemas MER desarrollados y en implementación, los cuales fueron de utilidad para formular las metas. Estos responden a los sectores de Zonas marino-costeras (MARN et al., 2020) y Agricultura, ganadería y seguridad alimentaria (MAGA et al., 2019). El resto de los sectores priorizados para adaptación en la NDC carecen de sistemas MER. For adaptation it is noted that the monitoring is in a consolidation phase, but that the country is looking to move things to an online platform in the future: Próximamente se operará a través de una plataforma virtual que permitirá la alimentación de información para la actualización de los inventarios cada año. De esta manera, se facilitará el reporte de resultados al concluir el periodo de implementación de la NDC, y así sucesivamente con cada actualización .</t>
  </si>
  <si>
    <t>2022-05-18 07:54:07</t>
  </si>
  <si>
    <t>COU-0145</t>
  </si>
  <si>
    <t>Honduras se compromete a una reducción de un 16% de las emisiones respecto al escenario “business as usual” (BaU) para el 2030 para todos los sectores sin incluir UTCUTS
Honduras commits to a 16% reduction in emissions compared to the “business as usual” (BaU) scenario by 2030 for all sectors excluding (Land Use, Land Use Change, and Forestry) LULUCF
La ambición de Honduras en esta contribución se basa en el análisis de los efectos de las principales medidas de mitigación a desarrollar para alcanzar el objetivo de la contribución. Estas son:
•	 Promoción de las energías renovables;
•	 Fortalecimiento de la eficiencia energética;
•	 Fomento de la electromovilidad;
•	 Fortalecimiento de la bioenergía;
•	 Reducción F-gases;
•	 NAMA Café8; y
•	 Relleno sanitario de Tegucigalpa.
The ambition of Honduras in this contribution is based on the analysis of the effects of the main mitigation measures to be developed to achieve the objective of the contribution. These are:
• Promotion of renewable energies;
• Strengthening energy efficiency;
• Promotion of electromobility;
• Strengthening of bioenergy;
• F-gases reduction;
• NAMA Café8; and
• Tegucigalpa landfill.</t>
  </si>
  <si>
    <t>https://www4.unfccc.int/sites/ndcstaging/PublishedDocuments/Honduras%20First/NDC%20de%20Honduras_%20Primera%20Actualizaci%C3%B3n.pdf</t>
  </si>
  <si>
    <t>2022-12-07 15:05:07</t>
  </si>
  <si>
    <t>COU-0146</t>
  </si>
  <si>
    <t>Through low carbon scenario compatible with the Paris Agreement target (LCCP), Indonesia foresees to reach the peaking of national GHGs emissions in 2030 with net sink in forestry and land uses (FOLU), and with further exploring opportunity to rapidly progress towards net-zero emission in 2060 or sooner.</t>
  </si>
  <si>
    <t>The interim target for emissions reduction has a lower unconditional bound (29%), and a higher conditional bound (41%); as the latter depends on  international support for finance, technology transfer and development and capacity building.</t>
  </si>
  <si>
    <t>"Under the scenario compatible with 1.5 0C goals (LCCP), greenhouse gas emissions will peak in 2030 at 1.24 GtCO2-eq of CO2-eq (compared to 2.87 GtCO2-eq for BAU) and then decline and continue to decline to reach 0.54 GtCO2-eq in 2050. It is expected that net zero emissions (NZE) will be achieved by 2060 or sooner."</t>
  </si>
  <si>
    <t>https://unfccc.int/sites/default/files/NDC/2022-09/ENDC%20Indonesia.pdf</t>
  </si>
  <si>
    <t>Mentions CO2 and GHGs in 'Scope and Coverage", but specific projections of general GHG emissions include only measures of CO2.</t>
  </si>
  <si>
    <t xml:space="preserve">Focus on the power sector:
Develop more efficient transport system (promote mass public transport),
electrification of vehicles with decarbonised electricity, 
Develop biofuels for transport &amp; power plants,
Shifting fuel from coal to gas and renewables in industry 
Use of BECCS, remaining coal power plants will be equipped with CCS/CCUS 
Above measures should reduce energy sector emissions from 1030Mton CO2 in 2030 to 572 Mton in 2050
Waste sector:
Beyond 2030, mitigation under LCCP are expected to reduce GHG emissions to 62 Mton CO2e in 2050
Industry sector:
blended cement in the cement industry 
technology improvement in new ammonia urea plants 
Secondary Catalyst for N2O Destruction in Nitric Acid Industry
Improvement of Aluminium Processing Technology
Energy sector goals:
a) new and renewable energy at least 23% in 2025 and at least 31% in 2050;
b) oil should be less than 25% in 2025 and less than 20% in 2050;
c) coal should be minimum 30% in 2025 and minimum 25% in 2050; and
d) gas should be minimum 22% in 2025 and minimum 24% in 2050.
See Annex for further information on:
- Agriculture sector
- Forestry and other land uses sector
- Waste sector
- IPPU
Indonesia recognises the disproportionate impact of climate change on vulnerable populations and engages with a just transition.
</t>
  </si>
  <si>
    <t xml:space="preserve">Net sink of forest and land-use sector 
Rehabilitate unproductive lands to increase carbon capture in forests </t>
  </si>
  <si>
    <t>2023-06-07 17:55:28</t>
  </si>
  <si>
    <t>COU-0147</t>
  </si>
  <si>
    <t>gdp</t>
  </si>
  <si>
    <t>p. 3 of India’s Updated First Nationally Determined Contribution Under Paris Agreement (August 2022 Submission to UNFCCC) (https://unfccc.int/sites/default/files/NDC/2022-08/India%20Updated%20First%20Nationally%20Determined%20Contrib.pdf)
c.f. Year when current target status was reached - 2022, in accordance with the cabinet approval (available at https://pib.gov.in/PressReleasePage.aspx?PRID=1847813)
PM Modi announced net zero 2070 at World Leaders Summit COP26 in Glasgow 
https://www.hindustantimes.com/world-news/pm-modi-sets-india-2070-zero-carbon-emission-target-at-cop26-summit-101635785945035.html
https://unfccc-cop26.streamworld.de/webcast/national-statements 
https://pib.gov.in/PressReleasePage.aspx?PRID=1847813</t>
  </si>
  <si>
    <t>To reduce the emissions intensity of its GDP by 45 percent by 2030 from 2005 level. https://pib.gov.in/PressReleasePage.aspx?PRID=1847813
https://unfccc.int/sites/default/files/NDC/2022-08/India%20Updated%20First%20Nationally%20Determined%20Contrib.pdf</t>
  </si>
  <si>
    <t xml:space="preserve">Additional targets to help reach this stated as
achieve about 50 percent cumulative electric power installed capacity from non-fossil fuel-based energy resources by 2030, with the help of transfer of technology and low-cost international finance including from Green Climate Fund (GCF) 
</t>
  </si>
  <si>
    <t>https://unfccc.int/sites/default/files/NDC/2022-08/India%20Updated%20First%20Nationally%20Determined%20Contrib.pdf</t>
  </si>
  <si>
    <t>"Achieving improved fuel efficiency: [...]
b. Flexible usage of airspace, single engine taxing, continuous descent approach, airport carbon accreditation programmes in the aviation sector, carbon offsetting and reduction scheme in International Aviation. 
c. Green shipping and IT enabled management of ports in the maritime sector."
(https://cdn.climatepolicyradar.org/navigator/IND/1900/india-s-long-term-low-carbon-development-strategy_7489f24b6f5d58096efaf1448258a228.pdf, p.33) 
It should be noted that the report only mentions "green shipping" in the aforementioned section, and does not specify whether it refers to international shipping specifically</t>
  </si>
  <si>
    <t>"The updated framework, together with many other initiatives of the Government, including tax concessions and incentives such as Production Linked Incentive scheme for promotion of manufacturing and adoption of renewable energy, will provide an opportunity for enhancing India’s manufacturing capabilities and enhancing exports. It will lead to an overall increase in green jobs such as in renewable energy, clean energy industries- in automotives, manufacturing of low emissions products like Electric Vehicles and super-efficient appliances, and innovative technologies such as green hydrogen, etc. India’s updated NDC will be implemented over the period 2021-2030 through programs and schemes of relevant Ministries /departments and with due support from States and Union Territories. The Government has launched many schemes and programs to scale up India’s actions on both adaptation and mitigation. Appropriate measures are being taken under these schemes and programs across many sectors, including water, agriculture, forest, energy and enterprise, sustainable mobility and housing, waste management, circular economy and resource efficiency, etc. As a result of the aforesaid measures, India has progressively continued decoupling of economic growth from greenhouse gas emissions. The Net Zero target by 2030 by Indian Railways alone will lead to a reduction of emissions by 60 million tonnes annually. Similarly, India’s massive LED bulb campaign is reducing emissions by 40 million tonnes annually.
India's climate actions have so far been largely financed from domestic resources. However, providing new and additional financial resources as well as transfer of technology to address the global climate change challenge are among the commitments and responsibilities of the developed countries under UNFCCC and the Paris Agreement. India will also require its due share from such international financial resources and technological support."
"To create an additional carbon sink of 2.5 to 3 billion tonnes of CO2
equivalent through additional forest and tree cover by 2030" (https://cdn.climatepolicyradar.org/navigator/IND/1900/india-updated-first-nationally-determined-contribution_74ee27d327ef18ae6ad1ef099b6b4f3a.pdf, p.3)
"Forests also form a key element in India’s NDC. India has proposed creating an additional carbon sink of 2.5 to 3 billion tonnes of CO2 equivalent through additional forest and tree cover by 2030 (UNFCCC, 2022). India is also the signatory of various international conventions and intergovernmental fora that guide its forestry sector approach. India targets to restore 26 million 
ha of deforested and degraded land by 2030 under the Bonn Challenge (IUCN, n.d.). India has also prepared a National Biodiversity Action Plan (NBAP) in 2008, and an Addendum to NBAP was prepared in 2014 with 12 National Biodiversity Targets, developed in line with the 20 global Aichi biodiversity targets." (https://cdn.climatepolicyradar.org/navigator/IND/1900/india-s-long-term-low-carbon-development-strategy_7489f24b6f5d58096efaf1448258a228.pdf, p.52)</t>
  </si>
  <si>
    <t>Iran, Islamic Republic of</t>
  </si>
  <si>
    <t>2023-09-06 15:07:49</t>
  </si>
  <si>
    <t>COU-0148</t>
  </si>
  <si>
    <t>clean air law</t>
  </si>
  <si>
    <t>The Ministry of Energy in Iran is obliged to increase the share of renewable energies to at least 5% of the country's electricity consumption.</t>
  </si>
  <si>
    <t>According to Article 50 of the Sixth Development Law, the government is obliged to increase the share of renewable and clean power plants with priority investment of the non-governmental sector (domestic and foreign) with maximum use of internal capacity to at least five percent (5%) of the country's electricity capacity until the end of the implementation of the program law.</t>
  </si>
  <si>
    <t xml:space="preserve">In the evaluation report of the achievements of the 6th development program, in 2017, the reduction of greenhouse gas emissions was estimated to be 41.6 million tons. According to the performance report of the sixth development program, the performance of reducing greenhouse gas emissions during the years 2015 to 2017 has been presented.  However, it is important to note that in 2017, the program's goals were only 41.3% achieved due to infrastructure weaknesses, deterioration, and intensified sanctions. </t>
  </si>
  <si>
    <t>https://shorturl.at/yGHRY</t>
  </si>
  <si>
    <t>GHGs concerned: CO2, CH4 .</t>
  </si>
  <si>
    <t xml:space="preserve"> Sixth Five-Year Economic, Social, and Cultural Development Plan of the Islamic Republic of Iran (6NPD): https://www.doe.ir/portal/home/?490627/برنامه-ششم-توسعه</t>
  </si>
  <si>
    <t xml:space="preserve">Iran has a significant potential in reducing energy consumption and, of course, reducing greenhouse gas emissions. . Under Article 50 of the Sixth Development Law, the government is mandated to boost the contribution of renewable and clean power plants, giving priority to investments from the non-governmental sector (both domestic and foreign). The aim is to utilize the maximum internal capacity and ensure that renewable and clean power plants account for a minimum of five percent (5%) of the country's total electricity capacity by the program law's completion deadline. </t>
  </si>
  <si>
    <t>2024-01-29 22:38:48</t>
  </si>
  <si>
    <t>COU-0149</t>
  </si>
  <si>
    <t>total emission reduction target : 1% - 2% unconditional and 15% conditional on funding.</t>
  </si>
  <si>
    <t xml:space="preserve">Iraq aspires to implement its NDC between 2021 - 2030 to achieve a reduction between 1% to 2% unconditionally from total emissions and 15% with available international funding. </t>
  </si>
  <si>
    <t>Ratified the Paris Agreement in 2021 - in effect from 1/12/21
Funding needed is around $ 100 Billion.
NDC is in Arabic and the target is on page 16
https://iraq.un.org/en/161240-iraq-joins-paris-agreement-un-calls-further-support-help-country-adapt</t>
  </si>
  <si>
    <t>https://www4.unfccc.int/sites/ndcstaging/PublishedDocuments/Iraq%20First/Iraq%20NDC%20Document.docx</t>
  </si>
  <si>
    <t>CO2, Methane, and Nitrous oxide.</t>
  </si>
  <si>
    <t>"The amount of the reduction will be determined according to the nationally appropriate mitigation measures that Iraq will present to the agreement secretariat in the future in the form of plans, strategies, programs and projects, which will depend on the amount of the baseline for the amount of usual work for each project that includes a reduction in emissions and according to the main emitting sectors, targeting the main gases in the approved greenhouse gas regulations." (p.11 (machine translated from Arabic))</t>
  </si>
  <si>
    <t>It is mentioned as one of the steps to be taken in the oil and gas sector: The use of carbon capture technologies like CCS or CCUS to reduce carbon emissions and use it in industrial activities.
(p.12 NDC)</t>
  </si>
  <si>
    <t>2023-04-14 20:27:03</t>
  </si>
  <si>
    <t>COU-0150</t>
  </si>
  <si>
    <t>Israel will set a goal of zero greenhouse gas emissions by 2050, Prime Minister Naftali Bennett pledged in advance of his departure Sunday for the United Nations Climate Change Conference (COP26) in Glasgow.</t>
  </si>
  <si>
    <t>'Unlike Israel's original NDC, this new Decision includes an unconditional absolute greenhouse gas (GHG) emissions reduction goal for 2030 of 27% relative to 2015 and an unconditional absolute GHG emissions reduction goal for 2050 of 85% relative to 2015. ' (p1)
This target is also reflected in Israel's Government Decision 171/2021 "Transition to a Low Carbon Economy" amending Decision 542/2015 (Cf https://climate-laws.org/geographies/israel/policies/government-decision-171-2021-transition-to-a-low-carbon-economy-amending-decision-542-2015)
https://www4.unfccc.int/sites/ndcstaging/PublishedDocuments/Israel%20First/NDC%20update%20as%20submitted%20to%20the%20UNFCCC.docx</t>
  </si>
  <si>
    <t>https://www.timesofisrael.com/israel-joins-us-canada-plan-for-net-zero-carbon-emissions-in-government-by-2050/
https://www.bloomberg.com/news/articles/2021-10-29/israel-sets-2050-net-zero-emissions-target-ahead-of-cop26#xj4y7vzkg
https://www.al-monitor.com/originals/2021/11/glasgow-israels-bennett-pledges-net-zero-emissions-2050</t>
  </si>
  <si>
    <t>https://www.jpost.com/climate-change/cop26-israel-to-aim-for-zero-net-emissions-by-2050-683470</t>
  </si>
  <si>
    <t>Interim targets: Gases covered: Carbon Dioxide (CO2), Methane (CH4), Nitrous Oxide (N2O), Hydrofluorocarbons (HFCs), Perfluorocarbons (PFCs), Sulphur Hexafluoride (SF6) (p9)
Interim targets: Sectors: covers transport, but unclear if this includes international shipping/aviation (p9)</t>
  </si>
  <si>
    <t>Interim: Annual reporting: 'The Steering Committee submits an annual report to the government evaluating the effectiveness of government measures to reduce emissions, the progress towards meeting national GHG emission reduction targets and supporting targets and recommends additional measures as needed.' (p11)
Interim Equity: refers to fairness (p17-18); Israel believes its target is fair and ambitious and a genuine effort to move forward in a sustainable manner to facilitate the transition to a low-carbon and climate-resilient economy (p17)</t>
  </si>
  <si>
    <t>2022-05-26 19:54:11</t>
  </si>
  <si>
    <t>COU-0151</t>
  </si>
  <si>
    <t>"Jordan's updated 1st Nationally Determined Contributions (NDC) document enhances its commitment to the international climate change governance system by raising its macroeconomic GHG emission reduction target from 14% in the 1st NDC to 31% in this current updated NDC, both compared to Business As Usual (BAU) scenario."
"Jordan committed to reduce 5% compared to the BAU scenario unconditionally, and to reduce conditionally an additional 26% compared to BAU scenario if the resources and means of implementation are available."</t>
  </si>
  <si>
    <t>Of the 31% emissions reduction, 5% is unconditional and a further 26% depends on Jordan's access to resources and means of implementation, including finance and technology.</t>
  </si>
  <si>
    <t>https://www4.unfccc.int/sites/ndcstaging/PublishedDocuments/Jordan%20First/UPDATED%20SUBMISSION%20OF%20JORDANS.pdf</t>
  </si>
  <si>
    <t xml:space="preserve">Consumption emissions: Basic consumption data obtained from annual reports of national entities and Ministries was used as a key source for developing the assumptions for the BAU scenario.
International aviation and shipping: Transport is mentioned as one of the 'GHG Source and Sink Categories' but the document does not clarify if this includes international flights and ships.
</t>
  </si>
  <si>
    <t>Human rights based climate planning in the documentation. NDC implementation to promote equity in the country and also discussed with reference to Jordan's national capacities and share of global emissions. 
Plan contains significant details about the industry-specific measures being considered to achieve the NDC target, e.g. measures in the residential vs industrial sectors for the energy industry. Numerical targets showing extent e.g. number of solar water heaters to be installed given for some measures.
Provisions for regular review of measures: "In 2019, the Ministry of Environment issued the climate change bylaw No. 79 for the year 2019 to ensure full engagement of all partners and stakeholders including both technical and decision makers. The bylaw set the procedures for climate change activities and planning processes, to be ratified by the national climate change committee that includes key stakeholders. Jordan is expected to finalize its Fourth National Communication (FNC) exercise in 2022."
Regular review of measures: Jordan has developed a monitoring, reporting, and verification (MRV) system that was intended to track progress in NDC implementation, but the full rollout has been delayed by the COVID-19 pandemic.</t>
  </si>
  <si>
    <t>2023-05-15 16:48:37</t>
  </si>
  <si>
    <t>COU-0152</t>
  </si>
  <si>
    <t>В декабре 2020 года Казахстан объявил о новой цели – достижении углеродной нейтральности к 2060 году, подтвердив свои обязательства по Парижскому соглашению о предотвращении роста глобальной температуры более, чем на 1,5-2oC.
[In December 2020, Kazakhstan announced a new goal of achieving carbon neutrality by 2060, reaffirming its commitment to the Paris Agreement to prevent global temperatures from rising by more than 1.5-2oC.]</t>
  </si>
  <si>
    <t>Unconditional target A 15% reduction in GHG emissions by 31
December 2030 compared to the base year
Conditional target A 25% reduction in GHG emissions by 31
December 2030 compared to the base year,
subject to additional international investments,
access to low carbon technologies transfer
mechanism, green climate funds and flexible
mechanism 
https://www4.unfccc.int/sites/ndcstaging/PublishedDocuments/Kazakhstan%20First/INDC%20Kz_eng.pdf</t>
  </si>
  <si>
    <t xml:space="preserve">Strategy document in currently under development, it is expected to be released in July, 2022 </t>
  </si>
  <si>
    <t>https://legalacts.egov.kz/npa/view?id=11488215</t>
  </si>
  <si>
    <t>Emission coverage in accordance with Article 281, paragraph 2 of the Code: carbon dioxide (CO2), methane (CH4), nitrous oxide (N2O), hydrofluorocarbons (HFCs), perfluorocarbons (PFCs) and sulfur hexafluoride (SF6), other substances identified by the authorized body in the field of environment protection (in accordance with article 281 paragraph 3 of the 
Code). 
https://unfccc.int/sites/default/files/NDC/2023-06/12updated%20NDC%20KAZ_Gov%20Decree313_19042023_en_cover%20page.pdf</t>
  </si>
  <si>
    <t>Measures for all emission scopes that are covered by the target|Information on the extent to which measures will be applied (e.g. if switching to EVs, what share of the fleet; if installing an own solar PV installation, what is the installed capacity)|Schedule for regular review of measures</t>
  </si>
  <si>
    <t xml:space="preserve">1) Action plan onimplementation of the election program of the President of the Republic of Kazakhstan “Just Kazakhstan – for all and everyone, Now and forever” 
adopted by the Decree of the President of the Republic of Kazakhstan # 2 dated 26 November 2022 contains the following activities that contribute to achieving the NDC target by 2030: to attract by 2029 not less than 150 billion USD worth of direct foreign investment; 60% gasification of the country area; 1,5 times increase of the volume of production using RES; 20% reduction of contaminants including strengthened environmental control at the industrial companies of the country; increase the forestry area till 14,5 million hectares; development of a complex plan for water sector aimed at the conservation of national water ecosystems. Protection of water ecosystems fromcontamination by the industry; creation of a required infrastructure for EVs in large cities of the country.
2) The implementation of sectoral policies and adaptation measures will be monitored and annual reports will be submitted to the Ministry in accordance with paragraph 33 of the Rules for the Organization and Implementation of the Process of Adaptation to Climate Change, approved by Order No. 170 of the Minister of Ecology, Geology and Natural Resources of the Republic of Kazakhstan dated June 2, 2021, for the preparation of international reporting in accordance with subparagraph b of paragraph 7 of the Paris Agreement. 
3)The Republic of Kazakhstan aims to achieve carbon neutrality by 2060, which contributes to the accelerated achievement of the global peak of greenhouse gas emissions in the first half of the 21st century and also takes into account the constraints imposed by the principles of equity, sustainable development and poverty eradication.
</t>
  </si>
  <si>
    <t>2023-04-27 04:06:17</t>
  </si>
  <si>
    <t>COU-0153</t>
  </si>
  <si>
    <t xml:space="preserve">Estimated cost of actions in NDC is 62 billion USD. NDC is conditional on international support providing 87% of budget. </t>
  </si>
  <si>
    <t xml:space="preserve">The timeframe for implementation of the NDC is up to 2030, with milestone targets at 2025. 
</t>
  </si>
  <si>
    <t>https://faolex.fao.org/docs/pdf/KEN210108.pdf</t>
  </si>
  <si>
    <t>Information on the emission reductions expected from these measures within a certain time period|Measures for all emission scopes that are covered by the target|Schedule for regular review of measures</t>
  </si>
  <si>
    <t>2023-04-11 15:50:13</t>
  </si>
  <si>
    <t>COU-0154</t>
  </si>
  <si>
    <t>President Sadyr Japarov at the 76th session of the UN General Assembly said that Kyrgyzstan will try to achieve carbon neutrality by 2050 and confirmed intentions to follow low-carbon development with international support. This reinforced the NDC (Nationally Determined Contribution) of Kyrgyzstan submitted to the UNFCCC ahead of COP26.</t>
  </si>
  <si>
    <t>In 2025, GHG emissions will be reduced by 16.63% on the GHG emission level under the BAU scenario, and by 36.61% subject to international support. In2030, GHG emissions will be reduced by 15.97% of the GHG emission level under the BAU scenario, and by 43.62% subject to international support https://unfccc.int/sites/default/files/NDC/2022-06/%D0%9E%D0%9D%D0%A3%D0%92%20ENG%20%D0%BE%D1%82%2008102021.pdf</t>
  </si>
  <si>
    <t>Interim numbers without international support used as this is what they have directly committed to.
Maths done by hand because it was weird in the document (target and BAU emissions stated not straight out, but in terms of reductions)</t>
  </si>
  <si>
    <t>https://www.undp.org/kyrgyzstan/press-releases/kyrgyzstan-continues-contemplate-long-term-climate-change-effects</t>
  </si>
  <si>
    <t>2023-06-19 15:40:26</t>
  </si>
  <si>
    <t>COU-0155</t>
  </si>
  <si>
    <t xml:space="preserve">"Kuwait has pledged to reach carbon neutrality in the oil and gas sector by 2050 and in other sectors by 2060."
</t>
  </si>
  <si>
    <t>https://www.enerdata.net/publications/daily-energy-news/kuwait-aims-reach-net-zero-emissions-2060.html</t>
  </si>
  <si>
    <t>"The country [Kuwait] aims to achieve carbon neutrality in other sectors by 2060"
Source: https://gulfbusiness.com/kuwait-commits-to-reach-carbon-neutrality-in-oil-and-gas-by-2050/
"Speaking on the sidelines of the COP27 UN climate conference in Sharm el-Sheikh, Sheikh Salem Abdullah al-Sabah said the Opec country is aiming to reach net zero in 2060, although it was committing to deliver net zero carbon emissions in its critical oil and gas sector a decade earlier, by 2050"
Source: https://www.argusmedia.com/en/news/2388715-cop-27-kuwait-pledges-net-zero-emissions-by-2060</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</si>
  <si>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https://epa.gov.kw/Portals/0/PDF/KuwaitNDCEN.pdf</t>
  </si>
  <si>
    <t>Official policy documents, such as 'Kuwait Nationally Determined Contributions' and 'Kuwait National Adaptation Plan 2019-2030'  have not been updated since 2021. This means their new carbon neutrality pledge has no official public plan for achieving its target, or outlining its interim targets, reporting mechanisms, equity considerations, and offset usage, etc. 
Source: https://unfccc.int/sites/default/files/resource/Kuwait-NAP-2019-2030.pdf</t>
  </si>
  <si>
    <t>2023-09-08 18:21:14</t>
  </si>
  <si>
    <t>COU-0156</t>
  </si>
  <si>
    <t>Libya does not have an NDC.</t>
  </si>
  <si>
    <t>2022-05-16 11:58:41</t>
  </si>
  <si>
    <t>COU-0157</t>
  </si>
  <si>
    <t>reduction of greenhouse gases by 40 % compared to 1990 by 2030.
The reduction target of 40 % compared to 1990 corresponds to per capita emissions of 3.6 CO eq.
The quantified amount of emissions in 1990 is considered to be 228.7 Kt CO eq. reduction target within a time frame from 2021 until 2030.
The decoupling of greenhouse gas emissions and economic growth is the consequence of
climate related policy measures such as the participation in the European Emissions
Trading regime, levying of CO2 emissions from the combustion of fossil fuels or the
obligation to compensate emissions caused by motor fuel consumption.</t>
  </si>
  <si>
    <t>https://www4.unfccc.int/sites/ndcstaging/PublishedDocuments/Liechtenstein%20First/150422_INDC_FL.pdf</t>
  </si>
  <si>
    <t>Liechtenstein's INDCs cover seven greenhouse gases: carbon dioxide, methane, nitrous oxide, hydrofluorocarbons, perfluorocarbons, sulfur hexafluoride, and nitrogen trifluoride.
Primary focus on domestic emission reductions.</t>
  </si>
  <si>
    <t xml:space="preserve">Liechtenstein understands fairness of its INDC within the context of national
circumstances. As Liechtenstein is one of the smallest countries in the world its total
emissions count up to 0.0073 % of the global total emissions. </t>
  </si>
  <si>
    <t>2023-08-28 21:33:15</t>
  </si>
  <si>
    <t>COU-0158</t>
  </si>
  <si>
    <t>In the prosperity scenario the annual CO2e emissions amounts 35.5 million tons GHG (2022), 21.9 million tons GHG (2030), 10.2 million tons GHG (2040) and -1.4 million tons GHG (2050). The implementation of the prosperity measures then allows a dynamic of -48.7% (2030), -79.4% (2040), -102.4% (2050) compared to the baseline. This means an average of -26.4% change between 2022 and 2030 and -65.5% between 2022 and 2050 of the annual co2e emissions.</t>
  </si>
  <si>
    <t>To reach the net zero and full climate proofing of the economy, the additional investment (as share of GDP) required is 6.3 percent in 2030, 2.9 percent in 2040 and 1.5 percent in 2050. In Sri Lanka, 6.5 billion USD is required each year to achieve the CPP goals.</t>
  </si>
  <si>
    <t>https://unfccc.int/sites/default/files/resource/SriLanka_LTLEDS.pdf</t>
  </si>
  <si>
    <t>The annual CO2e is the sum of total greenhouse gas (GHG) emissions emitted at country level. It is derived by summing up the emissions generated across all IPCC categories (i.e., energy, industrial product use, land, managed soils, livestock, land use, and waste).</t>
  </si>
  <si>
    <t>The CPP spans the full period 2020 to 2050 in terms of modeled outcomes. The strategic aims of the CPP are mapped until 2040, while key measures (keystone, hallmark and other project and programme activities) are mapped through to 2030.
All scenarios are modeled using the bespoke CPP model, which is a highly modified and customized variation of the Green Economy Model (GEM) designed to suit the range and type of macro-economic and societal decision-making facing CVF and V20 countries due to accelerating global climate change, its adverse effects and transition pressures.
Given the considerable debt overhang, debt restructuring through debt relief and debt-for-climate swaps at a portfolio level is a key component of the investment strategy with a grand-scale climate-debt swap where the debts and debt servicing payments of Sri Lanka are reduced on the basis of our Climate Prosperity Plan to achieve climate resilience and prosperity. Specifically by redirecting debt servicing payments towards new investments where the existing creditors can participate with preferred equity opportunities to render the underlying projects more resilient to climate change and compatible with the green transition. This can include investments in adaptation and nature-based solutions to render infrastructure projects more resilient to climate harm, while outdated thermal coal, fossil gas, or diesel could be retired or recapitalized and transformed into hubs for green hydrogen production, waste to energy or biomass power generation facilities.</t>
  </si>
  <si>
    <t>GEM estimates carbon credits that can be generated at country level, either by exporting clean energy products, which avoids GHG emissions at the import destination, as well as through additional reforestation and restoration, contributing to domestic sink capacity. The total value of carbon credits is calculated as the sum of carbon credits from energy exports, mangrove restoration and reforestation.</t>
  </si>
  <si>
    <t>2023-04-15 10:06:47</t>
  </si>
  <si>
    <t>COU-0159</t>
  </si>
  <si>
    <t xml:space="preserve">L’objectif actualisé global du Maroc représente une réduction des émissions de GES de son économie de 45,5% à l’horizon 2030 dont un objectif inconditionnel de 18,3% par rapport au
scénario de référence, qui correspond à une évolution des émissions suivant le « cours normal des affaires » (CNA). Le scénario d’atténuation menant à l’objectif global repose sur 34 mesures
inconditionnelles et 27 mesures conditionnelles au financement international.
</t>
  </si>
  <si>
    <t>In its long term startegy, Morocco mentions that it is ultimately aiming for carbon neutrality ("...in fine viser la neutralité carbon.") but does not set a firm date for this. See: https://unfccc.int/sites/default/files/resource/MAR_LTS_Dec2021.pdf
Morocco has a unconditional (18.3%) and conditional (45.5%) target, which target is dependent on finance.
This conditional commitment will only be made possible if Morocco gains access to new sources of finance and to additional support relative to support received in recent years (conditional).
Unconditional: "The new target includes an unconditional emissions reduction of 18.3% below BAU by 2030, up from a 17% reduction in the previous NDC."
https://www.greengrowthknowledge.org/sites/default/files/downloads/policy-database/Morocco_NDC_Eng.pdf
Sources:
https://climateactiontracker.org/countries/morocco/targets/
https://www.greengrowthknowledge.org/sites/default/files/downloads/policy-database/Morocco_NDC_Eng.pdf
https://www4.unfccc.int/sites/ndcstaging/PublishedDocuments/Morocco%20First/Moroccan%20updated%20NDC%202021%20_Fr.pdf
https://unfccc.int/sites/default/files/NDC/2022-06/Moroccan%20updated%20NDC%202021%20_Fr.pdf</t>
  </si>
  <si>
    <t>https://www4.unfccc.int/sites/ndcstaging/PublishedDocuments/Morocco%20First/Moroccan%20updated%20NDC%202021%20_Fr.pdf</t>
  </si>
  <si>
    <t>La CDN concerne l’ensemble de l’économie. Elle reflète toutes les émissions et les absorptions anthropogéniques telles que rapportées dans la quatrième communication nationale et le BUR2, et plus particulièrement :
• Tous les secteurs, tels que définis par les lignes directrices 2006 du GIEC notamment : Energie, Procédés Industriels et Utilisation des Produits (PIUP).
• Agriculture, Foresterie et Autres Affectations des Terres (AFAT), Déchets.
• Les gaz à effet de serre inclus dans les lignes directrices 2006 du GIEC notamment CO2, CH4, N2O, HFCs, NOx, SO2, COVNM, et CO.
Source: 
https://unfccc.int/sites/default/files/NDC/2022-06/Moroccan%20updated%20NDC%202021%20_Fr.pdf</t>
  </si>
  <si>
    <t>Plan in french: https://www4.unfccc.int/sites/ndcstaging/PublishedDocuments/Morocco%20First/Moroccan%20updated%20NDC%202021%20_Fr.pdf
See also: https://www.ccacoalition.org/en/resources/morocco-plan-daction-national-des-polluants-climatique-de-courte-dur%C3%A9e-de-vie
Schedule for regular review of measures: Les objectifs globaux du suivi-évaluation sont: ... Réviser et mettre à jour périodiquement les mesures et actions du plan en fonction des progrès réalisés https://www.ccacoalition.org/en/resources/morocco-plan-daction-national-des-polluants-climatique-de-courte-dur%C3%A9e-de-vie
Equity: Malgré sa faible contribution dans les émissions globales des GES, le Maroc a élaboré sa CDN avec la firme conviction que les ambitions mondiales pour s’attaquer au problème du changement climatique appellent à un engagement conséquent de toutes les parties tant en matière d’atténuation, d’adaptation que de moyens de mise en œuvre, d’approches de coopération et de transparence... L’accumulation des émissions historiques reste faible comparée à celles des pays industrialisés. Cela prouve la faible responsabilité du Maroc relativement aux causes
anthropogènes du changement climatique. Le pays a une grande vulnérabilité aux impacts du changement climatique en raison de sa position géographique. Néanmoins, en reconnaissant les responsabilités communes, mais différenciées, formulées sous la CCNUCC et reconfirmées dans l’Accord de Paris, le Maroc vise à assumer une contribution d’atténuation des émissions de GES plus signifiante que celle qui lui serait conforme selon sa responsabilité historique. Cela est basé sur la conception d’une idée d’équité globale ainsi que sur le constat de l’urgence planétaire dans
laquelle l’humanité dans son ensemble est engagée.</t>
  </si>
  <si>
    <t>Section 3.6. Planification de la mise en œuvre
Source: https://unfccc.int/sites/default/files/NDC/2022-06/Moroccan%20updated%20NDC%202021%20_Fr.pdf</t>
  </si>
  <si>
    <t>Moldova, Republic of</t>
  </si>
  <si>
    <t>2023-12-26 09:00:27</t>
  </si>
  <si>
    <t>COU-0160</t>
  </si>
  <si>
    <t>"In its updated NDC (NDC2), the Republic of Moldova intends to achieve more ambitious targets than in its NDC1. The country’s new economy-wide unconditional target is to reduce its greenhouse gas emissions by 70 per cent below its 1990 level in 2030, instead of 64-67 per cent as committed in NDC1."
"As to the new economy-wide conditional target, instead of 78 per cent as committed in NDC1, the reduction commitment expressed above could be increased in NDC2 up to 88 per cent below 1990 level, provided a global agreement addressing important topics including low-cost financial resources, technology transfer, and technical cooperation, accessible to all at a scale commensurate to the challenge of global climate change, is insured."</t>
  </si>
  <si>
    <t>The Republic of Moldova submitted its revised NDC in March 2020. The Republic of Moldova raised ambition with a conditional emissions reduction target of 88% by 2030 compared to 1990 levels. The country also committed to an unconditional emissions reduction target of 70% by 2030 compared to 1990 levels. https://climatepromise.undp.org/what-we-do/where-we-work/moldova#:~:text=Key%20highlights%20from%20the%20NDC,2030%20compared%20to%201990%20levels.</t>
  </si>
  <si>
    <t>https://www4.unfccc.int/sites/ndcstaging/PublishedDocuments/Republic%20of%20Moldova%20First/MD_Updated_NDC_final_version_EN.pdf</t>
  </si>
  <si>
    <t>Gases Covered: all GHGs not controlled by the Montreal Protocol – Carbon Dioxide (CO2), Methane (CH4), Nitrous Oxide (N2O), Hydrofluorocarbons (HFCs), Perfluorocarbons (PFCs), Sulphur Hexafluoride (SF6), Nitrogen Trifluoride (NF3).
https://www4.unfccc.int/sites/ndcstaging/PublishedDocuments/Republic%20of%20Moldova%20First/MD_Updated_NDC_final_version_EN.pdf</t>
  </si>
  <si>
    <t>Many measures are mentioned, but not the emission reductions expected from each measure. Source: https://www4.unfccc.int/sites/ndcstaging/PublishedDocuments/Republic%20of%20Moldova%20First/INDC_Republic_of_Moldova_25.09.2015.pdf.</t>
  </si>
  <si>
    <t>Afforestation/reforestation, promoting the ecosystem approach in adaptation of forests to climate change; promoting agroforestry and silvo-pastoral practices; sustainable management of forests and ecosystem services; organic matter restoration in degraded pastures.
https://www4.unfccc.int/sites/ndcstaging/PublishedDocuments/Republic%20of%20Moldova%20First/MD_Updated_NDC_final_version_EN.pdf</t>
  </si>
  <si>
    <t>Macedonia, the former Yugoslav Republic of</t>
  </si>
  <si>
    <t>2023-03-13 16:41:51</t>
  </si>
  <si>
    <t>COU-0161</t>
  </si>
  <si>
    <t xml:space="preserve">– 'In response of the COP decision at Paris, reiterated by 2018 decision at COP24 in
Katowice, and in line with the Decision of the Government from its 65th session held on
April 13th 2021, the Republic of North Macedonia communicates the following enhanced
nationally determined contribution to the global efforts for GHG emissions reduction: In 2030, 51% reduction in greenhouse gas emissions compared to 1990 levels. Expressed in net emissions, in 2030, 82% reduction compared to 1990 levels'; this is defined as a 'Single-year target in 2030' (https://unfccc.int/sites/default/files/NDC/2022-06/Macedonian%20enhanced%20NDC%20%28002%29.pdf) </t>
  </si>
  <si>
    <t>–</t>
  </si>
  <si>
    <t xml:space="preserve">– Also has a 'long-term vision': 'The Republic of North Macedonia is, by 2050, a prosperous, low carbon economy, following sustainable and climate resilient development pathways, enhancing competitiveness and promoting social cohesion through action to combat climate change and its impacts.' (https://unfccc.int/sites/default/files/resource/MKD_ES_LTS_Nov2021.pdf) </t>
  </si>
  <si>
    <t>https://unfccc.int/sites/default/files/NDC/2022-06/Macedonian%20enhanced%20NDC%20%28002%29.pdf</t>
  </si>
  <si>
    <t xml:space="preserve">– 'The target covers the following gases: Carbon dioxide (CO2), methane (CH4), nitrous oxide (N2O)' (https://unfccc.int/sites/default/files/NDC/2022-06/Macedonian%20enhanced%20NDC%20%28002%29.pdf) 
– Specifies that it does not include aviation emissions in its reduction target: 'Reduction of national net GHG emissions (including Forestry and Other Land Use and excluding MEMO items [MEMO items include emissions from aviation and electricity import])' (https://unfccc.int/sites/default/files/resource/MKD_ES_LTS_Nov2021.pdf) </t>
  </si>
  <si>
    <t>– Has '63 mitigation policies and measures' in its enhanced NDC
– Does not include measures for all emission scopes, e.g. 'Reduction of GHG emissions in the waste sector will take place through the implementation of the measures contained in the current waste policy framework [...] Nonetheless, based on the assessment of the current
situation, the implementation of the current existing measures is lagging behind and requires an important effort up to 2030 and beyond.' (https://unfccc.int/sites/default/files/resource/MKD_ES_LTS_Nov2021.pdf) 
– Review of measures: 'For each PAM [Policy and Measure], progress indicators to monitor implementation with reference values (in the reporting year and in the target year) are clearly stated.' (https://unfccc.int/sites/default/files/NDC/2022-06/Macedonian%20enhanced%20NDC%20%28002%29.pdf)
– Public reporting: 'The progress indicators will be elaborated within Biennial Update Report or Biennial Transparency Report. Consistency with the required reporting under Energy Community (Energy Efficiency Action Plan and Renewable Energy Action Plan) will be ensured.' (https://unfccc.int/sites/default/files/NDC/2022-06/Macedonian%20enhanced%20NDC%20%28002%29.pdf) 
– Reference to domestic equity under 'Social aspects of the Policy and Measures': 'It was shown that the enhanced NDC would bring new jobs, almost 8,000 in 2030 and 10,000 in 2035 [...] Based on the types of the newly created jobs, very basic analysis indicated that at least 27% of the jobs in 2035 can be assigned to women. [...] A virtual youth consultation on the enhanced NDC was organized to ensure that the voices of young people are expressed in the NDC and that there will be broad ownership for the enhanced NDC goals' (https://unfccc.int/sites/default/files/NDC/2022-06/Macedonian%20enhanced%20NDC%20%28002%29.pdf)</t>
  </si>
  <si>
    <t xml:space="preserve">– 'The Republic of North Macedonia accounts for anthropogenic emissions and removals in accordance with methodologies and common metrics assessed by the Intergovernmental Panel on Climate Change and adopted by the Conference of the Parties serving as the meeting of the Parties to the Paris Agreement. It includes all categories of anthropogenic emissions or removals in the enhanced NDC.' (https://unfccc.int/sites/default/files/NDC/2022-06/Macedonian%20enhanced%20NDC%20%28002%29.pdf)
– Law on Climate Action aims 'To establish the framework for policies, planning and administrative measures necessary to reduce greenhouse gas emissions from sources to the level considered scientifically necessary and maintain and enhance removals by sinks' (https://unfccc.int/sites/default/files/resource/MKD_LTS_Nov2021.pdf) </t>
  </si>
  <si>
    <t>Montenegro</t>
  </si>
  <si>
    <t>MNE</t>
  </si>
  <si>
    <t>2023-03-13 16:51:54</t>
  </si>
  <si>
    <t>COU-0162</t>
  </si>
  <si>
    <t xml:space="preserve">Economy-wide GHG emission reduction target of 35% by 2030 compared to base year (1990) emissions, excluding LULUCF. This is outlined in Montenegro's Nationally Determined Contribution under the Paris Agreement.  | https://unfccc.int/sites/default/files/resource/BUR3_Montenegro%20-%2024.%20Jan%20-%20FINAL.pdf </t>
  </si>
  <si>
    <t xml:space="preserve">The reduction target is dependent on increased financial support from more developed EU countries which would allow Montenegro to achieve the target by implementing measures across various sectors, including energy, transport, and forestry. Meanwhile,  a transition to a "low-carbon economy" by 2050 is a stated goal. </t>
  </si>
  <si>
    <t>https://www4.unfccc.int/sites/ndcstaging/PublishedDocuments/Montenegro%20First/Updated%20NDC%20for%20Montenegro.pdf</t>
  </si>
  <si>
    <t>Gases included:
• Carbon dioxide (CO2)
• Methane(CH4)
• Nitrousoxide(N2O)
• Perfluorocarbons(PFCs)
• Hydrofluorocarbons (HFCs) and Sulphur hexafluoride (SF6). NF3 emissions are currently not included.</t>
  </si>
  <si>
    <t>Biennial reporting to the UNFCCC.
Ecological refurbishment of Pljevlja Thermoelectric Power Plant: 1178 Gg CO2eq cumulated savings (2019–2030).
New renewable power plants: 65 Gg CO2eq 2030 emission reduction.
The participation of women in finding and implementing climate change solutions needs to be further addressed.</t>
  </si>
  <si>
    <t>The accounting rules for international carbon markets under Article 6 of the Paris Agreement have not been set yet. Montenegro has not made any national decision on this issue yet but is striving to participate in the EU emission trading scheme from 2025 onwards.
Montenegro sets the target that by 2035 93% of the population will be connected to sewerage systems except for agglomerations of less than 2000 PE. The remaining percentage of the population, which cannot be connected to the network for technical reasons, will be served by individual systems.
Strengthening of the forestry infrastructure and the monitoring of logging are contributing to an increase in carbon sinks.</t>
  </si>
  <si>
    <t>2022-06-01 14:43:11</t>
  </si>
  <si>
    <t>COU-0163</t>
  </si>
  <si>
    <t>NDC is a 22.7% reduction in total national greenhouse gas emissions by 2030, compared to the projected emissions under a business as usual scenario for 2010 excluding LULUCF.
Base year emission (Mt СО2-eq.): 25.8.
Emission target by 2030 (Mt CO2-eq.): 57.4.
GHG emission reduction target (Mt СО2-eq.): 16.9.
BAU emission in 2030 (Mt CO2-eq.): 74.3.</t>
  </si>
  <si>
    <t>https://www4.unfccc.int/sites/ndcstaging/PublishedDocuments/Mongolia%20First/First%20Submission%20of%20Mongolia%27s%20NDC.pdf</t>
  </si>
  <si>
    <t>Gases covered: Carbon dioxide (CO2), Methane (CH4), Nitrous oxide (N2O), Hydrofluorocarbons (HFCs).
Plan: switch the coal export transportation to rail transport from auto transportation.</t>
  </si>
  <si>
    <t>Energy sector (production) actions will lead to 8,340.5 Gg СО2-eq GHG emissions reduction.
Identify social groups vulnerable to climate change and build their resilience to overcome the risks.</t>
  </si>
  <si>
    <t>if conditional mitigation measures such as the carbon capture and storage and waste-to-energy technology are implemented, then Mongolia could achieve a 27.2% reduction in total national GHG emissions. 
Mongolia is taking consideration of nature-based solutions.
GHG removals by forest, (Mt СО2-eq.): -2.6.
Total GHG emission reduction (including conditional measures and forest sink), (Mt СО2-eq.): 22.8.
TOTAL GHG EMISSION REDUCTION, (%) (including conditional measures and forest sinks): 44.9%.</t>
  </si>
  <si>
    <t>2023-07-29 11:57:07</t>
  </si>
  <si>
    <t>COU-0164</t>
  </si>
  <si>
    <t xml:space="preserve">" This is also aligned to the target of Long-Term Low Emission Development Strategy (LT-LEDS) to achieve net-zero GHG emissions in 2050". (National Energy Policy p24)
</t>
  </si>
  <si>
    <t>'reduce greenhouse gas emissions per unit of GDP by 45% by 2030 compared to 2005' 
"Twelfth Malaysia Plan", p64 and elsewhere (downloadable at source url, see also target notes below)</t>
  </si>
  <si>
    <t>Target first announced in 2021: "We are committed to be a carbon neutral country at the earliest in 2050" (Source: p31 of "Presentation speech", see link below). However, the target wasn't mentioned in any of the policy documents of the time ("Twelfth Malaysia Plan" below).
More recently the National Energy Policy, published late 2022, alludes to an LT-LEDS target of net zero 2050. Though Malaysia's LT-LEDS is still in development and hasn't been published yet, I'm counting this as "in policy document".
Twelfth Malaysia plan download link:
https://rmke12.ekonomi.gov.my/file/download/2021092722_twelfth_malaysia_plan.pdf?path=fileUpload/2021/09/2021092722_twelfth_malaysia_plan.pdf&amp;name=Twelfth%20Plan%20Document.pdf
Presentation speech download link: https://rmke12.ekonomi.gov.my/file/download/2021092914_official_translation_speech_of_yab_pm_12mp.pdf?path=fileUpload/2021/09/2021092914_official_translation_speech_of_yab_pm_12mp.pdf&amp;name=Official%20Translation%20Speech%20of%20YAB%20PM%2012MP.pdf</t>
  </si>
  <si>
    <t>https://www.ekonomi.gov.my/sites/default/files/2022-09/National%20Energy%20Policy_2022_2040.pdf</t>
  </si>
  <si>
    <t>"Details of other measures in carbon reduction will be announced after a study on the long-term low emissions development strategies is completed at the end of 2022” (Presentation speech p31)
(Looks like this hasn't happened yet, although the National Energy Policy has since been released.)</t>
  </si>
  <si>
    <t>Public plan: Twelfth Malaysia Plan pp287-339 and National Energy Policy pp26-29
"Malaysia Plan" published every 5 years includes progress report
Equity: mentioned in footnotes in Twelfth Malaysia Plan, p299 and p309</t>
  </si>
  <si>
    <t>"Forests as well as coastal and marine areas provide livelihood to the local communities. Local communities’ participation in protecting and managing protected areas sustainably will be elevated to improve their livelihood... In addition, payment for ecosystem services including carbon offset will be explored." (Twelfth Malaysia Plan p271)</t>
  </si>
  <si>
    <t>2023-12-07 21:42:41</t>
  </si>
  <si>
    <t>COU-0165</t>
  </si>
  <si>
    <t xml:space="preserve">This Act provides a framework for achieving low greenhouse gas emission (GHG), inclusive green growth and sustainable economic development by ... (f) setting a target for year 2050 - 2070 for the attainment of a net-zero GHG emission, in line with Nigeria's international climate change obligations. (Section 1 of the Nigeria's Climate Change Act 2021).
https://cdn.climatepolicyradar.org/navigator/NGA/2021/explanatory-memorandum-on-nigeria-s-climate-change-acr_6c83884695bbf609fcd795a49d196e89.pdf
</t>
  </si>
  <si>
    <t xml:space="preserve">''Nigeria remains fully committed to the unconditional target set out in the INDC, to reduce GHG emissions in 2030 by 20% below business-as-usual emissions, and increase its conditional target to 47% below business-as-usual emission in 2030, on condition of appropriate support.'' (with a baseline year of 2018, 347 MtCo2e in 2018). Pg 29.
https://unfccc.int/sites/default/files/NDC/2022-06/NDC_File%20Amended%20_11222.pdf
</t>
  </si>
  <si>
    <t>The 2021 Climate Change Act of Nigeria sets a target for net zero GHG emissions between 2050 - 2070. The year 2060 is not explicitly stated as the year for net zero within the Climate Change Act, however, the President of Nigeria made a commitment at COP26 in Glasgow to achieve net zero by 2060 [https://climate-laws.org/document/nigeria-s-climate-change-act_5ef7]. Further the Energy Transition Plan stipulates 2060 as the target date: "The Nigeria ETP was initially created with a 2050 net-zero target. However, given the significant financial, social and technological requirements, the nation concluded that a more realistic pathway to deep decarbonization would land on 2060." https://www.energytransition.gov.ng/implementation/</t>
  </si>
  <si>
    <t>https://cdn.climatepolicyradar.org/navigator/NGA/2021/explanatory-memorandum-on-nigeria-s-climate-change-acr_6c83884695bbf609fcd795a49d196e89.pdf</t>
  </si>
  <si>
    <t>Gases: Per section 35: ""greenhouse gases" or "GHG" means the constituents of the atmosphere that contribute to the Greenhouse effect and includes - (a) carbon dioxide; (b) methane; (c) nitrous oxide; (d) hydro fluorocarbons; (e) per fluorocarbons; (f) sulphur hexafluoride; and (g) indirect greenhouse gases;" 
https://cdn.climatepolicyradar.org/navigator/NGA/2021/explanatory-memorandum-on-nigeria-s-climate-change-acr_6c83884695bbf609fcd795a49d196e89.pdf</t>
  </si>
  <si>
    <t>Plan: Nigeria has released an Energy Transition Plan (2022) which outlines several measures such as solar mini-grids and off-grid programmes such as the Nigeria Electrification Projects, the Energising Economies Initiative, and Energizing Agricultural Project, the Energizing Education Programme, and the Interconnected Mini-grid Acceleration Scheme via the Rural Electrification Agency (https://climate-laws.org/document/nigeria-energy-transition-plan_1d3f). See: https://www.energytransition.gov.ng/implementation/
Review of measures: there are mechanisms for the review of the National Climate Change Action Plan (section 8), as well as carbon budgets (section 19). https://cdn.climatepolicyradar.org/navigator/NGA/2021/explanatory-memorandum-on-nigeria-s-climate-change-acr_6c83884695bbf609fcd795a49d196e89.pdf
Equity: While there is no mention of equity in the target, there is some mention of an equitable energy transition: "Play a leadership role for Africa by promoting a fair, inclusive and equitable energy transition in Africa that will include Gas as a “transitionary fuel” , ending energy poverty and supporting industrialization" (https://www.energytransition.gov.ng/implementation/)</t>
  </si>
  <si>
    <t xml:space="preserve">Nigeria has plans to scale up it's carbon markets, and potentially introduce a carbon tax, however there are no specifics found in relation to this target (https://www.spglobal.com/commodityinsights/en/market-insights/latest-news/electric-power/040523-nigeria-sets-sights-on-developing-carbon-markets-government-working-on-carbon-tax)
Nigeria does not set separate targets for removals and emission reductions but does have some reference in the Act to nature-based solutions as a means of mitigating climate change (see section 27). </t>
  </si>
  <si>
    <t>2023-04-12 16:59:06</t>
  </si>
  <si>
    <t>COU-0166</t>
  </si>
  <si>
    <t>The climate law has the following climate goals: 49% less Co2 output in 2030 compared to 1990; 95% less CO2 in 2050 compared to 1990. 
De Klimaatwet stelt vast met hoeveel procent ons land de CO2-uitstoot moet terugdringen. De Klimaatwet moet burgers en bedrijven zekerheid geven over de klimaatdoelen:
49% minder CO2-uitstoot in 2030 ten opzichte van 1990.
Om dit doel te halen,  hebben de overheid, bedrijven en maatschappelijke organisaties een Klimaatakkoord gesloten. Er staan ook afspraken in die partijen onderling hebben gemaakt.
95% minder CO2-uitstoot in 2050 ten opzichte van 1990.
Source: https://www.rijksoverheid.nl/onderwerpen/klimaatverandering/klimaatbeleid</t>
  </si>
  <si>
    <t>As well as these targets which are in law, there has been a court case against the Dutch state from urgenda, which mandated that the dutch government must reduce emissions by 25% before the end of 2020 (compared to 1990 levels). The cabinet is still aiming ("stuurt op") to reach this.
Th 95% is referred to as net zero in https://www.government.nl/topics/climate-change/cop26-the-netherlands</t>
  </si>
  <si>
    <t>https://www.rijksoverheid.nl/onderwerpen/klimaatverandering/klimaatbeleid</t>
  </si>
  <si>
    <t>Coverage specifies that it includes greenhouse gasses, rather than CO2. Quote: "Deze wet biedt een kader voor de ontwikkeling van beleid gericht op het onomkeerbaar en stapsgewijs terugdringen van de emissies van broeikasgassen in Nederland, tot een niveau dat 95% lager ligt in 2050 dan in 1990, teneinde wereldwijde opwarming van de aarde en de verandering van het klimaat te beperken."
Source, climate law 2019: https://wetten.overheid.nl/BWBR0042394/2020-01-01
international aviation emissions are not included, and will follow European guidelines. Source: https://www.klimaatakkoord.nl/mobiliteit/vraag-en-antwoord/waarom-wordt-de-luchtvaart-niet-meegenomen-in-het-klimaatakkoord
It seems that international shipping is also regulated at a higher European level; uncertain on this (see news article: https://www.trouw.nl/duurzaamheid-natuur/brussel-mikt-op-schonere-scheepvaart~b007e5999/#:~:text=Schepen%20moeten%20voor%202050%20milieuvriendelijk,2%2Dprijzing%20moeten%20daartoe%20leiden.&amp;text=De%20International%20Maritime%20Organisation%20(IMO,uitstoot%20te%20halveren%20in%202050.)
In addition to European regulations, aviation targets are domestically set by a 2014 plan and have not been updated for the 2019 law: "the government will adhere to the objectives outlined in the 2014 "A vision on sustainable fuels for transport",55 which includes the ambition to reduce average emissions from passenger cars by 44% by 2030 in respect of 2010, those of vans by 33%, lorries and buses by 20%, shipping by 24% and aviation by 17%." https://energy.ec.europa.eu/document/download/79b49e0a-a8c8-4eff-ad1c-e4ae475bde88_en?filename=netherlands_draftnecp_en.pdf.pdf</t>
  </si>
  <si>
    <t>Measures for all emission scopes that are covered by the target|Information on the emission reductions expected from these measures within a certain time period|Schedule for regular review of measures|Information on the extent to which measures will be applied (e.g. if switching to EVs, what share of the fleet; if installing an own solar PV installation, what is the installed capacity)</t>
  </si>
  <si>
    <t>Very detailed climate plan (62 and 192 pages), agreed in a series of year discussions across different sectors with industry and civil society representatives (klimaattafels). This includes a detailed plan for how every sector could decarbonise. There is no formal accountability except through the courts system. 
Sources: 
https://www.rijksoverheid.nl/onderwerpen/klimaatverandering/documenten/beleidsnotas/2020/04/24/klimaatplan-2021-2030
https://wetten.overheid.nl/BWBR0042394/2020-01-01
https://www.klimaatakkoord.nl/binaries/klimaatakkoord/documenten/publicaties/2019/06/28/klimaatakkoord/klimaatakkoord.pdf
The Integrated National Energy and Climate Plan (2021-2030) provides measures to achieve the CO2 reduction target of 49% by 2030. 
Source:
https://ec.europa.eu/energy/sites/ener/files/documents/nl_final_necp_main_en.pdf</t>
  </si>
  <si>
    <t>Reforestation and carbon capture are part of the climate plan. Difficult to find what share of emissions are expected to be offset. Forests are expected to save 0.4-0.8 MtCo2e (p. 119 of the climate plan). https://www.klimaatakkoord.nl/klimaatakkoord
https://www.klimaatakkoord.nl/binaries/klimaatakkoord/documenten/publicaties/2019/06/28/klimaatakkoord/klimaatakkoord.pdf</t>
  </si>
  <si>
    <t>2023-06-19 15:14:40</t>
  </si>
  <si>
    <t>COU-0167</t>
  </si>
  <si>
    <t>As part of Royal attention to improve environment performance and alleviate the impact of climate change, the year 2050 has been set as a date for net zero carbon emissions. A national plan has been drafted to achieve this goal, along with the setting up of Oman Sustainability Centre to undertake the supervision and follow up of zero carbon emission plans and programmes. His Majesty the Sultan gave directives to all units of the State’s Administrative Apparatus to cooperate to ensure the success of this national plan.</t>
  </si>
  <si>
    <t xml:space="preserve">Reduction of 7% in 2030 relative to BAU, with total GHG emissions capped to 116.486 MTCO2e in 2030. https://www4.unfccc.int/sites/NDCStaging/Pages/All.aspx#collapseOMNSecond
</t>
  </si>
  <si>
    <t>https://www.ea.gov.om/media/aaslyc3l/oman-net-zero-report-2022_screen.pdf</t>
  </si>
  <si>
    <t>- Only referred to as the "carbon budget"
- "Oman has identified five objectives for its transition pathway. First, it should help the country achieve environmental sustainability by reaching net zero and minimizing the cumulative carbon budget by 2050"
Source: https://www.ea.gov.om/media/aaslyc3l/oman-net-zero-report-2022_screen.pdf</t>
  </si>
  <si>
    <t>The Sultanate of Oman's National Strategy for an Orderly Transition to Net Zero was published in November, 2022.
It outlines emission reductions expected for measures taken across different sectors:
- "An orderly transition offers an attractive middle option that would allow Oman to achieve its net zero goal by 2050. This path would implement the lowest-cost decarbonization levers first as they become economically viable, then activate levers to address harder-to-abate emissions. Individual sectors would decarbonize at different paces, but the national pathway would consider all five objectives"
Source: https://www.ea.gov.om/media/aaslyc3l/oman-net-zero-report-2022_screen.pdf</t>
  </si>
  <si>
    <t>"Oman could lead in negative emission technologies that will likely be required to reduce most emissions (e.g., DAC that removes atmospheric CO2 directly from the air and carbon
utilization or storage), as it has a large number of aquifers and a vast amount of peridotite rock, a rare material that has unique carbon absorption and storage properties. Together with
behavioral changes, this could abate most of the last mile. Nature-based solutions, such as mangrove tree planting or grassland management could help to abate the remainder." 
Source: https://www.ea.gov.om/media/aaslyc3l/oman-net-zero-report-2022_screen.pdf</t>
  </si>
  <si>
    <t>2023-04-19 12:43:17</t>
  </si>
  <si>
    <t>COU-0168</t>
  </si>
  <si>
    <t>various sectoral level targets (energy, forests, transportation, etc.) some with concrete ghg outcomes</t>
  </si>
  <si>
    <t xml:space="preserve">La visión que orientó el proceso de actualización de la CDN1 es la resiliencia y reducción progresiva de emisiones de dióxido de carbono hacia la neutralidad en carbono
del país al 2050. </t>
  </si>
  <si>
    <t>https://www4.unfccc.int/sites/ndcstaging/PublishedDocuments/Panama%20First/CDN1%20Actualizada%20Rep%C3%BAblica%20de%20Panam%C3%A1.pdf</t>
  </si>
  <si>
    <t>Waste and energy sectors: CH4, N2O, CO2. Estimate the main GHG products of human activity: CO2, CH4, N2O, HFC, PFC, SF6 and nitrogen trifluoride (NF3).
http://unfccc.int/sites/default/files/resource/2020_IIN_PA.PDF
For the purposes of the inventories, emissions from international aviation fuel tanks and international shipping are quantified. In 2017, GHG emissions from international aviation totaled 2,118.2 kt CO2 eq, increasing by 657.9% since 1994 and by 37.3% since 2013. The variations in the trend are due to the increase in international traffic within the country. Emissions from international shipping totaled 13,490.0 kt CO2 eq, increasing by 63.6% since 2009, mainly due to the increase in flow from the expansion of the Panama Canal.
Emission factors applied in the Panama inventory for 2017 include international aviation.</t>
  </si>
  <si>
    <t>There is a plan to measure emissions.
The country will carry out indirect actions that may contribute to improving the quality of manure management, for example, improving the Nex by applying a specific TAM for the animals.
Inventory improvement plan for the land use, land-use change, and forestry sector: (1) Collect data on geospatial activity from year to year, so that emissions are not underestimated or removals are overestimated and (2) Promote the inclusion of estimates of emissions and removals of harvested wood products. At the moment, there is no defined roadmap for its implementation.
Plan to estimate the emissions generated by nitrogen from agricultural residues returned to soils and the product emissions of mineralized nitrogen resulting from the loss in the organic carbon stock of mineral soils.
Inventory improvement plan for the waste sector: Implement a registration system for volumes entering waste disposal sites nationwide.
The Ministry of the Environment is responsible, together with the support of other institutions, to publish national inventories of emissions by "sources and removals by sink of greenhouse gases not controlled by the Montreal Protocol" on a regular basis, which includes biennial update reports as part of national commitments to the UNFCCC. Panama regulates Chapter II of Title V of the Texto Único de la Ley No. 41 of 1998, through Executive Decree No. 100 of October 2020, which will govern the preparation of inventories by sources and removals by carbon sink.
 Panama tracked anthropogenic GHG emissions and removals annually from 1994 to 2017.</t>
  </si>
  <si>
    <t>Panama was carbon negative in 2019.
Panamanian forest captures more carbon than total gas emissions, which defines the country as carbon negative. Panama plans to reforest 50,000 hectares of land, which will contribute to the absorption of carbon of approximately 2.6 million tons of CO2 equivalent, by the year 2050.
http://laprensalatina.com/panama-bhutan-suriname-worlds-only-carbon-negative-countries
There was an increase in the net absorptions of CO2 that changed the country's GHG emissions and removals profile, going from a purely emitting country to a sink country from 1994 to 2013.
The results of the 2020 National Inventories Report of greenhouse gases from 1994 to 2017 categorise Panama as a carbon sink country. National emissions are offset by the forest cover in the national territory due to the annual increase in the carbon stocks of secondary forests.
Carbon stocks: Low activity soils, High activity soils, Volcanic soils, Wetland soils.
http://unfccc.int/sites/default/files/resource/2020_IIN_PA.PDF</t>
  </si>
  <si>
    <t>2023-08-22 03:07:14</t>
  </si>
  <si>
    <t>COU-0169</t>
  </si>
  <si>
    <t>peak emissions</t>
  </si>
  <si>
    <t>The Philippines commits to a projected GHG emissions reduction and avoidance of 75%, of which 2.71% is unconditional and 72.29% is conditional, for the period 2020 to 2030 (p.4).
The Philippines shall also "endeavor to peak its emissions by 2030" (p.2).
Unconditional refers to policies and measures which can be undertaken using nationally mobilized resources.
Conditional refers to policies and measures which require support or the means of implementation under the Paris Agreement.</t>
  </si>
  <si>
    <t>The Philippines, in line with its national security policy and its sustainable development aspirations and in solidarity with ASEAN Member States, shall endeavor to peak its emissions by 2030 in the context of accelerating the just transition of its sectors into a green economy and the delivery of green jobs and other benefits of a climate and disaster-resilient and low carbon development to its people, among others. (p.2)</t>
  </si>
  <si>
    <t>The Philippines pledged to reduce greenhouse gas emissions by 75 percent by 2030 under the NDC, while it committed to help limit global warming to less than 2°C under the Paris Agreement of the United Nations Framework Convention on Climate Change. https://www.denr.gov.ph/index.php/news-events/press-releases/4837-loyzaga-seeks-to-accelerate-decarbonization-of-industries-to-achieve-net-zero-targets (27 Feb 2023)</t>
  </si>
  <si>
    <t>https://unfccc.int/sites/default/files/NDC/2022-06/Philippines%20-%20NDC.pdf</t>
  </si>
  <si>
    <t xml:space="preserve">Greenhouse gases covered are carbon dioxide (CO2), methane (CH4), nitrous oxide (N2O) (p.4)
The sectors covered are agriculture, wastes, industry, transport, and energy (p.4)
</t>
  </si>
  <si>
    <t xml:space="preserve">Regarding the point on equity, the NDC explicitly supports its national development objectives and priorities, including "social and climate justice" (p.1).
The  NDC is based on and informed by national laws, as well as domestic legal, financial, and policy frameworks, mainly the Republic Act No. 9729 (aka Climate Change Act of 2009), as amended by Republic Act No. 10174, and its requisite policy instruments (p.2):
- the National Framework Strategy on Climate Change 2010-2022 and the 
- the National Climate Change Action Plan 2011-2028
</t>
  </si>
  <si>
    <t>"The benefits of market and non-market mechanisms under Article 6 of the Paris Agreement shall continue to be explored, consistent with national circumstances and sustainable development aspirations" (p.4); 
The forestry sector has not been included as an emitting sector because the Philippines has claimed to be a “net sink”. https://climatepromise.undp.org/what-we-do/where-we-work/philippines</t>
  </si>
  <si>
    <t>2023-05-05 10:38:53</t>
  </si>
  <si>
    <t>COU-0170</t>
  </si>
  <si>
    <t>'The Energy Policy of Poland until 2040 provides for reductions national CO2 emissions by 30% by 2030 (compared to 1990).
Source: Energy Policy of Poland 2040 - https://www.gov.pl/web/klimat/polityka-energetyczna-polski</t>
  </si>
  <si>
    <t>Note that in addition to the target outlined in Poland's National Energy and Climate Plan for 2021-2030, Poland is covered by the EU Climate Law, which obligates the Union as a whole to reduce emissions by 55% by 2030 and 100% in 2050. The EU target covers CO2 and other GHGs. Poland is the only EU country that has not committed to implementing an EU climate neutrality target for 2050.  The National Energy and Climate Plan also mentions a 2030 -7% greenhouse gas (GHG) emission target compared to 2005
for sectors not covered by the EU Emissions Trading System (non-ETS), as set in the Effort Sharing Regulation (ESR). 
.</t>
  </si>
  <si>
    <t>https://www.gov.pl/web/klimat/national-energy-and-climate-plan-for-the-years-2021-2030</t>
  </si>
  <si>
    <t>Poland has submitted a National Energy and Climate Plan for the years 2021-2030 to the European Commission to fulfil its obligations under Regulation (EU) 2018/1999.
https://www.gov.pl/web/klimat/national-energy-and-climate-plan-for-the-years-2021-2030</t>
  </si>
  <si>
    <t>2023-04-14 20:32:15</t>
  </si>
  <si>
    <t>COU-0171</t>
  </si>
  <si>
    <t>35.8 MT CO2 equivalent reduction is unconditional on international support.
78.8 MT CO2 equivalent reduction is conditional on international support.</t>
  </si>
  <si>
    <t>Original NDC, 2016:
https://www4.unfccc.int/sites/ndcstaging/PublishedDocuments/Democratic%20People's%20Republic%20of%20Korea%20First/DPRK-INDC%20by%202030.pdf</t>
  </si>
  <si>
    <t>https://www4.unfccc.int/sites/ndcstaging/PublishedDocuments/Democratic%20People's%20Republic%20of%20Korea%20First/2019.09.19_DPRK%20letter%20to%20SG%20special%20envoy%20for%20NDC.pdf</t>
  </si>
  <si>
    <t>Nature-based: Forest Restoration Campaign 2015-24</t>
  </si>
  <si>
    <t>2023-04-26 22:14:13</t>
  </si>
  <si>
    <t>COU-0172</t>
  </si>
  <si>
    <t xml:space="preserve">https://unfccc.int/documents/497852
Paraguay has two targets. The first is a 10% BAU emissions reduction by 2030. The second is a 20% BAU emissions reduction target, conditional on external financing. This target status was reached upon submission of Paraguay's first NDC in 2016
Emission value (national total) of GHGs projected in the BAU Scenario by 2030: 102,542 Gg eCO2 Emission levels to be achieved, according to the mitigation goal: -Unconditioned (-10% reduction): reduce the emission of 10,254 Gg CO2 eq, not exceeding 92,287 Gg CO2 eq by 2030.-Conditioned (-10% reduction): additionally reduce the emission of 10,254 Gg CO2 eq, not exceeding the emission of 82,033.6 Gg CO2 eq by 2030, together with the unconditional goal. However, the Republic of Paraguay clarifies that the projected value of GHG emissions in the BAU scenario to 2030 is indicative, still reserving the right to review / update it in its First Biennial Transparency Report (IBT). It is also pointed out that the progress indicator, for monitoring the achievement of the mitigation goal of the NDC, will be the level of annual net emissions that appear in its INGEI
Valor de emisiones (total nacional) de los GEI proyectados en el Escenario BAU al 2030: 102.542 Gg eCO2 Niveles de emisiones a alcanzar, de acuerdo a la meta de mitigación: -Incondicionada (-10 % de reducción): reducir la emisión de 10254 Gg CO2 eq, no superando los 92287 Gg CO2 eq al 2030.-Condicionada (-10% de reducción): adicionalmente reducir la emisión de 10254 Gg CO2 eq, no superando la emisión de 82033,6 Gg CO2 eq al 2030, junto a la meta incondicionada. No obstante, la República del Paraguay esclarece, que el valor proyectado de las emisiones de los GEI en el escenario BAU al 2030 es indicativo, reservándose aún el derecho a revisar/actualizarlo en su Primer Informe Bienal de Transparencia (IBT). Así también se señala que el indicador de progreso, para el monitoreo del logro de la meta de mitigación de la NDC, será el nivel de emisiones netas anuales que figuran en su INGEI
</t>
  </si>
  <si>
    <t>from reading the Government documents it is not clear what they actually are achieving.. Documents are very much informative in relation of understanding their own context and issues that are key to them like 0 hunger.  Good Inventory of Resources and their risks and detailed information of where CO2 emissions come from.. but not clear policies on how to reduce them. There is emphasis in outlining using the market solution for Nature. Adaptation and mitigation is the key strategy of the Paraguayan Government</t>
  </si>
  <si>
    <t>http://www.mades.gov.py/wp-content/uploads/2021/07/ACTUALIZACION-DE-LA-NDC-DEL-PARAGUAY_Borrador-final_Julio-2021-1.pdf</t>
  </si>
  <si>
    <t xml:space="preserve">http://www.mades.gov.py/wp-content/uploads/2021/07/ACTUALIZACION-DE-LA-NDC-DEL-PARAGUAY_Borrador-final_Julio-2021-1.pdf
excludes </t>
  </si>
  <si>
    <t>Governance for climate change based on adaptation and innovation
http://www.mades.gov.py/wp-content/uploads/2021/07/ACTUALIZACION-DE-LA-NDC-DEL-PARAGUAY_Borrador-final_Julio-2021-1.pdf</t>
  </si>
  <si>
    <t>Palestinian Territory, Occupied</t>
  </si>
  <si>
    <t>PSE</t>
  </si>
  <si>
    <t>2022-05-27 07:23:49</t>
  </si>
  <si>
    <t>COU-0173</t>
  </si>
  <si>
    <t xml:space="preserve">independence scenario: 26.6% emissions reduction by 2040  relative to business-as-usual the total ghg emissions in the baseline scenario are projected to be 22.49 mt co2e in 2040. 
status-quo scenario: 17.5% emissions reduction by 2040 relative to business-as-usual, the total ghg emissions in the bau status-quo scenario are projected to be 15.93 mt co2e
in 2040.
  </t>
  </si>
  <si>
    <t>https://www4.unfccc.int/sites/ndcstaging/PublishedDocuments/State%20of%20Palestine%20First/Updated%20NDC_%20State%20of%20Palestine_2021_FINAL.pdf</t>
  </si>
  <si>
    <t>Sectors covered for mitigation: energy (including electricity generation and imported electricity, oil
and gas), AFOLU, transport, waste and wastewater, and IPPU.
Sectors covered for adaptation: agriculture, coastal and marine, energy, food, gender, health,
industry, terrestrial ecosystems, tourism, urban and infrastructure, waste, and water.
Greenhouse gases covered: carbon dioxide (CO2), methane (CH4), and nitrous oxide (N2O).</t>
  </si>
  <si>
    <t>2022-05-27 07:42:40</t>
  </si>
  <si>
    <t>COU-0174</t>
  </si>
  <si>
    <t>The reduction of 25% in GHG emissions for the year
2030, relative to BAU scenario is consistent with
provisions stipulated in Articles 4.3, 4.4 and 4.7 of PA.
Also, Article 6 is considered in the implementation.</t>
  </si>
  <si>
    <t>https://www4.unfccc.int/sites/ndcstaging/Pages/Party.aspx?party=QAT&amp;prototype=1</t>
  </si>
  <si>
    <t>Greenhouse gases covered: Carbon dioxide (CO2), Methane (CH4), Nitrous Oxide (N2O).</t>
  </si>
  <si>
    <t>Governed by the MME Climate Change Department, the National Measurement, Reporting and
Verification (MRV) System will be designed to measure and validate progress towards the
commitments made in this NDC, using verified sector specific MRV communications prepared by
the national stakeholders. Effective MRV processes are key to guarantee best practice accounting,
transparency, precision and comparability on climate change information.</t>
  </si>
  <si>
    <t>Qatar's state-owned QP has set itself a target of reducing greenhouse gas (GHG) emissions, including plans to capture and store more than 7mn t/yr of CO2 from its operations by 2030.</t>
  </si>
  <si>
    <t>2022-06-08 08:02:09</t>
  </si>
  <si>
    <t>COU-0175</t>
  </si>
  <si>
    <t>Submission by Croatia and the European Commission on behalf of the European Union and its Member States, 6 March 2020: "On 12 December 2019 the European Council, taking note of the Communication of the European Commission on the European Green Deal, endorsed the objective of achieving a climate-neutral EU by 2050, in line with the objectives of the Paris Agreement" (https://unfccc.int/documents/210328)</t>
  </si>
  <si>
    <t>End target from Romania's 2021-2030 Integrated National Energy and Climate Plan, April 2020: "Romania plans to make a fair contribution to the achievement of the decarbonisation target of the EU and will follow the best environmental protection practices. The application of the EU-ETS scheme and compliance with the annual emissions targets for the non-ETS sectors are the main commitments to achieve the targets. For the sectors covered by the EU-ETS scheme, the overall emissions reduction target of Romania reaches approximately 44 % by 2030 compared to 2005 [....] Emissions  from  non-ETS  economic  activities  for  the  period  2021-2030  are  established  in Regulation  (EU)  2018/842  [....] The European Commission set a 2 % reduction target for Romania compared to the value for 2005."</t>
  </si>
  <si>
    <t>Use this link to find Romania's NECP from 2021-2030: https://energy.ec.europa.eu/topics/energy-strategy/national-energy-and-climate-plans-necps_en#final-necps
While Romania has submitted their National Energy and Climate Plans (NECP for 2021-2030), they have yet to submit their national long-term strategy plan (as of 30 Sept 2021) which is meant to cover up till 2050 (to meet the demands of the Paris Agreement)</t>
  </si>
  <si>
    <t>https://ec.europa.eu/energy/sites/default/files/documents/ro_final_necp_main_en.pdf</t>
  </si>
  <si>
    <t xml:space="preserve">Romania produces Biennial Progress Reports under the UNFCCC, can refer to their Multilateral Assessment presented in Glasgow, 2021: https://unfccc.int/MA/Romania
Details specific energy targets: "Share of renewable energy (RES) in gross final energy consumption - 24% in 2020 (binding target); Achieved in 2017: share of RES in gross final energy 24.5%"
</t>
  </si>
  <si>
    <t>No mention of anything related to offsets - mitigating is primarily in terms of emission reduction by switching to renewable energy, and improving energy efficiency</t>
  </si>
  <si>
    <t>2023-02-05 19:41:31</t>
  </si>
  <si>
    <t>COU-0176</t>
  </si>
  <si>
    <t>Speech by Putin: "I will add that in practice Russia will strive for carbon neutrality of its economy, and we set a specific benchmark here - no later than 2060." (http://kremlin.ru/events/president/news/66916)       
The target then appears in the following document (http://kremlin.ru/acts/assignments/orders/67240).</t>
  </si>
  <si>
    <t>Russian NDC states the goal of limiting greenhouse gas emissions to 70% of 1990 values ​​by 2030. This corresponds to a 30% reduction target
https://unfccc.int/sites/default/files/NDC/2022-06/NDC_RF_eng.pdf
see also
(http://government.ru/en/news/43904/) (https://sdg.iisd.org/news/russian-federations-ndc-reiterates-30-percent-by-2030-emission-reduction-goal/#:~:text=The%20Russian%20Federation%20submitted%20its%202020%20nationally%20determined,and%20balanced%20socio-economic%20development%20of%20the%20Russian%20Federation.%E2%80%9D)</t>
  </si>
  <si>
    <t>The following document outlines the emissions reduction strategy up until 2050: "Strategy for the Development of the Russian Federation with low level of greenhouse gas emissions through to 2050". It states the following: "implementation of the target (intensive) scenario will allow the Russian Federation to achieve a balance between anthropogenic emissions of greenhouse gases and their absorption no later than 2060." (http://static.government.ru/media/files/ADKkCzp3fWO32e2yA0BhtIpyzWfHaiUa.pdf)(unofficial translation: https://unfccc.int/sites/default/files/resource/Strategy%20of%20Socio-Economic%20Development%20of%20the%20Russian%20Federation%20with%20Low%20GHG%20Emissions%20EN.pdf)</t>
  </si>
  <si>
    <t>https://unfccc.int/sites/default/files/resource/Strategy%20of%20Socio-Economic%20Development%20of%20the%20Russian%20Federation%20with%20Low%20GHG%20Emissions%20EN.pdf</t>
  </si>
  <si>
    <t>Although the long-term climate strategy does not explicitly list all greenhouse gases covered, the document mentions Russia aims to balance anthropogenic greenhouse gas emissions and sinks by "no later than 2060". Based on this, we interpret the strategy to cover all greenhouse gas emissions.</t>
  </si>
  <si>
    <t xml:space="preserve">The so called "Strategy for the Development of the Russian Federation with low level of greenhouse gas emissions through to 2050" gives details of the emissions reduction strategy up until 2050. There is currently no plan for the final 10 years. (https://unfccc.int/sites/default/files/resource/Strategy%20of%20Socio-Economic%20Development%20of%20the%20Russian%20Federation%20with%20Low%20GHG%20Emissions%20EN.pdf)
A new law requires the largest emitting companies to report their emissions by 2024 (https://hsfnotes.com/climatechange/2021/08/03/russia-makes-further-steps-towards-ghg-emissions-reduction/)(https://www.themoscowtimes.com/2021/06/03/russia-passes-first-law-to-limit-greenhouse-gas-emissions-a74095)(https://www.themoscowtimes.com/2019/10/17/russia-rejects-climate-change-plan-after-business-uproar-a67780)  </t>
  </si>
  <si>
    <t xml:space="preserve">Carbon removal through forestry accounts for the majority of net emissions reduction: "Under the target (intensive) scenario, the absorptive capacity of managed ecosystems is expected to increase from the current 535 million tons of carbon dioxide equivalent to 1,200 million tons of carbon dioxide equivalent in forestry." (https://unfccc.int/sites/default/files/resource/Strategy%20of%20Socio-Economic%20Development%20of%20the%20Russian%20Federation%20with%20Low%20GHG%20Emissions%20EN.pdf). See also the table on the final page. The plan gives does not explain why such a huge increase in "absorptive capacity" is expected. </t>
  </si>
  <si>
    <t>2022-10-26 07:56:44</t>
  </si>
  <si>
    <t>COU-0177</t>
  </si>
  <si>
    <t>the targets are listed as several vague goals "reduce carbon emissions by more than 4% of global contributions", "transform the energy mix from .3% to 50% renewables in the kingdom's energy mix by 2030" and "plant 10 billion trees in saudi arabia"
2021 document states that "by 2030, the kingdom aims that up to 50% of its electricity generation is expected to be met by natural gas".
their ndc is that they will aim to reduce, avoid, and remove ghg emissions by 278 million tons of co2eq annually by 2030, with the year 2019 designated as the base year for this ndc</t>
  </si>
  <si>
    <t xml:space="preserve">“We announce today the kingdom is aiming to reach net zero by 2060 through a circular carbon economy approach, in a way that’s compatible with the kingdom’s development plans and enables its economy to diversify,” Prince Mohammed said in a recorded message at the opening of the conference.
</t>
  </si>
  <si>
    <t>The 2015 Paris Agreement fundamentally altered the nature of global cooperation to
address climate change and its impacts. Consistent with the Paris approach, Saudi Arabia developed its first nationally determined contribution (NDC) to reflect the challenges and
opportunities it faces as one of the world’s leading suppliers of crude oil in an increasingly carbon constrained world. The Kingdom’s NDC aims to support and accelerate the reform of its economy while delivering carbon mitigation co-benefits.
The initial NDC aspires to avoid up to 130 million tonnes of CO2-equivalent (CO2e) emissions per
annum by 2030 through economic diversification and adaptation.  https://www.saudigreeninitiative.org/</t>
  </si>
  <si>
    <t>Policy documents indicate some vague statements such as "The Kingdom of Saudi Arabia is pursuing a strategy of economic diversification, as set out in Vision 2030, to reduce its reliance on oil export revenues. Its NDC is designed to support and accelerate this strategy. As expressed in the NDC’s best-case scenario (Scenario 1 of a pathway of sustained economic growth), economic diversification is expected to contribute to delivering mitigation co-benefits by avoiding of up to 130 million tonnes of CO2 equivalent (CO2e) per annum by 2030 (UNFCCC 2015). "
https://www.kapsarc.org/wp-content/uploads/2019/02/Policy-Pathways-to-Meet-Saudi-Arabias-Contribition-to-the-Paris-Agreement-_final.pdf
NDC does not reflect 2060 target: https://unfccc.int/documents/497886</t>
  </si>
  <si>
    <t>https://www.bloomberg.com/news/articles/2021-10-23/world-s-biggest-oil-exporter-commits-to-net-zero-emissions</t>
  </si>
  <si>
    <t>The Kingdom as a member of the Global Methane Pledge initiative will collaborate with other members to reduce global methane emissions by 30% by 2030 relative to 2020 levels.</t>
  </si>
  <si>
    <t>company will offer "high-quality credits including CORSIA compliant, Verra registered certificates"</t>
  </si>
  <si>
    <t xml:space="preserve">SA is planting 10 billion trees in Saudi Arabia.
Public Investment Fund has 80% stake in Carbon Market Company to facilitate carbon credit auction and "ensuring that carbon credit purchases go above and beyond meaningful emission reductions in value chains" - https://www.pif.gov.sa/en/Pages/NewsDetails.aspx?NewsId-220/PIF-ANNOUNCES-THE-ESTABLISHMENT-OF-THE-REGIONAL-VOLUNTARY-CARBON-MARKET-COMPANY
Document mentions turning Jubail and Yanbu into global hubs for CCUS,
They also state they will produce blue and green hydrogen. </t>
  </si>
  <si>
    <t>2023-05-31 21:32:51</t>
  </si>
  <si>
    <t>COU-0178</t>
  </si>
  <si>
    <t>updated ndc mitigation targets divided across sectors: energy (non-biomass) 38% reduction; forestry &amp; energy (biomass) 45%; waste 20% reduction 
(bau based on the use of national emission inventories for 2012-2017) https://unfccc.int/sites/default/files/ndc/2022-10/sudan%20updated%20first%20ndc-12102021.pdf</t>
  </si>
  <si>
    <t>This list brings together countries, businesses, investors, cities and regions that are working towards achieving net-zero CO2 emissions by 2050.</t>
  </si>
  <si>
    <t>Sudan is planning to implement  low carbon development interventions in three sectors of  energy, forestry and waste inline with its national development priorities, objectives and circumstances. Sudan based on the last submitted NDC has targets for (2021-2030) for the energy sector by transforming the electrical sector towards low emission power generation via implementing wind and solar energy sources, mini grid and stand alone grid, applying energy efficiency measures will have a total CO2 reduction of 6,008,426t. In the transport sector; switching to public transportation, biofuel instead of fossil fuel and developing the rail way industries thus result in CO2 reduction of 6,449,582t. For the forestation activities ranging from planting mangroves in the red sea, restoration and sustainable management of forests which present a coverage of 1.7 million ha and results of 35,000,000t CO2 removal.</t>
  </si>
  <si>
    <t xml:space="preserve">Gases - final: This list brings together countries, businesses, investors, cities and regions who are working towards achieving net-zero CO2 emissions by 2050.
Gases - interim: The coverage and scope of the mitigation targets in this updated NDC are the same as for the INDC (2015), namely energy, forestry, and waste.
Estimated emissions in 2030 are to be: Energy (non-biomass) 33,181,563 tCO2e, Forestry and Energy (biomass) 29.450,936 tCO2e, Waste 6,394,907 tCO2e, deviating from the current BAU approach. 
Source: https://unfccc.int/sites/default/files/NDC/2022-10/Sudan%20Updated%20First%20NDC-12102021.pdf
</t>
  </si>
  <si>
    <t xml:space="preserve">Sudan currently uses MRV systems to track mitigation and transparency contributions and is implementing a new project aiming to improve transparency through the Paris Agreement on Climate Change. This will focus on ensuring guidelines and procedures are transparent through providing transparency training, assistance, strengthening national institutions and developing a long-term institutional coordination strategy, all to improve transparency. 
Source: https://unfccc.int/sites/default/files/NDC/2022-10/Sudan%20Updated%20First%20NDC-12102021.pdf </t>
  </si>
  <si>
    <t xml:space="preserve">Interim: Recently, Sudan has received financial support from the Green Climate Fund (GCF) for a project to enhance adaptive capacity of local communities and restore carbon sink potential
of the Gum Arabic belt (10 million USD) and another project that implements resilience building measures in rainfed crop and livestock systems in nine states (25.6 million USD). </t>
  </si>
  <si>
    <t>2023-10-28 16:09:04</t>
  </si>
  <si>
    <t>COU-0179</t>
  </si>
  <si>
    <t xml:space="preserve">reducción de emisiones anuales (para 2030 y respecto a un escenario tendencial (BAU) desde 2019) de 640 Kton CO2Eq 
Las emisiones de GEI del país, para dicho año, fueron 20,394.9 KtonCO2 Eq, correspondientes a 78.3 % de CO2 (15.978,7 KtonCO2 Eq, netas); 17.5% de CH4 (3,577.6 KtonCO2 Eq); 3.7 % de N2O (753,3 KtonCO2 Eq, netas), y 0.4% de HFC (85.3 KtonCO2 Eq) (Fig. II.4). 
"El Salvador se compromete a tener una reducción de emisiones anuales (para 2030 y respecto a un escenario tendencial (BAU) desde 2019) de 640 Kton CO2 Eq por actividades de quema de combustibles fósiles en el Sector Energía y hasta una reducción de emisiones anuales de 819 Kton CO2 Eq en las mismas actividades y sector, si durante el período comprendido hasta dichos años se instalan los modelos tecnológicos, estructuras de financiamiento, marcos normativos y procesos masivos de fomento de capacidades con apoyo internacional [...]."
El Salvador is committed to have an annual reduction of emissions (for 2030 and from a 2019 baseline) of 640 kton CO2eq for activities related to fossil fuel burning within the energy sector. As well, the country commits to a conditional emissions reduction target (for 2030, 2019 BAU) of 819 kton CO2eq for the same sector and activities (fossil fuel burning within the energy sector) if the technological advances, finance structures, regulatory frameworks for international support are implemented. 
"El Salvador se compromete a tener una reducción acumulada de emisiones, para el período entre 2035 y 2040, contada desde 2015, de 50,857.5 Kton CO2Eq por reducción de emisiones y actividades de aumento de sumideros y reservorios de carbono en el paisaje agropecuario de su Sector AFOLU [...]."
El Salvador is committed to have an annual reduction of emissions, for the period between 2035 and 2040, from a 2015 baseline, of 50,857.5 Kton CO2eq for the AFOLU sector via emission reduction activities and increasing of carbon stores and reservoirs in this sector, conditional on obtaining sufficient financing from international, national and private sources. </t>
  </si>
  <si>
    <t xml:space="preserve">There are two interim targets, one relating to the energy sector (2030) and one relating to the AFOLU sector (2035-2040). 
el salvador has established commitments in the energy and agriculture, forestry and other land use in its ndc. 
for the energy sector, el salvador is committed to have an annual reduction of emissions (for 2030 and from a 2019 baseline) of 640 kton co2eq for activities related to fossil fuel burning within the energy sector. as well, the country commits to a conditional emissions reduction target (for 2030, 2019 bau) of 819 kton co2eq for the same sector and activities (fossil fuel burning within the energy sector) if the technological advances, finance structures, regulatory frameworks for international support are implemented. 
for the afolu sector, el salvador is committed to have an annual reduction of emissions, for the period between 2035 and 2040, from a 2015 baseline, of 50,857.5 kton co2eq via emission reduction activities and increasing of carbon stores and reservoirs in this sector, conditional on obtaining sufficient financing from international, national and private sources. 
</t>
  </si>
  <si>
    <t>https://www4.unfccc.int/sites/ndcstaging/PublishedDocuments/El%20Salvador%20First/El%20Salvador%20NDC-%20Updated%20Dic.2021.pdf</t>
  </si>
  <si>
    <t xml:space="preserve">CO2
CH4 
HFC </t>
  </si>
  <si>
    <t>2023-04-12 16:55:05</t>
  </si>
  <si>
    <t>COU-0180</t>
  </si>
  <si>
    <t>"The Republic of San Marino, on the basis of the decision of the Government held on 28
September 2015, commits to reduce GHG emissions to 20% below 2005 levels by 2030."</t>
  </si>
  <si>
    <t>https://sustainabledevelopment.un.org/content/documents/279402021_VNR_Report_San_Marino.pdf
IN the 2021 review, 
The 2018/2021 National Energy Plan (NEP 3)
currently in force considers as the sole, true
and acceptable objective of the Republic of
San Marino, in line with the global contents
and objectives that emerged from the Paris
Conference, a transition towards a future of
only renewable energy sources, which must
obviously be as fast as possible. Thanks to its
small territory and population, San Marino
has a real chance, unlike many other States,
to become one of the first carbon-neutral or
even carbon-negative countries in the world
(NOTHING OFFICIAL IN NATIONAL ENERGY PLAN: 
sources: http://www.autoritaenergia.sm/on-line/home/articolo36002033.html
Though there is a non-dated "goal" for zero emeissions https://sustainabledevelopment.un.org/content/documents/279402021_VNR_Report_San_Marino.pdf</t>
  </si>
  <si>
    <t>https://www4.unfccc.int/sites/ndcstaging/PublishedDocuments/San%20Marino%20First/SAN%20MARINO%20INDC%20EN.pdf</t>
  </si>
  <si>
    <t>"Gases covered: all greenhouse gasses not controlled by the Montreal Protocol: CO2, CH4,
N2O, HFCs, PFCs, SF6, NF3" 
"San Marino supports the inclusion of international aviation and shipping"
Source: 
https://www4.unfccc.int/sites/ndcstaging/PublishedDocuments/San%20Marino%20First/SAN%20MARINO%20INDC%20EN.pdf</t>
  </si>
  <si>
    <t>2023-04-19 13:27:01</t>
  </si>
  <si>
    <t>COU-0181</t>
  </si>
  <si>
    <t>Somalia has in this NDC committed to take action and reduce its estimated projected emissions of 107.40 MtCO2eq in 2030 by 30%. Somalia has set a target of achieving 30% emissions reductions against the Business As Usual (BAU) scenario estimate of 107.39 MtCO2eq by 2030. To achieve this target, Somalia will aim to reduce and avoid its GHG emissions by about 32.40MtCO2eq relative to the BAU scenario by 2030. Somalia committed to a 30% reduction in its BAU emissions project by 2030, which is about 32.4MtCO2eq. It lists details for 31.66 of these emissions reductions in its NDC.
https://www4.unfccc.int/sites/ndcstaging/PublishedDocuments/Somalia%20First/Final%20Updated%20NDC%20for%20Somalia%202021.pdf</t>
  </si>
  <si>
    <t>https://www4.unfccc.int/sites/ndcstaging/PublishedDocuments/Somalia%20First/Final%20Updated%20NDC%20for%20Somalia%202021.pdf</t>
  </si>
  <si>
    <t>Sectors: Agriculture, Energy, Forestry, Transport, Waste Gases: CO2, CH4 and NO2 Notes: Other chases were not taken into account, considering that their use and associated emissions are extremely low. Sectors and GHG emissions reported within this document cover 99.9% of national emissions. The emission reduction focuses on three broad sectors namely (1) AFOLU sector emissions through sustainable reduction of deforestation, land degradation, afforestation and reforestation, and national REDD+ strategy (2) Energy sector (electricity, transport, and household emissions) and (3) Solid waste disposal on land.</t>
  </si>
  <si>
    <t>On equity: Based on the country’s national circumstances, this NDC is fair and ambitious.
Plan: https://unfccc.int/sites/default/files/NDC/2022-06/Final%20Updated%20NDC%20for%20Somalia%202021.pdf</t>
  </si>
  <si>
    <t>No conditions specified|Must be high environmental integrity</t>
  </si>
  <si>
    <t>Somalia shall not exclude the role of international market mechanisms to achieve its conditional 2030 targets, subject to the use of robust systems that enable real and verified emission reductions. [https://unfccc.int/sites/default/files/NDC/2022-06/Final%20Updated%20NDC%20for%20Somalia%202021.pdf]</t>
  </si>
  <si>
    <t>Serbia</t>
  </si>
  <si>
    <t>SRB</t>
  </si>
  <si>
    <t>2022-12-12 15:08:08</t>
  </si>
  <si>
    <t>COU-0182</t>
  </si>
  <si>
    <t>economy-wide target - reduction of GHG emissions by 2030:
- 13.2 % compared to 2010
- 33.3% compared to 1990</t>
  </si>
  <si>
    <t>https://unfccc.int/sites/default/files/NDC/2022-08/NDC%20Final_Serbia%20english.pdf</t>
  </si>
  <si>
    <t>Gases covered: all greenhouse gases (GHG) not controlled by the Montreal Protocol – carbon dioxide (CO2), methane (CH4), nitrous oxide (N2O), perfluorocarbons (PFCs), hydrofluorocarbons (HFCs), sulphur hexafluorides (SF6) and nitrogen trifluorides (NF3).
Carbon pools: not applicable</t>
  </si>
  <si>
    <t>https://balkangreenenergynews.com/wp-content/uploads/2020/01/Low-Carbon-Development-Strategy-with-Action-plan-Serbia_eng.pdf</t>
  </si>
  <si>
    <t>Eswatini</t>
  </si>
  <si>
    <t>2022-05-23 15:04:13</t>
  </si>
  <si>
    <t>COU-0183</t>
  </si>
  <si>
    <t xml:space="preserve">The enhanced and more ambitious NDC of Eswatini represents a progression beyond the 2015 NDC by adopting an economy wide GHG emissions reduction target of 5% by 2030 compared to the baseline scenario  and help achieve a low carbon and climate resilient development. 
This economy wide emission reduction can increase to 14% with external financing and this translates to 1.04 million tonnes fewer GHG emissions in 2030 compared to a baseline scenario. </t>
  </si>
  <si>
    <t xml:space="preserve">Eswatini pledges to reduce economy-wide emissions by 5% compared to the baseline scenario of 2030. Conditional on external financing, this could increase to a 14% reduction.
No numbers given for target or BAU emissions amount, only percentage so have entered those as 0. </t>
  </si>
  <si>
    <t>https://www4.unfccc.int/sites/ndcstaging/PublishedDocuments/Eswatini%20First/Eswatini's%20Revised%20NDC%2012%20Oct%202021.docx</t>
  </si>
  <si>
    <t xml:space="preserve">Sectors covered: Energy, transport, waste, IPPU and AFOLU
Gases covered: Carbon dioxide (CO2), Methane (CH4), and Hydrofluorocarbons (HFCs). 
Further, the NDC also covers short-lived climate pollutants (SLCP) including Black Carbon (BC) and other air pollutants such as Organic Carbon (OC), Particulate Matter (PM2.5 and PM10), Nitrogen Oxides (NOx), Non-methane volatile organic compounds (NMVOC), Sulphur dioxide (SO2), Ammonia (NH3), and Carbon Monoxide (CO). 
The revised NDC of Eswatini represents a progression beyond the 2015 NDC by adopting several mitigation measures in the sectors of energy (including transport), waste, industrial processes, and product use (IPPU) and Agriculture, Forestry and Other Land Use (AFOLU) sectors. </t>
  </si>
  <si>
    <t>Equity: Eswatini presents its enhanced NDC, acknowledging that despite our contribution to climate change emissions being miniscule, the country is committed to climate action. The country intends to communicate that climate resilient, sustainable, and equitable development are its priorities. 
Global emissions in 2018 was 45,873,850  Gg of CO2eq and Eswatini’s net emissions in 2018 was 3240.10Gg of CO2eq, therefore, Eswatini’s share of global emissions is 0.007%. In this context, Eswatini’s NDC contribution is considered fair and ambitious.
Governance: https://climate-laws.org/geographies/eswatini/policies/national-climate-change-policy-2015</t>
  </si>
  <si>
    <t>Eswatini is committed to contributing towards developing market mechanisms via international cooperation under Article 6 of the Paris Agreement. While at present, there is no clarity on Article 6, Eswatini does not exclude the possible of utilizing international market mechanisms to achieve its NDC targets.</t>
  </si>
  <si>
    <t>Syrian Arab Republic</t>
  </si>
  <si>
    <t>2023-04-20 13:50:36</t>
  </si>
  <si>
    <t>COU-0184</t>
  </si>
  <si>
    <t>https://www4.unfccc.int/sites/ndcstaging/PublishedDocuments/Syrian%20Arab%20Republic%20First/FirstNDC-Eng-Syrian%20Arab%20Republic.pdf</t>
  </si>
  <si>
    <t>2023-11-14 06:54:46</t>
  </si>
  <si>
    <t>COU-0185</t>
  </si>
  <si>
    <t xml:space="preserve">Announced at COP26 World Leaders Summit, second update: 'Thailand will continue vigorous efforts in its challenge to meet the long-term goal of carbon neutrality by 2050 and net-zero greenhouse gas emission by 2065' </t>
  </si>
  <si>
    <t>''Thailand intends to reduce its greenhouse gas emissions by 30 percent from the projected business-as-usual (BAU) level by 2030. The level of contribution could increase up to 40 percent, subject to adequate and enhanced access to technology development and transfer, financial resources and capacity building support'
'Business-as-usual projection from reference year 2005 in the absence of major climate change policies (BAU2030: approx. 555 MtCO2e)' (p.1).</t>
  </si>
  <si>
    <t>In policy because 'Thailand's NDC target has been integrated into the National Strategy. It will be implemented through the NDC Sectoral Action Plan which will be carried out with a wide range of stakeholder consultation and public participation processes at the national and local levels. The NDC Sectoral Action Plan will identify emission reduction measures, targets and responsibilities of relevant agencies in energy, transport, industry, waste and agriculture sectors'
From last draft: new year of achievement of net zero now 2065 from 2050 originally, and interim target year increased from 2025 to 2030</t>
  </si>
  <si>
    <t>https://unfccc.int/sites/default/files/NDC/2022-11/Thailand%202nd%20Updated%20NDC.pdf</t>
  </si>
  <si>
    <t>Gases: 'Gases: - Carbon dioxide (CO2) - Methane (CH4) - Nitrous oxide (N2O) - Hydrofluorocarbons (HFCs) - Perfluorocarbons (PFCs) - Sulphur hexafluoride (SF6)' (p.1).
Economy-wide (excluding land use, land-use change, and forestry) 'Although the NDC target in 2030 excludes the land use, land-use change, and forestry sector as part of its implementation, the protection and conservation of forest has been implemented continuously' (p. 3)</t>
  </si>
  <si>
    <t>Plan - 'Thailand's NDC target has been integrated into the National Strategy. It will be implemented through the NDC Sectoral Action Plan which will be carried out with a wide range of stakeholder consultation and public participation processes at the national and local levels. The NDC Sectoral Action Plan will identify emission reduction measures, targets and responsibilities of relevant agencies in energy, transport, industry, waste and agriculture sectors' --&gt; will be implemented in a public plan in the future
Reporting - 'Thailand has established the inter-ministerial committees to oversee climate policy development and implementation and comprehensive national systems to monitor, evaluate. and report on progress. However, there are still gaps in individual and institutional capacities in all relevant agencies, including governmental agencies, private sectors, and general public' (p.6).</t>
  </si>
  <si>
    <t>CCS-based Removals - 'Research development and deployment of advanced technologies such as carbon capture and storage (CCS), carbon capture, utilization and storage (CCUS), Bio-energy with CCS, direct air capture (DAC), and hydrogen' (p. 7)
Land Use - 'The commitment to increase forest cover of the country to achieve 55% of the total country area by 2037 has been setup under the 20-Year National Strategy. Although the NDC target in 2030 excludes the land use, land-use change, and forestry sector as part of its implementation, the protection and conservation of forest has been implemented continuously to be a good basis for future actions.' (p.3).</t>
  </si>
  <si>
    <t>2023-04-12 16:35:07</t>
  </si>
  <si>
    <t>COU-0186</t>
  </si>
  <si>
    <t>reduce 30 to 40% of its GHG emissions in 1990 as unconditional target. the conditional target reaches a GHG emission reduction between 40 to 50% of the base year. 
The conditional contribution (NDC), subject to a significant international funding and technology transfer, is not to exceed 50-60% GHG emissions as of 1990 by 2030.</t>
  </si>
  <si>
    <t>https://www4.unfccc.int/sites/ndcstaging/PublishedDocuments/Tajikistan%20First/NDC_TAJIKISTAN_ENG.pdf</t>
  </si>
  <si>
    <t>Gases Covered: Carbon Dioxide (CO2), Methane (CH4), Nitrous Oxide (N2O).</t>
  </si>
  <si>
    <t>Information on the emission reductions expected from these measures within a certain time period|Information on the extent to which measures will be applied (e.g. if switching to EVs, what share of the fleet; if installing an own solar PV installation, what is the installed capacity)|Schedule for regular review of measures</t>
  </si>
  <si>
    <t>construction of 6 hydroelectric power plants with a capacity of 700 kWh.
the expected GHG emissions under the Baseline scenario are 23.54 MtCO2eq by 2030, under an intermediate growth. 
Under the unconditional scenario the GHG emissions expected by 2030 are 21.87 MtCO2eq. 
under the conditional scenario, the GHG emissions by 2030 will be 17.83 MtCO2eq, amount that means 50.10% of the GHG emissions of 1990 or a reduction of 24% compared to the baseline scenario.
Tracking of the country commitments will be conducted on a biennial basis.
consultations on gender and climate change were held with the civil society and the Committee on Women’s Affairs and Family. Republic of Tajikistan is a non-Annex I Party of the UNFCCC and it is applying the “common but differentiated responsibilities”. Thus, the Republic of Tajikistan is contributing far more than its initial responsibilities assumed to the Convention.
Many state bodies and institutions are implementing programs related to adaptation to climate change and all of them are accountable to the Government of the Republic of Tajikistan.</t>
  </si>
  <si>
    <t>The Republic of Tajikistan has included all relevant GHG sources and sinks in its NDC.</t>
  </si>
  <si>
    <t>2023-02-25 11:43:22</t>
  </si>
  <si>
    <t>COU-0187</t>
  </si>
  <si>
    <t xml:space="preserve">Туркменистану принять амбициозную цель -
сократить свои выбросы ПГ в 2030 году по сценарию BAU на
20% относительно уровня выбросов 2010 года.
(reduce 20% in a bau scenario compared to 2010 levels)
</t>
  </si>
  <si>
    <t>https://unfccc.int/sites/default/files/NDC/2023-01/NDC_Turkmenistan_12-05-2022_approv.%20by%20Decree_Rus.pdf</t>
  </si>
  <si>
    <t>Gases: • Carbon dioxide (CO2); • Methane (CH4); • Nitrous oxide (N2O).
Sectors: Energy; Industrial processes; Agriculture; Waste</t>
  </si>
  <si>
    <t>Plan (from INDC): '[...] Turkmenistan has adopted the National Strategy on Climate Change. National Plans for Mitigation and Adaptation (NAPA and NAMA) are in the process of development. These documents reflect actions ensuring reduction of greenhouse gas emissions by 2030 on a national scale and in some sectors corresponding to declared contribution in INDC Turkmenistan.[...]' 
Reporting (from National Strategy Plan) : 'Revision of the Strategy will be carried out every five years on the basis of indicative figures.'  (https://climate-laws.org/geographies/turkmenistan/policies/national-strategy-on-climate-change)
Equity (from INDC): '[...] Regularly 2 times a year all ministries, departments prepare reports for the higher instances on implementation of the National Strategy of Turkmenistan on Climate Change and national adaptation plans. [...]' 
Accountability (from INDC): '[...]At the national level, the progress of implementation of adaptation measures is under control of the government and relevant ministries and agencies.[...]' 
Additional notes: Stabilization or beginning of reducing GHG emissions by 2030 will allow Turkmenistan to enter the trajectory of low-carbon development, compatible with long-term global goal - not exceeding the 2-degree rise in temperature levels.</t>
  </si>
  <si>
    <t>2023-05-14 17:24:43</t>
  </si>
  <si>
    <t>COU-0188</t>
  </si>
  <si>
    <t>co2</t>
  </si>
  <si>
    <t xml:space="preserve">L’élément essentiel de la vision est de se fixer un objectif ambitieux sur le long terme (2050), et donc nécessairement porteur de défis, à savoir atteindre la neutralité carbone en 2050. La Tunisie bénéficie de nombreux atouts (position géographique stratégique, un voisinage et des relations économiques et politiques profondes avec l’Union Européenne, etc.) qui devraient lui permettre d’atteindre cet objectif ambitieux. </t>
  </si>
  <si>
    <t>Dans sa CDN actualisée, la Tunisie vise désormais à réduire son intensité carbone nette de 45% d’ici 2030 par rapport à celle 2010.</t>
  </si>
  <si>
    <t xml:space="preserve">For updated NDC, see: https://www4.unfccc.int/sites/ndcstaging/PublishedDocuments/Tunisia%20First/Tunisia%20Update%20NDC-french.pdf </t>
  </si>
  <si>
    <t>https://unfccc.int/sites/default/files/resource/Strat%C3%A9gie%20de%20d%C3%A9veloppement%20neutre%20en%20carbone%20et%20r%C3%A9silient%20-%20Tunisie.pdf</t>
  </si>
  <si>
    <t>Gases covered in interim target: CO2, CH4, N2O et HFCs (p13 Source NDC URL)</t>
  </si>
  <si>
    <t xml:space="preserve">Public plan: there is a plan which includes information on the extent measures will be applied, e.g. 'Réduction de la quantité journalière moyenne des déchets ménagers produits par les citadins (kg/hab/jour) en 2030 de 7% par rapport à 2020.' (p22 Source URL) - reduce average daily quantity of household waste produced by city dwellers in 2030 by 7% compared to 2020; also contains information on the emissions reductions expected, e.g. 'Ainsi, en 2030, les émissions du secteur des déchets, selon le scénario BaC, atteindraient
4 MtéCO2 ; soit 1,2 MtéCO2 (23%) en dessous des émissions du scénario BaU' (p22 Source URL) - emissions from the waste sector would reach 4 MteCO2, 1.2 MtCO2 (23%) below BAU emissions
Public reporting: there is emphasis on monitoring and reporting (p45 Source URL); there is also a section on improving the transparency framework (p44 Source URL) - but it is unclear how often the reporting will take place
Equity: 'La Tunisie considère que sa contribution est équitable et ambitieuse' (p13 Source URL) - considers its contribution to be equitable and ambitious
</t>
  </si>
  <si>
    <t>'De manière générale, la Tunisie souhaite s’engager dans ces approches coopératives pour toutes les sources éligibles aux mécanismes de l’article 6, plus particulièrement pour développer les énergies renouvelables, et améliorer son efficacité énergétique, maîtriser les émissions dues aux procédés industriels, assurer une gestion contrôlée et améliorée des déchets et des eaux usées, et enfin, mettre en œuvre les mesures ciblant l’agriculture et la forêt et utilisations des terres.' (p15 Source URL) - Tunisia hopes to engage in Paris Art 6 mechanism particularly for developing renewable energies, improving energy efficiency, controlling emissions from industrial processes, ensuring controlled and improved management of waste and waste water, and implementing measures targeting agricultural and forest and land uses</t>
  </si>
  <si>
    <t>Traded credits: 'Pour financer sa contribution conditionnelle, tout en apportant une réponse complémentaire à ses besoins en matière de développement durable, la Tunisie envisage d’utiliser la tarification carbone y compris les mécanismes coopératifs prévus par l’article 6 de l’Accord de Paris.' (p14-15 source URL) - Tunisia plans to use carbon proving, including the cooperative mechanism provided for in Paris Agreement Art 6
CCS: 'Le positionnement sur les créneaux technologiques en matière de captation-stockage du CO2 (CCS), en s’intégrant dans les grandes initiatives de recherches et d’applications industrielles.' - use CCS and integrate it into research and industrial application (p16) 
Nature-based: 'La rationalisation de l’utilisation des terres cultivées moyennant la restauration des agrosystèmes dégradés; La gestion durable des forêts et parcours et la restauration des paysages forestiers
et pastoraux dégradés' - reforestation, sustainable management of forests (p20 Source URL)</t>
  </si>
  <si>
    <t>Türkiye</t>
  </si>
  <si>
    <t>2023-04-27 15:09:18</t>
  </si>
  <si>
    <t>COU-0189</t>
  </si>
  <si>
    <t>" long-term objective of achieving a net zero target by 2053"</t>
  </si>
  <si>
    <t>"Türkiye confirms to reduce its greenhouse gas (GHG) emissions by 41% through 2030 (695 Mt CO2 eq in year 2030) compared to the Business as Usual (BAU) scenario given in Türkiye’s first NDC (also INDC) considering 2012 as the base year (reference year). Türkiye's updated first NDC is economy-wide and includes comprehensive mitigation and adaptation actions as well as consideration of means of implementation. Türkiye intends to peak its emissions at the latest in the year 2038."</t>
  </si>
  <si>
    <t xml:space="preserve">Net zero year is 2053 to coincide with anniversary of conquest of Istanbul. https://www2.tbmm.gov.tr/d27/2/2-3853.pdf 
https://unfccc.int/NDCREG 
updated 13/04/2023 to 41% reduction from BAU
</t>
  </si>
  <si>
    <t>https://unfccc.int/sites/default/files/NDC/2023-04/TÜRKİYE_UPDATED%201st%20NDC_EN.pdf</t>
  </si>
  <si>
    <t>"This NDC covers the period between 2012 and 2030. The target covers all economic sectors and all GHGs"
Sectors: "Energy; Industrial Processes and Product Use (IPPU); Agriculture; Land-use, LandUse Change and Forestry (LULUCF); and Waste"</t>
  </si>
  <si>
    <t>Schedule for regular review of measures|Information on the emission reductions expected from these measures within a certain time period|Measures for all emission scopes that are covered by the target</t>
  </si>
  <si>
    <t xml:space="preserve">Information and Reporting:
Türkiye has developed a monitoring, reporting, and verification (MRV) system to create the infrastructure for future carbon pricing policies in light of global trends. 
The GHG Inventory of Türkiye is reviewed regularly by UN technical experts. It is revised yearly to incorporate methodological improvements, changes to international reporting guidelines, and new data where necessary. Reference year and target year emissions will be based on the 1990-2030 Türkiye GHG Inventory submitted to the UNFCCC in 2032. Information on reference values would be updated, revised, and recalculated due to methodological improvements applicable to the inventories, new modeling results, or long-term low-emissions development strategies in line with Article 4.19 of the Paris Agreement. Information on updates will be included in the Türkiye’s Biennial Transparency Reports. 
Equity:
Türkiye signed Paris Agreement on 22nd of April 2016 and ratified on 7th of October 2021 (published in the Official Gazette dated 07.10.2021, No. 31621) and become a party to the agreement on 10th of November 2021.  On the basis of “equity, common but differentiated responsibilities and respective capabilities” as clearly and accurately recognized under the United Nations Framework Convention on Climate Change of 9 May 1992 and the Paris Agreement, declares that it will implement the Paris Agreement as a developing country and within the scope of its nationally determined contribution statements, provided that  38  the Agreement and its mechanisms do not prejudice its right to economic and social development.
https://web.archive.org/web/20230515130024/https://unfccc.int/sites/default/files/NDC/2023-04/T%C3%9CRK%C4%B0YE_UPDATED%201st%20NDC_EN.pdf
Current Plans:
National Climate Change Strategy (2010-2023) and Action Plan (2011-2023) (under revision)
National Climate Change Adaptation Strategy and Action Plan (2011-2023) (under revision) 
Energy Efficiency Strategy and National Energy Efficiency Action Plan (2017-2023) (to be updated) 
Hydrogen Technologies Roadmap And Implementation Plan of Türkiye (2023)
Türkiye National Energy Plan (2020 - 2035)
To come:
12th Development Plan (2024-2028) (under preparation) 
Long-term low emission development strategy (Long-Term Strategy) 
Climate Law 
Local Climate Change Action Plan By-Law 
Long-Term Climate Change Strategy  
Circular Economy Strategy and Action Plan 
Sustainable Consumption and Production Strategy   
Sustainable Smart Mobility Strategy and Action Plan  
Green Growth Technology Road Map 
Road Map for Emission Intensive Industries 
Secondary Legislation for ETS 
Carbon Dioxide Capture and Utilization Technologies Roadmap and Implementation Plan for Türkiye 
Offshore Wind Roadmap for Türkiye 
A Zero Carbon Roadmap for the Steel, Aluminum, and Cement Sectors 
https://web.archive.org/web/20230515130424/https://webdosya.csb.gov.tr/db/iklim/editordosya/iklim_degisikligi_eylem_plani_EN_2014.pdf
</t>
  </si>
  <si>
    <t>2023-04-15 09:04:52</t>
  </si>
  <si>
    <t>COU-0190</t>
  </si>
  <si>
    <t>tanzania will reduce greenhouse gas emissions economy-wide from 30 to 35% relative to the national business-as-usual scenario by 2030. a 30% reduction would result in approximately 138 mtco2e reduction.  a 35% reduction would result in approximately 153 mtco2e reduction.</t>
  </si>
  <si>
    <t>Tanzania will reduce greenhouse gas emissions economy-wide from 30 to 35% relative to the national Business-As-Usual scenario by 2030. A 30% reduction would result in approximately 138 MtCO2e reduction.  A 35% reduction would result in approximately 153 MtCO2e reduction.</t>
  </si>
  <si>
    <t>https://www4.unfccc.int/sites/ndcstaging/PublishedDocuments/United%20Republic%20of%20Tanzania%20First%20NDC/TANZANIA_NDC_SUBMISSION_30%20JULY%202021.pdf</t>
  </si>
  <si>
    <t>Gas coverage for end target: 'This list brings together countries, businesses, investors, cities and regions who are working towards achieving net-zero CO2 emissions by 2050.' (Climate Ambition Alliance)
Interim target: The NDC includes carbon dioxide, methane, and nitrous oxide.</t>
  </si>
  <si>
    <t>Schedule for regular review of measures|Information on the extent to which measures will be applied (e.g. if switching to EVs, what share of the fleet; if installing an own solar PV installation, what is the installed capacity)|Information on the emission reductions expected from these measures within a certain time period|Measures for all emission scopes that are covered by the target</t>
  </si>
  <si>
    <t>Plan: There are projected emission reductions (gigagrams CO2e) from BAU by 2030.
To promote clean cooking fuels and stoves, there is no import tax on solar systems. Introduction of non-motorized transport in mega and metropolitan cities by 2030. Carbon-free options include: expanding the use of renewable energy sources such as geothermal (with a potential of 650 MW); solar, with average sunshine of more than 9 hours per day; hydro, with a potential of 4.7 GW (while the installed capacity is 562 MW); and wind with speed of 0.9 – 9.9 m/s across the country. There are qualitative contributions, such as the promotion of sustainable and climate sensitive health and sanitation infrastructure.
There is a national reporting system. The emissions reduction is subject to review after the first Biennial Update Report.
Equity: Tanzania has low ghg emissions and high vulnerability to the impacts of climate change. The per capita emissions of Tanzania were estimated at 0.22 tCO2e in 2014, significantly below the global average of 7.58 tCO2e in the same year. Tanzania pursues sustainable, low-carbon development and plans to reduce greenhouse gases. Considering the national circumstances, Tanzania’s contribution is fair and ambitious.
https://www.ctc-n.org/content/indc-united-republic-tanzania
https://wedocs.unep.org/bitstream/handle/20.500.11822/17122/Tanzania.pdf?sequence=1&amp;isAllowed=y</t>
  </si>
  <si>
    <t>There is potential for market mechanisms to reduce greenhouse gas emissions. The projects can be implemented as Nationally Appropriate Mitigation Actions, Reducing Emissions from Deforestation and Forest Degradation (REDD+) and Clean Development Mechanisms especially in renewable energy, energy efficiency, forestry, transport and waste management.
Sink: The country has 48.1 million hectares​ of​ forest​ ​and ​an estimated total of 9.032 trillion tons of carbon stock. This implies that Tanzania is a net sink.</t>
  </si>
  <si>
    <t>2022-06-26 14:30:59</t>
  </si>
  <si>
    <t>COU-0191</t>
  </si>
  <si>
    <t>Ukraine has committed
itself to achieving the target of reducing GHG emissions of 65% by 2030, compared
to 1990 (including LULUCF), reaching carbon neutrality until 2060 as foreseen in the
National Economic Strategy until 2030, approved by the Decree of the Cabinet of
Ministers of Ukraine of March 3, 2021 # 179.</t>
  </si>
  <si>
    <t>Ukraine committed to achieving the target of reducing GHG emissions of 65% by 2030, compared to 1990. 
Ukraine defined its target not to exceed 60 % of the 1990 greenhouse gas emissions level in 2030.
Ukrainian Nationally Determined Contribution target corresponds to an economy-wide absolute GHG reduction of 65 % by 2030, compared to 1990 GHG emissions level.</t>
  </si>
  <si>
    <t>https://www4.unfccc.int/sites/ndcstaging/PublishedDocuments/Ukraine%20First/Ukraine%20NDC_July%2031.pdf</t>
  </si>
  <si>
    <t>Ukraine has taken many steps to significantly reduce energy consumption, development of energy efficiency and renewable energy.
Gases covered: all GHGs not controlled by the Montreal Protocol – Carbon Dioxide (CO2), Methane (CH4), Nitrous Oxide (N2O), Hydrofluorocarbons (HFCs), Perfluorocarbons (PFCs), Sulphur Hexafluoride (SF6), Nitrogen Trifluoride (NF3).
Economic sectors covered: energy; industrial processes and product use; agriculture, land use, land-use change and forestry; waste.
Percentage of GHG emissions covered: 100 %.</t>
  </si>
  <si>
    <t>Ukraine reports on GHG emissions and removals using the methodology developed by the IPCC and adopted by the Conference of the Parties.
All technical reports, including the list of policies and measures used to inform the preparation and consultations of the Nationally Determined Contribution throughout its process, are available on the official website of the Ministry of Environmental Protection and Natural Resources of Ukraine: https://mepr.gov.ua/news/33080.html.
Equity: Ukraine’s Nationally Determined Contribution is consistent with global mitigation efforts to limit global warming to well-below 2°C and Ukraine considers it to be a fair contribution to reach this goal.</t>
  </si>
  <si>
    <t>All emissions and subsequent removals from natural disturbances on managed lands are included into accounting based on IPCC 2006 Guidelines as per UNFCCC decision 24/CP.19.</t>
  </si>
  <si>
    <t>2023-05-17 14:34:25</t>
  </si>
  <si>
    <t>COU-0192</t>
  </si>
  <si>
    <t>The Republic of Uzbekistan intends to reduce specific gree nhouse gas emissions per unit of GDP by 35% by 2030 from the level of 2010</t>
  </si>
  <si>
    <t>https://unfccc.int/sites/default/files/NDC/2022-06/Uzbekistan_Updated%20NDC_2021_EN.pdf</t>
  </si>
  <si>
    <t>Gases covered: carbon dioxide (CO2), methane (CH4), nitrous oxide (N2O), hydrofluorocarbons (HFCs). Sectors covered: Energy; Industrial Processes and Product Use (IPPU); Agriculture; Forestry and Other Land Use (AFOLU) and Waste.</t>
  </si>
  <si>
    <t>Information on the emission reductions expected from these measures within a certain time period|Schedule for regular review of measures</t>
  </si>
  <si>
    <t xml:space="preserve">Partial plan here: https://lex.uz/ru/docs/6303233#6303939
Equity-related concepts are covered by 2.6 (Chapter II of Appendix 1)
</t>
  </si>
  <si>
    <t>Venezuela, Bolivarian Republic of</t>
  </si>
  <si>
    <t>2023-04-12 17:05:49</t>
  </si>
  <si>
    <t>COU-0193</t>
  </si>
  <si>
    <t>https://www4.unfccc.int/sites/ndcstaging/PublishedDocuments/Venezuela%20(Bolivarian%20Republic%20of)%20First/Primera%20%20NDC%20Venezuela.pdf</t>
  </si>
  <si>
    <t>NDC from 2015: https://www4.unfccc.int/sites/ndcstaging/PublishedDocuments/Venezuela%20(Bolivarian%20Republic%20of)%20First/Primera%20%20NDC%20Venezuela.pdf</t>
  </si>
  <si>
    <t>Sinks and credits included as a measure in the NDC, p. 9: https://www4.unfccc.int/sites/ndcstaging/PublishedDocuments/Venezuela%20(Bolivarian%20Republic%20of)%20First/Primera%20%20NDC%20Venezuela.pdf . Spanish speaker needed to check exact conditions</t>
  </si>
  <si>
    <t>2023-10-03 06:21:56</t>
  </si>
  <si>
    <t>COU-0194</t>
  </si>
  <si>
    <t>'The implementation of NDC 2022 is in line with net zero target indicated in the National Climate Change Strategy to 2050 and the measures to implement the methane emission reduction action plan' (p.2).</t>
  </si>
  <si>
    <t>Unconditional - 'With the state budget, loans, investment from domestic and. foreign enterprises, contributions and investments of the citizen, Viet Nam aims to reduce 15.8% of total GHG emissions by 2030 compared to BAU, equivalent to 146.3 Mt CO2eq' (p.9).
Conditional - 'With the above resources and additional international financing in adequate and appropriate manner through grants, concessional loans, financial resources, technology and capacity building under bilateral and multilateral international cooperation mechanisms, especially under UNFCCC and Paris Agreement, Viet Nam aims to reduce 43.5% of total GHG emissions by 2030 compared to BAU, equivalent to 403.7 Mt CO2eq.' (p.9).
Methane - 'Viet Nam, together with other countries, pledged to reduce methane emissions by 30 percent from 2020 levels by 2030.' (p.1).</t>
  </si>
  <si>
    <t>Other URLs: 
https://unfccc-cop26.streamworld.de/webcast/first-part-of-the-high-level-segment-for-heads-of- (2050 net zero, around 1:29:30)
https://www4.unfccc.int/sites/ndcstaging/PublishedDocuments/Viet%20Nam%20First/Viet%20Nam_NDC_2020_Eng.pdf (NDC)
http://news.chinhphu.vn/Home/Viet-Nam-to-take-stronger-measures-to-achieve-netzero-emissions-by-2050/202111/46000.vgp
https://apps.fas.usda.gov/newgainapi/api/Report/DownloadReportByFileName?fileName=Vietnam%20Issues%20the%20National%20Strategy%20on%20Climate%20Change%20by%202050%20and%20the%20Action%20Plan%20on%20Methane%20Emissions%20Reduction%20by%202030_Hanoi_Vietnam_VM2022-0059.pdf</t>
  </si>
  <si>
    <t>https://unfccc.int/sites/default/files/NDC/2022-11/Viet%20Nam%20NDC%202022%20Update.pdf</t>
  </si>
  <si>
    <t>Main greenhouse gases -  'Carbon dioxide (CO2), Methane (CH4), Nitrous oxide (N2O), Halocarbons (HFCs).' (p.8.)
Goal 12 is to: 'ensure sustainable consumption and production patterns', but targets mainly refer to energy (p26)</t>
  </si>
  <si>
    <t>Plan - Pages 6-8 of the NDC 2022 provides a broad plan for achieving interm target by 2030 and net zero by 2050.
Public Reporting - ' The monitoring and evaluation of GHG emission reduction targets is conducted through the Measurement, Reporting, and Verification (MRV) system, regulated by Government Decree No. 06/2022/ND-CP dated January 07, 2022. Specifically ... At national level: The tasks in the NDC are reviewed and evaluated at the national level every two years' (p.31-32).
Leadership Accountability - 'Review and finalize mechanisms, policies and legal regulations; accelerate the simplification of administrative procedures, improve the business environment, create favorable conditions for flows of funding and green finance investment in implementing projects to respond to climate change' (p.27). - not quite enough</t>
  </si>
  <si>
    <t>NB Removal - 'In the LULUCF sector, many efforts have been proactively made to reduce GHG emissions and increase carbon sequestration; stabilize the rate of forestation, and improve forest quality. In 2020, there has been a reduction of 11.1 MtCO2eq through activities of increasing planted forest area, protecting natural forests, etc., aiming to achieve the goal of increasing forest cover to 42% by 2030 and maintaining a stable level to 2050.' (p.5).</t>
  </si>
  <si>
    <t>South Sudan</t>
  </si>
  <si>
    <t>SSD</t>
  </si>
  <si>
    <t>2022-05-24 07:56:53</t>
  </si>
  <si>
    <t>COU-0195</t>
  </si>
  <si>
    <t>has an energy reduction target of 109.87 million tonnes of carbon dioxide by 2030 and sequestration of an additional, 45.06 million tonnes, as well as having an overarching goal of transitioning to a low-carbon economy by 2030</t>
  </si>
  <si>
    <t>South Sudanese officials hope the world’s newest country can become carbon neutral by 2030, with a rollout of renewable energy and mass tree planting. But aid cuts, a slump in oil revenue and the legacy of civil war pose major hurdles to decarbonisation... “We are trying to be carbon neutral by 2030. If we have the funds, we will be able to make it happen. If the funds are not there, we will be looking at 2050,” South Sudan’s lead climate negotiator Joseph Bartel told Climate Home News from sweltering Juba, where temperature had risen above 40C.</t>
  </si>
  <si>
    <t>"South Sudan, through this second NDC, reiterates its commitment to the Paris Agreement goal of limiting global temperature rise to well below 2 degrees Celsius above pre-industrial levels, while making efforts to limit the increase to 1.5 degrees celsius. It details how South Sudan has significantly increases its climate ambition of reducing emissions across its sectors by 109.87 million tonnes of carbon dioxide equivalent while sequestering an additional 45.06 million tonnes by 2030"
"South Sudan will continue to focus on increasing the share of renewable energy in the total energy mix. By increasing the share of solar, wind, hydro and biomass, South Sudan aims at achieving cumulative emission reduction of 69 percent by 2030 compared to the baseline. South Sudan will also promote the use of energy-efficient technologies and decentralized renewable energy grids, which can be both time- and cost-effective, to increase electricity access in rural areas"
Along with the negative impacts of long-term conflicts, the adverse effects of changing climate are also being faced by the inhabitants of South Sudan. The country is experiencing an increasingly warm and dry climate with erratic rainfall. This is resulting in degradation of ecosystems and decreased agricultural productivity that is negatively impacting the livelihoods of a majority of the population. Political and economic instability, including limited access to capital, markets, infrastructure and technology, along with changing climate, are hindering the growth of the country.
Recognizing this, and to achieve sustainable economic development, South Sudan aims to transition from a least developed country to a middle-income country by 2030, supported by inclusive, stable and sustainable economic growth, while alleviating poverty. Promoting environmental sustainability, climate-resilient communities and appropriate land use has been identified as a critical enabler that will complement the eight strategic priorities of the National Development Strategy (NDS) 2018–2021 (South Sudan Ministry of Finance and Planning 2018)
As part of South Sudan’s increased ambition, this second NDC has also increased the country’s sectoral coverage, and instituted additional mitigation and adaptation measures in sectors that were included in the first NDC. These strategies have been designed to ensure that South Sudan adopts a sustainable and low-carbon growth pathway while also supporting the country’s vision to ‘transition from a least developed country to a middle-income country by 2030 supported by inclusive, stable and sustainable economic growth whilst alleviating poverty’. 
https://www4.unfccc.int/sites/ndcstaging/PublishedDocuments/South%20Sudan%20Second/South%20Sudan's%20Second%20Nationally%20Determined%20Contribution.pdf</t>
  </si>
  <si>
    <t>See also: https://cop25.mma.gob.cl/wp-content/uploads/2020/12/1312-Annex-Alliance-ENGLISH-VF-2012.pdf
South Sudan's second NDC aims to increase the number of sectors covered in emission reductions, especially energy and emission-intensive sectors such as petroleum and mining, has carried out a detailed exercise to identify and prioritise the top 14 sectors that would have significant impacts on South Sudan's economic and low carbon future.
The report also goes beyond the element of emission reductions and takes into account impacts on various social aspects such as gender responsiveness and employment opportunties</t>
  </si>
  <si>
    <t>https://www.climatechangenews.com/2021/03/08/south-sudan-plans-raise-climate-ambition-amid-dire-humanitarian-crisis/</t>
  </si>
  <si>
    <t>conducted a metabolic and circularity assessment for material flows across a number of different sectors as part of the NDC revision process. Also does a sector prioritisation analysis that identifiesthe key sectors that should be included in the second NDC document using the results of the metabolic assessment and additional parameters. identified 14 sectors to be included:1. Agriculture, livestock and fisheries 2. Infrastructure (construction and buildings) 3. Forestry4. Biodiversity, ecosystems and sustainable wetland management
5. Electricity 6. Water 7. Waste 8. Tourism and recreation 9. Mining and quarrying 10.Transport 11.Industry 12.Petroleum, chemicals and non-metallic mineral products 13.Health 14.Disaster risk management.
leaves out key sectors such as shipping and international aviation but does include consumption e.g in hotels etc 
"GHG emissions: A gradual increase of GHG emissions has been observed over the years in South Sudan, from both a domestic production and resource consumption perspective. Emissions due to domestic production and resource consumption have been increasing at rates of 1.22 percent and 1.14 percent per annum, respectively. The slow rise in GHG emissions over the years parallels South Sudan’s slow economic and population growth. GHG emissions from domestic production are mostly from the agriculture and livestock sector, followed by the petroleum and service sectors. In terms of resource consumption, industry and hotels, restaurants and other service sectors account for the greatest amount of GHG emissions, along with the agriculture and livestock sector."</t>
  </si>
  <si>
    <t>as this is the first NAP, they have a whole chapter on next steps on how to make the NAP more accountable, thorough and transparent but has clear timelines by when they want to make the NAP more robust (2022) and outlines how the Department of climate change will take the lead on this.
recognises need to Formalising institutional arrangements, establishing a formal legal mandate and ensuring buying and ownership of line agency stakeholders and Stocktaking of progress and updating prioritised adaptation actions. but is constrained financially and politically by being the worlds newest country and having just emerged from civil war.
"This first NAP laid the groundwork for South Sudan’s NAP process by outlining national circumstances and recommending institutional arrangements and coordination mechanisms for climate change adaptation planning and implementation. It offers a robust rationale for adaptation in South Sudan by providing a baseline analysis of observed and projected changes in the physical processes driving climate."
"The initial NAP also provides comprehensive recommendations for strengthening the NAP process over the short-term (2020-2022). This NAP represents the culmination of over a year of research and consultations on the part of the Department of Climate Change, and a first step in formulating a unified vision for climate change adaptation for the country"
recognises role of monitoring but hasnt done it yet: "The monitoring and evaluation framework will include SMART indicators for determining progress during the first NAP process. This section
will also describe mechanisms for capturing lessons learned to be incorporated into the enhanced NAP, to be completed by 2022. "
https://unfccc.int/sites/default/files/resource/South-Sudan-First-NAP%20.pdf</t>
  </si>
  <si>
    <t>"the second NDC will support initiatives to improve forest management activities, including implementing policies and plans to reduce deforestation; encouraging regular monitoring of forest cover; and sustainable management of forest through community involvement."
"The second NDC also focuses on introducing a community-based forest management approach for conserving forests and providing alternate livelihood options to communities."
NAP report as well as second NDC dont make reference to carbon credits, CCS or sinks in a meaningful capacity.</t>
  </si>
  <si>
    <t>2022-11-22 17:44:30</t>
  </si>
  <si>
    <t>COU-0196</t>
  </si>
  <si>
    <t>singapore intends to reduce emissions to around 60 million tonnes of carbon dioxide equivalent (mtco2e) in 2030 after peaking its emissions earlier... singapore’s ndc target, which aims to peak and subsequently reduce emissions to an absolute emissions level, does not take reference from any baseline -- https://unfccc.int/sites/default/files/ndc/2022-11/singapore%20second%20update%20of%20first%20ndc.pdf</t>
  </si>
  <si>
    <t>Despite Singapore’s geographical constraints and lack of alternative energy options, we have set an ambitious target to reach net zero by 2050.</t>
  </si>
  <si>
    <t>Singapore intends to reduce emissions to around 60 million tonnes of carbon dioxide equivalent (MtCO2e) in 2030 after peaking its emissions earlier... Singapore’s NDC target, which aims to peak and subsequently reduce emissions to an absolute emissions level, does not take reference from any baseline -- https://unfccc.int/sites/default/files/NDC/2022-11/Singapore%20Second%20Update%20of%20First%20NDC.pdf</t>
  </si>
  <si>
    <t>https://www.nccs.gov.sg/files/docs/default-source/publications/nccsleds_addendum_2022.pdf</t>
  </si>
  <si>
    <t>Greenhouse gases covered:
carbon dioxide (CO2), methane (CH4), nitrous oxide (N2O), hydrofluorocarbons (HFCs),
perfluorocarbons (PFCs), sulphur hexafluoride (SF6) and nitrogen trifluoride (NF3)3
Singapore’s NDC is an economy-wide absolute GHG emissions limitation target.
Key sectors covered:
Energy, Industrial Processes and Product Use, Agriculture, Land Use, Land-Use Change
and Forestry (LULUCF) and Waste.</t>
  </si>
  <si>
    <t xml:space="preserve">"We will continue to update our measures and strategies over time." </t>
  </si>
  <si>
    <t>Singapore is studying emerging low-carbon technologies like hydrogen, carbon capture utilisation and storage (CCUS), and advanced geothermal systems. These can enable decarbonisation at scale for hard-to-abate sectors. Under the Low-Carbon Energy Research (LCER) Funding Initiative, we have awarded S$55 million to support 12 research, development and demonstration projects on low-carbon hydrogen and CCUS. We are setting aside another S$129 million for the next phase of the programme. 
We are also exploring possible CCUS deployment pathways. Carbon dioxide captured from industrial facilities in Singapore could be sequestered in suitable sub-surface geological formations, utilised as feedstock for synthetic fuels or as building materials through mineralisation. Singapore will continue to monitor technological and market developments, and scale up deployment as pathways become techno-economically viable.</t>
  </si>
  <si>
    <t>European Union</t>
  </si>
  <si>
    <t>EUU</t>
  </si>
  <si>
    <t>2023-03-13 14:55:17</t>
  </si>
  <si>
    <t>COU-0197</t>
  </si>
  <si>
    <t>The Commission has, in its communication of 11 December 2019 entitled ‘The European Green Deal’ (the ‘European Green Deal’), set out a new growth strategy that aims to transform the Union into a fair and prosperous society, with a modern, resource-efficient and competitive economy, where there are no net emissions of greenhouse gases in 2050 and where economic growth is decoupled from resource use. The European Green Deal also aims to protect, conserve and enhance the Union’s natural capital, and protect the health and well-being of citizens from environment-related risks and impacts. At the same time, this transition must be just and inclusive, leaving no one behind.</t>
  </si>
  <si>
    <t>In light of the 2050 climate-neutrality objective, by 2030 greenhouse gas emissions should be reduced and removals enhanced, so that net greenhouse gas emissions, that is emissions after the deduction of removals, are reduced economy-wide and domestically by at least 55 % by 2030 compared to 1990 levels. [...] In addition, the Commission should, by 30 June 2021, assess how the relevant Union legislation implementing the Union 2030 climate target would need to be amended in order to achieve such net emission reductions.</t>
  </si>
  <si>
    <t>'The Climate Law includes: a legal objective for the Union to reach climate neutrality by 2050' (https://climate.ec.europa.eu/eu-action/european-green-deal/european-climate-law_en)</t>
  </si>
  <si>
    <t>https://eur-lex.europa.eu/legal-content/EN/TXT/?uri=CELEX:32021R1119</t>
  </si>
  <si>
    <t xml:space="preserve">– Information in line with CAT EU net zero assessment as of 05.11.2022 (https://climateactiontracker.org/countries/eu/net-zero-targets/).
– On international aviation: 'Revision of the EU ETS Directive concerning aviation. [....] The package proposes to revise several pieces of EU climate legislation, including the EU ETS, Effort Sharing Regulation, transport and land use legislation, setting out in real terms the ways in which the Commission intends to reach EU climate targets under the European Green Deal. [...] CO2 emissions from aviation have been included in the EU emissions trading system (EU ETS) since 2012.' (https://climate.ec.europa.eu/eu-action/transport-emissions/reducing-emissions-aviation_en)
– On international shipping: 'To date, no adequate measures are in place, either at the global level or in the EU, to achieve the necessary emissions reductions for the maritime transport sector to contribute to the EU’s increased climate ambition.' (https://climate.ec.europa.eu/eu-action/transport-emissions/reducing-emissions-shipping-sector_en) </t>
  </si>
  <si>
    <t xml:space="preserve">– Reviewing: ' By 30 September 2023, and every five years thereafter, the Commission shall assess: the consistency of national measures identified, on the basis of the integrated national energy and climate plans, national long-term strategies and the biennial progress reports submitted in accordance with Regulation (EU) 2018/1999' (https://eur-lex.europa.eu/legal-content/EN/TXT/?uri=CELEX:32021R1119)
– Reporting: 'Within six months of each global stocktake referred to in Article 14 of the Paris Agreement, the Commission shall submit a report to the European Parliament and to the Council, together with the conclusions of the assessments referred to in Articles 6 and 7 of this Regulation, on the operation of this Regulation' (https://eur-lex.europa.eu/legal-content/EN/TXT/?uri=CELEX:32021R1119)
– Information in line with CAT EU net zero assessment as of 05.11.2022 </t>
  </si>
  <si>
    <t>– Traded credits: 'Participants in the EU ETS can use international credits from CDM and JI towards fulfilling part of their obligations under the EU ETS until 2020, subject to qualitative and quantitative restrictions.' (https://climate.ec.europa.eu/eu-action/eu-emissions-trading-system-eu-ets_en) 
- Carbon removal: 'The European Commission adopted a proposal (COM/2022/672) for an EU-wide voluntary framework to certify carbon removals on 30 November 2022. It will boost innovative industrial carbon removal technologies, such as bioenergy with carbon capture and storage (BECCS) or direct air carbon capture and storage (DACCS). Both these technologies can capture carbon and store it permanently in geological formations.' (https://energy.ec.europa.eu/topics/oil-gas-and-coal/carbon-capture-storage-and-utilisation_en#:~:text=The%20European%20Commission%20adopted%20a,capture%20and%20storage%20(DACCS).)</t>
  </si>
  <si>
    <t>2022-06-13 11:02:51</t>
  </si>
  <si>
    <t>COU-0198</t>
  </si>
  <si>
    <t>"in line with niue’s resilience approach to reduce dependence on imported fossil fuels, niue will achieve a 38% share of renewable energy of total electricity generation by 2020. (in 2014 the renewable energy share was 2% and this contribution assumes assistance to address critical grid stability issues). this will in part be delivered by a 10% reduction in residential, commercial and government electricity demand by 2020. this contribution will be maintained out to 2025 and will be delivered using national resources and international assistance being identified to achieve the goals of the niserm.
conditional upon additional international assistance, niue could increase its contribution to an 80% share of renewable energy of total electricity generation, or to even higher levels, by 2025. this would require additional support for energy storage and renewable energy generation, and strengthened frameworks for project delivery."</t>
  </si>
  <si>
    <t xml:space="preserve">Climate Ambition Alliance
</t>
  </si>
  <si>
    <t>"in line with niue’s resilience approach to reduce dependence on imported fossil fuels, niue will achieve a 38% share of renewable energy of total electricity generation by 2020. (in 2014 the renewable energy share was 2% and this contribution assumes assistance to address critical grid stability issues). this will in part be delivered by a 10% reduction in residential, commercial and government electricity demand by 2020. this contribution will be maintained out to 2025 and will be delivered using national resources and international assistance being identified to achieve the goals of the niserm.
conditional upon additional international assistance, niue could increase its contribution to an 80% share of renewable energy of total electricity generation, or to even higher levels, by 2025. this would require additional support for energy storage and renewable energy generation, and strengthened frameworks for project delivery."
interim targets:
 - implement additional renewable energy generation capacity to increase re share from 35% to 80% (2020-2025) conditional to support (also available in https://climatepromise.undp.org/what-we-do/where-we-work/niue)
 - matching energy storage capacity (2020-2025) conditional to support
 - transport sector transition away from fossil fuels (2020-2030) conditional to support</t>
  </si>
  <si>
    <t>https://www4.unfccc.int/sites/ndcstaging/PublishedDocuments/Niue%20First/Niue%20INDC%20Final.pdf</t>
  </si>
  <si>
    <t>Assumed at least zero residual emissions (not negative)</t>
  </si>
  <si>
    <t>GHG emissions projections (IPCC AR4 GWP-100) of the all countries and world by 2025 and 2030 under the current policies and NDC scenario, and the historical trend</t>
  </si>
  <si>
    <t>Data sources for presented historic emissions</t>
  </si>
  <si>
    <t>Harmonisation factor to reach 2015 emissions levels of the emissions pathways for 1.5C / 2C</t>
  </si>
  <si>
    <t>Data sources for presented PBL IMAGE SSP2 (No policy baseline)</t>
  </si>
  <si>
    <t>Data sources for presented median values</t>
  </si>
  <si>
    <t>Country progress to achieve original NDC conditional and unconditional target</t>
  </si>
  <si>
    <t xml:space="preserve">1/ Om te bepalen of land wrs. hun doel gaat halen, kijken we of het in de range van projecties (die laten we immers zien in infographics). Dus geen vergelijking met de PBL schattting, want die zie je als gebruiker niet. </t>
  </si>
  <si>
    <t>Note: the emissions profiles are expressed in GWPs AR4 for all countries</t>
  </si>
  <si>
    <t>Colour</t>
  </si>
  <si>
    <t>Explanation</t>
  </si>
  <si>
    <t>Further corrected by 300 MtCO2e or much lower NGHfGI</t>
  </si>
  <si>
    <t>PBL best estimate</t>
  </si>
  <si>
    <t>Count</t>
  </si>
  <si>
    <t>ID</t>
  </si>
  <si>
    <t>Short description</t>
  </si>
  <si>
    <t>2/ Om te bepalen of land dalende emissies, vergelijken we het met de hele reeks van historische emissies. Dus zoals Brazilië, hebbe gepiket in 2005, dus dalende emissies.</t>
  </si>
  <si>
    <r>
      <t xml:space="preserve">Selected historical data (EDGAR, PRIMAP Country Estimates, or PRIMAP Third Party  </t>
    </r>
    <r>
      <rPr>
        <sz val="11"/>
        <color theme="1"/>
        <rFont val="Aptos Narrow"/>
        <family val="2"/>
        <scheme val="minor"/>
      </rPr>
      <t xml:space="preserve">(GHG emissions excluding CO2 emissions from LULUCF) </t>
    </r>
  </si>
  <si>
    <t>Also same as IMAGE 2015 emissions</t>
  </si>
  <si>
    <t>Country worksheets</t>
  </si>
  <si>
    <t>insert drop down selection</t>
  </si>
  <si>
    <t>Median NC estimates</t>
  </si>
  <si>
    <t>i</t>
  </si>
  <si>
    <t>On track with current policies and decreasing emissions</t>
  </si>
  <si>
    <t>3/ als land geen NDC, dan haalt het ook niet, dat is een aanpassing voor de Equador.</t>
  </si>
  <si>
    <r>
      <t>LULUCF emissions (FAO, National GHG Inventory data (IASA), or PRIMAP Third Party (</t>
    </r>
    <r>
      <rPr>
        <sz val="11"/>
        <color theme="1"/>
        <rFont val="Aptos Narrow"/>
        <family val="2"/>
        <scheme val="minor"/>
      </rPr>
      <t xml:space="preserve">CO2 emissions from LULUCF) </t>
    </r>
  </si>
  <si>
    <t>Calculated 2015 emissions due to historical data choices</t>
  </si>
  <si>
    <t>Regional trend Current Policies</t>
  </si>
  <si>
    <t>XX</t>
  </si>
  <si>
    <t>Updated NDC</t>
  </si>
  <si>
    <t xml:space="preserve">Growth factor since 2015 or 2018 emissions, for the calculated trend </t>
  </si>
  <si>
    <t>ii</t>
  </si>
  <si>
    <t>On track with current policies but increasing emissions</t>
  </si>
  <si>
    <r>
      <t>Country-worksheets (25 selected major emitting countries):</t>
    </r>
    <r>
      <rPr>
        <sz val="11"/>
        <color theme="1"/>
        <rFont val="Aptos Narrow"/>
        <family val="2"/>
        <scheme val="minor"/>
      </rPr>
      <t xml:space="preserve"> https://www.pbl.nl/en/publications/greenhouse-gas-mitigation-scenarios-for-major-emitting-countries-2023-update  </t>
    </r>
    <r>
      <rPr>
        <b/>
        <sz val="11"/>
        <color theme="1"/>
        <rFont val="Aptos Narrow"/>
        <family val="2"/>
        <scheme val="minor"/>
      </rPr>
      <t xml:space="preserve"> </t>
    </r>
  </si>
  <si>
    <t>Choice GHG excl. LULUCF</t>
  </si>
  <si>
    <t>All</t>
  </si>
  <si>
    <t>Harm. through 2010 offset in columns CC or CD</t>
  </si>
  <si>
    <t>Adjusted for GWPs</t>
  </si>
  <si>
    <t>of the IMAGE current polices scenario</t>
  </si>
  <si>
    <t>Possible corrected for GWP conversion SAR to AR4</t>
  </si>
  <si>
    <t>iii</t>
  </si>
  <si>
    <t>Additional measures required to meet (I)NDC but decreasing emissions</t>
  </si>
  <si>
    <t>Emissions from Country-worksheets (IPCC AR4 GWP)</t>
  </si>
  <si>
    <t>EDGAR</t>
  </si>
  <si>
    <t>PRIMAP_CR</t>
  </si>
  <si>
    <t>PRIMAP_TP</t>
  </si>
  <si>
    <t>Selector</t>
  </si>
  <si>
    <t>GHG excl. LULUCF  Hist</t>
  </si>
  <si>
    <t>Climate Action Tracker (current policies scenario)</t>
  </si>
  <si>
    <t>iv</t>
  </si>
  <si>
    <t>Additional measures required to meet (I)NDC and increasing emissions</t>
  </si>
  <si>
    <t>Emissions from Country-worksheets (IPCC AR4 GWP), with GHG emissions were corrected with GWP conversion SAR/AR5 to AR4 (if needed)</t>
  </si>
  <si>
    <t>FAO</t>
  </si>
  <si>
    <t>LULUCF Hist</t>
  </si>
  <si>
    <t>All GHG emissions excl. land use (IMAGE) and GHD emissions land use IIASA</t>
  </si>
  <si>
    <t>Not assessed</t>
  </si>
  <si>
    <t>NGHGI</t>
  </si>
  <si>
    <t>Updated NDC targets or announced targets</t>
  </si>
  <si>
    <t>Previous NDCs</t>
  </si>
  <si>
    <t>Surplus (+) or Reductions (-)</t>
  </si>
  <si>
    <t xml:space="preserve">Same formulars as Column AM </t>
  </si>
  <si>
    <t>INDC</t>
  </si>
  <si>
    <t>(Mt CO2 equivalent)</t>
  </si>
  <si>
    <t>IMAGE SSP2 (No policy baseline)</t>
  </si>
  <si>
    <t>BAU nationaal</t>
  </si>
  <si>
    <t>2020 pledges</t>
  </si>
  <si>
    <t>2025 unconditional NDCs</t>
  </si>
  <si>
    <t>2025 conditional NDCs</t>
  </si>
  <si>
    <t>Current policies 2020</t>
  </si>
  <si>
    <t>Current policies 2025</t>
  </si>
  <si>
    <t>Current policies 2030</t>
  </si>
  <si>
    <t>Global emission level consisten with meeting 2 degree with a likely chance (UNEP, 2019)</t>
  </si>
  <si>
    <t>Global emission level consisten with meeting 1.5 degree with a likely chance (UNEP, 2019)</t>
  </si>
  <si>
    <t>INDC met under current policy?</t>
  </si>
  <si>
    <t>Current policy type</t>
  </si>
  <si>
    <t>IMAGE SSP2 (No policy baseline)-Domestic</t>
  </si>
  <si>
    <t>Surplus</t>
  </si>
  <si>
    <t>2015 GHG emissions for contrs. Incl. LULUCF</t>
  </si>
  <si>
    <t>LTS target</t>
  </si>
  <si>
    <t>Net zero date</t>
  </si>
  <si>
    <t>Progress</t>
  </si>
  <si>
    <t>Current Policy</t>
  </si>
  <si>
    <t>Use</t>
  </si>
  <si>
    <t>Projection</t>
  </si>
  <si>
    <t>Pledge/action</t>
  </si>
  <si>
    <t>2020 (PBL IMAGE SSP2 (No policy baseline))</t>
  </si>
  <si>
    <t>2025 (PBL IMAGE SSP2 (No policy baseline))</t>
  </si>
  <si>
    <t>2030 (PBL IMAGE SSP2 (No policy baseline))</t>
  </si>
  <si>
    <t>BAU nationaal 2020</t>
  </si>
  <si>
    <t>BAU nationaal 2030</t>
  </si>
  <si>
    <t>Unconditional</t>
  </si>
  <si>
    <t>Conditional</t>
  </si>
  <si>
    <t>Low</t>
  </si>
  <si>
    <t>High</t>
  </si>
  <si>
    <t>2020 median</t>
  </si>
  <si>
    <t>2020 Lower bound</t>
  </si>
  <si>
    <t>2020 Upper bound</t>
  </si>
  <si>
    <t>2025 median</t>
  </si>
  <si>
    <t>2025 Lower bound</t>
  </si>
  <si>
    <t>2025 Upper bound</t>
  </si>
  <si>
    <t>2030 median</t>
  </si>
  <si>
    <t>2030 Lower bound</t>
  </si>
  <si>
    <t>2030 Upper bound</t>
  </si>
  <si>
    <t>Decreasing?</t>
  </si>
  <si>
    <t>Not analysed</t>
  </si>
  <si>
    <t>2020 Uncon</t>
  </si>
  <si>
    <t>2020 Con</t>
  </si>
  <si>
    <t>2025 Uncon</t>
  </si>
  <si>
    <t>2025 Con</t>
  </si>
  <si>
    <t>2030 Uncon</t>
  </si>
  <si>
    <t>2030 Con</t>
  </si>
  <si>
    <t>NDC Unc</t>
  </si>
  <si>
    <t>NDC Cond</t>
  </si>
  <si>
    <t>Incl</t>
  </si>
  <si>
    <t>LULUCF emissions average</t>
  </si>
  <si>
    <t>None</t>
  </si>
  <si>
    <t xml:space="preserve">Median </t>
  </si>
  <si>
    <t>Minimum</t>
  </si>
  <si>
    <t>Maximum</t>
  </si>
  <si>
    <t>Median</t>
  </si>
  <si>
    <t>Action</t>
  </si>
  <si>
    <t>2050, same value as Climate Resource</t>
  </si>
  <si>
    <t>Kyoto</t>
  </si>
  <si>
    <t>States have net zero targets</t>
  </si>
  <si>
    <t>2040 (part of the EU)</t>
  </si>
  <si>
    <t>2050 (part of the EU)</t>
  </si>
  <si>
    <t>Pledge</t>
  </si>
  <si>
    <t>2050. LTS target is 80%</t>
  </si>
  <si>
    <t>2050. Source: CAT, heaily relies on negative emissions</t>
  </si>
  <si>
    <t>2060 (only CO2) (assume equal to 2C)</t>
  </si>
  <si>
    <t>Carbon neutral, not specified</t>
  </si>
  <si>
    <t>2035 (part of the EU)</t>
  </si>
  <si>
    <t>The earliest possible time in the latter half of this century. Used CAT</t>
  </si>
  <si>
    <t>25% below 1992 by 2050</t>
  </si>
  <si>
    <t>"2030/2050</t>
  </si>
  <si>
    <t>Net zero in second half of the century. Source: CAT</t>
  </si>
  <si>
    <t>2050 net-zero carbon target assuming non-CO2 emissions at 2030 levels.</t>
  </si>
  <si>
    <t>2045 (part of the EU)</t>
  </si>
  <si>
    <t>California: 2045</t>
  </si>
  <si>
    <t>Reason:</t>
  </si>
  <si>
    <t>incl</t>
  </si>
  <si>
    <t>lulucf</t>
  </si>
  <si>
    <t>total</t>
  </si>
  <si>
    <t>OECD</t>
  </si>
  <si>
    <t>Reforming Economies</t>
  </si>
  <si>
    <t>Asia</t>
  </si>
  <si>
    <t>Middle East and Africa</t>
  </si>
  <si>
    <t>Latin America</t>
  </si>
  <si>
    <t>Global (harmonised) excl. surplus</t>
  </si>
  <si>
    <t>Surpluses</t>
  </si>
  <si>
    <t>Global (harmonised)</t>
  </si>
  <si>
    <t>IMAGE LULUCF non-G20</t>
  </si>
  <si>
    <t>Breakdown Remaining LULUCF CO2 (excl)</t>
  </si>
  <si>
    <t>Remaining LULUCF CO2 (Non-G20 minus Hong Kong)</t>
  </si>
  <si>
    <t>Remaining LULUCF CO2 (G20 Non EU)</t>
  </si>
  <si>
    <t>CAN, SKOR, SAU, SAF</t>
  </si>
  <si>
    <t>All LULUCF non-G20</t>
  </si>
  <si>
    <t>Assumed SSP2</t>
  </si>
  <si>
    <t>Assume Current Policies</t>
  </si>
  <si>
    <t>Breakdown Global (unharmonised)</t>
  </si>
  <si>
    <t>mix</t>
  </si>
  <si>
    <t>excl</t>
  </si>
  <si>
    <t>Harmonisation factor to reach 2010 emissions levels of the emissions pathways for 1.5C / 2C</t>
  </si>
  <si>
    <t>min</t>
  </si>
  <si>
    <t>Impact NDCs</t>
  </si>
  <si>
    <t>Reduction potiential not considered</t>
  </si>
  <si>
    <t>About 2015 emissions for the UNEP pathways 2019</t>
  </si>
  <si>
    <t>max</t>
  </si>
  <si>
    <t>Remaining LULUCF CO2 (G minus EU)</t>
  </si>
  <si>
    <t>Results 12 October 2020 (Revised)</t>
  </si>
  <si>
    <t>Results 14 April 2020 (NDC Tool)</t>
  </si>
  <si>
    <t>Remaining LULUCF CO2 (Blank)</t>
  </si>
  <si>
    <t>Total emissions (All G and Blank)</t>
  </si>
  <si>
    <t>Share of total emissions in 2010</t>
  </si>
  <si>
    <t>Impacts Update NDCs</t>
  </si>
  <si>
    <t>Impact:</t>
  </si>
  <si>
    <t>Combined effect lower NDCs, but lower surplus</t>
  </si>
  <si>
    <t>Effect of lower surplus</t>
  </si>
  <si>
    <t>Effect of enhanced EU, but lower Brazil</t>
  </si>
  <si>
    <t>non-G20</t>
  </si>
  <si>
    <t>Unconditiona</t>
  </si>
  <si>
    <t xml:space="preserve">The October spreadsheet assumes a rather low conditional NDC for China, whereas </t>
  </si>
  <si>
    <t>in the updated calculations the Unconditional and Conditional target are the same</t>
  </si>
  <si>
    <t>SSP2 assumptions</t>
  </si>
  <si>
    <t>All remaining countries</t>
  </si>
  <si>
    <t>EU individual countries</t>
  </si>
  <si>
    <t>Correction Canada, SAF</t>
  </si>
  <si>
    <t>Harmonisation</t>
  </si>
  <si>
    <t>All remaining countries + harmonisation</t>
  </si>
  <si>
    <t>Other non-G20</t>
  </si>
  <si>
    <t>G20 countries</t>
  </si>
  <si>
    <t>CurPol assumptons</t>
  </si>
  <si>
    <t>Non-G20</t>
  </si>
  <si>
    <t>Including surpluses</t>
  </si>
  <si>
    <t>Selected 26 countries</t>
  </si>
  <si>
    <t>Excluding surpluses</t>
  </si>
  <si>
    <t>Current Policies (2021 - 2030)</t>
  </si>
  <si>
    <t xml:space="preserve">Source: </t>
  </si>
  <si>
    <t>Residual emissions LULUCF</t>
  </si>
  <si>
    <t>Current policies scenarios</t>
  </si>
  <si>
    <t xml:space="preserve">IIASA calculations (under development) based on inventory data and national communications. The database is almost ready and will be documented later. </t>
  </si>
  <si>
    <t>Nascimento, L., et al., Greenhouse gas mitigation scenarios for major emitting countries. Analysis of current climate policies and mitigation commitments: 2023 Update, 2023: NewClimate Institute (Cologne, Germany), PBL (The Hague, the Netherlands), IIASA (Austria), https://newclimate.org/resources/publications/emissions-scenarios-for-major-economies-2023-update.</t>
  </si>
  <si>
    <t>National inventory data, as reported in : Nascimento et al. (2013) for the major emitting countries, and for the other countries</t>
  </si>
  <si>
    <t>Gütschow, J. and M. Pflüger, The PRIMAP-hist national historical emissions time series v2.5 (1750-2022). zenodo, 2023.</t>
  </si>
  <si>
    <t>NDC targets</t>
  </si>
  <si>
    <t>den Elzen, M.G.J., et al., The impact of policy and model uncertainties on emissions projections of the Paris Agreement pledges. Environmental Research Letters, 2023. 18(5): p. 054026.</t>
  </si>
  <si>
    <t>Net-zero target status</t>
  </si>
  <si>
    <t>LULUCF CO2 emissions from FAO STAT</t>
  </si>
  <si>
    <t>Annex I</t>
  </si>
  <si>
    <t>Factsheet</t>
  </si>
  <si>
    <t>Emission</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</si>
  <si>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</si>
  <si>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</si>
  <si>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</si>
  <si>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</si>
  <si>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</si>
  <si>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</si>
  <si>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</si>
  <si>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</si>
  <si>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</si>
  <si>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</si>
  <si>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</si>
  <si>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</si>
  <si>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</si>
  <si>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</si>
  <si>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</si>
  <si>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</si>
  <si>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</si>
  <si>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</si>
  <si>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</si>
  <si>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</si>
  <si>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</si>
  <si>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</si>
  <si>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</si>
  <si>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</si>
  <si>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</si>
  <si>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</si>
  <si>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</si>
  <si>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</si>
  <si>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</si>
  <si>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</si>
  <si>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</si>
  <si>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</si>
  <si>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</si>
  <si>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</si>
  <si>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</si>
  <si>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</si>
  <si>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</si>
  <si>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</si>
  <si>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</si>
  <si>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</si>
  <si>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</si>
  <si>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Value BAU</t>
  </si>
  <si>
    <t>Value un-conditional</t>
  </si>
  <si>
    <t>Value conditional</t>
  </si>
  <si>
    <t>change vs.2021</t>
  </si>
  <si>
    <t>Value BAU - 2050</t>
  </si>
  <si>
    <t>Value LTS - 2050</t>
  </si>
  <si>
    <t>Value BAU - 2060</t>
  </si>
  <si>
    <t>Value LTS - 2060</t>
  </si>
  <si>
    <t>change vs.NDC</t>
  </si>
  <si>
    <t>5 year average around 2015</t>
  </si>
  <si>
    <t>Including</t>
  </si>
  <si>
    <t>Excluding</t>
  </si>
  <si>
    <t/>
  </si>
  <si>
    <t xml:space="preserve">FAOSTAT (2021). Land Use Emissions, &lt;http://www.fao.org/faostat/en/#data/GL&gt; </t>
  </si>
  <si>
    <t>Residual emissions as % 2021 emissions</t>
  </si>
  <si>
    <t>Column1</t>
  </si>
  <si>
    <t>residual LULUCF emissions in 2050</t>
  </si>
  <si>
    <t>%-share in 2021</t>
  </si>
  <si>
    <t>%/yr</t>
  </si>
  <si>
    <t>Population</t>
  </si>
  <si>
    <t>from file: Infographics version 24March 2020</t>
  </si>
  <si>
    <t>WPP 2019 Total population estimates</t>
  </si>
  <si>
    <t>Population 1990-2020</t>
  </si>
  <si>
    <t>WPP2019 medium variant</t>
  </si>
  <si>
    <t>(head)</t>
  </si>
  <si>
    <t>linked</t>
  </si>
  <si>
    <t>sumif</t>
  </si>
  <si>
    <t>RER2004</t>
  </si>
  <si>
    <t>ISO A3</t>
  </si>
  <si>
    <t>TIMER/FAIR</t>
  </si>
  <si>
    <t>LULUCF CO2</t>
  </si>
  <si>
    <t>tr19/20</t>
  </si>
  <si>
    <t>tr20/21</t>
  </si>
  <si>
    <t>Netherlands Antilles/Curacao</t>
  </si>
  <si>
    <t>CUW</t>
  </si>
  <si>
    <t>SCG</t>
  </si>
  <si>
    <t>EU</t>
  </si>
  <si>
    <t>Other Non-Annex I</t>
  </si>
  <si>
    <t>Global</t>
  </si>
  <si>
    <t>Oud:</t>
  </si>
  <si>
    <t>GDP</t>
  </si>
  <si>
    <t>Em/GDP</t>
  </si>
  <si>
    <t>Nieuw:</t>
  </si>
  <si>
    <t>from file: 19-08-23-1f-EDGAR pop+GDP in main tables in FT2018 format= raw, pc and top 30 for MdE</t>
  </si>
  <si>
    <t>GDP-PPP 1990-2018</t>
  </si>
  <si>
    <t>(constant US$(2011))</t>
  </si>
  <si>
    <t>MON</t>
  </si>
  <si>
    <t>SEA</t>
  </si>
  <si>
    <t>Income</t>
  </si>
  <si>
    <t>Incomeper capita</t>
  </si>
  <si>
    <t>Emissions per capita</t>
  </si>
  <si>
    <t>Legally binding</t>
  </si>
  <si>
    <t>Rogelj analysis</t>
  </si>
  <si>
    <t>Published plan (BOLD: manually coded)</t>
  </si>
  <si>
    <t>CurPol 10% below</t>
  </si>
  <si>
    <t>Rogelj et al</t>
  </si>
  <si>
    <t>Equity</t>
  </si>
  <si>
    <t>Nascimento et al</t>
  </si>
  <si>
    <t>LTS</t>
  </si>
  <si>
    <t>Climate Resource</t>
  </si>
  <si>
    <t>CAT latest</t>
  </si>
  <si>
    <t>JRC 2021</t>
  </si>
  <si>
    <t>Nascimento 2021 - LSEG</t>
  </si>
  <si>
    <t>Nascimento 2022 - PBL NewClimate IIASA</t>
  </si>
  <si>
    <t>EGR2022</t>
  </si>
  <si>
    <t>https://climateactiontracker.org/countries/nepal/</t>
  </si>
  <si>
    <t xml:space="preserve">CAT Sept 2021 update. LULUCF emissions in 2020 and 2030 assumed to remain constant at the level of the last inventory data year (2011) due to the lack of information. Values in AR4 GWPs used without conversion to AR6 GWPs due to the uncertainty on the LULUCF emission levels. </t>
  </si>
  <si>
    <t>Long-term strategy (https://unfccc.int/sites/default/files/resource/NepalLTLEDS.pdf) assessed by authors based on the Climate Action Tracker assessment framework.</t>
  </si>
  <si>
    <t>n</t>
  </si>
  <si>
    <t>Credible</t>
  </si>
  <si>
    <t>N</t>
  </si>
  <si>
    <t>CO2</t>
  </si>
  <si>
    <t>MtCO2e/yr</t>
  </si>
  <si>
    <t>https://newclimate.org/sites/default/files/2021/11/NewClimate_TrackingCurrentPolicies_Nov21.pdf</t>
  </si>
  <si>
    <t>Based on the average of high and low projections by Nascimento et al. (2021): https://newclimate.org/sites/default/files/2021/11/NewClimate_TrackingCurrentPolicies_Nov21.pdf</t>
  </si>
  <si>
    <t>See 'CAT_NZ_Nov22' sheet</t>
  </si>
  <si>
    <t>GHG</t>
  </si>
  <si>
    <t>Based on the BAU scenario reported in the long-term strategy document (https://unfccc.int/sites/default/files/resource/KHM_LTS_Dec2021.pdf)</t>
  </si>
  <si>
    <t>Long-term strategy (https://unfccc.int/sites/default/files/resource/KHM_LTS_Dec2021.pdf) assessed by authors based on the Climate Action Tracker assessment framework.</t>
  </si>
  <si>
    <t>http://doi.org/10.2760/410610</t>
  </si>
  <si>
    <t>Keramidas et al. (2021)</t>
  </si>
  <si>
    <t>y</t>
  </si>
  <si>
    <t>Y</t>
  </si>
  <si>
    <t>As of November 2022, Israel has not published an official document (https://www.timesofisrael.com/israel-joins-us-canada-plan-for-net-zero-carbon-emissions-in-government-by-2050/). The official long-term target is an 85% reduction from 2015 levels by 2050 (https://www.gov.il/BlobFolder/reports/implementation-plan/en/climate_change_and_energy_efficiency_implementation-plan-en.pdf)</t>
  </si>
  <si>
    <t>NOTARGET</t>
  </si>
  <si>
    <t>No NetZero target</t>
  </si>
  <si>
    <t>https://newclimate.org/resources/publications/emissions-scenarios-for-major-economies-2022-update</t>
  </si>
  <si>
    <t>No NZT</t>
  </si>
  <si>
    <t>UNCLEAR</t>
  </si>
  <si>
    <t>Last CAT assessment in Nov 2021</t>
  </si>
  <si>
    <t>CAT NZT evaluation Nov 2021</t>
  </si>
  <si>
    <t>https://climateactiontracker.org/countries/nigeria/</t>
  </si>
  <si>
    <t>The latest planning document states the 2050 net zero target, but the planning only goes up to 2025 (https://rmke12.epu.gov.my/file/download/2021092722_twelfth_malaysia_plan.pdf?path=fileUpload/2021/09/2021092722_twelfth_malaysia_plan.pdf&amp;name=Twelfth%20Plan%20Document.pdf)</t>
  </si>
  <si>
    <t>Figure 3.4 UNEP Emissions Gap report Chapter 3</t>
  </si>
  <si>
    <t>United Kingdom of Great Britain and Northern Ireland</t>
  </si>
  <si>
    <t>2 of 3 says yes (CAT say no). CAT not on track, JRC and PBL shows more than -10% reduction. Nascimento et al 2022 reports  between -19% and -5% below 2015 levels. JRC also has a decrease of more than 20%</t>
  </si>
  <si>
    <t xml:space="preserve">2 of 3 says yes (CAT say no). </t>
  </si>
  <si>
    <t>Republic of Korea</t>
  </si>
  <si>
    <t>2 of 3 says no. Only CAT lower bound projects -20% reduction. Nascimento et al 2022 reports  between -31% and -18% below 2015 levels. JRC shows similar result</t>
  </si>
  <si>
    <t xml:space="preserve">3 of 4 says no, incl. official projection. Only JRC projects -21% reduction. Official projections also only -3%. Nascimento et al 2022 reports between -3% and 0% below 2015 levels. </t>
  </si>
  <si>
    <t>3 of 5 says no. Nascimento et al 2022 reports between -34% to -16% below 2015 levels. JRC reports an increase</t>
  </si>
  <si>
    <t>Current policy projection on downward path (2030 emissions at least 10% below last historic data point)</t>
  </si>
  <si>
    <t>NDC on downward path (2030 emissions at least 10% below last historic data point)</t>
  </si>
  <si>
    <t>Source Current Policy projection trends</t>
  </si>
  <si>
    <t>Current policy trends (and 2020 emission estimates where relevant) - assessment notes for 10% threshold</t>
  </si>
  <si>
    <t>Published plan assessment notes</t>
  </si>
  <si>
    <t>20% below 2020</t>
  </si>
  <si>
    <t>0% below 2020</t>
  </si>
  <si>
    <t>10% below 2020</t>
  </si>
  <si>
    <r>
      <rPr>
        <sz val="8"/>
        <color rgb="FF000000"/>
        <rFont val="Arial"/>
        <family val="2"/>
      </rPr>
      <t>Published plan (</t>
    </r>
    <r>
      <rPr>
        <b/>
        <sz val="8"/>
        <color rgb="FF000000"/>
        <rFont val="Arial"/>
        <family val="2"/>
      </rPr>
      <t>BOLD: manually coded</t>
    </r>
    <r>
      <rPr>
        <sz val="8"/>
        <color rgb="FF000000"/>
        <rFont val="Arial"/>
        <family val="2"/>
      </rPr>
      <t>)</t>
    </r>
  </si>
  <si>
    <t>Net zero target applicable to</t>
  </si>
  <si>
    <t>Year</t>
  </si>
  <si>
    <t>Share of global emissions</t>
  </si>
  <si>
    <t>Emissions (MtCO2e/yr, 2019)</t>
  </si>
  <si>
    <t>Unit</t>
  </si>
  <si>
    <t>UNEP EGR2023 implementation progress assessment</t>
  </si>
  <si>
    <t>Confidence assessment</t>
  </si>
  <si>
    <t>Added 23 Feb</t>
  </si>
  <si>
    <t>Current policy projection on downward path (2030 emissions, incl. LULUCF, at least 10% below 2020)</t>
  </si>
  <si>
    <t>CAIT Data</t>
  </si>
  <si>
    <t>Current Policies</t>
  </si>
  <si>
    <t>NDC Emissions</t>
  </si>
  <si>
    <t>Current emissions</t>
  </si>
  <si>
    <t>3LC</t>
  </si>
  <si>
    <t>OLD-NOT USED</t>
  </si>
  <si>
    <t>CAT</t>
  </si>
  <si>
    <t>EGR2023</t>
  </si>
  <si>
    <t>CLIMATE WATCH ANALYSIS</t>
  </si>
  <si>
    <t>EGR 2022 ANALYSIS (Fig 3_4), extended with other sources (all incl. LULUCF)</t>
  </si>
  <si>
    <t>Country Code</t>
  </si>
  <si>
    <t>Access to electricity (% of population)</t>
  </si>
  <si>
    <t>International migrant stock (% of population)</t>
  </si>
  <si>
    <t>Population, total</t>
  </si>
  <si>
    <t>Control of Corruption: Estimate</t>
  </si>
  <si>
    <t>Government Effectiveness: Estimate</t>
  </si>
  <si>
    <t>Political Stability and Absence of Violence/Terrorism: Estimate</t>
  </si>
  <si>
    <t>Regulatory Quality: Estimate</t>
  </si>
  <si>
    <t>Rule of Law: Estimate</t>
  </si>
  <si>
    <t>Voice and Accountability: Estimate</t>
  </si>
  <si>
    <t>Renewable electricity output (GWh) [4.1.2_REN.ELECTRICITY.OUTPUT]</t>
  </si>
  <si>
    <t>Renewable electricity share of total electricity output (%) [4.1_SHARE.RE.IN.ELECTRICITY]</t>
  </si>
  <si>
    <t>Renewable energy consumption (TJ) [3.1_RE.CONSUMPTION]</t>
  </si>
  <si>
    <t>Renewable energy share of TFEC (%) [2.1_SHARE.TOTAL.RE.IN.TFEC]</t>
  </si>
  <si>
    <t>Total electricity output (GWh) [4.1.1_TOTAL.ELECTRICITY.OUTPUT]</t>
  </si>
  <si>
    <t>Total final energy consumption (TFEC) (TJ) [1.1_TOTAL.FINAL.ENERGY.CONSUM]</t>
  </si>
  <si>
    <t>CO2 emissions (metric tons per capita)_x</t>
  </si>
  <si>
    <t>Electricity production from coal sources (% of total)</t>
  </si>
  <si>
    <t>Forest area (% of land area)</t>
  </si>
  <si>
    <t>Methane emissions (metric tons of CO2 equivalent per capita)</t>
  </si>
  <si>
    <t>Net migration</t>
  </si>
  <si>
    <t>Nitrous oxide emissions (metric tons of CO2 equivalent per capita)</t>
  </si>
  <si>
    <t>Population density (people per sq. km of land area)</t>
  </si>
  <si>
    <t>Annual deforestation (% of change) - (for online table only)</t>
  </si>
  <si>
    <t>Coal rents (% of GDP)</t>
  </si>
  <si>
    <t>GDP (constant 2015 US$)</t>
  </si>
  <si>
    <t>GDP per capita (constant 2015 US$)</t>
  </si>
  <si>
    <t>Natural gas rents (% of GDP)</t>
  </si>
  <si>
    <t>Oil rents (% of GDP)</t>
  </si>
  <si>
    <t>Arable land (% of land area)</t>
  </si>
  <si>
    <t>CO2 emissions by sector (Mt CO2 eq) - Building</t>
  </si>
  <si>
    <t>CO2 emissions by sector (Mt CO2 eq) - Industrial Processes</t>
  </si>
  <si>
    <t>CO2 emissions by sector (Mt CO2 eq) - Transportation</t>
  </si>
  <si>
    <t>GHG growth (annual %)</t>
  </si>
  <si>
    <t>Non-CO2 GHG emissions by sector (Mt CO2 eq) - Agriculture</t>
  </si>
  <si>
    <t>Non-CO2 GHG emissions by sector (Mt CO2 eq) - Industrial Processes</t>
  </si>
  <si>
    <t>Per capita GHG emissions (tons/capita)</t>
  </si>
  <si>
    <t>Total GHG emissions by sector (Mt CO2 eq) - Agriculture</t>
  </si>
  <si>
    <t>Total GHG emissions by sector (Mt CO2 eq) - Building</t>
  </si>
  <si>
    <t>Total GHG emissions by sector (Mt CO2 eq) - Industrial Processes</t>
  </si>
  <si>
    <t>Total GHG emissions by sector (Mt CO2 eq) - Transportation</t>
  </si>
  <si>
    <t>Expected Years of Schooling</t>
  </si>
  <si>
    <t>Gross National Income (GNI) per capita</t>
  </si>
  <si>
    <t>Human Development Index (HDI)</t>
  </si>
  <si>
    <t>Life Expectancy</t>
  </si>
  <si>
    <t>Mean Years of Schooling</t>
  </si>
  <si>
    <t>INFORM Risk Index</t>
  </si>
  <si>
    <t>Total GHG Emissions</t>
  </si>
  <si>
    <t>TREND_GDP (constant 2015 US$)</t>
  </si>
  <si>
    <t>TREND_Mean Years of Schooling</t>
  </si>
  <si>
    <t>TREND_Population density (people per sq. km of land area)</t>
  </si>
  <si>
    <t>TREND_Population, total</t>
  </si>
  <si>
    <t>Avg reduction percentage from 2022</t>
  </si>
  <si>
    <t>Peaked</t>
  </si>
  <si>
    <t>Per capita GHG emissions</t>
  </si>
  <si>
    <t>LULUCF CurPol 2030</t>
  </si>
  <si>
    <t>China, India using NDC</t>
  </si>
  <si>
    <t>No NDC estimate from IIASA</t>
  </si>
  <si>
    <t>Option 1</t>
  </si>
  <si>
    <t>Option 2</t>
  </si>
  <si>
    <t>Option 3</t>
  </si>
  <si>
    <t>LULUCF instead of CurPol</t>
  </si>
  <si>
    <t>Harmonised NGHGI</t>
  </si>
  <si>
    <t>Using NDC targets IIASA</t>
  </si>
  <si>
    <t>Using  CurPol IIASA</t>
  </si>
  <si>
    <t>Using  CurPol IMAGE</t>
  </si>
  <si>
    <t>Factsheets</t>
  </si>
  <si>
    <t xml:space="preserve">NDC targets </t>
  </si>
  <si>
    <t>NDC targets incl LULUCF</t>
  </si>
  <si>
    <t>New analysis IIASA (2024)</t>
  </si>
  <si>
    <t>IIASA</t>
  </si>
  <si>
    <t>Earlier NDC analysis of MitAdap</t>
  </si>
  <si>
    <t>IMAGE</t>
  </si>
  <si>
    <t>NDC targets excl LULUCF</t>
  </si>
  <si>
    <t>LULUCF accounting</t>
  </si>
  <si>
    <t>INCreased LULUCF sink rel Cur Pol</t>
  </si>
  <si>
    <t>INCreased LULUCF sink rel 2019</t>
  </si>
  <si>
    <t>Min NDC, CurPol</t>
  </si>
  <si>
    <t>2030 current policies</t>
  </si>
  <si>
    <t>Incr easerelative to 2015</t>
  </si>
  <si>
    <t>Updated estimate</t>
  </si>
  <si>
    <t>Reduction</t>
  </si>
  <si>
    <t>D.R.Congo</t>
  </si>
  <si>
    <t>Others</t>
  </si>
  <si>
    <t>C. Afr. R.</t>
  </si>
  <si>
    <t>Harmonisation LULUCF</t>
  </si>
  <si>
    <t>Global Harmonised</t>
  </si>
  <si>
    <t>FAO2021</t>
  </si>
  <si>
    <t>average 2015:</t>
  </si>
  <si>
    <t>Possible adjust following article</t>
  </si>
  <si>
    <t>Increase in 2030</t>
  </si>
  <si>
    <t>G20 (incl LULUCF)</t>
  </si>
  <si>
    <t>LULIUCF emissions</t>
  </si>
  <si>
    <t>Uncond. Average</t>
  </si>
  <si>
    <t>Cond. Average</t>
  </si>
  <si>
    <t>2030 NDC target</t>
  </si>
  <si>
    <t>Increased LULUCF sinks</t>
  </si>
  <si>
    <t>Model</t>
  </si>
  <si>
    <t>Scenario</t>
  </si>
  <si>
    <t>Region</t>
  </si>
  <si>
    <t>Variable</t>
  </si>
  <si>
    <t>Growth Since 2015</t>
  </si>
  <si>
    <t>IMAGE 3.1</t>
  </si>
  <si>
    <t>SSP2</t>
  </si>
  <si>
    <t>LULUCF GHG</t>
  </si>
  <si>
    <t>N/A</t>
  </si>
  <si>
    <t>Rest C Am</t>
  </si>
  <si>
    <t>Rest S Am</t>
  </si>
  <si>
    <t>N Africa</t>
  </si>
  <si>
    <t>W Africa</t>
  </si>
  <si>
    <t>E Africa</t>
  </si>
  <si>
    <t>W Europe</t>
  </si>
  <si>
    <t>C Europe</t>
  </si>
  <si>
    <t>Asia-Stan</t>
  </si>
  <si>
    <t>Russia+</t>
  </si>
  <si>
    <t>Mid E</t>
  </si>
  <si>
    <t>Korea</t>
  </si>
  <si>
    <t>SE Asia</t>
  </si>
  <si>
    <t>Rest S Asia</t>
  </si>
  <si>
    <t>Rest S Africa</t>
  </si>
  <si>
    <t>World</t>
  </si>
  <si>
    <t>CurPol</t>
  </si>
  <si>
    <t>`</t>
  </si>
  <si>
    <t>Adjust for Incl/Excl LULUCF</t>
  </si>
  <si>
    <t>Important for Canada, etc.</t>
  </si>
  <si>
    <t>Current Policies 2030 incl LULUCF</t>
  </si>
  <si>
    <t>Current Policies 2030 excl LULUCF</t>
  </si>
  <si>
    <t>GHG emissions incl LULUCF</t>
  </si>
  <si>
    <t>GHG emissions excl LULUCF</t>
  </si>
  <si>
    <t>Reduction rate 2021 to NZ target2</t>
  </si>
  <si>
    <t>Reduction rate CurPol to NZ target</t>
  </si>
  <si>
    <t>Reduction rate NDC to NZ target</t>
  </si>
  <si>
    <t>Current Policies (2021 - 2030)2</t>
  </si>
  <si>
    <t>Reduction rate CurPol to NZ target3</t>
  </si>
  <si>
    <t>Reduction rate 2021 to NZ target24</t>
  </si>
  <si>
    <t>Reduction rate NDC to NZ target5</t>
  </si>
  <si>
    <t>A</t>
  </si>
  <si>
    <t>Commentaar index</t>
  </si>
  <si>
    <t>Rogelj</t>
  </si>
  <si>
    <t>Confidence assessment2</t>
  </si>
  <si>
    <t>EGR 2023</t>
  </si>
  <si>
    <t>Smith etal</t>
  </si>
  <si>
    <t>Notation keys:</t>
  </si>
  <si>
    <t>IE</t>
  </si>
  <si>
    <t>Included elsewhere</t>
  </si>
  <si>
    <t>Supplementary Data 2</t>
  </si>
  <si>
    <t>NA</t>
  </si>
  <si>
    <t>Not applicable</t>
  </si>
  <si>
    <t xml:space="preserve">NE </t>
  </si>
  <si>
    <t>Not estimated</t>
  </si>
  <si>
    <t xml:space="preserve">Description: </t>
  </si>
  <si>
    <t xml:space="preserve">Table containing all data collated on residual emissions from scenarios or pathways within LT-LEDS. </t>
  </si>
  <si>
    <r>
      <t>Residual emissions (Mt CO</t>
    </r>
    <r>
      <rPr>
        <vertAlign val="subscript"/>
        <sz val="9"/>
        <rFont val="Aptos Narrow"/>
        <family val="2"/>
        <scheme val="minor"/>
      </rPr>
      <t>2</t>
    </r>
    <r>
      <rPr>
        <sz val="9"/>
        <rFont val="Aptos Narrow"/>
        <family val="2"/>
        <scheme val="minor"/>
      </rPr>
      <t>e)</t>
    </r>
  </si>
  <si>
    <t>Residual emissions (%)</t>
  </si>
  <si>
    <r>
      <t>Net-negative emissions or international offsets (Mt CO</t>
    </r>
    <r>
      <rPr>
        <vertAlign val="subscript"/>
        <sz val="9"/>
        <rFont val="Aptos Narrow"/>
        <family val="2"/>
        <scheme val="minor"/>
      </rPr>
      <t>2[e]</t>
    </r>
    <r>
      <rPr>
        <sz val="9"/>
        <rFont val="Aptos Narrow"/>
        <family val="2"/>
        <scheme val="minor"/>
      </rPr>
      <t>)</t>
    </r>
  </si>
  <si>
    <t>Quantification of residual emissions</t>
  </si>
  <si>
    <t>Quantification of residual emissions by sector</t>
  </si>
  <si>
    <t>Summary</t>
  </si>
  <si>
    <t>Scenario name</t>
  </si>
  <si>
    <t>Page reference - residual emissions</t>
  </si>
  <si>
    <t>Energy</t>
  </si>
  <si>
    <t>Transport</t>
  </si>
  <si>
    <t>Industry</t>
  </si>
  <si>
    <t>Agriculture</t>
  </si>
  <si>
    <t>Waste</t>
  </si>
  <si>
    <t>International aviation &amp; shipping</t>
  </si>
  <si>
    <t>Total Residual Emissions</t>
  </si>
  <si>
    <t>Year of residual emissions</t>
  </si>
  <si>
    <t>Allocation from strategy format to national sectors</t>
  </si>
  <si>
    <t>Energy %</t>
  </si>
  <si>
    <t>Transport %</t>
  </si>
  <si>
    <t>Industry %</t>
  </si>
  <si>
    <t>Agriculture %</t>
  </si>
  <si>
    <t>Waste %</t>
  </si>
  <si>
    <t>Other %</t>
  </si>
  <si>
    <t>International aviation &amp; shipping %</t>
  </si>
  <si>
    <t>Page reference - net-negative emissions</t>
  </si>
  <si>
    <t>Engineered-CDR</t>
  </si>
  <si>
    <t>DACCS</t>
  </si>
  <si>
    <t>BECCS</t>
  </si>
  <si>
    <t>International offsets</t>
  </si>
  <si>
    <t>Limitation to presentation</t>
  </si>
  <si>
    <t>Description of limitation</t>
  </si>
  <si>
    <t>Latest year emissions (MtCO2e)</t>
  </si>
  <si>
    <t>Latest year</t>
  </si>
  <si>
    <t>Value detail:</t>
  </si>
  <si>
    <t>Residual emissions as a percentage of latest year %</t>
  </si>
  <si>
    <t>Peak year emissions (MtCO2e)</t>
  </si>
  <si>
    <t>Year of peak emissions</t>
  </si>
  <si>
    <t>Residual emissions as a percentage of peak year %</t>
  </si>
  <si>
    <t>Latest year emissions as a percentage of peak year %</t>
  </si>
  <si>
    <t>Energy LY emissions</t>
  </si>
  <si>
    <t>Transport LY emissions</t>
  </si>
  <si>
    <t>Industry LY emissions</t>
  </si>
  <si>
    <t>Agriculture LY emissions</t>
  </si>
  <si>
    <t>Waste LY emissions</t>
  </si>
  <si>
    <t>Other LY emissions</t>
  </si>
  <si>
    <t>International aviation &amp; shipping LY emissions</t>
  </si>
  <si>
    <t>Energy % reduction on LY</t>
  </si>
  <si>
    <t>Transport % reduction on LY</t>
  </si>
  <si>
    <t>Industry % reduction on LY</t>
  </si>
  <si>
    <t>Agriculture % reduction on LY</t>
  </si>
  <si>
    <t>Waste % reduction on LY</t>
  </si>
  <si>
    <t>Unallocated % reduction on LY</t>
  </si>
  <si>
    <t>International aviation &amp; shipping % reduction on LY</t>
  </si>
  <si>
    <t>×</t>
  </si>
  <si>
    <t>China's LT-LEDS presents no modelling, but rather explores, in qualitative terms and in reference to statistics, a series of strategic visions and priorities, found in Chapter 2, Page 7 onwards.</t>
  </si>
  <si>
    <t>-</t>
  </si>
  <si>
    <r>
      <t xml:space="preserve"> </t>
    </r>
    <r>
      <rPr>
        <sz val="9"/>
        <color theme="3"/>
        <rFont val="Wingdings"/>
        <charset val="2"/>
      </rPr>
      <t>ü</t>
    </r>
  </si>
  <si>
    <t xml:space="preserve">The USA's LT-LEDS presents a total of 12 modelled scenarios across a range of technological assumptions. These are detailed in Table 1 on Page 22. Figure 3 presents a stepwise 'representative' emission reduction pathway with 7 alternative pathways explored. The representative pathways 'provides a rough approximation for reaching net-zero emissions using contributions from all sectors', as detailed on Page 22. The results of modelled pathways serve as modelled ranges across a series of figure supporting sector level analysis in Chapters 4-6. Figure 3's presentation, however, means residual emissions at the time of the net-zero target cannot be determined. Figure 17, on Page 45, provides a means of estimating residual emissions, however, sectoral detail is not supplied. Nor are specific values cited elsewhere within the text.  Some limited detail of residual emissions in 2050 by gas, including fluorinated gases, can be found in Figure 12 and 13, Pages 36 and 37 respectively. These, however, do not appear to show differing levels, with Figure 13 implying residuals for nitrous oxide comparative to methane, however nitrous oxide is visibly lower in Figure 12. These estimates, therefore, cannot be used with accuracy to determine residual emissions. We therefore approximate residual emissions from the Figure 17 itself. </t>
  </si>
  <si>
    <t>Representative Pathway</t>
  </si>
  <si>
    <t>Figure 17, on Page 45</t>
  </si>
  <si>
    <t>No sectoral estimates, so no allocation required.</t>
  </si>
  <si>
    <t xml:space="preserve">Figure 17, on Page 45, Estimates read off Figure. LULUCF refers to values for 'land sink'. </t>
  </si>
  <si>
    <t>Latest year value from UNFCCC official data, excluding LULUCF</t>
  </si>
  <si>
    <t>Peak year value from UNFCCC official data, excluding LULUCF</t>
  </si>
  <si>
    <t xml:space="preserve">India's LT-LEDS present no modelling, but is structured according to 7 'key low-carbon development transitions' supported by Inter-Ministerial Task Groups. Transitions are detailed in Chapter 2, beginning on Page 25, with each addressing a different part of the economy.  </t>
  </si>
  <si>
    <t>Russia</t>
  </si>
  <si>
    <t>Russia's LT-LEDS presents two scenarios; the 'inertial scenario' and 'target (intensive) scenario'. The 'target (intensive) scenario' is the preferred scenario, as stated on Page 33 'As a basis for the implementation of the Strategy, it is proposed to use the target (intensive) scenario' and Page 15 'In view of the above, the inertial scenario is not considered as the main one. In order to fulfill the task set in the address of the President of the Russian Federation to the Federal Assembly of the Russian Federation dated April 21, 2021, and to minimize these risks, it is proposed to consider the target (intensive) scenario as the main one'. 
The 'target (intensive) scenario' is thought to represent an 'additional policy' scenario, owing to the inclusion of 'additional emission reduction measures' (Page 15). 
The results of each modelled scenario, in terms of the emissions for 2030 and 2050, can be found on Page 34. The results available, however, are not presented according to sectors, but only gross emissions, the net balance of 'adsorption', and the combined net emission balance. Neither scenario reaches net zero GHGs.</t>
  </si>
  <si>
    <t xml:space="preserve">Japan's LT-LEDS presents no modelling, but rather explores, in qualitative terms, and in reference to statistics and historical emissions, a series of sectoral future visions, beginning in Chapter 2, Page 12. </t>
  </si>
  <si>
    <t xml:space="preserve">Indonesia present a series of 3 projections to support it's LT-LEDS. The three pathways include a 'current policy scenario (CPOS)', 'transition scenario (TRNS)' and 'low carbon scenario (LCCP)'. The CPOS scenario extends the policies detailed under Indonesia's unconditional NDC, whilst the LCCP scenario present a level of emissions that will allow Indonesia to achieve it's long-term target of net-zero emissions in 2060 or sooner (see Page 34 'With very progressive mitigation actions under LCCP, the emission level is expected to be compatible with Paris Agreement target. In this scenario, after 2030 the emission decrease at a rate of about 30.7 Mton CO2e per year. If this decreasing rate of the emission can be maintained beyond 2050, Indonesia is expected to gain optimistically opportunity for more rapid progress towards net-zero emission in 2060 or sooner.').
It is the LCCP scenario that forms the basis of Indonesia's policy direction. The achievement of the 2060 net-zero emissions target, however, is not demonstrated in modelling, as the modelling is only presented to 2050. Sectoral emissions, however, can still be determined in 2050. These should not be counted as 'residual', only indicative of the likely sectoral split. Figure 5, Page 34, provides the balance of sources and sinks by sector in 2050, but does not provide exact quantities. Exact quantities per sector in 2050, for the LCCP scenario, are detailed across sectoral chapters, from Page 37-Page 85. </t>
  </si>
  <si>
    <t>Germany's LT-LEDS does not present any modelled pathways or scenarios. Page 4 includes permitted emission volumes by sector up until and including 2030. This would appear to be informed by modelling but it's origins are described as 'Permitted annual emission volumes for different sectors were stipulated in the Federal Climate Change Act'. Given Germany's net zero target date of 2045, this would constitute a near-term projection, not an indication of residual emissions. Page 3 similarly includes a figure detailing a linear projection to Germany's long-term target, but no other detail is provided. Residual emissions are implied, by the extent of the land-use change and forestry sector, as noted on Page 5; 'By 2040, this net carbon sink capacity is to be improved to at least minus 35 million tonnes and at least minus 40 million tonnes by 2040'. The reference to 40 million tonnes is thought to be an error, which should read 2045. This provides a minimum bound for residual emissions to achieve Germany's 2045 net zero target. 
Germany's LT-LEDS appears to be an intermediary document in lieu of a full update to it's prior 2016 Climate Action Plan, as described on Page 3 'An update of the 2016 Climate Action Plan is to follow promptly'.</t>
  </si>
  <si>
    <t xml:space="preserve">Mexico present the modelling of three scenarios, using a general equilibrium (CGE) model of the world economy, with Mexico disaggregated as a region. A baseline scenario is defined, reflecting a trajectory without imposing climate or energy policy constraints and two NDC scenarios, 'NDC Policy' and 'NDC more ambition', which end with the same level of emission in 2050, (50% below 2000 levels, Mexico's long-term target) but chart different trajectories towards 2030, converging around 2045, as shown in Figure 21, Page 73. Scenarios, however, do not reach net zero, nor presented according to residual emissions or sectors. Whilst some data is provided in Figure 22. Page 74, includes only CO2, with other GHGs presented separately elsewhere. </t>
  </si>
  <si>
    <t>Canada's LT-LEDS presents a series of 4 modelled scenarios and projections, described in Table 2 on Page 21. These scenarios describe different technological options regarding the level of negative emissions, hydrogen and renewable deployment and end-use electrification. Results are presented in figures on Page 22, Page 25, Page 28, and Page 31. These are presented as ranges according to the results of three models and summarised in Table 4, Page 34, presenting ranges. Ranges for sectors, however, do not sum to totals, as models likely have different combinations of sectoral emissions. Sectoral emissions, therefore, cannot be accurately determined. The balance of total residual emissions versus removals appears to be near matched across removal rows in Table 4 (DAC and LULUCF). BECCS, however, is presented as integrated into net totals for electricity and industry. As electricity is presented as a net-negative sector, we can assume a minimum bound for BECCS, adding this totals. Owing to the limitations of ranges, we split scenarios into min and max values, representing the pairing of residual emissions and removals, adjusting for BECCS in electricity.</t>
  </si>
  <si>
    <t>Current Assumptions (Max)</t>
  </si>
  <si>
    <t>Table 4, Page 34</t>
  </si>
  <si>
    <t xml:space="preserve">The ranges for sectors, presented in Table 4, Page 34, do not sum to totals, as models used likely have different combinations of sectoral emissions. Sectoral emissions, therefore, cannot be accurately determined. </t>
  </si>
  <si>
    <t>Table 4, Page 34, details scenarios. These include ranges only for DAC and LULUCF, which are equal in magnitude to the range of total emissions from other sectors (for example, a total of 233 would be matched by the sum of DAC and LULUCF). BECCS is subsumed into electricity and industry, meaning this does not reflect the balance of residual versus negative emissions, however, it is possible to adjust residual emissions for the minimum bound for BECCS present in the electricity sector. DAC is allocated to DACCS, making the assumption that no short-term utilisation occurs and DAC deployment leads to durable storage.</t>
  </si>
  <si>
    <r>
      <t xml:space="preserve"> </t>
    </r>
    <r>
      <rPr>
        <sz val="9"/>
        <rFont val="Wingdings"/>
        <charset val="2"/>
      </rPr>
      <t>ü</t>
    </r>
  </si>
  <si>
    <t>BECCS included within 'Industry' and 'Electricity' sectors (as noted in footnotes to Table 4, Page 34). The 'true' level of residuals is therefore likely higher than depicted. A partial correction is possible, as the electricity sector is net-negative, meaning a minimum bound for BECCS, equal to the extent of net-negative emissions within the electricity sector, can be subtracted from residual emission totals.</t>
  </si>
  <si>
    <t xml:space="preserve">Canada's LT-LEDS presents a series of 4 modelled scenarios and projections, described in Table 2 on Page 21. These scenarios describe different technological options regarding the level of negative emissions, hydrogen and renewable deployment and end-use electrification. Results are presented in figures on Page 22, Page 25, Page 28, and Page 31. These are presented as ranges according to the results of three models and summarised in Table 4, Page 34, presenting ranges. Ranges for sectors, however, do not sum to totals, as models likely have different combinations of sectoral emissions. Sectoral emissions, therefore, cannot be accurately determined. The balance of total residual emissions versus removals appears to be near matched across removal rows in Table 4 (DAC and LULUCF). BECCS, however, is presented as integrated into net totals for electricity and industry. As electricity is presented as a net-negative sector, we can assume a minimum bound for BECCS, adding this totals. Owing to the limitations of ranges, we split scenarios into min and max values, representing the pairing of residual emissions and removals, adjusting for BECCS in electricity. </t>
  </si>
  <si>
    <t>Current Assumptions (Min)</t>
  </si>
  <si>
    <t>High Electrification (Max)</t>
  </si>
  <si>
    <t>High Electrification (Min)</t>
  </si>
  <si>
    <t>High Use of Renewable and Alternative Fuels (Max)</t>
  </si>
  <si>
    <t>High Use of Renewable and Alternative Fuels (Min)</t>
  </si>
  <si>
    <t>High Use of Engineered CO2 Removal Technologies (Max)</t>
  </si>
  <si>
    <t>High Use of Engineered CO2 Removal Technologies (Min)</t>
  </si>
  <si>
    <t>South Korea's LT-LEDS present some limited modelling to 2030 relating to it's NDC target only (Page 35). It does not present projections towards it's net zero (carbon neutrality) target, in 2050. It instead sets out a series of general and sectoral 2050 visions exploring policy options, beginning in Chapter 3, Page 46, and continuing in Chapter 4, Page 54. Residual emissions therefore are not quantified.</t>
  </si>
  <si>
    <t xml:space="preserve">Australia's LT-LEDS present a summary of it's pathway in Figure ES.2, Page 15, 'Priority technology contribution to meeting Australia’s net zero by 2050 goal', 'Based on McKinsey and DISER analysis'. Similarly, Figure ES.3, Page 17, present sectoral emission reductions to 2050 according to 'DISER analysis for the Plan (2021)'. It appears, therefore, that analysis by DISER and McKinsey support the strategy, as noted on Page 15 'Analysis to inform our Plan was commissioned from the Department of Industry, Science, Energy and Resources (DISER) and McKinsey &amp; Company (McKinsey)'. To investigate whether these different actors used the same scenario, we analysed the additional 'Modelling and Analysis' annex to the strategy, published on the Australian Government website. This presented the main scenario, named 'the plan' and six additional scenarios in Table 6, Page 59, that form parts of DISER's analysis. It also appears that Mckinsey have undertaken complimentary analysis, as stated in the annex's executive summary 'Modelling was undertaken by DISER, using the Global Trade and Environment Model (GTEM) model, with an experienced team of economists drawn from the Australian Bureau of Agricultural and Resource Economics and Sciences (ABARES), Treasury, the Productivity Commission, CSIRO, as well as from within DISER. The modelling was complemented by analysis commissioned from McKinsey &amp; Company (McKinsey) and DISER’s Office of the Chief Economist'. 
Drawing on 'The Plan' scenario, Table 6 of the 'Modelling and Analysis' annex to the strategy provides detail of residual emissions on a sectoral level, including gross emissions prior to negative emissions, and the use of international offsets. Notably, the net emissions balance after the consideration of negative emissions and international offsets, is still positive, that is, there remains residual emissions that are unaccounted for, in what is intended to be modelling to support a net-zero target. As a result, we discount 'The Plan' scenario, despite this being the main scenario featured within Australia's LT-LEDS, as it does not achieve Australia's long-term target of net zero by 2050. </t>
  </si>
  <si>
    <t>NZE 100%</t>
  </si>
  <si>
    <t>Table 6, Page 59, 'Modelling &amp; Analysis' Annex</t>
  </si>
  <si>
    <t>NE</t>
  </si>
  <si>
    <t>Electricity', 'Stationary energy' and 'Fugitives (from mining)' ['Fugitives (from mining)' considered comparable to mining categories under 1B, IPCC 2006 Guidelines] combined into Energy. 'Industrial emissions' combined into Industry. Waste and IPPU is included in 'Industrial emissions', according to the footnote associated with Table 6, Page 59, 'Modelling &amp; Analysis' Annex.
Sectors/sources, as presented in Strategy:
Electricity: 17 Mt,
Stationary energy: 65 Mt,
Industrial emissions: 27 Mt,
Fugitive (from mining): 21 Mt,
Transport: 31 Mt,
Agriculture: 39 Mt,
Land sector (net source): 0 Mt.</t>
  </si>
  <si>
    <t>Table 6, Page 59 of modelling annex, LULUCF refers to 'Domestic offsets: Land sector'. International offsets refers to 'International offsets: Emissions trading'. DACCS refers to 'Negative emissions (DAC)', making the assumption that no short-term utilisation occurs and DAC deployment leads to durable storage.</t>
  </si>
  <si>
    <t>UNFCCC Inventory Data</t>
  </si>
  <si>
    <t>NZE with offsets</t>
  </si>
  <si>
    <t>'Electricity', 'Stationary energy' and 'Fugitives (from mining)' ['Fugitives (from mining)' considered comparable to mining categories under 1B, IPCC 2006 Guidelines] combined into Energy. 'Industrial emissions' combined into Industry. Waste and IPPU is included in 'Industrial emissions', according to the footnote associated with Table 6, Page 59, 'Modelling &amp; Analysis' Annex.
Sectors/sources, as presented in Strategy:
Electricity: 17 Mt,
Stationary energy: 88 Mt,
Industrial emissions: 54 Mt,
Fugitive (from mining): 23 Mt,
Transport: 57 Mt,
Agriculture: 54 Mt,
Land sector (net source): 0 Mt.</t>
  </si>
  <si>
    <t>NZE no trade</t>
  </si>
  <si>
    <t>'Electricity', 'Stationary energy' and 'Fugitives (from mining)' ['Fugitives (from mining)' considered comparable to mining categories under 1B, IPCC 2006 Guidelines] combined into Energy. 'Industrial emissions' combined into Industry. Waste and IPPU is included in 'Industrial emissions', according to the footnote associated with Table 6, Page 59, 'Modelling &amp; Analysis' Annex.
Sectors/sources, as presented in Strategy:
Electricity: 15 Mt,
Stationary energy: 85 Mt,
Industrial emissions: 49 Mt,
Fugitive (from mining): 21 Mt,
Transport: 52 Mt,
Agriculture: 47 Mt,
Land sector (net source): 0 Mt.</t>
  </si>
  <si>
    <t>NZE no offsets</t>
  </si>
  <si>
    <t>'Electricity', 'Stationary energy' and 'Fugitives (from mining)' ['Fugitives (from mining)' considered comparable to mining categories under 1B, IPCC 2006 Guidelines] combined into Energy. 'Industrial emissions' combined into Industry. Waste and IPPU is included in 'Industrial emissions', according to the footnote associated with Table 6, Page 59, 'Modelling &amp; Analysis' Annex.
Sectors/sources, as presented in Strategy:
Electricity: 13 Mt,
Stationary energy: 78 Mt,
Industrial emissions: 41 Mt,
Fugitive (from mining): 15 Mt,
Transport: 41 Mt,
Agriculture: 32 Mt,
Land sector (net source): 0 Mt.</t>
  </si>
  <si>
    <t xml:space="preserve">South Africa have committed to 'ultimately moving towards a goal of net zero carbon emissions by 2050' (Page 21), but currently present a quantified trajectory known as the 'peak, plateau and decline' trajectory to assess the performance of the LT-LEDS (Page 20). This trajectory does not achieve net zero emissions although South Africa's goal appears to apply solely to carbon and this trajectory is presented only for all GHGs. This trajectory would appear to be a net value, inclusive of any negative emissions from LULUCF or CDR. South Africa have committed to updating this trajectory and further developing projections (Pages 5-7). </t>
  </si>
  <si>
    <t>The United Kingdom's LT-LEDS presents three scenarios, 'High electrification', 'High resource' and 'High innovation'. The results of which are best summarised in Table 4, Page 318, according to a range of sectors and sources. These results are also presented graphically, in Figure 7, Page 71, Figure 9, Page72, and Figure 11, Page 73. Agriculture and LULUCF are combined, meaning the true level of residual emissions in agriculture cannot be determined.</t>
  </si>
  <si>
    <t>High electrification</t>
  </si>
  <si>
    <t>Table 4, Page 318</t>
  </si>
  <si>
    <t>'Waste and F-gases' is allocated to Waste, F-gases, however, would typically be allocation to IPPU and therefore industry. Agriculture and LULUCF presented as combined.
Sectors/sources, as presented in Strategy:
Power: 3 MtCO2e,
Industry: 3 MtCO2e,
Fuel Supply: 0 MtCO2e,
Heat and Buildings: 0 MtCO2e,
Domestic Transport: 3 MtCO2e,
International Aviation and Shipping: 35 MtCO2e,
Agriculture and LULUCF: 20 MtCO2e,
Waste and F-gases: 12 MtCO2e.</t>
  </si>
  <si>
    <t xml:space="preserve">Table 4, Page 318, Agriculture and LULUCF are combined, meaning the extent removals in LULUCF cannot be readily determined. 'Greenhouse Gas Removals' allocated to Engineered-CDR, as indicated on Page 185. </t>
  </si>
  <si>
    <t xml:space="preserve">Agriculture and LULUCF are combined in Table 4, Page 318, meaning the true level of residual emission is likely to be higher. </t>
  </si>
  <si>
    <t>High resource</t>
  </si>
  <si>
    <t>'Power' and 'Fuel Supply' combined into Energy. 'Waste and F-gases' is allocated to Waste, F-gases, however, would typically be allocation to IPPU and therefore industry. Agriculture and LULUCF presented as combined.
Sectors/sources, as presented in Strategy:
Power: 2 MtCO2e,
Industry: 3 MtCO2e,
Fuel Supply: 5 MtCO2e,
Heat and Buildings: 0 MtCO2e,
Domestic Transport: 4 MtCO2e,
International Aviation and Shipping: 35 MtCO2e,
Agriculture and LULUCF: 14 MtCO2e,
Waste and F-gases: 13 MtCO2e</t>
  </si>
  <si>
    <t>High innovation</t>
  </si>
  <si>
    <t>'Power', 'Fuel Supply' and 'Heat and Buildings' combined into Energy. 'Waste and F-gases' is allocated to Waste, F-gases, however, would typically be allocation to IPPU and therefore industry. Agriculture and LULUCF presented as combined.
Sectors/sources, as presented in Strategy:
Power: 1 MtCO2e,
Industry: 10 MtCO2e,
Fuel Supply: 8 MtCO2e,
Heat and Buildings: 2 MtCO2e,
Domestic Transport: 5 MtCO2e,
International Aviation and Shipping: 21 MtCO2e,
Agriculture and LULUCF: 21 MtCO2e,
Waste and F-gases: 13 MtCO2e</t>
  </si>
  <si>
    <t>France presents only one scenario within it's LT-LEDS, a 'With Additional Measures' (WAM) scenario that 'details the public policy measures, in addition to those already in place, which will allow France to meet its short-, medium- and long-term climate and energy objectives. It outlines a possible trajectory for reducing greenhouse gas emissions until carbon neutrality is achieved by 2050, which is used as the basis for defining the carbon budgets.' (Page 17). This scenario was built via stakeholder engagement amongst other alternative scenarios. As noted on page 15, this sole scenario provides for France's long-term target and 'will allow us [France] to define one credible vision for the transition to carbon neutrality'. Residual emissions from this scenario, and removals by sinks, are depicted in the unlabelled figure on Page 168, which correspond approximately in the sector specific figures detail on Page 71, Page 79, Page 86, Page 99, Page 108, and Page 113.</t>
  </si>
  <si>
    <t>With Additional Measures (Avec Mesures Supplémentaires: AMS)</t>
  </si>
  <si>
    <t>Figure, unlabelled, Page 168 - Combined with:
Figure, unlabelled, Page 71 
Figure, unlabelled, Page 79
Figure, unlabelled, Page 86
Figure, unlabelled, Page 99
Figure, unlabelled, Page 108
Figure, unlabelled, Page 113
Text on 'Carbon capture and storage technologies', Page 170.</t>
  </si>
  <si>
    <t xml:space="preserve">Energy production sector' and 'Building sector' assigned to Energy. 'Industrial Sector' allocated to Industry. Total specified on Page 99, adjusted by text on 'Carbon capture and storage technologies' on Page 170, removing the emissions avoided through CCS deployment. 
Sectors/sources, as presented in Strategy:
Transport: 4 MtCO2e (Page 71),
Building sector: 5 MtCO2e (Page 79),
Agriculture sector: 48 MtCO2e (Page 86),
Industrial sector: 16 MtCO2e (Page 99) - 6 MtCO2e avoided through CCS (Page 170),
Energy production sector: 2 MtCO2e (Page 108),
Waste sector: 6 MtCO2e (Page 113).
</t>
  </si>
  <si>
    <t>Figure, unlabelled, Page 168, 'Forests', 'Other land' and 'Wood products' combined into LULUCF. Values estimated from figure itself. 'Carbon capture and storage' is though to relate to the text on Page 170, which states that 'Carbon capture and storage technologies' are comprised of both avoided emissions in industry (6 MtCO2/yr-1) and BECCS (10 MtCO2/yr-1).</t>
  </si>
  <si>
    <t xml:space="preserve">Thailand's LT-LEDS includes a single 'carbon neutrality and net zero GHG emission pathway' to meet carbon neutrality in 2050 and net zero GHG in 2065. The results of this pathways are detailed in Figure 3-2, Page 13, for carbon neutrality, Figure 3-3, Page 14, for the full 'GHG emission pathway'. No data tables are available nor any sectoral quantities cited in the text, however the total residual emissions in 2065, according to Figure 3-3, equates to 120 MtCO2e, as cited in the paragraph above. </t>
  </si>
  <si>
    <t>Thailand’s Net Zero GHG Emission Pathway</t>
  </si>
  <si>
    <t>Figure 3-3, Page 14</t>
  </si>
  <si>
    <t>'IPPU' allocated to Industry. Transport is thought to be included within 'Energy' as detailed in the '2018 Emission Profile' on Page 10.</t>
  </si>
  <si>
    <t>Figure 3-3, Page 14, and text directly above. Note only LULUCF is presented, however, it appears this may be a partial estimate of total removals, owing to the statement made on Page 14, implying BECCS and DACCS may be included in the energy sector: 'Coal phase-out and negative emission technologies in the energy sector, e.g., Bioenergy with CCS (BECCS) or direct air capture and storage, will be necessary in Thailand’s net zero GHG emission pathway.'</t>
  </si>
  <si>
    <t xml:space="preserve">Only LULUCF is shown as compensating for residual emissions. The statement made on Page 14, however, implies BECCS and DACCS may be included in the energy sector: 'Coal phase-out and negative emission technologies in the energy sector, e.g., Bioenergy with CCS (BECCS) or direct air capture and storage, will be necessary in Thailand’s net zero GHG emission pathway.'
If this is the case, the 'true' level of residual emissions is likely higher. </t>
  </si>
  <si>
    <t>2018 value excluding LULUCF from Page 9, Figure 2.4, Data from Fourth National Communication</t>
  </si>
  <si>
    <t xml:space="preserve">2018 value excluding LULUCF from Page 9, Figure 2.4, Data from Fourth National Communication. Using Figure 2.3, Page 9, emissions increase from 2000 to 2018, leaving 2018 as the peak year. </t>
  </si>
  <si>
    <t>From Page 9, Figure 2-4, which in turn originate from Thailand's Fourth National Communication.</t>
  </si>
  <si>
    <t xml:space="preserve">Nigeria's LT-LEDS includes no projections or modelling towards it's long-term target and therefore no quantification of residual emissions. Instead a series of sectoral visions are explored from Page 19 onwards, Section 4. </t>
  </si>
  <si>
    <t xml:space="preserve">Ukraine present a series of scenarios for 'energy and industrial processes sectors' combined. These scenarios appear additive, relating to increasing measures from a range of policy aspects e.g. the most aggressive measures with regarding to mitigation potential refers to 'scenario «Energy efficiency, renewable energy, modernization and innovation, transformation of market and institutions»' with each comma denoting further policy measures. Emission levels in 2050 are detailed in tables found both in the summary, from Page 8-11, and the later 'fourth section', Pages 35-52. No detail on emission levels are presented for two sectors, waste and agriculture, as detailed in the 'fifth section', beginning Page 56. Finally, LULUCF is detailed according to a number of different scenarios regarding the optimisation of forestry management and policy, the most aggressive of which is the '«Forward looking» scenario with optimum forest cover'. It is assumed that the two strictest scenarios can be combined into a single economy wide scenario excluding those sectors that are not detailed in the 'fifth section', therefore offering a partial estimate.
Ukraine's long-term target is a reduction 'of 31-34% by 2050, compare to 1990 level' (Page 13). As the scenarios presented aim to achieve this level of emission reductions, not net zero, no residual emissions are presented. </t>
  </si>
  <si>
    <t xml:space="preserve">The Netherland's does not present projections within it's LT-LEDS, although notes that 'Projected emission reductions and enhancement of removals by 2050' can be found in the Netherland's 'Integrated National Energy and Climate Plan' (NECP). We have not evaluated the projections contained in this separate document, only Netherland's LT-LEDS. As noted on Page 19, The Netherlands have chosen not to develop an EU LTS in the recommended format, under Annex VI of The EU Regulation on the Governance of the Energy Union and Climate Action (EU 2018/1999), which formalises the drawing up of LT-LEDS for EU member states. </t>
  </si>
  <si>
    <t xml:space="preserve">Czech Republic describes a modelling exercise in Section 5 (Page 8) 'CO2 Calculator and an outlook until 2050' but no results are presented. It is not clear whether these are part of domestic policy processes. The exercise is described in past tense, so this looks to be a policy process that has already occurred. No quantification of residual emissions is presented. </t>
  </si>
  <si>
    <t xml:space="preserve">New Zealand's LT-LEDS presents a projection to 2035, in considering its system of domestic carbon budgets (Page 12), but it does not present projections to it's long-term target, nor does it explore different scenarios. In lieu of this detail, New Zealand's LT-LEDS present a series of sectoral visions to 2050 (Page 45 onwards), with some policy details and sectoral estimates in 2035. No quantification of residual emissions is detailed. </t>
  </si>
  <si>
    <t xml:space="preserve">Austria's LT-LEDS presents the main characteristics of four different pathways, pathways A-D, out to 2050, in Table 1, Page 20, denoting different changes to the energy system (notably around hydrogen and bioenergy), contribution from 'natural sinks' and contributions from what is termed by Austria as 'CCS/CCU' (thought to be inclusive of CDR, in addition to CCU and CCS applications, and therefore both avoided and negative emissions depending on the method assessed and its contextual deployment).  
Similarly, Austria details a 'transition scenario' (page 15), complimentary to 'with existing measures' (WEM) and 'with additional measures' (WAM) scenarios common to Biennial Reports and EU reporting obligations under the monitoring mechanism (Regulation 525/2013/EC). The transitions scenario is 'aimed at depicting the greatest possible emission reductions by 2050 on the basis of domestically available resources and technologies and taking lifestyle changes into account' (page 15). Only the main results from this scenario is described, it is not presented in graphical detail. It appears 'climate neutrality is still not achieved' (Page 17) under this scenario and is not considered further. 
Pathways A-D 'depict “what would happen if” situations for which no political decisions have yet been made' (Table 1, page 20). Residual emissions are represented on a percentage basis in Table 1, in the row 'GHG emissions 2050 vs. 1990*'. This row represents emissions 'including air traffic, without sinks, without CCS/CCU', that is, without CDR from engineered or natural methods. No 1990 absolute emissions are presented however. The overall level of residual emissions can be inferred from the contributions of 'CCS/CCU storage quantity 2050', 'Contribution from natural sinks in 2050' and 'Net GHG emissions 2050' rows. 
Pathways A-D, however, are presented in greater sectoral detail in figures from Page 84-88. Residual emissions can be determined by totalling the sectoral estimates depicted in each figure. </t>
  </si>
  <si>
    <t>Pathway A</t>
  </si>
  <si>
    <t>Figure 4, Page 84</t>
  </si>
  <si>
    <t>'Fuel consumption' allocated to 'Energy'. Transport thought to be included within 'fuel consumption' and therefore 'Energy'. 
Sectors/sources, as presented in Strategy:
Agriculture: 4.7 MtCO2e,
Industrial processes: 3.8 MtCO2e,
Fuel consumption: 4.0 MtCO2e,
Waste: 0.2 MtCO2e
Int. air traffic and shipping: 0.1 MtCO2e.</t>
  </si>
  <si>
    <t>Page 84, Figure 4, 'Forest' allocated to LULUCF, 'Carbon sequestration' assumed to relate to engineered-CDR.</t>
  </si>
  <si>
    <t>Pathway B</t>
  </si>
  <si>
    <t>Figure 5, Page 85</t>
  </si>
  <si>
    <t>'Fuel consumption' allocated to 'Energy'. Transport thought to be included within 'fuel consumption' and therefore 'Energy'. 
Sectors/sources, as presented in Strategy:
Agriculture: 5.8 MtCO2e,
Industrial processes: 4.0 MtCO2e,
Fuel consumption: 11.2 MtCO2e,
Waste: 0.4 MtCO2e
Int. air traffic and shipping: 1.0 MtCO2e.</t>
  </si>
  <si>
    <t>Page 85, Figure 5, 'Forest' allocated to LULUCF, 'Carbon sequestration' assumed to relate to engineered-CDR.</t>
  </si>
  <si>
    <t>Pathway C</t>
  </si>
  <si>
    <t>Figure 6, Page 87</t>
  </si>
  <si>
    <t>Fuel consumption' allocated to 'Energy'. Transport thought to be included within 'fuel consumption' and therefore 'Energy'. 
Sectors/sources, as presented in Strategy:
Agriculture: 5.7 MtCO2e,
Industrial processes: 4.0 MtCO2e,
Fuel consumption: 7.8 MtCO2e,
Waste: 0.4 MtCO2e
Int. air traffic and shipping: 0.5 MtCO2e.</t>
  </si>
  <si>
    <t>Page 87, Figure 6, 'Forest' allocated to LULUCF, 'Carbon sequestration' assumed to relate to engineered-CDR.</t>
  </si>
  <si>
    <t>Pathway D</t>
  </si>
  <si>
    <t>Figure 7, Page 88</t>
  </si>
  <si>
    <t>Fuel consumption' allocated to 'Energy'. Transport thought to be included within 'fuel consumption' and therefore 'Energy'.
Sectors/sources, as presented in Strategy:
Agriculture: 5.7 MtCO2e,
Industrial processes: 4.0 MtCO2e,
Fuel consumption: 5.5 MtCO2e,
Waste: 0.2 MtCO2e
Int. air traffic and shipping: 0.7 MtCO2e.</t>
  </si>
  <si>
    <t>Page 88, Figure 7, 'Forest' allocated to LULUCF.</t>
  </si>
  <si>
    <t xml:space="preserve">Finland present the modelling of three scenarios in Section 2.3, Page 9, which includes a 'with existing measures' (WEM) scenario reflecting policy up until 2020, and two 'low-emission' scenarios, 'Continuous Growth' and 'Savings', which reflect 'additional domestic measures, the EU energy and climate policy goals for 2030, and an assumed EU target of reducing GHG emissions by at least 85% by 2050. In other words, the overall EU target was also assumed to increase to a slightly more ambitious level from the previous 80%' (Page 9). Data on residual emissions is presented in Annex 2, Page 2-3. The WEM scenario does not reach net zero according to the figures presented in Annex 2. It is therefore excluded from our sample. </t>
  </si>
  <si>
    <t>Savings</t>
  </si>
  <si>
    <t>Annex 2, Page 3</t>
  </si>
  <si>
    <t xml:space="preserve">Emissions from BECCS separated from energy as presented separately under code 1A1. 1A1 presented on a net-level, so likely to include positive emissions not captured. Indirect CO2 emissions not included as excluded from waste sector total. 
'1A2 Manufacturing industries and construction', '1A4 Other sectors', '1A5 Other fuel use', '1B Fugitive emissions from fuels' allocated to Energy. '1A3 Transport' allocated to Transport. '2 Industrial processes and product use' allocated to Industry. '3 Agriculture' allocated to Agriculture. '5 Waste management' allocated to Waste. 
Sectors/sources, as presented in Strategy:
1A2 Manufacturing industries and construction: 349 KtCO2e,
1A4 Other Sectors: 301 KtCO2e,
1A5 Other fuel use: 222 KtCO2e,
1B Fugitive emissions from fuels: 84 KtCO2e,
2 Industrial processes and product use: 3379 KtCO2e,
3 Agriculture: 4441 KtCO2e,
5 Waste management: 539 KtCO2e.
</t>
  </si>
  <si>
    <t xml:space="preserve">Annex 2, Page 3. Table 3, Page 4 for LULUCF. Emissions from BECCS separated from energy as presented separately under code 1A1. 1A1 presented on a net-level, so likely to include positive emissions not captured. </t>
  </si>
  <si>
    <t>BECCS included within 1A1. The 'true' level of residuals is therefore likely higher than depicted. A partial correction is possible, as 1A1 is net-negative, meaning a minimum bound for BECCS, equal to the extent of net-negative emissions, can be subtracted from residual emission totals.</t>
  </si>
  <si>
    <t>Continuous Growth</t>
  </si>
  <si>
    <t>Annex 2, Page 2</t>
  </si>
  <si>
    <t xml:space="preserve">Indirect CO2 emissions not included as excluded from waste sector total. '1A2 Manufacturing industries and construction', '1A4 Other sectors', '1A5 Other fuel use', '1B Fugitive emissions from fuels' allocated to Energy. '1A3 Transport' allocated to Transport. '2 Industrial processes and product use' allocated to Industry. '3 Agriculture' allocated to Agriculture. '5 Waste management' allocated to Waste. 
Sectors/sources, as presented in Strategy:
1A Emissions from fuel combustion: 7473 KtCO2e - 1A3 Transport: 1069 KtCO2e = 6404 KtCO2e,
1B Fugitive emissions from fuels: 73 KtCO2e,
2 Industrial processes and product use: 3223 KtCO2e,
3 Agriculture: 4132 KtCO2e,
5 Waste management: 540 KtCO2e.
</t>
  </si>
  <si>
    <t>Annex 2, Page 2. Table 2, Page 4 for LULUCF.</t>
  </si>
  <si>
    <t>Norway's LT-LEDS does not present projections towards it's long-term target. It therefore does not present any detail on residual emissions. On page 20, it notes that 'Describing the future is always an exercise in uncertainty, regardless of whether we are looking five, ten or fifty years ahead. Descriptions of the future are always based on circumstances at the time when they are made. It is now 30 years till we reach 2050. With such a long time horizon, it is not possible to give a correct or complete picture of what Norwegian society will be like. Even assuming that the world as a whole and Norway have achieved their climate targets by 2050, and that Norway has become a low-emission society, it is uncertain how the remaining emissions will be split between sectors and which technologies will have been successful'.</t>
  </si>
  <si>
    <t xml:space="preserve">Singapore's LT-LEDS Addendum does not present modelling of scenarios or projections towards it's long-term target, nor any quantification of residual emissions. </t>
  </si>
  <si>
    <t xml:space="preserve">Hungary presents three scenarios to 2050, a BAU scenario, which follows current trends, an 'late action climate neutrality scenario', where climate action in the energy sector is slowed till 2045 and then increased by 2050, and a 'early action climate neutrality scenario'. Both of the latter two scenarios have similar trajectories for LULUCF and both include the use of CCUS, which is thought to be inclusive of engineered CDR. Both scenarios achieve Hungary's long-term target, as displayed in Figure 9 (Page 28). Figure 9 is presented on a net basis, meaning the residual emissions excluding negative emissions from CDR may be higher. Page 10 notes that both scenarios contain the same sink estimate, stated on page 10, of 4.5 MtCO2: 'Natural sink capacities will be expanded to balance out the remaining emissions in 2050. It is forecasted in the EA and LA scenarios that 4.5 million tons of CO2eq/year will be naturally absorbed, mainly due to the increasing forest coverage'. The overall total for residual emissions depicted in Figure 9 is equivalent to this total. Both the EA scenario and LA scenario appear to have the same level of residual emissions according to Figure 9, we therefore present one scenario. 
Further references to the level of emissions in 2050 under the EA scenario can be found within the text, namely Page 62 and Page 67, for industrial processes and agriculture respectively. The balance of emissions within the energy sector, for the EA scenario, can be found within Figure 19, Page 41, which disaggregates the energy sector further, providing an estimate for transport emissions. Figure 19 also reveals negative emissions allocated to CCUS, thought to be related to engineered CDR. We adjust the level of the energy sector accordingly, noting the difference between the level observed in Figure 19 and Figure 9, which appear to present the energy sector on net balance. Finally, waste emissions can be estimated from the unlabelled figure presented on Page 80, for the EA scenario. </t>
  </si>
  <si>
    <t>Early &amp; Late Action Scenario</t>
  </si>
  <si>
    <t xml:space="preserve">Figure 10, Page 30, combined with references on:
Page 40 'Achieving net zero greenhouse gas emissions at the national level is possible if emissions from the energy sector fall to at least 2 million tons of CO2eq from the current value of 40 million tons;'
Figure 19, Page 41
Page 62 and Figure 37 'Emissions reduction, material, process and energy efficiency measures and technologies (including, inter alia, digitization and automation, alternative "clean" raw materials) and even more so the transition to a circular economy will significantly reduce emissions to about 215 thousand tons of CO2eq/year levels (Figure 37)'
Page 67 'if the EA scenario is realized, GHG emissions from the agricultural sector are expected to decrease by 70.46% by 2050, i.e. from 7.085 million tons of CO2eq/year in 2020 to 2.093 million tons of CO2eq/year'.
Unlabelled figure, Page 80
</t>
  </si>
  <si>
    <t xml:space="preserve">'Industrial processes' allocated to Industry. 'Industry' within Figure 19, Page 41, allocated to Energy. 'Electricity' within Figure 19, Page 41, allocated to Energy. 
Sectors/sources, as presented in Strategy:
Industrial processes: 215 thousand tons CO2e/yr-1 (as quoted on Page 62),
Agriculture: 2.093 million tons of CO2e/yr-1 (as quoted on Page 67),
Industry: 6 million tons of CO2e/yr-1 (as detailed in Figure 19, Page 41),
Electricity: 2 million tons of CO2e/yr-1 (as detailed in Figure 19, Page 41),
Waste: 0.5 million tons of CO2e/yr-1 (as estimated from unlabelled figure, Page 80). </t>
  </si>
  <si>
    <t xml:space="preserve">Figure 10, Page 30, combined with text of Page 10, for LULUCF. Figure 19, Page 41 for engineered-CDR. 'CCUS - Industry' and 'CCUS - Electricity generation' assumed to be engineered-CDR. </t>
  </si>
  <si>
    <t xml:space="preserve">Sweden presents two scenarios, one scenario reflecting existing policy instruments on Figure 7, Page 25, and another within Annex 1, Page 86. Quantification of residual emissions according to the existing policy scenario, by sector, is detailed in Table 2, Page 25. The latter scenario presented in Annex 1, however, reflects Sweden's current climate policy framework. Annex 1 contains no values or tables, on 'Figure 1', which graphically displays residual emissions in 2045. We therefore use the values specified in Buck et al., 2023, which analyses the same graph, but obtains the values underpinning it from correspondence to the relevant national environmental agency. </t>
  </si>
  <si>
    <t>Annex 1, Page 86</t>
  </si>
  <si>
    <t>Energy consists of 'electricity' and 'buildings' combined.</t>
  </si>
  <si>
    <t xml:space="preserve">Table 2, Page 25. LULUCF values are not connected to scenario presented in Annex 1. </t>
  </si>
  <si>
    <t xml:space="preserve">Portugal's LT-LEDS presents the modelling of three alternative macroeconomic scenarios, 'sought to evaluate the evolution of emissions in a carbon neutral scenario, translated into a trajectory of reduction of emissions of the energy system of -60% by 2030 and -90% by 2050 compared to 2005' (Page 16). These are presented as a range in Figure 3 (Page 17), relating to an 85% to 90% reduction by 2050 compared to 2005. Each of these is connected to a respected sink value, that would result in net-zero emissions (e.g. a sink capacity equivalent to the remaining 10 or 15%). A range of residual emissions by sector in tables across Section 4, beginning in Table 1b, Page 26. Other tables include Table 7 - Page 35, Table 9 - Page 40, Table 11 - Page 46, Table 13 - Page 53, Table 15, Page 60.
Portugal's presentation of emissions, however, appears to be largely inconsistent. For example, Table 1a, Page 18, would appear to present sectoral emission reduction relative to 2005 levels, corresponding to the 85% and 90% scenarios. Table 1a includes a range for some sectors (e.g. waste and wastewater 77% or 80%), but single percentage values for other, e.g. Transport 98%. Sectoral tables detailed later in the strategy, however present a range of values. Table 7, Page 35, details transport emissions, with a value of 0.47 or 0.42, depending on the scenario. A 98% reduction in transport emissions is detailed in Table 1a, but this would lead to a value of 0.39 MtCO2e, according to the 2005 emissions detailed in Table 7, not 0.47 or 0.42. A similar issue is evident in Table 11, Page 40, where Table 1a suggests an 85% reduction upon 2005, whereas Table 11 suggests an 98% reduction upon 2005. In light of these issues, we use a simple heuristic of allocating the first value in any sectoral table to the 85% reduction scenario and the second to the 90% scenario. </t>
  </si>
  <si>
    <t xml:space="preserve">Figure 3, Page 17, Combined with:
Table 1b, Page 26,
Table 7 - Page 35, 
Table 9 - Page 40, 
Table 11 - Page 46, 
Table 13 - Page 53,
Table 15, Page 60.
</t>
  </si>
  <si>
    <t xml:space="preserve">Industry' thought to be inclusive of both energy use in industry, typically allocated to Energy, and industrial processes. </t>
  </si>
  <si>
    <t xml:space="preserve">Table 13, Page 53. Values for 'Land uses'. Note that, elsewhere, for example, on Page 18 and figures on Page 17, a 'carbon sink' value of 9-13 MtCO2 is suggested as required. This, however, is exclusive of agricultural land and pastures, as noted on Page 17, and therefore an amended category of LULUCF. Table 13, however, suggests that for the same scenarios, a carbon sink value of at least 11 MtCO2 would be required if assuming the same scope for the 'carbon sink'. </t>
  </si>
  <si>
    <t xml:space="preserve">Nepal present the modelling of three scenarios, a reference scenario, a 'with existing measures' (WEM) scenario and a 'with additional measures' (WAM) scenario. Only the latter scenario is demonstrated as achieving Nepal's long-term target. Quantification of scenario emissions is detailed in the table of Annex 1, Page 31. Quantification, however, is only detailed for CO2, not including other GHGs, as aligned with Nepal's net zero CO2 target. The scenario therefore, does not appear to achieve net zero GHGs. We exclude this scenario owing to academic literature detailing that a substantial proportion of residual emissions are anticipated to be non-CO2, therefore missed by this scenario. </t>
  </si>
  <si>
    <t xml:space="preserve">Switzerland's LT-LEDS presents modelling according to a single scenario, 'ZERO basis scenario of EP 2050+'. Residual emissions are quantified in Table 2, Page 50, alongside negative emissions. </t>
  </si>
  <si>
    <t>EP 2050+</t>
  </si>
  <si>
    <t>Table 2, Page 50</t>
  </si>
  <si>
    <t xml:space="preserve">'Cement production', 'Synthetic gases' and 'Further industrial sectors' allocated to Industry. 'Waste incineration (fossil-based share)' allocated to energy as this is thought to be waste to energy. 'Buildings' allocated to Energy. 
Sectors/sources, as presented in Strategy:
Cement production: 2.4 MtCO2e - 2.2 MtCO2e Avoidance through CCS,
Waste incineration (fossil-based share): 2.6 MtCO2e - 2.3 MtCO2e Avoidance through CCS,
Further industrial sectors: 1.2 MtCO2e - 0.6 MtCO2e Avoidance through CCS,
Agriculture: 4.6 MtCO2e,
Synthetic gases: 0.3 MtCO2e,
Waste (landfill sites): 0.5 MtCO2e,
Transport: 0.0 MtCO2e,
Buildings: 0.4 MtCO2e,
Other: 0.01 MtCO2e.
</t>
  </si>
  <si>
    <t>Table 2 contains an estimation of residual emissions, and how they are intended to be abated via CCS or via NETs. NETs are not defined, except a broad range of common forms ('biochar, capture of pyrolysis emissions, BECCS, DACCS, abroad'). 'Negative emission incineration plants', considered applying CCS to waste incineration, of which part of the waste is biogenic in origin, so comparative to BECCS in notion. Figure 28 notes that some NETs may be best delivered abroad, this is implied to be DACCS (e.g. 'For Switzerland, DACCS could be implemented partly or exclusively directly at geologically suitable locations abroad.') but this is not explicitly labelled in Figure 28. Assuming that the 4.9 value in Figure 28 is DACCs, the 7.0 value is a combination of CCS and NETs of which 5.1 is CCS (value for CCS abatement in Table 2), this leaves 1.9 to be BECCS (inclusive of waste incinerators incinerating waste of biogenic origin).</t>
  </si>
  <si>
    <t xml:space="preserve">Cambodia's LT-LEDS presents the projections for the two scenarios explored in Figure 1, Page 2, a 'BAU' scenario and the 'Long-Term Strategy for Carbon Neutrality (LTS4CN)' scenario. Table 1, Page 2 supplies sectoral detail for each scenario, including residual emissions. Residual emissions are presented according to the 'LTS4CN' scenario. </t>
  </si>
  <si>
    <t>LTS4CN</t>
  </si>
  <si>
    <t>Table 2, Page 10</t>
  </si>
  <si>
    <t>IPPU allocated to 'Industry', remainder after the accounting for FOLU, 'total', allocated to 'Other'. Transport included under 'Energy' as detailed on Page 7 'Energy sector emissions are largely determined by the power mix, road transportation and the level of vehicle electrification'. 
Sectors/sources, as presented in Strategy:
Agriculture: 19.3 MtCO2e,
Energy: 28.2 MtCO2e,
IPPU: 1.6 MtCO2e,
Waste: 1.2 MtCO2e.</t>
  </si>
  <si>
    <t>Table 1 Page 2 supplies sectoral detail for each scenario., including residual emissions. Residual emissions are presented according to the 'LTS4CN' scenario. Value for FOLU, independent of agriculture.</t>
  </si>
  <si>
    <t>Estimate for 2016 excluding FOLU. Estimate based on LT-LEDS text, from Page 8-9.</t>
  </si>
  <si>
    <t xml:space="preserve"> Estimate based on LT-LEDS text, from Page 8-9.</t>
  </si>
  <si>
    <t>Denmark submits, as it's LT-LEDS, 'The Climate Programme 2020', a domestic reporting obligation set up under the Danish Climate Act and presented to Danish Parliament (Page 9). These programmes are to be submitted every year. As this is therefore intended as a short-term iterative obligation domestically, Denmark's LT-LEDS only present the impact of certain measures to 2030 (e.g. Figure 1, Page 11).</t>
  </si>
  <si>
    <t xml:space="preserve">Slovakia present the modelling of two main scenarios, a 'with existing measures' (WEM) scenario and a 'with additional measures', with additional measures detailed as part of a further 'NETURAL' scenario. Modelling in Annex I, presented from Page 81 onwards, include only up to 2040, short of the long-term target for Slovakia set for 2050. Sectoral residual emissions therefore are not quantified. Figure 2 on Page 15, however, would appear to indicate the overall extent of emissions in 2050. Slovakia, however, refers to a 7 MtCO2e gap tat remains after LULUCF is taken into account. This scenario, therefore, does not reach net zero. </t>
  </si>
  <si>
    <t xml:space="preserve">Zimbabwe's LT-LEDS presents a BAU scenario and a 'MIT' scenario, incorporating a number of policies and measures. The difference between the scenarios are detailed across sectoral chapters as the mitigation potential, beginning on Page 9. Emissions in 2050 are either detailed in figures presented in these chapters (e.g. Figure 3.4, Page 9), or can be back calculated from the mitigation potential and BAU emissions in 2050 (e.g. Figure 6.2, Page 27). The overall extent of emissions in 2050 in the 'MIT' scenario can be derived from Figure 7.2, Page 30, which details overall mitigation potential relative to the BAU scenario in 2050. As the achieved mitigation, including AFOLU, and therefore any removals from sinks, is 33.24 MtCO2e in 2050, comparative to 2020 emissions, Zimbabwe does not include a net zero scenario and therefore does not quantify residual emissions. </t>
  </si>
  <si>
    <t xml:space="preserve">Lithuania's LT-LEDS includes no projections or modelling towards it's long-term target and therefore no quantification of residual emissions. It does, however, delineate within it's target definition a minimum contribution from LULUCF on Page 19, of up to 20% of 1990 levels. This would appear to set a minimum bound for residual emissions, though the target definition also notes the use of 'CCU technologies...to offset GHG emissions in sectors where technological options for zero GHG emissions will not be available' (Page 19), implying further use of CDR, beyond the extent of LULUCF. </t>
  </si>
  <si>
    <t xml:space="preserve">Estonia's EU LTS forms part of a domestic policy process through which sectoral strategies are developed. As such, the EU LTS serves to detail the general principles of domestic climate action, not detailed modelling or projections. No quantification of residual emissions are detailed. </t>
  </si>
  <si>
    <t>Slovenia present the modelling of two main scenarios, a 'with existing measures' (WEM) scenario and a 'net zero scenario'. It is only this latter scenario that achieves Slovenia's long-term target. Residual emissions in 2050 can be estimated by combining 2005 levels and percentage reduction estimates detailed in Table 1, Page 15.</t>
  </si>
  <si>
    <t>2050 Climate Strategy</t>
  </si>
  <si>
    <t>Table 1, Page 15</t>
  </si>
  <si>
    <t>Broad use and Industry combined in allocation. 'Broad use' thought to refer to product use. Higher percentage reduction values cited in Table 1 used in calculations.</t>
  </si>
  <si>
    <t xml:space="preserve">Costa Rica's LT-LEDS presents three scenarios, the results of which can be seen on page 25/26, in Table 4, relating to a 'base case' scenario, '2C' scenario and a '1.5C' scenario. The results are based on the 'TIMES-CR' model, an 'energy model, initially developed in the United States, which has been calibrated to characterize the Costa Rican energy sector' (page 21). The 1.5C scenario reflects the net zero target, as stated on Page 25 'It is a scenario with public policy interventions that are compatible with net-zero emissions in 2050 and it is the goal of the National Decarbonization Plan'. </t>
  </si>
  <si>
    <t>Scenario 1.5C</t>
  </si>
  <si>
    <t>Table 4, Page 25</t>
  </si>
  <si>
    <t>Energy allocated to Energy, thought to be inclusive of transport (See description of scenario results on Page 26). 'Industrial processes' allocated to industry. 
Sectors/sources, as presented in Strategy:
Energy: 2.64 MtCO2e,
Industrial processes: 0.39 MtCO2e,
Agriculture: 1.64 MtCO2e,
Waste: 0.83 MtCO2e.</t>
  </si>
  <si>
    <t>Table 4, Page 25, 'Net Forest area' allocated to LULUCF.</t>
  </si>
  <si>
    <t>Table A, Page 40, of Costa Rica's Fourth National Communication. Total without FOLU peaks in 2017 according to Figure A, Page 40.</t>
  </si>
  <si>
    <t xml:space="preserve">Table A, Page 40, of Costa Rica's Fourth National Communication. </t>
  </si>
  <si>
    <t xml:space="preserve">Latvia present a single 'With current measures' scenario, which considers only current policy and measures and the scenario only provides for the currently available commercial technologies (as shown in Figure 5, Page 26). It is not clear, however, if alternative trajectories have been produced, for example, on Page 26 it is noted that 'According to the initial indicative projections, the specified quantity of GHG emissions which will have to be compensated with removals in 2050 is approximately 3.6 million t CO2 eq'. This value would appear to be linked to modelling by an external and separate organisation. This differs from the level residual emissions shown in Figure 5 directly above this text, with a level well over 10 million t CO2 eq. The trajectory depicted in red would appear to be a linear projection between targets for 2030 and 2040 and therefore is not a meaningful projection. Figure 5 does provide an estimate of emissions in 2050 however the values must be approximated from the graph itself owing to no tables being presented. This scenario, however, does not reach net zero in 2050 and therefore cannot be used to provide an estimate on residual emissions. </t>
  </si>
  <si>
    <t>North Macedonia</t>
  </si>
  <si>
    <t xml:space="preserve">North Macedonia present two main scenarios, a 'with existing measures' (WEM) and 'with additional measures' (WAM). The results of these scenarios, modelled to 2050, is shown in Figure 30, page 51. It is only the latter WAM scenario that achieves North Macedonia's target of 72% by 2050 relative to 1990 levels. Emissions are most readily detailed in Figure 31, Page 52, as Figure 30 does not provide an estimate for waste. Figure 31 contains an emissions estimate for the WAM scenario for all sectors. This scenario does not reach net zero and therefore cannot be used to provide an estimate of residual emissions. </t>
  </si>
  <si>
    <t>Iceland present a series of projections until 2030, a projection based on emission reductions to achieve Iceland's targets under the EU Effort Sharing Regulation. These projections are presented by sector in Figure 6. Given Iceland's long-term target date of 2040, this would constitute a near-term projection, not an indication of residual emissions. Iceland does additionally include stakeholder led scenarios in Section 4.1, Page 42, as part of a joint study with the University of Iceland and the University of Reykjavik. We include these scenarios for completeness owing to their endorsement by the Government of Iceland, noting that they are not as directly comparable to scenarios developed by other governments of national agencies. Residual emissions are estimated directly from Figure 10, Page 47</t>
  </si>
  <si>
    <t>Scenario A</t>
  </si>
  <si>
    <t>Figure 10, Page 47, Figure 11, Page 48, and Figure 12, Page 49.</t>
  </si>
  <si>
    <t>Figure 12, Page 49. We assume, consistent with Figure 12, that negative emissions from LULUCF are equal to the residual amount depicted in Figure 10, Page 47.</t>
  </si>
  <si>
    <t>Scenario C</t>
  </si>
  <si>
    <t>Scenario D</t>
  </si>
  <si>
    <t>Scenario E</t>
  </si>
  <si>
    <t xml:space="preserve">Fiji presents the modelling of four scenarios relating to the degree of domestic ambition and reliance on external financing, a 'BAU unconditional' scenario, that reflects existing policies that could be implemented without external financing, a 'BAU conditional' scenario, that reflect existing policies that also rely on external financing, a 'High Ambition scenario' that reflects 'ambitions beyond those already specified in policies, relying on the adoption of new, more ambitious policies and technologies and availability of additional financing', and finally a 'Very High Ambition scenario' that again relies on the adoption of more ambitious policies, but in this case 'in which most sectors achieve net zero or negative emissions, by 2050'. It is only this last scenario that reflects the long-term target of Fiji. Note that this remains the case even with the addition of coastal wetlands, which are excluded from the main modelling owing to methodological issues, but even with the addition of basic estimates, the High Ambition scenario does not meet Fiji's long-term target. Data can be found in Table 3, Page 36, for the main sectors, and Table 35, Page 136, for a disaggregation of AFOLU. The 'Very High Ambition scenario', however, achieves net zero before 2050, in around 2041 (as noted on Page 4). We therefore use 2045, the nearest year presented beyond which net zero has been achieved.  </t>
  </si>
  <si>
    <t>Very high ambition</t>
  </si>
  <si>
    <t>Table 3, Page 36, Table 35, Page 136.</t>
  </si>
  <si>
    <t>NO</t>
  </si>
  <si>
    <t xml:space="preserve">'Electricity and Other Energy Use' allocated to Energy. 'Land Transport', 'Domestic Maritime Transport', and 'Domestic Air Transport' allocated to Transport. Agriculture split from AFOLU total using Table 35, Page 136, combining rows for 'Livestock: enteric fermentation', 'Livestock: manure', 'Rice management', 'Synthetic fertiliser', and 'Urea fertilisation'. 
Sectors/sources, as presented in Strategy:
Electricity and Other Energy Use: 24,276 tonnes CO2e,
Land Transport: 60,590 tonnes CO2e,
Domestic Maritime Transport: 1,000 tonnes CO2e,
Domestic Air Transport:  39,971 tonnes CO2e,
Waste: 3,778 tonnes CO2e,
Livestock: enteric fermentation: 606,678 tonnes CO2e (CH4)
Livestock: manure: 139,242 tonnes CO2e (CH4)
Livestock: manure: 117,901  tonnes CO2e (N2O)
Rice management: 10,568  tonnes CO2e,
Synthetic fertiliser: 16,502  tonnes CO2e,
Urea fertilisation: 379  tonnes CO2e,
</t>
  </si>
  <si>
    <t>Total of LULUCF sources in Table 35, Page 136.</t>
  </si>
  <si>
    <t>2013-2015</t>
  </si>
  <si>
    <t xml:space="preserve">Combined estimate of all available base years, beginning with Table 8, Page 67:
Energy (Base year 2013): 415116 tCO2e,
Land transport (Base year 2014): 635973 tCO2e (Table 16, Page 86),
Domestic Maritime Transport (Base year 2014): 174000 tCO2e (Table 21, Page 105),
Domestic Air Transport (Base year 2013): 14252 tCO2e (Table 25, Page 115),
Agriculture (Base year 2015): (Table 35, Page 136), [all values in tCO2e]
Livestock: enteric fermentation CH4 633055,
Livestock: manure CH4 145296, N2O 123028,
Rice management CH4 10568,
Synthetic fertiliser N2O 16640,
Urea fertilisation CO2 0379,
Waste (Base year 2013): 117271 tCO2e (Table 46, Page 166)
</t>
  </si>
  <si>
    <t>Combination of base years used in LT-LEDS modelling, from 2013-2015.</t>
  </si>
  <si>
    <t xml:space="preserve">Gambia's LT-LEDS presents two scenarios: a 'business as usual' (BAU) and 'Net Zero', as detailed on Page 4.  These scenarios are further detailed on Page 27 and Page 28. A BAU scenario to 2050 is presented in Figure 2, which, in conjunction with surrounding text, provides an estimate for emissions according to this scenario. The 'Net Zero' scenario, appears to be not summarised in any main figure, but sectoral detail is available in a series of sector-specific figures beginning on Page 40. The axis on these figures is often ineligible as to the precise level of residual emissions, but supporting text often details the precise level of emissions in 2050. Figure 10 - Page 40, for example, details the 'Net Zero' scenario for 2050 in the energy sector, from which only transport emissions remain. The precise level of emissions from transport in 2050 is further detailed on Page 42. In many cases, such as Figure 12 - Page 47, projections appear linear and decrease to 0 by 2050 for sectors that are not typically reducible to 0, e.g. waste. These projections, therefore, should be treated with caution. In accordance with Figure 10 - Page 40, we note this scenario does not reach net zero owing to emissions not compensated in the transport sector. </t>
  </si>
  <si>
    <t xml:space="preserve">Malta appears to present projections to 2050, in Figures 2 and 3, found on Page 18. This represents a single scenario, thought to reflect the measures included within Malta's LT-LEDS. The scenario demonstrates the achievement of Malta's targets under the EU's Effort Sharing Decision, but does not appear to reach Malta's long-term target of carbon neutrality by 2050, despite an intention to do so noted on Page 8. Figure 6 would appear to be the total for the strategy, with Figure 7 presenting a projection for non-EU-ETS emissions. The overall extent of remaining emissions can be approximated from Figure 6, but no sectoral detail is provided. As this scenario does not reach net zero, it cannot be used to estimate residual emissions. </t>
  </si>
  <si>
    <t>Tonga notes that, owing to time and resource constraints a 'quantified long-term emissions reductions target' was 'deemed out of scope of the process [LT-LEDS development]'. As such no quantified modelling or projections is given, but a series of stakeholder led sectoral visions are presented, detailing policy developments until 2050.</t>
  </si>
  <si>
    <t xml:space="preserve">Marshall Islands' LT-LEDS presents three illustrative scenarios, a moderate ambition, significant ambition and a 'lighthouse' scenario that is most ambitious. The Marshall Island's expresses a long-term target of net-zero GHG emissions in 2050. Emissions in 2050 can be estimated from Figures 2-4, Page 19-20. Sectoral estimates can also be approximated from the figures. No scenario, including the lighthouse scenario, reaches net zero GHGs, meaning these scenarios cannot be used to estimate residual emissions. </t>
  </si>
  <si>
    <t>Chart 6 (Page 13)  'Evolution of GHG emissions and periods for the review of the National Energy Strategy for the Fight against Climate Change to achieve carbon neutrality by 2050' provides a trajectory towards Andorra's 'Carbon neutrality target. This looks to be a linear trajectory, and therefore may not be as robust as other modelling exercises. Unusually, it presents no residual emissions, though residual emissions are implied, as neutrality is said to be reached via 'emissions absorbides', that is negative emissions via the country's main carbon sink, forests. This is implied on Page 12 in the statement 'The commitment to achieve carbon neutrality by 2050 is a highly ambitious goal given the current GHG emissions within the territory, although it is regarded as a minimum commitment objective to be achieved. If the global situation and the technology available in the future make a reduction beyond this commitment possible, the achievement of a more ambitious fall will be pursued with the aim of reducing emissions below the territory’s sink capacity'. These emissions, however, find no representation in Chart 6, though it should be noted, that the level of emissions is dependent on factors such as the inclusion of fuel tourism and energy imports in the emission inventory. These emissions would not typically feature in modelling for other countries. Chart 6 cannot be used to estimate residual emissions, as their does not appear to be a relationship between territorial emissions, depicted in light blue, 'emissions absorbides' in green and the timing of the neutrality target.</t>
  </si>
  <si>
    <t xml:space="preserve">Low residual LULUCF </t>
  </si>
  <si>
    <t xml:space="preserve">High residual LULUCF </t>
  </si>
  <si>
    <t>Low res. CDR</t>
  </si>
  <si>
    <t>High res. CDR</t>
  </si>
  <si>
    <t>(Mt CO2 equivalent)2</t>
  </si>
  <si>
    <t>Formule Stephan</t>
  </si>
  <si>
    <t>Formule no Peak (2)</t>
  </si>
  <si>
    <t>Maximum inventory data</t>
  </si>
  <si>
    <t>MtCO2e</t>
  </si>
  <si>
    <t>Peak revised</t>
  </si>
  <si>
    <t>tCO2e/cap</t>
  </si>
  <si>
    <t>Penalty</t>
  </si>
  <si>
    <t>World average Penalty</t>
  </si>
  <si>
    <t>Penalty (1)</t>
  </si>
  <si>
    <t>(A) Formule Peak</t>
  </si>
  <si>
    <t xml:space="preserve">(B) Formule no Peak </t>
  </si>
  <si>
    <t>2031 conditional NDCs2</t>
  </si>
  <si>
    <t>2032 conditional NDCs2</t>
  </si>
  <si>
    <t>2033 conditional NDCs2</t>
  </si>
  <si>
    <t>2034 conditional NDCs2</t>
  </si>
  <si>
    <t>Excl LULUCF</t>
  </si>
  <si>
    <t>LULUCF emis-sions in 20213</t>
  </si>
  <si>
    <t>LULUCF emis-sions NZ</t>
  </si>
  <si>
    <t>LULUCF NDC uncond</t>
  </si>
  <si>
    <t>LULUCF NDC cond</t>
  </si>
  <si>
    <t>uncod LULUCF emissions 2030</t>
  </si>
  <si>
    <t>cond LULUCF emissions 2030</t>
  </si>
  <si>
    <t>GHG emissions excl LULUCF 2021</t>
  </si>
  <si>
    <t>LULUCF emissions 2021</t>
  </si>
  <si>
    <t>LULUCF emissions NZ</t>
  </si>
  <si>
    <t>GHG emissions incl LULUCF 2021</t>
  </si>
  <si>
    <t>2034 conditional NDCs2 incl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</si>
</sst>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
    <numFmt numFmtId="165" formatCode="0.0"/>
    <numFmt numFmtId="166" formatCode="0.00_ ;[Red]\-0.00\ "/>
    <numFmt numFmtId="167" formatCode="#,##0.000"/>
    <numFmt numFmtId="168" formatCode="_ * #,##0.00_ ;_ * \-#,##0.00_ ;_ * &quot;-&quot;??_ ;_ @_ "/>
    <numFmt numFmtId="169" formatCode="_-* #,##0.00_-;\-* #,##0.00_-;_-* &quot;-&quot;??_-;_-@_-"/>
    <numFmt numFmtId="170" formatCode="_-* #,##0.0_-;\-* #,##0.0_-;_-* &quot;-&quot;??_-;_-@_-"/>
    <numFmt numFmtId="171" formatCode="_-* #,##0_-;\-* #,##0_-;_-* &quot;-&quot;??_-;_-@_-"/>
  </numFmts>
  <fonts count="73"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rial"/>
      <family val="2"/>
    </font>
    <font>
      <sz val="10"/>
      <name val="Aptos Narrow"/>
      <family val="2"/>
      <scheme val="minor"/>
    </font>
    <font>
      <b/>
      <sz val="8"/>
      <color theme="0"/>
      <name val="Arial"/>
      <family val="2"/>
    </font>
    <font>
      <b/>
      <sz val="10"/>
      <color theme="0"/>
      <name val="Aptos Narrow"/>
      <family val="2"/>
      <scheme val="minor"/>
    </font>
    <font>
      <b/>
      <sz val="10"/>
      <color theme="1"/>
      <name val="Aptos Narrow"/>
      <family val="2"/>
      <scheme val="minor"/>
    </font>
    <font>
      <b/>
      <sz val="8"/>
      <color theme="1"/>
      <name val="Arial"/>
      <family val="2"/>
    </font>
    <font>
      <b/>
      <sz val="10"/>
      <name val="Aptos Narrow"/>
      <family val="2"/>
      <scheme val="minor"/>
    </font>
    <font>
      <sz val="10"/>
      <color theme="1"/>
      <name val="Aptos Narrow"/>
      <family val="2"/>
      <scheme val="minor"/>
    </font>
    <font>
      <sz val="8"/>
      <color theme="1"/>
      <name val="Arial"/>
      <family val="2"/>
    </font>
    <font>
      <vertAlign val="subscript"/>
      <sz val="10"/>
      <name val="Aptos Narrow"/>
      <family val="2"/>
      <scheme val="minor"/>
    </font>
    <font>
      <sz val="8"/>
      <color rgb="FFFF0000"/>
      <name val="Arial"/>
      <family val="2"/>
    </font>
    <font>
      <i/>
      <sz val="10"/>
      <color theme="1"/>
      <name val="Aptos Narrow"/>
      <family val="2"/>
      <scheme val="minor"/>
    </font>
    <font>
      <b/>
      <i/>
      <sz val="10"/>
      <color theme="1"/>
      <name val="Aptos Narrow"/>
      <family val="2"/>
      <scheme val="minor"/>
    </font>
    <font>
      <sz val="10"/>
      <color rgb="FFFF0000"/>
      <name val="Aptos Narrow"/>
      <family val="2"/>
      <scheme val="minor"/>
    </font>
    <font>
      <b/>
      <sz val="8"/>
      <name val="Arial"/>
      <family val="2"/>
    </font>
    <font>
      <b/>
      <sz val="11"/>
      <color theme="0"/>
      <name val="Aptos Narrow"/>
      <family val="2"/>
      <scheme val="minor"/>
    </font>
    <font>
      <sz val="11"/>
      <color rgb="FFFF0000"/>
      <name val="Aptos Narrow"/>
      <family val="2"/>
      <scheme val="minor"/>
    </font>
    <font>
      <sz val="11"/>
      <color theme="0"/>
      <name val="Aptos Narrow"/>
      <family val="2"/>
      <scheme val="minor"/>
    </font>
    <font>
      <b/>
      <sz val="15"/>
      <color rgb="FF6D8B95"/>
      <name val="Arial"/>
      <family val="2"/>
    </font>
    <font>
      <i/>
      <sz val="11"/>
      <color theme="0"/>
      <name val="Aptos Narrow"/>
      <family val="2"/>
      <scheme val="minor"/>
    </font>
    <font>
      <sz val="11"/>
      <color rgb="FF1F497D"/>
      <name val="Aptos Narrow"/>
      <family val="2"/>
      <scheme val="minor"/>
    </font>
    <font>
      <sz val="11"/>
      <color theme="0" tint="-0.249977111117893"/>
      <name val="Aptos Narrow"/>
      <family val="2"/>
      <scheme val="minor"/>
    </font>
    <font>
      <i/>
      <sz val="11"/>
      <color theme="1"/>
      <name val="Aptos Narrow"/>
      <family val="2"/>
      <scheme val="minor"/>
    </font>
    <font>
      <sz val="11"/>
      <name val="Aptos Narrow"/>
      <family val="2"/>
      <scheme val="minor"/>
    </font>
    <font>
      <sz val="11"/>
      <color theme="0" tint="-0.34998626667073579"/>
      <name val="Aptos Narrow"/>
      <family val="2"/>
      <scheme val="minor"/>
    </font>
    <font>
      <b/>
      <i/>
      <sz val="11"/>
      <color theme="1"/>
      <name val="Aptos Narrow"/>
      <family val="2"/>
      <scheme val="minor"/>
    </font>
    <font>
      <b/>
      <sz val="10"/>
      <name val="Calibri"/>
      <family val="2"/>
    </font>
    <font>
      <b/>
      <sz val="9"/>
      <color indexed="81"/>
      <name val="Tahoma"/>
      <family val="2"/>
    </font>
    <font>
      <sz val="9"/>
      <color indexed="81"/>
      <name val="Tahoma"/>
      <family val="2"/>
    </font>
    <font>
      <b/>
      <sz val="12"/>
      <color theme="1"/>
      <name val="Aptos Narrow"/>
      <family val="2"/>
      <scheme val="minor"/>
    </font>
    <font>
      <sz val="11"/>
      <color theme="1"/>
      <name val="Calibri"/>
      <family val="2"/>
    </font>
    <font>
      <b/>
      <sz val="11"/>
      <name val="Aptos Narrow"/>
      <family val="2"/>
      <scheme val="minor"/>
    </font>
    <font>
      <sz val="8"/>
      <name val="Aptos Narrow"/>
      <family val="2"/>
      <scheme val="minor"/>
    </font>
    <font>
      <sz val="10"/>
      <name val="Arial"/>
      <family val="2"/>
    </font>
    <font>
      <b/>
      <sz val="10"/>
      <color rgb="FF0070C0"/>
      <name val="Arial"/>
      <family val="2"/>
    </font>
    <font>
      <b/>
      <sz val="10"/>
      <name val="Arial"/>
      <family val="2"/>
    </font>
    <font>
      <b/>
      <sz val="11"/>
      <color rgb="FF000000"/>
      <name val="Calibri"/>
      <family val="2"/>
    </font>
    <font>
      <sz val="8"/>
      <color theme="5" tint="-0.24994659260841701"/>
      <name val="Arial"/>
      <family val="2"/>
    </font>
    <font>
      <sz val="10"/>
      <color rgb="FF000000"/>
      <name val="Aptos Narrow"/>
      <family val="2"/>
      <scheme val="minor"/>
    </font>
    <font>
      <sz val="8"/>
      <color rgb="FF000000"/>
      <name val="Arial"/>
      <family val="2"/>
    </font>
    <font>
      <strike/>
      <sz val="8"/>
      <color rgb="FFFF0000"/>
      <name val="Arial"/>
      <family val="2"/>
    </font>
    <font>
      <u/>
      <sz val="8"/>
      <color rgb="FF0000FF"/>
      <name val="Arial"/>
      <family val="2"/>
    </font>
    <font>
      <b/>
      <sz val="8"/>
      <color rgb="FFFF0000"/>
      <name val="Arial"/>
      <family val="2"/>
    </font>
    <font>
      <sz val="8"/>
      <color rgb="FF93C47D"/>
      <name val="Arial"/>
      <family val="2"/>
    </font>
    <font>
      <sz val="8"/>
      <color rgb="FF6AA84F"/>
      <name val="Arial"/>
      <family val="2"/>
    </font>
    <font>
      <u/>
      <sz val="8"/>
      <color rgb="FF000000"/>
      <name val="Arial"/>
      <family val="2"/>
    </font>
    <font>
      <b/>
      <sz val="8"/>
      <color rgb="FF000000"/>
      <name val="Arial"/>
      <family val="2"/>
    </font>
    <font>
      <b/>
      <sz val="10"/>
      <color rgb="FF000000"/>
      <name val="Calibri"/>
      <family val="2"/>
    </font>
    <font>
      <sz val="10"/>
      <name val="Calibri"/>
      <family val="2"/>
    </font>
    <font>
      <sz val="10"/>
      <color theme="0" tint="-0.34998626667073579"/>
      <name val="Calibri"/>
      <family val="2"/>
    </font>
    <font>
      <sz val="11"/>
      <name val="Calibri"/>
      <family val="2"/>
    </font>
    <font>
      <sz val="10"/>
      <color rgb="FFFF0000"/>
      <name val="Calibri"/>
      <family val="2"/>
    </font>
    <font>
      <sz val="10"/>
      <color theme="0"/>
      <name val="Calibri"/>
      <family val="2"/>
    </font>
    <font>
      <sz val="10"/>
      <color theme="5" tint="-0.249977111117893"/>
      <name val="Calibri"/>
      <family val="2"/>
    </font>
    <font>
      <sz val="11"/>
      <color theme="5" tint="-0.249977111117893"/>
      <name val="Aptos Narrow"/>
      <family val="2"/>
      <scheme val="minor"/>
    </font>
    <font>
      <sz val="10"/>
      <color rgb="FF000000"/>
      <name val="Calibri"/>
      <family val="2"/>
    </font>
    <font>
      <sz val="10"/>
      <color rgb="FF00B0F0"/>
      <name val="Calibri"/>
      <family val="2"/>
    </font>
    <font>
      <sz val="11"/>
      <color theme="1"/>
      <name val="Aptos"/>
      <family val="2"/>
    </font>
    <font>
      <sz val="9"/>
      <color rgb="FF000000"/>
      <name val="Arial"/>
      <family val="2"/>
    </font>
    <font>
      <sz val="9"/>
      <name val="Aptos Narrow"/>
      <family val="2"/>
      <scheme val="minor"/>
    </font>
    <font>
      <sz val="11"/>
      <color theme="1" tint="0.249977111117893"/>
      <name val="Aptos Narrow"/>
      <family val="2"/>
      <scheme val="minor"/>
    </font>
    <font>
      <sz val="9"/>
      <color rgb="FF000000"/>
      <name val="Aptos Narrow"/>
      <family val="2"/>
      <scheme val="minor"/>
    </font>
    <font>
      <sz val="20"/>
      <color theme="3"/>
      <name val="Arial"/>
      <family val="2"/>
    </font>
    <font>
      <b/>
      <sz val="11"/>
      <color theme="1" tint="0.249977111117893"/>
      <name val="Aptos Narrow"/>
      <family val="2"/>
      <scheme val="minor"/>
    </font>
    <font>
      <vertAlign val="subscript"/>
      <sz val="9"/>
      <name val="Aptos Narrow"/>
      <family val="2"/>
      <scheme val="minor"/>
    </font>
    <font>
      <sz val="9"/>
      <color theme="3"/>
      <name val="Aptos Narrow"/>
      <family val="2"/>
      <scheme val="minor"/>
    </font>
    <font>
      <sz val="9"/>
      <color theme="3"/>
      <name val="Wingdings"/>
      <charset val="2"/>
    </font>
    <font>
      <sz val="9"/>
      <name val="Wingdings"/>
      <charset val="2"/>
    </font>
    <font>
      <sz val="8"/>
      <color rgb="FF000000"/>
      <name val="Aptos Narrow"/>
      <family val="2"/>
      <scheme val="minor"/>
    </font>
    <font>
      <b/>
      <sz val="10"/>
      <color rgb="FFFF0000"/>
      <name val="Aptos Narrow"/>
      <family val="2"/>
      <scheme val="minor"/>
    </font>
  </fonts>
  <fills count="84">
    <fill>
      <patternFill patternType="none"/>
    </fill>
    <fill>
      <patternFill patternType="gray125"/>
    </fill>
    <fill>
      <patternFill patternType="solid">
        <fgColor theme="4"/>
        <bgColor indexed="6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rgb="FFFFFF00"/>
        <bgColor indexed="64"/>
      </patternFill>
    </fill>
    <fill>
      <patternFill patternType="solid">
        <fgColor theme="7"/>
        <bgColor indexed="64"/>
      </patternFill>
    </fill>
    <fill>
      <patternFill patternType="solid">
        <fgColor theme="6"/>
        <bgColor indexed="64"/>
      </patternFill>
    </fill>
    <fill>
      <patternFill patternType="solid">
        <fgColor theme="4" tint="0.79998168889431442"/>
        <bgColor indexed="64"/>
      </patternFill>
    </fill>
    <fill>
      <patternFill patternType="solid">
        <fgColor rgb="FFFFCCFF"/>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7" tint="0.79998168889431442"/>
        <bgColor theme="7" tint="0.79998168889431442"/>
      </patternFill>
    </fill>
    <fill>
      <patternFill patternType="solid">
        <fgColor theme="8" tint="-0.249977111117893"/>
        <bgColor indexed="64"/>
      </patternFill>
    </fill>
    <fill>
      <patternFill patternType="solid">
        <fgColor theme="4" tint="0.5999938962981048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7" tint="0.79998168889431442"/>
        <bgColor indexed="65"/>
      </patternFill>
    </fill>
    <fill>
      <patternFill patternType="solid">
        <fgColor theme="1"/>
        <bgColor indexed="64"/>
      </patternFill>
    </fill>
    <fill>
      <patternFill patternType="solid">
        <fgColor rgb="FFFF0000"/>
        <bgColor indexed="64"/>
      </patternFill>
    </fill>
    <fill>
      <patternFill patternType="solid">
        <fgColor theme="0"/>
        <bgColor indexed="64"/>
      </patternFill>
    </fill>
    <fill>
      <patternFill patternType="solid">
        <fgColor rgb="FFFFC000"/>
        <bgColor indexed="64"/>
      </patternFill>
    </fill>
    <fill>
      <patternFill patternType="solid">
        <fgColor theme="9"/>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2"/>
        <bgColor indexed="64"/>
      </patternFill>
    </fill>
    <fill>
      <patternFill patternType="solid">
        <fgColor theme="4" tint="0.39997558519241921"/>
        <bgColor indexed="64"/>
      </patternFill>
    </fill>
    <fill>
      <patternFill patternType="solid">
        <fgColor rgb="FF00B050"/>
        <bgColor indexed="64"/>
      </patternFill>
    </fill>
    <fill>
      <patternFill patternType="solid">
        <fgColor theme="5"/>
        <bgColor indexed="64"/>
      </patternFill>
    </fill>
    <fill>
      <patternFill patternType="solid">
        <fgColor theme="3"/>
        <bgColor indexed="64"/>
      </patternFill>
    </fill>
    <fill>
      <patternFill patternType="solid">
        <fgColor theme="8"/>
        <bgColor indexed="64"/>
      </patternFill>
    </fill>
    <fill>
      <patternFill patternType="solid">
        <fgColor indexed="31"/>
      </patternFill>
    </fill>
    <fill>
      <patternFill patternType="solid">
        <fgColor rgb="FF1F9132"/>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9" tint="0.59999389629810485"/>
        <bgColor indexed="64"/>
      </patternFill>
    </fill>
    <fill>
      <patternFill patternType="solid">
        <fgColor rgb="FF92D050"/>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8" tint="0.39997558519241921"/>
        <bgColor indexed="64"/>
      </patternFill>
    </fill>
    <fill>
      <patternFill patternType="solid">
        <fgColor theme="0"/>
        <bgColor rgb="FF000000"/>
      </patternFill>
    </fill>
    <fill>
      <patternFill patternType="solid">
        <fgColor rgb="FF0070C0"/>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FFFF00"/>
        <bgColor rgb="FF000000"/>
      </patternFill>
    </fill>
    <fill>
      <patternFill patternType="solid">
        <fgColor rgb="FFFCE4D6"/>
        <bgColor rgb="FF000000"/>
      </patternFill>
    </fill>
    <fill>
      <patternFill patternType="solid">
        <fgColor rgb="FF92D050"/>
        <bgColor rgb="FF000000"/>
      </patternFill>
    </fill>
    <fill>
      <patternFill patternType="solid">
        <fgColor rgb="FFFFFFCC"/>
        <bgColor indexed="64"/>
      </patternFill>
    </fill>
    <fill>
      <patternFill patternType="solid">
        <fgColor rgb="FFB6C876"/>
        <bgColor theme="0" tint="-4.9989318521683403E-2"/>
      </patternFill>
    </fill>
    <fill>
      <patternFill patternType="solid">
        <fgColor rgb="FFFF99FF"/>
        <bgColor indexed="64"/>
      </patternFill>
    </fill>
    <fill>
      <patternFill patternType="solid">
        <fgColor rgb="FFFF99FF"/>
        <bgColor theme="7" tint="0.79998168889431442"/>
      </patternFill>
    </fill>
    <fill>
      <patternFill patternType="solid">
        <fgColor theme="7" tint="0.39997558519241921"/>
        <bgColor theme="7"/>
      </patternFill>
    </fill>
    <fill>
      <patternFill patternType="solid">
        <fgColor rgb="FFF4CCCC"/>
        <bgColor rgb="FFF4CCCC"/>
      </patternFill>
    </fill>
    <fill>
      <patternFill patternType="solid">
        <fgColor rgb="FF00FFFF"/>
        <bgColor rgb="FF00FFFF"/>
      </patternFill>
    </fill>
    <fill>
      <patternFill patternType="solid">
        <fgColor theme="9"/>
        <bgColor theme="9"/>
      </patternFill>
    </fill>
    <fill>
      <patternFill patternType="solid">
        <fgColor rgb="FF00B0F0"/>
        <bgColor rgb="FF00B0F0"/>
      </patternFill>
    </fill>
    <fill>
      <patternFill patternType="solid">
        <fgColor rgb="FFFBDCCE"/>
        <bgColor rgb="FFFBDCCE"/>
      </patternFill>
    </fill>
    <fill>
      <patternFill patternType="solid">
        <fgColor rgb="FFFFC000"/>
        <bgColor rgb="FFFFC000"/>
      </patternFill>
    </fill>
    <fill>
      <patternFill patternType="solid">
        <fgColor rgb="FFA9D08E"/>
        <bgColor rgb="FFA9D08E"/>
      </patternFill>
    </fill>
    <fill>
      <patternFill patternType="solid">
        <fgColor rgb="FFED7D31"/>
        <bgColor rgb="FFED7D31"/>
      </patternFill>
    </fill>
    <fill>
      <patternFill patternType="solid">
        <fgColor rgb="FFA4C2F4"/>
        <bgColor rgb="FFA4C2F4"/>
      </patternFill>
    </fill>
    <fill>
      <patternFill patternType="solid">
        <fgColor theme="0"/>
        <bgColor theme="0"/>
      </patternFill>
    </fill>
    <fill>
      <patternFill patternType="solid">
        <fgColor rgb="FFFFF2CC"/>
        <bgColor rgb="FFFFF2CC"/>
      </patternFill>
    </fill>
    <fill>
      <patternFill patternType="solid">
        <fgColor rgb="FFD9EAD3"/>
        <bgColor rgb="FFD9EAD3"/>
      </patternFill>
    </fill>
    <fill>
      <patternFill patternType="solid">
        <fgColor rgb="FFBDD7EE"/>
        <bgColor rgb="FFBDD7EE"/>
      </patternFill>
    </fill>
    <fill>
      <patternFill patternType="solid">
        <fgColor rgb="FFFFFFFF"/>
        <bgColor rgb="FFFFFFFF"/>
      </patternFill>
    </fill>
    <fill>
      <patternFill patternType="solid">
        <fgColor rgb="FFFF00FF"/>
        <bgColor rgb="FFFF00FF"/>
      </patternFill>
    </fill>
    <fill>
      <patternFill patternType="solid">
        <fgColor rgb="FFF4B084"/>
        <bgColor rgb="FFF4B084"/>
      </patternFill>
    </fill>
    <fill>
      <patternFill patternType="solid">
        <fgColor rgb="FFFFFF00"/>
        <bgColor rgb="FFFFFF00"/>
      </patternFill>
    </fill>
    <fill>
      <patternFill patternType="solid">
        <fgColor rgb="FFFFD966"/>
        <bgColor rgb="FFFFD966"/>
      </patternFill>
    </fill>
    <fill>
      <patternFill patternType="solid">
        <fgColor theme="7" tint="0.39997558519241921"/>
        <bgColor rgb="FF000000"/>
      </patternFill>
    </fill>
    <fill>
      <patternFill patternType="solid">
        <fgColor theme="9" tint="0.79998168889431442"/>
        <bgColor rgb="FF000000"/>
      </patternFill>
    </fill>
    <fill>
      <patternFill patternType="solid">
        <fgColor theme="7" tint="0.79998168889431442"/>
        <bgColor rgb="FF000000"/>
      </patternFill>
    </fill>
    <fill>
      <patternFill patternType="solid">
        <fgColor theme="9" tint="0.59999389629810485"/>
        <bgColor rgb="FF000000"/>
      </patternFill>
    </fill>
    <fill>
      <patternFill patternType="solid">
        <fgColor theme="9" tint="0.39997558519241921"/>
        <bgColor rgb="FF000000"/>
      </patternFill>
    </fill>
    <fill>
      <patternFill patternType="solid">
        <fgColor rgb="FF00B050"/>
        <bgColor rgb="FF000000"/>
      </patternFill>
    </fill>
    <fill>
      <patternFill patternType="solid">
        <fgColor rgb="FFFFFFFF"/>
        <bgColor rgb="FF000000"/>
      </patternFill>
    </fill>
    <fill>
      <patternFill patternType="solid">
        <fgColor rgb="FFFFFF00"/>
        <bgColor theme="1"/>
      </patternFill>
    </fill>
    <fill>
      <patternFill patternType="solid">
        <fgColor rgb="FFFFFF00"/>
        <bgColor theme="0" tint="-0.14999847407452621"/>
      </patternFill>
    </fill>
    <fill>
      <patternFill patternType="solid">
        <fgColor theme="8" tint="0.79998168889431442"/>
        <bgColor indexed="64"/>
      </patternFill>
    </fill>
    <fill>
      <patternFill patternType="solid">
        <fgColor theme="9" tint="-0.249977111117893"/>
        <bgColor indexed="64"/>
      </patternFill>
    </fill>
  </fills>
  <borders count="53">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3"/>
      </left>
      <right style="thin">
        <color theme="3"/>
      </right>
      <top style="thin">
        <color theme="3"/>
      </top>
      <bottom style="thin">
        <color theme="3"/>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indexed="64"/>
      </right>
      <top/>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right/>
      <top style="thin">
        <color indexed="64"/>
      </top>
      <bottom/>
      <diagonal/>
    </border>
    <border>
      <left/>
      <right/>
      <top/>
      <bottom style="thick">
        <color rgb="FFE75113"/>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right/>
      <top style="thin">
        <color theme="7" tint="0.39997558519241921"/>
      </top>
      <bottom style="thin">
        <color indexed="64"/>
      </bottom>
      <diagonal/>
    </border>
    <border>
      <left style="thin">
        <color indexed="64"/>
      </left>
      <right style="thin">
        <color indexed="64"/>
      </right>
      <top style="thin">
        <color indexed="64"/>
      </top>
      <bottom/>
      <diagonal/>
    </border>
    <border>
      <left style="thin">
        <color theme="0" tint="-0.14996795556505021"/>
      </left>
      <right/>
      <top/>
      <bottom/>
      <diagonal/>
    </border>
    <border>
      <left style="thin">
        <color rgb="FFD9D9D9"/>
      </left>
      <right style="thin">
        <color rgb="FFD9D9D9"/>
      </right>
      <top style="thin">
        <color rgb="FFD9D9D9"/>
      </top>
      <bottom style="thin">
        <color rgb="FFD9D9D9"/>
      </bottom>
      <diagonal/>
    </border>
    <border>
      <left/>
      <right/>
      <top style="thin">
        <color theme="0" tint="-0.14996795556505021"/>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3" tint="0.79995117038483843"/>
      </left>
      <right style="thin">
        <color theme="3" tint="0.79995117038483843"/>
      </right>
      <top style="thin">
        <color theme="3" tint="0.79995117038483843"/>
      </top>
      <bottom style="thin">
        <color theme="3" tint="0.79995117038483843"/>
      </bottom>
      <diagonal/>
    </border>
    <border>
      <left style="thin">
        <color theme="3" tint="0.79998168889431442"/>
      </left>
      <right style="thin">
        <color theme="3" tint="0.79998168889431442"/>
      </right>
      <top style="thin">
        <color theme="3" tint="0.79998168889431442"/>
      </top>
      <bottom style="thin">
        <color theme="3" tint="0.79998168889431442"/>
      </bottom>
      <diagonal/>
    </border>
    <border>
      <left style="thin">
        <color indexed="64"/>
      </left>
      <right/>
      <top style="thin">
        <color indexed="64"/>
      </top>
      <bottom style="thin">
        <color indexed="64"/>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top style="thin">
        <color theme="8" tint="0.39997558519241921"/>
      </top>
      <bottom style="thin">
        <color theme="8" tint="0.39997558519241921"/>
      </bottom>
      <diagonal/>
    </border>
    <border>
      <left/>
      <right/>
      <top style="thin">
        <color theme="1"/>
      </top>
      <bottom style="thin">
        <color theme="8" tint="0.39997558519241921"/>
      </bottom>
      <diagonal/>
    </border>
    <border>
      <left/>
      <right/>
      <top style="thin">
        <color theme="8" tint="0.39997558519241921"/>
      </top>
      <bottom style="thin">
        <color theme="8" tint="0.39997558519241921"/>
      </bottom>
      <diagonal/>
    </border>
    <border>
      <left style="thin">
        <color theme="1"/>
      </left>
      <right/>
      <top style="thin">
        <color theme="8" tint="0.39997558519241921"/>
      </top>
      <bottom/>
      <diagonal/>
    </border>
    <border>
      <left/>
      <right/>
      <top style="thin">
        <color theme="8" tint="0.39997558519241921"/>
      </top>
      <bottom/>
      <diagonal/>
    </border>
    <border>
      <left style="thin">
        <color theme="1"/>
      </left>
      <right/>
      <top style="thin">
        <color theme="1"/>
      </top>
      <bottom style="thin">
        <color theme="8" tint="0.399975585192419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left>
      <right style="thin">
        <color theme="0"/>
      </right>
      <top style="thin">
        <color theme="0"/>
      </top>
      <bottom style="thin">
        <color theme="0"/>
      </bottom>
      <diagonal/>
    </border>
  </borders>
  <cellStyleXfs count="17">
    <xf numFmtId="0" fontId="0" fillId="0" borderId="0"/>
    <xf numFmtId="9" fontId="1" fillId="0" borderId="0" applyFont="0" applyFill="0" applyBorder="0" applyAlignment="0" applyProtection="0"/>
    <xf numFmtId="0" fontId="3" fillId="0" borderId="0"/>
    <xf numFmtId="0" fontId="5" fillId="2" borderId="0" applyNumberFormat="0" applyProtection="0">
      <alignment wrapText="1"/>
    </xf>
    <xf numFmtId="49" fontId="8" fillId="0" borderId="3" applyNumberFormat="0" applyProtection="0">
      <alignment vertical="center"/>
      <protection locked="0"/>
    </xf>
    <xf numFmtId="9" fontId="3" fillId="0" borderId="0" applyFont="0" applyFill="0" applyBorder="0" applyAlignment="0" applyProtection="0"/>
    <xf numFmtId="0" fontId="3" fillId="0" borderId="0"/>
    <xf numFmtId="0" fontId="1"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36" fillId="0" borderId="0"/>
    <xf numFmtId="0" fontId="1" fillId="0" borderId="0"/>
    <xf numFmtId="4" fontId="40" fillId="50" borderId="40" applyNumberFormat="0" applyProtection="0"/>
    <xf numFmtId="0" fontId="41" fillId="0" borderId="0"/>
    <xf numFmtId="2" fontId="3" fillId="51" borderId="41" applyNumberFormat="0" applyProtection="0">
      <alignment vertical="center"/>
      <protection locked="0"/>
    </xf>
    <xf numFmtId="168" fontId="1" fillId="0" borderId="0" applyFont="0" applyFill="0" applyBorder="0" applyAlignment="0" applyProtection="0"/>
    <xf numFmtId="169" fontId="1" fillId="0" borderId="0" applyFont="0" applyFill="0" applyBorder="0" applyAlignment="0" applyProtection="0"/>
  </cellStyleXfs>
  <cellXfs count="597">
    <xf numFmtId="0" fontId="0" fillId="0" borderId="0" xfId="0"/>
    <xf numFmtId="0" fontId="4" fillId="0" borderId="0" xfId="2" applyFont="1"/>
    <xf numFmtId="0" fontId="6" fillId="2" borderId="0" xfId="3" applyFont="1">
      <alignment wrapText="1"/>
    </xf>
    <xf numFmtId="0" fontId="7" fillId="0" borderId="0" xfId="2" applyFont="1"/>
    <xf numFmtId="0" fontId="6" fillId="2" borderId="1" xfId="3" applyFont="1" applyBorder="1">
      <alignment wrapText="1"/>
    </xf>
    <xf numFmtId="0" fontId="6" fillId="2" borderId="2" xfId="3" applyFont="1" applyBorder="1">
      <alignment wrapText="1"/>
    </xf>
    <xf numFmtId="0" fontId="7" fillId="0" borderId="4" xfId="4" applyNumberFormat="1" applyFont="1" applyBorder="1" applyProtection="1">
      <alignment vertical="center"/>
    </xf>
    <xf numFmtId="0" fontId="9" fillId="0" borderId="4" xfId="2" applyFont="1" applyBorder="1" applyAlignment="1">
      <alignment horizontal="right"/>
    </xf>
    <xf numFmtId="0" fontId="3" fillId="0" borderId="0" xfId="2"/>
    <xf numFmtId="164" fontId="1" fillId="0" borderId="0" xfId="5" applyNumberFormat="1" applyFont="1"/>
    <xf numFmtId="0" fontId="7" fillId="3" borderId="4" xfId="4" applyNumberFormat="1" applyFont="1" applyFill="1" applyBorder="1" applyAlignment="1" applyProtection="1">
      <alignment horizontal="right" vertical="center"/>
    </xf>
    <xf numFmtId="0" fontId="10" fillId="3" borderId="4" xfId="2" applyFont="1" applyFill="1" applyBorder="1" applyAlignment="1">
      <alignment horizontal="right"/>
    </xf>
    <xf numFmtId="164" fontId="10" fillId="3" borderId="4" xfId="5" applyNumberFormat="1" applyFont="1" applyFill="1" applyBorder="1" applyAlignment="1">
      <alignment horizontal="right"/>
    </xf>
    <xf numFmtId="0" fontId="10" fillId="0" borderId="4" xfId="2" applyFont="1" applyBorder="1" applyAlignment="1">
      <alignment horizontal="right"/>
    </xf>
    <xf numFmtId="164" fontId="11" fillId="0" borderId="2" xfId="5" applyNumberFormat="1" applyFont="1" applyBorder="1"/>
    <xf numFmtId="164" fontId="9" fillId="4" borderId="0" xfId="2" applyNumberFormat="1" applyFont="1" applyFill="1"/>
    <xf numFmtId="0" fontId="7" fillId="3" borderId="4" xfId="4" applyNumberFormat="1" applyFont="1" applyFill="1" applyBorder="1" applyProtection="1">
      <alignment vertical="center"/>
    </xf>
    <xf numFmtId="9" fontId="10" fillId="3" borderId="4" xfId="5" applyFont="1" applyFill="1" applyBorder="1" applyAlignment="1">
      <alignment horizontal="right"/>
    </xf>
    <xf numFmtId="0" fontId="4" fillId="5" borderId="0" xfId="2" applyFont="1" applyFill="1"/>
    <xf numFmtId="9" fontId="10" fillId="0" borderId="4" xfId="5" applyFont="1" applyBorder="1" applyAlignment="1">
      <alignment horizontal="right"/>
    </xf>
    <xf numFmtId="9" fontId="11" fillId="0" borderId="2" xfId="5" applyFont="1" applyBorder="1"/>
    <xf numFmtId="9" fontId="7" fillId="3" borderId="4" xfId="5" applyFont="1" applyFill="1" applyBorder="1" applyAlignment="1" applyProtection="1">
      <alignment vertical="center"/>
    </xf>
    <xf numFmtId="9" fontId="4" fillId="0" borderId="0" xfId="5" applyFont="1"/>
    <xf numFmtId="0" fontId="4" fillId="0" borderId="0" xfId="2" applyFont="1" applyAlignment="1">
      <alignment horizontal="right"/>
    </xf>
    <xf numFmtId="0" fontId="4" fillId="0" borderId="5" xfId="2" applyFont="1" applyBorder="1" applyAlignment="1">
      <alignment horizontal="left"/>
    </xf>
    <xf numFmtId="0" fontId="2" fillId="8" borderId="7" xfId="0" applyFont="1" applyFill="1" applyBorder="1"/>
    <xf numFmtId="0" fontId="4" fillId="0" borderId="5" xfId="2" applyFont="1" applyBorder="1"/>
    <xf numFmtId="0" fontId="4" fillId="0" borderId="5" xfId="2" applyFont="1" applyBorder="1" applyAlignment="1">
      <alignment horizontal="right"/>
    </xf>
    <xf numFmtId="0" fontId="7" fillId="0" borderId="5" xfId="2" applyFont="1" applyBorder="1" applyAlignment="1">
      <alignment horizontal="left"/>
    </xf>
    <xf numFmtId="0" fontId="7" fillId="0" borderId="0" xfId="2" applyFont="1" applyAlignment="1">
      <alignment horizontal="left"/>
    </xf>
    <xf numFmtId="1" fontId="4" fillId="0" borderId="0" xfId="2" applyNumberFormat="1" applyFont="1"/>
    <xf numFmtId="0" fontId="0" fillId="8" borderId="7" xfId="0" applyFill="1" applyBorder="1"/>
    <xf numFmtId="1" fontId="3" fillId="0" borderId="0" xfId="2" applyNumberFormat="1"/>
    <xf numFmtId="0" fontId="3" fillId="0" borderId="0" xfId="2" applyAlignment="1">
      <alignment horizontal="left"/>
    </xf>
    <xf numFmtId="9" fontId="3" fillId="0" borderId="0" xfId="1" applyFont="1"/>
    <xf numFmtId="0" fontId="13" fillId="0" borderId="0" xfId="2" applyFont="1"/>
    <xf numFmtId="165" fontId="3" fillId="0" borderId="0" xfId="2" applyNumberFormat="1"/>
    <xf numFmtId="1" fontId="3" fillId="0" borderId="0" xfId="2" applyNumberFormat="1" applyAlignment="1">
      <alignment horizontal="left"/>
    </xf>
    <xf numFmtId="0" fontId="0" fillId="5" borderId="0" xfId="0" applyFill="1"/>
    <xf numFmtId="1" fontId="3" fillId="11" borderId="0" xfId="2" applyNumberFormat="1" applyFill="1" applyAlignment="1">
      <alignment horizontal="left"/>
    </xf>
    <xf numFmtId="1" fontId="11" fillId="12" borderId="9" xfId="2" applyNumberFormat="1" applyFont="1" applyFill="1" applyBorder="1"/>
    <xf numFmtId="1" fontId="4" fillId="0" borderId="0" xfId="2" applyNumberFormat="1" applyFont="1" applyAlignment="1">
      <alignment horizontal="left"/>
    </xf>
    <xf numFmtId="165" fontId="0" fillId="0" borderId="9" xfId="0" applyNumberFormat="1" applyBorder="1"/>
    <xf numFmtId="165" fontId="0" fillId="0" borderId="10" xfId="0" applyNumberFormat="1" applyBorder="1"/>
    <xf numFmtId="1" fontId="11" fillId="12" borderId="0" xfId="2" applyNumberFormat="1" applyFont="1" applyFill="1"/>
    <xf numFmtId="1" fontId="3" fillId="12" borderId="9" xfId="2" applyNumberFormat="1" applyFill="1" applyBorder="1"/>
    <xf numFmtId="9" fontId="3" fillId="12" borderId="9" xfId="1" applyFont="1" applyFill="1" applyBorder="1"/>
    <xf numFmtId="0" fontId="4" fillId="4" borderId="0" xfId="2" applyFont="1" applyFill="1"/>
    <xf numFmtId="9" fontId="7" fillId="0" borderId="0" xfId="5" applyFont="1"/>
    <xf numFmtId="9" fontId="4" fillId="0" borderId="0" xfId="5" applyFont="1" applyAlignment="1">
      <alignment horizontal="left"/>
    </xf>
    <xf numFmtId="0" fontId="4" fillId="0" borderId="0" xfId="2" applyFont="1" applyAlignment="1">
      <alignment horizontal="left"/>
    </xf>
    <xf numFmtId="1" fontId="4" fillId="4" borderId="0" xfId="2" applyNumberFormat="1" applyFont="1" applyFill="1"/>
    <xf numFmtId="165" fontId="4" fillId="4" borderId="0" xfId="2" applyNumberFormat="1" applyFont="1" applyFill="1"/>
    <xf numFmtId="0" fontId="4" fillId="4" borderId="0" xfId="2" applyFont="1" applyFill="1" applyAlignment="1">
      <alignment horizontal="left"/>
    </xf>
    <xf numFmtId="165" fontId="4" fillId="0" borderId="0" xfId="2" applyNumberFormat="1" applyFont="1"/>
    <xf numFmtId="0" fontId="7" fillId="4" borderId="0" xfId="2" applyFont="1" applyFill="1"/>
    <xf numFmtId="1" fontId="2" fillId="4" borderId="0" xfId="2" applyNumberFormat="1" applyFont="1" applyFill="1"/>
    <xf numFmtId="1" fontId="4" fillId="4" borderId="0" xfId="2" applyNumberFormat="1" applyFont="1" applyFill="1" applyAlignment="1">
      <alignment horizontal="left"/>
    </xf>
    <xf numFmtId="9" fontId="6" fillId="13" borderId="6" xfId="5" applyFont="1" applyFill="1" applyBorder="1" applyAlignment="1">
      <alignment horizontal="right"/>
    </xf>
    <xf numFmtId="9" fontId="6" fillId="13" borderId="6" xfId="5" applyFont="1" applyFill="1" applyBorder="1" applyAlignment="1">
      <alignment horizontal="right" wrapText="1"/>
    </xf>
    <xf numFmtId="9" fontId="0" fillId="0" borderId="0" xfId="5" applyFont="1"/>
    <xf numFmtId="0" fontId="14" fillId="0" borderId="0" xfId="2" applyFont="1"/>
    <xf numFmtId="1" fontId="4" fillId="8" borderId="0" xfId="2" applyNumberFormat="1" applyFont="1" applyFill="1"/>
    <xf numFmtId="0" fontId="15" fillId="0" borderId="0" xfId="2" applyFont="1"/>
    <xf numFmtId="1" fontId="7" fillId="0" borderId="0" xfId="2" applyNumberFormat="1" applyFont="1"/>
    <xf numFmtId="9" fontId="1" fillId="0" borderId="0" xfId="5" applyFont="1"/>
    <xf numFmtId="164" fontId="4" fillId="0" borderId="0" xfId="2" applyNumberFormat="1" applyFont="1"/>
    <xf numFmtId="2" fontId="4" fillId="0" borderId="0" xfId="2" applyNumberFormat="1" applyFont="1"/>
    <xf numFmtId="0" fontId="2" fillId="0" borderId="0" xfId="0" applyFont="1"/>
    <xf numFmtId="0" fontId="9" fillId="3" borderId="4" xfId="2" applyFont="1" applyFill="1" applyBorder="1" applyAlignment="1">
      <alignment horizontal="right"/>
    </xf>
    <xf numFmtId="0" fontId="7" fillId="14" borderId="4" xfId="4" applyNumberFormat="1" applyFont="1" applyFill="1" applyBorder="1" applyProtection="1">
      <alignment vertical="center"/>
    </xf>
    <xf numFmtId="0" fontId="9" fillId="14" borderId="4" xfId="2" applyFont="1" applyFill="1" applyBorder="1" applyAlignment="1">
      <alignment horizontal="right"/>
    </xf>
    <xf numFmtId="0" fontId="16" fillId="0" borderId="0" xfId="2" applyFont="1"/>
    <xf numFmtId="0" fontId="17" fillId="0" borderId="0" xfId="0" applyFont="1"/>
    <xf numFmtId="165" fontId="11" fillId="0" borderId="0" xfId="0" applyNumberFormat="1" applyFont="1"/>
    <xf numFmtId="165" fontId="11" fillId="0" borderId="8" xfId="0" applyNumberFormat="1" applyFont="1" applyBorder="1"/>
    <xf numFmtId="165" fontId="11" fillId="9" borderId="0" xfId="0" applyNumberFormat="1" applyFont="1" applyFill="1"/>
    <xf numFmtId="165" fontId="11" fillId="9" borderId="8" xfId="0" applyNumberFormat="1" applyFont="1" applyFill="1" applyBorder="1"/>
    <xf numFmtId="1" fontId="13" fillId="9" borderId="0" xfId="0" applyNumberFormat="1" applyFont="1" applyFill="1"/>
    <xf numFmtId="1" fontId="13" fillId="9" borderId="8" xfId="0" applyNumberFormat="1" applyFont="1" applyFill="1" applyBorder="1"/>
    <xf numFmtId="165" fontId="8" fillId="9" borderId="0" xfId="0" applyNumberFormat="1" applyFont="1" applyFill="1"/>
    <xf numFmtId="165" fontId="8" fillId="9" borderId="8" xfId="0" applyNumberFormat="1" applyFont="1" applyFill="1" applyBorder="1"/>
    <xf numFmtId="1" fontId="11" fillId="9" borderId="0" xfId="0" applyNumberFormat="1" applyFont="1" applyFill="1"/>
    <xf numFmtId="1" fontId="11" fillId="9" borderId="8" xfId="0" applyNumberFormat="1" applyFont="1" applyFill="1" applyBorder="1"/>
    <xf numFmtId="1" fontId="13" fillId="10" borderId="0" xfId="0" applyNumberFormat="1" applyFont="1" applyFill="1"/>
    <xf numFmtId="1" fontId="13" fillId="10" borderId="8" xfId="0" applyNumberFormat="1" applyFont="1" applyFill="1" applyBorder="1"/>
    <xf numFmtId="1" fontId="3" fillId="9" borderId="0" xfId="0" applyNumberFormat="1" applyFont="1" applyFill="1"/>
    <xf numFmtId="1" fontId="3" fillId="9" borderId="8" xfId="0" applyNumberFormat="1" applyFont="1" applyFill="1" applyBorder="1"/>
    <xf numFmtId="1" fontId="11" fillId="10" borderId="0" xfId="0" applyNumberFormat="1" applyFont="1" applyFill="1"/>
    <xf numFmtId="1" fontId="11" fillId="10" borderId="8" xfId="0" applyNumberFormat="1" applyFont="1" applyFill="1" applyBorder="1"/>
    <xf numFmtId="165" fontId="11" fillId="11" borderId="0" xfId="0" applyNumberFormat="1" applyFont="1" applyFill="1"/>
    <xf numFmtId="165" fontId="11" fillId="11" borderId="8" xfId="0" applyNumberFormat="1" applyFont="1" applyFill="1" applyBorder="1"/>
    <xf numFmtId="165" fontId="11" fillId="10" borderId="0" xfId="0" applyNumberFormat="1" applyFont="1" applyFill="1"/>
    <xf numFmtId="165" fontId="11" fillId="10" borderId="8" xfId="0" applyNumberFormat="1" applyFont="1" applyFill="1" applyBorder="1"/>
    <xf numFmtId="0" fontId="3" fillId="5" borderId="0" xfId="2" applyFill="1"/>
    <xf numFmtId="9" fontId="3" fillId="0" borderId="0" xfId="1" applyFont="1" applyAlignment="1">
      <alignment horizontal="right"/>
    </xf>
    <xf numFmtId="1" fontId="3" fillId="0" borderId="0" xfId="1" applyNumberFormat="1" applyFont="1"/>
    <xf numFmtId="0" fontId="21" fillId="0" borderId="12" xfId="0" applyFont="1" applyBorder="1"/>
    <xf numFmtId="0" fontId="18" fillId="18" borderId="0" xfId="0" applyFont="1" applyFill="1"/>
    <xf numFmtId="0" fontId="20" fillId="19" borderId="0" xfId="0" applyFont="1" applyFill="1"/>
    <xf numFmtId="0" fontId="22" fillId="19" borderId="0" xfId="0" applyFont="1" applyFill="1"/>
    <xf numFmtId="0" fontId="20" fillId="18" borderId="0" xfId="0" applyFont="1" applyFill="1"/>
    <xf numFmtId="0" fontId="23" fillId="0" borderId="0" xfId="0" applyFont="1" applyAlignment="1">
      <alignment vertical="center"/>
    </xf>
    <xf numFmtId="0" fontId="2" fillId="20" borderId="0" xfId="0" applyFont="1" applyFill="1"/>
    <xf numFmtId="0" fontId="0" fillId="20" borderId="0" xfId="0" applyFill="1"/>
    <xf numFmtId="0" fontId="0" fillId="0" borderId="0" xfId="0" applyAlignment="1">
      <alignment horizontal="right"/>
    </xf>
    <xf numFmtId="1" fontId="0" fillId="0" borderId="0" xfId="0" applyNumberFormat="1"/>
    <xf numFmtId="1" fontId="0" fillId="21" borderId="0" xfId="0" applyNumberFormat="1" applyFill="1"/>
    <xf numFmtId="1" fontId="18" fillId="19" borderId="0" xfId="0" applyNumberFormat="1" applyFont="1" applyFill="1"/>
    <xf numFmtId="0" fontId="19" fillId="0" borderId="0" xfId="0" applyFont="1"/>
    <xf numFmtId="0" fontId="1" fillId="15" borderId="0" xfId="7"/>
    <xf numFmtId="165" fontId="0" fillId="0" borderId="0" xfId="0" applyNumberFormat="1"/>
    <xf numFmtId="0" fontId="1" fillId="16" borderId="0" xfId="8"/>
    <xf numFmtId="17" fontId="0" fillId="0" borderId="0" xfId="0" applyNumberFormat="1"/>
    <xf numFmtId="0" fontId="24" fillId="0" borderId="0" xfId="0" applyFont="1"/>
    <xf numFmtId="0" fontId="25" fillId="20" borderId="0" xfId="0" applyFont="1" applyFill="1"/>
    <xf numFmtId="0" fontId="0" fillId="22" borderId="0" xfId="0" applyFill="1"/>
    <xf numFmtId="0" fontId="1" fillId="23" borderId="0" xfId="9" applyFill="1"/>
    <xf numFmtId="0" fontId="0" fillId="9" borderId="0" xfId="0" applyFill="1"/>
    <xf numFmtId="0" fontId="19" fillId="9" borderId="0" xfId="0" applyFont="1" applyFill="1"/>
    <xf numFmtId="0" fontId="0" fillId="10" borderId="0" xfId="0" applyFill="1"/>
    <xf numFmtId="0" fontId="0" fillId="24" borderId="0" xfId="0" applyFill="1"/>
    <xf numFmtId="0" fontId="0" fillId="2" borderId="0" xfId="0" applyFill="1"/>
    <xf numFmtId="0" fontId="0" fillId="11" borderId="0" xfId="0" applyFill="1"/>
    <xf numFmtId="0" fontId="0" fillId="23" borderId="0" xfId="0" applyFill="1"/>
    <xf numFmtId="0" fontId="0" fillId="25" borderId="0" xfId="0" applyFill="1"/>
    <xf numFmtId="0" fontId="0" fillId="26" borderId="0" xfId="0" applyFill="1"/>
    <xf numFmtId="1" fontId="0" fillId="10" borderId="0" xfId="0" applyNumberFormat="1" applyFill="1"/>
    <xf numFmtId="0" fontId="0" fillId="27" borderId="0" xfId="0" applyFill="1"/>
    <xf numFmtId="0" fontId="2" fillId="23" borderId="0" xfId="0" applyFont="1" applyFill="1"/>
    <xf numFmtId="0" fontId="0" fillId="0" borderId="6" xfId="0" applyBorder="1"/>
    <xf numFmtId="0" fontId="20" fillId="28" borderId="0" xfId="0" applyFont="1" applyFill="1"/>
    <xf numFmtId="0" fontId="0" fillId="0" borderId="0" xfId="0" applyAlignment="1">
      <alignment horizontal="left"/>
    </xf>
    <xf numFmtId="0" fontId="20" fillId="29" borderId="13" xfId="0" applyFont="1" applyFill="1" applyBorder="1"/>
    <xf numFmtId="0" fontId="20" fillId="29" borderId="11" xfId="0" applyFont="1" applyFill="1" applyBorder="1"/>
    <xf numFmtId="0" fontId="20" fillId="29" borderId="14" xfId="0" applyFont="1" applyFill="1" applyBorder="1"/>
    <xf numFmtId="0" fontId="20" fillId="2" borderId="11" xfId="0" applyFont="1" applyFill="1" applyBorder="1"/>
    <xf numFmtId="0" fontId="20" fillId="2" borderId="14" xfId="0" applyFont="1" applyFill="1" applyBorder="1"/>
    <xf numFmtId="0" fontId="20" fillId="28" borderId="11" xfId="0" applyFont="1" applyFill="1" applyBorder="1"/>
    <xf numFmtId="0" fontId="20" fillId="28" borderId="14" xfId="0" applyFont="1" applyFill="1" applyBorder="1"/>
    <xf numFmtId="0" fontId="20" fillId="7" borderId="11" xfId="0" applyFont="1" applyFill="1" applyBorder="1"/>
    <xf numFmtId="0" fontId="20" fillId="7" borderId="0" xfId="0" applyFont="1" applyFill="1"/>
    <xf numFmtId="0" fontId="20" fillId="7" borderId="14" xfId="0" applyFont="1" applyFill="1" applyBorder="1"/>
    <xf numFmtId="0" fontId="20" fillId="6" borderId="11" xfId="0" applyFont="1" applyFill="1" applyBorder="1"/>
    <xf numFmtId="0" fontId="20" fillId="6" borderId="14" xfId="0" applyFont="1" applyFill="1" applyBorder="1"/>
    <xf numFmtId="0" fontId="20" fillId="30" borderId="0" xfId="0" applyFont="1" applyFill="1"/>
    <xf numFmtId="0" fontId="20" fillId="22" borderId="0" xfId="0" applyFont="1" applyFill="1"/>
    <xf numFmtId="0" fontId="20" fillId="2" borderId="0" xfId="0" applyFont="1" applyFill="1"/>
    <xf numFmtId="0" fontId="2" fillId="9" borderId="0" xfId="0" applyFont="1" applyFill="1"/>
    <xf numFmtId="9" fontId="26" fillId="6" borderId="11" xfId="1" applyFont="1" applyFill="1" applyBorder="1" applyAlignment="1">
      <alignment horizontal="right"/>
    </xf>
    <xf numFmtId="9" fontId="26" fillId="6" borderId="11" xfId="1" applyFont="1" applyFill="1" applyBorder="1" applyAlignment="1">
      <alignment horizontal="left"/>
    </xf>
    <xf numFmtId="0" fontId="0" fillId="22" borderId="6" xfId="0" applyFill="1" applyBorder="1"/>
    <xf numFmtId="0" fontId="0" fillId="0" borderId="6" xfId="0" applyBorder="1" applyAlignment="1">
      <alignment horizontal="left"/>
    </xf>
    <xf numFmtId="0" fontId="0" fillId="0" borderId="15" xfId="0" applyBorder="1"/>
    <xf numFmtId="0" fontId="0" fillId="0" borderId="16" xfId="0" applyBorder="1"/>
    <xf numFmtId="0" fontId="0" fillId="0" borderId="8" xfId="0" applyBorder="1"/>
    <xf numFmtId="0" fontId="0" fillId="31" borderId="0" xfId="0" applyFill="1" applyAlignment="1">
      <alignment horizontal="center" vertical="top"/>
    </xf>
    <xf numFmtId="0" fontId="0" fillId="0" borderId="17" xfId="0" applyBorder="1"/>
    <xf numFmtId="0" fontId="2" fillId="0" borderId="0" xfId="0" applyFont="1" applyAlignment="1">
      <alignment horizontal="left"/>
    </xf>
    <xf numFmtId="2" fontId="0" fillId="0" borderId="0" xfId="0" applyNumberFormat="1"/>
    <xf numFmtId="165" fontId="1" fillId="16" borderId="0" xfId="8" applyNumberFormat="1"/>
    <xf numFmtId="165" fontId="1" fillId="23" borderId="17" xfId="9" applyNumberFormat="1" applyFill="1" applyBorder="1"/>
    <xf numFmtId="165" fontId="1" fillId="0" borderId="0" xfId="9" applyNumberFormat="1" applyFill="1" applyBorder="1"/>
    <xf numFmtId="165" fontId="1" fillId="0" borderId="8" xfId="9" applyNumberFormat="1" applyFill="1" applyBorder="1"/>
    <xf numFmtId="165" fontId="0" fillId="0" borderId="8" xfId="0" applyNumberFormat="1" applyBorder="1"/>
    <xf numFmtId="9" fontId="0" fillId="0" borderId="0" xfId="1" applyFont="1"/>
    <xf numFmtId="2" fontId="0" fillId="25" borderId="0" xfId="0" applyNumberFormat="1" applyFill="1"/>
    <xf numFmtId="2" fontId="0" fillId="9" borderId="0" xfId="1" applyNumberFormat="1" applyFont="1" applyFill="1"/>
    <xf numFmtId="165" fontId="0" fillId="0" borderId="17" xfId="0" applyNumberFormat="1" applyBorder="1"/>
    <xf numFmtId="165" fontId="0" fillId="9" borderId="0" xfId="0" applyNumberFormat="1" applyFill="1"/>
    <xf numFmtId="165" fontId="0" fillId="9" borderId="8" xfId="0" applyNumberFormat="1" applyFill="1" applyBorder="1"/>
    <xf numFmtId="165" fontId="1" fillId="27" borderId="17" xfId="9" applyNumberFormat="1" applyFill="1" applyBorder="1"/>
    <xf numFmtId="165" fontId="1" fillId="27" borderId="0" xfId="9" applyNumberFormat="1" applyFill="1" applyBorder="1"/>
    <xf numFmtId="165" fontId="1" fillId="27" borderId="8" xfId="9" applyNumberFormat="1" applyFill="1" applyBorder="1"/>
    <xf numFmtId="165" fontId="0" fillId="27" borderId="0" xfId="0" applyNumberFormat="1" applyFill="1"/>
    <xf numFmtId="165" fontId="0" fillId="32" borderId="0" xfId="0" applyNumberFormat="1" applyFill="1"/>
    <xf numFmtId="165" fontId="0" fillId="27" borderId="8" xfId="0" applyNumberFormat="1" applyFill="1" applyBorder="1"/>
    <xf numFmtId="165" fontId="0" fillId="10" borderId="0" xfId="0" applyNumberFormat="1" applyFill="1"/>
    <xf numFmtId="165" fontId="0" fillId="27" borderId="17" xfId="0" applyNumberFormat="1" applyFill="1" applyBorder="1"/>
    <xf numFmtId="165" fontId="1" fillId="10" borderId="17" xfId="7" applyNumberFormat="1" applyFill="1" applyBorder="1"/>
    <xf numFmtId="165" fontId="0" fillId="10" borderId="8" xfId="0" applyNumberFormat="1" applyFill="1" applyBorder="1"/>
    <xf numFmtId="1" fontId="19" fillId="9" borderId="0" xfId="0" applyNumberFormat="1" applyFont="1" applyFill="1"/>
    <xf numFmtId="1" fontId="19" fillId="9" borderId="8" xfId="0" applyNumberFormat="1" applyFont="1" applyFill="1" applyBorder="1"/>
    <xf numFmtId="1" fontId="1" fillId="16" borderId="0" xfId="8" applyNumberFormat="1"/>
    <xf numFmtId="1" fontId="0" fillId="10" borderId="8" xfId="0" applyNumberFormat="1" applyFill="1" applyBorder="1"/>
    <xf numFmtId="0" fontId="0" fillId="6" borderId="0" xfId="0" applyFill="1"/>
    <xf numFmtId="0" fontId="0" fillId="33" borderId="0" xfId="0" applyFill="1"/>
    <xf numFmtId="1" fontId="0" fillId="33" borderId="0" xfId="0" applyNumberFormat="1" applyFill="1"/>
    <xf numFmtId="165" fontId="1" fillId="11" borderId="0" xfId="7" applyNumberFormat="1" applyFill="1"/>
    <xf numFmtId="165" fontId="1" fillId="15" borderId="17" xfId="7" applyNumberFormat="1" applyBorder="1"/>
    <xf numFmtId="1" fontId="1" fillId="15" borderId="0" xfId="7" applyNumberFormat="1" applyBorder="1"/>
    <xf numFmtId="1" fontId="1" fillId="15" borderId="0" xfId="7" applyNumberFormat="1"/>
    <xf numFmtId="1" fontId="0" fillId="0" borderId="0" xfId="0" applyNumberFormat="1" applyAlignment="1">
      <alignment horizontal="left"/>
    </xf>
    <xf numFmtId="165" fontId="0" fillId="5" borderId="8" xfId="0" applyNumberFormat="1" applyFill="1" applyBorder="1"/>
    <xf numFmtId="165" fontId="0" fillId="34" borderId="0" xfId="0" applyNumberFormat="1" applyFill="1"/>
    <xf numFmtId="165" fontId="1" fillId="10" borderId="0" xfId="7" applyNumberFormat="1" applyFill="1"/>
    <xf numFmtId="165" fontId="2" fillId="9" borderId="0" xfId="0" applyNumberFormat="1" applyFont="1" applyFill="1"/>
    <xf numFmtId="165" fontId="2" fillId="9" borderId="8" xfId="0" applyNumberFormat="1" applyFont="1" applyFill="1" applyBorder="1"/>
    <xf numFmtId="165" fontId="0" fillId="11" borderId="0" xfId="0" applyNumberFormat="1" applyFill="1"/>
    <xf numFmtId="1" fontId="0" fillId="9" borderId="0" xfId="0" applyNumberFormat="1" applyFill="1"/>
    <xf numFmtId="1" fontId="0" fillId="9" borderId="8" xfId="0" applyNumberFormat="1" applyFill="1" applyBorder="1"/>
    <xf numFmtId="165" fontId="0" fillId="21" borderId="0" xfId="0" applyNumberFormat="1" applyFill="1"/>
    <xf numFmtId="165" fontId="0" fillId="5" borderId="0" xfId="0" applyNumberFormat="1" applyFill="1"/>
    <xf numFmtId="165" fontId="1" fillId="16" borderId="0" xfId="8" applyNumberFormat="1" applyBorder="1"/>
    <xf numFmtId="0" fontId="0" fillId="21" borderId="0" xfId="0" applyFill="1"/>
    <xf numFmtId="165" fontId="0" fillId="2" borderId="0" xfId="0" applyNumberFormat="1" applyFill="1"/>
    <xf numFmtId="165" fontId="0" fillId="35" borderId="0" xfId="0" applyNumberFormat="1" applyFill="1"/>
    <xf numFmtId="165" fontId="0" fillId="33" borderId="0" xfId="0" applyNumberFormat="1" applyFill="1"/>
    <xf numFmtId="10" fontId="0" fillId="0" borderId="0" xfId="1" applyNumberFormat="1" applyFont="1"/>
    <xf numFmtId="165" fontId="0" fillId="10" borderId="17" xfId="0" applyNumberFormat="1" applyFill="1" applyBorder="1"/>
    <xf numFmtId="165" fontId="1" fillId="24" borderId="0" xfId="8" applyNumberFormat="1" applyFill="1"/>
    <xf numFmtId="1" fontId="26" fillId="5" borderId="0" xfId="0" applyNumberFormat="1" applyFont="1" applyFill="1"/>
    <xf numFmtId="1" fontId="26" fillId="9" borderId="0" xfId="0" applyNumberFormat="1" applyFont="1" applyFill="1"/>
    <xf numFmtId="1" fontId="26" fillId="9" borderId="8" xfId="0" applyNumberFormat="1" applyFont="1" applyFill="1" applyBorder="1"/>
    <xf numFmtId="165" fontId="26" fillId="0" borderId="0" xfId="0" applyNumberFormat="1" applyFont="1"/>
    <xf numFmtId="165" fontId="1" fillId="15" borderId="0" xfId="7" applyNumberFormat="1" applyBorder="1"/>
    <xf numFmtId="1" fontId="19" fillId="5" borderId="0" xfId="0" applyNumberFormat="1" applyFont="1" applyFill="1"/>
    <xf numFmtId="165" fontId="1" fillId="36" borderId="0" xfId="8" applyNumberFormat="1" applyFill="1"/>
    <xf numFmtId="165" fontId="1" fillId="0" borderId="0" xfId="7" applyNumberFormat="1" applyFill="1"/>
    <xf numFmtId="165" fontId="0" fillId="11" borderId="8" xfId="0" applyNumberFormat="1" applyFill="1" applyBorder="1"/>
    <xf numFmtId="165" fontId="1" fillId="4" borderId="0" xfId="7" applyNumberFormat="1" applyFill="1"/>
    <xf numFmtId="1" fontId="0" fillId="11" borderId="0" xfId="0" applyNumberFormat="1" applyFill="1" applyAlignment="1">
      <alignment horizontal="left"/>
    </xf>
    <xf numFmtId="165" fontId="0" fillId="37" borderId="0" xfId="0" applyNumberFormat="1" applyFill="1"/>
    <xf numFmtId="9" fontId="0" fillId="0" borderId="8" xfId="1" applyFont="1" applyBorder="1"/>
    <xf numFmtId="1" fontId="0" fillId="0" borderId="0" xfId="1" applyNumberFormat="1" applyFont="1"/>
    <xf numFmtId="1" fontId="0" fillId="0" borderId="8" xfId="0" applyNumberFormat="1" applyBorder="1"/>
    <xf numFmtId="1" fontId="0" fillId="38" borderId="0" xfId="0" applyNumberFormat="1" applyFill="1"/>
    <xf numFmtId="1" fontId="2" fillId="9" borderId="0" xfId="0" applyNumberFormat="1" applyFont="1" applyFill="1"/>
    <xf numFmtId="165" fontId="0" fillId="0" borderId="0" xfId="0" applyNumberFormat="1" applyAlignment="1">
      <alignment horizontal="right"/>
    </xf>
    <xf numFmtId="1" fontId="0" fillId="0" borderId="17" xfId="0" applyNumberFormat="1" applyBorder="1"/>
    <xf numFmtId="1" fontId="2" fillId="0" borderId="0" xfId="0" applyNumberFormat="1" applyFont="1"/>
    <xf numFmtId="9" fontId="2" fillId="9" borderId="0" xfId="1" applyFont="1" applyFill="1"/>
    <xf numFmtId="164" fontId="0" fillId="0" borderId="0" xfId="0" applyNumberFormat="1"/>
    <xf numFmtId="9" fontId="2" fillId="0" borderId="0" xfId="1" applyFont="1"/>
    <xf numFmtId="1" fontId="0" fillId="39" borderId="17" xfId="0" applyNumberFormat="1" applyFill="1" applyBorder="1"/>
    <xf numFmtId="1" fontId="0" fillId="39" borderId="0" xfId="0" applyNumberFormat="1" applyFill="1"/>
    <xf numFmtId="1" fontId="0" fillId="39" borderId="8" xfId="0" applyNumberFormat="1" applyFill="1" applyBorder="1"/>
    <xf numFmtId="1" fontId="27" fillId="0" borderId="8" xfId="0" applyNumberFormat="1" applyFont="1" applyBorder="1"/>
    <xf numFmtId="1" fontId="27" fillId="0" borderId="0" xfId="0" applyNumberFormat="1" applyFont="1"/>
    <xf numFmtId="0" fontId="2" fillId="0" borderId="0" xfId="0" applyFont="1" applyAlignment="1">
      <alignment horizontal="right"/>
    </xf>
    <xf numFmtId="0" fontId="2" fillId="40" borderId="0" xfId="0" applyFont="1" applyFill="1"/>
    <xf numFmtId="1" fontId="2" fillId="0" borderId="17" xfId="0" applyNumberFormat="1" applyFont="1" applyBorder="1"/>
    <xf numFmtId="1" fontId="2" fillId="0" borderId="8" xfId="0" applyNumberFormat="1" applyFont="1" applyBorder="1"/>
    <xf numFmtId="1" fontId="2" fillId="2" borderId="0" xfId="0" applyNumberFormat="1" applyFont="1" applyFill="1"/>
    <xf numFmtId="1" fontId="2" fillId="6" borderId="0" xfId="0" applyNumberFormat="1" applyFont="1" applyFill="1"/>
    <xf numFmtId="1" fontId="2" fillId="0" borderId="0" xfId="0" applyNumberFormat="1" applyFont="1" applyAlignment="1">
      <alignment horizontal="right"/>
    </xf>
    <xf numFmtId="0" fontId="0" fillId="35" borderId="0" xfId="0" applyFill="1"/>
    <xf numFmtId="1" fontId="0" fillId="41" borderId="0" xfId="0" applyNumberFormat="1" applyFill="1"/>
    <xf numFmtId="1" fontId="0" fillId="41" borderId="8" xfId="0" applyNumberFormat="1" applyFill="1" applyBorder="1"/>
    <xf numFmtId="0" fontId="0" fillId="40" borderId="0" xfId="0" applyFill="1"/>
    <xf numFmtId="0" fontId="0" fillId="40" borderId="0" xfId="0" applyFill="1" applyAlignment="1">
      <alignment horizontal="right"/>
    </xf>
    <xf numFmtId="1" fontId="0" fillId="40" borderId="17" xfId="0" applyNumberFormat="1" applyFill="1" applyBorder="1"/>
    <xf numFmtId="1" fontId="0" fillId="40" borderId="0" xfId="0" applyNumberFormat="1" applyFill="1"/>
    <xf numFmtId="1" fontId="0" fillId="40" borderId="8" xfId="0" applyNumberFormat="1" applyFill="1" applyBorder="1"/>
    <xf numFmtId="1" fontId="19" fillId="8" borderId="0" xfId="0" applyNumberFormat="1" applyFont="1" applyFill="1"/>
    <xf numFmtId="1" fontId="0" fillId="6" borderId="0" xfId="0" applyNumberFormat="1" applyFill="1"/>
    <xf numFmtId="1" fontId="0" fillId="8" borderId="0" xfId="0" applyNumberFormat="1" applyFill="1"/>
    <xf numFmtId="0" fontId="25" fillId="0" borderId="0" xfId="0" applyFont="1"/>
    <xf numFmtId="1" fontId="0" fillId="9" borderId="17" xfId="0" applyNumberFormat="1" applyFill="1" applyBorder="1"/>
    <xf numFmtId="1" fontId="19" fillId="10" borderId="0" xfId="0" applyNumberFormat="1" applyFont="1" applyFill="1"/>
    <xf numFmtId="0" fontId="0" fillId="8" borderId="0" xfId="0" applyFill="1" applyAlignment="1">
      <alignment horizontal="right"/>
    </xf>
    <xf numFmtId="0" fontId="0" fillId="8" borderId="0" xfId="0" applyFill="1" applyAlignment="1">
      <alignment horizontal="left"/>
    </xf>
    <xf numFmtId="165" fontId="0" fillId="6" borderId="0" xfId="0" applyNumberFormat="1" applyFill="1"/>
    <xf numFmtId="165" fontId="0" fillId="6" borderId="8" xfId="0" applyNumberFormat="1" applyFill="1" applyBorder="1"/>
    <xf numFmtId="1" fontId="0" fillId="8" borderId="8" xfId="0" applyNumberFormat="1" applyFill="1" applyBorder="1"/>
    <xf numFmtId="1" fontId="0" fillId="5" borderId="0" xfId="0" applyNumberFormat="1" applyFill="1"/>
    <xf numFmtId="1" fontId="0" fillId="0" borderId="18" xfId="0" applyNumberFormat="1" applyBorder="1"/>
    <xf numFmtId="1" fontId="0" fillId="8" borderId="17" xfId="0" applyNumberFormat="1" applyFill="1" applyBorder="1"/>
    <xf numFmtId="1" fontId="2" fillId="9" borderId="15" xfId="0" applyNumberFormat="1" applyFont="1" applyFill="1" applyBorder="1"/>
    <xf numFmtId="0" fontId="28" fillId="0" borderId="0" xfId="0" applyFont="1"/>
    <xf numFmtId="0" fontId="0" fillId="5" borderId="8" xfId="0" applyFill="1" applyBorder="1" applyAlignment="1">
      <alignment horizontal="right"/>
    </xf>
    <xf numFmtId="0" fontId="0" fillId="5" borderId="8" xfId="0" applyFill="1" applyBorder="1" applyAlignment="1">
      <alignment horizontal="left"/>
    </xf>
    <xf numFmtId="0" fontId="2" fillId="40" borderId="0" xfId="0" applyFont="1" applyFill="1" applyAlignment="1">
      <alignment horizontal="right"/>
    </xf>
    <xf numFmtId="0" fontId="0" fillId="35" borderId="0" xfId="0" applyFill="1" applyAlignment="1">
      <alignment horizontal="right"/>
    </xf>
    <xf numFmtId="9" fontId="0" fillId="10" borderId="0" xfId="1" applyFont="1" applyFill="1"/>
    <xf numFmtId="1" fontId="0" fillId="0" borderId="6" xfId="0" applyNumberFormat="1" applyBorder="1"/>
    <xf numFmtId="1" fontId="0" fillId="8" borderId="6" xfId="0" applyNumberFormat="1" applyFill="1" applyBorder="1"/>
    <xf numFmtId="1" fontId="27" fillId="0" borderId="6" xfId="0" applyNumberFormat="1" applyFont="1" applyBorder="1"/>
    <xf numFmtId="1" fontId="27" fillId="0" borderId="15" xfId="0" applyNumberFormat="1" applyFont="1" applyBorder="1"/>
    <xf numFmtId="1" fontId="0" fillId="5" borderId="8" xfId="0" applyNumberFormat="1" applyFill="1" applyBorder="1"/>
    <xf numFmtId="1" fontId="0" fillId="6" borderId="8" xfId="0" applyNumberFormat="1" applyFill="1" applyBorder="1"/>
    <xf numFmtId="0" fontId="0" fillId="4" borderId="0" xfId="0" applyFill="1"/>
    <xf numFmtId="1" fontId="0" fillId="4" borderId="0" xfId="0" applyNumberFormat="1" applyFill="1"/>
    <xf numFmtId="0" fontId="0" fillId="0" borderId="19" xfId="0" applyBorder="1"/>
    <xf numFmtId="0" fontId="0" fillId="0" borderId="20" xfId="0" applyBorder="1"/>
    <xf numFmtId="0" fontId="0" fillId="0" borderId="20" xfId="0" applyBorder="1" applyAlignment="1">
      <alignment horizontal="right"/>
    </xf>
    <xf numFmtId="0" fontId="0" fillId="0" borderId="21" xfId="0" applyBorder="1"/>
    <xf numFmtId="0" fontId="0" fillId="41" borderId="22" xfId="0" applyFill="1" applyBorder="1"/>
    <xf numFmtId="0" fontId="0" fillId="41" borderId="0" xfId="0" applyFill="1"/>
    <xf numFmtId="1" fontId="0" fillId="26" borderId="0" xfId="0" applyNumberFormat="1" applyFill="1"/>
    <xf numFmtId="1" fontId="0" fillId="42" borderId="0" xfId="0" applyNumberFormat="1" applyFill="1"/>
    <xf numFmtId="1" fontId="0" fillId="2" borderId="0" xfId="0" applyNumberFormat="1" applyFill="1"/>
    <xf numFmtId="0" fontId="0" fillId="0" borderId="23" xfId="0" applyBorder="1"/>
    <xf numFmtId="0" fontId="25" fillId="41" borderId="22" xfId="0" applyFont="1" applyFill="1" applyBorder="1"/>
    <xf numFmtId="1" fontId="0" fillId="41" borderId="0" xfId="0" applyNumberFormat="1" applyFill="1" applyAlignment="1">
      <alignment horizontal="right"/>
    </xf>
    <xf numFmtId="1" fontId="0" fillId="26" borderId="0" xfId="0" applyNumberFormat="1" applyFill="1" applyAlignment="1">
      <alignment horizontal="right"/>
    </xf>
    <xf numFmtId="0" fontId="29" fillId="43" borderId="24" xfId="0" applyFont="1" applyFill="1" applyBorder="1"/>
    <xf numFmtId="1" fontId="2" fillId="41" borderId="25" xfId="0" applyNumberFormat="1" applyFont="1" applyFill="1" applyBorder="1"/>
    <xf numFmtId="1" fontId="0" fillId="26" borderId="26" xfId="0" applyNumberFormat="1" applyFill="1" applyBorder="1"/>
    <xf numFmtId="0" fontId="29" fillId="43" borderId="27" xfId="0" applyFont="1" applyFill="1" applyBorder="1"/>
    <xf numFmtId="0" fontId="0" fillId="0" borderId="22" xfId="0" applyBorder="1"/>
    <xf numFmtId="1" fontId="0" fillId="44" borderId="0" xfId="0" applyNumberFormat="1" applyFill="1"/>
    <xf numFmtId="0" fontId="2" fillId="0" borderId="19" xfId="0" applyFont="1" applyBorder="1"/>
    <xf numFmtId="165" fontId="0" fillId="0" borderId="20" xfId="0" applyNumberFormat="1" applyBorder="1"/>
    <xf numFmtId="1" fontId="0" fillId="41" borderId="21" xfId="0" applyNumberFormat="1" applyFill="1" applyBorder="1"/>
    <xf numFmtId="1" fontId="0" fillId="41" borderId="28" xfId="0" applyNumberFormat="1" applyFill="1" applyBorder="1"/>
    <xf numFmtId="0" fontId="0" fillId="0" borderId="29" xfId="0" applyBorder="1"/>
    <xf numFmtId="0" fontId="0" fillId="0" borderId="30" xfId="0" applyBorder="1"/>
    <xf numFmtId="165" fontId="0" fillId="0" borderId="30" xfId="0" applyNumberFormat="1" applyBorder="1"/>
    <xf numFmtId="0" fontId="2" fillId="0" borderId="29" xfId="0" applyFont="1" applyBorder="1"/>
    <xf numFmtId="1" fontId="0" fillId="41" borderId="31" xfId="0" applyNumberFormat="1" applyFill="1" applyBorder="1"/>
    <xf numFmtId="1" fontId="0" fillId="41" borderId="32" xfId="0" applyNumberFormat="1" applyFill="1" applyBorder="1"/>
    <xf numFmtId="0" fontId="0" fillId="0" borderId="31" xfId="0" applyBorder="1"/>
    <xf numFmtId="164" fontId="3" fillId="0" borderId="0" xfId="1" applyNumberFormat="1" applyFont="1"/>
    <xf numFmtId="164" fontId="3" fillId="12" borderId="9" xfId="1" applyNumberFormat="1" applyFont="1" applyFill="1" applyBorder="1"/>
    <xf numFmtId="9" fontId="9" fillId="6" borderId="5" xfId="5" applyFont="1" applyFill="1" applyBorder="1" applyAlignment="1">
      <alignment horizontal="right" vertical="top"/>
    </xf>
    <xf numFmtId="9" fontId="9" fillId="6" borderId="5" xfId="5" applyFont="1" applyFill="1" applyBorder="1" applyAlignment="1">
      <alignment horizontal="center" vertical="top"/>
    </xf>
    <xf numFmtId="0" fontId="4" fillId="0" borderId="5" xfId="2" applyFont="1" applyBorder="1" applyAlignment="1">
      <alignment horizontal="left" vertical="top" wrapText="1"/>
    </xf>
    <xf numFmtId="9" fontId="4" fillId="6" borderId="5" xfId="5" applyFont="1" applyFill="1" applyBorder="1" applyAlignment="1">
      <alignment horizontal="center" vertical="top" wrapText="1"/>
    </xf>
    <xf numFmtId="9" fontId="4" fillId="6" borderId="6" xfId="5" applyFont="1" applyFill="1" applyBorder="1" applyAlignment="1">
      <alignment horizontal="left" vertical="top" wrapText="1"/>
    </xf>
    <xf numFmtId="0" fontId="4" fillId="0" borderId="6" xfId="2" applyFont="1" applyBorder="1" applyAlignment="1">
      <alignment horizontal="center" vertical="top" wrapText="1"/>
    </xf>
    <xf numFmtId="0" fontId="9" fillId="7" borderId="5" xfId="0" applyFont="1" applyFill="1" applyBorder="1" applyAlignment="1">
      <alignment horizontal="center" vertical="top" wrapText="1"/>
    </xf>
    <xf numFmtId="0" fontId="9" fillId="7" borderId="6" xfId="0" applyFont="1" applyFill="1" applyBorder="1" applyAlignment="1">
      <alignment horizontal="center" vertical="top" wrapText="1"/>
    </xf>
    <xf numFmtId="0" fontId="2" fillId="45" borderId="7" xfId="0" applyFont="1" applyFill="1" applyBorder="1"/>
    <xf numFmtId="0" fontId="2" fillId="45" borderId="7" xfId="0" quotePrefix="1" applyFont="1" applyFill="1" applyBorder="1"/>
    <xf numFmtId="0" fontId="2" fillId="33" borderId="7" xfId="0" applyFont="1" applyFill="1" applyBorder="1"/>
    <xf numFmtId="0" fontId="2" fillId="10" borderId="7" xfId="0" applyFont="1" applyFill="1" applyBorder="1"/>
    <xf numFmtId="0" fontId="32" fillId="35" borderId="34" xfId="0" applyFont="1" applyFill="1" applyBorder="1" applyAlignment="1">
      <alignment horizontal="left" vertical="center"/>
    </xf>
    <xf numFmtId="0" fontId="32" fillId="35" borderId="34" xfId="0" applyFont="1" applyFill="1" applyBorder="1" applyAlignment="1">
      <alignment horizontal="center" vertical="center"/>
    </xf>
    <xf numFmtId="0" fontId="32" fillId="35" borderId="34" xfId="0" applyFont="1" applyFill="1" applyBorder="1" applyAlignment="1">
      <alignment horizontal="right" vertical="center"/>
    </xf>
    <xf numFmtId="0" fontId="2" fillId="10" borderId="35" xfId="0" applyFont="1" applyFill="1" applyBorder="1"/>
    <xf numFmtId="0" fontId="26" fillId="45" borderId="7" xfId="0" applyFont="1" applyFill="1" applyBorder="1"/>
    <xf numFmtId="0" fontId="0" fillId="33" borderId="7" xfId="0" applyFill="1" applyBorder="1"/>
    <xf numFmtId="0" fontId="0" fillId="10" borderId="7" xfId="0" applyFill="1" applyBorder="1"/>
    <xf numFmtId="166" fontId="33" fillId="46" borderId="36" xfId="0" applyNumberFormat="1" applyFont="1" applyFill="1" applyBorder="1"/>
    <xf numFmtId="166" fontId="0" fillId="10" borderId="7" xfId="0" applyNumberFormat="1" applyFill="1" applyBorder="1"/>
    <xf numFmtId="167" fontId="0" fillId="0" borderId="0" xfId="0" applyNumberFormat="1"/>
    <xf numFmtId="3" fontId="26" fillId="45" borderId="7" xfId="0" applyNumberFormat="1" applyFont="1" applyFill="1" applyBorder="1"/>
    <xf numFmtId="3" fontId="0" fillId="33" borderId="7" xfId="0" applyNumberFormat="1" applyFill="1" applyBorder="1"/>
    <xf numFmtId="166" fontId="33" fillId="47" borderId="36" xfId="0" applyNumberFormat="1" applyFont="1" applyFill="1" applyBorder="1"/>
    <xf numFmtId="166" fontId="0" fillId="5" borderId="7" xfId="0" applyNumberFormat="1" applyFill="1" applyBorder="1"/>
    <xf numFmtId="165" fontId="19" fillId="11" borderId="0" xfId="0" applyNumberFormat="1" applyFont="1" applyFill="1"/>
    <xf numFmtId="0" fontId="34" fillId="45" borderId="7" xfId="0" applyFont="1" applyFill="1" applyBorder="1"/>
    <xf numFmtId="0" fontId="19" fillId="10" borderId="7" xfId="0" applyFont="1" applyFill="1" applyBorder="1"/>
    <xf numFmtId="0" fontId="0" fillId="0" borderId="37" xfId="0" applyBorder="1"/>
    <xf numFmtId="4" fontId="0" fillId="0" borderId="0" xfId="0" applyNumberFormat="1"/>
    <xf numFmtId="166" fontId="0" fillId="0" borderId="0" xfId="0" applyNumberFormat="1"/>
    <xf numFmtId="1" fontId="3" fillId="5" borderId="0" xfId="2" applyNumberFormat="1" applyFill="1"/>
    <xf numFmtId="0" fontId="9" fillId="0" borderId="38" xfId="2" applyFont="1" applyBorder="1" applyAlignment="1">
      <alignment horizontal="right"/>
    </xf>
    <xf numFmtId="0" fontId="7" fillId="0" borderId="34" xfId="4" applyNumberFormat="1" applyFont="1" applyBorder="1" applyProtection="1">
      <alignment vertical="center"/>
    </xf>
    <xf numFmtId="0" fontId="7" fillId="0" borderId="39" xfId="4" applyNumberFormat="1" applyFont="1" applyBorder="1" applyProtection="1">
      <alignment vertical="center"/>
    </xf>
    <xf numFmtId="0" fontId="7" fillId="0" borderId="5" xfId="4" applyNumberFormat="1" applyFont="1" applyBorder="1" applyProtection="1">
      <alignment vertical="center"/>
    </xf>
    <xf numFmtId="164" fontId="11" fillId="8" borderId="0" xfId="5" applyNumberFormat="1" applyFont="1" applyFill="1"/>
    <xf numFmtId="164" fontId="11" fillId="0" borderId="0" xfId="5" applyNumberFormat="1" applyFont="1"/>
    <xf numFmtId="9" fontId="3" fillId="0" borderId="0" xfId="5" applyFont="1"/>
    <xf numFmtId="9" fontId="4" fillId="26" borderId="5" xfId="5" applyFont="1" applyFill="1" applyBorder="1" applyAlignment="1">
      <alignment horizontal="center" vertical="top" wrapText="1"/>
    </xf>
    <xf numFmtId="1" fontId="9" fillId="0" borderId="0" xfId="2" applyNumberFormat="1" applyFont="1"/>
    <xf numFmtId="1" fontId="9" fillId="0" borderId="0" xfId="2" applyNumberFormat="1" applyFont="1" applyAlignment="1">
      <alignment horizontal="right"/>
    </xf>
    <xf numFmtId="0" fontId="9" fillId="0" borderId="0" xfId="2" applyFont="1"/>
    <xf numFmtId="9" fontId="17" fillId="0" borderId="0" xfId="1" applyFont="1" applyAlignment="1">
      <alignment horizontal="right"/>
    </xf>
    <xf numFmtId="9" fontId="9" fillId="0" borderId="0" xfId="2" applyNumberFormat="1" applyFont="1" applyAlignment="1">
      <alignment horizontal="right"/>
    </xf>
    <xf numFmtId="0" fontId="36" fillId="0" borderId="0" xfId="10"/>
    <xf numFmtId="0" fontId="33" fillId="0" borderId="0" xfId="11" applyFont="1"/>
    <xf numFmtId="0" fontId="33" fillId="47" borderId="0" xfId="11" applyFont="1" applyFill="1"/>
    <xf numFmtId="0" fontId="37" fillId="0" borderId="0" xfId="10" applyFont="1"/>
    <xf numFmtId="0" fontId="38" fillId="0" borderId="0" xfId="10" applyFont="1"/>
    <xf numFmtId="0" fontId="39" fillId="0" borderId="0" xfId="11" applyFont="1"/>
    <xf numFmtId="0" fontId="36" fillId="5" borderId="0" xfId="10" applyFill="1"/>
    <xf numFmtId="0" fontId="33" fillId="5" borderId="0" xfId="11" applyFont="1" applyFill="1"/>
    <xf numFmtId="0" fontId="36" fillId="48" borderId="0" xfId="10" applyFill="1"/>
    <xf numFmtId="0" fontId="36" fillId="49" borderId="0" xfId="10" applyFill="1"/>
    <xf numFmtId="1" fontId="40" fillId="50" borderId="40" xfId="12" applyNumberFormat="1"/>
    <xf numFmtId="0" fontId="33" fillId="0" borderId="0" xfId="13" applyFont="1"/>
    <xf numFmtId="0" fontId="33" fillId="47" borderId="0" xfId="13" applyFont="1" applyFill="1"/>
    <xf numFmtId="0" fontId="39" fillId="0" borderId="0" xfId="13" applyFont="1"/>
    <xf numFmtId="0" fontId="33" fillId="5" borderId="0" xfId="13" applyFont="1" applyFill="1"/>
    <xf numFmtId="1" fontId="3" fillId="51" borderId="41" xfId="14" applyNumberFormat="1" applyProtection="1">
      <alignment vertical="center"/>
    </xf>
    <xf numFmtId="1" fontId="3" fillId="12" borderId="10" xfId="2" applyNumberFormat="1" applyFill="1" applyBorder="1"/>
    <xf numFmtId="164" fontId="3" fillId="0" borderId="0" xfId="2" applyNumberFormat="1"/>
    <xf numFmtId="9" fontId="3" fillId="0" borderId="0" xfId="2" applyNumberFormat="1"/>
    <xf numFmtId="165" fontId="11" fillId="52" borderId="0" xfId="0" applyNumberFormat="1" applyFont="1" applyFill="1"/>
    <xf numFmtId="0" fontId="3" fillId="52" borderId="0" xfId="2" applyFill="1"/>
    <xf numFmtId="165" fontId="11" fillId="53" borderId="9" xfId="0" applyNumberFormat="1" applyFont="1" applyFill="1" applyBorder="1"/>
    <xf numFmtId="0" fontId="4" fillId="52" borderId="6" xfId="6" applyFont="1" applyFill="1" applyBorder="1" applyAlignment="1">
      <alignment horizontal="center" vertical="top" wrapText="1"/>
    </xf>
    <xf numFmtId="0" fontId="4" fillId="35" borderId="6" xfId="2" applyFont="1" applyFill="1" applyBorder="1" applyAlignment="1">
      <alignment horizontal="center" vertical="top" wrapText="1"/>
    </xf>
    <xf numFmtId="0" fontId="4" fillId="4" borderId="0" xfId="2" applyFont="1" applyFill="1" applyAlignment="1">
      <alignment horizontal="right"/>
    </xf>
    <xf numFmtId="0" fontId="9" fillId="35" borderId="0" xfId="2" applyFont="1" applyFill="1"/>
    <xf numFmtId="0" fontId="9" fillId="54" borderId="33" xfId="2" applyFont="1" applyFill="1" applyBorder="1" applyAlignment="1">
      <alignment horizontal="center" vertical="top" wrapText="1"/>
    </xf>
    <xf numFmtId="0" fontId="4" fillId="11" borderId="6" xfId="2" applyFont="1" applyFill="1" applyBorder="1" applyAlignment="1">
      <alignment horizontal="center" vertical="top" wrapText="1"/>
    </xf>
    <xf numFmtId="9" fontId="9" fillId="6" borderId="33" xfId="5" applyFont="1" applyFill="1" applyBorder="1" applyAlignment="1">
      <alignment horizontal="left" vertical="top" wrapText="1"/>
    </xf>
    <xf numFmtId="0" fontId="41" fillId="0" borderId="0" xfId="13"/>
    <xf numFmtId="0" fontId="11" fillId="0" borderId="0" xfId="13" applyFont="1"/>
    <xf numFmtId="0" fontId="11" fillId="55" borderId="0" xfId="13" applyFont="1" applyFill="1"/>
    <xf numFmtId="0" fontId="11" fillId="56" borderId="0" xfId="13" applyFont="1" applyFill="1"/>
    <xf numFmtId="0" fontId="11" fillId="57" borderId="0" xfId="13" applyFont="1" applyFill="1"/>
    <xf numFmtId="0" fontId="11" fillId="58" borderId="0" xfId="13" applyFont="1" applyFill="1" applyAlignment="1">
      <alignment horizontal="right"/>
    </xf>
    <xf numFmtId="0" fontId="11" fillId="59" borderId="0" xfId="13" applyFont="1" applyFill="1" applyAlignment="1">
      <alignment horizontal="right"/>
    </xf>
    <xf numFmtId="0" fontId="42" fillId="60" borderId="0" xfId="13" applyFont="1" applyFill="1" applyAlignment="1">
      <alignment horizontal="right"/>
    </xf>
    <xf numFmtId="0" fontId="42" fillId="61" borderId="0" xfId="13" applyFont="1" applyFill="1" applyAlignment="1">
      <alignment horizontal="right"/>
    </xf>
    <xf numFmtId="0" fontId="42" fillId="62" borderId="0" xfId="13" applyFont="1" applyFill="1" applyAlignment="1">
      <alignment horizontal="right"/>
    </xf>
    <xf numFmtId="0" fontId="42" fillId="63" borderId="0" xfId="13" applyFont="1" applyFill="1"/>
    <xf numFmtId="0" fontId="43" fillId="55" borderId="0" xfId="13" applyFont="1" applyFill="1"/>
    <xf numFmtId="0" fontId="44" fillId="64" borderId="0" xfId="13" applyFont="1" applyFill="1"/>
    <xf numFmtId="0" fontId="42" fillId="65" borderId="0" xfId="13" applyFont="1" applyFill="1"/>
    <xf numFmtId="0" fontId="11" fillId="66" borderId="0" xfId="13" applyFont="1" applyFill="1"/>
    <xf numFmtId="0" fontId="45" fillId="65" borderId="0" xfId="13" applyFont="1" applyFill="1"/>
    <xf numFmtId="0" fontId="42" fillId="67" borderId="0" xfId="13" applyFont="1" applyFill="1"/>
    <xf numFmtId="10" fontId="42" fillId="0" borderId="0" xfId="13" applyNumberFormat="1" applyFont="1" applyAlignment="1">
      <alignment horizontal="right"/>
    </xf>
    <xf numFmtId="0" fontId="11" fillId="0" borderId="0" xfId="13" applyFont="1" applyAlignment="1">
      <alignment horizontal="right"/>
    </xf>
    <xf numFmtId="0" fontId="42" fillId="0" borderId="0" xfId="13" applyFont="1"/>
    <xf numFmtId="0" fontId="46" fillId="0" borderId="0" xfId="13" applyFont="1"/>
    <xf numFmtId="0" fontId="42" fillId="0" borderId="0" xfId="13" applyFont="1" applyAlignment="1">
      <alignment horizontal="right"/>
    </xf>
    <xf numFmtId="0" fontId="11" fillId="57" borderId="0" xfId="13" applyFont="1" applyFill="1" applyAlignment="1">
      <alignment horizontal="right"/>
    </xf>
    <xf numFmtId="0" fontId="47" fillId="0" borderId="0" xfId="13" applyFont="1"/>
    <xf numFmtId="0" fontId="48" fillId="68" borderId="0" xfId="13" applyFont="1" applyFill="1"/>
    <xf numFmtId="0" fontId="48" fillId="0" borderId="0" xfId="13" applyFont="1"/>
    <xf numFmtId="0" fontId="42" fillId="69" borderId="0" xfId="13" applyFont="1" applyFill="1"/>
    <xf numFmtId="0" fontId="11" fillId="61" borderId="0" xfId="13" applyFont="1" applyFill="1" applyAlignment="1">
      <alignment horizontal="right"/>
    </xf>
    <xf numFmtId="0" fontId="42" fillId="70" borderId="0" xfId="13" applyFont="1" applyFill="1" applyAlignment="1">
      <alignment horizontal="right"/>
    </xf>
    <xf numFmtId="0" fontId="42" fillId="71" borderId="0" xfId="13" applyFont="1" applyFill="1" applyAlignment="1">
      <alignment horizontal="right"/>
    </xf>
    <xf numFmtId="0" fontId="49" fillId="65" borderId="0" xfId="13" applyFont="1" applyFill="1"/>
    <xf numFmtId="0" fontId="48" fillId="64" borderId="0" xfId="13" applyFont="1" applyFill="1"/>
    <xf numFmtId="0" fontId="42" fillId="58" borderId="0" xfId="13" applyFont="1" applyFill="1" applyAlignment="1">
      <alignment horizontal="right"/>
    </xf>
    <xf numFmtId="0" fontId="11" fillId="71" borderId="0" xfId="13" applyFont="1" applyFill="1"/>
    <xf numFmtId="0" fontId="11" fillId="64" borderId="0" xfId="13" applyFont="1" applyFill="1"/>
    <xf numFmtId="4" fontId="42" fillId="0" borderId="0" xfId="13" applyNumberFormat="1" applyFont="1" applyAlignment="1">
      <alignment horizontal="right"/>
    </xf>
    <xf numFmtId="9" fontId="42" fillId="0" borderId="0" xfId="13" applyNumberFormat="1" applyFont="1"/>
    <xf numFmtId="0" fontId="42" fillId="68" borderId="0" xfId="13" applyFont="1" applyFill="1"/>
    <xf numFmtId="0" fontId="42" fillId="55" borderId="0" xfId="13" applyFont="1" applyFill="1"/>
    <xf numFmtId="0" fontId="45" fillId="0" borderId="0" xfId="13" applyFont="1"/>
    <xf numFmtId="0" fontId="42" fillId="42" borderId="0" xfId="13" applyFont="1" applyFill="1"/>
    <xf numFmtId="0" fontId="42" fillId="72" borderId="0" xfId="13" applyFont="1" applyFill="1"/>
    <xf numFmtId="0" fontId="49" fillId="42" borderId="0" xfId="13" applyFont="1" applyFill="1"/>
    <xf numFmtId="0" fontId="49" fillId="0" borderId="0" xfId="13" applyFont="1"/>
    <xf numFmtId="0" fontId="2" fillId="0" borderId="4" xfId="0" applyFont="1" applyBorder="1" applyAlignment="1">
      <alignment horizontal="center" vertical="top" wrapText="1"/>
    </xf>
    <xf numFmtId="0" fontId="2" fillId="11" borderId="18" xfId="0" applyFont="1" applyFill="1" applyBorder="1" applyAlignment="1">
      <alignment horizontal="center" vertical="top" wrapText="1"/>
    </xf>
    <xf numFmtId="0" fontId="9" fillId="11" borderId="33" xfId="6" applyFont="1" applyFill="1" applyBorder="1" applyAlignment="1">
      <alignment horizontal="center" vertical="top" wrapText="1"/>
    </xf>
    <xf numFmtId="0" fontId="9" fillId="11" borderId="33" xfId="2" applyFont="1" applyFill="1" applyBorder="1" applyAlignment="1">
      <alignment horizontal="center" vertical="top" wrapText="1"/>
    </xf>
    <xf numFmtId="1" fontId="0" fillId="11" borderId="0" xfId="0" applyNumberFormat="1" applyFill="1"/>
    <xf numFmtId="164" fontId="0" fillId="11" borderId="0" xfId="1" applyNumberFormat="1" applyFont="1" applyFill="1"/>
    <xf numFmtId="9" fontId="0" fillId="11" borderId="0" xfId="1" applyFont="1" applyFill="1"/>
    <xf numFmtId="9" fontId="9" fillId="6" borderId="5" xfId="5" applyFont="1" applyFill="1" applyBorder="1" applyAlignment="1">
      <alignment horizontal="center" vertical="top" wrapText="1"/>
    </xf>
    <xf numFmtId="1" fontId="0" fillId="11" borderId="0" xfId="1" applyNumberFormat="1" applyFont="1" applyFill="1"/>
    <xf numFmtId="9" fontId="3" fillId="5" borderId="0" xfId="1" applyFont="1" applyFill="1"/>
    <xf numFmtId="0" fontId="19" fillId="22" borderId="0" xfId="0" applyFont="1" applyFill="1"/>
    <xf numFmtId="0" fontId="50" fillId="73" borderId="11" xfId="0" applyFont="1" applyFill="1" applyBorder="1"/>
    <xf numFmtId="0" fontId="50" fillId="74" borderId="13" xfId="0" applyFont="1" applyFill="1" applyBorder="1"/>
    <xf numFmtId="0" fontId="50" fillId="74" borderId="11" xfId="0" applyFont="1" applyFill="1" applyBorder="1"/>
    <xf numFmtId="0" fontId="50" fillId="73" borderId="42" xfId="0" applyFont="1" applyFill="1" applyBorder="1"/>
    <xf numFmtId="0" fontId="50" fillId="73" borderId="5" xfId="0" applyFont="1" applyFill="1" applyBorder="1"/>
    <xf numFmtId="0" fontId="50" fillId="73" borderId="38" xfId="0" applyFont="1" applyFill="1" applyBorder="1"/>
    <xf numFmtId="0" fontId="50" fillId="75" borderId="11" xfId="0" applyFont="1" applyFill="1" applyBorder="1"/>
    <xf numFmtId="0" fontId="29" fillId="74" borderId="42" xfId="0" applyFont="1" applyFill="1" applyBorder="1" applyAlignment="1">
      <alignment horizontal="right" wrapText="1"/>
    </xf>
    <xf numFmtId="0" fontId="29" fillId="74" borderId="5" xfId="0" applyFont="1" applyFill="1" applyBorder="1" applyAlignment="1">
      <alignment horizontal="right" wrapText="1"/>
    </xf>
    <xf numFmtId="0" fontId="29" fillId="73" borderId="5" xfId="0" applyFont="1" applyFill="1" applyBorder="1" applyAlignment="1">
      <alignment horizontal="right" wrapText="1"/>
    </xf>
    <xf numFmtId="0" fontId="29" fillId="76" borderId="38" xfId="0" applyFont="1" applyFill="1" applyBorder="1" applyAlignment="1">
      <alignment horizontal="right" wrapText="1"/>
    </xf>
    <xf numFmtId="0" fontId="29" fillId="77" borderId="5" xfId="0" applyFont="1" applyFill="1" applyBorder="1" applyAlignment="1">
      <alignment horizontal="right" wrapText="1"/>
    </xf>
    <xf numFmtId="0" fontId="29" fillId="78" borderId="38" xfId="0" applyFont="1" applyFill="1" applyBorder="1" applyAlignment="1">
      <alignment horizontal="right" wrapText="1"/>
    </xf>
    <xf numFmtId="0" fontId="29" fillId="79" borderId="42" xfId="0" applyFont="1" applyFill="1" applyBorder="1"/>
    <xf numFmtId="0" fontId="29" fillId="79" borderId="0" xfId="0" applyFont="1" applyFill="1"/>
    <xf numFmtId="0" fontId="51" fillId="43" borderId="34" xfId="0" applyFont="1" applyFill="1" applyBorder="1"/>
    <xf numFmtId="1" fontId="51" fillId="45" borderId="34" xfId="15" applyNumberFormat="1" applyFont="1" applyFill="1" applyBorder="1"/>
    <xf numFmtId="1" fontId="52" fillId="45" borderId="34" xfId="15" applyNumberFormat="1" applyFont="1" applyFill="1" applyBorder="1"/>
    <xf numFmtId="1" fontId="51" fillId="11" borderId="34" xfId="15" applyNumberFormat="1" applyFont="1" applyFill="1" applyBorder="1"/>
    <xf numFmtId="1" fontId="51" fillId="35" borderId="34" xfId="15" applyNumberFormat="1" applyFont="1" applyFill="1" applyBorder="1"/>
    <xf numFmtId="1" fontId="51" fillId="24" borderId="34" xfId="15" applyNumberFormat="1" applyFont="1" applyFill="1" applyBorder="1"/>
    <xf numFmtId="1" fontId="53" fillId="27" borderId="34" xfId="15" applyNumberFormat="1" applyFont="1" applyFill="1" applyBorder="1"/>
    <xf numFmtId="1" fontId="51" fillId="45" borderId="0" xfId="15" applyNumberFormat="1" applyFont="1" applyFill="1" applyBorder="1"/>
    <xf numFmtId="1" fontId="51" fillId="45" borderId="13" xfId="15" applyNumberFormat="1" applyFont="1" applyFill="1" applyBorder="1" applyAlignment="1">
      <alignment horizontal="right"/>
    </xf>
    <xf numFmtId="1" fontId="51" fillId="45" borderId="14" xfId="15" applyNumberFormat="1" applyFont="1" applyFill="1" applyBorder="1"/>
    <xf numFmtId="0" fontId="51" fillId="43" borderId="18" xfId="0" applyFont="1" applyFill="1" applyBorder="1"/>
    <xf numFmtId="1" fontId="51" fillId="45" borderId="18" xfId="15" applyNumberFormat="1" applyFont="1" applyFill="1" applyBorder="1"/>
    <xf numFmtId="1" fontId="54" fillId="45" borderId="18" xfId="15" applyNumberFormat="1" applyFont="1" applyFill="1" applyBorder="1"/>
    <xf numFmtId="1" fontId="51" fillId="11" borderId="18" xfId="15" applyNumberFormat="1" applyFont="1" applyFill="1" applyBorder="1"/>
    <xf numFmtId="1" fontId="51" fillId="35" borderId="18" xfId="15" applyNumberFormat="1" applyFont="1" applyFill="1" applyBorder="1"/>
    <xf numFmtId="1" fontId="51" fillId="24" borderId="18" xfId="15" applyNumberFormat="1" applyFont="1" applyFill="1" applyBorder="1"/>
    <xf numFmtId="1" fontId="55" fillId="27" borderId="18" xfId="15" applyNumberFormat="1" applyFont="1" applyFill="1" applyBorder="1"/>
    <xf numFmtId="1" fontId="54" fillId="35" borderId="18" xfId="15" applyNumberFormat="1" applyFont="1" applyFill="1" applyBorder="1"/>
    <xf numFmtId="1" fontId="51" fillId="45" borderId="17" xfId="15" applyNumberFormat="1" applyFont="1" applyFill="1" applyBorder="1"/>
    <xf numFmtId="0" fontId="34" fillId="80" borderId="43" xfId="0" applyFont="1" applyFill="1" applyBorder="1"/>
    <xf numFmtId="0" fontId="34" fillId="80" borderId="44" xfId="0" applyFont="1" applyFill="1" applyBorder="1"/>
    <xf numFmtId="1" fontId="51" fillId="27" borderId="18" xfId="15" applyNumberFormat="1" applyFont="1" applyFill="1" applyBorder="1"/>
    <xf numFmtId="1" fontId="56" fillId="45" borderId="18" xfId="15" applyNumberFormat="1" applyFont="1" applyFill="1" applyBorder="1"/>
    <xf numFmtId="1" fontId="56" fillId="45" borderId="0" xfId="15" applyNumberFormat="1" applyFont="1" applyFill="1" applyBorder="1"/>
    <xf numFmtId="0" fontId="57" fillId="0" borderId="0" xfId="0" applyFont="1"/>
    <xf numFmtId="1" fontId="56" fillId="45" borderId="17" xfId="15" applyNumberFormat="1" applyFont="1" applyFill="1" applyBorder="1"/>
    <xf numFmtId="1" fontId="56" fillId="45" borderId="8" xfId="15" applyNumberFormat="1" applyFont="1" applyFill="1" applyBorder="1"/>
    <xf numFmtId="1" fontId="26" fillId="81" borderId="45" xfId="0" applyNumberFormat="1" applyFont="1" applyFill="1" applyBorder="1" applyAlignment="1">
      <alignment horizontal="left"/>
    </xf>
    <xf numFmtId="1" fontId="26" fillId="81" borderId="46" xfId="0" applyNumberFormat="1" applyFont="1" applyFill="1" applyBorder="1" applyAlignment="1">
      <alignment horizontal="right"/>
    </xf>
    <xf numFmtId="1" fontId="54" fillId="45" borderId="18" xfId="15" applyNumberFormat="1" applyFont="1" applyFill="1" applyBorder="1" applyAlignment="1">
      <alignment horizontal="right"/>
    </xf>
    <xf numFmtId="1" fontId="51" fillId="45" borderId="18" xfId="15" applyNumberFormat="1" applyFont="1" applyFill="1" applyBorder="1" applyAlignment="1">
      <alignment horizontal="right"/>
    </xf>
    <xf numFmtId="1" fontId="52" fillId="45" borderId="18" xfId="15" applyNumberFormat="1" applyFont="1" applyFill="1" applyBorder="1" applyAlignment="1">
      <alignment horizontal="right"/>
    </xf>
    <xf numFmtId="1" fontId="51" fillId="11" borderId="18" xfId="15" applyNumberFormat="1" applyFont="1" applyFill="1" applyBorder="1" applyAlignment="1">
      <alignment horizontal="right"/>
    </xf>
    <xf numFmtId="1" fontId="51" fillId="35" borderId="18" xfId="15" applyNumberFormat="1" applyFont="1" applyFill="1" applyBorder="1" applyAlignment="1">
      <alignment horizontal="right"/>
    </xf>
    <xf numFmtId="1" fontId="51" fillId="24" borderId="18" xfId="15" applyNumberFormat="1" applyFont="1" applyFill="1" applyBorder="1" applyAlignment="1">
      <alignment horizontal="right"/>
    </xf>
    <xf numFmtId="1" fontId="51" fillId="45" borderId="0" xfId="15" applyNumberFormat="1" applyFont="1" applyFill="1" applyBorder="1" applyAlignment="1">
      <alignment horizontal="right"/>
    </xf>
    <xf numFmtId="1" fontId="51" fillId="45" borderId="17" xfId="15" applyNumberFormat="1" applyFont="1" applyFill="1" applyBorder="1" applyAlignment="1">
      <alignment horizontal="right"/>
    </xf>
    <xf numFmtId="1" fontId="51" fillId="45" borderId="8" xfId="15" applyNumberFormat="1" applyFont="1" applyFill="1" applyBorder="1" applyAlignment="1">
      <alignment horizontal="right"/>
    </xf>
    <xf numFmtId="1" fontId="26" fillId="81" borderId="47" xfId="0" applyNumberFormat="1" applyFont="1" applyFill="1" applyBorder="1" applyAlignment="1">
      <alignment horizontal="right"/>
    </xf>
    <xf numFmtId="1" fontId="26" fillId="5" borderId="45" xfId="0" applyNumberFormat="1" applyFont="1" applyFill="1" applyBorder="1" applyAlignment="1">
      <alignment horizontal="left"/>
    </xf>
    <xf numFmtId="1" fontId="26" fillId="5" borderId="47" xfId="0" applyNumberFormat="1" applyFont="1" applyFill="1" applyBorder="1" applyAlignment="1">
      <alignment horizontal="right"/>
    </xf>
    <xf numFmtId="1" fontId="58" fillId="45" borderId="18" xfId="15" applyNumberFormat="1" applyFont="1" applyFill="1" applyBorder="1" applyAlignment="1">
      <alignment horizontal="right"/>
    </xf>
    <xf numFmtId="1" fontId="54" fillId="11" borderId="18" xfId="15" applyNumberFormat="1" applyFont="1" applyFill="1" applyBorder="1" applyAlignment="1">
      <alignment horizontal="right"/>
    </xf>
    <xf numFmtId="1" fontId="54" fillId="35" borderId="18" xfId="15" applyNumberFormat="1" applyFont="1" applyFill="1" applyBorder="1" applyAlignment="1">
      <alignment horizontal="right"/>
    </xf>
    <xf numFmtId="1" fontId="58" fillId="24" borderId="18" xfId="15" applyNumberFormat="1" applyFont="1" applyFill="1" applyBorder="1" applyAlignment="1">
      <alignment horizontal="right"/>
    </xf>
    <xf numFmtId="1" fontId="59" fillId="45" borderId="18" xfId="15" applyNumberFormat="1" applyFont="1" applyFill="1" applyBorder="1"/>
    <xf numFmtId="1" fontId="59" fillId="45" borderId="18" xfId="15" applyNumberFormat="1" applyFont="1" applyFill="1" applyBorder="1" applyAlignment="1">
      <alignment horizontal="right"/>
    </xf>
    <xf numFmtId="1" fontId="59" fillId="45" borderId="17" xfId="15" applyNumberFormat="1" applyFont="1" applyFill="1" applyBorder="1" applyAlignment="1">
      <alignment horizontal="right"/>
    </xf>
    <xf numFmtId="1" fontId="59" fillId="45" borderId="8" xfId="15" applyNumberFormat="1" applyFont="1" applyFill="1" applyBorder="1" applyAlignment="1">
      <alignment horizontal="right"/>
    </xf>
    <xf numFmtId="1" fontId="58" fillId="45" borderId="18" xfId="15" applyNumberFormat="1" applyFont="1" applyFill="1" applyBorder="1"/>
    <xf numFmtId="1" fontId="54" fillId="11" borderId="18" xfId="15" applyNumberFormat="1" applyFont="1" applyFill="1" applyBorder="1"/>
    <xf numFmtId="1" fontId="58" fillId="35" borderId="18" xfId="15" applyNumberFormat="1" applyFont="1" applyFill="1" applyBorder="1"/>
    <xf numFmtId="1" fontId="58" fillId="24" borderId="18" xfId="15" applyNumberFormat="1" applyFont="1" applyFill="1" applyBorder="1"/>
    <xf numFmtId="1" fontId="58" fillId="35" borderId="18" xfId="15" applyNumberFormat="1" applyFont="1" applyFill="1" applyBorder="1" applyAlignment="1">
      <alignment horizontal="right"/>
    </xf>
    <xf numFmtId="0" fontId="26" fillId="81" borderId="45" xfId="0" applyFont="1" applyFill="1" applyBorder="1" applyAlignment="1">
      <alignment horizontal="left"/>
    </xf>
    <xf numFmtId="1" fontId="58" fillId="11" borderId="18" xfId="15" applyNumberFormat="1" applyFont="1" applyFill="1" applyBorder="1" applyAlignment="1">
      <alignment horizontal="right"/>
    </xf>
    <xf numFmtId="1" fontId="51" fillId="21" borderId="17" xfId="15" applyNumberFormat="1" applyFont="1" applyFill="1" applyBorder="1" applyAlignment="1">
      <alignment horizontal="right"/>
    </xf>
    <xf numFmtId="1" fontId="51" fillId="10" borderId="18" xfId="15" applyNumberFormat="1" applyFont="1" applyFill="1" applyBorder="1" applyAlignment="1">
      <alignment horizontal="right"/>
    </xf>
    <xf numFmtId="1" fontId="26" fillId="5" borderId="48" xfId="0" applyNumberFormat="1" applyFont="1" applyFill="1" applyBorder="1" applyAlignment="1">
      <alignment horizontal="left"/>
    </xf>
    <xf numFmtId="1" fontId="26" fillId="5" borderId="49" xfId="0" applyNumberFormat="1" applyFont="1" applyFill="1" applyBorder="1" applyAlignment="1">
      <alignment horizontal="right"/>
    </xf>
    <xf numFmtId="1" fontId="34" fillId="81" borderId="50" xfId="0" applyNumberFormat="1" applyFont="1" applyFill="1" applyBorder="1" applyAlignment="1">
      <alignment horizontal="left"/>
    </xf>
    <xf numFmtId="1" fontId="34" fillId="81" borderId="46" xfId="0" applyNumberFormat="1" applyFont="1" applyFill="1" applyBorder="1" applyAlignment="1">
      <alignment horizontal="right"/>
    </xf>
    <xf numFmtId="0" fontId="51" fillId="43" borderId="39" xfId="0" applyFont="1" applyFill="1" applyBorder="1"/>
    <xf numFmtId="1" fontId="51" fillId="45" borderId="39" xfId="15" applyNumberFormat="1" applyFont="1" applyFill="1" applyBorder="1"/>
    <xf numFmtId="1" fontId="51" fillId="11" borderId="39" xfId="15" applyNumberFormat="1" applyFont="1" applyFill="1" applyBorder="1" applyAlignment="1">
      <alignment horizontal="right"/>
    </xf>
    <xf numFmtId="1" fontId="51" fillId="10" borderId="39" xfId="15" applyNumberFormat="1" applyFont="1" applyFill="1" applyBorder="1"/>
    <xf numFmtId="1" fontId="51" fillId="24" borderId="39" xfId="15" applyNumberFormat="1" applyFont="1" applyFill="1" applyBorder="1"/>
    <xf numFmtId="1" fontId="51" fillId="27" borderId="39" xfId="15" applyNumberFormat="1" applyFont="1" applyFill="1" applyBorder="1"/>
    <xf numFmtId="1" fontId="51" fillId="35" borderId="39" xfId="15" applyNumberFormat="1" applyFont="1" applyFill="1" applyBorder="1"/>
    <xf numFmtId="1" fontId="26" fillId="5" borderId="0" xfId="0" applyNumberFormat="1" applyFont="1" applyFill="1" applyAlignment="1">
      <alignment horizontal="left"/>
    </xf>
    <xf numFmtId="0" fontId="29" fillId="43" borderId="4" xfId="0" applyFont="1" applyFill="1" applyBorder="1"/>
    <xf numFmtId="1" fontId="51" fillId="11" borderId="39" xfId="15" applyNumberFormat="1" applyFont="1" applyFill="1" applyBorder="1"/>
    <xf numFmtId="1" fontId="51" fillId="45" borderId="15" xfId="15" applyNumberFormat="1" applyFont="1" applyFill="1" applyBorder="1"/>
    <xf numFmtId="1" fontId="29" fillId="45" borderId="39" xfId="15" applyNumberFormat="1" applyFont="1" applyFill="1" applyBorder="1"/>
    <xf numFmtId="1" fontId="29" fillId="35" borderId="39" xfId="15" applyNumberFormat="1" applyFont="1" applyFill="1" applyBorder="1"/>
    <xf numFmtId="1" fontId="29" fillId="24" borderId="39" xfId="15" applyNumberFormat="1" applyFont="1" applyFill="1" applyBorder="1"/>
    <xf numFmtId="1" fontId="29" fillId="45" borderId="0" xfId="15" applyNumberFormat="1" applyFont="1" applyFill="1" applyBorder="1"/>
    <xf numFmtId="0" fontId="29" fillId="43" borderId="0" xfId="0" applyFont="1" applyFill="1"/>
    <xf numFmtId="3" fontId="0" fillId="0" borderId="0" xfId="0" applyNumberFormat="1"/>
    <xf numFmtId="0" fontId="0" fillId="36" borderId="0" xfId="0" applyFill="1"/>
    <xf numFmtId="0" fontId="2" fillId="8" borderId="0" xfId="0" applyFont="1" applyFill="1"/>
    <xf numFmtId="0" fontId="36" fillId="31" borderId="0" xfId="10" applyFill="1" applyAlignment="1">
      <alignment horizontal="left" vertical="top"/>
    </xf>
    <xf numFmtId="1" fontId="36" fillId="0" borderId="0" xfId="10" applyNumberFormat="1" applyAlignment="1">
      <alignment horizontal="right" vertical="top"/>
    </xf>
    <xf numFmtId="1" fontId="36" fillId="0" borderId="0" xfId="10" applyNumberFormat="1" applyAlignment="1">
      <alignment horizontal="right"/>
    </xf>
    <xf numFmtId="1" fontId="26" fillId="0" borderId="0" xfId="0" applyNumberFormat="1" applyFont="1" applyAlignment="1">
      <alignment horizontal="right"/>
    </xf>
    <xf numFmtId="1" fontId="0" fillId="0" borderId="0" xfId="0" applyNumberFormat="1" applyAlignment="1">
      <alignment horizontal="right"/>
    </xf>
    <xf numFmtId="0" fontId="4" fillId="14" borderId="6" xfId="2" applyFont="1" applyFill="1" applyBorder="1" applyAlignment="1">
      <alignment horizontal="center" vertical="top" wrapText="1"/>
    </xf>
    <xf numFmtId="0" fontId="4" fillId="24" borderId="6" xfId="2" applyFont="1" applyFill="1" applyBorder="1" applyAlignment="1">
      <alignment horizontal="center" vertical="top" wrapText="1"/>
    </xf>
    <xf numFmtId="1" fontId="3" fillId="12" borderId="0" xfId="2" applyNumberFormat="1" applyFill="1"/>
    <xf numFmtId="0" fontId="4" fillId="52" borderId="6" xfId="2" applyFont="1" applyFill="1" applyBorder="1" applyAlignment="1">
      <alignment horizontal="center" vertical="top" wrapText="1"/>
    </xf>
    <xf numFmtId="1" fontId="3" fillId="52" borderId="0" xfId="2" applyNumberFormat="1" applyFill="1"/>
    <xf numFmtId="0" fontId="4" fillId="82" borderId="6" xfId="2" applyFont="1" applyFill="1" applyBorder="1" applyAlignment="1">
      <alignment horizontal="center" vertical="top" wrapText="1"/>
    </xf>
    <xf numFmtId="164" fontId="4" fillId="0" borderId="0" xfId="1" applyNumberFormat="1" applyFont="1" applyFill="1" applyAlignment="1">
      <alignment horizontal="right"/>
    </xf>
    <xf numFmtId="0" fontId="3" fillId="82" borderId="0" xfId="2" applyFill="1"/>
    <xf numFmtId="0" fontId="0" fillId="82" borderId="0" xfId="0" applyFill="1"/>
    <xf numFmtId="0" fontId="4" fillId="42" borderId="6" xfId="2" applyFont="1" applyFill="1" applyBorder="1" applyAlignment="1">
      <alignment horizontal="center" vertical="top" wrapText="1"/>
    </xf>
    <xf numFmtId="0" fontId="60" fillId="0" borderId="0" xfId="0" applyFont="1" applyAlignment="1">
      <alignment horizontal="left" vertical="center" indent="6"/>
    </xf>
    <xf numFmtId="1" fontId="4" fillId="5" borderId="0" xfId="2" applyNumberFormat="1" applyFont="1" applyFill="1"/>
    <xf numFmtId="0" fontId="61" fillId="0" borderId="0" xfId="13" applyFont="1" applyAlignment="1">
      <alignment horizontal="right"/>
    </xf>
    <xf numFmtId="0" fontId="4" fillId="5" borderId="6" xfId="6" applyFont="1" applyFill="1" applyBorder="1" applyAlignment="1">
      <alignment horizontal="center" vertical="top" wrapText="1"/>
    </xf>
    <xf numFmtId="0" fontId="62" fillId="38" borderId="51" xfId="0" applyFont="1" applyFill="1" applyBorder="1" applyAlignment="1">
      <alignment vertical="center"/>
    </xf>
    <xf numFmtId="0" fontId="63" fillId="0" borderId="0" xfId="0" applyFont="1"/>
    <xf numFmtId="0" fontId="64" fillId="0" borderId="51" xfId="0" applyFont="1" applyBorder="1" applyAlignment="1">
      <alignment horizontal="left" vertical="center"/>
    </xf>
    <xf numFmtId="0" fontId="65" fillId="0" borderId="0" xfId="0" applyFont="1"/>
    <xf numFmtId="0" fontId="66" fillId="0" borderId="0" xfId="0" applyFont="1"/>
    <xf numFmtId="0" fontId="68" fillId="0" borderId="51" xfId="0" applyFont="1" applyBorder="1" applyAlignment="1">
      <alignment horizontal="center" vertical="center"/>
    </xf>
    <xf numFmtId="1" fontId="64" fillId="0" borderId="51" xfId="0" applyNumberFormat="1" applyFont="1" applyBorder="1" applyAlignment="1">
      <alignment horizontal="left" vertical="center"/>
    </xf>
    <xf numFmtId="9" fontId="64" fillId="0" borderId="51" xfId="0" applyNumberFormat="1" applyFont="1" applyBorder="1" applyAlignment="1">
      <alignment horizontal="left" vertical="center"/>
    </xf>
    <xf numFmtId="0" fontId="62" fillId="0" borderId="51" xfId="0" applyFont="1" applyBorder="1" applyAlignment="1">
      <alignment horizontal="center" vertical="center"/>
    </xf>
    <xf numFmtId="0" fontId="64" fillId="0" borderId="51" xfId="0" quotePrefix="1" applyFont="1" applyBorder="1" applyAlignment="1">
      <alignment horizontal="left" vertical="center"/>
    </xf>
    <xf numFmtId="0" fontId="64" fillId="0" borderId="52" xfId="0" applyFont="1" applyBorder="1" applyAlignment="1">
      <alignment horizontal="left" vertical="top"/>
    </xf>
    <xf numFmtId="0" fontId="64" fillId="0" borderId="52" xfId="0" applyFont="1" applyBorder="1" applyAlignment="1">
      <alignment vertical="top"/>
    </xf>
    <xf numFmtId="165" fontId="64" fillId="0" borderId="51" xfId="0" applyNumberFormat="1" applyFont="1" applyBorder="1" applyAlignment="1">
      <alignment horizontal="left" vertical="center"/>
    </xf>
    <xf numFmtId="2" fontId="64" fillId="0" borderId="51" xfId="0" applyNumberFormat="1" applyFont="1" applyBorder="1" applyAlignment="1">
      <alignment horizontal="left" vertical="center"/>
    </xf>
    <xf numFmtId="0" fontId="71" fillId="0" borderId="52" xfId="0" applyFont="1" applyBorder="1" applyAlignment="1">
      <alignment vertical="top"/>
    </xf>
    <xf numFmtId="10" fontId="71" fillId="0" borderId="52" xfId="0" applyNumberFormat="1" applyFont="1" applyBorder="1" applyAlignment="1">
      <alignment vertical="top"/>
    </xf>
    <xf numFmtId="170" fontId="71" fillId="0" borderId="52" xfId="16" applyNumberFormat="1" applyFont="1" applyFill="1" applyBorder="1" applyAlignment="1">
      <alignment vertical="top"/>
    </xf>
    <xf numFmtId="9" fontId="71" fillId="0" borderId="52" xfId="0" applyNumberFormat="1" applyFont="1" applyBorder="1" applyAlignment="1">
      <alignment vertical="top"/>
    </xf>
    <xf numFmtId="0" fontId="71" fillId="0" borderId="52" xfId="0" applyFont="1" applyBorder="1" applyAlignment="1">
      <alignment horizontal="center" vertical="center"/>
    </xf>
    <xf numFmtId="171" fontId="71" fillId="0" borderId="52" xfId="16" applyNumberFormat="1" applyFont="1" applyFill="1" applyBorder="1" applyAlignment="1">
      <alignment horizontal="center" vertical="center"/>
    </xf>
    <xf numFmtId="1" fontId="17" fillId="0" borderId="0" xfId="1" applyNumberFormat="1" applyFont="1" applyAlignment="1">
      <alignment horizontal="right"/>
    </xf>
    <xf numFmtId="1" fontId="13" fillId="0" borderId="0" xfId="1" applyNumberFormat="1" applyFont="1"/>
    <xf numFmtId="0" fontId="4" fillId="21" borderId="0" xfId="2" applyFont="1" applyFill="1"/>
    <xf numFmtId="0" fontId="9" fillId="21" borderId="0" xfId="2" applyFont="1" applyFill="1"/>
    <xf numFmtId="0" fontId="72" fillId="21" borderId="0" xfId="2" applyFont="1" applyFill="1"/>
    <xf numFmtId="0" fontId="9" fillId="24" borderId="6" xfId="0" applyFont="1" applyFill="1" applyBorder="1" applyAlignment="1">
      <alignment horizontal="center" vertical="top" wrapText="1"/>
    </xf>
    <xf numFmtId="0" fontId="4" fillId="22" borderId="6" xfId="2" applyFont="1" applyFill="1" applyBorder="1" applyAlignment="1">
      <alignment horizontal="center" vertical="top" wrapText="1"/>
    </xf>
    <xf numFmtId="0" fontId="4" fillId="83" borderId="6" xfId="2" applyFont="1" applyFill="1" applyBorder="1" applyAlignment="1">
      <alignment horizontal="center" vertical="top" wrapText="1"/>
    </xf>
    <xf numFmtId="1" fontId="9" fillId="0" borderId="0" xfId="2" applyNumberFormat="1" applyFont="1" applyAlignment="1">
      <alignment horizontal="right" wrapText="1"/>
    </xf>
    <xf numFmtId="9" fontId="9" fillId="0" borderId="0" xfId="2" applyNumberFormat="1" applyFont="1" applyAlignment="1">
      <alignment horizontal="right" wrapText="1"/>
    </xf>
    <xf numFmtId="0" fontId="17" fillId="0" borderId="8" xfId="0" applyFont="1" applyBorder="1" applyAlignment="1">
      <alignment wrapText="1"/>
    </xf>
    <xf numFmtId="0" fontId="62" fillId="38" borderId="51" xfId="0" applyFont="1" applyFill="1" applyBorder="1" applyAlignment="1">
      <alignment horizontal="center" vertical="center"/>
    </xf>
    <xf numFmtId="9" fontId="26" fillId="6" borderId="11" xfId="1" applyFont="1" applyFill="1" applyBorder="1" applyAlignment="1">
      <alignment horizontal="right" wrapText="1"/>
    </xf>
    <xf numFmtId="0" fontId="0" fillId="0" borderId="0" xfId="0" applyAlignment="1">
      <alignment horizontal="right" wrapText="1"/>
    </xf>
    <xf numFmtId="0" fontId="42" fillId="62" borderId="0" xfId="13" applyFont="1" applyFill="1"/>
    <xf numFmtId="0" fontId="41" fillId="0" borderId="0" xfId="13"/>
    <xf numFmtId="0" fontId="42" fillId="0" borderId="0" xfId="13" applyFont="1"/>
  </cellXfs>
  <cellStyles count="17">
    <cellStyle name="20% - Accent1" xfId="7" builtinId="30"/>
    <cellStyle name="20% - Accent2" xfId="8" builtinId="34"/>
    <cellStyle name="20% - Accent4" xfId="9" builtinId="42"/>
    <cellStyle name="Calc_general4" xfId="14" xr:uid="{0D909BB7-CCF1-4A9C-96D7-7F864D4B32CB}"/>
    <cellStyle name="Comma 2" xfId="15" xr:uid="{7FB64E2E-2BBD-4B1F-B8F3-19FA22FAC5E5}"/>
    <cellStyle name="Comma 3" xfId="16" xr:uid="{F8A919D6-B28D-471F-9883-19972AE53747}"/>
    <cellStyle name="InputData" xfId="12" xr:uid="{177BD705-012B-4503-8915-82696B7AB5DE}"/>
    <cellStyle name="Normal" xfId="0" builtinId="0"/>
    <cellStyle name="Normal 2" xfId="11" xr:uid="{A05927F3-C2E9-43B4-B067-3F07C3E877AC}"/>
    <cellStyle name="Normal 2 2 2" xfId="10" xr:uid="{E6763BB2-D811-4913-97B0-57E083F6043F}"/>
    <cellStyle name="Normal 3" xfId="13" xr:uid="{31CCF486-D0B1-4D82-9F97-2DD7BF21CB6B}"/>
    <cellStyle name="Normal 4" xfId="2" xr:uid="{417AB5C8-530E-495E-9F51-565BD3387FAF}"/>
    <cellStyle name="Normal 4 2" xfId="6" xr:uid="{E788D246-A6F3-46DE-A942-4DB6E49D18E3}"/>
    <cellStyle name="Percent" xfId="1" builtinId="5"/>
    <cellStyle name="Percent 2" xfId="5" xr:uid="{98748A92-EAE4-4F51-97AC-806A0BAC472C}"/>
    <cellStyle name="TableFirstColumn" xfId="4" xr:uid="{3096DC2C-8DF2-46EC-B57F-84474392A590}"/>
    <cellStyle name="TableHeader" xfId="3" xr:uid="{7D46CCF2-A969-45D3-A09C-8BA3971018BA}"/>
  </cellStyles>
  <dxfs count="98">
    <dxf>
      <font>
        <color rgb="FF9C0006"/>
      </font>
      <fill>
        <patternFill>
          <bgColor rgb="FFFFC7CE"/>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trike val="0"/>
        <outline val="0"/>
        <shadow val="0"/>
        <u val="none"/>
        <vertAlign val="baseline"/>
        <sz val="10"/>
        <color auto="1"/>
        <name val="Aptos Narrow"/>
        <family val="2"/>
        <scheme val="minor"/>
      </font>
      <numFmt numFmtId="165" formatCode="0.0"/>
    </dxf>
    <dxf>
      <font>
        <strike val="0"/>
        <outline val="0"/>
        <shadow val="0"/>
        <u val="none"/>
        <vertAlign val="baseline"/>
        <sz val="10"/>
        <color auto="1"/>
        <name val="Aptos Narrow"/>
        <family val="2"/>
        <scheme val="minor"/>
      </font>
      <numFmt numFmtId="165" formatCode="0.0"/>
    </dxf>
    <dxf>
      <font>
        <strike val="0"/>
        <outline val="0"/>
        <shadow val="0"/>
        <u val="none"/>
        <vertAlign val="baseline"/>
        <sz val="10"/>
        <name val="Aptos Narrow"/>
        <family val="2"/>
        <scheme val="minor"/>
      </font>
      <numFmt numFmtId="165" formatCode="0.0"/>
    </dxf>
    <dxf>
      <font>
        <strike val="0"/>
        <outline val="0"/>
        <shadow val="0"/>
        <u val="none"/>
        <vertAlign val="baseline"/>
        <sz val="10"/>
        <name val="Aptos Narrow"/>
        <family val="2"/>
        <scheme val="minor"/>
      </font>
      <numFmt numFmtId="165" formatCode="0.0"/>
    </dxf>
    <dxf>
      <font>
        <strike val="0"/>
        <outline val="0"/>
        <shadow val="0"/>
        <u val="none"/>
        <vertAlign val="baseline"/>
        <sz val="10"/>
        <name val="Aptos Narrow"/>
        <family val="2"/>
        <scheme val="minor"/>
      </font>
      <numFmt numFmtId="165" formatCode="0.0"/>
    </dxf>
    <dxf>
      <font>
        <strike val="0"/>
        <outline val="0"/>
        <shadow val="0"/>
        <u val="none"/>
        <vertAlign val="baseline"/>
        <sz val="10"/>
        <name val="Aptos Narrow"/>
        <family val="2"/>
        <scheme val="minor"/>
      </font>
      <numFmt numFmtId="165" formatCode="0.0"/>
    </dxf>
    <dxf>
      <font>
        <strike val="0"/>
        <outline val="0"/>
        <shadow val="0"/>
        <u val="none"/>
        <vertAlign val="baseline"/>
        <sz val="10"/>
        <name val="Aptos Narrow"/>
        <family val="2"/>
        <scheme val="minor"/>
      </font>
      <numFmt numFmtId="165" formatCode="0.0"/>
    </dxf>
    <dxf>
      <font>
        <strike val="0"/>
        <outline val="0"/>
        <shadow val="0"/>
        <u val="none"/>
        <vertAlign val="baseline"/>
        <sz val="10"/>
        <name val="Aptos Narrow"/>
        <family val="2"/>
        <scheme val="minor"/>
      </font>
    </dxf>
    <dxf>
      <border outline="0">
        <top style="thin">
          <color indexed="64"/>
        </top>
      </border>
    </dxf>
    <dxf>
      <font>
        <strike val="0"/>
        <outline val="0"/>
        <shadow val="0"/>
        <u val="none"/>
        <vertAlign val="baseline"/>
        <sz val="10"/>
        <name val="Aptos Narrow"/>
        <family val="2"/>
        <scheme val="minor"/>
      </font>
      <numFmt numFmtId="13" formatCode="0%"/>
    </dxf>
    <dxf>
      <border outline="0">
        <bottom style="thin">
          <color indexed="64"/>
        </bottom>
      </border>
    </dxf>
    <dxf>
      <font>
        <b/>
        <i val="0"/>
        <strike val="0"/>
        <condense val="0"/>
        <extend val="0"/>
        <outline val="0"/>
        <shadow val="0"/>
        <u val="none"/>
        <vertAlign val="baseline"/>
        <sz val="10"/>
        <color theme="0"/>
        <name val="Aptos Narrow"/>
        <family val="2"/>
        <scheme val="minor"/>
      </font>
      <numFmt numFmtId="13" formatCode="0%"/>
      <fill>
        <patternFill patternType="solid">
          <fgColor indexed="64"/>
          <bgColor theme="8" tint="-0.249977111117893"/>
        </patternFill>
      </fill>
      <alignment horizontal="right" vertical="bottom" textRotation="0" wrapText="0" indent="0" justifyLastLine="0" shrinkToFit="0" readingOrder="0"/>
    </dxf>
    <dxf>
      <font>
        <b val="0"/>
        <i val="0"/>
        <strike val="0"/>
        <condense val="0"/>
        <extend val="0"/>
        <outline val="0"/>
        <shadow val="0"/>
        <u val="none"/>
        <vertAlign val="baseline"/>
        <sz val="8"/>
        <color theme="1"/>
        <name val="Arial"/>
        <family val="2"/>
        <scheme val="none"/>
      </font>
    </dxf>
    <dxf>
      <font>
        <b/>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0"/>
        <color auto="1"/>
        <name val="Aptos Narrow"/>
        <family val="2"/>
        <scheme val="minor"/>
      </font>
      <fill>
        <patternFill patternType="solid">
          <fgColor indexed="64"/>
          <bgColor theme="4"/>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theme="1"/>
        <name val="Aptos Narrow"/>
        <family val="2"/>
        <scheme val="minor"/>
      </font>
      <numFmt numFmtId="0" formatCode="General"/>
      <fill>
        <patternFill patternType="solid">
          <fgColor indexed="64"/>
          <bgColor theme="4"/>
        </patternFill>
      </fill>
      <border diagonalUp="0" diagonalDown="0" outline="0">
        <left style="thin">
          <color indexed="64"/>
        </left>
        <right/>
        <top style="thin">
          <color indexed="64"/>
        </top>
        <bottom style="thin">
          <color indexed="64"/>
        </bottom>
      </border>
      <protection locked="1" hidden="0"/>
    </dxf>
    <dxf>
      <font>
        <b/>
        <i val="0"/>
        <strike val="0"/>
        <condense val="0"/>
        <extend val="0"/>
        <outline val="0"/>
        <shadow val="0"/>
        <u val="none"/>
        <vertAlign val="baseline"/>
        <sz val="10"/>
        <color theme="0"/>
        <name val="Aptos Narrow"/>
        <family val="2"/>
        <scheme val="minor"/>
      </font>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ptos Narrow"/>
        <family val="2"/>
        <scheme val="minor"/>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65" formatCode="0.0"/>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0" formatCode="General"/>
      <fill>
        <patternFill patternType="none">
          <fgColor indexed="64"/>
          <bgColor indexed="65"/>
        </patternFill>
      </fill>
    </dxf>
    <dxf>
      <font>
        <b val="0"/>
        <i val="0"/>
        <strike val="0"/>
        <condense val="0"/>
        <extend val="0"/>
        <outline val="0"/>
        <shadow val="0"/>
        <u val="none"/>
        <vertAlign val="baseline"/>
        <sz val="8"/>
        <color auto="1"/>
        <name val="Arial"/>
        <family val="2"/>
        <scheme val="none"/>
      </font>
      <numFmt numFmtId="0" formatCode="General"/>
    </dxf>
    <dxf>
      <font>
        <b val="0"/>
        <i val="0"/>
        <strike val="0"/>
        <condense val="0"/>
        <extend val="0"/>
        <outline val="0"/>
        <shadow val="0"/>
        <u val="none"/>
        <vertAlign val="baseline"/>
        <sz val="8"/>
        <color auto="1"/>
        <name val="Arial"/>
        <family val="2"/>
        <scheme val="none"/>
      </font>
      <numFmt numFmtId="0" formatCode="General"/>
    </dxf>
    <dxf>
      <numFmt numFmtId="165" formatCode="0.0"/>
    </dxf>
    <dxf>
      <numFmt numFmtId="165" formatCode="0.0"/>
    </dxf>
    <dxf>
      <numFmt numFmtId="165" formatCode="0.0"/>
    </dxf>
    <dxf>
      <numFmt numFmtId="165" formatCode="0.0"/>
    </dxf>
    <dxf>
      <font>
        <b val="0"/>
        <i val="0"/>
        <strike val="0"/>
        <condense val="0"/>
        <extend val="0"/>
        <outline val="0"/>
        <shadow val="0"/>
        <u val="none"/>
        <vertAlign val="baseline"/>
        <sz val="8"/>
        <color auto="1"/>
        <name val="Arial"/>
        <family val="2"/>
        <scheme val="none"/>
      </font>
    </dxf>
    <dxf>
      <font>
        <b val="0"/>
        <i val="0"/>
        <strike val="0"/>
        <condense val="0"/>
        <extend val="0"/>
        <outline val="0"/>
        <shadow val="0"/>
        <u val="none"/>
        <vertAlign val="baseline"/>
        <sz val="8"/>
        <color auto="1"/>
        <name val="Arial"/>
        <family val="2"/>
        <scheme val="none"/>
      </font>
    </dxf>
    <dxf>
      <font>
        <b val="0"/>
        <i val="0"/>
        <strike val="0"/>
        <condense val="0"/>
        <extend val="0"/>
        <outline val="0"/>
        <shadow val="0"/>
        <u val="none"/>
        <vertAlign val="baseline"/>
        <sz val="8"/>
        <color auto="1"/>
        <name val="Arial"/>
        <family val="2"/>
        <scheme val="none"/>
      </font>
    </dxf>
    <dxf>
      <font>
        <b val="0"/>
        <i val="0"/>
        <strike val="0"/>
        <condense val="0"/>
        <extend val="0"/>
        <outline val="0"/>
        <shadow val="0"/>
        <u val="none"/>
        <vertAlign val="baseline"/>
        <sz val="8"/>
        <color auto="1"/>
        <name val="Arial"/>
        <family val="2"/>
        <scheme val="none"/>
      </font>
    </dxf>
    <dxf>
      <font>
        <b val="0"/>
        <i val="0"/>
        <strike val="0"/>
        <condense val="0"/>
        <extend val="0"/>
        <outline val="0"/>
        <shadow val="0"/>
        <u val="none"/>
        <vertAlign val="baseline"/>
        <sz val="8"/>
        <color auto="1"/>
        <name val="Arial"/>
        <family val="2"/>
        <scheme val="none"/>
      </font>
      <numFmt numFmtId="1" formatCode="0"/>
    </dxf>
    <dxf>
      <font>
        <b val="0"/>
        <i val="0"/>
        <strike val="0"/>
        <condense val="0"/>
        <extend val="0"/>
        <outline val="0"/>
        <shadow val="0"/>
        <u val="none"/>
        <vertAlign val="baseline"/>
        <sz val="8"/>
        <color auto="1"/>
        <name val="Arial"/>
        <family val="2"/>
        <scheme val="none"/>
      </font>
      <numFmt numFmtId="13" formatCode="0%"/>
      <alignment horizontal="right" vertical="bottom" textRotation="0" wrapText="0" indent="0" justifyLastLine="0" shrinkToFit="0" readingOrder="0"/>
    </dxf>
    <dxf>
      <font>
        <b val="0"/>
        <i val="0"/>
        <strike val="0"/>
        <condense val="0"/>
        <extend val="0"/>
        <outline val="0"/>
        <shadow val="0"/>
        <u val="none"/>
        <vertAlign val="baseline"/>
        <sz val="8"/>
        <color auto="1"/>
        <name val="Arial"/>
        <family val="2"/>
        <scheme val="none"/>
      </font>
      <numFmt numFmtId="1" formatCode="0"/>
    </dxf>
    <dxf>
      <font>
        <b val="0"/>
        <i val="0"/>
        <strike val="0"/>
        <condense val="0"/>
        <extend val="0"/>
        <outline val="0"/>
        <shadow val="0"/>
        <u val="none"/>
        <vertAlign val="baseline"/>
        <sz val="8"/>
        <color auto="1"/>
        <name val="Arial"/>
        <family val="2"/>
        <scheme val="none"/>
      </font>
      <numFmt numFmtId="164" formatCode="0.0%"/>
    </dxf>
    <dxf>
      <numFmt numFmtId="13" formatCode="0%"/>
    </dxf>
    <dxf>
      <font>
        <b val="0"/>
        <i val="0"/>
        <strike val="0"/>
        <condense val="0"/>
        <extend val="0"/>
        <outline val="0"/>
        <shadow val="0"/>
        <u val="none"/>
        <vertAlign val="baseline"/>
        <sz val="8"/>
        <color auto="1"/>
        <name val="Arial"/>
        <family val="2"/>
        <scheme val="none"/>
      </font>
      <numFmt numFmtId="164" formatCode="0.0%"/>
    </dxf>
    <dxf>
      <numFmt numFmtId="164" formatCode="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3"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alignment horizontal="left" vertical="bottom" textRotation="0" wrapText="0" indent="0" justifyLastLine="0" shrinkToFit="0" readingOrder="0"/>
    </dxf>
    <dxf>
      <numFmt numFmtId="1" formatCode="0"/>
      <alignment horizontal="left" vertical="bottom" textRotation="0" wrapText="0" indent="0" justifyLastLine="0" shrinkToFit="0" readingOrder="0"/>
    </dxf>
    <dxf>
      <numFmt numFmtId="1" formatCode="0"/>
    </dxf>
    <dxf>
      <numFmt numFmtId="1" formatCode="0"/>
    </dxf>
    <dxf>
      <numFmt numFmtId="1" formatCode="0"/>
    </dxf>
    <dxf>
      <numFmt numFmtId="1" formatCode="0"/>
    </dxf>
    <dxf>
      <numFmt numFmtId="1" formatCode="0"/>
    </dxf>
    <dxf>
      <font>
        <b val="0"/>
        <i val="0"/>
        <strike val="0"/>
        <condense val="0"/>
        <extend val="0"/>
        <outline val="0"/>
        <shadow val="0"/>
        <u val="none"/>
        <vertAlign val="baseline"/>
        <sz val="10"/>
        <color auto="1"/>
        <name val="Aptos Narrow"/>
        <family val="2"/>
        <scheme val="minor"/>
      </font>
    </dxf>
    <dxf>
      <border>
        <bottom style="thin">
          <color indexed="64"/>
        </bottom>
      </border>
    </dxf>
    <dxf>
      <font>
        <strike val="0"/>
        <outline val="0"/>
        <shadow val="0"/>
        <u val="none"/>
        <vertAlign val="baseline"/>
        <sz val="10"/>
        <color auto="1"/>
        <name val="Aptos Narrow"/>
        <family val="2"/>
        <scheme val="minor"/>
      </font>
      <alignment horizontal="center" vertical="top" textRotation="0" wrapText="1" indent="0" justifyLastLine="0" shrinkToFit="0" readingOrder="0"/>
    </dxf>
  </dxfs>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0.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9777721592140429"/>
        </c:manualLayout>
      </c:layout>
      <c:barChart>
        <c:barDir val="col"/>
        <c:grouping val="stacked"/>
        <c:varyColors val="0"/>
        <c:ser>
          <c:idx val="0"/>
          <c:order val="0"/>
          <c:tx>
            <c:strRef>
              <c:f>'NZ targets'!$I$249</c:f>
              <c:strCache>
                <c:ptCount val="1"/>
                <c:pt idx="0">
                  <c:v>EU28 (net-zero)</c:v>
                </c:pt>
              </c:strCache>
            </c:strRef>
          </c:tx>
          <c:spPr>
            <a:solidFill>
              <a:schemeClr val="accent4">
                <a:lumMod val="60000"/>
                <a:lumOff val="40000"/>
              </a:schemeClr>
            </a:solidFill>
            <a:ln>
              <a:noFill/>
            </a:ln>
            <a:effectLst/>
          </c:spPr>
          <c:invertIfNegative val="0"/>
          <c:cat>
            <c:strRef>
              <c:f>'NZ targets'!$J$248:$N$248</c:f>
              <c:strCache>
                <c:ptCount val="5"/>
                <c:pt idx="0">
                  <c:v>2018 emissions</c:v>
                </c:pt>
                <c:pt idx="1">
                  <c:v>Domestic policies</c:v>
                </c:pt>
                <c:pt idx="2">
                  <c:v>Domestic policies &amp; net-zero targets</c:v>
                </c:pt>
                <c:pt idx="3">
                  <c:v>2 Degree &amp; net-zero targets</c:v>
                </c:pt>
                <c:pt idx="4">
                  <c:v>2 degree scenario</c:v>
                </c:pt>
              </c:strCache>
            </c:strRef>
          </c:cat>
          <c:val>
            <c:numRef>
              <c:f>'NZ targets'!$J$249:$N$249</c:f>
              <c:numCache>
                <c:formatCode>0.0</c:formatCode>
                <c:ptCount val="5"/>
                <c:pt idx="0">
                  <c:v>3.4898668492999998</c:v>
                </c:pt>
                <c:pt idx="1">
                  <c:v>3.4929891818531242</c:v>
                </c:pt>
                <c:pt idx="2">
                  <c:v>0</c:v>
                </c:pt>
                <c:pt idx="3">
                  <c:v>0</c:v>
                </c:pt>
                <c:pt idx="4">
                  <c:v>0.73787976456758608</c:v>
                </c:pt>
              </c:numCache>
            </c:numRef>
          </c:val>
          <c:extLst>
            <c:ext xmlns:c16="http://schemas.microsoft.com/office/drawing/2014/chart" uri="{C3380CC4-5D6E-409C-BE32-E72D297353CC}">
              <c16:uniqueId val="{00000000-A122-4988-9A31-108380F96CBA}"/>
            </c:ext>
          </c:extLst>
        </c:ser>
        <c:ser>
          <c:idx val="1"/>
          <c:order val="1"/>
          <c:tx>
            <c:strRef>
              <c:f>'NZ targets'!$I$250</c:f>
              <c:strCache>
                <c:ptCount val="1"/>
                <c:pt idx="0">
                  <c:v>China (net-zero)</c:v>
                </c:pt>
              </c:strCache>
            </c:strRef>
          </c:tx>
          <c:spPr>
            <a:solidFill>
              <a:schemeClr val="accent2"/>
            </a:solidFill>
            <a:ln>
              <a:noFill/>
            </a:ln>
            <a:effectLst/>
          </c:spPr>
          <c:invertIfNegative val="0"/>
          <c:cat>
            <c:strRef>
              <c:f>'NZ targets'!$J$248:$N$248</c:f>
              <c:strCache>
                <c:ptCount val="5"/>
                <c:pt idx="0">
                  <c:v>2018 emissions</c:v>
                </c:pt>
                <c:pt idx="1">
                  <c:v>Domestic policies</c:v>
                </c:pt>
                <c:pt idx="2">
                  <c:v>Domestic policies &amp; net-zero targets</c:v>
                </c:pt>
                <c:pt idx="3">
                  <c:v>2 Degree &amp; net-zero targets</c:v>
                </c:pt>
                <c:pt idx="4">
                  <c:v>2 degree scenario</c:v>
                </c:pt>
              </c:strCache>
            </c:strRef>
          </c:cat>
          <c:val>
            <c:numRef>
              <c:f>'NZ targets'!$J$250:$N$250</c:f>
              <c:numCache>
                <c:formatCode>0.0</c:formatCode>
                <c:ptCount val="5"/>
                <c:pt idx="0">
                  <c:v>13.038949070000001</c:v>
                </c:pt>
                <c:pt idx="1">
                  <c:v>13.845495529695199</c:v>
                </c:pt>
                <c:pt idx="2">
                  <c:v>4.7626249274752119</c:v>
                </c:pt>
                <c:pt idx="3">
                  <c:v>4.7626249274752119</c:v>
                </c:pt>
                <c:pt idx="4">
                  <c:v>2.1157686358692485</c:v>
                </c:pt>
              </c:numCache>
            </c:numRef>
          </c:val>
          <c:extLst>
            <c:ext xmlns:c16="http://schemas.microsoft.com/office/drawing/2014/chart" uri="{C3380CC4-5D6E-409C-BE32-E72D297353CC}">
              <c16:uniqueId val="{00000001-A122-4988-9A31-108380F96CBA}"/>
            </c:ext>
          </c:extLst>
        </c:ser>
        <c:ser>
          <c:idx val="2"/>
          <c:order val="2"/>
          <c:tx>
            <c:strRef>
              <c:f>'NZ targets'!$I$251</c:f>
              <c:strCache>
                <c:ptCount val="1"/>
                <c:pt idx="0">
                  <c:v>Japan, SAF and others (net-zero)</c:v>
                </c:pt>
              </c:strCache>
            </c:strRef>
          </c:tx>
          <c:spPr>
            <a:solidFill>
              <a:schemeClr val="accent2">
                <a:lumMod val="75000"/>
              </a:schemeClr>
            </a:solidFill>
            <a:ln>
              <a:noFill/>
            </a:ln>
            <a:effectLst/>
          </c:spPr>
          <c:invertIfNegative val="0"/>
          <c:cat>
            <c:strRef>
              <c:f>'NZ targets'!$J$248:$N$248</c:f>
              <c:strCache>
                <c:ptCount val="5"/>
                <c:pt idx="0">
                  <c:v>2018 emissions</c:v>
                </c:pt>
                <c:pt idx="1">
                  <c:v>Domestic policies</c:v>
                </c:pt>
                <c:pt idx="2">
                  <c:v>Domestic policies &amp; net-zero targets</c:v>
                </c:pt>
                <c:pt idx="3">
                  <c:v>2 Degree &amp; net-zero targets</c:v>
                </c:pt>
                <c:pt idx="4">
                  <c:v>2 degree scenario</c:v>
                </c:pt>
              </c:strCache>
            </c:strRef>
          </c:cat>
          <c:val>
            <c:numRef>
              <c:f>'NZ targets'!$J$251:$N$251</c:f>
              <c:numCache>
                <c:formatCode>0.0</c:formatCode>
                <c:ptCount val="5"/>
                <c:pt idx="0">
                  <c:v>20.356628854261523</c:v>
                </c:pt>
                <c:pt idx="1">
                  <c:v>38.154096028785318</c:v>
                </c:pt>
                <c:pt idx="2">
                  <c:v>8.7228945232185549</c:v>
                </c:pt>
                <c:pt idx="3">
                  <c:v>8.7228945232185549</c:v>
                </c:pt>
                <c:pt idx="4">
                  <c:v>10.767854015405517</c:v>
                </c:pt>
              </c:numCache>
            </c:numRef>
          </c:val>
          <c:extLst>
            <c:ext xmlns:c16="http://schemas.microsoft.com/office/drawing/2014/chart" uri="{C3380CC4-5D6E-409C-BE32-E72D297353CC}">
              <c16:uniqueId val="{00000002-A122-4988-9A31-108380F96CBA}"/>
            </c:ext>
          </c:extLst>
        </c:ser>
        <c:ser>
          <c:idx val="3"/>
          <c:order val="3"/>
          <c:tx>
            <c:strRef>
              <c:f>'NZ targets'!$I$252</c:f>
              <c:strCache>
                <c:ptCount val="1"/>
                <c:pt idx="0">
                  <c:v>Net zero-target Under Discussion</c:v>
                </c:pt>
              </c:strCache>
            </c:strRef>
          </c:tx>
          <c:spPr>
            <a:solidFill>
              <a:schemeClr val="accent2">
                <a:lumMod val="40000"/>
                <a:lumOff val="60000"/>
              </a:schemeClr>
            </a:solidFill>
            <a:ln>
              <a:noFill/>
            </a:ln>
            <a:effectLst/>
          </c:spPr>
          <c:invertIfNegative val="0"/>
          <c:cat>
            <c:strRef>
              <c:f>'NZ targets'!$J$248:$N$248</c:f>
              <c:strCache>
                <c:ptCount val="5"/>
                <c:pt idx="0">
                  <c:v>2018 emissions</c:v>
                </c:pt>
                <c:pt idx="1">
                  <c:v>Domestic policies</c:v>
                </c:pt>
                <c:pt idx="2">
                  <c:v>Domestic policies &amp; net-zero targets</c:v>
                </c:pt>
                <c:pt idx="3">
                  <c:v>2 Degree &amp; net-zero targets</c:v>
                </c:pt>
                <c:pt idx="4">
                  <c:v>2 degree scenario</c:v>
                </c:pt>
              </c:strCache>
            </c:strRef>
          </c:cat>
          <c:val>
            <c:numRef>
              <c:f>'NZ targets'!$J$252:$N$252</c:f>
              <c:numCache>
                <c:formatCode>0.0</c:formatCode>
                <c:ptCount val="5"/>
                <c:pt idx="0">
                  <c:v>3.0354144682867474</c:v>
                </c:pt>
                <c:pt idx="1">
                  <c:v>-10.402737466563806</c:v>
                </c:pt>
                <c:pt idx="2">
                  <c:v>-4.7626249274752119</c:v>
                </c:pt>
                <c:pt idx="3">
                  <c:v>-4.7626249274752119</c:v>
                </c:pt>
                <c:pt idx="4">
                  <c:v>-0.12191762105866055</c:v>
                </c:pt>
              </c:numCache>
            </c:numRef>
          </c:val>
          <c:extLst>
            <c:ext xmlns:c16="http://schemas.microsoft.com/office/drawing/2014/chart" uri="{C3380CC4-5D6E-409C-BE32-E72D297353CC}">
              <c16:uniqueId val="{00000003-A122-4988-9A31-108380F96CBA}"/>
            </c:ext>
          </c:extLst>
        </c:ser>
        <c:ser>
          <c:idx val="4"/>
          <c:order val="4"/>
          <c:tx>
            <c:strRef>
              <c:f>'NZ targets'!$I$253</c:f>
              <c:strCache>
                <c:ptCount val="1"/>
                <c:pt idx="0">
                  <c:v>United States </c:v>
                </c:pt>
              </c:strCache>
            </c:strRef>
          </c:tx>
          <c:spPr>
            <a:solidFill>
              <a:schemeClr val="accent5"/>
            </a:solidFill>
            <a:ln>
              <a:noFill/>
            </a:ln>
            <a:effectLst/>
          </c:spPr>
          <c:invertIfNegative val="0"/>
          <c:cat>
            <c:strRef>
              <c:f>'NZ targets'!$J$248:$N$248</c:f>
              <c:strCache>
                <c:ptCount val="5"/>
                <c:pt idx="0">
                  <c:v>2018 emissions</c:v>
                </c:pt>
                <c:pt idx="1">
                  <c:v>Domestic policies</c:v>
                </c:pt>
                <c:pt idx="2">
                  <c:v>Domestic policies &amp; net-zero targets</c:v>
                </c:pt>
                <c:pt idx="3">
                  <c:v>2 Degree &amp; net-zero targets</c:v>
                </c:pt>
                <c:pt idx="4">
                  <c:v>2 degree scenario</c:v>
                </c:pt>
              </c:strCache>
            </c:strRef>
          </c:cat>
          <c:val>
            <c:numRef>
              <c:f>'NZ targets'!$J$253:$N$253</c:f>
              <c:numCache>
                <c:formatCode>0.0</c:formatCode>
                <c:ptCount val="5"/>
                <c:pt idx="0">
                  <c:v>5.5860032584999999</c:v>
                </c:pt>
                <c:pt idx="1">
                  <c:v>3.5353947036293598</c:v>
                </c:pt>
                <c:pt idx="2">
                  <c:v>0</c:v>
                </c:pt>
                <c:pt idx="3">
                  <c:v>0</c:v>
                </c:pt>
                <c:pt idx="4">
                  <c:v>1.2483378063451447</c:v>
                </c:pt>
              </c:numCache>
            </c:numRef>
          </c:val>
          <c:extLst>
            <c:ext xmlns:c16="http://schemas.microsoft.com/office/drawing/2014/chart" uri="{C3380CC4-5D6E-409C-BE32-E72D297353CC}">
              <c16:uniqueId val="{00000004-A122-4988-9A31-108380F96CBA}"/>
            </c:ext>
          </c:extLst>
        </c:ser>
        <c:ser>
          <c:idx val="5"/>
          <c:order val="5"/>
          <c:tx>
            <c:strRef>
              <c:f>'NZ targets'!$I$254</c:f>
              <c:strCache>
                <c:ptCount val="1"/>
                <c:pt idx="0">
                  <c:v>Other</c:v>
                </c:pt>
              </c:strCache>
            </c:strRef>
          </c:tx>
          <c:spPr>
            <a:solidFill>
              <a:schemeClr val="accent1">
                <a:lumMod val="60000"/>
                <a:lumOff val="40000"/>
              </a:schemeClr>
            </a:solidFill>
            <a:ln>
              <a:noFill/>
            </a:ln>
            <a:effectLst/>
          </c:spPr>
          <c:invertIfNegative val="0"/>
          <c:cat>
            <c:strRef>
              <c:f>'NZ targets'!$J$248:$N$248</c:f>
              <c:strCache>
                <c:ptCount val="5"/>
                <c:pt idx="0">
                  <c:v>2018 emissions</c:v>
                </c:pt>
                <c:pt idx="1">
                  <c:v>Domestic policies</c:v>
                </c:pt>
                <c:pt idx="2">
                  <c:v>Domestic policies &amp; net-zero targets</c:v>
                </c:pt>
                <c:pt idx="3">
                  <c:v>2 Degree &amp; net-zero targets</c:v>
                </c:pt>
                <c:pt idx="4">
                  <c:v>2 degree scenario</c:v>
                </c:pt>
              </c:strCache>
            </c:strRef>
          </c:cat>
          <c:val>
            <c:numRef>
              <c:f>'NZ targets'!$J$254:$N$254</c:f>
              <c:numCache>
                <c:formatCode>0.0</c:formatCode>
                <c:ptCount val="5"/>
                <c:pt idx="0">
                  <c:v>4.70046440472602</c:v>
                </c:pt>
                <c:pt idx="1">
                  <c:v>1.8132725642939036</c:v>
                </c:pt>
                <c:pt idx="2">
                  <c:v>5.3486672679232932</c:v>
                </c:pt>
                <c:pt idx="3">
                  <c:v>2.2385710139550934</c:v>
                </c:pt>
                <c:pt idx="4">
                  <c:v>0.99023320760995226</c:v>
                </c:pt>
              </c:numCache>
            </c:numRef>
          </c:val>
          <c:extLst>
            <c:ext xmlns:c16="http://schemas.microsoft.com/office/drawing/2014/chart" uri="{C3380CC4-5D6E-409C-BE32-E72D297353CC}">
              <c16:uniqueId val="{00000005-A122-4988-9A31-108380F96CBA}"/>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'NZ targets'!$Q$289</c:f>
              <c:strCache>
                <c:ptCount val="1"/>
                <c:pt idx="0">
                  <c:v>Number of countries</c:v>
                </c:pt>
              </c:strCache>
            </c:strRef>
          </c:tx>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'NZ targets'!$Q$290:$Q$296</c:f>
            </c:numRef>
          </c:val>
          <c:extLst>
            <c:ext xmlns:c15="http://schemas.microsoft.com/office/drawing/2012/chart" uri="{02D57815-91ED-43cb-92C2-25804820EDAC}">
              <c15:filteredCategoryTitle>
                <c15:cat>
                  <c:multiLvlStrRef>
                    <c:extLst>
                      <c:ext uri="{02D57815-91ED-43cb-92C2-25804820EDAC}">
                        <c15:formulaRef>
                          <c15:sqref>'NZ targets'!$P$290:$P$296</c15:sqref>
                        </c15:formulaRef>
                      </c:ext>
                    </c:extLst>
                  </c:multiLvlStrRef>
                </c15:cat>
              </c15:filteredCategoryTitle>
            </c:ext>
            <c:ext xmlns:c16="http://schemas.microsoft.com/office/drawing/2014/chart" uri="{C3380CC4-5D6E-409C-BE32-E72D297353CC}">
              <c16:uniqueId val="{0000000E-ACC3-425A-8DF1-83952BD38B8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 of GHG emissions</a:t>
            </a:r>
          </a:p>
        </c:rich>
      </c:tx>
      <c:layout>
        <c:manualLayout>
          <c:xMode val="edge"/>
          <c:yMode val="edge"/>
          <c:x val="0.13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'NZ targets'!$S$289</c:f>
              <c:strCache>
                <c:ptCount val="1"/>
                <c:pt idx="0">
                  <c:v>Emissions share in 2018</c:v>
                </c:pt>
              </c:strCache>
            </c:strRef>
          </c:tx>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'NZ targets'!$S$290:$S$296</c:f>
            </c:numRef>
          </c:val>
          <c:extLst>
            <c:ext xmlns:c15="http://schemas.microsoft.com/office/drawing/2012/chart" uri="{02D57815-91ED-43cb-92C2-25804820EDAC}">
              <c15:filteredCategoryTitle>
                <c15:cat>
                  <c:multiLvlStrRef>
                    <c:extLst>
                      <c:ext uri="{02D57815-91ED-43cb-92C2-25804820EDAC}">
                        <c15:formulaRef>
                          <c15:sqref>'NZ targets'!$P$290:$P$296</c15:sqref>
                        </c15:formulaRef>
                      </c:ext>
                    </c:extLst>
                  </c:multiLvlStrRef>
                </c15:cat>
              </c15:filteredCategoryTitle>
            </c:ext>
            <c:ext xmlns:c16="http://schemas.microsoft.com/office/drawing/2014/chart" uri="{C3380CC4-5D6E-409C-BE32-E72D297353CC}">
              <c16:uniqueId val="{0000000E-4839-4A37-974A-D2D9A85F80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'NZ targets'!$I$249</c:f>
              <c:strCache>
                <c:ptCount val="1"/>
                <c:pt idx="0">
                  <c:v>EU28 (net-zero)</c:v>
                </c:pt>
              </c:strCache>
            </c:strRef>
          </c:tx>
          <c:spPr>
            <a:solidFill>
              <a:schemeClr val="accent4">
                <a:lumMod val="60000"/>
                <a:lumOff val="40000"/>
              </a:schemeClr>
            </a:solidFill>
            <a:ln>
              <a:noFill/>
            </a:ln>
            <a:effectLst/>
          </c:spPr>
          <c:invertIfNegative val="0"/>
          <c:cat>
            <c:strRef>
              <c:f>'NZ targets'!$J$248:$P$248</c:f>
              <c:strCache>
                <c:ptCount val="6"/>
                <c:pt idx="0">
                  <c:v>2018 emissions</c:v>
                </c:pt>
                <c:pt idx="1">
                  <c:v>Domestic policies</c:v>
                </c:pt>
                <c:pt idx="2">
                  <c:v>Domestic policies &amp; net-zero targets</c:v>
                </c:pt>
                <c:pt idx="3">
                  <c:v>2 Degree &amp; net-zero targets</c:v>
                </c:pt>
                <c:pt idx="4">
                  <c:v>2 degree scenario</c:v>
                </c:pt>
                <c:pt idx="5">
                  <c:v>1.5 Degree &amp; net-zero targets2</c:v>
                </c:pt>
              </c:strCache>
            </c:strRef>
          </c:cat>
          <c:val>
            <c:numRef>
              <c:f>'NZ targets'!$J$249:$P$249</c:f>
              <c:numCache>
                <c:formatCode>0.0</c:formatCode>
                <c:ptCount val="6"/>
                <c:pt idx="0">
                  <c:v>3.4898668492999998</c:v>
                </c:pt>
                <c:pt idx="1">
                  <c:v>3.4929891818531242</c:v>
                </c:pt>
                <c:pt idx="2">
                  <c:v>0</c:v>
                </c:pt>
                <c:pt idx="3">
                  <c:v>0</c:v>
                </c:pt>
                <c:pt idx="4">
                  <c:v>0.73787976456758608</c:v>
                </c:pt>
                <c:pt idx="5">
                  <c:v>0</c:v>
                </c:pt>
              </c:numCache>
            </c:numRef>
          </c:val>
          <c:extLst>
            <c:ext xmlns:c16="http://schemas.microsoft.com/office/drawing/2014/chart" uri="{C3380CC4-5D6E-409C-BE32-E72D297353CC}">
              <c16:uniqueId val="{00000000-2BAD-42D7-821E-942D6B1B08D9}"/>
            </c:ext>
          </c:extLst>
        </c:ser>
        <c:ser>
          <c:idx val="1"/>
          <c:order val="1"/>
          <c:tx>
            <c:strRef>
              <c:f>'NZ targets'!$I$250</c:f>
              <c:strCache>
                <c:ptCount val="1"/>
                <c:pt idx="0">
                  <c:v>China (net-zero)</c:v>
                </c:pt>
              </c:strCache>
            </c:strRef>
          </c:tx>
          <c:spPr>
            <a:solidFill>
              <a:schemeClr val="accent2"/>
            </a:solidFill>
            <a:ln>
              <a:noFill/>
            </a:ln>
            <a:effectLst/>
          </c:spPr>
          <c:invertIfNegative val="0"/>
          <c:cat>
            <c:strRef>
              <c:f>'NZ targets'!$J$248:$P$248</c:f>
              <c:strCache>
                <c:ptCount val="6"/>
                <c:pt idx="0">
                  <c:v>2018 emissions</c:v>
                </c:pt>
                <c:pt idx="1">
                  <c:v>Domestic policies</c:v>
                </c:pt>
                <c:pt idx="2">
                  <c:v>Domestic policies &amp; net-zero targets</c:v>
                </c:pt>
                <c:pt idx="3">
                  <c:v>2 Degree &amp; net-zero targets</c:v>
                </c:pt>
                <c:pt idx="4">
                  <c:v>2 degree scenario</c:v>
                </c:pt>
                <c:pt idx="5">
                  <c:v>1.5 Degree &amp; net-zero targets2</c:v>
                </c:pt>
              </c:strCache>
            </c:strRef>
          </c:cat>
          <c:val>
            <c:numRef>
              <c:f>'NZ targets'!$J$250:$P$250</c:f>
              <c:numCache>
                <c:formatCode>0.0</c:formatCode>
                <c:ptCount val="6"/>
                <c:pt idx="0">
                  <c:v>13.038949070000001</c:v>
                </c:pt>
                <c:pt idx="1">
                  <c:v>13.845495529695199</c:v>
                </c:pt>
                <c:pt idx="2">
                  <c:v>4.7626249274752119</c:v>
                </c:pt>
                <c:pt idx="3">
                  <c:v>4.7626249274752119</c:v>
                </c:pt>
                <c:pt idx="4">
                  <c:v>2.1157686358692485</c:v>
                </c:pt>
                <c:pt idx="5">
                  <c:v>4.7626249274752119</c:v>
                </c:pt>
              </c:numCache>
            </c:numRef>
          </c:val>
          <c:extLst>
            <c:ext xmlns:c16="http://schemas.microsoft.com/office/drawing/2014/chart" uri="{C3380CC4-5D6E-409C-BE32-E72D297353CC}">
              <c16:uniqueId val="{00000001-2BAD-42D7-821E-942D6B1B08D9}"/>
            </c:ext>
          </c:extLst>
        </c:ser>
        <c:ser>
          <c:idx val="2"/>
          <c:order val="2"/>
          <c:tx>
            <c:strRef>
              <c:f>'NZ targets'!$I$251</c:f>
              <c:strCache>
                <c:ptCount val="1"/>
                <c:pt idx="0">
                  <c:v>Japan, SAF and others (net-zero)</c:v>
                </c:pt>
              </c:strCache>
            </c:strRef>
          </c:tx>
          <c:spPr>
            <a:solidFill>
              <a:schemeClr val="accent2">
                <a:lumMod val="75000"/>
              </a:schemeClr>
            </a:solidFill>
            <a:ln>
              <a:noFill/>
            </a:ln>
            <a:effectLst/>
          </c:spPr>
          <c:invertIfNegative val="0"/>
          <c:cat>
            <c:strRef>
              <c:f>'NZ targets'!$J$248:$P$248</c:f>
              <c:strCache>
                <c:ptCount val="6"/>
                <c:pt idx="0">
                  <c:v>2018 emissions</c:v>
                </c:pt>
                <c:pt idx="1">
                  <c:v>Domestic policies</c:v>
                </c:pt>
                <c:pt idx="2">
                  <c:v>Domestic policies &amp; net-zero targets</c:v>
                </c:pt>
                <c:pt idx="3">
                  <c:v>2 Degree &amp; net-zero targets</c:v>
                </c:pt>
                <c:pt idx="4">
                  <c:v>2 degree scenario</c:v>
                </c:pt>
                <c:pt idx="5">
                  <c:v>1.5 Degree &amp; net-zero targets2</c:v>
                </c:pt>
              </c:strCache>
            </c:strRef>
          </c:cat>
          <c:val>
            <c:numRef>
              <c:f>'NZ targets'!$J$251:$P$251</c:f>
              <c:numCache>
                <c:formatCode>0.0</c:formatCode>
                <c:ptCount val="6"/>
                <c:pt idx="0">
                  <c:v>20.356628854261523</c:v>
                </c:pt>
                <c:pt idx="1">
                  <c:v>38.154096028785318</c:v>
                </c:pt>
                <c:pt idx="2">
                  <c:v>8.7228945232185549</c:v>
                </c:pt>
                <c:pt idx="3">
                  <c:v>8.7228945232185549</c:v>
                </c:pt>
                <c:pt idx="4">
                  <c:v>10.767854015405517</c:v>
                </c:pt>
                <c:pt idx="5">
                  <c:v>8.7228945232185549</c:v>
                </c:pt>
              </c:numCache>
            </c:numRef>
          </c:val>
          <c:extLst>
            <c:ext xmlns:c16="http://schemas.microsoft.com/office/drawing/2014/chart" uri="{C3380CC4-5D6E-409C-BE32-E72D297353CC}">
              <c16:uniqueId val="{00000002-2BAD-42D7-821E-942D6B1B08D9}"/>
            </c:ext>
          </c:extLst>
        </c:ser>
        <c:ser>
          <c:idx val="3"/>
          <c:order val="3"/>
          <c:tx>
            <c:strRef>
              <c:f>'NZ targets'!$I$252</c:f>
              <c:strCache>
                <c:ptCount val="1"/>
                <c:pt idx="0">
                  <c:v>Net zero-target Under Discussion</c:v>
                </c:pt>
              </c:strCache>
            </c:strRef>
          </c:tx>
          <c:spPr>
            <a:solidFill>
              <a:schemeClr val="accent2">
                <a:lumMod val="40000"/>
                <a:lumOff val="60000"/>
              </a:schemeClr>
            </a:solidFill>
            <a:ln>
              <a:noFill/>
            </a:ln>
            <a:effectLst/>
          </c:spPr>
          <c:invertIfNegative val="0"/>
          <c:cat>
            <c:strRef>
              <c:f>'NZ targets'!$J$248:$P$248</c:f>
              <c:strCache>
                <c:ptCount val="6"/>
                <c:pt idx="0">
                  <c:v>2018 emissions</c:v>
                </c:pt>
                <c:pt idx="1">
                  <c:v>Domestic policies</c:v>
                </c:pt>
                <c:pt idx="2">
                  <c:v>Domestic policies &amp; net-zero targets</c:v>
                </c:pt>
                <c:pt idx="3">
                  <c:v>2 Degree &amp; net-zero targets</c:v>
                </c:pt>
                <c:pt idx="4">
                  <c:v>2 degree scenario</c:v>
                </c:pt>
                <c:pt idx="5">
                  <c:v>1.5 Degree &amp; net-zero targets2</c:v>
                </c:pt>
              </c:strCache>
            </c:strRef>
          </c:cat>
          <c:val>
            <c:numRef>
              <c:f>'NZ targets'!$J$252:$P$252</c:f>
              <c:numCache>
                <c:formatCode>0.0</c:formatCode>
                <c:ptCount val="6"/>
                <c:pt idx="0">
                  <c:v>3.0354144682867474</c:v>
                </c:pt>
                <c:pt idx="1">
                  <c:v>-10.402737466563806</c:v>
                </c:pt>
                <c:pt idx="2">
                  <c:v>-4.7626249274752119</c:v>
                </c:pt>
                <c:pt idx="3">
                  <c:v>-4.7626249274752119</c:v>
                </c:pt>
                <c:pt idx="4">
                  <c:v>-0.12191762105866055</c:v>
                </c:pt>
                <c:pt idx="5">
                  <c:v>-4.7626249274752119</c:v>
                </c:pt>
              </c:numCache>
            </c:numRef>
          </c:val>
          <c:extLst>
            <c:ext xmlns:c16="http://schemas.microsoft.com/office/drawing/2014/chart" uri="{C3380CC4-5D6E-409C-BE32-E72D297353CC}">
              <c16:uniqueId val="{00000003-2BAD-42D7-821E-942D6B1B08D9}"/>
            </c:ext>
          </c:extLst>
        </c:ser>
        <c:ser>
          <c:idx val="4"/>
          <c:order val="4"/>
          <c:tx>
            <c:strRef>
              <c:f>'NZ targets'!$I$253</c:f>
              <c:strCache>
                <c:ptCount val="1"/>
                <c:pt idx="0">
                  <c:v>United States </c:v>
                </c:pt>
              </c:strCache>
            </c:strRef>
          </c:tx>
          <c:spPr>
            <a:solidFill>
              <a:schemeClr val="accent5"/>
            </a:solidFill>
            <a:ln>
              <a:noFill/>
            </a:ln>
            <a:effectLst/>
          </c:spPr>
          <c:invertIfNegative val="0"/>
          <c:cat>
            <c:strRef>
              <c:f>'NZ targets'!$J$248:$P$248</c:f>
              <c:strCache>
                <c:ptCount val="6"/>
                <c:pt idx="0">
                  <c:v>2018 emissions</c:v>
                </c:pt>
                <c:pt idx="1">
                  <c:v>Domestic policies</c:v>
                </c:pt>
                <c:pt idx="2">
                  <c:v>Domestic policies &amp; net-zero targets</c:v>
                </c:pt>
                <c:pt idx="3">
                  <c:v>2 Degree &amp; net-zero targets</c:v>
                </c:pt>
                <c:pt idx="4">
                  <c:v>2 degree scenario</c:v>
                </c:pt>
                <c:pt idx="5">
                  <c:v>1.5 Degree &amp; net-zero targets2</c:v>
                </c:pt>
              </c:strCache>
            </c:strRef>
          </c:cat>
          <c:val>
            <c:numRef>
              <c:f>'NZ targets'!$J$253:$P$253</c:f>
              <c:numCache>
                <c:formatCode>0.0</c:formatCode>
                <c:ptCount val="6"/>
                <c:pt idx="0">
                  <c:v>5.5860032584999999</c:v>
                </c:pt>
                <c:pt idx="1">
                  <c:v>3.5353947036293598</c:v>
                </c:pt>
                <c:pt idx="2">
                  <c:v>0</c:v>
                </c:pt>
                <c:pt idx="3">
                  <c:v>0</c:v>
                </c:pt>
                <c:pt idx="4">
                  <c:v>1.2483378063451447</c:v>
                </c:pt>
                <c:pt idx="5">
                  <c:v>0</c:v>
                </c:pt>
              </c:numCache>
            </c:numRef>
          </c:val>
          <c:extLst>
            <c:ext xmlns:c16="http://schemas.microsoft.com/office/drawing/2014/chart" uri="{C3380CC4-5D6E-409C-BE32-E72D297353CC}">
              <c16:uniqueId val="{00000004-2BAD-42D7-821E-942D6B1B08D9}"/>
            </c:ext>
          </c:extLst>
        </c:ser>
        <c:ser>
          <c:idx val="5"/>
          <c:order val="5"/>
          <c:tx>
            <c:strRef>
              <c:f>'NZ targets'!$I$254</c:f>
              <c:strCache>
                <c:ptCount val="1"/>
                <c:pt idx="0">
                  <c:v>Other</c:v>
                </c:pt>
              </c:strCache>
            </c:strRef>
          </c:tx>
          <c:spPr>
            <a:solidFill>
              <a:schemeClr val="accent1">
                <a:lumMod val="60000"/>
                <a:lumOff val="40000"/>
              </a:schemeClr>
            </a:solidFill>
            <a:ln>
              <a:noFill/>
            </a:ln>
            <a:effectLst/>
          </c:spPr>
          <c:invertIfNegative val="0"/>
          <c:cat>
            <c:strRef>
              <c:f>'NZ targets'!$J$248:$P$248</c:f>
              <c:strCache>
                <c:ptCount val="6"/>
                <c:pt idx="0">
                  <c:v>2018 emissions</c:v>
                </c:pt>
                <c:pt idx="1">
                  <c:v>Domestic policies</c:v>
                </c:pt>
                <c:pt idx="2">
                  <c:v>Domestic policies &amp; net-zero targets</c:v>
                </c:pt>
                <c:pt idx="3">
                  <c:v>2 Degree &amp; net-zero targets</c:v>
                </c:pt>
                <c:pt idx="4">
                  <c:v>2 degree scenario</c:v>
                </c:pt>
                <c:pt idx="5">
                  <c:v>1.5 Degree &amp; net-zero targets2</c:v>
                </c:pt>
              </c:strCache>
            </c:strRef>
          </c:cat>
          <c:val>
            <c:numRef>
              <c:f>'NZ targets'!$J$254:$P$254</c:f>
              <c:numCache>
                <c:formatCode>0.0</c:formatCode>
                <c:ptCount val="6"/>
                <c:pt idx="0">
                  <c:v>4.70046440472602</c:v>
                </c:pt>
                <c:pt idx="1">
                  <c:v>1.8132725642939036</c:v>
                </c:pt>
                <c:pt idx="2">
                  <c:v>5.3486672679232932</c:v>
                </c:pt>
                <c:pt idx="3">
                  <c:v>2.2385710139550934</c:v>
                </c:pt>
                <c:pt idx="4">
                  <c:v>0.99023320760995226</c:v>
                </c:pt>
                <c:pt idx="5">
                  <c:v>0.70593526664498185</c:v>
                </c:pt>
              </c:numCache>
            </c:numRef>
          </c:val>
          <c:extLst>
            <c:ext xmlns:c16="http://schemas.microsoft.com/office/drawing/2014/chart" uri="{C3380CC4-5D6E-409C-BE32-E72D297353CC}">
              <c16:uniqueId val="{00000005-2BAD-42D7-821E-942D6B1B08D9}"/>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r>
              <a:rPr lang="nl-NL"/>
              <a:t>net GHG emissions in 2050 (GtCO2eq)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'NZ targets'!$I$249</c:f>
              <c:strCache>
                <c:ptCount val="1"/>
                <c:pt idx="0">
                  <c:v>EU28 (net-zero)</c:v>
                </c:pt>
              </c:strCache>
            </c:strRef>
          </c:tx>
          <c:spPr>
            <a:solidFill>
              <a:schemeClr val="accent4">
                <a:lumMod val="60000"/>
                <a:lumOff val="40000"/>
              </a:schemeClr>
            </a:solidFill>
            <a:ln>
              <a:noFill/>
            </a:ln>
            <a:effectLst/>
          </c:spPr>
          <c:invertIfNegative val="0"/>
          <c:cat>
            <c:strRef>
              <c:f>'NZ targets'!$J$248:$L$248</c:f>
              <c:strCache>
                <c:ptCount val="3"/>
                <c:pt idx="0">
                  <c:v>2018 emissions</c:v>
                </c:pt>
                <c:pt idx="1">
                  <c:v>Domestic policies</c:v>
                </c:pt>
                <c:pt idx="2">
                  <c:v>Domestic policies &amp; net-zero targets</c:v>
                </c:pt>
              </c:strCache>
            </c:strRef>
          </c:cat>
          <c:val>
            <c:numRef>
              <c:f>'NZ targets'!$J$249:$L$249</c:f>
              <c:numCache>
                <c:formatCode>0.0</c:formatCode>
                <c:ptCount val="3"/>
                <c:pt idx="0">
                  <c:v>3.4898668492999998</c:v>
                </c:pt>
                <c:pt idx="1">
                  <c:v>3.4929891818531242</c:v>
                </c:pt>
                <c:pt idx="2">
                  <c:v>0</c:v>
                </c:pt>
              </c:numCache>
            </c:numRef>
          </c:val>
          <c:extLst>
            <c:ext xmlns:c16="http://schemas.microsoft.com/office/drawing/2014/chart" uri="{C3380CC4-5D6E-409C-BE32-E72D297353CC}">
              <c16:uniqueId val="{00000000-95B4-4CDD-826F-17B15CF8FB08}"/>
            </c:ext>
          </c:extLst>
        </c:ser>
        <c:ser>
          <c:idx val="1"/>
          <c:order val="1"/>
          <c:tx>
            <c:strRef>
              <c:f>'NZ targets'!$I$250</c:f>
              <c:strCache>
                <c:ptCount val="1"/>
                <c:pt idx="0">
                  <c:v>China (net-zero)</c:v>
                </c:pt>
              </c:strCache>
            </c:strRef>
          </c:tx>
          <c:spPr>
            <a:solidFill>
              <a:schemeClr val="accent2"/>
            </a:solidFill>
            <a:ln>
              <a:noFill/>
            </a:ln>
            <a:effectLst/>
          </c:spPr>
          <c:invertIfNegative val="0"/>
          <c:cat>
            <c:strRef>
              <c:f>'NZ targets'!$J$248:$L$248</c:f>
              <c:strCache>
                <c:ptCount val="3"/>
                <c:pt idx="0">
                  <c:v>2018 emissions</c:v>
                </c:pt>
                <c:pt idx="1">
                  <c:v>Domestic policies</c:v>
                </c:pt>
                <c:pt idx="2">
                  <c:v>Domestic policies &amp; net-zero targets</c:v>
                </c:pt>
              </c:strCache>
            </c:strRef>
          </c:cat>
          <c:val>
            <c:numRef>
              <c:f>'NZ targets'!$J$250:$L$250</c:f>
              <c:numCache>
                <c:formatCode>0.0</c:formatCode>
                <c:ptCount val="3"/>
                <c:pt idx="0">
                  <c:v>13.038949070000001</c:v>
                </c:pt>
                <c:pt idx="1">
                  <c:v>13.845495529695199</c:v>
                </c:pt>
                <c:pt idx="2">
                  <c:v>4.7626249274752119</c:v>
                </c:pt>
              </c:numCache>
            </c:numRef>
          </c:val>
          <c:extLst>
            <c:ext xmlns:c16="http://schemas.microsoft.com/office/drawing/2014/chart" uri="{C3380CC4-5D6E-409C-BE32-E72D297353CC}">
              <c16:uniqueId val="{00000001-95B4-4CDD-826F-17B15CF8FB08}"/>
            </c:ext>
          </c:extLst>
        </c:ser>
        <c:ser>
          <c:idx val="2"/>
          <c:order val="2"/>
          <c:tx>
            <c:strRef>
              <c:f>'NZ targets'!$I$251</c:f>
              <c:strCache>
                <c:ptCount val="1"/>
                <c:pt idx="0">
                  <c:v>Japan, SAF and others (net-zero)</c:v>
                </c:pt>
              </c:strCache>
            </c:strRef>
          </c:tx>
          <c:spPr>
            <a:solidFill>
              <a:schemeClr val="accent2">
                <a:lumMod val="75000"/>
              </a:schemeClr>
            </a:solidFill>
            <a:ln>
              <a:noFill/>
            </a:ln>
            <a:effectLst/>
          </c:spPr>
          <c:invertIfNegative val="0"/>
          <c:cat>
            <c:strRef>
              <c:f>'NZ targets'!$J$248:$L$248</c:f>
              <c:strCache>
                <c:ptCount val="3"/>
                <c:pt idx="0">
                  <c:v>2018 emissions</c:v>
                </c:pt>
                <c:pt idx="1">
                  <c:v>Domestic policies</c:v>
                </c:pt>
                <c:pt idx="2">
                  <c:v>Domestic policies &amp; net-zero targets</c:v>
                </c:pt>
              </c:strCache>
            </c:strRef>
          </c:cat>
          <c:val>
            <c:numRef>
              <c:f>'NZ targets'!$J$251:$L$251</c:f>
              <c:numCache>
                <c:formatCode>0.0</c:formatCode>
                <c:ptCount val="3"/>
                <c:pt idx="0">
                  <c:v>20.356628854261523</c:v>
                </c:pt>
                <c:pt idx="1">
                  <c:v>38.154096028785318</c:v>
                </c:pt>
                <c:pt idx="2">
                  <c:v>8.7228945232185549</c:v>
                </c:pt>
              </c:numCache>
            </c:numRef>
          </c:val>
          <c:extLst>
            <c:ext xmlns:c16="http://schemas.microsoft.com/office/drawing/2014/chart" uri="{C3380CC4-5D6E-409C-BE32-E72D297353CC}">
              <c16:uniqueId val="{00000002-95B4-4CDD-826F-17B15CF8FB08}"/>
            </c:ext>
          </c:extLst>
        </c:ser>
        <c:ser>
          <c:idx val="3"/>
          <c:order val="3"/>
          <c:tx>
            <c:strRef>
              <c:f>'NZ targets'!$I$252</c:f>
              <c:strCache>
                <c:ptCount val="1"/>
                <c:pt idx="0">
                  <c:v>Net zero-target Under Discussion</c:v>
                </c:pt>
              </c:strCache>
            </c:strRef>
          </c:tx>
          <c:spPr>
            <a:solidFill>
              <a:schemeClr val="accent2">
                <a:lumMod val="40000"/>
                <a:lumOff val="60000"/>
              </a:schemeClr>
            </a:solidFill>
            <a:ln>
              <a:noFill/>
            </a:ln>
            <a:effectLst/>
          </c:spPr>
          <c:invertIfNegative val="0"/>
          <c:cat>
            <c:strRef>
              <c:f>'NZ targets'!$J$248:$L$248</c:f>
              <c:strCache>
                <c:ptCount val="3"/>
                <c:pt idx="0">
                  <c:v>2018 emissions</c:v>
                </c:pt>
                <c:pt idx="1">
                  <c:v>Domestic policies</c:v>
                </c:pt>
                <c:pt idx="2">
                  <c:v>Domestic policies &amp; net-zero targets</c:v>
                </c:pt>
              </c:strCache>
            </c:strRef>
          </c:cat>
          <c:val>
            <c:numRef>
              <c:f>'NZ targets'!$J$252:$L$252</c:f>
              <c:numCache>
                <c:formatCode>0.0</c:formatCode>
                <c:ptCount val="3"/>
                <c:pt idx="0">
                  <c:v>3.0354144682867474</c:v>
                </c:pt>
                <c:pt idx="1">
                  <c:v>-10.402737466563806</c:v>
                </c:pt>
                <c:pt idx="2">
                  <c:v>-4.7626249274752119</c:v>
                </c:pt>
              </c:numCache>
            </c:numRef>
          </c:val>
          <c:extLst>
            <c:ext xmlns:c16="http://schemas.microsoft.com/office/drawing/2014/chart" uri="{C3380CC4-5D6E-409C-BE32-E72D297353CC}">
              <c16:uniqueId val="{00000003-95B4-4CDD-826F-17B15CF8FB08}"/>
            </c:ext>
          </c:extLst>
        </c:ser>
        <c:ser>
          <c:idx val="4"/>
          <c:order val="4"/>
          <c:tx>
            <c:strRef>
              <c:f>'NZ targets'!$I$253</c:f>
              <c:strCache>
                <c:ptCount val="1"/>
                <c:pt idx="0">
                  <c:v>United States </c:v>
                </c:pt>
              </c:strCache>
            </c:strRef>
          </c:tx>
          <c:spPr>
            <a:solidFill>
              <a:schemeClr val="accent5"/>
            </a:solidFill>
            <a:ln>
              <a:noFill/>
            </a:ln>
            <a:effectLst/>
          </c:spPr>
          <c:invertIfNegative val="0"/>
          <c:cat>
            <c:strRef>
              <c:f>'NZ targets'!$J$248:$L$248</c:f>
              <c:strCache>
                <c:ptCount val="3"/>
                <c:pt idx="0">
                  <c:v>2018 emissions</c:v>
                </c:pt>
                <c:pt idx="1">
                  <c:v>Domestic policies</c:v>
                </c:pt>
                <c:pt idx="2">
                  <c:v>Domestic policies &amp; net-zero targets</c:v>
                </c:pt>
              </c:strCache>
            </c:strRef>
          </c:cat>
          <c:val>
            <c:numRef>
              <c:f>'NZ targets'!$J$253:$L$253</c:f>
              <c:numCache>
                <c:formatCode>0.0</c:formatCode>
                <c:ptCount val="3"/>
                <c:pt idx="0">
                  <c:v>5.5860032584999999</c:v>
                </c:pt>
                <c:pt idx="1">
                  <c:v>3.5353947036293598</c:v>
                </c:pt>
                <c:pt idx="2">
                  <c:v>0</c:v>
                </c:pt>
              </c:numCache>
            </c:numRef>
          </c:val>
          <c:extLst>
            <c:ext xmlns:c16="http://schemas.microsoft.com/office/drawing/2014/chart" uri="{C3380CC4-5D6E-409C-BE32-E72D297353CC}">
              <c16:uniqueId val="{00000004-95B4-4CDD-826F-17B15CF8FB08}"/>
            </c:ext>
          </c:extLst>
        </c:ser>
        <c:ser>
          <c:idx val="5"/>
          <c:order val="5"/>
          <c:tx>
            <c:strRef>
              <c:f>'NZ targets'!$I$254</c:f>
              <c:strCache>
                <c:ptCount val="1"/>
                <c:pt idx="0">
                  <c:v>Other</c:v>
                </c:pt>
              </c:strCache>
            </c:strRef>
          </c:tx>
          <c:spPr>
            <a:solidFill>
              <a:schemeClr val="accent1">
                <a:lumMod val="60000"/>
                <a:lumOff val="40000"/>
              </a:schemeClr>
            </a:solidFill>
            <a:ln>
              <a:noFill/>
            </a:ln>
            <a:effectLst/>
          </c:spPr>
          <c:invertIfNegative val="0"/>
          <c:cat>
            <c:strRef>
              <c:f>'NZ targets'!$J$248:$L$248</c:f>
              <c:strCache>
                <c:ptCount val="3"/>
                <c:pt idx="0">
                  <c:v>2018 emissions</c:v>
                </c:pt>
                <c:pt idx="1">
                  <c:v>Domestic policies</c:v>
                </c:pt>
                <c:pt idx="2">
                  <c:v>Domestic policies &amp; net-zero targets</c:v>
                </c:pt>
              </c:strCache>
            </c:strRef>
          </c:cat>
          <c:val>
            <c:numRef>
              <c:f>'NZ targets'!$J$254:$L$254</c:f>
              <c:numCache>
                <c:formatCode>0.0</c:formatCode>
                <c:ptCount val="3"/>
                <c:pt idx="0">
                  <c:v>4.70046440472602</c:v>
                </c:pt>
                <c:pt idx="1">
                  <c:v>1.8132725642939036</c:v>
                </c:pt>
                <c:pt idx="2">
                  <c:v>5.3486672679232932</c:v>
                </c:pt>
              </c:numCache>
            </c:numRef>
          </c:val>
          <c:extLst>
            <c:ext xmlns:c16="http://schemas.microsoft.com/office/drawing/2014/chart" uri="{C3380CC4-5D6E-409C-BE32-E72D297353CC}">
              <c16:uniqueId val="{00000005-95B4-4CDD-826F-17B15CF8FB08}"/>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60644727971200696"/>
          <c:y val="0.15728840087649595"/>
          <c:w val="0.35751169229855961"/>
          <c:h val="0.25245413163934216"/>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9777721592140429"/>
        </c:manualLayout>
      </c:layout>
      <c:barChart>
        <c:barDir val="col"/>
        <c:grouping val="stacked"/>
        <c:varyColors val="0"/>
        <c:ser>
          <c:idx val="0"/>
          <c:order val="0"/>
          <c:tx>
            <c:strRef>
              <c:f>'[12]NZ targets'!$I$247</c:f>
              <c:strCache>
                <c:ptCount val="1"/>
                <c:pt idx="0">
                  <c:v>EU28 (net-zero)</c:v>
                </c:pt>
              </c:strCache>
            </c:strRef>
          </c:tx>
          <c:spPr>
            <a:solidFill>
              <a:schemeClr val="accent4">
                <a:lumMod val="60000"/>
                <a:lumOff val="4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targets'!$J$247:$N$247</c:f>
              <c:numCache>
                <c:formatCode>General</c:formatCode>
                <c:ptCount val="5"/>
                <c:pt idx="0">
                  <c:v>3.4898668492999998</c:v>
                </c:pt>
                <c:pt idx="1">
                  <c:v>3.4929891818531242</c:v>
                </c:pt>
                <c:pt idx="2">
                  <c:v>0</c:v>
                </c:pt>
                <c:pt idx="3">
                  <c:v>0</c:v>
                </c:pt>
                <c:pt idx="4">
                  <c:v>0.73787976456758608</c:v>
                </c:pt>
              </c:numCache>
            </c:numRef>
          </c:val>
          <c:extLst>
            <c:ext xmlns:c16="http://schemas.microsoft.com/office/drawing/2014/chart" uri="{C3380CC4-5D6E-409C-BE32-E72D297353CC}">
              <c16:uniqueId val="{00000000-97B0-458C-AA7A-23135543F365}"/>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targets'!$J$248:$N$248</c:f>
              <c:numCache>
                <c:formatCode>General</c:formatCode>
                <c:ptCount val="5"/>
                <c:pt idx="0">
                  <c:v>13.038949070000001</c:v>
                </c:pt>
                <c:pt idx="1">
                  <c:v>13.845495529695199</c:v>
                </c:pt>
                <c:pt idx="2">
                  <c:v>4.7626249274752119</c:v>
                </c:pt>
                <c:pt idx="3">
                  <c:v>4.7626249274752119</c:v>
                </c:pt>
                <c:pt idx="4">
                  <c:v>2.1157686358692485</c:v>
                </c:pt>
              </c:numCache>
            </c:numRef>
          </c:val>
          <c:extLst>
            <c:ext xmlns:c16="http://schemas.microsoft.com/office/drawing/2014/chart" uri="{C3380CC4-5D6E-409C-BE32-E72D297353CC}">
              <c16:uniqueId val="{00000001-97B0-458C-AA7A-23135543F365}"/>
            </c:ext>
          </c:extLst>
        </c:ser>
        <c:ser>
          <c:idx val="2"/>
          <c:order val="2"/>
          <c:tx>
            <c:strRef>
              <c:f>'[12]NZ targets'!$I$249</c:f>
              <c:strCache>
                <c:ptCount val="1"/>
                <c:pt idx="0">
                  <c:v>Japan, SAF and others (net-zero)</c:v>
                </c:pt>
              </c:strCache>
            </c:strRef>
          </c:tx>
          <c:spPr>
            <a:solidFill>
              <a:schemeClr val="accent2">
                <a:lumMod val="75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targets'!$J$249:$N$249</c:f>
              <c:numCache>
                <c:formatCode>General</c:formatCode>
                <c:ptCount val="5"/>
                <c:pt idx="0">
                  <c:v>22.37003963337299</c:v>
                </c:pt>
                <c:pt idx="1">
                  <c:v>40.322402746500686</c:v>
                </c:pt>
                <c:pt idx="2">
                  <c:v>8.7228945232185549</c:v>
                </c:pt>
                <c:pt idx="3">
                  <c:v>8.7228945232185549</c:v>
                </c:pt>
                <c:pt idx="4">
                  <c:v>11.814828085529355</c:v>
                </c:pt>
              </c:numCache>
            </c:numRef>
          </c:val>
          <c:extLst>
            <c:ext xmlns:c16="http://schemas.microsoft.com/office/drawing/2014/chart" uri="{C3380CC4-5D6E-409C-BE32-E72D297353CC}">
              <c16:uniqueId val="{00000002-97B0-458C-AA7A-23135543F365}"/>
            </c:ext>
          </c:extLst>
        </c:ser>
        <c:ser>
          <c:idx val="3"/>
          <c:order val="3"/>
          <c:tx>
            <c:strRef>
              <c:f>'[12]NZ targets'!$I$250</c:f>
              <c:strCache>
                <c:ptCount val="1"/>
                <c:pt idx="0">
                  <c:v>Net zero-target Under Discussion</c:v>
                </c:pt>
              </c:strCache>
            </c:strRef>
          </c:tx>
          <c:spPr>
            <a:solidFill>
              <a:schemeClr val="accent2">
                <a:lumMod val="40000"/>
                <a:lumOff val="6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targets'!$J$250:$N$250</c:f>
              <c:numCache>
                <c:formatCode>General</c:formatCode>
                <c:ptCount val="5"/>
                <c:pt idx="0">
                  <c:v>4.9571126342867471</c:v>
                </c:pt>
                <c:pt idx="1">
                  <c:v>-8.1932633290519696</c:v>
                </c:pt>
                <c:pt idx="2">
                  <c:v>-4.7626249274752119</c:v>
                </c:pt>
                <c:pt idx="3">
                  <c:v>-4.7626249274752119</c:v>
                </c:pt>
                <c:pt idx="4">
                  <c:v>0.60569585527656233</c:v>
                </c:pt>
              </c:numCache>
            </c:numRef>
          </c:val>
          <c:extLst>
            <c:ext xmlns:c16="http://schemas.microsoft.com/office/drawing/2014/chart" uri="{C3380CC4-5D6E-409C-BE32-E72D297353CC}">
              <c16:uniqueId val="{00000003-97B0-458C-AA7A-23135543F365}"/>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targets'!$J$251:$N$251</c:f>
              <c:numCache>
                <c:formatCode>General</c:formatCode>
                <c:ptCount val="5"/>
                <c:pt idx="0">
                  <c:v>5.5860032584999999</c:v>
                </c:pt>
                <c:pt idx="1">
                  <c:v>3.5353947036293598</c:v>
                </c:pt>
                <c:pt idx="2">
                  <c:v>0</c:v>
                </c:pt>
                <c:pt idx="3">
                  <c:v>0</c:v>
                </c:pt>
                <c:pt idx="4">
                  <c:v>1.2483378063451447</c:v>
                </c:pt>
              </c:numCache>
            </c:numRef>
          </c:val>
          <c:extLst>
            <c:ext xmlns:c16="http://schemas.microsoft.com/office/drawing/2014/chart" uri="{C3380CC4-5D6E-409C-BE32-E72D297353CC}">
              <c16:uniqueId val="{00000004-97B0-458C-AA7A-23135543F365}"/>
            </c:ext>
          </c:extLst>
        </c:ser>
        <c:ser>
          <c:idx val="5"/>
          <c:order val="5"/>
          <c:tx>
            <c:strRef>
              <c:f>'[12]NZ targets'!$I$252</c:f>
              <c:strCache>
                <c:ptCount val="1"/>
                <c:pt idx="0">
                  <c:v>Other</c:v>
                </c:pt>
              </c:strCache>
            </c:strRef>
          </c:tx>
          <c:spPr>
            <a:solidFill>
              <a:schemeClr val="accent1">
                <a:lumMod val="60000"/>
                <a:lumOff val="4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targets'!$J$252:$N$252</c:f>
              <c:numCache>
                <c:formatCode>General</c:formatCode>
                <c:ptCount val="5"/>
                <c:pt idx="0">
                  <c:v>0.76535545961455398</c:v>
                </c:pt>
                <c:pt idx="1">
                  <c:v>-2.5645082909333041</c:v>
                </c:pt>
                <c:pt idx="2">
                  <c:v>0.97088641269608011</c:v>
                </c:pt>
                <c:pt idx="3">
                  <c:v>0.46398346749603192</c:v>
                </c:pt>
                <c:pt idx="4">
                  <c:v>-0.78435433884910744</c:v>
                </c:pt>
              </c:numCache>
            </c:numRef>
          </c:val>
          <c:extLst>
            <c:ext xmlns:c16="http://schemas.microsoft.com/office/drawing/2014/chart" uri="{C3380CC4-5D6E-409C-BE32-E72D297353CC}">
              <c16:uniqueId val="{00000005-97B0-458C-AA7A-23135543F365}"/>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3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'[12]NZ targets'!$Q$287</c:f>
              <c:strCache>
                <c:ptCount val="1"/>
                <c:pt idx="0">
                  <c:v>Number of countries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35-4B96-8523-7920457A01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35-4B96-8523-7920457A01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35-4B96-8523-7920457A01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35-4B96-8523-7920457A01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635-4B96-8523-7920457A013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8635-4B96-8523-7920457A013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8635-4B96-8523-7920457A013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'[12]NZ targets'!$P$288:$P$294</c:f>
              <c:strCache>
                <c:ptCount val="7"/>
                <c:pt idx="0">
                  <c:v>Achieved</c:v>
                </c:pt>
                <c:pt idx="1">
                  <c:v>In Policy Document (incl. EU27 + UK as a group)</c:v>
                </c:pt>
                <c:pt idx="2">
                  <c:v>Proposed legislation</c:v>
                </c:pt>
                <c:pt idx="3">
                  <c:v>In Law</c:v>
                </c:pt>
                <c:pt idx="4">
                  <c:v>Net zero-target Under Discussion</c:v>
                </c:pt>
                <c:pt idx="5">
                  <c:v>Climate ambition alliance *</c:v>
                </c:pt>
                <c:pt idx="6">
                  <c:v>No target</c:v>
                </c:pt>
              </c:strCache>
            </c:strRef>
          </c:cat>
          <c:val>
            <c:numRef>
              <c:f>'[12]NZ targets'!$Q$288:$Q$294</c:f>
              <c:numCache>
                <c:formatCode>General</c:formatCode>
                <c:ptCount val="7"/>
                <c:pt idx="0">
                  <c:v>6</c:v>
                </c:pt>
                <c:pt idx="1">
                  <c:v>29</c:v>
                </c:pt>
                <c:pt idx="2">
                  <c:v>84</c:v>
                </c:pt>
                <c:pt idx="3">
                  <c:v>13</c:v>
                </c:pt>
                <c:pt idx="4">
                  <c:v>57</c:v>
                </c:pt>
                <c:pt idx="5">
                  <c:v>0</c:v>
                </c:pt>
                <c:pt idx="6">
                  <c:v>36</c:v>
                </c:pt>
              </c:numCache>
            </c:numRef>
          </c:val>
          <c:extLst>
            <c:ext xmlns:c16="http://schemas.microsoft.com/office/drawing/2014/chart" uri="{C3380CC4-5D6E-409C-BE32-E72D297353CC}">
              <c16:uniqueId val="{0000000E-8635-4B96-8523-7920457A013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 of GHG emissions</a:t>
            </a:r>
          </a:p>
        </c:rich>
      </c:tx>
      <c:layout>
        <c:manualLayout>
          <c:xMode val="edge"/>
          <c:yMode val="edge"/>
          <c:x val="0.13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'[12]NZ targets'!$S$287</c:f>
              <c:strCache>
                <c:ptCount val="1"/>
                <c:pt idx="0">
                  <c:v>Emissions share in 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61-4859-BFF0-5BBD670777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61-4859-BFF0-5BBD670777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61-4859-BFF0-5BBD670777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61-4859-BFF0-5BBD670777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61-4859-BFF0-5BBD6707778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061-4859-BFF0-5BBD6707778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061-4859-BFF0-5BBD67077786}"/>
              </c:ext>
            </c:extLst>
          </c:dPt>
          <c:dLbls>
            <c:dLbl>
              <c:idx val="6"/>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D-5061-4859-BFF0-5BBD6707778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'[12]NZ targets'!$P$288:$P$294</c:f>
              <c:strCache>
                <c:ptCount val="7"/>
                <c:pt idx="0">
                  <c:v>Achieved</c:v>
                </c:pt>
                <c:pt idx="1">
                  <c:v>In Policy Document (incl. EU27 + UK as a group)</c:v>
                </c:pt>
                <c:pt idx="2">
                  <c:v>Proposed legislation</c:v>
                </c:pt>
                <c:pt idx="3">
                  <c:v>In Law</c:v>
                </c:pt>
                <c:pt idx="4">
                  <c:v>Net zero-target Under Discussion</c:v>
                </c:pt>
                <c:pt idx="5">
                  <c:v>Climate ambition alliance *</c:v>
                </c:pt>
                <c:pt idx="6">
                  <c:v>No target</c:v>
                </c:pt>
              </c:strCache>
            </c:strRef>
          </c:cat>
          <c:val>
            <c:numRef>
              <c:f>'[12]NZ targets'!$S$288:$S$294</c:f>
              <c:numCache>
                <c:formatCode>General</c:formatCode>
                <c:ptCount val="7"/>
                <c:pt idx="0">
                  <c:v>5.7882977338734646E-4</c:v>
                </c:pt>
                <c:pt idx="1">
                  <c:v>0.25679745581501212</c:v>
                </c:pt>
                <c:pt idx="2">
                  <c:v>0.54136687722562515</c:v>
                </c:pt>
                <c:pt idx="3">
                  <c:v>8.7280084256654414E-2</c:v>
                </c:pt>
                <c:pt idx="4">
                  <c:v>9.873285314828717E-2</c:v>
                </c:pt>
                <c:pt idx="5">
                  <c:v>0</c:v>
                </c:pt>
                <c:pt idx="6">
                  <c:v>1.218771723166337E-2</c:v>
                </c:pt>
              </c:numCache>
            </c:numRef>
          </c:val>
          <c:extLst>
            <c:ext xmlns:c16="http://schemas.microsoft.com/office/drawing/2014/chart" uri="{C3380CC4-5D6E-409C-BE32-E72D297353CC}">
              <c16:uniqueId val="{0000000E-5061-4859-BFF0-5BBD6707778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'[12]NZ targets'!$I$247</c:f>
              <c:strCache>
                <c:ptCount val="1"/>
                <c:pt idx="0">
                  <c:v>EU28 (net-zero)</c:v>
                </c:pt>
              </c:strCache>
            </c:strRef>
          </c:tx>
          <c:spPr>
            <a:solidFill>
              <a:schemeClr val="accent1"/>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targets'!$J$247:$P$247</c:f>
              <c:numCache>
                <c:formatCode>General</c:formatCode>
                <c:ptCount val="7"/>
                <c:pt idx="0">
                  <c:v>3.4898668492999998</c:v>
                </c:pt>
                <c:pt idx="1">
                  <c:v>3.4929891818531242</c:v>
                </c:pt>
                <c:pt idx="2">
                  <c:v>0</c:v>
                </c:pt>
                <c:pt idx="3">
                  <c:v>0</c:v>
                </c:pt>
                <c:pt idx="4">
                  <c:v>0.73787976456758608</c:v>
                </c:pt>
                <c:pt idx="5">
                  <c:v>0</c:v>
                </c:pt>
                <c:pt idx="6">
                  <c:v>0.3998131520737922</c:v>
                </c:pt>
              </c:numCache>
            </c:numRef>
          </c:val>
          <c:extLst>
            <c:ext xmlns:c16="http://schemas.microsoft.com/office/drawing/2014/chart" uri="{C3380CC4-5D6E-409C-BE32-E72D297353CC}">
              <c16:uniqueId val="{00000000-80D9-4C63-93F7-B9C2FAEB4DAB}"/>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targets'!$J$248:$P$248</c:f>
              <c:numCache>
                <c:formatCode>General</c:formatCode>
                <c:ptCount val="7"/>
                <c:pt idx="0">
                  <c:v>13.038949070000001</c:v>
                </c:pt>
                <c:pt idx="1">
                  <c:v>13.845495529695199</c:v>
                </c:pt>
                <c:pt idx="2">
                  <c:v>4.7626249274752119</c:v>
                </c:pt>
                <c:pt idx="3">
                  <c:v>4.7626249274752119</c:v>
                </c:pt>
                <c:pt idx="4">
                  <c:v>2.1157686358692485</c:v>
                </c:pt>
                <c:pt idx="5">
                  <c:v>4.7626249274752119</c:v>
                </c:pt>
                <c:pt idx="6">
                  <c:v>0.99531636903488041</c:v>
                </c:pt>
              </c:numCache>
            </c:numRef>
          </c:val>
          <c:extLst>
            <c:ext xmlns:c16="http://schemas.microsoft.com/office/drawing/2014/chart" uri="{C3380CC4-5D6E-409C-BE32-E72D297353CC}">
              <c16:uniqueId val="{00000001-80D9-4C63-93F7-B9C2FAEB4DAB}"/>
            </c:ext>
          </c:extLst>
        </c:ser>
        <c:ser>
          <c:idx val="2"/>
          <c:order val="2"/>
          <c:tx>
            <c:strRef>
              <c:f>'[12]NZ targets'!$I$249</c:f>
              <c:strCache>
                <c:ptCount val="1"/>
                <c:pt idx="0">
                  <c:v>Japan, SAF and others (net-zero)</c:v>
                </c:pt>
              </c:strCache>
            </c:strRef>
          </c:tx>
          <c:spPr>
            <a:solidFill>
              <a:schemeClr val="accent3"/>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targets'!$J$249:$P$249</c:f>
              <c:numCache>
                <c:formatCode>General</c:formatCode>
                <c:ptCount val="7"/>
                <c:pt idx="0">
                  <c:v>22.37003963337299</c:v>
                </c:pt>
                <c:pt idx="1">
                  <c:v>40.322402746500686</c:v>
                </c:pt>
                <c:pt idx="2">
                  <c:v>8.7228945232185549</c:v>
                </c:pt>
                <c:pt idx="3">
                  <c:v>8.7228945232185549</c:v>
                </c:pt>
                <c:pt idx="4">
                  <c:v>11.814828085529355</c:v>
                </c:pt>
                <c:pt idx="5">
                  <c:v>8.7228945232185549</c:v>
                </c:pt>
                <c:pt idx="6">
                  <c:v>4.056825949356436</c:v>
                </c:pt>
              </c:numCache>
            </c:numRef>
          </c:val>
          <c:extLst>
            <c:ext xmlns:c16="http://schemas.microsoft.com/office/drawing/2014/chart" uri="{C3380CC4-5D6E-409C-BE32-E72D297353CC}">
              <c16:uniqueId val="{00000002-80D9-4C63-93F7-B9C2FAEB4DAB}"/>
            </c:ext>
          </c:extLst>
        </c:ser>
        <c:ser>
          <c:idx val="3"/>
          <c:order val="3"/>
          <c:tx>
            <c:strRef>
              <c:f>'[12]NZ targets'!$I$250</c:f>
              <c:strCache>
                <c:ptCount val="1"/>
                <c:pt idx="0">
                  <c:v>Net zero-target Under Discussion</c:v>
                </c:pt>
              </c:strCache>
            </c:strRef>
          </c:tx>
          <c:spPr>
            <a:solidFill>
              <a:schemeClr val="accent4"/>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targets'!$J$250:$P$250</c:f>
              <c:numCache>
                <c:formatCode>General</c:formatCode>
                <c:ptCount val="7"/>
                <c:pt idx="0">
                  <c:v>4.9571126342867471</c:v>
                </c:pt>
                <c:pt idx="1">
                  <c:v>-8.1932633290519696</c:v>
                </c:pt>
                <c:pt idx="2">
                  <c:v>-4.7626249274752119</c:v>
                </c:pt>
                <c:pt idx="3">
                  <c:v>-4.7626249274752119</c:v>
                </c:pt>
                <c:pt idx="4">
                  <c:v>0.60569585527656233</c:v>
                </c:pt>
                <c:pt idx="5">
                  <c:v>-4.7626249274752119</c:v>
                </c:pt>
                <c:pt idx="6">
                  <c:v>5.6808593365529014E-2</c:v>
                </c:pt>
              </c:numCache>
            </c:numRef>
          </c:val>
          <c:extLst>
            <c:ext xmlns:c16="http://schemas.microsoft.com/office/drawing/2014/chart" uri="{C3380CC4-5D6E-409C-BE32-E72D297353CC}">
              <c16:uniqueId val="{00000003-80D9-4C63-93F7-B9C2FAEB4DAB}"/>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targets'!$J$251:$P$251</c:f>
              <c:numCache>
                <c:formatCode>General</c:formatCode>
                <c:ptCount val="7"/>
                <c:pt idx="0">
                  <c:v>5.5860032584999999</c:v>
                </c:pt>
                <c:pt idx="1">
                  <c:v>3.5353947036293598</c:v>
                </c:pt>
                <c:pt idx="2">
                  <c:v>0</c:v>
                </c:pt>
                <c:pt idx="3">
                  <c:v>0</c:v>
                </c:pt>
                <c:pt idx="4">
                  <c:v>1.2483378063451447</c:v>
                </c:pt>
                <c:pt idx="5">
                  <c:v>0</c:v>
                </c:pt>
                <c:pt idx="6">
                  <c:v>-0.18746200843184818</c:v>
                </c:pt>
              </c:numCache>
            </c:numRef>
          </c:val>
          <c:extLst>
            <c:ext xmlns:c16="http://schemas.microsoft.com/office/drawing/2014/chart" uri="{C3380CC4-5D6E-409C-BE32-E72D297353CC}">
              <c16:uniqueId val="{00000004-80D9-4C63-93F7-B9C2FAEB4DAB}"/>
            </c:ext>
          </c:extLst>
        </c:ser>
        <c:ser>
          <c:idx val="5"/>
          <c:order val="5"/>
          <c:tx>
            <c:strRef>
              <c:f>'[12]NZ targets'!$I$252</c:f>
              <c:strCache>
                <c:ptCount val="1"/>
                <c:pt idx="0">
                  <c:v>Other</c:v>
                </c:pt>
              </c:strCache>
            </c:strRef>
          </c:tx>
          <c:spPr>
            <a:solidFill>
              <a:schemeClr val="accent6"/>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targets'!$J$252:$P$252</c:f>
              <c:numCache>
                <c:formatCode>General</c:formatCode>
                <c:ptCount val="7"/>
                <c:pt idx="0">
                  <c:v>0.76535545961455398</c:v>
                </c:pt>
                <c:pt idx="1">
                  <c:v>-2.5645082909333041</c:v>
                </c:pt>
                <c:pt idx="2">
                  <c:v>0.97088641269608011</c:v>
                </c:pt>
                <c:pt idx="3">
                  <c:v>0.46398346749603192</c:v>
                </c:pt>
                <c:pt idx="4">
                  <c:v>-0.78435433884910744</c:v>
                </c:pt>
                <c:pt idx="5">
                  <c:v>7.9107645656250725E-2</c:v>
                </c:pt>
                <c:pt idx="6">
                  <c:v>0.26656965408810063</c:v>
                </c:pt>
              </c:numCache>
            </c:numRef>
          </c:val>
          <c:extLst>
            <c:ext xmlns:c16="http://schemas.microsoft.com/office/drawing/2014/chart" uri="{C3380CC4-5D6E-409C-BE32-E72D297353CC}">
              <c16:uniqueId val="{00000005-80D9-4C63-93F7-B9C2FAEB4DAB}"/>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r>
              <a:rPr lang="nl-NL"/>
              <a:t>net GHG emissions in 2050 (GtCO2eq)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'[12]NZ targets'!$I$247</c:f>
              <c:strCache>
                <c:ptCount val="1"/>
                <c:pt idx="0">
                  <c:v>EU28 (net-zero)</c:v>
                </c:pt>
              </c:strCache>
            </c:strRef>
          </c:tx>
          <c:spPr>
            <a:solidFill>
              <a:schemeClr val="accent4">
                <a:lumMod val="60000"/>
                <a:lumOff val="4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targets'!$J$247:$L$247</c:f>
              <c:numCache>
                <c:formatCode>General</c:formatCode>
                <c:ptCount val="3"/>
                <c:pt idx="0">
                  <c:v>3.4898668492999998</c:v>
                </c:pt>
                <c:pt idx="1">
                  <c:v>3.4929891818531242</c:v>
                </c:pt>
                <c:pt idx="2">
                  <c:v>0</c:v>
                </c:pt>
              </c:numCache>
            </c:numRef>
          </c:val>
          <c:extLst>
            <c:ext xmlns:c16="http://schemas.microsoft.com/office/drawing/2014/chart" uri="{C3380CC4-5D6E-409C-BE32-E72D297353CC}">
              <c16:uniqueId val="{00000000-2E8A-456F-9C5D-F72AFF6A326B}"/>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targets'!$J$248:$L$248</c:f>
              <c:numCache>
                <c:formatCode>General</c:formatCode>
                <c:ptCount val="3"/>
                <c:pt idx="0">
                  <c:v>13.038949070000001</c:v>
                </c:pt>
                <c:pt idx="1">
                  <c:v>13.845495529695199</c:v>
                </c:pt>
                <c:pt idx="2">
                  <c:v>4.7626249274752119</c:v>
                </c:pt>
              </c:numCache>
            </c:numRef>
          </c:val>
          <c:extLst>
            <c:ext xmlns:c16="http://schemas.microsoft.com/office/drawing/2014/chart" uri="{C3380CC4-5D6E-409C-BE32-E72D297353CC}">
              <c16:uniqueId val="{00000001-2E8A-456F-9C5D-F72AFF6A326B}"/>
            </c:ext>
          </c:extLst>
        </c:ser>
        <c:ser>
          <c:idx val="2"/>
          <c:order val="2"/>
          <c:tx>
            <c:strRef>
              <c:f>'[12]NZ targets'!$I$249</c:f>
              <c:strCache>
                <c:ptCount val="1"/>
                <c:pt idx="0">
                  <c:v>Japan, SAF and others (net-zero)</c:v>
                </c:pt>
              </c:strCache>
            </c:strRef>
          </c:tx>
          <c:spPr>
            <a:solidFill>
              <a:schemeClr val="accent2">
                <a:lumMod val="75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targets'!$J$249:$L$249</c:f>
              <c:numCache>
                <c:formatCode>General</c:formatCode>
                <c:ptCount val="3"/>
                <c:pt idx="0">
                  <c:v>22.37003963337299</c:v>
                </c:pt>
                <c:pt idx="1">
                  <c:v>40.322402746500686</c:v>
                </c:pt>
                <c:pt idx="2">
                  <c:v>8.7228945232185549</c:v>
                </c:pt>
              </c:numCache>
            </c:numRef>
          </c:val>
          <c:extLst>
            <c:ext xmlns:c16="http://schemas.microsoft.com/office/drawing/2014/chart" uri="{C3380CC4-5D6E-409C-BE32-E72D297353CC}">
              <c16:uniqueId val="{00000002-2E8A-456F-9C5D-F72AFF6A326B}"/>
            </c:ext>
          </c:extLst>
        </c:ser>
        <c:ser>
          <c:idx val="3"/>
          <c:order val="3"/>
          <c:tx>
            <c:strRef>
              <c:f>'[12]NZ targets'!$I$250</c:f>
              <c:strCache>
                <c:ptCount val="1"/>
                <c:pt idx="0">
                  <c:v>Net zero-target Under Discussion</c:v>
                </c:pt>
              </c:strCache>
            </c:strRef>
          </c:tx>
          <c:spPr>
            <a:solidFill>
              <a:schemeClr val="accent2">
                <a:lumMod val="40000"/>
                <a:lumOff val="6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targets'!$J$250:$L$250</c:f>
              <c:numCache>
                <c:formatCode>General</c:formatCode>
                <c:ptCount val="3"/>
                <c:pt idx="0">
                  <c:v>4.9571126342867471</c:v>
                </c:pt>
                <c:pt idx="1">
                  <c:v>-8.1932633290519696</c:v>
                </c:pt>
                <c:pt idx="2">
                  <c:v>-4.7626249274752119</c:v>
                </c:pt>
              </c:numCache>
            </c:numRef>
          </c:val>
          <c:extLst>
            <c:ext xmlns:c16="http://schemas.microsoft.com/office/drawing/2014/chart" uri="{C3380CC4-5D6E-409C-BE32-E72D297353CC}">
              <c16:uniqueId val="{00000003-2E8A-456F-9C5D-F72AFF6A326B}"/>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targets'!$J$251:$L$251</c:f>
              <c:numCache>
                <c:formatCode>General</c:formatCode>
                <c:ptCount val="3"/>
                <c:pt idx="0">
                  <c:v>5.5860032584999999</c:v>
                </c:pt>
                <c:pt idx="1">
                  <c:v>3.5353947036293598</c:v>
                </c:pt>
                <c:pt idx="2">
                  <c:v>0</c:v>
                </c:pt>
              </c:numCache>
            </c:numRef>
          </c:val>
          <c:extLst>
            <c:ext xmlns:c16="http://schemas.microsoft.com/office/drawing/2014/chart" uri="{C3380CC4-5D6E-409C-BE32-E72D297353CC}">
              <c16:uniqueId val="{00000004-2E8A-456F-9C5D-F72AFF6A326B}"/>
            </c:ext>
          </c:extLst>
        </c:ser>
        <c:ser>
          <c:idx val="5"/>
          <c:order val="5"/>
          <c:tx>
            <c:strRef>
              <c:f>'[12]NZ targets'!$I$252</c:f>
              <c:strCache>
                <c:ptCount val="1"/>
                <c:pt idx="0">
                  <c:v>Other</c:v>
                </c:pt>
              </c:strCache>
            </c:strRef>
          </c:tx>
          <c:spPr>
            <a:solidFill>
              <a:schemeClr val="accent1">
                <a:lumMod val="60000"/>
                <a:lumOff val="4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targets'!$J$252:$L$252</c:f>
              <c:numCache>
                <c:formatCode>General</c:formatCode>
                <c:ptCount val="3"/>
                <c:pt idx="0">
                  <c:v>0.76535545961455398</c:v>
                </c:pt>
                <c:pt idx="1">
                  <c:v>-2.5645082909333041</c:v>
                </c:pt>
                <c:pt idx="2">
                  <c:v>0.97088641269608011</c:v>
                </c:pt>
              </c:numCache>
            </c:numRef>
          </c:val>
          <c:extLst>
            <c:ext xmlns:c16="http://schemas.microsoft.com/office/drawing/2014/chart" uri="{C3380CC4-5D6E-409C-BE32-E72D297353CC}">
              <c16:uniqueId val="{00000005-2E8A-456F-9C5D-F72AFF6A326B}"/>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60644727971200696"/>
          <c:y val="0.15728840087649595"/>
          <c:w val="0.35751169229855961"/>
          <c:h val="0.25245413163934216"/>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userShapes r:id="rId3"/>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9777721592140429"/>
        </c:manualLayout>
      </c:layout>
      <c:barChart>
        <c:barDir val="col"/>
        <c:grouping val="stacked"/>
        <c:varyColors val="0"/>
        <c:ser>
          <c:idx val="0"/>
          <c:order val="0"/>
          <c:tx>
            <c:strRef>
              <c:f>'[12]NZ targets'!$I$247</c:f>
              <c:strCache>
                <c:ptCount val="1"/>
                <c:pt idx="0">
                  <c:v>EU28 (net-zero)</c:v>
                </c:pt>
              </c:strCache>
            </c:strRef>
          </c:tx>
          <c:spPr>
            <a:solidFill>
              <a:schemeClr val="accent4">
                <a:lumMod val="60000"/>
                <a:lumOff val="4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targets'!$J$247:$N$247</c:f>
              <c:numCache>
                <c:formatCode>General</c:formatCode>
                <c:ptCount val="5"/>
                <c:pt idx="0">
                  <c:v>3.4898668492999998</c:v>
                </c:pt>
                <c:pt idx="1">
                  <c:v>3.4929891818531242</c:v>
                </c:pt>
                <c:pt idx="2">
                  <c:v>0</c:v>
                </c:pt>
                <c:pt idx="3">
                  <c:v>0</c:v>
                </c:pt>
                <c:pt idx="4">
                  <c:v>0.73787976456758608</c:v>
                </c:pt>
              </c:numCache>
            </c:numRef>
          </c:val>
          <c:extLst>
            <c:ext xmlns:c16="http://schemas.microsoft.com/office/drawing/2014/chart" uri="{C3380CC4-5D6E-409C-BE32-E72D297353CC}">
              <c16:uniqueId val="{00000000-5CE7-47B5-BEF6-F60C07B93D4D}"/>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targets'!$J$248:$N$248</c:f>
              <c:numCache>
                <c:formatCode>General</c:formatCode>
                <c:ptCount val="5"/>
                <c:pt idx="0">
                  <c:v>13.038949070000001</c:v>
                </c:pt>
                <c:pt idx="1">
                  <c:v>13.845495529695199</c:v>
                </c:pt>
                <c:pt idx="2">
                  <c:v>4.7626249274752119</c:v>
                </c:pt>
                <c:pt idx="3">
                  <c:v>4.7626249274752119</c:v>
                </c:pt>
                <c:pt idx="4">
                  <c:v>2.1157686358692485</c:v>
                </c:pt>
              </c:numCache>
            </c:numRef>
          </c:val>
          <c:extLst>
            <c:ext xmlns:c16="http://schemas.microsoft.com/office/drawing/2014/chart" uri="{C3380CC4-5D6E-409C-BE32-E72D297353CC}">
              <c16:uniqueId val="{00000001-5CE7-47B5-BEF6-F60C07B93D4D}"/>
            </c:ext>
          </c:extLst>
        </c:ser>
        <c:ser>
          <c:idx val="2"/>
          <c:order val="2"/>
          <c:tx>
            <c:strRef>
              <c:f>'[12]NZ targets'!$I$249</c:f>
              <c:strCache>
                <c:ptCount val="1"/>
                <c:pt idx="0">
                  <c:v>Japan, SAF and others (net-zero)</c:v>
                </c:pt>
              </c:strCache>
            </c:strRef>
          </c:tx>
          <c:spPr>
            <a:solidFill>
              <a:schemeClr val="accent2">
                <a:lumMod val="75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targets'!$J$249:$N$249</c:f>
              <c:numCache>
                <c:formatCode>General</c:formatCode>
                <c:ptCount val="5"/>
                <c:pt idx="0">
                  <c:v>22.37003963337299</c:v>
                </c:pt>
                <c:pt idx="1">
                  <c:v>40.322402746500686</c:v>
                </c:pt>
                <c:pt idx="2">
                  <c:v>8.7228945232185549</c:v>
                </c:pt>
                <c:pt idx="3">
                  <c:v>8.7228945232185549</c:v>
                </c:pt>
                <c:pt idx="4">
                  <c:v>11.814828085529355</c:v>
                </c:pt>
              </c:numCache>
            </c:numRef>
          </c:val>
          <c:extLst>
            <c:ext xmlns:c16="http://schemas.microsoft.com/office/drawing/2014/chart" uri="{C3380CC4-5D6E-409C-BE32-E72D297353CC}">
              <c16:uniqueId val="{00000002-5CE7-47B5-BEF6-F60C07B93D4D}"/>
            </c:ext>
          </c:extLst>
        </c:ser>
        <c:ser>
          <c:idx val="3"/>
          <c:order val="3"/>
          <c:tx>
            <c:strRef>
              <c:f>'[12]NZ targets'!$I$250</c:f>
              <c:strCache>
                <c:ptCount val="1"/>
                <c:pt idx="0">
                  <c:v>Net zero-target Under Discussion</c:v>
                </c:pt>
              </c:strCache>
            </c:strRef>
          </c:tx>
          <c:spPr>
            <a:solidFill>
              <a:schemeClr val="accent2">
                <a:lumMod val="40000"/>
                <a:lumOff val="6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targets'!$J$250:$N$250</c:f>
              <c:numCache>
                <c:formatCode>General</c:formatCode>
                <c:ptCount val="5"/>
                <c:pt idx="0">
                  <c:v>4.9571126342867471</c:v>
                </c:pt>
                <c:pt idx="1">
                  <c:v>-8.1932633290519696</c:v>
                </c:pt>
                <c:pt idx="2">
                  <c:v>-4.7626249274752119</c:v>
                </c:pt>
                <c:pt idx="3">
                  <c:v>-4.7626249274752119</c:v>
                </c:pt>
                <c:pt idx="4">
                  <c:v>0.60569585527656233</c:v>
                </c:pt>
              </c:numCache>
            </c:numRef>
          </c:val>
          <c:extLst>
            <c:ext xmlns:c16="http://schemas.microsoft.com/office/drawing/2014/chart" uri="{C3380CC4-5D6E-409C-BE32-E72D297353CC}">
              <c16:uniqueId val="{00000003-5CE7-47B5-BEF6-F60C07B93D4D}"/>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targets'!$J$251:$N$251</c:f>
              <c:numCache>
                <c:formatCode>General</c:formatCode>
                <c:ptCount val="5"/>
                <c:pt idx="0">
                  <c:v>5.5860032584999999</c:v>
                </c:pt>
                <c:pt idx="1">
                  <c:v>3.5353947036293598</c:v>
                </c:pt>
                <c:pt idx="2">
                  <c:v>0</c:v>
                </c:pt>
                <c:pt idx="3">
                  <c:v>0</c:v>
                </c:pt>
                <c:pt idx="4">
                  <c:v>1.2483378063451447</c:v>
                </c:pt>
              </c:numCache>
            </c:numRef>
          </c:val>
          <c:extLst>
            <c:ext xmlns:c16="http://schemas.microsoft.com/office/drawing/2014/chart" uri="{C3380CC4-5D6E-409C-BE32-E72D297353CC}">
              <c16:uniqueId val="{00000004-5CE7-47B5-BEF6-F60C07B93D4D}"/>
            </c:ext>
          </c:extLst>
        </c:ser>
        <c:ser>
          <c:idx val="5"/>
          <c:order val="5"/>
          <c:tx>
            <c:strRef>
              <c:f>'[12]NZ targets'!$I$252</c:f>
              <c:strCache>
                <c:ptCount val="1"/>
                <c:pt idx="0">
                  <c:v>Other</c:v>
                </c:pt>
              </c:strCache>
            </c:strRef>
          </c:tx>
          <c:spPr>
            <a:solidFill>
              <a:schemeClr val="accent1">
                <a:lumMod val="60000"/>
                <a:lumOff val="4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targets'!$J$252:$N$252</c:f>
              <c:numCache>
                <c:formatCode>General</c:formatCode>
                <c:ptCount val="5"/>
                <c:pt idx="0">
                  <c:v>0.76535545961455398</c:v>
                </c:pt>
                <c:pt idx="1">
                  <c:v>-2.5645082909333041</c:v>
                </c:pt>
                <c:pt idx="2">
                  <c:v>0.97088641269608011</c:v>
                </c:pt>
                <c:pt idx="3">
                  <c:v>0.46398346749603192</c:v>
                </c:pt>
                <c:pt idx="4">
                  <c:v>-0.78435433884910744</c:v>
                </c:pt>
              </c:numCache>
            </c:numRef>
          </c:val>
          <c:extLst>
            <c:ext xmlns:c16="http://schemas.microsoft.com/office/drawing/2014/chart" uri="{C3380CC4-5D6E-409C-BE32-E72D297353CC}">
              <c16:uniqueId val="{00000005-5CE7-47B5-BEF6-F60C07B93D4D}"/>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3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'[12]NZ targets'!$Q$287</c:f>
              <c:strCache>
                <c:ptCount val="1"/>
                <c:pt idx="0">
                  <c:v>Number of countries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67-4294-A394-6347B0BE8E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67-4294-A394-6347B0BE8E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67-4294-A394-6347B0BE8E1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167-4294-A394-6347B0BE8E1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167-4294-A394-6347B0BE8E1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167-4294-A394-6347B0BE8E1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167-4294-A394-6347B0BE8E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'[12]NZ targets'!$P$288:$P$294</c:f>
              <c:strCache>
                <c:ptCount val="7"/>
                <c:pt idx="0">
                  <c:v>Achieved</c:v>
                </c:pt>
                <c:pt idx="1">
                  <c:v>In Policy Document (incl. EU27 + UK as a group)</c:v>
                </c:pt>
                <c:pt idx="2">
                  <c:v>Proposed legislation</c:v>
                </c:pt>
                <c:pt idx="3">
                  <c:v>In Law</c:v>
                </c:pt>
                <c:pt idx="4">
                  <c:v>Net zero-target Under Discussion</c:v>
                </c:pt>
                <c:pt idx="5">
                  <c:v>Climate ambition alliance *</c:v>
                </c:pt>
                <c:pt idx="6">
                  <c:v>No target</c:v>
                </c:pt>
              </c:strCache>
            </c:strRef>
          </c:cat>
          <c:val>
            <c:numRef>
              <c:f>'[12]NZ targets'!$Q$288:$Q$294</c:f>
              <c:numCache>
                <c:formatCode>General</c:formatCode>
                <c:ptCount val="7"/>
                <c:pt idx="0">
                  <c:v>6</c:v>
                </c:pt>
                <c:pt idx="1">
                  <c:v>29</c:v>
                </c:pt>
                <c:pt idx="2">
                  <c:v>84</c:v>
                </c:pt>
                <c:pt idx="3">
                  <c:v>13</c:v>
                </c:pt>
                <c:pt idx="4">
                  <c:v>57</c:v>
                </c:pt>
                <c:pt idx="5">
                  <c:v>0</c:v>
                </c:pt>
                <c:pt idx="6">
                  <c:v>36</c:v>
                </c:pt>
              </c:numCache>
            </c:numRef>
          </c:val>
          <c:extLst>
            <c:ext xmlns:c16="http://schemas.microsoft.com/office/drawing/2014/chart" uri="{C3380CC4-5D6E-409C-BE32-E72D297353CC}">
              <c16:uniqueId val="{0000000E-E167-4294-A394-6347B0BE8E1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 of GHG emissions</a:t>
            </a:r>
          </a:p>
        </c:rich>
      </c:tx>
      <c:layout>
        <c:manualLayout>
          <c:xMode val="edge"/>
          <c:yMode val="edge"/>
          <c:x val="0.13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'[12]NZ targets'!$S$287</c:f>
              <c:strCache>
                <c:ptCount val="1"/>
                <c:pt idx="0">
                  <c:v>Emissions share in 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C5-472F-89AF-2D442DD942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C5-472F-89AF-2D442DD942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C5-472F-89AF-2D442DD942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4C5-472F-89AF-2D442DD942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4C5-472F-89AF-2D442DD942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4C5-472F-89AF-2D442DD9426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4C5-472F-89AF-2D442DD9426D}"/>
              </c:ext>
            </c:extLst>
          </c:dPt>
          <c:dLbls>
            <c:dLbl>
              <c:idx val="6"/>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D-F4C5-472F-89AF-2D442DD942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'[12]NZ targets'!$P$288:$P$294</c:f>
              <c:strCache>
                <c:ptCount val="7"/>
                <c:pt idx="0">
                  <c:v>Achieved</c:v>
                </c:pt>
                <c:pt idx="1">
                  <c:v>In Policy Document (incl. EU27 + UK as a group)</c:v>
                </c:pt>
                <c:pt idx="2">
                  <c:v>Proposed legislation</c:v>
                </c:pt>
                <c:pt idx="3">
                  <c:v>In Law</c:v>
                </c:pt>
                <c:pt idx="4">
                  <c:v>Net zero-target Under Discussion</c:v>
                </c:pt>
                <c:pt idx="5">
                  <c:v>Climate ambition alliance *</c:v>
                </c:pt>
                <c:pt idx="6">
                  <c:v>No target</c:v>
                </c:pt>
              </c:strCache>
            </c:strRef>
          </c:cat>
          <c:val>
            <c:numRef>
              <c:f>'[12]NZ targets'!$S$288:$S$294</c:f>
              <c:numCache>
                <c:formatCode>General</c:formatCode>
                <c:ptCount val="7"/>
                <c:pt idx="0">
                  <c:v>5.7882977338734646E-4</c:v>
                </c:pt>
                <c:pt idx="1">
                  <c:v>0.25679745581501212</c:v>
                </c:pt>
                <c:pt idx="2">
                  <c:v>0.54136687722562515</c:v>
                </c:pt>
                <c:pt idx="3">
                  <c:v>8.7280084256654414E-2</c:v>
                </c:pt>
                <c:pt idx="4">
                  <c:v>9.873285314828717E-2</c:v>
                </c:pt>
                <c:pt idx="5">
                  <c:v>0</c:v>
                </c:pt>
                <c:pt idx="6">
                  <c:v>1.218771723166337E-2</c:v>
                </c:pt>
              </c:numCache>
            </c:numRef>
          </c:val>
          <c:extLst>
            <c:ext xmlns:c16="http://schemas.microsoft.com/office/drawing/2014/chart" uri="{C3380CC4-5D6E-409C-BE32-E72D297353CC}">
              <c16:uniqueId val="{0000000E-F4C5-472F-89AF-2D442DD942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'[12]NZ targets'!$I$247</c:f>
              <c:strCache>
                <c:ptCount val="1"/>
                <c:pt idx="0">
                  <c:v>EU28 (net-zero)</c:v>
                </c:pt>
              </c:strCache>
            </c:strRef>
          </c:tx>
          <c:spPr>
            <a:solidFill>
              <a:schemeClr val="accent1"/>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targets'!$J$247:$P$247</c:f>
              <c:numCache>
                <c:formatCode>General</c:formatCode>
                <c:ptCount val="7"/>
                <c:pt idx="0">
                  <c:v>3.4898668492999998</c:v>
                </c:pt>
                <c:pt idx="1">
                  <c:v>3.4929891818531242</c:v>
                </c:pt>
                <c:pt idx="2">
                  <c:v>0</c:v>
                </c:pt>
                <c:pt idx="3">
                  <c:v>0</c:v>
                </c:pt>
                <c:pt idx="4">
                  <c:v>0.73787976456758608</c:v>
                </c:pt>
                <c:pt idx="5">
                  <c:v>0</c:v>
                </c:pt>
                <c:pt idx="6">
                  <c:v>0.3998131520737922</c:v>
                </c:pt>
              </c:numCache>
            </c:numRef>
          </c:val>
          <c:extLst>
            <c:ext xmlns:c16="http://schemas.microsoft.com/office/drawing/2014/chart" uri="{C3380CC4-5D6E-409C-BE32-E72D297353CC}">
              <c16:uniqueId val="{00000000-522A-446E-9501-286A8F54341C}"/>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targets'!$J$248:$P$248</c:f>
              <c:numCache>
                <c:formatCode>General</c:formatCode>
                <c:ptCount val="7"/>
                <c:pt idx="0">
                  <c:v>13.038949070000001</c:v>
                </c:pt>
                <c:pt idx="1">
                  <c:v>13.845495529695199</c:v>
                </c:pt>
                <c:pt idx="2">
                  <c:v>4.7626249274752119</c:v>
                </c:pt>
                <c:pt idx="3">
                  <c:v>4.7626249274752119</c:v>
                </c:pt>
                <c:pt idx="4">
                  <c:v>2.1157686358692485</c:v>
                </c:pt>
                <c:pt idx="5">
                  <c:v>4.7626249274752119</c:v>
                </c:pt>
                <c:pt idx="6">
                  <c:v>0.99531636903488041</c:v>
                </c:pt>
              </c:numCache>
            </c:numRef>
          </c:val>
          <c:extLst>
            <c:ext xmlns:c16="http://schemas.microsoft.com/office/drawing/2014/chart" uri="{C3380CC4-5D6E-409C-BE32-E72D297353CC}">
              <c16:uniqueId val="{00000001-522A-446E-9501-286A8F54341C}"/>
            </c:ext>
          </c:extLst>
        </c:ser>
        <c:ser>
          <c:idx val="2"/>
          <c:order val="2"/>
          <c:tx>
            <c:strRef>
              <c:f>'[12]NZ targets'!$I$249</c:f>
              <c:strCache>
                <c:ptCount val="1"/>
                <c:pt idx="0">
                  <c:v>Japan, SAF and others (net-zero)</c:v>
                </c:pt>
              </c:strCache>
            </c:strRef>
          </c:tx>
          <c:spPr>
            <a:solidFill>
              <a:schemeClr val="accent3"/>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targets'!$J$249:$P$249</c:f>
              <c:numCache>
                <c:formatCode>General</c:formatCode>
                <c:ptCount val="7"/>
                <c:pt idx="0">
                  <c:v>22.37003963337299</c:v>
                </c:pt>
                <c:pt idx="1">
                  <c:v>40.322402746500686</c:v>
                </c:pt>
                <c:pt idx="2">
                  <c:v>8.7228945232185549</c:v>
                </c:pt>
                <c:pt idx="3">
                  <c:v>8.7228945232185549</c:v>
                </c:pt>
                <c:pt idx="4">
                  <c:v>11.814828085529355</c:v>
                </c:pt>
                <c:pt idx="5">
                  <c:v>8.7228945232185549</c:v>
                </c:pt>
                <c:pt idx="6">
                  <c:v>4.056825949356436</c:v>
                </c:pt>
              </c:numCache>
            </c:numRef>
          </c:val>
          <c:extLst>
            <c:ext xmlns:c16="http://schemas.microsoft.com/office/drawing/2014/chart" uri="{C3380CC4-5D6E-409C-BE32-E72D297353CC}">
              <c16:uniqueId val="{00000002-522A-446E-9501-286A8F54341C}"/>
            </c:ext>
          </c:extLst>
        </c:ser>
        <c:ser>
          <c:idx val="3"/>
          <c:order val="3"/>
          <c:tx>
            <c:strRef>
              <c:f>'[12]NZ targets'!$I$250</c:f>
              <c:strCache>
                <c:ptCount val="1"/>
                <c:pt idx="0">
                  <c:v>Net zero-target Under Discussion</c:v>
                </c:pt>
              </c:strCache>
            </c:strRef>
          </c:tx>
          <c:spPr>
            <a:solidFill>
              <a:schemeClr val="accent4"/>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targets'!$J$250:$P$250</c:f>
              <c:numCache>
                <c:formatCode>General</c:formatCode>
                <c:ptCount val="7"/>
                <c:pt idx="0">
                  <c:v>4.9571126342867471</c:v>
                </c:pt>
                <c:pt idx="1">
                  <c:v>-8.1932633290519696</c:v>
                </c:pt>
                <c:pt idx="2">
                  <c:v>-4.7626249274752119</c:v>
                </c:pt>
                <c:pt idx="3">
                  <c:v>-4.7626249274752119</c:v>
                </c:pt>
                <c:pt idx="4">
                  <c:v>0.60569585527656233</c:v>
                </c:pt>
                <c:pt idx="5">
                  <c:v>-4.7626249274752119</c:v>
                </c:pt>
                <c:pt idx="6">
                  <c:v>5.6808593365529014E-2</c:v>
                </c:pt>
              </c:numCache>
            </c:numRef>
          </c:val>
          <c:extLst>
            <c:ext xmlns:c16="http://schemas.microsoft.com/office/drawing/2014/chart" uri="{C3380CC4-5D6E-409C-BE32-E72D297353CC}">
              <c16:uniqueId val="{00000003-522A-446E-9501-286A8F54341C}"/>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targets'!$J$251:$P$251</c:f>
              <c:numCache>
                <c:formatCode>General</c:formatCode>
                <c:ptCount val="7"/>
                <c:pt idx="0">
                  <c:v>5.5860032584999999</c:v>
                </c:pt>
                <c:pt idx="1">
                  <c:v>3.5353947036293598</c:v>
                </c:pt>
                <c:pt idx="2">
                  <c:v>0</c:v>
                </c:pt>
                <c:pt idx="3">
                  <c:v>0</c:v>
                </c:pt>
                <c:pt idx="4">
                  <c:v>1.2483378063451447</c:v>
                </c:pt>
                <c:pt idx="5">
                  <c:v>0</c:v>
                </c:pt>
                <c:pt idx="6">
                  <c:v>-0.18746200843184818</c:v>
                </c:pt>
              </c:numCache>
            </c:numRef>
          </c:val>
          <c:extLst>
            <c:ext xmlns:c16="http://schemas.microsoft.com/office/drawing/2014/chart" uri="{C3380CC4-5D6E-409C-BE32-E72D297353CC}">
              <c16:uniqueId val="{00000004-522A-446E-9501-286A8F54341C}"/>
            </c:ext>
          </c:extLst>
        </c:ser>
        <c:ser>
          <c:idx val="5"/>
          <c:order val="5"/>
          <c:tx>
            <c:strRef>
              <c:f>'[12]NZ targets'!$I$252</c:f>
              <c:strCache>
                <c:ptCount val="1"/>
                <c:pt idx="0">
                  <c:v>Other</c:v>
                </c:pt>
              </c:strCache>
            </c:strRef>
          </c:tx>
          <c:spPr>
            <a:solidFill>
              <a:schemeClr val="accent6"/>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targets'!$J$252:$P$252</c:f>
              <c:numCache>
                <c:formatCode>General</c:formatCode>
                <c:ptCount val="7"/>
                <c:pt idx="0">
                  <c:v>0.76535545961455398</c:v>
                </c:pt>
                <c:pt idx="1">
                  <c:v>-2.5645082909333041</c:v>
                </c:pt>
                <c:pt idx="2">
                  <c:v>0.97088641269608011</c:v>
                </c:pt>
                <c:pt idx="3">
                  <c:v>0.46398346749603192</c:v>
                </c:pt>
                <c:pt idx="4">
                  <c:v>-0.78435433884910744</c:v>
                </c:pt>
                <c:pt idx="5">
                  <c:v>7.9107645656250725E-2</c:v>
                </c:pt>
                <c:pt idx="6">
                  <c:v>0.26656965408810063</c:v>
                </c:pt>
              </c:numCache>
            </c:numRef>
          </c:val>
          <c:extLst>
            <c:ext xmlns:c16="http://schemas.microsoft.com/office/drawing/2014/chart" uri="{C3380CC4-5D6E-409C-BE32-E72D297353CC}">
              <c16:uniqueId val="{00000005-522A-446E-9501-286A8F54341C}"/>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r>
              <a:rPr lang="nl-NL"/>
              <a:t>net GHG emissions in 2050 (GtCO2eq)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'[12]NZ targets'!$I$247</c:f>
              <c:strCache>
                <c:ptCount val="1"/>
                <c:pt idx="0">
                  <c:v>EU28 (net-zero)</c:v>
                </c:pt>
              </c:strCache>
            </c:strRef>
          </c:tx>
          <c:spPr>
            <a:solidFill>
              <a:schemeClr val="accent4">
                <a:lumMod val="60000"/>
                <a:lumOff val="4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targets'!$J$247:$L$247</c:f>
              <c:numCache>
                <c:formatCode>General</c:formatCode>
                <c:ptCount val="3"/>
                <c:pt idx="0">
                  <c:v>3.4898668492999998</c:v>
                </c:pt>
                <c:pt idx="1">
                  <c:v>3.4929891818531242</c:v>
                </c:pt>
                <c:pt idx="2">
                  <c:v>0</c:v>
                </c:pt>
              </c:numCache>
            </c:numRef>
          </c:val>
          <c:extLst>
            <c:ext xmlns:c16="http://schemas.microsoft.com/office/drawing/2014/chart" uri="{C3380CC4-5D6E-409C-BE32-E72D297353CC}">
              <c16:uniqueId val="{00000000-0EDF-452E-9805-242BFB44F76E}"/>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targets'!$J$248:$L$248</c:f>
              <c:numCache>
                <c:formatCode>General</c:formatCode>
                <c:ptCount val="3"/>
                <c:pt idx="0">
                  <c:v>13.038949070000001</c:v>
                </c:pt>
                <c:pt idx="1">
                  <c:v>13.845495529695199</c:v>
                </c:pt>
                <c:pt idx="2">
                  <c:v>4.7626249274752119</c:v>
                </c:pt>
              </c:numCache>
            </c:numRef>
          </c:val>
          <c:extLst>
            <c:ext xmlns:c16="http://schemas.microsoft.com/office/drawing/2014/chart" uri="{C3380CC4-5D6E-409C-BE32-E72D297353CC}">
              <c16:uniqueId val="{00000001-0EDF-452E-9805-242BFB44F76E}"/>
            </c:ext>
          </c:extLst>
        </c:ser>
        <c:ser>
          <c:idx val="2"/>
          <c:order val="2"/>
          <c:tx>
            <c:strRef>
              <c:f>'[12]NZ targets'!$I$249</c:f>
              <c:strCache>
                <c:ptCount val="1"/>
                <c:pt idx="0">
                  <c:v>Japan, SAF and others (net-zero)</c:v>
                </c:pt>
              </c:strCache>
            </c:strRef>
          </c:tx>
          <c:spPr>
            <a:solidFill>
              <a:schemeClr val="accent2">
                <a:lumMod val="75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targets'!$J$249:$L$249</c:f>
              <c:numCache>
                <c:formatCode>General</c:formatCode>
                <c:ptCount val="3"/>
                <c:pt idx="0">
                  <c:v>22.37003963337299</c:v>
                </c:pt>
                <c:pt idx="1">
                  <c:v>40.322402746500686</c:v>
                </c:pt>
                <c:pt idx="2">
                  <c:v>8.7228945232185549</c:v>
                </c:pt>
              </c:numCache>
            </c:numRef>
          </c:val>
          <c:extLst>
            <c:ext xmlns:c16="http://schemas.microsoft.com/office/drawing/2014/chart" uri="{C3380CC4-5D6E-409C-BE32-E72D297353CC}">
              <c16:uniqueId val="{00000002-0EDF-452E-9805-242BFB44F76E}"/>
            </c:ext>
          </c:extLst>
        </c:ser>
        <c:ser>
          <c:idx val="3"/>
          <c:order val="3"/>
          <c:tx>
            <c:strRef>
              <c:f>'[12]NZ targets'!$I$250</c:f>
              <c:strCache>
                <c:ptCount val="1"/>
                <c:pt idx="0">
                  <c:v>Net zero-target Under Discussion</c:v>
                </c:pt>
              </c:strCache>
            </c:strRef>
          </c:tx>
          <c:spPr>
            <a:solidFill>
              <a:schemeClr val="accent2">
                <a:lumMod val="40000"/>
                <a:lumOff val="6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targets'!$J$250:$L$250</c:f>
              <c:numCache>
                <c:formatCode>General</c:formatCode>
                <c:ptCount val="3"/>
                <c:pt idx="0">
                  <c:v>4.9571126342867471</c:v>
                </c:pt>
                <c:pt idx="1">
                  <c:v>-8.1932633290519696</c:v>
                </c:pt>
                <c:pt idx="2">
                  <c:v>-4.7626249274752119</c:v>
                </c:pt>
              </c:numCache>
            </c:numRef>
          </c:val>
          <c:extLst>
            <c:ext xmlns:c16="http://schemas.microsoft.com/office/drawing/2014/chart" uri="{C3380CC4-5D6E-409C-BE32-E72D297353CC}">
              <c16:uniqueId val="{00000003-0EDF-452E-9805-242BFB44F76E}"/>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targets'!$J$251:$L$251</c:f>
              <c:numCache>
                <c:formatCode>General</c:formatCode>
                <c:ptCount val="3"/>
                <c:pt idx="0">
                  <c:v>5.5860032584999999</c:v>
                </c:pt>
                <c:pt idx="1">
                  <c:v>3.5353947036293598</c:v>
                </c:pt>
                <c:pt idx="2">
                  <c:v>0</c:v>
                </c:pt>
              </c:numCache>
            </c:numRef>
          </c:val>
          <c:extLst>
            <c:ext xmlns:c16="http://schemas.microsoft.com/office/drawing/2014/chart" uri="{C3380CC4-5D6E-409C-BE32-E72D297353CC}">
              <c16:uniqueId val="{00000004-0EDF-452E-9805-242BFB44F76E}"/>
            </c:ext>
          </c:extLst>
        </c:ser>
        <c:ser>
          <c:idx val="5"/>
          <c:order val="5"/>
          <c:tx>
            <c:strRef>
              <c:f>'[12]NZ targets'!$I$252</c:f>
              <c:strCache>
                <c:ptCount val="1"/>
                <c:pt idx="0">
                  <c:v>Other</c:v>
                </c:pt>
              </c:strCache>
            </c:strRef>
          </c:tx>
          <c:spPr>
            <a:solidFill>
              <a:schemeClr val="accent1">
                <a:lumMod val="60000"/>
                <a:lumOff val="4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targets'!$J$252:$L$252</c:f>
              <c:numCache>
                <c:formatCode>General</c:formatCode>
                <c:ptCount val="3"/>
                <c:pt idx="0">
                  <c:v>0.76535545961455398</c:v>
                </c:pt>
                <c:pt idx="1">
                  <c:v>-2.5645082909333041</c:v>
                </c:pt>
                <c:pt idx="2">
                  <c:v>0.97088641269608011</c:v>
                </c:pt>
              </c:numCache>
            </c:numRef>
          </c:val>
          <c:extLst>
            <c:ext xmlns:c16="http://schemas.microsoft.com/office/drawing/2014/chart" uri="{C3380CC4-5D6E-409C-BE32-E72D297353CC}">
              <c16:uniqueId val="{00000005-0EDF-452E-9805-242BFB44F76E}"/>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60644727971200696"/>
          <c:y val="0.15728840087649595"/>
          <c:w val="0.35751169229855961"/>
          <c:h val="0.25245413163934216"/>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9777721592140429"/>
        </c:manualLayout>
      </c:layout>
      <c:barChart>
        <c:barDir val="col"/>
        <c:grouping val="stacked"/>
        <c:varyColors val="0"/>
        <c:ser>
          <c:idx val="0"/>
          <c:order val="0"/>
          <c:tx>
            <c:strRef>
              <c:f>'[12]NZ targets'!$I$247</c:f>
              <c:strCache>
                <c:ptCount val="1"/>
                <c:pt idx="0">
                  <c:v>EU28 (net-zero)</c:v>
                </c:pt>
              </c:strCache>
            </c:strRef>
          </c:tx>
          <c:spPr>
            <a:solidFill>
              <a:schemeClr val="accent4">
                <a:lumMod val="60000"/>
                <a:lumOff val="4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targets'!$J$247:$N$247</c:f>
              <c:numCache>
                <c:formatCode>General</c:formatCode>
                <c:ptCount val="5"/>
                <c:pt idx="0">
                  <c:v>3.4898668492999998</c:v>
                </c:pt>
                <c:pt idx="1">
                  <c:v>3.4929891818531242</c:v>
                </c:pt>
                <c:pt idx="2">
                  <c:v>0</c:v>
                </c:pt>
                <c:pt idx="3">
                  <c:v>0</c:v>
                </c:pt>
                <c:pt idx="4">
                  <c:v>0.73787976456758608</c:v>
                </c:pt>
              </c:numCache>
            </c:numRef>
          </c:val>
          <c:extLst>
            <c:ext xmlns:c16="http://schemas.microsoft.com/office/drawing/2014/chart" uri="{C3380CC4-5D6E-409C-BE32-E72D297353CC}">
              <c16:uniqueId val="{00000000-67FB-4E80-A230-A27785387991}"/>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targets'!$J$248:$N$248</c:f>
              <c:numCache>
                <c:formatCode>General</c:formatCode>
                <c:ptCount val="5"/>
                <c:pt idx="0">
                  <c:v>13.038949070000001</c:v>
                </c:pt>
                <c:pt idx="1">
                  <c:v>13.845495529695199</c:v>
                </c:pt>
                <c:pt idx="2">
                  <c:v>4.7626249274752119</c:v>
                </c:pt>
                <c:pt idx="3">
                  <c:v>4.7626249274752119</c:v>
                </c:pt>
                <c:pt idx="4">
                  <c:v>2.1157686358692485</c:v>
                </c:pt>
              </c:numCache>
            </c:numRef>
          </c:val>
          <c:extLst>
            <c:ext xmlns:c16="http://schemas.microsoft.com/office/drawing/2014/chart" uri="{C3380CC4-5D6E-409C-BE32-E72D297353CC}">
              <c16:uniqueId val="{00000001-67FB-4E80-A230-A27785387991}"/>
            </c:ext>
          </c:extLst>
        </c:ser>
        <c:ser>
          <c:idx val="2"/>
          <c:order val="2"/>
          <c:tx>
            <c:strRef>
              <c:f>'[12]NZ targets'!$I$249</c:f>
              <c:strCache>
                <c:ptCount val="1"/>
                <c:pt idx="0">
                  <c:v>Japan, SAF and others (net-zero)</c:v>
                </c:pt>
              </c:strCache>
            </c:strRef>
          </c:tx>
          <c:spPr>
            <a:solidFill>
              <a:schemeClr val="accent2">
                <a:lumMod val="75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targets'!$J$249:$N$249</c:f>
              <c:numCache>
                <c:formatCode>General</c:formatCode>
                <c:ptCount val="5"/>
                <c:pt idx="0">
                  <c:v>22.37003963337299</c:v>
                </c:pt>
                <c:pt idx="1">
                  <c:v>40.322402746500686</c:v>
                </c:pt>
                <c:pt idx="2">
                  <c:v>8.7228945232185549</c:v>
                </c:pt>
                <c:pt idx="3">
                  <c:v>8.7228945232185549</c:v>
                </c:pt>
                <c:pt idx="4">
                  <c:v>11.814828085529355</c:v>
                </c:pt>
              </c:numCache>
            </c:numRef>
          </c:val>
          <c:extLst>
            <c:ext xmlns:c16="http://schemas.microsoft.com/office/drawing/2014/chart" uri="{C3380CC4-5D6E-409C-BE32-E72D297353CC}">
              <c16:uniqueId val="{00000002-67FB-4E80-A230-A27785387991}"/>
            </c:ext>
          </c:extLst>
        </c:ser>
        <c:ser>
          <c:idx val="3"/>
          <c:order val="3"/>
          <c:tx>
            <c:strRef>
              <c:f>'[12]NZ targets'!$I$250</c:f>
              <c:strCache>
                <c:ptCount val="1"/>
                <c:pt idx="0">
                  <c:v>Net zero-target Under Discussion</c:v>
                </c:pt>
              </c:strCache>
            </c:strRef>
          </c:tx>
          <c:spPr>
            <a:solidFill>
              <a:schemeClr val="accent2">
                <a:lumMod val="40000"/>
                <a:lumOff val="6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targets'!$J$250:$N$250</c:f>
              <c:numCache>
                <c:formatCode>General</c:formatCode>
                <c:ptCount val="5"/>
                <c:pt idx="0">
                  <c:v>4.9571126342867471</c:v>
                </c:pt>
                <c:pt idx="1">
                  <c:v>-8.1932633290519696</c:v>
                </c:pt>
                <c:pt idx="2">
                  <c:v>-4.7626249274752119</c:v>
                </c:pt>
                <c:pt idx="3">
                  <c:v>-4.7626249274752119</c:v>
                </c:pt>
                <c:pt idx="4">
                  <c:v>0.60569585527656233</c:v>
                </c:pt>
              </c:numCache>
            </c:numRef>
          </c:val>
          <c:extLst>
            <c:ext xmlns:c16="http://schemas.microsoft.com/office/drawing/2014/chart" uri="{C3380CC4-5D6E-409C-BE32-E72D297353CC}">
              <c16:uniqueId val="{00000003-67FB-4E80-A230-A27785387991}"/>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targets'!$J$251:$N$251</c:f>
              <c:numCache>
                <c:formatCode>General</c:formatCode>
                <c:ptCount val="5"/>
                <c:pt idx="0">
                  <c:v>5.5860032584999999</c:v>
                </c:pt>
                <c:pt idx="1">
                  <c:v>3.5353947036293598</c:v>
                </c:pt>
                <c:pt idx="2">
                  <c:v>0</c:v>
                </c:pt>
                <c:pt idx="3">
                  <c:v>0</c:v>
                </c:pt>
                <c:pt idx="4">
                  <c:v>1.2483378063451447</c:v>
                </c:pt>
              </c:numCache>
            </c:numRef>
          </c:val>
          <c:extLst>
            <c:ext xmlns:c16="http://schemas.microsoft.com/office/drawing/2014/chart" uri="{C3380CC4-5D6E-409C-BE32-E72D297353CC}">
              <c16:uniqueId val="{00000004-67FB-4E80-A230-A27785387991}"/>
            </c:ext>
          </c:extLst>
        </c:ser>
        <c:ser>
          <c:idx val="5"/>
          <c:order val="5"/>
          <c:tx>
            <c:strRef>
              <c:f>'[12]NZ targets'!$I$252</c:f>
              <c:strCache>
                <c:ptCount val="1"/>
                <c:pt idx="0">
                  <c:v>Other</c:v>
                </c:pt>
              </c:strCache>
            </c:strRef>
          </c:tx>
          <c:spPr>
            <a:solidFill>
              <a:schemeClr val="accent1">
                <a:lumMod val="60000"/>
                <a:lumOff val="40000"/>
              </a:schemeClr>
            </a:solidFill>
            <a:ln>
              <a:noFill/>
            </a:ln>
            <a:effectLst/>
          </c:spPr>
          <c:invertIfNegative val="0"/>
          <c:cat>
            <c:strRef>
              <c:f>'[12]NZ targets'!$J$246:$N$246</c:f>
              <c:strCache>
                <c:ptCount val="5"/>
                <c:pt idx="0">
                  <c:v>2018 emissions</c:v>
                </c:pt>
                <c:pt idx="1">
                  <c:v>Domestic policies</c:v>
                </c:pt>
                <c:pt idx="2">
                  <c:v>Domestic policies &amp; net-zero targets</c:v>
                </c:pt>
                <c:pt idx="3">
                  <c:v>2 Degree &amp; net-zero targets</c:v>
                </c:pt>
                <c:pt idx="4">
                  <c:v>2 degree scenario</c:v>
                </c:pt>
              </c:strCache>
            </c:strRef>
          </c:cat>
          <c:val>
            <c:numRef>
              <c:f>'[12]NZ targets'!$J$252:$N$252</c:f>
              <c:numCache>
                <c:formatCode>General</c:formatCode>
                <c:ptCount val="5"/>
                <c:pt idx="0">
                  <c:v>0.76535545961455398</c:v>
                </c:pt>
                <c:pt idx="1">
                  <c:v>-2.5645082909333041</c:v>
                </c:pt>
                <c:pt idx="2">
                  <c:v>0.97088641269608011</c:v>
                </c:pt>
                <c:pt idx="3">
                  <c:v>0.46398346749603192</c:v>
                </c:pt>
                <c:pt idx="4">
                  <c:v>-0.78435433884910744</c:v>
                </c:pt>
              </c:numCache>
            </c:numRef>
          </c:val>
          <c:extLst>
            <c:ext xmlns:c16="http://schemas.microsoft.com/office/drawing/2014/chart" uri="{C3380CC4-5D6E-409C-BE32-E72D297353CC}">
              <c16:uniqueId val="{00000005-67FB-4E80-A230-A27785387991}"/>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3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'[12]NZ targets'!$Q$287</c:f>
              <c:strCache>
                <c:ptCount val="1"/>
                <c:pt idx="0">
                  <c:v>Number of countries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5A-46A4-A252-3C563F28D5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5A-46A4-A252-3C563F28D54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45A-46A4-A252-3C563F28D54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45A-46A4-A252-3C563F28D54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45A-46A4-A252-3C563F28D54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D45A-46A4-A252-3C563F28D54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D45A-46A4-A252-3C563F28D5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'[12]NZ targets'!$P$288:$P$294</c:f>
              <c:strCache>
                <c:ptCount val="7"/>
                <c:pt idx="0">
                  <c:v>Achieved</c:v>
                </c:pt>
                <c:pt idx="1">
                  <c:v>In Policy Document (incl. EU27 + UK as a group)</c:v>
                </c:pt>
                <c:pt idx="2">
                  <c:v>Proposed legislation</c:v>
                </c:pt>
                <c:pt idx="3">
                  <c:v>In Law</c:v>
                </c:pt>
                <c:pt idx="4">
                  <c:v>Net zero-target Under Discussion</c:v>
                </c:pt>
                <c:pt idx="5">
                  <c:v>Climate ambition alliance *</c:v>
                </c:pt>
                <c:pt idx="6">
                  <c:v>No target</c:v>
                </c:pt>
              </c:strCache>
            </c:strRef>
          </c:cat>
          <c:val>
            <c:numRef>
              <c:f>'[12]NZ targets'!$Q$288:$Q$294</c:f>
              <c:numCache>
                <c:formatCode>General</c:formatCode>
                <c:ptCount val="7"/>
                <c:pt idx="0">
                  <c:v>6</c:v>
                </c:pt>
                <c:pt idx="1">
                  <c:v>29</c:v>
                </c:pt>
                <c:pt idx="2">
                  <c:v>84</c:v>
                </c:pt>
                <c:pt idx="3">
                  <c:v>13</c:v>
                </c:pt>
                <c:pt idx="4">
                  <c:v>57</c:v>
                </c:pt>
                <c:pt idx="5">
                  <c:v>0</c:v>
                </c:pt>
                <c:pt idx="6">
                  <c:v>36</c:v>
                </c:pt>
              </c:numCache>
            </c:numRef>
          </c:val>
          <c:extLst>
            <c:ext xmlns:c16="http://schemas.microsoft.com/office/drawing/2014/chart" uri="{C3380CC4-5D6E-409C-BE32-E72D297353CC}">
              <c16:uniqueId val="{0000000E-D45A-46A4-A252-3C563F28D54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 of GHG emissions</a:t>
            </a:r>
          </a:p>
        </c:rich>
      </c:tx>
      <c:layout>
        <c:manualLayout>
          <c:xMode val="edge"/>
          <c:yMode val="edge"/>
          <c:x val="0.1364512248468941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210542432195976"/>
          <c:y val="0.13930555555555557"/>
          <c:w val="0.42023381452318453"/>
          <c:h val="0.70038969087197422"/>
        </c:manualLayout>
      </c:layout>
      <c:doughnutChart>
        <c:varyColors val="1"/>
        <c:ser>
          <c:idx val="0"/>
          <c:order val="0"/>
          <c:tx>
            <c:strRef>
              <c:f>'[12]NZ targets'!$S$287</c:f>
              <c:strCache>
                <c:ptCount val="1"/>
                <c:pt idx="0">
                  <c:v>Emissions share in 2018</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8A-43C9-B589-CE2D6DFDA8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8A-43C9-B589-CE2D6DFDA8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8A-43C9-B589-CE2D6DFDA8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8A-43C9-B589-CE2D6DFDA8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8A-43C9-B589-CE2D6DFDA84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18A-43C9-B589-CE2D6DFDA84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18A-43C9-B589-CE2D6DFDA844}"/>
              </c:ext>
            </c:extLst>
          </c:dPt>
          <c:dLbls>
            <c:dLbl>
              <c:idx val="6"/>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6="http://schemas.microsoft.com/office/drawing/2014/chart" uri="{C3380CC4-5D6E-409C-BE32-E72D297353CC}">
                  <c16:uniqueId val="{0000000D-718A-43C9-B589-CE2D6DFDA84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'[12]NZ targets'!$P$288:$P$294</c:f>
              <c:strCache>
                <c:ptCount val="7"/>
                <c:pt idx="0">
                  <c:v>Achieved</c:v>
                </c:pt>
                <c:pt idx="1">
                  <c:v>In Policy Document (incl. EU27 + UK as a group)</c:v>
                </c:pt>
                <c:pt idx="2">
                  <c:v>Proposed legislation</c:v>
                </c:pt>
                <c:pt idx="3">
                  <c:v>In Law</c:v>
                </c:pt>
                <c:pt idx="4">
                  <c:v>Net zero-target Under Discussion</c:v>
                </c:pt>
                <c:pt idx="5">
                  <c:v>Climate ambition alliance *</c:v>
                </c:pt>
                <c:pt idx="6">
                  <c:v>No target</c:v>
                </c:pt>
              </c:strCache>
            </c:strRef>
          </c:cat>
          <c:val>
            <c:numRef>
              <c:f>'[12]NZ targets'!$S$288:$S$294</c:f>
              <c:numCache>
                <c:formatCode>General</c:formatCode>
                <c:ptCount val="7"/>
                <c:pt idx="0">
                  <c:v>5.7882977338734646E-4</c:v>
                </c:pt>
                <c:pt idx="1">
                  <c:v>0.25679745581501212</c:v>
                </c:pt>
                <c:pt idx="2">
                  <c:v>0.54136687722562515</c:v>
                </c:pt>
                <c:pt idx="3">
                  <c:v>8.7280084256654414E-2</c:v>
                </c:pt>
                <c:pt idx="4">
                  <c:v>9.873285314828717E-2</c:v>
                </c:pt>
                <c:pt idx="5">
                  <c:v>0</c:v>
                </c:pt>
                <c:pt idx="6">
                  <c:v>1.218771723166337E-2</c:v>
                </c:pt>
              </c:numCache>
            </c:numRef>
          </c:val>
          <c:extLst>
            <c:ext xmlns:c16="http://schemas.microsoft.com/office/drawing/2014/chart" uri="{C3380CC4-5D6E-409C-BE32-E72D297353CC}">
              <c16:uniqueId val="{0000000E-718A-43C9-B589-CE2D6DFDA84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59003805774278217"/>
          <c:y val="0.13599154272382616"/>
          <c:w val="0.36436832895888016"/>
          <c:h val="0.678823272090988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r>
              <a:rPr lang="nl-NL" b="1"/>
              <a:t>net GHG emissions in 2050 (MtCO</a:t>
            </a:r>
            <a:r>
              <a:rPr lang="nl-NL" b="1" baseline="-25000"/>
              <a:t>2</a:t>
            </a:r>
            <a:r>
              <a:rPr lang="nl-NL" b="1"/>
              <a:t>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'[12]NZ targets'!$I$247</c:f>
              <c:strCache>
                <c:ptCount val="1"/>
                <c:pt idx="0">
                  <c:v>EU28 (net-zero)</c:v>
                </c:pt>
              </c:strCache>
            </c:strRef>
          </c:tx>
          <c:spPr>
            <a:solidFill>
              <a:schemeClr val="accent1"/>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targets'!$J$247:$P$247</c:f>
              <c:numCache>
                <c:formatCode>General</c:formatCode>
                <c:ptCount val="7"/>
                <c:pt idx="0">
                  <c:v>3.4898668492999998</c:v>
                </c:pt>
                <c:pt idx="1">
                  <c:v>3.4929891818531242</c:v>
                </c:pt>
                <c:pt idx="2">
                  <c:v>0</c:v>
                </c:pt>
                <c:pt idx="3">
                  <c:v>0</c:v>
                </c:pt>
                <c:pt idx="4">
                  <c:v>0.73787976456758608</c:v>
                </c:pt>
                <c:pt idx="5">
                  <c:v>0</c:v>
                </c:pt>
                <c:pt idx="6">
                  <c:v>0.3998131520737922</c:v>
                </c:pt>
              </c:numCache>
            </c:numRef>
          </c:val>
          <c:extLst>
            <c:ext xmlns:c16="http://schemas.microsoft.com/office/drawing/2014/chart" uri="{C3380CC4-5D6E-409C-BE32-E72D297353CC}">
              <c16:uniqueId val="{00000000-7567-46C9-9349-9A29AB64B1F8}"/>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targets'!$J$248:$P$248</c:f>
              <c:numCache>
                <c:formatCode>General</c:formatCode>
                <c:ptCount val="7"/>
                <c:pt idx="0">
                  <c:v>13.038949070000001</c:v>
                </c:pt>
                <c:pt idx="1">
                  <c:v>13.845495529695199</c:v>
                </c:pt>
                <c:pt idx="2">
                  <c:v>4.7626249274752119</c:v>
                </c:pt>
                <c:pt idx="3">
                  <c:v>4.7626249274752119</c:v>
                </c:pt>
                <c:pt idx="4">
                  <c:v>2.1157686358692485</c:v>
                </c:pt>
                <c:pt idx="5">
                  <c:v>4.7626249274752119</c:v>
                </c:pt>
                <c:pt idx="6">
                  <c:v>0.99531636903488041</c:v>
                </c:pt>
              </c:numCache>
            </c:numRef>
          </c:val>
          <c:extLst>
            <c:ext xmlns:c16="http://schemas.microsoft.com/office/drawing/2014/chart" uri="{C3380CC4-5D6E-409C-BE32-E72D297353CC}">
              <c16:uniqueId val="{00000001-7567-46C9-9349-9A29AB64B1F8}"/>
            </c:ext>
          </c:extLst>
        </c:ser>
        <c:ser>
          <c:idx val="2"/>
          <c:order val="2"/>
          <c:tx>
            <c:strRef>
              <c:f>'[12]NZ targets'!$I$249</c:f>
              <c:strCache>
                <c:ptCount val="1"/>
                <c:pt idx="0">
                  <c:v>Japan, SAF and others (net-zero)</c:v>
                </c:pt>
              </c:strCache>
            </c:strRef>
          </c:tx>
          <c:spPr>
            <a:solidFill>
              <a:schemeClr val="accent3"/>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targets'!$J$249:$P$249</c:f>
              <c:numCache>
                <c:formatCode>General</c:formatCode>
                <c:ptCount val="7"/>
                <c:pt idx="0">
                  <c:v>22.37003963337299</c:v>
                </c:pt>
                <c:pt idx="1">
                  <c:v>40.322402746500686</c:v>
                </c:pt>
                <c:pt idx="2">
                  <c:v>8.7228945232185549</c:v>
                </c:pt>
                <c:pt idx="3">
                  <c:v>8.7228945232185549</c:v>
                </c:pt>
                <c:pt idx="4">
                  <c:v>11.814828085529355</c:v>
                </c:pt>
                <c:pt idx="5">
                  <c:v>8.7228945232185549</c:v>
                </c:pt>
                <c:pt idx="6">
                  <c:v>4.056825949356436</c:v>
                </c:pt>
              </c:numCache>
            </c:numRef>
          </c:val>
          <c:extLst>
            <c:ext xmlns:c16="http://schemas.microsoft.com/office/drawing/2014/chart" uri="{C3380CC4-5D6E-409C-BE32-E72D297353CC}">
              <c16:uniqueId val="{00000002-7567-46C9-9349-9A29AB64B1F8}"/>
            </c:ext>
          </c:extLst>
        </c:ser>
        <c:ser>
          <c:idx val="3"/>
          <c:order val="3"/>
          <c:tx>
            <c:strRef>
              <c:f>'[12]NZ targets'!$I$250</c:f>
              <c:strCache>
                <c:ptCount val="1"/>
                <c:pt idx="0">
                  <c:v>Net zero-target Under Discussion</c:v>
                </c:pt>
              </c:strCache>
            </c:strRef>
          </c:tx>
          <c:spPr>
            <a:solidFill>
              <a:schemeClr val="accent4"/>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targets'!$J$250:$P$250</c:f>
              <c:numCache>
                <c:formatCode>General</c:formatCode>
                <c:ptCount val="7"/>
                <c:pt idx="0">
                  <c:v>4.9571126342867471</c:v>
                </c:pt>
                <c:pt idx="1">
                  <c:v>-8.1932633290519696</c:v>
                </c:pt>
                <c:pt idx="2">
                  <c:v>-4.7626249274752119</c:v>
                </c:pt>
                <c:pt idx="3">
                  <c:v>-4.7626249274752119</c:v>
                </c:pt>
                <c:pt idx="4">
                  <c:v>0.60569585527656233</c:v>
                </c:pt>
                <c:pt idx="5">
                  <c:v>-4.7626249274752119</c:v>
                </c:pt>
                <c:pt idx="6">
                  <c:v>5.6808593365529014E-2</c:v>
                </c:pt>
              </c:numCache>
            </c:numRef>
          </c:val>
          <c:extLst>
            <c:ext xmlns:c16="http://schemas.microsoft.com/office/drawing/2014/chart" uri="{C3380CC4-5D6E-409C-BE32-E72D297353CC}">
              <c16:uniqueId val="{00000003-7567-46C9-9349-9A29AB64B1F8}"/>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targets'!$J$251:$P$251</c:f>
              <c:numCache>
                <c:formatCode>General</c:formatCode>
                <c:ptCount val="7"/>
                <c:pt idx="0">
                  <c:v>5.5860032584999999</c:v>
                </c:pt>
                <c:pt idx="1">
                  <c:v>3.5353947036293598</c:v>
                </c:pt>
                <c:pt idx="2">
                  <c:v>0</c:v>
                </c:pt>
                <c:pt idx="3">
                  <c:v>0</c:v>
                </c:pt>
                <c:pt idx="4">
                  <c:v>1.2483378063451447</c:v>
                </c:pt>
                <c:pt idx="5">
                  <c:v>0</c:v>
                </c:pt>
                <c:pt idx="6">
                  <c:v>-0.18746200843184818</c:v>
                </c:pt>
              </c:numCache>
            </c:numRef>
          </c:val>
          <c:extLst>
            <c:ext xmlns:c16="http://schemas.microsoft.com/office/drawing/2014/chart" uri="{C3380CC4-5D6E-409C-BE32-E72D297353CC}">
              <c16:uniqueId val="{00000004-7567-46C9-9349-9A29AB64B1F8}"/>
            </c:ext>
          </c:extLst>
        </c:ser>
        <c:ser>
          <c:idx val="5"/>
          <c:order val="5"/>
          <c:tx>
            <c:strRef>
              <c:f>'[12]NZ targets'!$I$252</c:f>
              <c:strCache>
                <c:ptCount val="1"/>
                <c:pt idx="0">
                  <c:v>Other</c:v>
                </c:pt>
              </c:strCache>
            </c:strRef>
          </c:tx>
          <c:spPr>
            <a:solidFill>
              <a:schemeClr val="accent6"/>
            </a:solidFill>
            <a:ln>
              <a:noFill/>
            </a:ln>
            <a:effectLst/>
          </c:spPr>
          <c:invertIfNegative val="0"/>
          <c:cat>
            <c:strRef>
              <c:f>'[12]NZ targets'!$J$246:$P$246</c:f>
              <c:strCache>
                <c:ptCount val="7"/>
                <c:pt idx="0">
                  <c:v>2018 emissions</c:v>
                </c:pt>
                <c:pt idx="1">
                  <c:v>Domestic policies</c:v>
                </c:pt>
                <c:pt idx="2">
                  <c:v>Domestic policies &amp; net-zero targets</c:v>
                </c:pt>
                <c:pt idx="3">
                  <c:v>2 Degree &amp; net-zero targets</c:v>
                </c:pt>
                <c:pt idx="4">
                  <c:v>2 degree scenario</c:v>
                </c:pt>
                <c:pt idx="5">
                  <c:v>1.5 Degree &amp; net-zero targets2</c:v>
                </c:pt>
                <c:pt idx="6">
                  <c:v>1.5 degree scenario3</c:v>
                </c:pt>
              </c:strCache>
            </c:strRef>
          </c:cat>
          <c:val>
            <c:numRef>
              <c:f>'[12]NZ targets'!$J$252:$P$252</c:f>
              <c:numCache>
                <c:formatCode>General</c:formatCode>
                <c:ptCount val="7"/>
                <c:pt idx="0">
                  <c:v>0.76535545961455398</c:v>
                </c:pt>
                <c:pt idx="1">
                  <c:v>-2.5645082909333041</c:v>
                </c:pt>
                <c:pt idx="2">
                  <c:v>0.97088641269608011</c:v>
                </c:pt>
                <c:pt idx="3">
                  <c:v>0.46398346749603192</c:v>
                </c:pt>
                <c:pt idx="4">
                  <c:v>-0.78435433884910744</c:v>
                </c:pt>
                <c:pt idx="5">
                  <c:v>7.9107645656250725E-2</c:v>
                </c:pt>
                <c:pt idx="6">
                  <c:v>0.26656965408810063</c:v>
                </c:pt>
              </c:numCache>
            </c:numRef>
          </c:val>
          <c:extLst>
            <c:ext xmlns:c16="http://schemas.microsoft.com/office/drawing/2014/chart" uri="{C3380CC4-5D6E-409C-BE32-E72D297353CC}">
              <c16:uniqueId val="{00000005-7567-46C9-9349-9A29AB64B1F8}"/>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54131429974130929"/>
          <c:y val="0.15728840087649595"/>
          <c:w val="0.42264453633943239"/>
          <c:h val="0.25245413163934216"/>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r>
              <a:rPr lang="nl-NL"/>
              <a:t>net GHG emissions in 2050 (GtCO2eq)</a:t>
            </a:r>
          </a:p>
        </c:rich>
      </c:tx>
      <c:layout>
        <c:manualLayout>
          <c:xMode val="edge"/>
          <c:yMode val="edge"/>
          <c:x val="0.25454995544911724"/>
          <c:y val="6.3557098896568423E-2"/>
        </c:manualLayout>
      </c:layout>
      <c:overlay val="0"/>
      <c:spPr>
        <a:noFill/>
        <a:ln>
          <a:noFill/>
        </a:ln>
        <a:effectLst/>
      </c:spPr>
      <c:txPr>
        <a:bodyPr rot="0" spcFirstLastPara="1" vertOverflow="ellipsis" vert="horz" wrap="square" anchor="ctr" anchorCtr="1"/>
        <a:lstStyle/>
        <a:p>
          <a:pPr>
            <a:defRPr sz="132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8.8211341509911792E-2"/>
          <c:y val="0.14940588827489695"/>
          <c:w val="0.86623865565191449"/>
          <c:h val="0.65155499562554675"/>
        </c:manualLayout>
      </c:layout>
      <c:barChart>
        <c:barDir val="col"/>
        <c:grouping val="stacked"/>
        <c:varyColors val="0"/>
        <c:ser>
          <c:idx val="0"/>
          <c:order val="0"/>
          <c:tx>
            <c:strRef>
              <c:f>'[12]NZ targets'!$I$247</c:f>
              <c:strCache>
                <c:ptCount val="1"/>
                <c:pt idx="0">
                  <c:v>EU28 (net-zero)</c:v>
                </c:pt>
              </c:strCache>
            </c:strRef>
          </c:tx>
          <c:spPr>
            <a:solidFill>
              <a:schemeClr val="accent4">
                <a:lumMod val="60000"/>
                <a:lumOff val="4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targets'!$J$247:$L$247</c:f>
              <c:numCache>
                <c:formatCode>General</c:formatCode>
                <c:ptCount val="3"/>
                <c:pt idx="0">
                  <c:v>3.4898668492999998</c:v>
                </c:pt>
                <c:pt idx="1">
                  <c:v>3.4929891818531242</c:v>
                </c:pt>
                <c:pt idx="2">
                  <c:v>0</c:v>
                </c:pt>
              </c:numCache>
            </c:numRef>
          </c:val>
          <c:extLst>
            <c:ext xmlns:c16="http://schemas.microsoft.com/office/drawing/2014/chart" uri="{C3380CC4-5D6E-409C-BE32-E72D297353CC}">
              <c16:uniqueId val="{00000000-6457-418E-BDA7-96B2945CDD6A}"/>
            </c:ext>
          </c:extLst>
        </c:ser>
        <c:ser>
          <c:idx val="1"/>
          <c:order val="1"/>
          <c:tx>
            <c:strRef>
              <c:f>'[12]NZ targets'!$I$248</c:f>
              <c:strCache>
                <c:ptCount val="1"/>
                <c:pt idx="0">
                  <c:v>China (net-zero)</c:v>
                </c:pt>
              </c:strCache>
            </c:strRef>
          </c:tx>
          <c:spPr>
            <a:solidFill>
              <a:schemeClr val="accent2"/>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targets'!$J$248:$L$248</c:f>
              <c:numCache>
                <c:formatCode>General</c:formatCode>
                <c:ptCount val="3"/>
                <c:pt idx="0">
                  <c:v>13.038949070000001</c:v>
                </c:pt>
                <c:pt idx="1">
                  <c:v>13.845495529695199</c:v>
                </c:pt>
                <c:pt idx="2">
                  <c:v>4.7626249274752119</c:v>
                </c:pt>
              </c:numCache>
            </c:numRef>
          </c:val>
          <c:extLst>
            <c:ext xmlns:c16="http://schemas.microsoft.com/office/drawing/2014/chart" uri="{C3380CC4-5D6E-409C-BE32-E72D297353CC}">
              <c16:uniqueId val="{00000001-6457-418E-BDA7-96B2945CDD6A}"/>
            </c:ext>
          </c:extLst>
        </c:ser>
        <c:ser>
          <c:idx val="2"/>
          <c:order val="2"/>
          <c:tx>
            <c:strRef>
              <c:f>'[12]NZ targets'!$I$249</c:f>
              <c:strCache>
                <c:ptCount val="1"/>
                <c:pt idx="0">
                  <c:v>Japan, SAF and others (net-zero)</c:v>
                </c:pt>
              </c:strCache>
            </c:strRef>
          </c:tx>
          <c:spPr>
            <a:solidFill>
              <a:schemeClr val="accent2">
                <a:lumMod val="75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targets'!$J$249:$L$249</c:f>
              <c:numCache>
                <c:formatCode>General</c:formatCode>
                <c:ptCount val="3"/>
                <c:pt idx="0">
                  <c:v>22.37003963337299</c:v>
                </c:pt>
                <c:pt idx="1">
                  <c:v>40.322402746500686</c:v>
                </c:pt>
                <c:pt idx="2">
                  <c:v>8.7228945232185549</c:v>
                </c:pt>
              </c:numCache>
            </c:numRef>
          </c:val>
          <c:extLst>
            <c:ext xmlns:c16="http://schemas.microsoft.com/office/drawing/2014/chart" uri="{C3380CC4-5D6E-409C-BE32-E72D297353CC}">
              <c16:uniqueId val="{00000002-6457-418E-BDA7-96B2945CDD6A}"/>
            </c:ext>
          </c:extLst>
        </c:ser>
        <c:ser>
          <c:idx val="3"/>
          <c:order val="3"/>
          <c:tx>
            <c:strRef>
              <c:f>'[12]NZ targets'!$I$250</c:f>
              <c:strCache>
                <c:ptCount val="1"/>
                <c:pt idx="0">
                  <c:v>Net zero-target Under Discussion</c:v>
                </c:pt>
              </c:strCache>
            </c:strRef>
          </c:tx>
          <c:spPr>
            <a:solidFill>
              <a:schemeClr val="accent2">
                <a:lumMod val="40000"/>
                <a:lumOff val="6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targets'!$J$250:$L$250</c:f>
              <c:numCache>
                <c:formatCode>General</c:formatCode>
                <c:ptCount val="3"/>
                <c:pt idx="0">
                  <c:v>4.9571126342867471</c:v>
                </c:pt>
                <c:pt idx="1">
                  <c:v>-8.1932633290519696</c:v>
                </c:pt>
                <c:pt idx="2">
                  <c:v>-4.7626249274752119</c:v>
                </c:pt>
              </c:numCache>
            </c:numRef>
          </c:val>
          <c:extLst>
            <c:ext xmlns:c16="http://schemas.microsoft.com/office/drawing/2014/chart" uri="{C3380CC4-5D6E-409C-BE32-E72D297353CC}">
              <c16:uniqueId val="{00000003-6457-418E-BDA7-96B2945CDD6A}"/>
            </c:ext>
          </c:extLst>
        </c:ser>
        <c:ser>
          <c:idx val="4"/>
          <c:order val="4"/>
          <c:tx>
            <c:strRef>
              <c:f>'[12]NZ targets'!$I$251</c:f>
              <c:strCache>
                <c:ptCount val="1"/>
                <c:pt idx="0">
                  <c:v>United States </c:v>
                </c:pt>
              </c:strCache>
            </c:strRef>
          </c:tx>
          <c:spPr>
            <a:solidFill>
              <a:schemeClr val="accent5"/>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targets'!$J$251:$L$251</c:f>
              <c:numCache>
                <c:formatCode>General</c:formatCode>
                <c:ptCount val="3"/>
                <c:pt idx="0">
                  <c:v>5.5860032584999999</c:v>
                </c:pt>
                <c:pt idx="1">
                  <c:v>3.5353947036293598</c:v>
                </c:pt>
                <c:pt idx="2">
                  <c:v>0</c:v>
                </c:pt>
              </c:numCache>
            </c:numRef>
          </c:val>
          <c:extLst>
            <c:ext xmlns:c16="http://schemas.microsoft.com/office/drawing/2014/chart" uri="{C3380CC4-5D6E-409C-BE32-E72D297353CC}">
              <c16:uniqueId val="{00000004-6457-418E-BDA7-96B2945CDD6A}"/>
            </c:ext>
          </c:extLst>
        </c:ser>
        <c:ser>
          <c:idx val="5"/>
          <c:order val="5"/>
          <c:tx>
            <c:strRef>
              <c:f>'[12]NZ targets'!$I$252</c:f>
              <c:strCache>
                <c:ptCount val="1"/>
                <c:pt idx="0">
                  <c:v>Other</c:v>
                </c:pt>
              </c:strCache>
            </c:strRef>
          </c:tx>
          <c:spPr>
            <a:solidFill>
              <a:schemeClr val="accent1">
                <a:lumMod val="60000"/>
                <a:lumOff val="40000"/>
              </a:schemeClr>
            </a:solidFill>
            <a:ln>
              <a:noFill/>
            </a:ln>
            <a:effectLst/>
          </c:spPr>
          <c:invertIfNegative val="0"/>
          <c:cat>
            <c:strRef>
              <c:f>'[12]NZ targets'!$J$246:$L$246</c:f>
              <c:strCache>
                <c:ptCount val="3"/>
                <c:pt idx="0">
                  <c:v>2018 emissions</c:v>
                </c:pt>
                <c:pt idx="1">
                  <c:v>Domestic policies</c:v>
                </c:pt>
                <c:pt idx="2">
                  <c:v>Domestic policies &amp; net-zero targets</c:v>
                </c:pt>
              </c:strCache>
            </c:strRef>
          </c:cat>
          <c:val>
            <c:numRef>
              <c:f>'[12]NZ targets'!$J$252:$L$252</c:f>
              <c:numCache>
                <c:formatCode>General</c:formatCode>
                <c:ptCount val="3"/>
                <c:pt idx="0">
                  <c:v>0.76535545961455398</c:v>
                </c:pt>
                <c:pt idx="1">
                  <c:v>-2.5645082909333041</c:v>
                </c:pt>
                <c:pt idx="2">
                  <c:v>0.97088641269608011</c:v>
                </c:pt>
              </c:numCache>
            </c:numRef>
          </c:val>
          <c:extLst>
            <c:ext xmlns:c16="http://schemas.microsoft.com/office/drawing/2014/chart" uri="{C3380CC4-5D6E-409C-BE32-E72D297353CC}">
              <c16:uniqueId val="{00000005-6457-418E-BDA7-96B2945CDD6A}"/>
            </c:ext>
          </c:extLst>
        </c:ser>
        <c:dLbls>
          <c:showLegendKey val="0"/>
          <c:showVal val="0"/>
          <c:showCatName val="0"/>
          <c:showSerName val="0"/>
          <c:showPercent val="0"/>
          <c:showBubbleSize val="0"/>
        </c:dLbls>
        <c:gapWidth val="150"/>
        <c:overlap val="100"/>
        <c:axId val="1603419791"/>
        <c:axId val="1542911471"/>
      </c:barChart>
      <c:catAx>
        <c:axId val="160341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542911471"/>
        <c:crosses val="autoZero"/>
        <c:auto val="1"/>
        <c:lblAlgn val="ctr"/>
        <c:lblOffset val="100"/>
        <c:noMultiLvlLbl val="0"/>
      </c:catAx>
      <c:valAx>
        <c:axId val="154291147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03419791"/>
        <c:crosses val="autoZero"/>
        <c:crossBetween val="between"/>
      </c:valAx>
      <c:spPr>
        <a:noFill/>
        <a:ln>
          <a:noFill/>
        </a:ln>
        <a:effectLst/>
      </c:spPr>
    </c:plotArea>
    <c:legend>
      <c:legendPos val="b"/>
      <c:layout>
        <c:manualLayout>
          <c:xMode val="edge"/>
          <c:yMode val="edge"/>
          <c:x val="0.60644727971200696"/>
          <c:y val="0.15728840087649595"/>
          <c:w val="0.35751169229855961"/>
          <c:h val="0.25245413163934216"/>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100" b="1">
          <a:solidFill>
            <a:sysClr val="windowText" lastClr="000000"/>
          </a:solidFill>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Global</a:t>
            </a:r>
            <a:r>
              <a:rPr lang="en-US" b="1" baseline="0"/>
              <a:t> Results old version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'input site'!$M$392</c:f>
              <c:strCache>
                <c:ptCount val="1"/>
              </c:strCache>
            </c:strRef>
          </c:tx>
          <c:spPr>
            <a:ln w="19050" cap="rnd">
              <a:solidFill>
                <a:schemeClr val="tx1"/>
              </a:solidFill>
              <a:round/>
            </a:ln>
            <a:effectLst/>
          </c:spPr>
          <c:marker>
            <c:symbol val="none"/>
          </c:marker>
          <c:xVal>
            <c:numRef>
              <c:f>'input site'!$N$363:$BG$363</c:f>
              <c:numCache>
                <c:formatCode>General</c:formatCode>
                <c:ptCount val="46"/>
              </c:numCache>
            </c:numRef>
          </c:xVal>
          <c:yVal>
            <c:numRef>
              <c:f>'input site'!$N$392:$BG$392</c:f>
              <c:numCache>
                <c:formatCode>General</c:formatCode>
                <c:ptCount val="46"/>
              </c:numCache>
            </c:numRef>
          </c:yVal>
          <c:smooth val="1"/>
          <c:extLst>
            <c:ext xmlns:c16="http://schemas.microsoft.com/office/drawing/2014/chart" uri="{C3380CC4-5D6E-409C-BE32-E72D297353CC}">
              <c16:uniqueId val="{00000000-A8A7-49F1-8EB6-9217E1F41793}"/>
            </c:ext>
          </c:extLst>
        </c:ser>
        <c:ser>
          <c:idx val="1"/>
          <c:order val="1"/>
          <c:tx>
            <c:strRef>
              <c:f>'input site'!$M$393</c:f>
              <c:strCache>
                <c:ptCount val="1"/>
              </c:strCache>
            </c:strRef>
          </c:tx>
          <c:spPr>
            <a:ln w="19050" cap="rnd">
              <a:solidFill>
                <a:schemeClr val="tx1"/>
              </a:solidFill>
              <a:prstDash val="dash"/>
              <a:round/>
            </a:ln>
            <a:effectLst/>
          </c:spPr>
          <c:marker>
            <c:symbol val="none"/>
          </c:marker>
          <c:xVal>
            <c:numRef>
              <c:f>'input site'!$N$363:$BG$363</c:f>
              <c:numCache>
                <c:formatCode>General</c:formatCode>
                <c:ptCount val="46"/>
              </c:numCache>
            </c:numRef>
          </c:xVal>
          <c:yVal>
            <c:numRef>
              <c:f>'input site'!$N$393:$BG$393</c:f>
              <c:numCache>
                <c:formatCode>General</c:formatCode>
                <c:ptCount val="46"/>
              </c:numCache>
            </c:numRef>
          </c:yVal>
          <c:smooth val="1"/>
          <c:extLst>
            <c:ext xmlns:c16="http://schemas.microsoft.com/office/drawing/2014/chart" uri="{C3380CC4-5D6E-409C-BE32-E72D297353CC}">
              <c16:uniqueId val="{00000001-A8A7-49F1-8EB6-9217E1F41793}"/>
            </c:ext>
          </c:extLst>
        </c:ser>
        <c:ser>
          <c:idx val="2"/>
          <c:order val="2"/>
          <c:tx>
            <c:strRef>
              <c:f>'input site'!$M$394</c:f>
              <c:strCache>
                <c:ptCount val="1"/>
              </c:strCache>
            </c:strRef>
          </c:tx>
          <c:spPr>
            <a:ln w="19050" cap="rnd">
              <a:noFill/>
              <a:round/>
            </a:ln>
            <a:effectLst/>
          </c:spPr>
          <c:marker>
            <c:symbol val="circle"/>
            <c:size val="5"/>
            <c:spPr>
              <a:solidFill>
                <a:srgbClr val="00B0F0"/>
              </a:solidFill>
              <a:ln w="9525">
                <a:solidFill>
                  <a:srgbClr val="00B0F0"/>
                </a:solidFill>
              </a:ln>
              <a:effectLst/>
            </c:spPr>
          </c:marker>
          <c:xVal>
            <c:numRef>
              <c:f>'input site'!$N$363:$BG$363</c:f>
              <c:numCache>
                <c:formatCode>General</c:formatCode>
                <c:ptCount val="46"/>
              </c:numCache>
            </c:numRef>
          </c:xVal>
          <c:yVal>
            <c:numRef>
              <c:f>'input site'!$N$394:$BG$394</c:f>
              <c:numCache>
                <c:formatCode>General</c:formatCode>
                <c:ptCount val="46"/>
              </c:numCache>
            </c:numRef>
          </c:yVal>
          <c:smooth val="1"/>
          <c:extLst>
            <c:ext xmlns:c16="http://schemas.microsoft.com/office/drawing/2014/chart" uri="{C3380CC4-5D6E-409C-BE32-E72D297353CC}">
              <c16:uniqueId val="{00000002-A8A7-49F1-8EB6-9217E1F41793}"/>
            </c:ext>
          </c:extLst>
        </c:ser>
        <c:ser>
          <c:idx val="3"/>
          <c:order val="3"/>
          <c:tx>
            <c:strRef>
              <c:f>'input site'!$M$395</c:f>
              <c:strCache>
                <c:ptCount val="1"/>
              </c:strCache>
            </c:strRef>
          </c:tx>
          <c:spPr>
            <a:ln w="19050" cap="rnd">
              <a:noFill/>
              <a:round/>
            </a:ln>
            <a:effectLst/>
          </c:spPr>
          <c:marker>
            <c:symbol val="circle"/>
            <c:size val="5"/>
            <c:spPr>
              <a:solidFill>
                <a:schemeClr val="accent5"/>
              </a:solidFill>
              <a:ln w="9525">
                <a:solidFill>
                  <a:schemeClr val="accent5"/>
                </a:solidFill>
              </a:ln>
              <a:effectLst/>
            </c:spPr>
          </c:marker>
          <c:xVal>
            <c:numRef>
              <c:f>'input site'!$N$363:$BG$363</c:f>
              <c:numCache>
                <c:formatCode>General</c:formatCode>
                <c:ptCount val="46"/>
              </c:numCache>
            </c:numRef>
          </c:xVal>
          <c:yVal>
            <c:numRef>
              <c:f>'input site'!$N$395:$BG$395</c:f>
              <c:numCache>
                <c:formatCode>General</c:formatCode>
                <c:ptCount val="46"/>
              </c:numCache>
            </c:numRef>
          </c:yVal>
          <c:smooth val="1"/>
          <c:extLst>
            <c:ext xmlns:c16="http://schemas.microsoft.com/office/drawing/2014/chart" uri="{C3380CC4-5D6E-409C-BE32-E72D297353CC}">
              <c16:uniqueId val="{00000003-A8A7-49F1-8EB6-9217E1F41793}"/>
            </c:ext>
          </c:extLst>
        </c:ser>
        <c:ser>
          <c:idx val="4"/>
          <c:order val="4"/>
          <c:tx>
            <c:strRef>
              <c:f>'input site'!$M$396</c:f>
              <c:strCache>
                <c:ptCount val="1"/>
              </c:strCache>
            </c:strRef>
          </c:tx>
          <c:spPr>
            <a:ln w="19050" cap="rnd">
              <a:noFill/>
              <a:round/>
            </a:ln>
            <a:effectLst/>
          </c:spPr>
          <c:marker>
            <c:symbol val="circle"/>
            <c:size val="5"/>
            <c:spPr>
              <a:solidFill>
                <a:srgbClr val="7030A0"/>
              </a:solidFill>
              <a:ln w="9525">
                <a:solidFill>
                  <a:srgbClr val="7030A0"/>
                </a:solidFill>
              </a:ln>
              <a:effectLst/>
            </c:spPr>
          </c:marker>
          <c:xVal>
            <c:numRef>
              <c:f>'input site'!$N$363:$BG$363</c:f>
              <c:numCache>
                <c:formatCode>General</c:formatCode>
                <c:ptCount val="46"/>
              </c:numCache>
            </c:numRef>
          </c:xVal>
          <c:yVal>
            <c:numRef>
              <c:f>'input site'!$N$396:$BG$396</c:f>
              <c:numCache>
                <c:formatCode>General</c:formatCode>
                <c:ptCount val="46"/>
              </c:numCache>
            </c:numRef>
          </c:yVal>
          <c:smooth val="1"/>
          <c:extLst>
            <c:ext xmlns:c16="http://schemas.microsoft.com/office/drawing/2014/chart" uri="{C3380CC4-5D6E-409C-BE32-E72D297353CC}">
              <c16:uniqueId val="{00000004-A8A7-49F1-8EB6-9217E1F41793}"/>
            </c:ext>
          </c:extLst>
        </c:ser>
        <c:ser>
          <c:idx val="5"/>
          <c:order val="5"/>
          <c:tx>
            <c:strRef>
              <c:f>'input site'!$M$397</c:f>
              <c:strCache>
                <c:ptCount val="1"/>
              </c:strCache>
            </c:strRef>
          </c:tx>
          <c:spPr>
            <a:ln w="19050" cap="rnd">
              <a:noFill/>
              <a:round/>
            </a:ln>
            <a:effectLst/>
          </c:spPr>
          <c:marker>
            <c:symbol val="circle"/>
            <c:size val="5"/>
            <c:spPr>
              <a:solidFill>
                <a:srgbClr val="C00000"/>
              </a:solidFill>
              <a:ln w="9525">
                <a:solidFill>
                  <a:srgbClr val="C00000"/>
                </a:solidFill>
              </a:ln>
              <a:effectLst/>
            </c:spPr>
          </c:marker>
          <c:xVal>
            <c:numRef>
              <c:f>'input site'!$N$363:$BG$363</c:f>
              <c:numCache>
                <c:formatCode>General</c:formatCode>
                <c:ptCount val="46"/>
              </c:numCache>
            </c:numRef>
          </c:xVal>
          <c:yVal>
            <c:numRef>
              <c:f>'input site'!$N$397:$BG$397</c:f>
              <c:numCache>
                <c:formatCode>General</c:formatCode>
                <c:ptCount val="46"/>
              </c:numCache>
            </c:numRef>
          </c:yVal>
          <c:smooth val="1"/>
          <c:extLst>
            <c:ext xmlns:c16="http://schemas.microsoft.com/office/drawing/2014/chart" uri="{C3380CC4-5D6E-409C-BE32-E72D297353CC}">
              <c16:uniqueId val="{00000005-A8A7-49F1-8EB6-9217E1F41793}"/>
            </c:ext>
          </c:extLst>
        </c:ser>
        <c:ser>
          <c:idx val="6"/>
          <c:order val="6"/>
          <c:tx>
            <c:strRef>
              <c:f>'input site'!$M$398</c:f>
              <c:strCache>
                <c:ptCount val="1"/>
              </c:strCache>
            </c:strRef>
          </c:tx>
          <c:spPr>
            <a:ln w="19050" cap="rnd">
              <a:solidFill>
                <a:srgbClr val="92D050"/>
              </a:solidFill>
              <a:round/>
            </a:ln>
            <a:effectLst/>
          </c:spPr>
          <c:marker>
            <c:symbol val="none"/>
          </c:marker>
          <c:xVal>
            <c:numRef>
              <c:f>'input site'!$N$363:$BG$363</c:f>
              <c:numCache>
                <c:formatCode>General</c:formatCode>
                <c:ptCount val="46"/>
              </c:numCache>
            </c:numRef>
          </c:xVal>
          <c:yVal>
            <c:numRef>
              <c:f>'input site'!$N$398:$BG$398</c:f>
              <c:numCache>
                <c:formatCode>General</c:formatCode>
                <c:ptCount val="46"/>
              </c:numCache>
            </c:numRef>
          </c:yVal>
          <c:smooth val="1"/>
          <c:extLst>
            <c:ext xmlns:c16="http://schemas.microsoft.com/office/drawing/2014/chart" uri="{C3380CC4-5D6E-409C-BE32-E72D297353CC}">
              <c16:uniqueId val="{00000006-A8A7-49F1-8EB6-9217E1F41793}"/>
            </c:ext>
          </c:extLst>
        </c:ser>
        <c:ser>
          <c:idx val="7"/>
          <c:order val="7"/>
          <c:tx>
            <c:strRef>
              <c:f>'input site'!$M$399</c:f>
              <c:strCache>
                <c:ptCount val="1"/>
              </c:strCache>
            </c:strRef>
          </c:tx>
          <c:spPr>
            <a:ln w="19050" cap="rnd">
              <a:solidFill>
                <a:schemeClr val="accent6"/>
              </a:solidFill>
              <a:round/>
            </a:ln>
            <a:effectLst/>
          </c:spPr>
          <c:marker>
            <c:symbol val="none"/>
          </c:marker>
          <c:xVal>
            <c:numRef>
              <c:f>'input site'!$N$363:$BG$363</c:f>
              <c:numCache>
                <c:formatCode>General</c:formatCode>
                <c:ptCount val="46"/>
              </c:numCache>
            </c:numRef>
          </c:xVal>
          <c:yVal>
            <c:numRef>
              <c:f>'input site'!$N$399:$BG$399</c:f>
              <c:numCache>
                <c:formatCode>General</c:formatCode>
                <c:ptCount val="46"/>
              </c:numCache>
            </c:numRef>
          </c:yVal>
          <c:smooth val="1"/>
          <c:extLst>
            <c:ext xmlns:c16="http://schemas.microsoft.com/office/drawing/2014/chart" uri="{C3380CC4-5D6E-409C-BE32-E72D297353CC}">
              <c16:uniqueId val="{00000007-A8A7-49F1-8EB6-9217E1F41793}"/>
            </c:ext>
          </c:extLst>
        </c:ser>
        <c:ser>
          <c:idx val="8"/>
          <c:order val="8"/>
          <c:tx>
            <c:strRef>
              <c:f>'input site'!$M$400</c:f>
              <c:strCache>
                <c:ptCount val="1"/>
              </c:strCache>
            </c:strRef>
          </c:tx>
          <c:spPr>
            <a:ln w="19050" cap="rnd">
              <a:solidFill>
                <a:schemeClr val="accent6"/>
              </a:solidFill>
              <a:round/>
            </a:ln>
            <a:effectLst/>
          </c:spPr>
          <c:marker>
            <c:symbol val="none"/>
          </c:marker>
          <c:xVal>
            <c:numRef>
              <c:f>'input site'!$N$363:$BG$363</c:f>
              <c:numCache>
                <c:formatCode>General</c:formatCode>
                <c:ptCount val="46"/>
              </c:numCache>
            </c:numRef>
          </c:xVal>
          <c:yVal>
            <c:numRef>
              <c:f>'input site'!$N$400:$BG$400</c:f>
              <c:numCache>
                <c:formatCode>General</c:formatCode>
                <c:ptCount val="46"/>
              </c:numCache>
            </c:numRef>
          </c:yVal>
          <c:smooth val="1"/>
          <c:extLst>
            <c:ext xmlns:c16="http://schemas.microsoft.com/office/drawing/2014/chart" uri="{C3380CC4-5D6E-409C-BE32-E72D297353CC}">
              <c16:uniqueId val="{00000008-A8A7-49F1-8EB6-9217E1F41793}"/>
            </c:ext>
          </c:extLst>
        </c:ser>
        <c:ser>
          <c:idx val="9"/>
          <c:order val="9"/>
          <c:tx>
            <c:strRef>
              <c:f>'input site'!$M$401</c:f>
              <c:strCache>
                <c:ptCount val="1"/>
              </c:strCache>
            </c:strRef>
          </c:tx>
          <c:spPr>
            <a:ln w="19050" cap="rnd">
              <a:solidFill>
                <a:schemeClr val="bg1">
                  <a:lumMod val="75000"/>
                </a:schemeClr>
              </a:solidFill>
              <a:round/>
            </a:ln>
            <a:effectLst/>
          </c:spPr>
          <c:marker>
            <c:symbol val="none"/>
          </c:marker>
          <c:xVal>
            <c:numRef>
              <c:f>'input site'!$N$363:$BG$363</c:f>
              <c:numCache>
                <c:formatCode>General</c:formatCode>
                <c:ptCount val="46"/>
              </c:numCache>
            </c:numRef>
          </c:xVal>
          <c:yVal>
            <c:numRef>
              <c:f>'input site'!$N$401:$BG$401</c:f>
              <c:numCache>
                <c:formatCode>General</c:formatCode>
                <c:ptCount val="46"/>
              </c:numCache>
            </c:numRef>
          </c:yVal>
          <c:smooth val="1"/>
          <c:extLst>
            <c:ext xmlns:c16="http://schemas.microsoft.com/office/drawing/2014/chart" uri="{C3380CC4-5D6E-409C-BE32-E72D297353CC}">
              <c16:uniqueId val="{00000009-A8A7-49F1-8EB6-9217E1F41793}"/>
            </c:ext>
          </c:extLst>
        </c:ser>
        <c:ser>
          <c:idx val="10"/>
          <c:order val="10"/>
          <c:tx>
            <c:strRef>
              <c:f>'input site'!$M$402</c:f>
              <c:strCache>
                <c:ptCount val="1"/>
              </c:strCache>
            </c:strRef>
          </c:tx>
          <c:spPr>
            <a:ln w="19050" cap="rnd">
              <a:solidFill>
                <a:schemeClr val="bg1">
                  <a:lumMod val="50000"/>
                </a:schemeClr>
              </a:solidFill>
              <a:round/>
            </a:ln>
            <a:effectLst/>
          </c:spPr>
          <c:marker>
            <c:symbol val="none"/>
          </c:marker>
          <c:xVal>
            <c:numRef>
              <c:f>'input site'!$N$363:$BG$363</c:f>
              <c:numCache>
                <c:formatCode>General</c:formatCode>
                <c:ptCount val="46"/>
              </c:numCache>
            </c:numRef>
          </c:xVal>
          <c:yVal>
            <c:numRef>
              <c:f>'input site'!$N$402:$BG$402</c:f>
              <c:numCache>
                <c:formatCode>General</c:formatCode>
                <c:ptCount val="46"/>
              </c:numCache>
            </c:numRef>
          </c:yVal>
          <c:smooth val="1"/>
          <c:extLst>
            <c:ext xmlns:c16="http://schemas.microsoft.com/office/drawing/2014/chart" uri="{C3380CC4-5D6E-409C-BE32-E72D297353CC}">
              <c16:uniqueId val="{0000000A-A8A7-49F1-8EB6-9217E1F41793}"/>
            </c:ext>
          </c:extLst>
        </c:ser>
        <c:ser>
          <c:idx val="11"/>
          <c:order val="11"/>
          <c:tx>
            <c:strRef>
              <c:f>'input site'!$M$403</c:f>
              <c:strCache>
                <c:ptCount val="1"/>
              </c:strCache>
            </c:strRef>
          </c:tx>
          <c:spPr>
            <a:ln w="19050" cap="rnd">
              <a:solidFill>
                <a:schemeClr val="bg1">
                  <a:lumMod val="50000"/>
                </a:schemeClr>
              </a:solidFill>
              <a:round/>
            </a:ln>
            <a:effectLst/>
          </c:spPr>
          <c:marker>
            <c:symbol val="none"/>
          </c:marker>
          <c:xVal>
            <c:numRef>
              <c:f>'input site'!$N$363:$BG$363</c:f>
              <c:numCache>
                <c:formatCode>General</c:formatCode>
                <c:ptCount val="46"/>
              </c:numCache>
            </c:numRef>
          </c:xVal>
          <c:yVal>
            <c:numRef>
              <c:f>'input site'!$N$403:$BG$403</c:f>
              <c:numCache>
                <c:formatCode>General</c:formatCode>
                <c:ptCount val="46"/>
              </c:numCache>
            </c:numRef>
          </c:yVal>
          <c:smooth val="1"/>
          <c:extLst>
            <c:ext xmlns:c16="http://schemas.microsoft.com/office/drawing/2014/chart" uri="{C3380CC4-5D6E-409C-BE32-E72D297353CC}">
              <c16:uniqueId val="{0000000B-A8A7-49F1-8EB6-9217E1F41793}"/>
            </c:ext>
          </c:extLst>
        </c:ser>
        <c:dLbls>
          <c:showLegendKey val="0"/>
          <c:showVal val="0"/>
          <c:showCatName val="0"/>
          <c:showSerName val="0"/>
          <c:showPercent val="0"/>
          <c:showBubbleSize val="0"/>
        </c:dLbls>
        <c:axId val="948843200"/>
        <c:axId val="948838280"/>
      </c:scatterChart>
      <c:valAx>
        <c:axId val="948843200"/>
        <c:scaling>
          <c:orientation val="minMax"/>
          <c:max val="203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8280"/>
        <c:crosses val="autoZero"/>
        <c:crossBetween val="midCat"/>
      </c:valAx>
      <c:valAx>
        <c:axId val="948838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432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Global</a:t>
            </a:r>
            <a:r>
              <a:rPr lang="en-US" b="1" baseline="0"/>
              <a:t> Results Difference (Negative means new data is lower)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'input site'!$M$406</c:f>
              <c:strCache>
                <c:ptCount val="1"/>
              </c:strCache>
            </c:strRef>
          </c:tx>
          <c:spPr>
            <a:ln w="19050" cap="rnd">
              <a:solidFill>
                <a:schemeClr val="tx1"/>
              </a:solidFill>
              <a:round/>
            </a:ln>
            <a:effectLst/>
          </c:spPr>
          <c:marker>
            <c:symbol val="none"/>
          </c:marker>
          <c:xVal>
            <c:numRef>
              <c:f>'input site'!$N$363:$BG$363</c:f>
              <c:numCache>
                <c:formatCode>General</c:formatCode>
                <c:ptCount val="46"/>
              </c:numCache>
            </c:numRef>
          </c:xVal>
          <c:yVal>
            <c:numRef>
              <c:f>'input site'!$N$406:$BG$406</c:f>
              <c:numCache>
                <c:formatCode>General</c:formatCode>
                <c:ptCount val="46"/>
              </c:numCache>
            </c:numRef>
          </c:yVal>
          <c:smooth val="1"/>
          <c:extLst>
            <c:ext xmlns:c16="http://schemas.microsoft.com/office/drawing/2014/chart" uri="{C3380CC4-5D6E-409C-BE32-E72D297353CC}">
              <c16:uniqueId val="{00000000-2136-4AB6-A569-19EEDCD45033}"/>
            </c:ext>
          </c:extLst>
        </c:ser>
        <c:ser>
          <c:idx val="1"/>
          <c:order val="1"/>
          <c:tx>
            <c:strRef>
              <c:f>'input site'!$M$407</c:f>
              <c:strCache>
                <c:ptCount val="1"/>
              </c:strCache>
            </c:strRef>
          </c:tx>
          <c:spPr>
            <a:ln w="19050" cap="rnd">
              <a:solidFill>
                <a:schemeClr val="tx1"/>
              </a:solidFill>
              <a:prstDash val="dash"/>
              <a:round/>
            </a:ln>
            <a:effectLst/>
          </c:spPr>
          <c:marker>
            <c:symbol val="none"/>
          </c:marker>
          <c:xVal>
            <c:numRef>
              <c:f>'input site'!$N$363:$BG$363</c:f>
              <c:numCache>
                <c:formatCode>General</c:formatCode>
                <c:ptCount val="46"/>
              </c:numCache>
            </c:numRef>
          </c:xVal>
          <c:yVal>
            <c:numRef>
              <c:f>'input site'!$N$407:$BG$407</c:f>
              <c:numCache>
                <c:formatCode>General</c:formatCode>
                <c:ptCount val="46"/>
              </c:numCache>
            </c:numRef>
          </c:yVal>
          <c:smooth val="1"/>
          <c:extLst>
            <c:ext xmlns:c16="http://schemas.microsoft.com/office/drawing/2014/chart" uri="{C3380CC4-5D6E-409C-BE32-E72D297353CC}">
              <c16:uniqueId val="{00000001-2136-4AB6-A569-19EEDCD45033}"/>
            </c:ext>
          </c:extLst>
        </c:ser>
        <c:ser>
          <c:idx val="2"/>
          <c:order val="2"/>
          <c:tx>
            <c:strRef>
              <c:f>'input site'!$M$408</c:f>
              <c:strCache>
                <c:ptCount val="1"/>
              </c:strCache>
            </c:strRef>
          </c:tx>
          <c:spPr>
            <a:ln w="19050" cap="rnd">
              <a:noFill/>
              <a:round/>
            </a:ln>
            <a:effectLst/>
          </c:spPr>
          <c:marker>
            <c:symbol val="circle"/>
            <c:size val="5"/>
            <c:spPr>
              <a:solidFill>
                <a:srgbClr val="00B0F0"/>
              </a:solidFill>
              <a:ln w="9525">
                <a:solidFill>
                  <a:srgbClr val="00B0F0"/>
                </a:solidFill>
              </a:ln>
              <a:effectLst/>
            </c:spPr>
          </c:marker>
          <c:xVal>
            <c:numRef>
              <c:f>'input site'!$N$363:$BG$363</c:f>
              <c:numCache>
                <c:formatCode>General</c:formatCode>
                <c:ptCount val="46"/>
              </c:numCache>
            </c:numRef>
          </c:xVal>
          <c:yVal>
            <c:numRef>
              <c:f>'input site'!$N$408:$BG$408</c:f>
              <c:numCache>
                <c:formatCode>General</c:formatCode>
                <c:ptCount val="46"/>
              </c:numCache>
            </c:numRef>
          </c:yVal>
          <c:smooth val="1"/>
          <c:extLst>
            <c:ext xmlns:c16="http://schemas.microsoft.com/office/drawing/2014/chart" uri="{C3380CC4-5D6E-409C-BE32-E72D297353CC}">
              <c16:uniqueId val="{00000002-2136-4AB6-A569-19EEDCD45033}"/>
            </c:ext>
          </c:extLst>
        </c:ser>
        <c:ser>
          <c:idx val="3"/>
          <c:order val="3"/>
          <c:tx>
            <c:strRef>
              <c:f>'input site'!$M$409</c:f>
              <c:strCache>
                <c:ptCount val="1"/>
              </c:strCache>
            </c:strRef>
          </c:tx>
          <c:spPr>
            <a:ln w="19050" cap="rnd">
              <a:noFill/>
              <a:round/>
            </a:ln>
            <a:effectLst/>
          </c:spPr>
          <c:marker>
            <c:symbol val="circle"/>
            <c:size val="5"/>
            <c:spPr>
              <a:solidFill>
                <a:schemeClr val="accent5"/>
              </a:solidFill>
              <a:ln w="9525">
                <a:solidFill>
                  <a:schemeClr val="accent5"/>
                </a:solidFill>
              </a:ln>
              <a:effectLst/>
            </c:spPr>
          </c:marker>
          <c:xVal>
            <c:numRef>
              <c:f>'input site'!$N$363:$BG$363</c:f>
              <c:numCache>
                <c:formatCode>General</c:formatCode>
                <c:ptCount val="46"/>
              </c:numCache>
            </c:numRef>
          </c:xVal>
          <c:yVal>
            <c:numRef>
              <c:f>'input site'!$N$409:$BG$409</c:f>
              <c:numCache>
                <c:formatCode>General</c:formatCode>
                <c:ptCount val="46"/>
              </c:numCache>
            </c:numRef>
          </c:yVal>
          <c:smooth val="1"/>
          <c:extLst>
            <c:ext xmlns:c16="http://schemas.microsoft.com/office/drawing/2014/chart" uri="{C3380CC4-5D6E-409C-BE32-E72D297353CC}">
              <c16:uniqueId val="{00000003-2136-4AB6-A569-19EEDCD45033}"/>
            </c:ext>
          </c:extLst>
        </c:ser>
        <c:ser>
          <c:idx val="4"/>
          <c:order val="4"/>
          <c:tx>
            <c:strRef>
              <c:f>'input site'!$M$410</c:f>
              <c:strCache>
                <c:ptCount val="1"/>
              </c:strCache>
            </c:strRef>
          </c:tx>
          <c:spPr>
            <a:ln w="19050" cap="rnd">
              <a:noFill/>
              <a:round/>
            </a:ln>
            <a:effectLst/>
          </c:spPr>
          <c:marker>
            <c:symbol val="circle"/>
            <c:size val="5"/>
            <c:spPr>
              <a:solidFill>
                <a:srgbClr val="7030A0"/>
              </a:solidFill>
              <a:ln w="9525">
                <a:solidFill>
                  <a:srgbClr val="7030A0"/>
                </a:solidFill>
              </a:ln>
              <a:effectLst/>
            </c:spPr>
          </c:marker>
          <c:xVal>
            <c:numRef>
              <c:f>'input site'!$N$363:$BG$363</c:f>
              <c:numCache>
                <c:formatCode>General</c:formatCode>
                <c:ptCount val="46"/>
              </c:numCache>
            </c:numRef>
          </c:xVal>
          <c:yVal>
            <c:numRef>
              <c:f>'input site'!$N$410:$BG$410</c:f>
              <c:numCache>
                <c:formatCode>General</c:formatCode>
                <c:ptCount val="46"/>
              </c:numCache>
            </c:numRef>
          </c:yVal>
          <c:smooth val="1"/>
          <c:extLst>
            <c:ext xmlns:c16="http://schemas.microsoft.com/office/drawing/2014/chart" uri="{C3380CC4-5D6E-409C-BE32-E72D297353CC}">
              <c16:uniqueId val="{00000004-2136-4AB6-A569-19EEDCD45033}"/>
            </c:ext>
          </c:extLst>
        </c:ser>
        <c:ser>
          <c:idx val="5"/>
          <c:order val="5"/>
          <c:tx>
            <c:strRef>
              <c:f>'input site'!$M$411</c:f>
              <c:strCache>
                <c:ptCount val="1"/>
              </c:strCache>
            </c:strRef>
          </c:tx>
          <c:spPr>
            <a:ln w="19050" cap="rnd">
              <a:noFill/>
              <a:round/>
            </a:ln>
            <a:effectLst/>
          </c:spPr>
          <c:marker>
            <c:symbol val="circle"/>
            <c:size val="5"/>
            <c:spPr>
              <a:solidFill>
                <a:srgbClr val="C00000"/>
              </a:solidFill>
              <a:ln w="9525">
                <a:solidFill>
                  <a:srgbClr val="C00000"/>
                </a:solidFill>
              </a:ln>
              <a:effectLst/>
            </c:spPr>
          </c:marker>
          <c:xVal>
            <c:numRef>
              <c:f>'input site'!$N$363:$BG$363</c:f>
              <c:numCache>
                <c:formatCode>General</c:formatCode>
                <c:ptCount val="46"/>
              </c:numCache>
            </c:numRef>
          </c:xVal>
          <c:yVal>
            <c:numRef>
              <c:f>'input site'!$N$411:$BG$411</c:f>
              <c:numCache>
                <c:formatCode>General</c:formatCode>
                <c:ptCount val="46"/>
              </c:numCache>
            </c:numRef>
          </c:yVal>
          <c:smooth val="1"/>
          <c:extLst>
            <c:ext xmlns:c16="http://schemas.microsoft.com/office/drawing/2014/chart" uri="{C3380CC4-5D6E-409C-BE32-E72D297353CC}">
              <c16:uniqueId val="{00000005-2136-4AB6-A569-19EEDCD45033}"/>
            </c:ext>
          </c:extLst>
        </c:ser>
        <c:ser>
          <c:idx val="6"/>
          <c:order val="6"/>
          <c:tx>
            <c:strRef>
              <c:f>'input site'!$M$412</c:f>
              <c:strCache>
                <c:ptCount val="1"/>
              </c:strCache>
            </c:strRef>
          </c:tx>
          <c:spPr>
            <a:ln w="19050" cap="rnd">
              <a:solidFill>
                <a:srgbClr val="92D050"/>
              </a:solidFill>
              <a:round/>
            </a:ln>
            <a:effectLst/>
          </c:spPr>
          <c:marker>
            <c:symbol val="none"/>
          </c:marker>
          <c:xVal>
            <c:numRef>
              <c:f>'input site'!$N$363:$BG$363</c:f>
              <c:numCache>
                <c:formatCode>General</c:formatCode>
                <c:ptCount val="46"/>
              </c:numCache>
            </c:numRef>
          </c:xVal>
          <c:yVal>
            <c:numRef>
              <c:f>'input site'!$N$412:$BG$412</c:f>
              <c:numCache>
                <c:formatCode>General</c:formatCode>
                <c:ptCount val="46"/>
              </c:numCache>
            </c:numRef>
          </c:yVal>
          <c:smooth val="1"/>
          <c:extLst>
            <c:ext xmlns:c16="http://schemas.microsoft.com/office/drawing/2014/chart" uri="{C3380CC4-5D6E-409C-BE32-E72D297353CC}">
              <c16:uniqueId val="{00000006-2136-4AB6-A569-19EEDCD45033}"/>
            </c:ext>
          </c:extLst>
        </c:ser>
        <c:ser>
          <c:idx val="7"/>
          <c:order val="7"/>
          <c:tx>
            <c:strRef>
              <c:f>'input site'!$M$413</c:f>
              <c:strCache>
                <c:ptCount val="1"/>
              </c:strCache>
            </c:strRef>
          </c:tx>
          <c:spPr>
            <a:ln w="19050" cap="rnd">
              <a:solidFill>
                <a:schemeClr val="accent6"/>
              </a:solidFill>
              <a:round/>
            </a:ln>
            <a:effectLst/>
          </c:spPr>
          <c:marker>
            <c:symbol val="none"/>
          </c:marker>
          <c:xVal>
            <c:numRef>
              <c:f>'input site'!$N$363:$BG$363</c:f>
              <c:numCache>
                <c:formatCode>General</c:formatCode>
                <c:ptCount val="46"/>
              </c:numCache>
            </c:numRef>
          </c:xVal>
          <c:yVal>
            <c:numRef>
              <c:f>'input site'!$N$413:$BG$413</c:f>
              <c:numCache>
                <c:formatCode>General</c:formatCode>
                <c:ptCount val="46"/>
              </c:numCache>
            </c:numRef>
          </c:yVal>
          <c:smooth val="1"/>
          <c:extLst>
            <c:ext xmlns:c16="http://schemas.microsoft.com/office/drawing/2014/chart" uri="{C3380CC4-5D6E-409C-BE32-E72D297353CC}">
              <c16:uniqueId val="{00000007-2136-4AB6-A569-19EEDCD45033}"/>
            </c:ext>
          </c:extLst>
        </c:ser>
        <c:ser>
          <c:idx val="8"/>
          <c:order val="8"/>
          <c:tx>
            <c:strRef>
              <c:f>'input site'!$M$414</c:f>
              <c:strCache>
                <c:ptCount val="1"/>
              </c:strCache>
            </c:strRef>
          </c:tx>
          <c:spPr>
            <a:ln w="19050" cap="rnd">
              <a:solidFill>
                <a:schemeClr val="accent6"/>
              </a:solidFill>
              <a:round/>
            </a:ln>
            <a:effectLst/>
          </c:spPr>
          <c:marker>
            <c:symbol val="none"/>
          </c:marker>
          <c:xVal>
            <c:numRef>
              <c:f>'input site'!$N$363:$BG$363</c:f>
              <c:numCache>
                <c:formatCode>General</c:formatCode>
                <c:ptCount val="46"/>
              </c:numCache>
            </c:numRef>
          </c:xVal>
          <c:yVal>
            <c:numRef>
              <c:f>'input site'!$N$414:$BG$414</c:f>
              <c:numCache>
                <c:formatCode>General</c:formatCode>
                <c:ptCount val="46"/>
              </c:numCache>
            </c:numRef>
          </c:yVal>
          <c:smooth val="1"/>
          <c:extLst>
            <c:ext xmlns:c16="http://schemas.microsoft.com/office/drawing/2014/chart" uri="{C3380CC4-5D6E-409C-BE32-E72D297353CC}">
              <c16:uniqueId val="{00000008-2136-4AB6-A569-19EEDCD45033}"/>
            </c:ext>
          </c:extLst>
        </c:ser>
        <c:ser>
          <c:idx val="9"/>
          <c:order val="9"/>
          <c:tx>
            <c:strRef>
              <c:f>'input site'!$M$415</c:f>
              <c:strCache>
                <c:ptCount val="1"/>
              </c:strCache>
            </c:strRef>
          </c:tx>
          <c:spPr>
            <a:ln w="19050" cap="rnd">
              <a:solidFill>
                <a:schemeClr val="bg1">
                  <a:lumMod val="75000"/>
                </a:schemeClr>
              </a:solidFill>
              <a:round/>
            </a:ln>
            <a:effectLst/>
          </c:spPr>
          <c:marker>
            <c:symbol val="none"/>
          </c:marker>
          <c:xVal>
            <c:numRef>
              <c:f>'input site'!$N$363:$BG$363</c:f>
              <c:numCache>
                <c:formatCode>General</c:formatCode>
                <c:ptCount val="46"/>
              </c:numCache>
            </c:numRef>
          </c:xVal>
          <c:yVal>
            <c:numRef>
              <c:f>'input site'!$N$415:$BG$415</c:f>
              <c:numCache>
                <c:formatCode>General</c:formatCode>
                <c:ptCount val="46"/>
              </c:numCache>
            </c:numRef>
          </c:yVal>
          <c:smooth val="1"/>
          <c:extLst>
            <c:ext xmlns:c16="http://schemas.microsoft.com/office/drawing/2014/chart" uri="{C3380CC4-5D6E-409C-BE32-E72D297353CC}">
              <c16:uniqueId val="{00000009-2136-4AB6-A569-19EEDCD45033}"/>
            </c:ext>
          </c:extLst>
        </c:ser>
        <c:ser>
          <c:idx val="10"/>
          <c:order val="10"/>
          <c:tx>
            <c:strRef>
              <c:f>'input site'!$M$416</c:f>
              <c:strCache>
                <c:ptCount val="1"/>
              </c:strCache>
            </c:strRef>
          </c:tx>
          <c:spPr>
            <a:ln w="19050" cap="rnd">
              <a:solidFill>
                <a:schemeClr val="bg1">
                  <a:lumMod val="50000"/>
                </a:schemeClr>
              </a:solidFill>
              <a:round/>
            </a:ln>
            <a:effectLst/>
          </c:spPr>
          <c:marker>
            <c:symbol val="none"/>
          </c:marker>
          <c:xVal>
            <c:numRef>
              <c:f>'input site'!$N$363:$BG$363</c:f>
              <c:numCache>
                <c:formatCode>General</c:formatCode>
                <c:ptCount val="46"/>
              </c:numCache>
            </c:numRef>
          </c:xVal>
          <c:yVal>
            <c:numRef>
              <c:f>'input site'!$N$416:$BG$416</c:f>
              <c:numCache>
                <c:formatCode>General</c:formatCode>
                <c:ptCount val="46"/>
              </c:numCache>
            </c:numRef>
          </c:yVal>
          <c:smooth val="1"/>
          <c:extLst>
            <c:ext xmlns:c16="http://schemas.microsoft.com/office/drawing/2014/chart" uri="{C3380CC4-5D6E-409C-BE32-E72D297353CC}">
              <c16:uniqueId val="{0000000A-2136-4AB6-A569-19EEDCD45033}"/>
            </c:ext>
          </c:extLst>
        </c:ser>
        <c:ser>
          <c:idx val="11"/>
          <c:order val="11"/>
          <c:tx>
            <c:strRef>
              <c:f>'input site'!$M$417</c:f>
              <c:strCache>
                <c:ptCount val="1"/>
              </c:strCache>
            </c:strRef>
          </c:tx>
          <c:spPr>
            <a:ln w="19050" cap="rnd">
              <a:solidFill>
                <a:schemeClr val="bg1">
                  <a:lumMod val="50000"/>
                </a:schemeClr>
              </a:solidFill>
              <a:round/>
            </a:ln>
            <a:effectLst/>
          </c:spPr>
          <c:marker>
            <c:symbol val="none"/>
          </c:marker>
          <c:xVal>
            <c:numRef>
              <c:f>'input site'!$N$363:$BG$363</c:f>
              <c:numCache>
                <c:formatCode>General</c:formatCode>
                <c:ptCount val="46"/>
              </c:numCache>
            </c:numRef>
          </c:xVal>
          <c:yVal>
            <c:numRef>
              <c:f>'input site'!$N$417:$BG$417</c:f>
              <c:numCache>
                <c:formatCode>General</c:formatCode>
                <c:ptCount val="46"/>
              </c:numCache>
            </c:numRef>
          </c:yVal>
          <c:smooth val="1"/>
          <c:extLst>
            <c:ext xmlns:c16="http://schemas.microsoft.com/office/drawing/2014/chart" uri="{C3380CC4-5D6E-409C-BE32-E72D297353CC}">
              <c16:uniqueId val="{0000000B-2136-4AB6-A569-19EEDCD45033}"/>
            </c:ext>
          </c:extLst>
        </c:ser>
        <c:dLbls>
          <c:showLegendKey val="0"/>
          <c:showVal val="0"/>
          <c:showCatName val="0"/>
          <c:showSerName val="0"/>
          <c:showPercent val="0"/>
          <c:showBubbleSize val="0"/>
        </c:dLbls>
        <c:axId val="948843200"/>
        <c:axId val="948838280"/>
      </c:scatterChart>
      <c:valAx>
        <c:axId val="948843200"/>
        <c:scaling>
          <c:orientation val="minMax"/>
          <c:max val="2030"/>
          <c:min val="199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8280"/>
        <c:crosses val="autoZero"/>
        <c:crossBetween val="midCat"/>
      </c:valAx>
      <c:valAx>
        <c:axId val="948838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432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txData>
          <cx:v>Additional emission/sequestration reduction from the LULUCF sector</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Additional emission/sequestration reduction from the LULUCF sector</a:t>
          </a:r>
        </a:p>
      </cx:txPr>
    </cx:title>
    <cx:plotArea>
      <cx:plotAreaRegion>
        <cx:series layoutId="waterfall" uniqueId="{5F44482F-C3EC-44FD-9151-A1D1D60B035D}">
          <cx:tx>
            <cx:txData>
              <cx:f>_xlchart.v1.1</cx:f>
              <cx:v>Reduction</cx:v>
            </cx:txData>
          </cx:tx>
          <cx:dataPt idx="13">
            <cx:spPr>
              <a:solidFill>
                <a:sysClr val="windowText" lastClr="000000"/>
              </a:solidFill>
            </cx:spPr>
          </cx:dataPt>
          <cx:dataPt idx="14">
            <cx:spPr>
              <a:solidFill>
                <a:sysClr val="windowText" lastClr="000000"/>
              </a:solidFill>
            </cx:spPr>
          </cx:dataPt>
          <cx:dataId val="0"/>
          <cx:layoutPr>
            <cx:subtotals/>
          </cx:layoutPr>
        </cx:series>
      </cx:plotAreaRegion>
      <cx:axis id="0">
        <cx:catScaling gapWidth="0.5"/>
        <cx:majorTickMarks type="out"/>
        <cx:tickLabels/>
        <cx:spPr>
          <a:ln w="15875">
            <a:solidFill>
              <a:schemeClr val="bg1">
                <a:lumMod val="65000"/>
              </a:schemeClr>
            </a:solidFill>
          </a:ln>
        </cx:spPr>
      </cx:axis>
      <cx:axis id="1">
        <cx:valScaling/>
        <cx:title>
          <cx:tx>
            <cx:txData>
              <cx:v>MtCO2</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MtCO2</a:t>
              </a:r>
            </a:p>
          </cx:txPr>
        </cx:title>
        <cx:majorGridlines/>
        <cx:majorTickMarks type="out"/>
        <cx:tickLabels/>
        <cx:spPr>
          <a:ln w="15875">
            <a:solidFill>
              <a:schemeClr val="bg1">
                <a:lumMod val="65000"/>
              </a:schemeClr>
            </a:solidFill>
          </a:ln>
        </cx:sp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image" Target="../media/image1.png"/><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18</xdr:col>
      <xdr:colOff>895350</xdr:colOff>
      <xdr:row>264</xdr:row>
      <xdr:rowOff>142875</xdr:rowOff>
    </xdr:from>
    <xdr:to>
      <xdr:col>64</xdr:col>
      <xdr:colOff>9525</xdr:colOff>
      <xdr:row>284</xdr:row>
      <xdr:rowOff>114300</xdr:rowOff>
    </xdr:to>
    <xdr:graphicFrame macro="">
      <xdr:nvGraphicFramePr>
        <xdr:cNvPr id="2" name="Chart 1">
          <a:extLst>
            <a:ext uri="{FF2B5EF4-FFF2-40B4-BE49-F238E27FC236}">
              <a16:creationId xmlns:a16="http://schemas.microsoft.com/office/drawing/2014/main" id="{7BE1DC8D-BD66-499F-A8C4-6F23F0A67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219075</xdr:colOff>
      <xdr:row>1</xdr:row>
      <xdr:rowOff>9526</xdr:rowOff>
    </xdr:from>
    <xdr:to>
      <xdr:col>10</xdr:col>
      <xdr:colOff>478041</xdr:colOff>
      <xdr:row>4</xdr:row>
      <xdr:rowOff>171451</xdr:rowOff>
    </xdr:to>
    <xdr:sp macro="" textlink="">
      <xdr:nvSpPr>
        <xdr:cNvPr id="3" name="Right Brace 2">
          <a:extLst>
            <a:ext uri="{FF2B5EF4-FFF2-40B4-BE49-F238E27FC236}">
              <a16:creationId xmlns:a16="http://schemas.microsoft.com/office/drawing/2014/main" id="{488F7C83-3423-4C99-AE7B-FC4055E25FC0}"/>
            </a:ext>
          </a:extLst>
        </xdr:cNvPr>
        <xdr:cNvSpPr/>
      </xdr:nvSpPr>
      <xdr:spPr>
        <a:xfrm>
          <a:off x="9614535" y="360046"/>
          <a:ext cx="258966" cy="710565"/>
        </a:xfrm>
        <a:prstGeom prst="righ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NL" sz="1100"/>
        </a:p>
      </xdr:txBody>
    </xdr:sp>
    <xdr:clientData/>
  </xdr:twoCellAnchor>
  <xdr:twoCellAnchor>
    <xdr:from>
      <xdr:col>10</xdr:col>
      <xdr:colOff>478041</xdr:colOff>
      <xdr:row>1</xdr:row>
      <xdr:rowOff>142875</xdr:rowOff>
    </xdr:from>
    <xdr:to>
      <xdr:col>10</xdr:col>
      <xdr:colOff>1562100</xdr:colOff>
      <xdr:row>3</xdr:row>
      <xdr:rowOff>1</xdr:rowOff>
    </xdr:to>
    <xdr:cxnSp macro="">
      <xdr:nvCxnSpPr>
        <xdr:cNvPr id="4" name="Straight Arrow Connector 3">
          <a:extLst>
            <a:ext uri="{FF2B5EF4-FFF2-40B4-BE49-F238E27FC236}">
              <a16:creationId xmlns:a16="http://schemas.microsoft.com/office/drawing/2014/main" id="{91C1AF81-96DB-40E2-8018-E4FA8FE4C881}"/>
            </a:ext>
          </a:extLst>
        </xdr:cNvPr>
        <xdr:cNvCxnSpPr>
          <a:stCxn id="3" idx="1"/>
        </xdr:cNvCxnSpPr>
      </xdr:nvCxnSpPr>
      <xdr:spPr>
        <a:xfrm flipV="1">
          <a:off x="9873501" y="493395"/>
          <a:ext cx="1084059" cy="2228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766762</xdr:colOff>
      <xdr:row>268</xdr:row>
      <xdr:rowOff>142875</xdr:rowOff>
    </xdr:from>
    <xdr:to>
      <xdr:col>14</xdr:col>
      <xdr:colOff>300037</xdr:colOff>
      <xdr:row>283</xdr:row>
      <xdr:rowOff>95250</xdr:rowOff>
    </xdr:to>
    <xdr:graphicFrame macro="">
      <xdr:nvGraphicFramePr>
        <xdr:cNvPr id="5" name="Chart 4">
          <a:extLst>
            <a:ext uri="{FF2B5EF4-FFF2-40B4-BE49-F238E27FC236}">
              <a16:creationId xmlns:a16="http://schemas.microsoft.com/office/drawing/2014/main" id="{1F55688A-585D-4A18-9DDC-622731FAD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269</xdr:row>
      <xdr:rowOff>0</xdr:rowOff>
    </xdr:from>
    <xdr:to>
      <xdr:col>18</xdr:col>
      <xdr:colOff>371475</xdr:colOff>
      <xdr:row>283</xdr:row>
      <xdr:rowOff>114300</xdr:rowOff>
    </xdr:to>
    <xdr:graphicFrame macro="">
      <xdr:nvGraphicFramePr>
        <xdr:cNvPr id="6" name="Chart 5">
          <a:extLst>
            <a:ext uri="{FF2B5EF4-FFF2-40B4-BE49-F238E27FC236}">
              <a16:creationId xmlns:a16="http://schemas.microsoft.com/office/drawing/2014/main" id="{7D22C04B-C6C3-4BFA-B04F-56F024178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85725</xdr:colOff>
      <xdr:row>244</xdr:row>
      <xdr:rowOff>19050</xdr:rowOff>
    </xdr:from>
    <xdr:to>
      <xdr:col>52</xdr:col>
      <xdr:colOff>295275</xdr:colOff>
      <xdr:row>266</xdr:row>
      <xdr:rowOff>28575</xdr:rowOff>
    </xdr:to>
    <xdr:graphicFrame macro="">
      <xdr:nvGraphicFramePr>
        <xdr:cNvPr id="7" name="Chart 6">
          <a:extLst>
            <a:ext uri="{FF2B5EF4-FFF2-40B4-BE49-F238E27FC236}">
              <a16:creationId xmlns:a16="http://schemas.microsoft.com/office/drawing/2014/main" id="{D41D32B8-43F2-4B82-A427-76CA7D252B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1487805</xdr:colOff>
      <xdr:row>284</xdr:row>
      <xdr:rowOff>83820</xdr:rowOff>
    </xdr:from>
    <xdr:to>
      <xdr:col>14</xdr:col>
      <xdr:colOff>838200</xdr:colOff>
      <xdr:row>306</xdr:row>
      <xdr:rowOff>106680</xdr:rowOff>
    </xdr:to>
    <xdr:graphicFrame macro="">
      <xdr:nvGraphicFramePr>
        <xdr:cNvPr id="8" name="Chart 7">
          <a:extLst>
            <a:ext uri="{FF2B5EF4-FFF2-40B4-BE49-F238E27FC236}">
              <a16:creationId xmlns:a16="http://schemas.microsoft.com/office/drawing/2014/main" id="{BFF5BA56-377F-44EF-BC94-1A76F0762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895350</xdr:colOff>
      <xdr:row>264</xdr:row>
      <xdr:rowOff>142875</xdr:rowOff>
    </xdr:from>
    <xdr:to>
      <xdr:col>64</xdr:col>
      <xdr:colOff>9525</xdr:colOff>
      <xdr:row>284</xdr:row>
      <xdr:rowOff>114300</xdr:rowOff>
    </xdr:to>
    <xdr:graphicFrame macro="">
      <xdr:nvGraphicFramePr>
        <xdr:cNvPr id="9" name="Chart 8">
          <a:extLst>
            <a:ext uri="{FF2B5EF4-FFF2-40B4-BE49-F238E27FC236}">
              <a16:creationId xmlns:a16="http://schemas.microsoft.com/office/drawing/2014/main" id="{DD164C10-8B9D-479E-981E-E8DC54AEB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219075</xdr:colOff>
      <xdr:row>1</xdr:row>
      <xdr:rowOff>9526</xdr:rowOff>
    </xdr:from>
    <xdr:to>
      <xdr:col>10</xdr:col>
      <xdr:colOff>478041</xdr:colOff>
      <xdr:row>4</xdr:row>
      <xdr:rowOff>171451</xdr:rowOff>
    </xdr:to>
    <xdr:sp macro="" textlink="">
      <xdr:nvSpPr>
        <xdr:cNvPr id="10" name="Right Brace 9">
          <a:extLst>
            <a:ext uri="{FF2B5EF4-FFF2-40B4-BE49-F238E27FC236}">
              <a16:creationId xmlns:a16="http://schemas.microsoft.com/office/drawing/2014/main" id="{E0C78C80-F5E8-45AF-87D3-F60F86CC3B8B}"/>
            </a:ext>
          </a:extLst>
        </xdr:cNvPr>
        <xdr:cNvSpPr/>
      </xdr:nvSpPr>
      <xdr:spPr>
        <a:xfrm>
          <a:off x="9614535" y="360046"/>
          <a:ext cx="258966" cy="710565"/>
        </a:xfrm>
        <a:prstGeom prst="righ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NL" sz="1100"/>
        </a:p>
      </xdr:txBody>
    </xdr:sp>
    <xdr:clientData/>
  </xdr:twoCellAnchor>
  <xdr:twoCellAnchor>
    <xdr:from>
      <xdr:col>10</xdr:col>
      <xdr:colOff>478041</xdr:colOff>
      <xdr:row>1</xdr:row>
      <xdr:rowOff>142875</xdr:rowOff>
    </xdr:from>
    <xdr:to>
      <xdr:col>10</xdr:col>
      <xdr:colOff>1562100</xdr:colOff>
      <xdr:row>3</xdr:row>
      <xdr:rowOff>1</xdr:rowOff>
    </xdr:to>
    <xdr:cxnSp macro="">
      <xdr:nvCxnSpPr>
        <xdr:cNvPr id="11" name="Straight Arrow Connector 10">
          <a:extLst>
            <a:ext uri="{FF2B5EF4-FFF2-40B4-BE49-F238E27FC236}">
              <a16:creationId xmlns:a16="http://schemas.microsoft.com/office/drawing/2014/main" id="{710B3E46-1AD7-4777-B680-DEE671878131}"/>
            </a:ext>
          </a:extLst>
        </xdr:cNvPr>
        <xdr:cNvCxnSpPr>
          <a:stCxn id="10" idx="1"/>
        </xdr:cNvCxnSpPr>
      </xdr:nvCxnSpPr>
      <xdr:spPr>
        <a:xfrm flipV="1">
          <a:off x="9873501" y="493395"/>
          <a:ext cx="1084059" cy="2228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766762</xdr:colOff>
      <xdr:row>268</xdr:row>
      <xdr:rowOff>142875</xdr:rowOff>
    </xdr:from>
    <xdr:to>
      <xdr:col>14</xdr:col>
      <xdr:colOff>300037</xdr:colOff>
      <xdr:row>283</xdr:row>
      <xdr:rowOff>95250</xdr:rowOff>
    </xdr:to>
    <xdr:graphicFrame macro="">
      <xdr:nvGraphicFramePr>
        <xdr:cNvPr id="12" name="Chart 11">
          <a:extLst>
            <a:ext uri="{FF2B5EF4-FFF2-40B4-BE49-F238E27FC236}">
              <a16:creationId xmlns:a16="http://schemas.microsoft.com/office/drawing/2014/main" id="{51B98F7A-11D3-4672-869E-3287D7DAF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0</xdr:colOff>
      <xdr:row>269</xdr:row>
      <xdr:rowOff>0</xdr:rowOff>
    </xdr:from>
    <xdr:to>
      <xdr:col>18</xdr:col>
      <xdr:colOff>371475</xdr:colOff>
      <xdr:row>283</xdr:row>
      <xdr:rowOff>114300</xdr:rowOff>
    </xdr:to>
    <xdr:graphicFrame macro="">
      <xdr:nvGraphicFramePr>
        <xdr:cNvPr id="13" name="Chart 12">
          <a:extLst>
            <a:ext uri="{FF2B5EF4-FFF2-40B4-BE49-F238E27FC236}">
              <a16:creationId xmlns:a16="http://schemas.microsoft.com/office/drawing/2014/main" id="{6F683D44-9DBB-4C96-B736-B04CF6883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85725</xdr:colOff>
      <xdr:row>244</xdr:row>
      <xdr:rowOff>19050</xdr:rowOff>
    </xdr:from>
    <xdr:to>
      <xdr:col>52</xdr:col>
      <xdr:colOff>295275</xdr:colOff>
      <xdr:row>266</xdr:row>
      <xdr:rowOff>28575</xdr:rowOff>
    </xdr:to>
    <xdr:graphicFrame macro="">
      <xdr:nvGraphicFramePr>
        <xdr:cNvPr id="14" name="Chart 13">
          <a:extLst>
            <a:ext uri="{FF2B5EF4-FFF2-40B4-BE49-F238E27FC236}">
              <a16:creationId xmlns:a16="http://schemas.microsoft.com/office/drawing/2014/main" id="{2C26199E-D85B-4298-842A-D7FCABCE2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1487805</xdr:colOff>
      <xdr:row>284</xdr:row>
      <xdr:rowOff>83820</xdr:rowOff>
    </xdr:from>
    <xdr:to>
      <xdr:col>14</xdr:col>
      <xdr:colOff>838200</xdr:colOff>
      <xdr:row>306</xdr:row>
      <xdr:rowOff>106680</xdr:rowOff>
    </xdr:to>
    <xdr:graphicFrame macro="">
      <xdr:nvGraphicFramePr>
        <xdr:cNvPr id="15" name="Chart 14">
          <a:extLst>
            <a:ext uri="{FF2B5EF4-FFF2-40B4-BE49-F238E27FC236}">
              <a16:creationId xmlns:a16="http://schemas.microsoft.com/office/drawing/2014/main" id="{D494E7EF-DC9C-4DDD-BDEF-2271C4D71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895350</xdr:colOff>
      <xdr:row>264</xdr:row>
      <xdr:rowOff>142875</xdr:rowOff>
    </xdr:from>
    <xdr:to>
      <xdr:col>64</xdr:col>
      <xdr:colOff>9525</xdr:colOff>
      <xdr:row>284</xdr:row>
      <xdr:rowOff>114300</xdr:rowOff>
    </xdr:to>
    <xdr:graphicFrame macro="">
      <xdr:nvGraphicFramePr>
        <xdr:cNvPr id="16" name="Chart 15">
          <a:extLst>
            <a:ext uri="{FF2B5EF4-FFF2-40B4-BE49-F238E27FC236}">
              <a16:creationId xmlns:a16="http://schemas.microsoft.com/office/drawing/2014/main" id="{41C34571-EBCC-4257-ADDA-8C8E283F26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219075</xdr:colOff>
      <xdr:row>1</xdr:row>
      <xdr:rowOff>9526</xdr:rowOff>
    </xdr:from>
    <xdr:to>
      <xdr:col>10</xdr:col>
      <xdr:colOff>478041</xdr:colOff>
      <xdr:row>4</xdr:row>
      <xdr:rowOff>171451</xdr:rowOff>
    </xdr:to>
    <xdr:sp macro="" textlink="">
      <xdr:nvSpPr>
        <xdr:cNvPr id="17" name="Right Brace 16">
          <a:extLst>
            <a:ext uri="{FF2B5EF4-FFF2-40B4-BE49-F238E27FC236}">
              <a16:creationId xmlns:a16="http://schemas.microsoft.com/office/drawing/2014/main" id="{DA8A76E4-C376-4AFF-A3CA-5C1E2B86CCAC}"/>
            </a:ext>
          </a:extLst>
        </xdr:cNvPr>
        <xdr:cNvSpPr/>
      </xdr:nvSpPr>
      <xdr:spPr>
        <a:xfrm>
          <a:off x="9614535" y="360046"/>
          <a:ext cx="258966" cy="710565"/>
        </a:xfrm>
        <a:prstGeom prst="righ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NL" sz="1100"/>
        </a:p>
      </xdr:txBody>
    </xdr:sp>
    <xdr:clientData/>
  </xdr:twoCellAnchor>
  <xdr:twoCellAnchor>
    <xdr:from>
      <xdr:col>10</xdr:col>
      <xdr:colOff>478041</xdr:colOff>
      <xdr:row>1</xdr:row>
      <xdr:rowOff>142875</xdr:rowOff>
    </xdr:from>
    <xdr:to>
      <xdr:col>10</xdr:col>
      <xdr:colOff>1562100</xdr:colOff>
      <xdr:row>3</xdr:row>
      <xdr:rowOff>1</xdr:rowOff>
    </xdr:to>
    <xdr:cxnSp macro="">
      <xdr:nvCxnSpPr>
        <xdr:cNvPr id="18" name="Straight Arrow Connector 17">
          <a:extLst>
            <a:ext uri="{FF2B5EF4-FFF2-40B4-BE49-F238E27FC236}">
              <a16:creationId xmlns:a16="http://schemas.microsoft.com/office/drawing/2014/main" id="{99FAE40D-2CBA-4103-9B2A-2003E865E882}"/>
            </a:ext>
          </a:extLst>
        </xdr:cNvPr>
        <xdr:cNvCxnSpPr>
          <a:stCxn id="17" idx="1"/>
        </xdr:cNvCxnSpPr>
      </xdr:nvCxnSpPr>
      <xdr:spPr>
        <a:xfrm flipV="1">
          <a:off x="9873501" y="493395"/>
          <a:ext cx="1084059" cy="2228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766762</xdr:colOff>
      <xdr:row>268</xdr:row>
      <xdr:rowOff>142875</xdr:rowOff>
    </xdr:from>
    <xdr:to>
      <xdr:col>14</xdr:col>
      <xdr:colOff>300037</xdr:colOff>
      <xdr:row>283</xdr:row>
      <xdr:rowOff>95250</xdr:rowOff>
    </xdr:to>
    <xdr:graphicFrame macro="">
      <xdr:nvGraphicFramePr>
        <xdr:cNvPr id="19" name="Chart 18">
          <a:extLst>
            <a:ext uri="{FF2B5EF4-FFF2-40B4-BE49-F238E27FC236}">
              <a16:creationId xmlns:a16="http://schemas.microsoft.com/office/drawing/2014/main" id="{DAA4745C-7E95-4A4D-8565-A4D118ED7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xdr:col>
      <xdr:colOff>0</xdr:colOff>
      <xdr:row>269</xdr:row>
      <xdr:rowOff>0</xdr:rowOff>
    </xdr:from>
    <xdr:to>
      <xdr:col>18</xdr:col>
      <xdr:colOff>371475</xdr:colOff>
      <xdr:row>283</xdr:row>
      <xdr:rowOff>114300</xdr:rowOff>
    </xdr:to>
    <xdr:graphicFrame macro="">
      <xdr:nvGraphicFramePr>
        <xdr:cNvPr id="20" name="Chart 19">
          <a:extLst>
            <a:ext uri="{FF2B5EF4-FFF2-40B4-BE49-F238E27FC236}">
              <a16:creationId xmlns:a16="http://schemas.microsoft.com/office/drawing/2014/main" id="{DC3CCE93-98E1-4E82-BA24-B4897609C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85725</xdr:colOff>
      <xdr:row>244</xdr:row>
      <xdr:rowOff>19050</xdr:rowOff>
    </xdr:from>
    <xdr:to>
      <xdr:col>52</xdr:col>
      <xdr:colOff>295275</xdr:colOff>
      <xdr:row>266</xdr:row>
      <xdr:rowOff>28575</xdr:rowOff>
    </xdr:to>
    <xdr:graphicFrame macro="">
      <xdr:nvGraphicFramePr>
        <xdr:cNvPr id="21" name="Chart 20">
          <a:extLst>
            <a:ext uri="{FF2B5EF4-FFF2-40B4-BE49-F238E27FC236}">
              <a16:creationId xmlns:a16="http://schemas.microsoft.com/office/drawing/2014/main" id="{24B3FEA1-4FCE-479D-9CAE-1072431EC3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10</xdr:col>
      <xdr:colOff>1487805</xdr:colOff>
      <xdr:row>284</xdr:row>
      <xdr:rowOff>83820</xdr:rowOff>
    </xdr:from>
    <xdr:to>
      <xdr:col>14</xdr:col>
      <xdr:colOff>838200</xdr:colOff>
      <xdr:row>306</xdr:row>
      <xdr:rowOff>106680</xdr:rowOff>
    </xdr:to>
    <xdr:graphicFrame macro="">
      <xdr:nvGraphicFramePr>
        <xdr:cNvPr id="22" name="Chart 21">
          <a:extLst>
            <a:ext uri="{FF2B5EF4-FFF2-40B4-BE49-F238E27FC236}">
              <a16:creationId xmlns:a16="http://schemas.microsoft.com/office/drawing/2014/main" id="{E78FF053-0757-4839-ABB0-18F0EEC955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895350</xdr:colOff>
      <xdr:row>264</xdr:row>
      <xdr:rowOff>142875</xdr:rowOff>
    </xdr:from>
    <xdr:to>
      <xdr:col>64</xdr:col>
      <xdr:colOff>9525</xdr:colOff>
      <xdr:row>284</xdr:row>
      <xdr:rowOff>114300</xdr:rowOff>
    </xdr:to>
    <xdr:graphicFrame macro="">
      <xdr:nvGraphicFramePr>
        <xdr:cNvPr id="23" name="Chart 22">
          <a:extLst>
            <a:ext uri="{FF2B5EF4-FFF2-40B4-BE49-F238E27FC236}">
              <a16:creationId xmlns:a16="http://schemas.microsoft.com/office/drawing/2014/main" id="{CABBF4D5-671D-445E-952A-248E31B5C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10</xdr:col>
      <xdr:colOff>219075</xdr:colOff>
      <xdr:row>1</xdr:row>
      <xdr:rowOff>9526</xdr:rowOff>
    </xdr:from>
    <xdr:to>
      <xdr:col>10</xdr:col>
      <xdr:colOff>478041</xdr:colOff>
      <xdr:row>4</xdr:row>
      <xdr:rowOff>171451</xdr:rowOff>
    </xdr:to>
    <xdr:sp macro="" textlink="">
      <xdr:nvSpPr>
        <xdr:cNvPr id="24" name="Right Brace 23">
          <a:extLst>
            <a:ext uri="{FF2B5EF4-FFF2-40B4-BE49-F238E27FC236}">
              <a16:creationId xmlns:a16="http://schemas.microsoft.com/office/drawing/2014/main" id="{CC06E756-DA10-4031-AF9F-4D98AD282D02}"/>
            </a:ext>
          </a:extLst>
        </xdr:cNvPr>
        <xdr:cNvSpPr/>
      </xdr:nvSpPr>
      <xdr:spPr>
        <a:xfrm>
          <a:off x="9614535" y="360046"/>
          <a:ext cx="258966" cy="710565"/>
        </a:xfrm>
        <a:prstGeom prst="righ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a:pPr algn="l"/>
          <a:endParaRPr lang="en-NL" sz="1100"/>
        </a:p>
      </xdr:txBody>
    </xdr:sp>
    <xdr:clientData/>
  </xdr:twoCellAnchor>
  <xdr:twoCellAnchor>
    <xdr:from>
      <xdr:col>10</xdr:col>
      <xdr:colOff>478041</xdr:colOff>
      <xdr:row>1</xdr:row>
      <xdr:rowOff>142875</xdr:rowOff>
    </xdr:from>
    <xdr:to>
      <xdr:col>10</xdr:col>
      <xdr:colOff>1562100</xdr:colOff>
      <xdr:row>3</xdr:row>
      <xdr:rowOff>1</xdr:rowOff>
    </xdr:to>
    <xdr:cxnSp macro="">
      <xdr:nvCxnSpPr>
        <xdr:cNvPr id="25" name="Straight Arrow Connector 24">
          <a:extLst>
            <a:ext uri="{FF2B5EF4-FFF2-40B4-BE49-F238E27FC236}">
              <a16:creationId xmlns:a16="http://schemas.microsoft.com/office/drawing/2014/main" id="{993B7F86-6CB1-4B6E-801F-48BDB4223B83}"/>
            </a:ext>
          </a:extLst>
        </xdr:cNvPr>
        <xdr:cNvCxnSpPr>
          <a:stCxn id="24" idx="1"/>
        </xdr:cNvCxnSpPr>
      </xdr:nvCxnSpPr>
      <xdr:spPr>
        <a:xfrm flipV="1">
          <a:off x="9873501" y="493395"/>
          <a:ext cx="1084059" cy="22288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766762</xdr:colOff>
      <xdr:row>268</xdr:row>
      <xdr:rowOff>142875</xdr:rowOff>
    </xdr:from>
    <xdr:to>
      <xdr:col>14</xdr:col>
      <xdr:colOff>300037</xdr:colOff>
      <xdr:row>283</xdr:row>
      <xdr:rowOff>95250</xdr:rowOff>
    </xdr:to>
    <xdr:graphicFrame macro="">
      <xdr:nvGraphicFramePr>
        <xdr:cNvPr id="26" name="Chart 25">
          <a:extLst>
            <a:ext uri="{FF2B5EF4-FFF2-40B4-BE49-F238E27FC236}">
              <a16:creationId xmlns:a16="http://schemas.microsoft.com/office/drawing/2014/main" id="{AD239740-1048-4D6F-9A4B-A63D18EEE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0</xdr:colOff>
      <xdr:row>269</xdr:row>
      <xdr:rowOff>0</xdr:rowOff>
    </xdr:from>
    <xdr:to>
      <xdr:col>18</xdr:col>
      <xdr:colOff>371475</xdr:colOff>
      <xdr:row>283</xdr:row>
      <xdr:rowOff>114300</xdr:rowOff>
    </xdr:to>
    <xdr:graphicFrame macro="">
      <xdr:nvGraphicFramePr>
        <xdr:cNvPr id="27" name="Chart 26">
          <a:extLst>
            <a:ext uri="{FF2B5EF4-FFF2-40B4-BE49-F238E27FC236}">
              <a16:creationId xmlns:a16="http://schemas.microsoft.com/office/drawing/2014/main" id="{56141DB8-BF89-455C-B861-1A39D9D9D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85725</xdr:colOff>
      <xdr:row>244</xdr:row>
      <xdr:rowOff>48490</xdr:rowOff>
    </xdr:from>
    <xdr:to>
      <xdr:col>39</xdr:col>
      <xdr:colOff>339436</xdr:colOff>
      <xdr:row>266</xdr:row>
      <xdr:rowOff>28574</xdr:rowOff>
    </xdr:to>
    <xdr:graphicFrame macro="">
      <xdr:nvGraphicFramePr>
        <xdr:cNvPr id="28" name="Chart 27">
          <a:extLst>
            <a:ext uri="{FF2B5EF4-FFF2-40B4-BE49-F238E27FC236}">
              <a16:creationId xmlns:a16="http://schemas.microsoft.com/office/drawing/2014/main" id="{AD9E6AF7-C652-4C06-917D-E2DF7BC11B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1487805</xdr:colOff>
      <xdr:row>284</xdr:row>
      <xdr:rowOff>83820</xdr:rowOff>
    </xdr:from>
    <xdr:to>
      <xdr:col>14</xdr:col>
      <xdr:colOff>838200</xdr:colOff>
      <xdr:row>306</xdr:row>
      <xdr:rowOff>106680</xdr:rowOff>
    </xdr:to>
    <xdr:graphicFrame macro="">
      <xdr:nvGraphicFramePr>
        <xdr:cNvPr id="29" name="Chart 28">
          <a:extLst>
            <a:ext uri="{FF2B5EF4-FFF2-40B4-BE49-F238E27FC236}">
              <a16:creationId xmlns:a16="http://schemas.microsoft.com/office/drawing/2014/main" id="{9B62086B-C563-4EF9-A34E-3C3442393F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31</xdr:col>
      <xdr:colOff>358141</xdr:colOff>
      <xdr:row>5</xdr:row>
      <xdr:rowOff>51384</xdr:rowOff>
    </xdr:from>
    <xdr:to>
      <xdr:col>32</xdr:col>
      <xdr:colOff>637895</xdr:colOff>
      <xdr:row>7</xdr:row>
      <xdr:rowOff>7038</xdr:rowOff>
    </xdr:to>
    <xdr:pic>
      <xdr:nvPicPr>
        <xdr:cNvPr id="30" name="Picture 29">
          <a:extLst>
            <a:ext uri="{FF2B5EF4-FFF2-40B4-BE49-F238E27FC236}">
              <a16:creationId xmlns:a16="http://schemas.microsoft.com/office/drawing/2014/main" id="{03D3E562-551A-E134-E45C-8F3812F02263}"/>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615661" y="1080084"/>
          <a:ext cx="1392274" cy="313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38</xdr:col>
      <xdr:colOff>129540</xdr:colOff>
      <xdr:row>7</xdr:row>
      <xdr:rowOff>22860</xdr:rowOff>
    </xdr:from>
    <xdr:to>
      <xdr:col>42</xdr:col>
      <xdr:colOff>76200</xdr:colOff>
      <xdr:row>8</xdr:row>
      <xdr:rowOff>80393</xdr:rowOff>
    </xdr:to>
    <xdr:pic>
      <xdr:nvPicPr>
        <xdr:cNvPr id="32" name="Picture 31">
          <a:extLst>
            <a:ext uri="{FF2B5EF4-FFF2-40B4-BE49-F238E27FC236}">
              <a16:creationId xmlns:a16="http://schemas.microsoft.com/office/drawing/2014/main" id="{8258EA63-763C-C4C0-741C-66AE880F3D89}"/>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473160" y="1409700"/>
          <a:ext cx="2811780" cy="2327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609600</xdr:colOff>
      <xdr:row>7</xdr:row>
      <xdr:rowOff>129540</xdr:rowOff>
    </xdr:from>
    <xdr:to>
      <xdr:col>32</xdr:col>
      <xdr:colOff>845820</xdr:colOff>
      <xdr:row>9</xdr:row>
      <xdr:rowOff>152400</xdr:rowOff>
    </xdr:to>
    <xdr:cxnSp macro="">
      <xdr:nvCxnSpPr>
        <xdr:cNvPr id="34" name="Straight Arrow Connector 33">
          <a:extLst>
            <a:ext uri="{FF2B5EF4-FFF2-40B4-BE49-F238E27FC236}">
              <a16:creationId xmlns:a16="http://schemas.microsoft.com/office/drawing/2014/main" id="{C20AFF97-A554-9896-1258-1AE8B11E5AFD}"/>
            </a:ext>
          </a:extLst>
        </xdr:cNvPr>
        <xdr:cNvCxnSpPr/>
      </xdr:nvCxnSpPr>
      <xdr:spPr>
        <a:xfrm flipH="1">
          <a:off x="20055840" y="1516380"/>
          <a:ext cx="236220" cy="3810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38</xdr:col>
      <xdr:colOff>541020</xdr:colOff>
      <xdr:row>8</xdr:row>
      <xdr:rowOff>160020</xdr:rowOff>
    </xdr:from>
    <xdr:to>
      <xdr:col>38</xdr:col>
      <xdr:colOff>624840</xdr:colOff>
      <xdr:row>9</xdr:row>
      <xdr:rowOff>137160</xdr:rowOff>
    </xdr:to>
    <xdr:cxnSp macro="">
      <xdr:nvCxnSpPr>
        <xdr:cNvPr id="36" name="Straight Arrow Connector 35">
          <a:extLst>
            <a:ext uri="{FF2B5EF4-FFF2-40B4-BE49-F238E27FC236}">
              <a16:creationId xmlns:a16="http://schemas.microsoft.com/office/drawing/2014/main" id="{003DE2DE-87C7-1920-3C63-E1302B688DC1}"/>
            </a:ext>
          </a:extLst>
        </xdr:cNvPr>
        <xdr:cNvCxnSpPr/>
      </xdr:nvCxnSpPr>
      <xdr:spPr>
        <a:xfrm flipH="1">
          <a:off x="21884640" y="1722120"/>
          <a:ext cx="83820" cy="16002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c:userShapes xmlns:c="http://schemas.openxmlformats.org/drawingml/2006/chart">
  <cdr:relSizeAnchor xmlns:cdr="http://schemas.openxmlformats.org/drawingml/2006/chartDrawing">
    <cdr:from>
      <cdr:x>0.22017</cdr:x>
      <cdr:y>0.68116</cdr:y>
    </cdr:from>
    <cdr:to>
      <cdr:x>0.25858</cdr:x>
      <cdr:y>0.84174</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1457498" y="2686050"/>
          <a:ext cx="254269" cy="63322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0.21557</cdr:x>
      <cdr:y>0.42271</cdr:y>
    </cdr:from>
    <cdr:to>
      <cdr:x>0.25397</cdr:x>
      <cdr:y>0.66514</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1427046" y="1666874"/>
          <a:ext cx="254204" cy="95600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0.25243</cdr:x>
      <cdr:y>0.72358</cdr:y>
    </cdr:from>
    <cdr:to>
      <cdr:x>0.32156</cdr:x>
      <cdr:y>0.80365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1565275" y="3004936"/>
          <a:ext cx="428625" cy="3325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0.24782</cdr:x>
      <cdr:y>0.51289</cdr:y>
    </cdr:from>
    <cdr:to>
      <cdr:x>0.31695</cdr:x>
      <cdr:y>0.59296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1640537" y="2022516"/>
          <a:ext cx="457632" cy="31574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3.xml><?xml version="1.0" encoding="utf-8"?>
<c:userShapes xmlns:c="http://schemas.openxmlformats.org/drawingml/2006/chart">
  <cdr:relSizeAnchor xmlns:cdr="http://schemas.openxmlformats.org/drawingml/2006/chartDrawing">
    <cdr:from>
      <cdr:x>0.30039</cdr:x>
      <cdr:y>0.65333</cdr:y>
    </cdr:from>
    <cdr:to>
      <cdr:x>0.33957</cdr:x>
      <cdr:y>0.80707</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2140168" y="2333613"/>
          <a:ext cx="279145" cy="549140"/>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0.30113</cdr:x>
      <cdr:y>0.40138</cdr:y>
    </cdr:from>
    <cdr:to>
      <cdr:x>0.33824</cdr:x>
      <cdr:y>0.656</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2145440" y="1433679"/>
          <a:ext cx="264398" cy="909471"/>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0.35136</cdr:x>
      <cdr:y>0.69958</cdr:y>
    </cdr:from>
    <cdr:to>
      <cdr:x>0.44588</cdr:x>
      <cdr:y>0.77965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2071633" y="2498800"/>
          <a:ext cx="557267"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0.34408</cdr:x>
      <cdr:y>0.48889</cdr:y>
    </cdr:from>
    <cdr:to>
      <cdr:x>0.42326</cdr:x>
      <cdr:y>0.56896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2028684" y="1746254"/>
          <a:ext cx="466866"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4.xml><?xml version="1.0" encoding="utf-8"?>
<c:userShapes xmlns:c="http://schemas.openxmlformats.org/drawingml/2006/chart">
  <cdr:relSizeAnchor xmlns:cdr="http://schemas.openxmlformats.org/drawingml/2006/chartDrawing">
    <cdr:from>
      <cdr:x>0.22017</cdr:x>
      <cdr:y>0.68116</cdr:y>
    </cdr:from>
    <cdr:to>
      <cdr:x>0.25858</cdr:x>
      <cdr:y>0.84174</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1457498" y="2686050"/>
          <a:ext cx="254269" cy="63322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0.21557</cdr:x>
      <cdr:y>0.42271</cdr:y>
    </cdr:from>
    <cdr:to>
      <cdr:x>0.25397</cdr:x>
      <cdr:y>0.66514</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1427046" y="1666874"/>
          <a:ext cx="254204" cy="95600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0.25243</cdr:x>
      <cdr:y>0.72358</cdr:y>
    </cdr:from>
    <cdr:to>
      <cdr:x>0.32156</cdr:x>
      <cdr:y>0.80365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1565275" y="3004936"/>
          <a:ext cx="428625" cy="3325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0.24782</cdr:x>
      <cdr:y>0.51289</cdr:y>
    </cdr:from>
    <cdr:to>
      <cdr:x>0.31695</cdr:x>
      <cdr:y>0.59296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1640537" y="2022516"/>
          <a:ext cx="457632" cy="31574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5.xml><?xml version="1.0" encoding="utf-8"?>
<c:userShapes xmlns:c="http://schemas.openxmlformats.org/drawingml/2006/chart">
  <cdr:relSizeAnchor xmlns:cdr="http://schemas.openxmlformats.org/drawingml/2006/chartDrawing">
    <cdr:from>
      <cdr:x>0.30039</cdr:x>
      <cdr:y>0.65333</cdr:y>
    </cdr:from>
    <cdr:to>
      <cdr:x>0.33957</cdr:x>
      <cdr:y>0.80707</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2140168" y="2333613"/>
          <a:ext cx="279145" cy="549140"/>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0.30113</cdr:x>
      <cdr:y>0.40138</cdr:y>
    </cdr:from>
    <cdr:to>
      <cdr:x>0.33824</cdr:x>
      <cdr:y>0.656</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2145440" y="1433679"/>
          <a:ext cx="264398" cy="909471"/>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0.35136</cdr:x>
      <cdr:y>0.69958</cdr:y>
    </cdr:from>
    <cdr:to>
      <cdr:x>0.44588</cdr:x>
      <cdr:y>0.77965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2071633" y="2498800"/>
          <a:ext cx="557267"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0.34408</cdr:x>
      <cdr:y>0.48889</cdr:y>
    </cdr:from>
    <cdr:to>
      <cdr:x>0.42326</cdr:x>
      <cdr:y>0.56896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2028684" y="1746254"/>
          <a:ext cx="466866"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6.xml><?xml version="1.0" encoding="utf-8"?>
<c:userShapes xmlns:c="http://schemas.openxmlformats.org/drawingml/2006/chart">
  <cdr:relSizeAnchor xmlns:cdr="http://schemas.openxmlformats.org/drawingml/2006/chartDrawing">
    <cdr:from>
      <cdr:x>0.22017</cdr:x>
      <cdr:y>0.68116</cdr:y>
    </cdr:from>
    <cdr:to>
      <cdr:x>0.25858</cdr:x>
      <cdr:y>0.84174</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1457498" y="2686050"/>
          <a:ext cx="254269" cy="63322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0.21557</cdr:x>
      <cdr:y>0.42271</cdr:y>
    </cdr:from>
    <cdr:to>
      <cdr:x>0.25397</cdr:x>
      <cdr:y>0.66514</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1427046" y="1666874"/>
          <a:ext cx="254204" cy="95600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0.25243</cdr:x>
      <cdr:y>0.72358</cdr:y>
    </cdr:from>
    <cdr:to>
      <cdr:x>0.32156</cdr:x>
      <cdr:y>0.80365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1565275" y="3004936"/>
          <a:ext cx="428625" cy="3325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0.24782</cdr:x>
      <cdr:y>0.51289</cdr:y>
    </cdr:from>
    <cdr:to>
      <cdr:x>0.31695</cdr:x>
      <cdr:y>0.59296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1640537" y="2022516"/>
          <a:ext cx="457632" cy="31574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7.xml><?xml version="1.0" encoding="utf-8"?>
<c:userShapes xmlns:c="http://schemas.openxmlformats.org/drawingml/2006/chart">
  <cdr:relSizeAnchor xmlns:cdr="http://schemas.openxmlformats.org/drawingml/2006/chartDrawing">
    <cdr:from>
      <cdr:x>0.30039</cdr:x>
      <cdr:y>0.65333</cdr:y>
    </cdr:from>
    <cdr:to>
      <cdr:x>0.33957</cdr:x>
      <cdr:y>0.80707</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2140168" y="2333613"/>
          <a:ext cx="279145" cy="549140"/>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0.30113</cdr:x>
      <cdr:y>0.40138</cdr:y>
    </cdr:from>
    <cdr:to>
      <cdr:x>0.33824</cdr:x>
      <cdr:y>0.656</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2145440" y="1433679"/>
          <a:ext cx="264398" cy="909471"/>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0.35136</cdr:x>
      <cdr:y>0.69958</cdr:y>
    </cdr:from>
    <cdr:to>
      <cdr:x>0.44588</cdr:x>
      <cdr:y>0.77965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2071633" y="2498800"/>
          <a:ext cx="557267"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0.34408</cdr:x>
      <cdr:y>0.48889</cdr:y>
    </cdr:from>
    <cdr:to>
      <cdr:x>0.42326</cdr:x>
      <cdr:y>0.56896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2028684" y="1746254"/>
          <a:ext cx="466866"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8.xml><?xml version="1.0" encoding="utf-8"?>
<c:userShapes xmlns:c="http://schemas.openxmlformats.org/drawingml/2006/chart">
  <cdr:relSizeAnchor xmlns:cdr="http://schemas.openxmlformats.org/drawingml/2006/chartDrawing">
    <cdr:from>
      <cdr:x>0.22017</cdr:x>
      <cdr:y>0.68116</cdr:y>
    </cdr:from>
    <cdr:to>
      <cdr:x>0.25858</cdr:x>
      <cdr:y>0.84174</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1457498" y="2686050"/>
          <a:ext cx="254269" cy="63322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0.21557</cdr:x>
      <cdr:y>0.42271</cdr:y>
    </cdr:from>
    <cdr:to>
      <cdr:x>0.25397</cdr:x>
      <cdr:y>0.66514</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1427046" y="1666874"/>
          <a:ext cx="254204" cy="956005"/>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0.25243</cdr:x>
      <cdr:y>0.72358</cdr:y>
    </cdr:from>
    <cdr:to>
      <cdr:x>0.32156</cdr:x>
      <cdr:y>0.80365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1565275" y="3004936"/>
          <a:ext cx="428625" cy="332522"/>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0.24782</cdr:x>
      <cdr:y>0.51289</cdr:y>
    </cdr:from>
    <cdr:to>
      <cdr:x>0.31695</cdr:x>
      <cdr:y>0.59296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1640537" y="2022516"/>
          <a:ext cx="457632" cy="31574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9.xml><?xml version="1.0" encoding="utf-8"?>
<c:userShapes xmlns:c="http://schemas.openxmlformats.org/drawingml/2006/chart">
  <cdr:relSizeAnchor xmlns:cdr="http://schemas.openxmlformats.org/drawingml/2006/chartDrawing">
    <cdr:from>
      <cdr:x>0.30039</cdr:x>
      <cdr:y>0.65333</cdr:y>
    </cdr:from>
    <cdr:to>
      <cdr:x>0.33957</cdr:x>
      <cdr:y>0.80707</cdr:y>
    </cdr:to>
    <cdr:sp macro="" textlink="">
      <cdr:nvSpPr>
        <cdr:cNvPr id="2" name="Right Brace 1">
          <a:extLst xmlns:a="http://schemas.openxmlformats.org/drawingml/2006/main">
            <a:ext uri="{FF2B5EF4-FFF2-40B4-BE49-F238E27FC236}">
              <a16:creationId xmlns:a16="http://schemas.microsoft.com/office/drawing/2014/main" id="{C2115F20-1DC1-4AAA-BA34-48D4230A1BAF}"/>
            </a:ext>
          </a:extLst>
        </cdr:cNvPr>
        <cdr:cNvSpPr/>
      </cdr:nvSpPr>
      <cdr:spPr>
        <a:xfrm xmlns:a="http://schemas.openxmlformats.org/drawingml/2006/main">
          <a:off x="2140168" y="2333613"/>
          <a:ext cx="279145" cy="549140"/>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0.30113</cdr:x>
      <cdr:y>0.40138</cdr:y>
    </cdr:from>
    <cdr:to>
      <cdr:x>0.33824</cdr:x>
      <cdr:y>0.656</cdr:y>
    </cdr:to>
    <cdr:sp macro="" textlink="">
      <cdr:nvSpPr>
        <cdr:cNvPr id="3" name="Right Brace 2">
          <a:extLst xmlns:a="http://schemas.openxmlformats.org/drawingml/2006/main">
            <a:ext uri="{FF2B5EF4-FFF2-40B4-BE49-F238E27FC236}">
              <a16:creationId xmlns:a16="http://schemas.microsoft.com/office/drawing/2014/main" id="{007116DB-869A-4A05-BA8A-AFC72CD5289D}"/>
            </a:ext>
          </a:extLst>
        </cdr:cNvPr>
        <cdr:cNvSpPr/>
      </cdr:nvSpPr>
      <cdr:spPr>
        <a:xfrm xmlns:a="http://schemas.openxmlformats.org/drawingml/2006/main">
          <a:off x="2145440" y="1433679"/>
          <a:ext cx="264398" cy="909471"/>
        </a:xfrm>
        <a:prstGeom xmlns:a="http://schemas.openxmlformats.org/drawingml/2006/main" prst="rightBrace">
          <a:avLst/>
        </a:prstGeom>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tx1"/>
              </a:solidFill>
              <a:latin typeface="+mn-lt"/>
              <a:ea typeface="+mn-ea"/>
              <a:cs typeface="+mn-cs"/>
            </a:defRPr>
          </a:lvl1pPr>
          <a:lvl2pPr marL="457200" indent="0">
            <a:defRPr sz="1100">
              <a:solidFill>
                <a:schemeClr val="tx1"/>
              </a:solidFill>
              <a:latin typeface="+mn-lt"/>
              <a:ea typeface="+mn-ea"/>
              <a:cs typeface="+mn-cs"/>
            </a:defRPr>
          </a:lvl2pPr>
          <a:lvl3pPr marL="914400" indent="0">
            <a:defRPr sz="1100">
              <a:solidFill>
                <a:schemeClr val="tx1"/>
              </a:solidFill>
              <a:latin typeface="+mn-lt"/>
              <a:ea typeface="+mn-ea"/>
              <a:cs typeface="+mn-cs"/>
            </a:defRPr>
          </a:lvl3pPr>
          <a:lvl4pPr marL="1371600" indent="0">
            <a:defRPr sz="1100">
              <a:solidFill>
                <a:schemeClr val="tx1"/>
              </a:solidFill>
              <a:latin typeface="+mn-lt"/>
              <a:ea typeface="+mn-ea"/>
              <a:cs typeface="+mn-cs"/>
            </a:defRPr>
          </a:lvl4pPr>
          <a:lvl5pPr marL="1828800" indent="0">
            <a:defRPr sz="1100">
              <a:solidFill>
                <a:schemeClr val="tx1"/>
              </a:solidFill>
              <a:latin typeface="+mn-lt"/>
              <a:ea typeface="+mn-ea"/>
              <a:cs typeface="+mn-cs"/>
            </a:defRPr>
          </a:lvl5pPr>
          <a:lvl6pPr marL="2286000" indent="0">
            <a:defRPr sz="1100">
              <a:solidFill>
                <a:schemeClr val="tx1"/>
              </a:solidFill>
              <a:latin typeface="+mn-lt"/>
              <a:ea typeface="+mn-ea"/>
              <a:cs typeface="+mn-cs"/>
            </a:defRPr>
          </a:lvl6pPr>
          <a:lvl7pPr marL="2743200" indent="0">
            <a:defRPr sz="1100">
              <a:solidFill>
                <a:schemeClr val="tx1"/>
              </a:solidFill>
              <a:latin typeface="+mn-lt"/>
              <a:ea typeface="+mn-ea"/>
              <a:cs typeface="+mn-cs"/>
            </a:defRPr>
          </a:lvl7pPr>
          <a:lvl8pPr marL="3200400" indent="0">
            <a:defRPr sz="1100">
              <a:solidFill>
                <a:schemeClr val="tx1"/>
              </a:solidFill>
              <a:latin typeface="+mn-lt"/>
              <a:ea typeface="+mn-ea"/>
              <a:cs typeface="+mn-cs"/>
            </a:defRPr>
          </a:lvl8pPr>
          <a:lvl9pPr marL="3657600" indent="0">
            <a:defRPr sz="1100">
              <a:solidFill>
                <a:schemeClr val="tx1"/>
              </a:solidFill>
              <a:latin typeface="+mn-lt"/>
              <a:ea typeface="+mn-ea"/>
              <a:cs typeface="+mn-cs"/>
            </a:defRPr>
          </a:lvl9pPr>
        </a:lstStyle>
        <a:p xmlns:a="http://schemas.openxmlformats.org/drawingml/2006/main">
          <a:pPr algn="l"/>
          <a:endParaRPr lang="en-NL" sz="1100"/>
        </a:p>
      </cdr:txBody>
    </cdr:sp>
  </cdr:relSizeAnchor>
  <cdr:relSizeAnchor xmlns:cdr="http://schemas.openxmlformats.org/drawingml/2006/chartDrawing">
    <cdr:from>
      <cdr:x>0.35136</cdr:x>
      <cdr:y>0.69958</cdr:y>
    </cdr:from>
    <cdr:to>
      <cdr:x>0.44588</cdr:x>
      <cdr:y>0.77965</cdr:y>
    </cdr:to>
    <cdr:sp macro="" textlink="">
      <cdr:nvSpPr>
        <cdr:cNvPr id="4" name="TextBox 4">
          <a:extLst xmlns:a="http://schemas.openxmlformats.org/drawingml/2006/main">
            <a:ext uri="{FF2B5EF4-FFF2-40B4-BE49-F238E27FC236}">
              <a16:creationId xmlns:a16="http://schemas.microsoft.com/office/drawing/2014/main" id="{12B75718-3506-4949-B7AF-10FB2C03F272}"/>
            </a:ext>
          </a:extLst>
        </cdr:cNvPr>
        <cdr:cNvSpPr txBox="1"/>
      </cdr:nvSpPr>
      <cdr:spPr>
        <a:xfrm xmlns:a="http://schemas.openxmlformats.org/drawingml/2006/main">
          <a:off x="2071633" y="2498800"/>
          <a:ext cx="557267"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38%</a:t>
          </a:r>
          <a:endParaRPr lang="en-NL" sz="1100"/>
        </a:p>
      </cdr:txBody>
    </cdr:sp>
  </cdr:relSizeAnchor>
  <cdr:relSizeAnchor xmlns:cdr="http://schemas.openxmlformats.org/drawingml/2006/chartDrawing">
    <cdr:from>
      <cdr:x>0.34408</cdr:x>
      <cdr:y>0.48889</cdr:y>
    </cdr:from>
    <cdr:to>
      <cdr:x>0.42326</cdr:x>
      <cdr:y>0.56896</cdr:y>
    </cdr:to>
    <cdr:sp macro="" textlink="">
      <cdr:nvSpPr>
        <cdr:cNvPr id="5" name="TextBox 4">
          <a:extLst xmlns:a="http://schemas.openxmlformats.org/drawingml/2006/main">
            <a:ext uri="{FF2B5EF4-FFF2-40B4-BE49-F238E27FC236}">
              <a16:creationId xmlns:a16="http://schemas.microsoft.com/office/drawing/2014/main" id="{1CB94840-35FA-4A26-A048-9010362E4998}"/>
            </a:ext>
          </a:extLst>
        </cdr:cNvPr>
        <cdr:cNvSpPr txBox="1"/>
      </cdr:nvSpPr>
      <cdr:spPr>
        <a:xfrm xmlns:a="http://schemas.openxmlformats.org/drawingml/2006/main">
          <a:off x="2028684" y="1746254"/>
          <a:ext cx="466866" cy="2860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62%</a:t>
          </a:r>
          <a:endParaRPr lang="en-NL" sz="1100"/>
        </a:p>
      </cdr:txBody>
    </cdr:sp>
  </cdr:relSizeAnchor>
</c:userShapes>
</file>

<file path=xl/drawings/drawing10.xml><?xml version="1.0" encoding="utf-8"?>
<xdr:wsDr xmlns:xdr="http://schemas.openxmlformats.org/drawingml/2006/spreadsheetDrawing" xmlns:a="http://schemas.openxmlformats.org/drawingml/2006/main">
  <xdr:twoCellAnchor>
    <xdr:from>
      <xdr:col>0</xdr:col>
      <xdr:colOff>154782</xdr:colOff>
      <xdr:row>391</xdr:row>
      <xdr:rowOff>83344</xdr:rowOff>
    </xdr:from>
    <xdr:to>
      <xdr:col>8</xdr:col>
      <xdr:colOff>2357438</xdr:colOff>
      <xdr:row>420</xdr:row>
      <xdr:rowOff>61914</xdr:rowOff>
    </xdr:to>
    <xdr:graphicFrame macro="">
      <xdr:nvGraphicFramePr>
        <xdr:cNvPr id="2" name="Chart 1">
          <a:extLst>
            <a:ext uri="{FF2B5EF4-FFF2-40B4-BE49-F238E27FC236}">
              <a16:creationId xmlns:a16="http://schemas.microsoft.com/office/drawing/2014/main" id="{2A7DBAEA-521F-4540-8144-CD68F79742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119063</xdr:colOff>
      <xdr:row>420</xdr:row>
      <xdr:rowOff>119063</xdr:rowOff>
    </xdr:from>
    <xdr:to>
      <xdr:col>8</xdr:col>
      <xdr:colOff>2321719</xdr:colOff>
      <xdr:row>449</xdr:row>
      <xdr:rowOff>97633</xdr:rowOff>
    </xdr:to>
    <xdr:graphicFrame macro="">
      <xdr:nvGraphicFramePr>
        <xdr:cNvPr id="3" name="Chart 2">
          <a:extLst>
            <a:ext uri="{FF2B5EF4-FFF2-40B4-BE49-F238E27FC236}">
              <a16:creationId xmlns:a16="http://schemas.microsoft.com/office/drawing/2014/main" id="{94BDB4F0-1386-4C45-91F6-530ADF6CB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107</xdr:col>
      <xdr:colOff>607218</xdr:colOff>
      <xdr:row>2</xdr:row>
      <xdr:rowOff>166687</xdr:rowOff>
    </xdr:from>
    <xdr:to>
      <xdr:col>111</xdr:col>
      <xdr:colOff>559593</xdr:colOff>
      <xdr:row>5</xdr:row>
      <xdr:rowOff>119062</xdr:rowOff>
    </xdr:to>
    <xdr:cxnSp macro="">
      <xdr:nvCxnSpPr>
        <xdr:cNvPr id="4" name="Straight Arrow Connector 3">
          <a:extLst>
            <a:ext uri="{FF2B5EF4-FFF2-40B4-BE49-F238E27FC236}">
              <a16:creationId xmlns:a16="http://schemas.microsoft.com/office/drawing/2014/main" id="{3B552B7E-875E-49DF-967C-ECB5820E1BA2}"/>
            </a:ext>
          </a:extLst>
        </xdr:cNvPr>
        <xdr:cNvCxnSpPr/>
      </xdr:nvCxnSpPr>
      <xdr:spPr>
        <a:xfrm flipV="1">
          <a:off x="76090938" y="608647"/>
          <a:ext cx="2474595" cy="5010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145</xdr:col>
      <xdr:colOff>1744980</xdr:colOff>
      <xdr:row>2</xdr:row>
      <xdr:rowOff>99060</xdr:rowOff>
    </xdr:from>
    <xdr:to>
      <xdr:col>149</xdr:col>
      <xdr:colOff>822960</xdr:colOff>
      <xdr:row>5</xdr:row>
      <xdr:rowOff>167640</xdr:rowOff>
    </xdr:to>
    <xdr:sp macro="" textlink="">
      <xdr:nvSpPr>
        <xdr:cNvPr id="5" name="TextBox 4">
          <a:extLst>
            <a:ext uri="{FF2B5EF4-FFF2-40B4-BE49-F238E27FC236}">
              <a16:creationId xmlns:a16="http://schemas.microsoft.com/office/drawing/2014/main" id="{B180870E-C552-4BC3-AE70-BD9B58D653D2}"/>
            </a:ext>
          </a:extLst>
        </xdr:cNvPr>
        <xdr:cNvSpPr txBox="1"/>
      </xdr:nvSpPr>
      <xdr:spPr>
        <a:xfrm>
          <a:off x="100180140" y="541020"/>
          <a:ext cx="3276600" cy="61722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This work on net-zero</a:t>
          </a:r>
          <a:r>
            <a:rPr lang="en-GB" sz="1100" b="1" baseline="0"/>
            <a:t> targets </a:t>
          </a:r>
          <a:r>
            <a:rPr lang="en-GB" sz="1100" b="1"/>
            <a:t>needs to</a:t>
          </a:r>
          <a:r>
            <a:rPr lang="en-GB" sz="1100" b="1" baseline="0"/>
            <a:t> be</a:t>
          </a:r>
          <a:r>
            <a:rPr lang="en-GB" sz="1100" b="1"/>
            <a:t> updated, depending</a:t>
          </a:r>
          <a:r>
            <a:rPr lang="en-GB" sz="1100" b="1" baseline="0"/>
            <a:t> on discussions with DG CLIMA and partners.</a:t>
          </a:r>
          <a:endParaRPr lang="en-GB" sz="1100" b="1"/>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42</xdr:col>
      <xdr:colOff>0</xdr:colOff>
      <xdr:row>5</xdr:row>
      <xdr:rowOff>0</xdr:rowOff>
    </xdr:from>
    <xdr:to>
      <xdr:col>51</xdr:col>
      <xdr:colOff>530224</xdr:colOff>
      <xdr:row>22</xdr:row>
      <xdr:rowOff>98424</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2D7D771-C0BE-495C-9808-DAA21F29FB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6727150" y="1419225"/>
              <a:ext cx="6016624" cy="333692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39</xdr:col>
      <xdr:colOff>30480</xdr:colOff>
      <xdr:row>0</xdr:row>
      <xdr:rowOff>0</xdr:rowOff>
    </xdr:from>
    <xdr:to>
      <xdr:col>44</xdr:col>
      <xdr:colOff>365760</xdr:colOff>
      <xdr:row>8</xdr:row>
      <xdr:rowOff>152400</xdr:rowOff>
    </xdr:to>
    <xdr:sp macro="" textlink="">
      <xdr:nvSpPr>
        <xdr:cNvPr id="3" name="TextBox 2">
          <a:extLst>
            <a:ext uri="{FF2B5EF4-FFF2-40B4-BE49-F238E27FC236}">
              <a16:creationId xmlns:a16="http://schemas.microsoft.com/office/drawing/2014/main" id="{2967AC3E-871C-41C1-A0E0-FD6B19DC8B38}"/>
            </a:ext>
          </a:extLst>
        </xdr:cNvPr>
        <xdr:cNvSpPr txBox="1"/>
      </xdr:nvSpPr>
      <xdr:spPr>
        <a:xfrm>
          <a:off x="25267920" y="0"/>
          <a:ext cx="3383280" cy="213360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This work is published</a:t>
          </a:r>
          <a:r>
            <a:rPr lang="en-GB" sz="1100" baseline="0"/>
            <a:t> in journal paper </a:t>
          </a:r>
          <a:r>
            <a:rPr lang="en-GB"/>
            <a:t>den Elzen, M.G.J., Dafnomilis, I., Forsell, N. </a:t>
          </a:r>
          <a:r>
            <a:rPr lang="en-GB" i="1"/>
            <a:t>et al.</a:t>
          </a:r>
          <a:r>
            <a:rPr lang="en-GB"/>
            <a:t> Updated nationally determined contributions collectively raise ambition levels but need strengthening further to keep Paris goals within reach. </a:t>
          </a:r>
          <a:r>
            <a:rPr lang="en-GB" i="1"/>
            <a:t>Mitig Adapt Strateg Glob Change</a:t>
          </a:r>
          <a:r>
            <a:rPr lang="en-GB"/>
            <a:t> </a:t>
          </a:r>
          <a:r>
            <a:rPr lang="en-GB" b="1"/>
            <a:t>27</a:t>
          </a:r>
          <a:r>
            <a:rPr lang="en-GB"/>
            <a:t>, 33 (2022). https://doi.org/10.1007/s11027-022-10008-7</a:t>
          </a:r>
          <a:endParaRPr lang="en-GB" sz="1100" baseline="0"/>
        </a:p>
        <a:p>
          <a:r>
            <a:rPr lang="en-GB" sz="1100"/>
            <a:t>https://link.springer.com/article/10.1007/s11027-022-10008-7 </a:t>
          </a:r>
        </a:p>
        <a:p>
          <a:endParaRPr lang="en-GB" sz="1100"/>
        </a:p>
        <a:p>
          <a:endParaRPr lang="en-GB" sz="1100"/>
        </a:p>
        <a:p>
          <a:r>
            <a:rPr lang="en-GB" sz="1100" b="1"/>
            <a:t>This work will</a:t>
          </a:r>
          <a:r>
            <a:rPr lang="en-GB" sz="1100" b="1" baseline="0"/>
            <a:t> be</a:t>
          </a:r>
          <a:r>
            <a:rPr lang="en-GB" sz="1100" b="1"/>
            <a:t> updated in</a:t>
          </a:r>
          <a:r>
            <a:rPr lang="en-GB" sz="1100" b="1" baseline="0"/>
            <a:t> the coming weeks by IIASA</a:t>
          </a:r>
          <a:endParaRPr lang="en-GB" sz="1100" b="1"/>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ata/publ_RD/2022%20UNEP%20Gap%20report/Harmonisation%20Land%20use%20group/PBL%20Land%20use/0018_004g_ahoc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drms.decc.gsi.gov.uk/isr/ieu/TTE/Documents/Results/2015%20results/ICC%20Targets%20Tool%202015v1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Y:\gray\Documents\My%20Documents\ICC\2030%20target%20tool\2015%20Targets%20tool\ICC%20Targets%20Tool%20-%20development%20demo%20(Autosaved).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Y:\Project\M500114_Internationaalbeleidklimaatenenergie\Data\INDC%20evaluatie%202015\2%20-%20Infographic%20deliverables\Version%20March%202020\Pop%20GDP\COP25_AllResultsData.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Y:\Project\M500114_Internationaalbeleidklimaatenenergie\Data\Michel\Publ\2020%20NDC%20Update%20Glasgow\2%20Neutrality\PBL_CAT_NetZeroTargets_Compilation_rev20201011_24Oct202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Project\M500114_Internationaalbeleidklimaatenenergie\Data\INDC%20evaluatie%202015\Tools\Data%20pledge-act-review%20infographic_v3_INDC.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Y:\Kennisbasis\IMAGE\model\users\michel\Publ\2020%20NDC%20Update%20Glasgow\1%20NDC%20spreadsheet\Ideas%20for%20Graphs\INDC%20evaluation_2017_Apr_KE.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ata/publ_RD/2021%20NDC%20Update%20Glasgow/1%20NDC%20spreadsheet/Ideas%20for%20Graphs/INDC%20evaluation_2017_Apr_KE.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Y:\Users\Hanna\Downloads\Output_EffortSharing%20(1).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lient\D$\publ\2015%20UNEP%20Gap\data\UNEP%20Gap%20Data%202015.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Y:\Project\M500114_Internationaalbeleidklimaatenenergie\Data\INDC%20evaluatie%202015\Tools\Data\UNEP\UNEP%20Gap%20Data_update.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file:///C:\data\publ_RD\2021%20NDC%20Update%20Glasgow\1%20NDC%20spreadsheet\NDC%20Tool%20for%20Infographics%20Prototype%208February2024.xlsx" TargetMode="External"/><Relationship Id="rId1" Type="http://schemas.openxmlformats.org/officeDocument/2006/relationships/externalLinkPath" Target="/data/publ_RD/2021%20NDC%20Update%20Glasgow/1%20NDC%20spreadsheet/NDC%20Tool%20for%20Infographics%20Prototype%208February2024.xlsx"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file:///C:\data\publ_RD\2021%20NDC%20Update%20Glasgow\1%20NDC%20spreadsheet\NDC%20Tool%20for%20Infographics%20Prototype%2029February2024.xlsx" TargetMode="External"/><Relationship Id="rId1" Type="http://schemas.openxmlformats.org/officeDocument/2006/relationships/externalLinkPath" Target="/data/publ_RD/2021%20NDC%20Update%20Glasgow/1%20NDC%20spreadsheet/NDC%20Tool%20for%20Infographics%20Prototype%2029February2024.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C:\data\publ_RD\2024%20Uncertanty%20netzero%20Stephan\Data\Analysis_Equity%20Policy%20Credibility%20Indicators_first%20draft.xlsx" TargetMode="External"/><Relationship Id="rId1" Type="http://schemas.openxmlformats.org/officeDocument/2006/relationships/externalLinkPath" Target="/data/publ_RD/2024%20Uncertanty%20netzero%20Stephan/Data/Analysis_Equity%20Policy%20Credibility%20Indicators_first%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imple Figure"/>
      <sheetName val="Sheet1"/>
    </sheetNames>
    <sheetDataSet>
      <sheetData sheetId="0"/>
      <sheetData sheetId="1">
        <row r="3">
          <cell r="G3" t="str">
            <v>Reduction</v>
          </cell>
        </row>
        <row r="4">
          <cell r="F4" t="str">
            <v>D.R.Congo</v>
          </cell>
          <cell r="G4">
            <v>-97.011450000000025</v>
          </cell>
        </row>
        <row r="5">
          <cell r="F5" t="str">
            <v>Others</v>
          </cell>
          <cell r="G5">
            <v>-64.879924278787826</v>
          </cell>
        </row>
        <row r="6">
          <cell r="F6" t="str">
            <v>Colombia</v>
          </cell>
          <cell r="G6">
            <v>-45.69</v>
          </cell>
        </row>
        <row r="7">
          <cell r="F7" t="str">
            <v>Laos</v>
          </cell>
          <cell r="G7">
            <v>-45</v>
          </cell>
        </row>
        <row r="8">
          <cell r="F8" t="str">
            <v>Indonesia</v>
          </cell>
          <cell r="G8">
            <v>-42</v>
          </cell>
        </row>
        <row r="9">
          <cell r="F9" t="str">
            <v>Cambodia</v>
          </cell>
          <cell r="G9">
            <v>-35.099999999999994</v>
          </cell>
        </row>
        <row r="10">
          <cell r="F10" t="str">
            <v>Vietnam</v>
          </cell>
          <cell r="G10">
            <v>-30.200000000000003</v>
          </cell>
        </row>
        <row r="11">
          <cell r="F11" t="str">
            <v>Zambia</v>
          </cell>
          <cell r="G11">
            <v>-30</v>
          </cell>
        </row>
        <row r="12">
          <cell r="F12" t="str">
            <v>C. Afr. R.</v>
          </cell>
          <cell r="G12">
            <v>-24.056999999999999</v>
          </cell>
        </row>
        <row r="13">
          <cell r="F13" t="str">
            <v>Ethiopia</v>
          </cell>
          <cell r="G13">
            <v>-22.62</v>
          </cell>
        </row>
        <row r="14">
          <cell r="F14" t="str">
            <v>EU27</v>
          </cell>
          <cell r="G14">
            <v>-21.326546482417086</v>
          </cell>
        </row>
        <row r="15">
          <cell r="F15" t="str">
            <v>Senegal</v>
          </cell>
          <cell r="G15">
            <v>-20.045000000000002</v>
          </cell>
        </row>
        <row r="16">
          <cell r="F16" t="str">
            <v>Australia</v>
          </cell>
          <cell r="G16">
            <v>18.21</v>
          </cell>
        </row>
        <row r="17">
          <cell r="F17" t="str">
            <v>Total</v>
          </cell>
          <cell r="G17">
            <v>459.719920761205</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Instructions"/>
      <sheetName val="Grantham"/>
      <sheetName val="Create scenario"/>
      <sheetName val="Country results"/>
      <sheetName val="GLOCAF sub region results 2030"/>
      <sheetName val="Global chart"/>
      <sheetName val="Scenario list"/>
      <sheetName val="Input targets Allowed emissions"/>
      <sheetName val="Input costs 2014"/>
      <sheetName val="Input costs 2015"/>
      <sheetName val="Inpu mixed BAU"/>
      <sheetName val="Input Population GDP"/>
      <sheetName val="GLOCAF BAU"/>
      <sheetName val="Lookups"/>
      <sheetName val="Sheet1"/>
      <sheetName val="Overview"/>
      <sheetName val="Global chart and assumptions"/>
      <sheetName val="Input 2020 accord"/>
      <sheetName val="Input mixed BAU"/>
    </sheetNames>
    <sheetDataSet>
      <sheetData sheetId="0"/>
      <sheetData sheetId="1">
        <row r="42">
          <cell r="C42">
            <v>2005</v>
          </cell>
        </row>
      </sheetData>
      <sheetData sheetId="2"/>
      <sheetData sheetId="3">
        <row r="7">
          <cell r="J7" t="str">
            <v>INDCs input data</v>
          </cell>
          <cell r="K7" t="str">
            <v>2025 INDC Low ambition</v>
          </cell>
          <cell r="L7" t="str">
            <v>2025 INDC High pledge</v>
          </cell>
          <cell r="M7" t="str">
            <v>2030 INDC Low ambition</v>
          </cell>
          <cell r="N7" t="str">
            <v>2030 INDC High ambition</v>
          </cell>
        </row>
        <row r="9">
          <cell r="J9" t="str">
            <v>Brazil</v>
          </cell>
        </row>
        <row r="10">
          <cell r="J10" t="str">
            <v>Canada</v>
          </cell>
          <cell r="M10">
            <v>579</v>
          </cell>
          <cell r="N10">
            <v>579</v>
          </cell>
        </row>
        <row r="11">
          <cell r="J11" t="str">
            <v>China</v>
          </cell>
          <cell r="M11">
            <v>16588</v>
          </cell>
          <cell r="N11">
            <v>14500</v>
          </cell>
        </row>
        <row r="12">
          <cell r="J12" t="str">
            <v>EU</v>
          </cell>
          <cell r="M12">
            <v>3126</v>
          </cell>
          <cell r="N12">
            <v>3126</v>
          </cell>
        </row>
        <row r="13">
          <cell r="J13" t="str">
            <v>India</v>
          </cell>
          <cell r="K13" t="str">
            <v>2025 INDC Low ambition</v>
          </cell>
          <cell r="L13" t="str">
            <v>2025 INDC High pledge</v>
          </cell>
          <cell r="M13" t="str">
            <v>2030 INDC Low ambition</v>
          </cell>
          <cell r="N13" t="str">
            <v>2030 INDC High ambition</v>
          </cell>
        </row>
        <row r="14">
          <cell r="J14" t="str">
            <v>Indonesia</v>
          </cell>
          <cell r="K14">
            <v>0</v>
          </cell>
          <cell r="L14">
            <v>0</v>
          </cell>
          <cell r="M14">
            <v>0</v>
          </cell>
          <cell r="N14">
            <v>0</v>
          </cell>
        </row>
        <row r="15">
          <cell r="J15" t="str">
            <v>Japan</v>
          </cell>
          <cell r="K15">
            <v>1422</v>
          </cell>
          <cell r="L15">
            <v>1422</v>
          </cell>
          <cell r="M15">
            <v>1006</v>
          </cell>
          <cell r="N15">
            <v>1006</v>
          </cell>
        </row>
        <row r="16">
          <cell r="J16" t="str">
            <v>Mexico</v>
          </cell>
          <cell r="K16">
            <v>0</v>
          </cell>
          <cell r="L16">
            <v>0</v>
          </cell>
          <cell r="M16">
            <v>770</v>
          </cell>
          <cell r="N16">
            <v>632</v>
          </cell>
        </row>
        <row r="17">
          <cell r="J17" t="str">
            <v>Middle East</v>
          </cell>
          <cell r="K17">
            <v>0</v>
          </cell>
          <cell r="L17">
            <v>0</v>
          </cell>
          <cell r="M17">
            <v>3195.2713822718988</v>
          </cell>
          <cell r="N17">
            <v>3195.2713822718988</v>
          </cell>
        </row>
        <row r="18">
          <cell r="J18" t="str">
            <v>Northern Africa</v>
          </cell>
          <cell r="K18">
            <v>0</v>
          </cell>
          <cell r="L18">
            <v>0</v>
          </cell>
          <cell r="M18">
            <v>1070</v>
          </cell>
          <cell r="N18">
            <v>1049.2862933862264</v>
          </cell>
        </row>
        <row r="19">
          <cell r="J19" t="str">
            <v>Oceania</v>
          </cell>
          <cell r="K19">
            <v>0</v>
          </cell>
          <cell r="L19">
            <v>0</v>
          </cell>
          <cell r="M19">
            <v>792</v>
          </cell>
          <cell r="N19">
            <v>792</v>
          </cell>
        </row>
        <row r="20">
          <cell r="J20" t="str">
            <v>Rest of Central America</v>
          </cell>
          <cell r="K20">
            <v>0</v>
          </cell>
          <cell r="L20">
            <v>0</v>
          </cell>
          <cell r="M20">
            <v>488.26318020727319</v>
          </cell>
          <cell r="N20">
            <v>488.26318020727319</v>
          </cell>
        </row>
        <row r="21">
          <cell r="J21" t="str">
            <v>Rest of Europe</v>
          </cell>
          <cell r="K21">
            <v>0</v>
          </cell>
          <cell r="L21">
            <v>0</v>
          </cell>
          <cell r="M21">
            <v>180</v>
          </cell>
          <cell r="N21">
            <v>179.83138085637137</v>
          </cell>
        </row>
        <row r="22">
          <cell r="J22" t="str">
            <v>Rest of FSU</v>
          </cell>
          <cell r="K22">
            <v>0</v>
          </cell>
          <cell r="L22">
            <v>0</v>
          </cell>
          <cell r="M22">
            <v>1050.0574130298191</v>
          </cell>
          <cell r="N22">
            <v>1050.0574130298191</v>
          </cell>
        </row>
        <row r="23">
          <cell r="J23" t="str">
            <v>Rest of South America</v>
          </cell>
          <cell r="K23">
            <v>0</v>
          </cell>
          <cell r="L23">
            <v>0</v>
          </cell>
          <cell r="M23">
            <v>2244.2850336105384</v>
          </cell>
          <cell r="N23">
            <v>2244.2850336105384</v>
          </cell>
        </row>
        <row r="24">
          <cell r="J24" t="str">
            <v>Rest of South Asia</v>
          </cell>
          <cell r="K24">
            <v>0</v>
          </cell>
          <cell r="L24">
            <v>0</v>
          </cell>
          <cell r="M24">
            <v>936.54290186093772</v>
          </cell>
          <cell r="N24">
            <v>936.54290186093772</v>
          </cell>
        </row>
        <row r="25">
          <cell r="J25" t="str">
            <v>Rest of South East Asia</v>
          </cell>
          <cell r="K25">
            <v>0</v>
          </cell>
          <cell r="L25">
            <v>0</v>
          </cell>
          <cell r="M25">
            <v>2788</v>
          </cell>
          <cell r="N25">
            <v>2788</v>
          </cell>
        </row>
        <row r="26">
          <cell r="J26" t="str">
            <v>Rest of Sub Saharan Africa</v>
          </cell>
          <cell r="K26">
            <v>0</v>
          </cell>
          <cell r="L26">
            <v>0</v>
          </cell>
          <cell r="M26">
            <v>3313.7864863598707</v>
          </cell>
          <cell r="N26">
            <v>3313.7864863598707</v>
          </cell>
        </row>
        <row r="27">
          <cell r="J27" t="str">
            <v>Russia</v>
          </cell>
          <cell r="K27">
            <v>0</v>
          </cell>
          <cell r="L27">
            <v>0</v>
          </cell>
          <cell r="M27">
            <v>2577</v>
          </cell>
          <cell r="N27">
            <v>2406</v>
          </cell>
        </row>
        <row r="28">
          <cell r="J28" t="str">
            <v>South Africa</v>
          </cell>
          <cell r="K28">
            <v>0</v>
          </cell>
          <cell r="L28">
            <v>0</v>
          </cell>
          <cell r="M28">
            <v>926.67138735310846</v>
          </cell>
          <cell r="N28">
            <v>1050.0574130298194</v>
          </cell>
        </row>
        <row r="29">
          <cell r="J29" t="str">
            <v>South Korea</v>
          </cell>
          <cell r="K29">
            <v>0</v>
          </cell>
          <cell r="L29">
            <v>0</v>
          </cell>
          <cell r="M29">
            <v>609</v>
          </cell>
          <cell r="N29">
            <v>513</v>
          </cell>
        </row>
        <row r="30">
          <cell r="J30" t="str">
            <v>Turkey</v>
          </cell>
          <cell r="K30">
            <v>0</v>
          </cell>
          <cell r="L30">
            <v>0</v>
          </cell>
          <cell r="M30">
            <v>936.5429018609376</v>
          </cell>
          <cell r="N30">
            <v>936.5429018609376</v>
          </cell>
        </row>
        <row r="31">
          <cell r="J31" t="str">
            <v>Ukraine</v>
          </cell>
          <cell r="K31">
            <v>0</v>
          </cell>
          <cell r="L31">
            <v>0</v>
          </cell>
          <cell r="M31">
            <v>2788</v>
          </cell>
          <cell r="N31">
            <v>2788</v>
          </cell>
        </row>
        <row r="32">
          <cell r="J32" t="str">
            <v>USA</v>
          </cell>
          <cell r="K32">
            <v>4586.0993544000003</v>
          </cell>
          <cell r="L32">
            <v>4462.1507231999994</v>
          </cell>
          <cell r="M32">
            <v>3142.373529965002</v>
          </cell>
          <cell r="N32">
            <v>3339.2422156176503</v>
          </cell>
        </row>
      </sheetData>
      <sheetData sheetId="4"/>
      <sheetData sheetId="5"/>
      <sheetData sheetId="6">
        <row r="2">
          <cell r="A2" t="str">
            <v>INDCs input data</v>
          </cell>
        </row>
        <row r="3">
          <cell r="A3" t="str">
            <v>2 degree (excluding Foresty Fund)</v>
          </cell>
          <cell r="B3" t="str">
            <v>Global emissions of 40Gt, excluding the Forestry Fund abatement but including Peat emissions. Based on unadjusted median from burden share approaches spreadsheet.</v>
          </cell>
          <cell r="C3">
            <v>41852</v>
          </cell>
        </row>
        <row r="4">
          <cell r="A4" t="str">
            <v>2.5 degree (excluding Foresty Fund)</v>
          </cell>
          <cell r="B4" t="str">
            <v xml:space="preserve">Global emissions of 51.5Gt, excluding the Forestry Fund abatement but including Peat emissions. </v>
          </cell>
          <cell r="C4">
            <v>41852</v>
          </cell>
        </row>
        <row r="5">
          <cell r="A5" t="str">
            <v>Realistic low (excluding Foresty Fund)</v>
          </cell>
          <cell r="B5" t="str">
            <v xml:space="preserve">Global emissions of 57Gt, excluding the Forestry Fund abatement but including Peat emissions. </v>
          </cell>
          <cell r="C5">
            <v>41852</v>
          </cell>
        </row>
        <row r="6">
          <cell r="A6" t="str">
            <v>Expected offer (excluding Foresty Fund)</v>
          </cell>
          <cell r="B6" t="str">
            <v xml:space="preserve">Global emissions of 56.3Gt, excluding the Forestry Fund abatement but including Peat emissions. </v>
          </cell>
          <cell r="C6">
            <v>41852</v>
          </cell>
        </row>
        <row r="7">
          <cell r="A7" t="str">
            <v>Realistic high (excluding Foresty Fund)</v>
          </cell>
          <cell r="B7" t="str">
            <v xml:space="preserve">Global emissions of 50.2Gt, excluding the Forestry Fund abatement but including Peat emissions. </v>
          </cell>
          <cell r="C7">
            <v>41852</v>
          </cell>
        </row>
        <row r="8">
          <cell r="A8" t="str">
            <v>Ambitious ask (excluding Foresty Fund)</v>
          </cell>
          <cell r="B8" t="str">
            <v>Global emissions of 45.9Gt, excluding the Forestry Fund abatement but including Peat emissions. Ask numbers updated following discussion with policy on 11/9/14. Mexico target set to 279Mt.</v>
          </cell>
          <cell r="C8">
            <v>41852</v>
          </cell>
        </row>
        <row r="9">
          <cell r="A9" t="str">
            <v>2 degree (including Foresty Fund)</v>
          </cell>
          <cell r="B9" t="str">
            <v xml:space="preserve">Global emissions of 41Gt, including the Forestry Fund abatement and Peat emissions. </v>
          </cell>
          <cell r="C9">
            <v>41852</v>
          </cell>
        </row>
        <row r="10">
          <cell r="A10" t="str">
            <v>2.5 degree (including Foresty Fund)</v>
          </cell>
          <cell r="B10" t="str">
            <v xml:space="preserve">Global emissions of 52Gt, including the Forestry Fund abatement and Peat emissions. </v>
          </cell>
          <cell r="C10">
            <v>41852</v>
          </cell>
        </row>
        <row r="11">
          <cell r="A11" t="str">
            <v>Realistic low (including Foresty Fund)</v>
          </cell>
          <cell r="B11" t="str">
            <v xml:space="preserve">Global emissions of 56.3Gt, including the Forestry Fund abatement and Peat emissions. </v>
          </cell>
          <cell r="C11">
            <v>41852</v>
          </cell>
        </row>
        <row r="12">
          <cell r="A12" t="str">
            <v>Expected offer (including Foresty Fund)</v>
          </cell>
          <cell r="B12" t="str">
            <v xml:space="preserve">Global emissions of 55.5Gt, including the Forestry Fund abatement and Peat emissions. </v>
          </cell>
          <cell r="C12">
            <v>41852</v>
          </cell>
        </row>
        <row r="13">
          <cell r="A13" t="str">
            <v>Realistic high (including Foresty Fund)</v>
          </cell>
          <cell r="B13" t="str">
            <v xml:space="preserve">Global emissions of 49.6Gt, including the Forestry Fund abatement and Peat emissions. </v>
          </cell>
          <cell r="C13">
            <v>41852</v>
          </cell>
        </row>
        <row r="14">
          <cell r="A14" t="str">
            <v>Ambitious ask (including Foresty Fund)</v>
          </cell>
          <cell r="B14" t="str">
            <v xml:space="preserve">Global emissions of 45.2Gt, including the Forestry Fund abatement and Peat emissions. </v>
          </cell>
          <cell r="C14">
            <v>41852</v>
          </cell>
        </row>
        <row r="15">
          <cell r="A15" t="str">
            <v>BAU</v>
          </cell>
          <cell r="B15" t="str">
            <v xml:space="preserve">BAU for all countries </v>
          </cell>
          <cell r="C15">
            <v>42082.725208333337</v>
          </cell>
        </row>
        <row r="16">
          <cell r="A16" t="str">
            <v>INDC_high_ambition_0319</v>
          </cell>
          <cell r="B16" t="str">
            <v>High ambition, INDC of US, EU, Chile, Switzerland, Norway  + BAU for rest of the world</v>
          </cell>
          <cell r="C16">
            <v>42082.738900462966</v>
          </cell>
        </row>
        <row r="17">
          <cell r="A17" t="str">
            <v>INDC_low_ambition_0319</v>
          </cell>
          <cell r="B17" t="str">
            <v>Low ambition, INDC of EU ,Chile, Switz, Norway, US + BAU for the rest of the world</v>
          </cell>
          <cell r="C17">
            <v>42082.746319444443</v>
          </cell>
        </row>
        <row r="18">
          <cell r="A18" t="str">
            <v>INDC_high_ambition_0320</v>
          </cell>
          <cell r="B18" t="str">
            <v>BAU for the rest , high ambition, INDC of Switz+ EU, INDC proposal of Chile+Norway, High realistic China, -30% Russia, US 28%</v>
          </cell>
          <cell r="C18">
            <v>42083.509386574071</v>
          </cell>
        </row>
        <row r="19">
          <cell r="A19" t="str">
            <v>INDC_low_ambition_0320</v>
          </cell>
          <cell r="B19" t="str">
            <v>BAU for the rest, low ambition, INDC of EU, Swizt, INDC proposal of Chile, Norway, US 26%, Russia 25%, China expected offer</v>
          </cell>
          <cell r="C19">
            <v>42083.512002314812</v>
          </cell>
        </row>
        <row r="20">
          <cell r="A20" t="str">
            <v>Expected offer 0324</v>
          </cell>
          <cell r="B20" t="str">
            <v xml:space="preserve">Started from expected offer excluding Forestry Fund abatement, included INDC of EU and Switz, Chile and Norway's consultation INDC, Russia -25%, US -26%, Japan -10% on 2005 </v>
          </cell>
          <cell r="C20">
            <v>42087.447210648148</v>
          </cell>
        </row>
        <row r="21">
          <cell r="A21" t="str">
            <v>Realistic high 0324</v>
          </cell>
          <cell r="B21" t="str">
            <v>Started from reaslitic high excluding Forestry Fund abatement, included INDC of EU and Switz, Chile and Norway's consultation INDC, Russia -30%, US -28%, Japan -20% on 2005</v>
          </cell>
          <cell r="C21">
            <v>42087.448136574072</v>
          </cell>
        </row>
        <row r="22">
          <cell r="A22" t="str">
            <v>INDC High ambition 0324 (excluding FF)</v>
          </cell>
          <cell r="B22" t="str">
            <v>BAU for rest of the world, INDC of EU and Switzerland</v>
          </cell>
          <cell r="C22">
            <v>42087.507511574076</v>
          </cell>
        </row>
        <row r="23">
          <cell r="A23" t="str">
            <v>INDC Low ambition 0324 (excluding FF)</v>
          </cell>
          <cell r="B23" t="str">
            <v>BAU rest of the world, INDC of EU and Switzerland</v>
          </cell>
          <cell r="C23">
            <v>42087.507997685185</v>
          </cell>
        </row>
        <row r="24">
          <cell r="A24" t="str">
            <v>Expected Offer 0324 (exclude FF)</v>
          </cell>
          <cell r="B24" t="str">
            <v>Started with expected offer (exclude FF), updated Japan with -10% on 2005</v>
          </cell>
          <cell r="C24">
            <v>42087.520520833335</v>
          </cell>
        </row>
        <row r="25">
          <cell r="A25" t="str">
            <v>Reaslistic high 0324 (exclude FF)</v>
          </cell>
          <cell r="B25" t="str">
            <v>Started with original realistic high, updated Japan with -20% on 2005</v>
          </cell>
          <cell r="C25">
            <v>42087.522615740738</v>
          </cell>
        </row>
        <row r="26">
          <cell r="A26" t="str">
            <v>Expected offer 0324b (exclude FF)</v>
          </cell>
          <cell r="B26" t="str">
            <v>Expected offer, -10% Japan, -26% US</v>
          </cell>
          <cell r="C26">
            <v>42087.532881944448</v>
          </cell>
        </row>
        <row r="27">
          <cell r="A27" t="str">
            <v>Reaslitic high 0324b (exclude FF)</v>
          </cell>
          <cell r="B27" t="str">
            <v>Reaslitic high, -20% Japan, -28% US</v>
          </cell>
          <cell r="C27">
            <v>42087.533414351848</v>
          </cell>
        </row>
        <row r="28">
          <cell r="A28" t="str">
            <v>Reaslitic high 0324c (exclude FF)</v>
          </cell>
          <cell r="B28" t="str">
            <v xml:space="preserve">Reaslitic high, Japan -20%, US -28%, INDC of EU and Switz </v>
          </cell>
          <cell r="C28">
            <v>42087.536053240743</v>
          </cell>
        </row>
        <row r="29">
          <cell r="A29" t="str">
            <v>Expected offer 0324c (exclude FF)</v>
          </cell>
          <cell r="B29" t="str">
            <v>Expected offer, Japan -10%, US -26%, INDC of EU and Switz</v>
          </cell>
          <cell r="C29">
            <v>42087.53670138889</v>
          </cell>
        </row>
        <row r="30">
          <cell r="A30" t="str">
            <v>INDC low ambition 0325 (exclude FF)</v>
          </cell>
          <cell r="B30" t="str">
            <v>BAU for the rest, low ambition, INDC of EU, Swizt, INDC proposal of Chile, Norway, US -26%, Russia -25%, China 15.1Gt</v>
          </cell>
          <cell r="C30">
            <v>42088.661585648151</v>
          </cell>
        </row>
        <row r="31">
          <cell r="A31" t="str">
            <v>INDC high ambition 0325 (exclude FF)</v>
          </cell>
          <cell r="B31" t="str">
            <v xml:space="preserve">BAU for the rest , INDC of Switz+ EU, INDC proposal of Chile+Norway,  China 15.1Gt , -30% Russia, US 28% </v>
          </cell>
          <cell r="C31">
            <v>42088.661956018521</v>
          </cell>
        </row>
        <row r="32">
          <cell r="A32" t="str">
            <v>INDC Low Ambition 0412 (exclude FF)</v>
          </cell>
          <cell r="B32" t="str">
            <v>INDC low ambition of Switzerland, EU (-40% on 1990 inc. lucf baseline), Norway, Mexico -22% BAU, US -26%, Russia -25%, Gabon. BAU for rest of the world.</v>
          </cell>
          <cell r="C32">
            <v>42106.970937500002</v>
          </cell>
        </row>
        <row r="33">
          <cell r="A33" t="str">
            <v>INDC high ambition 0412 (exclude FF)</v>
          </cell>
          <cell r="B33" t="str">
            <v>INDC high ambition of Switzerland, EU (-40% on 1990 inc. lucf baseline), Norway, Mexico -36% BAU, US -28%, Russia -30%, Gabon. BAU for rest of the world.</v>
          </cell>
          <cell r="C33">
            <v>42106.974629629629</v>
          </cell>
        </row>
        <row r="34">
          <cell r="A34" t="str">
            <v>Expected offer 0412 (exclude FF)</v>
          </cell>
          <cell r="B34" t="str">
            <v>Expected offer, China 15.1Gt, Japan -10%, Chile consultation INDC, INDC of EU, US -26%, Mexico -22% BAU, Norway, Switz, Gabon, Russia -25%</v>
          </cell>
          <cell r="C34">
            <v>42106.99391203704</v>
          </cell>
        </row>
        <row r="35">
          <cell r="A35" t="str">
            <v>Realistic high 0412 (exclude FF)</v>
          </cell>
          <cell r="B35" t="str">
            <v>Realistic high, China 15.1Gt, Japan -20%, Chile consultation INDC, INDC of EU, US -28%, Mexico -36% BAU, Norway, Switz, Gabon, Russia -30%</v>
          </cell>
          <cell r="C35">
            <v>42107.543715277781</v>
          </cell>
        </row>
        <row r="36">
          <cell r="A36" t="str">
            <v>BAU_core32_previous year PBL data</v>
          </cell>
          <cell r="B36" t="str">
            <v xml:space="preserve">This is the BAU with CORE32 energy and forestry data, but with previous year's PBL other gas BAU data </v>
          </cell>
          <cell r="C36">
            <v>42131.600300925929</v>
          </cell>
        </row>
        <row r="37">
          <cell r="A37" t="str">
            <v xml:space="preserve">150507 INDC low ambition (exclude FF) </v>
          </cell>
          <cell r="B37" t="str">
            <v>Started with CORE32 BAU with previous year's PBL other gases data.  INDC low ambition of Switzerland, EU (-40% on 1990 excl. lucf baseline + 2030 BAU LULUCF), Norway, Mexico -22% BAU, US -26%, Russia -25%, Gabon. BAU for rest of the world. US 2030 target linearly extrapolated</v>
          </cell>
          <cell r="C37">
            <v>42131.615590277775</v>
          </cell>
        </row>
        <row r="38">
          <cell r="A38" t="str">
            <v>150507 INDC high ambition (exclude FF)</v>
          </cell>
          <cell r="B38" t="str">
            <v xml:space="preserve">Started with CORE32 BAU with previous year's PBL other gases data.  INDC high ambition of Switzerland, EU (-40% on 1990 inc. lucf baseline), Norway, Mexico -36% BAU, US -28%, Russia -30%, Gabon. BAU for rest of the world. US 2030 target linearly extrapolated </v>
          </cell>
          <cell r="C38">
            <v>42131.617800925924</v>
          </cell>
        </row>
        <row r="39">
          <cell r="A39" t="str">
            <v>2015 2 degrees (exclude forestry fund)</v>
          </cell>
          <cell r="B39" t="str">
            <v>Latest 2 degrees scenario</v>
          </cell>
          <cell r="C39">
            <v>42173</v>
          </cell>
        </row>
        <row r="40">
          <cell r="A40" t="str">
            <v>2015 Late action 2 degrees (exclude forestry fund)</v>
          </cell>
          <cell r="B40" t="str">
            <v>Latest Late action 2 degrees scenario</v>
          </cell>
          <cell r="C40">
            <v>42174</v>
          </cell>
        </row>
        <row r="41">
          <cell r="A41" t="str">
            <v>2015 2.5 degrees (exclude forestry fund)</v>
          </cell>
          <cell r="B41" t="str">
            <v>Latest 2.5 degrees scenario</v>
          </cell>
          <cell r="C41">
            <v>42180</v>
          </cell>
        </row>
        <row r="42">
          <cell r="A42" t="str">
            <v>150622 Current expected low ambition (Exclude FF)</v>
          </cell>
          <cell r="B42" t="str">
            <v>Current expected offer low ambition, China 14.9Gt, Japan -26% on 2013, S.Korea option 1 consultation, Chile consultation INDC, INDC of EU, US -26%, Mexico -22% BAU, Norway, Switz, Gabon, Russia -25%, Morocco, Ethiopia</v>
          </cell>
          <cell r="C42">
            <v>42177.660057870373</v>
          </cell>
        </row>
        <row r="43">
          <cell r="A43" t="str">
            <v>150622 Current expected high ambition (Exclude FF)</v>
          </cell>
          <cell r="B43" t="str">
            <v>Current expected offer high ambition, China 14.9Gt, Japan -26% on 2013, S. Korea option 4 consultation, Chile consultation INDC, INDC of EU, US -28%, Mexico -36% BAU, Norway, Switz, Gabon, Russia -30%, Morocco, Ethiopia</v>
          </cell>
          <cell r="C43">
            <v>42177.666747685187</v>
          </cell>
        </row>
        <row r="44">
          <cell r="A44" t="str">
            <v>150622 INDC low ambition (exclude FF) plus Japan and China</v>
          </cell>
          <cell r="B44" t="str">
            <v>Started with CORE32 BAU with previous year's PBL other gases data.  INDC low ambition of Switzerland, EU (-40% on 1990 excl. lucf baseline + 2030 BAU LULUCF), Norway, Mexico -22% BAU, US -26%, Russia -25%, Gabon, Morocco, Ethiopia. China 14.9Gt, Japan 26% on 2013.  BAU for rest of the world. US 2030 target linearly extrapolated</v>
          </cell>
          <cell r="C44">
            <v>42177.679340277777</v>
          </cell>
        </row>
        <row r="45">
          <cell r="A45" t="str">
            <v>150622 INDC high ambition (exculde FF) plus China and Japan</v>
          </cell>
          <cell r="B45" t="str">
            <v>Started with CORE32 BAU with previous year's PBL other gases data.  INDC high ambition of Switzerland, EU (-40% on 1990 inc. lucf baseline), Norway, Mexico -36% BAU, US -28%, Russia -30%, Gabon, Morocco, Ethiopia. China 14.9Gt, Japan 26% on 2013.  BAU for rest of the world. US 2030 target linearly extrapolated</v>
          </cell>
          <cell r="C45">
            <v>42177.695</v>
          </cell>
        </row>
        <row r="46">
          <cell r="A46" t="str">
            <v>2015 low ambition current expected (exclude forestry fund)</v>
          </cell>
          <cell r="B46" t="str">
            <v>GLOCAF 2015 Bottom-up Lower Ambition scenario</v>
          </cell>
          <cell r="C46">
            <v>42178</v>
          </cell>
        </row>
        <row r="47">
          <cell r="A47" t="str">
            <v>2015 high ambition current expected (exclude forestry fund)</v>
          </cell>
          <cell r="B47" t="str">
            <v>GLOCAF 2015 Bottom-up Higher Ambition scenario</v>
          </cell>
          <cell r="C47">
            <v>42178</v>
          </cell>
        </row>
        <row r="48">
          <cell r="A48" t="str">
            <v>2015 Stretch scenario (exclude forestry fund)</v>
          </cell>
          <cell r="B48" t="str">
            <v>GLOCAF 2015 Stretch scenario</v>
          </cell>
          <cell r="C48">
            <v>42178</v>
          </cell>
        </row>
        <row r="49">
          <cell r="A49" t="str">
            <v>2015 Credible ask (exclude forestry fund)</v>
          </cell>
          <cell r="B49" t="str">
            <v>GLOCAF 2015  Our Asks scenario</v>
          </cell>
          <cell r="C49">
            <v>42178</v>
          </cell>
        </row>
        <row r="50">
          <cell r="A50" t="str">
            <v xml:space="preserve">2015 2C unadjusted (exclude FF) </v>
          </cell>
          <cell r="B50" t="str">
            <v>2C scenario, unadjusted based on 42Gt</v>
          </cell>
          <cell r="C50">
            <v>42192.72929398148</v>
          </cell>
        </row>
        <row r="51">
          <cell r="A51" t="str">
            <v>2015 2.5C unadjusted (exclude FF)</v>
          </cell>
          <cell r="B51" t="str">
            <v>2.5C scenario, unadjusted based on 52Gt</v>
          </cell>
          <cell r="C51">
            <v>42192.731631944444</v>
          </cell>
        </row>
        <row r="52">
          <cell r="A52" t="str">
            <v>2015 Late action 2C unadjusted (exclude FF)</v>
          </cell>
          <cell r="B52" t="str">
            <v>Late action 2C scenario, unadjusted based on 47Gt</v>
          </cell>
          <cell r="C52">
            <v>42192.732164351852</v>
          </cell>
        </row>
        <row r="53">
          <cell r="A53" t="str">
            <v>150708b Announced INDCs low ambition plus Japan</v>
          </cell>
          <cell r="B53" t="str">
            <v>Started with CORE32 BAU with previous year's PBL other gases data. Covers first 18 INDCs plus Japan.  INDC low ambition of Switzerland, EU (-40% on 1990 excl. lucf baseline + 2030 BAU LULUCF), Norway, Mexico -22% BAU, US -26%, Russia -25%, China 16.6Gt, Japan -20% on 2005, Canada -28% on 2005, Korea,  NZ, Singapore plus other smaller countries. BAU for rest of the world. US 2030 target linearly extrapolated</v>
          </cell>
          <cell r="C53">
            <v>42193.536886574075</v>
          </cell>
        </row>
        <row r="54">
          <cell r="A54" t="str">
            <v>150708b Announced INDCs high ambition plus Japan</v>
          </cell>
          <cell r="B54" t="str">
            <v>150708b Announced INDCs high ambition plus Japan</v>
          </cell>
          <cell r="C54">
            <v>42193.537222222221</v>
          </cell>
        </row>
        <row r="55">
          <cell r="A55" t="str">
            <v>150708b Announced INDCs low ambition excl Japan</v>
          </cell>
          <cell r="B55" t="str">
            <v>150708b Announced INDCs low ambition excl Japan</v>
          </cell>
          <cell r="C55">
            <v>42193.537557870368</v>
          </cell>
        </row>
        <row r="56">
          <cell r="A56" t="str">
            <v>150708b Announced INDCs high ambition excl Japan</v>
          </cell>
          <cell r="B56" t="str">
            <v>150708b Announced INDCs high ambition excl Japan</v>
          </cell>
          <cell r="C56">
            <v>42193.537893518522</v>
          </cell>
        </row>
        <row r="57">
          <cell r="A57" t="str">
            <v>150709 Current expected high ambition</v>
          </cell>
          <cell r="B57" t="str">
            <v>Updated with Australia target of 28% on 2005</v>
          </cell>
          <cell r="C57">
            <v>42194.717372685183</v>
          </cell>
        </row>
        <row r="58">
          <cell r="A58" t="str">
            <v>150709 Current expected low ambition</v>
          </cell>
          <cell r="B58" t="str">
            <v xml:space="preserve">150709b Current expected low ambition </v>
          </cell>
          <cell r="C58">
            <v>42195.464131944442</v>
          </cell>
        </row>
        <row r="59">
          <cell r="A59" t="str">
            <v>150709 Current expected low ambition_with comment TEST</v>
          </cell>
          <cell r="B59" t="str">
            <v>150709 Current expected low ambition_with comment TEST</v>
          </cell>
          <cell r="C59">
            <v>42201.674930555557</v>
          </cell>
        </row>
        <row r="60">
          <cell r="A60" t="str">
            <v>150728 Announced INDCs low ambition GRANTHAM</v>
          </cell>
          <cell r="B60" t="str">
            <v>150728 Announced INDCs low ambition GRANTHAM</v>
          </cell>
          <cell r="C60">
            <v>42213.555532407408</v>
          </cell>
        </row>
        <row r="61">
          <cell r="A61" t="str">
            <v>150728 Announced INDCs high ambition GRANTHAM</v>
          </cell>
          <cell r="B61" t="str">
            <v>HIHG ABITIF</v>
          </cell>
          <cell r="C61">
            <v>42213.557557870372</v>
          </cell>
        </row>
        <row r="62">
          <cell r="A62" t="str">
            <v>150825b Current expected high ambition</v>
          </cell>
          <cell r="B62" t="str">
            <v>For Bonn Aug 2015</v>
          </cell>
          <cell r="C62">
            <v>42241.637037037035</v>
          </cell>
        </row>
        <row r="63">
          <cell r="A63" t="str">
            <v>150825b Announced INDCs low ambition</v>
          </cell>
          <cell r="B63" t="str">
            <v>For Bonn Aug 2015</v>
          </cell>
          <cell r="C63">
            <v>42248.632384259261</v>
          </cell>
        </row>
        <row r="64">
          <cell r="A64" t="str">
            <v>150825b Announced INDCs high ambition</v>
          </cell>
          <cell r="B64" t="str">
            <v>For Bonn Aug 2015</v>
          </cell>
          <cell r="C64">
            <v>42248.632789351854</v>
          </cell>
        </row>
        <row r="65">
          <cell r="A65" t="str">
            <v xml:space="preserve">150918 Current expected low ambition </v>
          </cell>
          <cell r="B65" t="str">
            <v xml:space="preserve">150918 Current expected low ambition </v>
          </cell>
          <cell r="C65">
            <v>42265.510798611111</v>
          </cell>
        </row>
        <row r="66">
          <cell r="A66" t="str">
            <v>150918c Current expected high ambition</v>
          </cell>
          <cell r="B66" t="str">
            <v>150918c Current expected high ambition</v>
          </cell>
          <cell r="C66">
            <v>42265.638958333337</v>
          </cell>
        </row>
        <row r="67">
          <cell r="A67" t="str">
            <v>150924 Announced INDCs low ambition GRANTHAM</v>
          </cell>
          <cell r="B67" t="str">
            <v>Cut off point for INDC 23/09/2015, up to Ghana</v>
          </cell>
          <cell r="C67">
            <v>42271.582997685182</v>
          </cell>
        </row>
        <row r="68">
          <cell r="A68" t="str">
            <v>150924 Announced INDCs high ambition GRANTHAM</v>
          </cell>
          <cell r="B68" t="str">
            <v>Cut off point 23/09/2015, up to Ghana</v>
          </cell>
          <cell r="C68">
            <v>42271.592361111114</v>
          </cell>
        </row>
        <row r="69">
          <cell r="A69" t="str">
            <v>150924 Announced INDCs high ambition GRANTHAM China low GDP growth</v>
          </cell>
          <cell r="B69" t="str">
            <v>INDC cut off point 23/09/2015, up to Ghana. Low GDP growth for China</v>
          </cell>
          <cell r="C69">
            <v>42271.607418981483</v>
          </cell>
        </row>
        <row r="70">
          <cell r="A70" t="str">
            <v>150925 Current expected low ambition</v>
          </cell>
          <cell r="B70" t="str">
            <v>Cut off point for INDC 23/09/2015</v>
          </cell>
          <cell r="C70">
            <v>42272.420740740738</v>
          </cell>
        </row>
        <row r="71">
          <cell r="A71" t="str">
            <v xml:space="preserve">150925 Current expected high ambition </v>
          </cell>
          <cell r="B71" t="str">
            <v>Cut off point 23/09/2015</v>
          </cell>
          <cell r="C71">
            <v>42272.435925925929</v>
          </cell>
        </row>
        <row r="72">
          <cell r="A72" t="str">
            <v>150925 Announced INDC low ambition</v>
          </cell>
          <cell r="B72" t="str">
            <v>INDC cut off point 23/09/2015</v>
          </cell>
          <cell r="C72">
            <v>42272.461273148147</v>
          </cell>
        </row>
        <row r="73">
          <cell r="A73" t="str">
            <v>150925 Announced INDCs high ambition</v>
          </cell>
          <cell r="B73" t="str">
            <v>INDC cut off point 23/09/2015</v>
          </cell>
          <cell r="C73">
            <v>42272.465011574073</v>
          </cell>
        </row>
        <row r="74">
          <cell r="A74" t="str">
            <v xml:space="preserve">150925 Announced INDCs low ambition GRANTHAM </v>
          </cell>
          <cell r="B74" t="str">
            <v>Cut off point 23/05/2015</v>
          </cell>
          <cell r="C74">
            <v>42272.587511574071</v>
          </cell>
        </row>
        <row r="75">
          <cell r="A75" t="str">
            <v>150925 Announced INDCs high ambition GRANTHAM</v>
          </cell>
          <cell r="B75" t="str">
            <v>Cut off point 23/09/2015</v>
          </cell>
          <cell r="C75">
            <v>42272.588518518518</v>
          </cell>
        </row>
        <row r="76">
          <cell r="A76" t="str">
            <v>150925 Announced INDCs high ambition GRANTHAM China low GDP</v>
          </cell>
          <cell r="B76" t="str">
            <v>Cut off point 23/09/2015</v>
          </cell>
          <cell r="C76">
            <v>42272.589444444442</v>
          </cell>
        </row>
        <row r="77">
          <cell r="A77" t="str">
            <v>150928 Announced INDCs high ambition</v>
          </cell>
          <cell r="B77" t="str">
            <v xml:space="preserve">Cut off point 23/09/2015 + South Africa 615Mt + Brazil </v>
          </cell>
          <cell r="C77">
            <v>42275.561261574076</v>
          </cell>
        </row>
        <row r="78">
          <cell r="A78" t="str">
            <v>150928 Current expected low ambition</v>
          </cell>
          <cell r="B78" t="str">
            <v>150928 Current expected low ambition</v>
          </cell>
          <cell r="C78">
            <v>42275.571203703701</v>
          </cell>
        </row>
        <row r="79">
          <cell r="A79" t="str">
            <v>150928 Current expected high ambition</v>
          </cell>
          <cell r="B79" t="str">
            <v>150928 Current expected high ambition</v>
          </cell>
          <cell r="C79">
            <v>42275.571608796294</v>
          </cell>
        </row>
        <row r="80">
          <cell r="A80" t="str">
            <v>150928c Announced INDCs low ambition</v>
          </cell>
          <cell r="B80" t="str">
            <v>150928c Announced INDCs low ambition</v>
          </cell>
          <cell r="C80">
            <v>42275.574317129627</v>
          </cell>
        </row>
        <row r="81">
          <cell r="A81" t="str">
            <v>150902 Announced INDCs low ambition GRANTHAM_prelim</v>
          </cell>
          <cell r="B81" t="str">
            <v>150902 Announced INDCs low ambition GRANTHAM_prelim</v>
          </cell>
          <cell r="C81">
            <v>42279.622071759259</v>
          </cell>
        </row>
        <row r="82">
          <cell r="A82" t="str">
            <v>151002 Grantham Announced INDCs low ambition prelim</v>
          </cell>
          <cell r="B82" t="str">
            <v>151002 Grantham Announced INDCs low ambition prelim</v>
          </cell>
          <cell r="C82">
            <v>42279.62605324074</v>
          </cell>
        </row>
        <row r="83">
          <cell r="A83" t="str">
            <v>prelim GRANTHAM low ambition</v>
          </cell>
          <cell r="B83" t="str">
            <v>prelim GRANTHAM low ambition</v>
          </cell>
          <cell r="C83">
            <v>42279.643750000003</v>
          </cell>
        </row>
        <row r="84">
          <cell r="A84" t="str">
            <v>GRANTHAM PRELIM high ambition imf india and china</v>
          </cell>
          <cell r="B84" t="str">
            <v>GRANTHAM PRELIM high ambition imf india and china</v>
          </cell>
          <cell r="C84">
            <v>42279.648321759261</v>
          </cell>
        </row>
        <row r="85">
          <cell r="A85" t="str">
            <v>PRELIM GRANTHAM high ambition conditional + IMF india +china</v>
          </cell>
          <cell r="B85" t="str">
            <v>PRELIM GRANTHAM high ambition conditional + IMF india +china</v>
          </cell>
          <cell r="C85">
            <v>42279.650011574071</v>
          </cell>
        </row>
        <row r="86">
          <cell r="A86" t="str">
            <v>151002 Unconditional Announced INDCs low ambition GRANTHAM</v>
          </cell>
          <cell r="B86" t="str">
            <v>Unconditional targets only low ambition , BUT include India at 9.3Gt. Assumes China NCSC growth and India INDC growth rate</v>
          </cell>
          <cell r="C86">
            <v>42279.803055555552</v>
          </cell>
        </row>
        <row r="87">
          <cell r="A87" t="str">
            <v>151002 Unconditional Announced INDCs high ambition GRANTHAM</v>
          </cell>
          <cell r="B87" t="str">
            <v>Unconditional targets only high ambition , BUT include India at 6.5Gt. Assumes IMF/OECD growth rate for China and India</v>
          </cell>
          <cell r="C87">
            <v>42279.805127314816</v>
          </cell>
        </row>
        <row r="88">
          <cell r="A88" t="str">
            <v xml:space="preserve">151002 Conditional Announced INDCs high ambition GRANTHAM </v>
          </cell>
          <cell r="B88" t="str">
            <v>Conditional targets high ambition . Assumes IMF/OECD growth rate for China and India</v>
          </cell>
          <cell r="C88">
            <v>42279.807662037034</v>
          </cell>
        </row>
        <row r="89">
          <cell r="A89" t="str">
            <v>151002 GHG target approach GRANTHAM low ambition</v>
          </cell>
          <cell r="B89" t="str">
            <v>Unconditional targets only low ambition , India at BAU</v>
          </cell>
          <cell r="C89">
            <v>42279.810590277775</v>
          </cell>
        </row>
        <row r="90">
          <cell r="A90" t="str">
            <v>151002 GHG target approach high ambition GRANTHAM</v>
          </cell>
          <cell r="B90" t="str">
            <v>Unconditional targets only high ambition , India at BAU</v>
          </cell>
          <cell r="C90">
            <v>42279.814097222225</v>
          </cell>
        </row>
        <row r="91">
          <cell r="A91" t="str">
            <v>151002 GHG target approach conditioinal high ambition, GRANTHAM</v>
          </cell>
          <cell r="B91" t="str">
            <v>GHG target approach low ambitious end, so include low ambitious conditional targets if no unconditional targets are presented in INDC. Only include uncon targets if both uncon and con targets are in the INDC. Includes India at 9.3Gt</v>
          </cell>
          <cell r="C91">
            <v>42279.815358796295</v>
          </cell>
        </row>
        <row r="92">
          <cell r="A92" t="str">
            <v>151002 Unconditional low ambition GRANTHAM, India not included</v>
          </cell>
          <cell r="B92" t="str">
            <v>GHG target approach low ambitious end, so include conditional targets if no unconditional targets are presented in INDC. Only include uncon targets if both uncon and con targets are in the INDC. Includes India at 6.5Gt and IMF growth for China</v>
          </cell>
          <cell r="C92">
            <v>42279.816134259258</v>
          </cell>
        </row>
        <row r="93">
          <cell r="A93" t="str">
            <v>151002 Unconditional high ambition GRANTHAM, India not included</v>
          </cell>
          <cell r="B93" t="str">
            <v>GHG target approach high ambitious end conditional, contain either high ambitious unconditional targets or high ambitious conditional targets.   Includes India at 6.5Gt and IMF growth for China</v>
          </cell>
          <cell r="C93">
            <v>42279.816527777781</v>
          </cell>
        </row>
        <row r="94">
          <cell r="A94" t="str">
            <v>151005b Unconditional Announced INDCs low ambition GRANTHAM IMF GDP</v>
          </cell>
          <cell r="B94" t="str">
            <v xml:space="preserve">comment box yet to be updated </v>
          </cell>
          <cell r="C94">
            <v>42282.729884259257</v>
          </cell>
        </row>
        <row r="95">
          <cell r="A95" t="str">
            <v>151005b GHG target approach GRANTHAM low ambition IMF GDP</v>
          </cell>
          <cell r="B95" t="str">
            <v xml:space="preserve">commet box yet to be updated </v>
          </cell>
          <cell r="C95">
            <v>42282.732430555552</v>
          </cell>
        </row>
        <row r="96">
          <cell r="A96" t="str">
            <v>151006 Grantham core scenario 1, announced INDCs low ambition IMF GDP, GHG appraoch</v>
          </cell>
          <cell r="B96" t="str">
            <v xml:space="preserve">151006b Core Scenario 1 Grantham, unconditional announced INDCs low ambition IMF GDP, GHG target approach </v>
          </cell>
          <cell r="C96">
            <v>42283.640659722223</v>
          </cell>
        </row>
        <row r="97">
          <cell r="A97" t="str">
            <v>151006 Grantham core scenario 2, announced INDCs high ambition IMF GDP, GHG target approach</v>
          </cell>
          <cell r="B97" t="str">
            <v>151006 Grantham core scenario 2, announced INDCs high ambition IMF GDP, GHG target approach</v>
          </cell>
          <cell r="C97">
            <v>42283.648136574076</v>
          </cell>
        </row>
        <row r="98">
          <cell r="A98" t="str">
            <v>151006 Grantham sensitivity scenario 3, announced INDCs low ambition NCSC and INDC GDP, GHG target approach</v>
          </cell>
          <cell r="B98" t="str">
            <v xml:space="preserve">151006 Grantham core scenario 3, announced INDCs low ambition NCSC and INDC GDP, GHG target approach </v>
          </cell>
          <cell r="C98">
            <v>42283.667407407411</v>
          </cell>
        </row>
        <row r="99">
          <cell r="A99" t="str">
            <v xml:space="preserve">151006 Grantham sensitivity scenario 4, announced INDCs high ambition NCSC and INDC GDP, GHG target approach			</v>
          </cell>
          <cell r="B99" t="str">
            <v>151006 Grantham sensitivity scenario 4, announced INDCs high ambition NCSC and INDC GDP, GHG target approach</v>
          </cell>
          <cell r="C99">
            <v>42283.670555555553</v>
          </cell>
        </row>
        <row r="100">
          <cell r="A100" t="str">
            <v xml:space="preserve">151006 Grantham scenario 5, conditional high ambition, IMF GDP, GHG target approach </v>
          </cell>
          <cell r="B100" t="str">
            <v xml:space="preserve">151006 Grantham scenario 5, conditional high ambition, IMF GDP, GHG target approach </v>
          </cell>
          <cell r="C100">
            <v>42283.678113425929</v>
          </cell>
        </row>
        <row r="101">
          <cell r="A101" t="str">
            <v>151006 Internal scenario 1, announced INDCs low ambition, IMF and INDC GDP, GHG target approach, binding at BAU</v>
          </cell>
          <cell r="B101" t="str">
            <v>151006 Internal scenario 1, announced INDCs low ambition, IMF and INDC GDP, GHG target approach, binding at BAU</v>
          </cell>
          <cell r="C101">
            <v>42283.704236111109</v>
          </cell>
        </row>
        <row r="102">
          <cell r="A102" t="str">
            <v xml:space="preserve">151006 Internal scenario 2, Announced INDCs high ambition, IMF + INDC GDP, binding at BAU, GHG target approach </v>
          </cell>
          <cell r="B102" t="str">
            <v xml:space="preserve">151006 Internal scenario 2, Announced INDCs high ambition, IMF + INDC GDP, binding at BAU, GHG target approach </v>
          </cell>
          <cell r="C102">
            <v>42283.70684027778</v>
          </cell>
        </row>
        <row r="103">
          <cell r="A103" t="str">
            <v>151006 Internal scenario 3 sensitivity test, announced INDCs low ambition, NCSC + INDC GDP, binding at BAU, GHG target appraoch</v>
          </cell>
          <cell r="B103" t="str">
            <v>151006 Internal scenario 3 sensitivity test, announced INDCs low ambition, NCSC + INDC GDP, binding at BAU, GHG target appraoch</v>
          </cell>
          <cell r="C103">
            <v>42283.710613425923</v>
          </cell>
        </row>
        <row r="104">
          <cell r="A104" t="str">
            <v>151007 Grantham core scenario 2, announced INDCs high ambition IMF GDP, GHG target approach</v>
          </cell>
          <cell r="B104" t="str">
            <v>151007 Grantham core scenario 2, announced INDCs high ambition IMF GDP, GHG target approach</v>
          </cell>
          <cell r="C104">
            <v>42284.688587962963</v>
          </cell>
        </row>
        <row r="105">
          <cell r="A105" t="str">
            <v>151007b Grantham core scenario 1, announced INDCs low ambition IMF GDP, GHG appraoch</v>
          </cell>
          <cell r="B105" t="str">
            <v>151007b Grantham core scenario 1, announced INDCs low ambition IMF GDP, GHG appraoch</v>
          </cell>
          <cell r="C105">
            <v>42284.688935185186</v>
          </cell>
        </row>
        <row r="106">
          <cell r="A106" t="str">
            <v>151007 Grantham sensitivity scenario 3, announced INDCs low ambition NCSC and INDC GDP, GHG target approach</v>
          </cell>
          <cell r="B106" t="str">
            <v>151007 Grantham sensitivity scenario 3, announced INDCs low ambition NCSC and INDC GDP, GHG target approach</v>
          </cell>
          <cell r="C106">
            <v>42284.691307870373</v>
          </cell>
        </row>
        <row r="107">
          <cell r="A107" t="str">
            <v xml:space="preserve">151007 Grantham sensitivity scenario 4, announced INDCs high ambition NCSC and INDC GDP, GHG target approach			</v>
          </cell>
          <cell r="B107" t="str">
            <v xml:space="preserve">151007 Grantham sensitivity scenario 4, announced INDCs high ambition NCSC and INDC GDP, GHG target approach			</v>
          </cell>
          <cell r="C107">
            <v>42284.694710648146</v>
          </cell>
        </row>
        <row r="108">
          <cell r="A108" t="str">
            <v xml:space="preserve">151007 Grantham scenario 5, conditional high ambition, IMF GDP, GHG target approach </v>
          </cell>
          <cell r="B108" t="str">
            <v xml:space="preserve">151007 Grantham scenario 5, conditional high ambition, IMF GDP, GHG target approach </v>
          </cell>
          <cell r="C108">
            <v>42284.698611111111</v>
          </cell>
        </row>
        <row r="109">
          <cell r="A109" t="str">
            <v>151007c Grantham core scenario 1, announced INDCs low ambition IMF GDP, GHG appraoch</v>
          </cell>
          <cell r="B109" t="str">
            <v>151007c Grantham core scenario 1, announced INDCs low ambition IMF GDP, GHG appraoch</v>
          </cell>
          <cell r="C109">
            <v>42284.725925925923</v>
          </cell>
        </row>
        <row r="110">
          <cell r="A110" t="str">
            <v>151007b Grantham core scenario 2, announced INDCs high ambition IMF GDP, GHG target approach</v>
          </cell>
          <cell r="B110" t="str">
            <v>151007b Grantham core scenario 2, announced INDCs high ambition IMF GDP, GHG target approach</v>
          </cell>
          <cell r="C110">
            <v>42284.726759259262</v>
          </cell>
        </row>
        <row r="111">
          <cell r="A111" t="str">
            <v>151007b Grantham sensitivity scenario 3, announced INDCs low ambition NCSC and INDC GDP, GHG target approach</v>
          </cell>
          <cell r="B111" t="str">
            <v>151007b Grantham sensitivity scenario 3, announced INDCs low ambition NCSC and INDC GDP, GHG target approach</v>
          </cell>
          <cell r="C111">
            <v>42284.727662037039</v>
          </cell>
        </row>
        <row r="112">
          <cell r="A112" t="str">
            <v xml:space="preserve">151007b Grantham sensitivity scenario 4, announced INDCs high ambition NCSC and INDC GDP, GHG target approach			</v>
          </cell>
          <cell r="B112" t="str">
            <v xml:space="preserve">151007b Grantham sensitivity scenario 4, announced INDCs high ambition NCSC and INDC GDP, GHG target approach			</v>
          </cell>
          <cell r="C112">
            <v>42284.728425925925</v>
          </cell>
        </row>
        <row r="113">
          <cell r="A113" t="str">
            <v xml:space="preserve">151007b Grantham scenario 5, conditional high ambition, IMF GDP, GHG target approach </v>
          </cell>
          <cell r="B113" t="str">
            <v xml:space="preserve">151007b Grantham scenario 5, conditional high ambition, IMF GDP, GHG target approach </v>
          </cell>
          <cell r="C113">
            <v>42284.729421296295</v>
          </cell>
        </row>
        <row r="114">
          <cell r="A114" t="str">
            <v>151007c Grantham core scenario 2, announced INDCs high ambition IMF GDP, GHG target approach</v>
          </cell>
          <cell r="B114" t="str">
            <v>151007c Grantham core scenario 2, announced INDCs high ambition IMF GDP, GHG target approach</v>
          </cell>
          <cell r="C114">
            <v>42284.761701388888</v>
          </cell>
        </row>
        <row r="115">
          <cell r="A115" t="str">
            <v xml:space="preserve">151007c Grantham sensitivity scenario 4, announced INDCs high ambition NCSC and INDC GDP, GHG target approach			</v>
          </cell>
          <cell r="B115" t="str">
            <v xml:space="preserve">151007c Grantham sensitivity scenario 4, announced INDCs high ambition NCSC and INDC GDP, GHG target approach				</v>
          </cell>
          <cell r="C115">
            <v>42284.762465277781</v>
          </cell>
        </row>
        <row r="116">
          <cell r="A116" t="str">
            <v>151008 Internal core scenario 1, announced INDCs low ambition IMF GDP, GHG appraoch</v>
          </cell>
          <cell r="B116" t="str">
            <v>151008 Internal core scenario 1, announced INDCs low ambition IMF GDP, GHG appraoch</v>
          </cell>
          <cell r="C116">
            <v>42285.487546296295</v>
          </cell>
        </row>
        <row r="117">
          <cell r="A117" t="str">
            <v>151008 Internal core scenario 2, announced INDCs high ambition IMF GDP, GHG target approach</v>
          </cell>
          <cell r="B117" t="str">
            <v>151008 Internal core scenario 2, announced INDCs high ambition IMF GDP, GHG target approach</v>
          </cell>
          <cell r="C117">
            <v>42285.533680555556</v>
          </cell>
        </row>
        <row r="118">
          <cell r="A118" t="str">
            <v xml:space="preserve">151008 Internal scenario 5, conditional high ambition, IMF GDP, GHG target approach </v>
          </cell>
          <cell r="B118" t="str">
            <v xml:space="preserve">151008 Internal scenario 5, conditional high ambition, IMF GDP, GHG target approach </v>
          </cell>
          <cell r="C118">
            <v>42285.561921296299</v>
          </cell>
        </row>
        <row r="119">
          <cell r="A119" t="str">
            <v>151012 Grantham scenario 1, announced INDCs low ambition IMF GDP, GHG appraoch</v>
          </cell>
          <cell r="B119" t="str">
            <v>151012 Grantham scenario 1, announced INDCs low ambition IMF GDP, GHG appraoch</v>
          </cell>
          <cell r="C119">
            <v>42289.586655092593</v>
          </cell>
        </row>
        <row r="120">
          <cell r="A120" t="str">
            <v>151012 Grantham scenario 2, announced INDCs high ambition IMF GDP, GHG target approach</v>
          </cell>
          <cell r="B120" t="str">
            <v>151012 Grantham scenario 2, announced INDCs high ambition IMF GDP, GHG target approach</v>
          </cell>
          <cell r="C120">
            <v>42289.588171296295</v>
          </cell>
        </row>
        <row r="121">
          <cell r="A121" t="str">
            <v>151012 Grantham sensitivity scenario 3, announced INDCs low ambition NCSC and INDC GDP, GHG target approach</v>
          </cell>
          <cell r="B121" t="str">
            <v>151012 Grantham sensitivity scenario 3, announced INDCs low ambition NCSC and INDC GDP, GHG target approach</v>
          </cell>
          <cell r="C121">
            <v>42289.589004629626</v>
          </cell>
        </row>
        <row r="122">
          <cell r="A122" t="str">
            <v xml:space="preserve">151012 Grantham sensitivity scenario 4, announced INDCs high ambition NCSC and INDC GDP, GHG target approach			</v>
          </cell>
          <cell r="B122" t="str">
            <v xml:space="preserve">151012 Grantham sensitivity scenario 4, announced INDCs high ambition NCSC and INDC GDP, GHG target approach			</v>
          </cell>
          <cell r="C122">
            <v>42289.590289351851</v>
          </cell>
        </row>
        <row r="123">
          <cell r="A123" t="str">
            <v xml:space="preserve">151012 Grantham scenario 5, conditional high ambition, IMF GDP, GHG target approach </v>
          </cell>
          <cell r="B123" t="str">
            <v xml:space="preserve">151012 Grantham scenario 5, conditional high ambition, IMF GDP, GHG target approach </v>
          </cell>
          <cell r="C123">
            <v>42289.591666666667</v>
          </cell>
        </row>
        <row r="124">
          <cell r="A124">
            <v>0</v>
          </cell>
          <cell r="B124">
            <v>0</v>
          </cell>
          <cell r="C124">
            <v>0</v>
          </cell>
        </row>
        <row r="125">
          <cell r="A125">
            <v>0</v>
          </cell>
          <cell r="B125">
            <v>0</v>
          </cell>
          <cell r="C125">
            <v>0</v>
          </cell>
        </row>
        <row r="126">
          <cell r="A126">
            <v>0</v>
          </cell>
          <cell r="B126">
            <v>0</v>
          </cell>
          <cell r="C126">
            <v>0</v>
          </cell>
        </row>
        <row r="127">
          <cell r="A127">
            <v>0</v>
          </cell>
          <cell r="B127">
            <v>0</v>
          </cell>
          <cell r="C127">
            <v>0</v>
          </cell>
        </row>
        <row r="128">
          <cell r="A128">
            <v>0</v>
          </cell>
          <cell r="B128">
            <v>0</v>
          </cell>
          <cell r="C128">
            <v>0</v>
          </cell>
        </row>
        <row r="129">
          <cell r="A129">
            <v>0</v>
          </cell>
          <cell r="B129">
            <v>0</v>
          </cell>
          <cell r="C129">
            <v>0</v>
          </cell>
        </row>
        <row r="130">
          <cell r="A130">
            <v>0</v>
          </cell>
          <cell r="B130">
            <v>0</v>
          </cell>
          <cell r="C130">
            <v>0</v>
          </cell>
        </row>
        <row r="131">
          <cell r="A131">
            <v>0</v>
          </cell>
          <cell r="B131">
            <v>0</v>
          </cell>
          <cell r="C131">
            <v>0</v>
          </cell>
        </row>
        <row r="132">
          <cell r="A132">
            <v>0</v>
          </cell>
          <cell r="B132">
            <v>0</v>
          </cell>
          <cell r="C132">
            <v>0</v>
          </cell>
        </row>
        <row r="133">
          <cell r="A133">
            <v>0</v>
          </cell>
          <cell r="B133">
            <v>0</v>
          </cell>
          <cell r="C133">
            <v>0</v>
          </cell>
        </row>
        <row r="134">
          <cell r="A134">
            <v>0</v>
          </cell>
          <cell r="B134">
            <v>0</v>
          </cell>
          <cell r="C134">
            <v>0</v>
          </cell>
        </row>
        <row r="135">
          <cell r="A135">
            <v>0</v>
          </cell>
          <cell r="B135">
            <v>0</v>
          </cell>
          <cell r="C135">
            <v>0</v>
          </cell>
        </row>
        <row r="136">
          <cell r="A136">
            <v>0</v>
          </cell>
          <cell r="B136">
            <v>0</v>
          </cell>
          <cell r="C136">
            <v>0</v>
          </cell>
        </row>
        <row r="137">
          <cell r="A137">
            <v>0</v>
          </cell>
          <cell r="B137">
            <v>0</v>
          </cell>
          <cell r="C137">
            <v>0</v>
          </cell>
        </row>
        <row r="138">
          <cell r="A138">
            <v>0</v>
          </cell>
          <cell r="B138">
            <v>0</v>
          </cell>
          <cell r="C138">
            <v>0</v>
          </cell>
        </row>
        <row r="139">
          <cell r="A139">
            <v>0</v>
          </cell>
          <cell r="B139">
            <v>0</v>
          </cell>
          <cell r="C139">
            <v>0</v>
          </cell>
        </row>
        <row r="140">
          <cell r="A140">
            <v>0</v>
          </cell>
          <cell r="B140">
            <v>0</v>
          </cell>
          <cell r="C140">
            <v>0</v>
          </cell>
        </row>
        <row r="141">
          <cell r="A141">
            <v>0</v>
          </cell>
          <cell r="B141">
            <v>0</v>
          </cell>
          <cell r="C141">
            <v>0</v>
          </cell>
        </row>
        <row r="142">
          <cell r="A142">
            <v>0</v>
          </cell>
          <cell r="B142">
            <v>0</v>
          </cell>
          <cell r="C142">
            <v>0</v>
          </cell>
        </row>
        <row r="143">
          <cell r="A143">
            <v>0</v>
          </cell>
          <cell r="B143">
            <v>0</v>
          </cell>
          <cell r="C143">
            <v>0</v>
          </cell>
        </row>
        <row r="144">
          <cell r="A144">
            <v>0</v>
          </cell>
          <cell r="B144">
            <v>0</v>
          </cell>
          <cell r="C144">
            <v>0</v>
          </cell>
        </row>
        <row r="145">
          <cell r="A145">
            <v>0</v>
          </cell>
          <cell r="B145">
            <v>0</v>
          </cell>
          <cell r="C145">
            <v>0</v>
          </cell>
        </row>
        <row r="146">
          <cell r="A146">
            <v>0</v>
          </cell>
          <cell r="B146">
            <v>0</v>
          </cell>
          <cell r="C146">
            <v>0</v>
          </cell>
        </row>
        <row r="147">
          <cell r="A147">
            <v>0</v>
          </cell>
          <cell r="B147">
            <v>0</v>
          </cell>
          <cell r="C147">
            <v>0</v>
          </cell>
        </row>
        <row r="148">
          <cell r="A148">
            <v>0</v>
          </cell>
          <cell r="B148">
            <v>0</v>
          </cell>
          <cell r="C148">
            <v>0</v>
          </cell>
        </row>
        <row r="149">
          <cell r="A149">
            <v>0</v>
          </cell>
          <cell r="B149">
            <v>0</v>
          </cell>
          <cell r="C149">
            <v>0</v>
          </cell>
        </row>
        <row r="150">
          <cell r="A150">
            <v>0</v>
          </cell>
          <cell r="B150">
            <v>0</v>
          </cell>
          <cell r="C150">
            <v>0</v>
          </cell>
        </row>
        <row r="151">
          <cell r="A151">
            <v>0</v>
          </cell>
          <cell r="B151">
            <v>0</v>
          </cell>
          <cell r="C151">
            <v>0</v>
          </cell>
        </row>
        <row r="152">
          <cell r="A152">
            <v>0</v>
          </cell>
          <cell r="B152">
            <v>0</v>
          </cell>
          <cell r="C152">
            <v>0</v>
          </cell>
        </row>
        <row r="153">
          <cell r="A153">
            <v>0</v>
          </cell>
          <cell r="B153">
            <v>0</v>
          </cell>
          <cell r="C153">
            <v>0</v>
          </cell>
        </row>
        <row r="154">
          <cell r="A154">
            <v>0</v>
          </cell>
          <cell r="B154">
            <v>0</v>
          </cell>
          <cell r="C154">
            <v>0</v>
          </cell>
        </row>
        <row r="155">
          <cell r="A155">
            <v>0</v>
          </cell>
          <cell r="B155">
            <v>0</v>
          </cell>
          <cell r="C155">
            <v>0</v>
          </cell>
        </row>
        <row r="156">
          <cell r="A156">
            <v>0</v>
          </cell>
          <cell r="B156">
            <v>0</v>
          </cell>
          <cell r="C156">
            <v>0</v>
          </cell>
        </row>
        <row r="157">
          <cell r="A157">
            <v>0</v>
          </cell>
          <cell r="B157">
            <v>0</v>
          </cell>
          <cell r="C157">
            <v>0</v>
          </cell>
        </row>
        <row r="158">
          <cell r="A158">
            <v>0</v>
          </cell>
          <cell r="B158">
            <v>0</v>
          </cell>
          <cell r="C158">
            <v>0</v>
          </cell>
        </row>
        <row r="159">
          <cell r="A159">
            <v>0</v>
          </cell>
          <cell r="B159">
            <v>0</v>
          </cell>
          <cell r="C159">
            <v>0</v>
          </cell>
        </row>
        <row r="160">
          <cell r="A160">
            <v>0</v>
          </cell>
          <cell r="B160">
            <v>0</v>
          </cell>
          <cell r="C160">
            <v>0</v>
          </cell>
        </row>
        <row r="161">
          <cell r="A161">
            <v>0</v>
          </cell>
          <cell r="B161">
            <v>0</v>
          </cell>
          <cell r="C161">
            <v>0</v>
          </cell>
        </row>
        <row r="162">
          <cell r="A162">
            <v>0</v>
          </cell>
          <cell r="B162">
            <v>0</v>
          </cell>
          <cell r="C162">
            <v>0</v>
          </cell>
        </row>
        <row r="163">
          <cell r="A163">
            <v>0</v>
          </cell>
          <cell r="B163">
            <v>0</v>
          </cell>
          <cell r="C163">
            <v>0</v>
          </cell>
        </row>
        <row r="164">
          <cell r="A164">
            <v>0</v>
          </cell>
          <cell r="B164">
            <v>0</v>
          </cell>
          <cell r="C164">
            <v>0</v>
          </cell>
        </row>
        <row r="165">
          <cell r="A165">
            <v>0</v>
          </cell>
          <cell r="B165">
            <v>0</v>
          </cell>
          <cell r="C165">
            <v>0</v>
          </cell>
        </row>
        <row r="166">
          <cell r="A166">
            <v>0</v>
          </cell>
          <cell r="B166">
            <v>0</v>
          </cell>
          <cell r="C166">
            <v>0</v>
          </cell>
        </row>
        <row r="167">
          <cell r="A167">
            <v>0</v>
          </cell>
          <cell r="B167">
            <v>0</v>
          </cell>
          <cell r="C167">
            <v>0</v>
          </cell>
        </row>
        <row r="168">
          <cell r="A168">
            <v>0</v>
          </cell>
          <cell r="B168">
            <v>0</v>
          </cell>
          <cell r="C168">
            <v>0</v>
          </cell>
        </row>
        <row r="169">
          <cell r="A169">
            <v>0</v>
          </cell>
          <cell r="B169">
            <v>0</v>
          </cell>
          <cell r="C169">
            <v>0</v>
          </cell>
        </row>
        <row r="170">
          <cell r="A170">
            <v>0</v>
          </cell>
          <cell r="B170">
            <v>0</v>
          </cell>
          <cell r="C170">
            <v>0</v>
          </cell>
        </row>
        <row r="171">
          <cell r="A171">
            <v>0</v>
          </cell>
          <cell r="B171">
            <v>0</v>
          </cell>
          <cell r="C171">
            <v>0</v>
          </cell>
        </row>
        <row r="172">
          <cell r="A172">
            <v>0</v>
          </cell>
          <cell r="B172">
            <v>0</v>
          </cell>
          <cell r="C172">
            <v>0</v>
          </cell>
        </row>
        <row r="173">
          <cell r="A173">
            <v>0</v>
          </cell>
          <cell r="B173">
            <v>0</v>
          </cell>
          <cell r="C173">
            <v>0</v>
          </cell>
        </row>
        <row r="174">
          <cell r="A174">
            <v>0</v>
          </cell>
          <cell r="B174">
            <v>0</v>
          </cell>
          <cell r="C174">
            <v>0</v>
          </cell>
        </row>
        <row r="175">
          <cell r="A175">
            <v>0</v>
          </cell>
          <cell r="B175">
            <v>0</v>
          </cell>
          <cell r="C175">
            <v>0</v>
          </cell>
        </row>
        <row r="176">
          <cell r="A176">
            <v>0</v>
          </cell>
          <cell r="B176">
            <v>0</v>
          </cell>
          <cell r="C176">
            <v>0</v>
          </cell>
        </row>
        <row r="177">
          <cell r="A177">
            <v>0</v>
          </cell>
          <cell r="B177">
            <v>0</v>
          </cell>
          <cell r="C177">
            <v>0</v>
          </cell>
        </row>
        <row r="178">
          <cell r="A178">
            <v>0</v>
          </cell>
          <cell r="B178">
            <v>0</v>
          </cell>
          <cell r="C178">
            <v>0</v>
          </cell>
        </row>
        <row r="179">
          <cell r="A179">
            <v>0</v>
          </cell>
          <cell r="B179">
            <v>0</v>
          </cell>
          <cell r="C179">
            <v>0</v>
          </cell>
        </row>
        <row r="180">
          <cell r="A180">
            <v>0</v>
          </cell>
          <cell r="B180">
            <v>0</v>
          </cell>
          <cell r="C180">
            <v>0</v>
          </cell>
        </row>
        <row r="181">
          <cell r="A181">
            <v>0</v>
          </cell>
          <cell r="B181">
            <v>0</v>
          </cell>
          <cell r="C181">
            <v>0</v>
          </cell>
        </row>
        <row r="182">
          <cell r="A182">
            <v>0</v>
          </cell>
          <cell r="B182">
            <v>0</v>
          </cell>
          <cell r="C182">
            <v>0</v>
          </cell>
        </row>
        <row r="183">
          <cell r="A183">
            <v>0</v>
          </cell>
          <cell r="B183">
            <v>0</v>
          </cell>
          <cell r="C183">
            <v>0</v>
          </cell>
        </row>
        <row r="184">
          <cell r="A184">
            <v>0</v>
          </cell>
          <cell r="B184">
            <v>0</v>
          </cell>
          <cell r="C184">
            <v>0</v>
          </cell>
        </row>
        <row r="185">
          <cell r="A185">
            <v>0</v>
          </cell>
          <cell r="B185">
            <v>0</v>
          </cell>
          <cell r="C185">
            <v>0</v>
          </cell>
        </row>
        <row r="186">
          <cell r="A186">
            <v>0</v>
          </cell>
          <cell r="B186">
            <v>0</v>
          </cell>
          <cell r="C186">
            <v>0</v>
          </cell>
        </row>
        <row r="187">
          <cell r="A187">
            <v>0</v>
          </cell>
          <cell r="B187">
            <v>0</v>
          </cell>
          <cell r="C187">
            <v>0</v>
          </cell>
        </row>
        <row r="188">
          <cell r="A188">
            <v>0</v>
          </cell>
          <cell r="B188">
            <v>0</v>
          </cell>
          <cell r="C188">
            <v>0</v>
          </cell>
        </row>
        <row r="189">
          <cell r="A189">
            <v>0</v>
          </cell>
          <cell r="B189">
            <v>0</v>
          </cell>
          <cell r="C189">
            <v>0</v>
          </cell>
        </row>
        <row r="190">
          <cell r="A190">
            <v>0</v>
          </cell>
          <cell r="B190">
            <v>0</v>
          </cell>
          <cell r="C190">
            <v>0</v>
          </cell>
        </row>
        <row r="191">
          <cell r="A191">
            <v>0</v>
          </cell>
          <cell r="B191">
            <v>0</v>
          </cell>
          <cell r="C191">
            <v>0</v>
          </cell>
        </row>
        <row r="192">
          <cell r="A192">
            <v>0</v>
          </cell>
          <cell r="B192">
            <v>0</v>
          </cell>
          <cell r="C192">
            <v>0</v>
          </cell>
        </row>
        <row r="193">
          <cell r="A193">
            <v>0</v>
          </cell>
          <cell r="B193">
            <v>0</v>
          </cell>
          <cell r="C193">
            <v>0</v>
          </cell>
        </row>
        <row r="194">
          <cell r="A194">
            <v>0</v>
          </cell>
          <cell r="B194">
            <v>0</v>
          </cell>
          <cell r="C194">
            <v>0</v>
          </cell>
        </row>
        <row r="195">
          <cell r="A195">
            <v>0</v>
          </cell>
          <cell r="B195">
            <v>0</v>
          </cell>
          <cell r="C195">
            <v>0</v>
          </cell>
        </row>
        <row r="196">
          <cell r="A196">
            <v>0</v>
          </cell>
          <cell r="B196">
            <v>0</v>
          </cell>
          <cell r="C196">
            <v>0</v>
          </cell>
        </row>
        <row r="197">
          <cell r="A197">
            <v>0</v>
          </cell>
          <cell r="B197">
            <v>0</v>
          </cell>
          <cell r="C197">
            <v>0</v>
          </cell>
        </row>
        <row r="198">
          <cell r="A198">
            <v>0</v>
          </cell>
          <cell r="B198">
            <v>0</v>
          </cell>
          <cell r="C198">
            <v>0</v>
          </cell>
        </row>
        <row r="199">
          <cell r="A199">
            <v>0</v>
          </cell>
          <cell r="B199">
            <v>0</v>
          </cell>
          <cell r="C199">
            <v>0</v>
          </cell>
        </row>
        <row r="200">
          <cell r="A200">
            <v>0</v>
          </cell>
          <cell r="B200">
            <v>0</v>
          </cell>
          <cell r="C200">
            <v>0</v>
          </cell>
        </row>
        <row r="201">
          <cell r="A201">
            <v>0</v>
          </cell>
          <cell r="B201">
            <v>0</v>
          </cell>
          <cell r="C201">
            <v>0</v>
          </cell>
        </row>
        <row r="202">
          <cell r="A202">
            <v>0</v>
          </cell>
          <cell r="B202">
            <v>0</v>
          </cell>
          <cell r="C202">
            <v>0</v>
          </cell>
        </row>
        <row r="203">
          <cell r="A203">
            <v>0</v>
          </cell>
          <cell r="B203">
            <v>0</v>
          </cell>
          <cell r="C203">
            <v>0</v>
          </cell>
        </row>
        <row r="204">
          <cell r="A204">
            <v>0</v>
          </cell>
          <cell r="B204">
            <v>0</v>
          </cell>
          <cell r="C204">
            <v>0</v>
          </cell>
        </row>
        <row r="205">
          <cell r="A205">
            <v>0</v>
          </cell>
          <cell r="B205">
            <v>0</v>
          </cell>
          <cell r="C205">
            <v>0</v>
          </cell>
        </row>
        <row r="206">
          <cell r="A206">
            <v>0</v>
          </cell>
          <cell r="B206">
            <v>0</v>
          </cell>
          <cell r="C206">
            <v>0</v>
          </cell>
        </row>
        <row r="207">
          <cell r="A207">
            <v>0</v>
          </cell>
          <cell r="B207">
            <v>0</v>
          </cell>
          <cell r="C207">
            <v>0</v>
          </cell>
        </row>
        <row r="208">
          <cell r="A208">
            <v>0</v>
          </cell>
          <cell r="B208">
            <v>0</v>
          </cell>
          <cell r="C208">
            <v>0</v>
          </cell>
        </row>
        <row r="209">
          <cell r="A209">
            <v>0</v>
          </cell>
          <cell r="B209">
            <v>0</v>
          </cell>
          <cell r="C209">
            <v>0</v>
          </cell>
        </row>
        <row r="210">
          <cell r="A210">
            <v>0</v>
          </cell>
          <cell r="B210">
            <v>0</v>
          </cell>
          <cell r="C210">
            <v>0</v>
          </cell>
        </row>
        <row r="211">
          <cell r="A211">
            <v>0</v>
          </cell>
          <cell r="B211">
            <v>0</v>
          </cell>
          <cell r="C211">
            <v>0</v>
          </cell>
        </row>
        <row r="212">
          <cell r="A212">
            <v>0</v>
          </cell>
          <cell r="B212">
            <v>0</v>
          </cell>
          <cell r="C212">
            <v>0</v>
          </cell>
        </row>
        <row r="213">
          <cell r="A213">
            <v>0</v>
          </cell>
          <cell r="B213">
            <v>0</v>
          </cell>
          <cell r="C213">
            <v>0</v>
          </cell>
        </row>
        <row r="214">
          <cell r="A214">
            <v>0</v>
          </cell>
          <cell r="B214">
            <v>0</v>
          </cell>
          <cell r="C214">
            <v>0</v>
          </cell>
        </row>
        <row r="215">
          <cell r="A215">
            <v>0</v>
          </cell>
          <cell r="B215">
            <v>0</v>
          </cell>
          <cell r="C215">
            <v>0</v>
          </cell>
        </row>
        <row r="216">
          <cell r="A216">
            <v>0</v>
          </cell>
          <cell r="B216">
            <v>0</v>
          </cell>
          <cell r="C216">
            <v>0</v>
          </cell>
        </row>
        <row r="217">
          <cell r="A217">
            <v>0</v>
          </cell>
          <cell r="B217">
            <v>0</v>
          </cell>
          <cell r="C217">
            <v>0</v>
          </cell>
        </row>
        <row r="218">
          <cell r="A218">
            <v>0</v>
          </cell>
          <cell r="B218">
            <v>0</v>
          </cell>
          <cell r="C218">
            <v>0</v>
          </cell>
        </row>
        <row r="219">
          <cell r="A219">
            <v>0</v>
          </cell>
          <cell r="B219">
            <v>0</v>
          </cell>
          <cell r="C219">
            <v>0</v>
          </cell>
        </row>
        <row r="220">
          <cell r="A220">
            <v>0</v>
          </cell>
          <cell r="B220">
            <v>0</v>
          </cell>
          <cell r="C220">
            <v>0</v>
          </cell>
        </row>
        <row r="221">
          <cell r="A221">
            <v>0</v>
          </cell>
          <cell r="B221">
            <v>0</v>
          </cell>
          <cell r="C221">
            <v>0</v>
          </cell>
        </row>
        <row r="222">
          <cell r="A222">
            <v>0</v>
          </cell>
          <cell r="B222">
            <v>0</v>
          </cell>
          <cell r="C222">
            <v>0</v>
          </cell>
        </row>
        <row r="223">
          <cell r="A223">
            <v>0</v>
          </cell>
          <cell r="B223">
            <v>0</v>
          </cell>
          <cell r="C223">
            <v>0</v>
          </cell>
        </row>
        <row r="224">
          <cell r="A224">
            <v>0</v>
          </cell>
          <cell r="B224">
            <v>0</v>
          </cell>
          <cell r="C224">
            <v>0</v>
          </cell>
        </row>
        <row r="225">
          <cell r="A225">
            <v>0</v>
          </cell>
          <cell r="B225">
            <v>0</v>
          </cell>
          <cell r="C225">
            <v>0</v>
          </cell>
        </row>
        <row r="226">
          <cell r="A226">
            <v>0</v>
          </cell>
          <cell r="B226">
            <v>0</v>
          </cell>
          <cell r="C226">
            <v>0</v>
          </cell>
        </row>
        <row r="227">
          <cell r="A227">
            <v>0</v>
          </cell>
          <cell r="B227">
            <v>0</v>
          </cell>
          <cell r="C227">
            <v>0</v>
          </cell>
        </row>
        <row r="228">
          <cell r="A228">
            <v>0</v>
          </cell>
          <cell r="B228">
            <v>0</v>
          </cell>
          <cell r="C228">
            <v>0</v>
          </cell>
        </row>
        <row r="229">
          <cell r="A229">
            <v>0</v>
          </cell>
          <cell r="B229">
            <v>0</v>
          </cell>
          <cell r="C229">
            <v>0</v>
          </cell>
        </row>
        <row r="230">
          <cell r="A230">
            <v>0</v>
          </cell>
          <cell r="B230">
            <v>0</v>
          </cell>
          <cell r="C230">
            <v>0</v>
          </cell>
        </row>
        <row r="231">
          <cell r="A231">
            <v>0</v>
          </cell>
          <cell r="B231">
            <v>0</v>
          </cell>
          <cell r="C231">
            <v>0</v>
          </cell>
        </row>
        <row r="232">
          <cell r="A232">
            <v>0</v>
          </cell>
          <cell r="B232">
            <v>0</v>
          </cell>
          <cell r="C232">
            <v>0</v>
          </cell>
        </row>
        <row r="233">
          <cell r="A233">
            <v>0</v>
          </cell>
          <cell r="B233">
            <v>0</v>
          </cell>
          <cell r="C233">
            <v>0</v>
          </cell>
        </row>
        <row r="234">
          <cell r="A234">
            <v>0</v>
          </cell>
          <cell r="B234">
            <v>0</v>
          </cell>
          <cell r="C234">
            <v>0</v>
          </cell>
        </row>
        <row r="235">
          <cell r="A235">
            <v>0</v>
          </cell>
          <cell r="B235">
            <v>0</v>
          </cell>
          <cell r="C235">
            <v>0</v>
          </cell>
        </row>
        <row r="236">
          <cell r="A236">
            <v>0</v>
          </cell>
          <cell r="B236">
            <v>0</v>
          </cell>
          <cell r="C236">
            <v>0</v>
          </cell>
        </row>
        <row r="237">
          <cell r="A237">
            <v>0</v>
          </cell>
          <cell r="B237">
            <v>0</v>
          </cell>
          <cell r="C237">
            <v>0</v>
          </cell>
        </row>
        <row r="238">
          <cell r="A238">
            <v>0</v>
          </cell>
          <cell r="B238">
            <v>0</v>
          </cell>
          <cell r="C238">
            <v>0</v>
          </cell>
        </row>
        <row r="239">
          <cell r="A239">
            <v>0</v>
          </cell>
          <cell r="B239">
            <v>0</v>
          </cell>
          <cell r="C239">
            <v>0</v>
          </cell>
        </row>
        <row r="240">
          <cell r="A240">
            <v>0</v>
          </cell>
          <cell r="B240">
            <v>0</v>
          </cell>
          <cell r="C240">
            <v>0</v>
          </cell>
        </row>
        <row r="241">
          <cell r="A241">
            <v>0</v>
          </cell>
          <cell r="B241">
            <v>0</v>
          </cell>
          <cell r="C241">
            <v>0</v>
          </cell>
        </row>
        <row r="242">
          <cell r="A242">
            <v>0</v>
          </cell>
          <cell r="B242">
            <v>0</v>
          </cell>
          <cell r="C242">
            <v>0</v>
          </cell>
        </row>
        <row r="243">
          <cell r="A243">
            <v>0</v>
          </cell>
          <cell r="B243">
            <v>0</v>
          </cell>
          <cell r="C243">
            <v>0</v>
          </cell>
        </row>
        <row r="244">
          <cell r="A244">
            <v>0</v>
          </cell>
          <cell r="B244">
            <v>0</v>
          </cell>
          <cell r="C244">
            <v>0</v>
          </cell>
        </row>
        <row r="245">
          <cell r="A245">
            <v>0</v>
          </cell>
          <cell r="B245">
            <v>0</v>
          </cell>
          <cell r="C245">
            <v>0</v>
          </cell>
        </row>
        <row r="246">
          <cell r="A246">
            <v>0</v>
          </cell>
          <cell r="B246">
            <v>0</v>
          </cell>
          <cell r="C246">
            <v>0</v>
          </cell>
        </row>
        <row r="247">
          <cell r="A247">
            <v>0</v>
          </cell>
          <cell r="B247">
            <v>0</v>
          </cell>
          <cell r="C247">
            <v>0</v>
          </cell>
        </row>
        <row r="248">
          <cell r="A248">
            <v>0</v>
          </cell>
          <cell r="B248">
            <v>0</v>
          </cell>
          <cell r="C248">
            <v>0</v>
          </cell>
        </row>
        <row r="249">
          <cell r="A249">
            <v>0</v>
          </cell>
          <cell r="B249">
            <v>0</v>
          </cell>
          <cell r="C249">
            <v>0</v>
          </cell>
        </row>
        <row r="250">
          <cell r="A250">
            <v>0</v>
          </cell>
          <cell r="B250">
            <v>0</v>
          </cell>
          <cell r="C250">
            <v>0</v>
          </cell>
        </row>
        <row r="251">
          <cell r="A251">
            <v>0</v>
          </cell>
          <cell r="B251">
            <v>0</v>
          </cell>
          <cell r="C251">
            <v>0</v>
          </cell>
        </row>
        <row r="252">
          <cell r="A252">
            <v>0</v>
          </cell>
          <cell r="B252">
            <v>0</v>
          </cell>
          <cell r="C252">
            <v>0</v>
          </cell>
        </row>
        <row r="253">
          <cell r="A253">
            <v>0</v>
          </cell>
          <cell r="B253">
            <v>0</v>
          </cell>
          <cell r="C253">
            <v>0</v>
          </cell>
        </row>
        <row r="254">
          <cell r="A254">
            <v>0</v>
          </cell>
          <cell r="B254">
            <v>0</v>
          </cell>
          <cell r="C254">
            <v>0</v>
          </cell>
        </row>
        <row r="255">
          <cell r="A255">
            <v>0</v>
          </cell>
          <cell r="B255">
            <v>0</v>
          </cell>
          <cell r="C255">
            <v>0</v>
          </cell>
        </row>
        <row r="256">
          <cell r="A256">
            <v>0</v>
          </cell>
          <cell r="B256">
            <v>0</v>
          </cell>
          <cell r="C256">
            <v>0</v>
          </cell>
        </row>
        <row r="257">
          <cell r="A257">
            <v>0</v>
          </cell>
          <cell r="B257">
            <v>0</v>
          </cell>
          <cell r="C257">
            <v>0</v>
          </cell>
        </row>
        <row r="258">
          <cell r="A258">
            <v>0</v>
          </cell>
          <cell r="B258">
            <v>0</v>
          </cell>
          <cell r="C258">
            <v>0</v>
          </cell>
        </row>
        <row r="259">
          <cell r="A259">
            <v>0</v>
          </cell>
          <cell r="B259">
            <v>0</v>
          </cell>
          <cell r="C259">
            <v>0</v>
          </cell>
        </row>
        <row r="260">
          <cell r="A260">
            <v>0</v>
          </cell>
          <cell r="B260">
            <v>0</v>
          </cell>
          <cell r="C260">
            <v>0</v>
          </cell>
        </row>
        <row r="261">
          <cell r="A261">
            <v>0</v>
          </cell>
          <cell r="B261">
            <v>0</v>
          </cell>
          <cell r="C261">
            <v>0</v>
          </cell>
        </row>
        <row r="262">
          <cell r="A262">
            <v>0</v>
          </cell>
          <cell r="B262">
            <v>0</v>
          </cell>
          <cell r="C262">
            <v>0</v>
          </cell>
        </row>
        <row r="263">
          <cell r="A263">
            <v>0</v>
          </cell>
          <cell r="B263">
            <v>0</v>
          </cell>
          <cell r="C263">
            <v>0</v>
          </cell>
        </row>
        <row r="264">
          <cell r="A264">
            <v>0</v>
          </cell>
          <cell r="B264">
            <v>0</v>
          </cell>
          <cell r="C264">
            <v>0</v>
          </cell>
        </row>
        <row r="265">
          <cell r="A265">
            <v>0</v>
          </cell>
          <cell r="B265">
            <v>0</v>
          </cell>
          <cell r="C265">
            <v>0</v>
          </cell>
        </row>
        <row r="266">
          <cell r="A266">
            <v>0</v>
          </cell>
          <cell r="B266">
            <v>0</v>
          </cell>
          <cell r="C266">
            <v>0</v>
          </cell>
        </row>
        <row r="267">
          <cell r="A267">
            <v>0</v>
          </cell>
          <cell r="B267">
            <v>0</v>
          </cell>
          <cell r="C267">
            <v>0</v>
          </cell>
        </row>
        <row r="268">
          <cell r="A268">
            <v>0</v>
          </cell>
          <cell r="B268">
            <v>0</v>
          </cell>
          <cell r="C268">
            <v>0</v>
          </cell>
        </row>
        <row r="269">
          <cell r="A269">
            <v>0</v>
          </cell>
          <cell r="B269">
            <v>0</v>
          </cell>
          <cell r="C269">
            <v>0</v>
          </cell>
        </row>
        <row r="270">
          <cell r="A270">
            <v>0</v>
          </cell>
          <cell r="B270">
            <v>0</v>
          </cell>
          <cell r="C270">
            <v>0</v>
          </cell>
        </row>
        <row r="271">
          <cell r="A271">
            <v>0</v>
          </cell>
          <cell r="B271">
            <v>0</v>
          </cell>
          <cell r="C271">
            <v>0</v>
          </cell>
        </row>
        <row r="272">
          <cell r="A272">
            <v>0</v>
          </cell>
          <cell r="B272">
            <v>0</v>
          </cell>
          <cell r="C272">
            <v>0</v>
          </cell>
        </row>
        <row r="273">
          <cell r="A273">
            <v>0</v>
          </cell>
          <cell r="B273">
            <v>0</v>
          </cell>
          <cell r="C273">
            <v>0</v>
          </cell>
        </row>
        <row r="274">
          <cell r="A274">
            <v>0</v>
          </cell>
          <cell r="B274">
            <v>0</v>
          </cell>
          <cell r="C274">
            <v>0</v>
          </cell>
        </row>
        <row r="275">
          <cell r="A275">
            <v>0</v>
          </cell>
          <cell r="B275">
            <v>0</v>
          </cell>
          <cell r="C275">
            <v>0</v>
          </cell>
        </row>
        <row r="276">
          <cell r="A276">
            <v>0</v>
          </cell>
          <cell r="B276">
            <v>0</v>
          </cell>
          <cell r="C276">
            <v>0</v>
          </cell>
        </row>
        <row r="277">
          <cell r="A277">
            <v>0</v>
          </cell>
          <cell r="B277">
            <v>0</v>
          </cell>
          <cell r="C277">
            <v>0</v>
          </cell>
        </row>
        <row r="278">
          <cell r="A278">
            <v>0</v>
          </cell>
          <cell r="B278">
            <v>0</v>
          </cell>
          <cell r="C278">
            <v>0</v>
          </cell>
        </row>
        <row r="279">
          <cell r="A279">
            <v>0</v>
          </cell>
          <cell r="B279">
            <v>0</v>
          </cell>
          <cell r="C279">
            <v>0</v>
          </cell>
        </row>
        <row r="280">
          <cell r="A280">
            <v>0</v>
          </cell>
          <cell r="B280">
            <v>0</v>
          </cell>
          <cell r="C280">
            <v>0</v>
          </cell>
        </row>
        <row r="281">
          <cell r="A281">
            <v>0</v>
          </cell>
          <cell r="B281">
            <v>0</v>
          </cell>
          <cell r="C281">
            <v>0</v>
          </cell>
        </row>
        <row r="282">
          <cell r="A282">
            <v>0</v>
          </cell>
          <cell r="B282">
            <v>0</v>
          </cell>
          <cell r="C282">
            <v>0</v>
          </cell>
        </row>
        <row r="283">
          <cell r="A283">
            <v>0</v>
          </cell>
          <cell r="B283">
            <v>0</v>
          </cell>
          <cell r="C283">
            <v>0</v>
          </cell>
        </row>
        <row r="284">
          <cell r="A284">
            <v>0</v>
          </cell>
          <cell r="B284">
            <v>0</v>
          </cell>
          <cell r="C284">
            <v>0</v>
          </cell>
        </row>
        <row r="285">
          <cell r="A285">
            <v>0</v>
          </cell>
          <cell r="B285">
            <v>0</v>
          </cell>
          <cell r="C285">
            <v>0</v>
          </cell>
        </row>
        <row r="286">
          <cell r="A286">
            <v>0</v>
          </cell>
          <cell r="B286">
            <v>0</v>
          </cell>
          <cell r="C286">
            <v>0</v>
          </cell>
        </row>
        <row r="287">
          <cell r="A287">
            <v>0</v>
          </cell>
          <cell r="B287">
            <v>0</v>
          </cell>
          <cell r="C287">
            <v>0</v>
          </cell>
        </row>
        <row r="288">
          <cell r="A288">
            <v>0</v>
          </cell>
          <cell r="B288">
            <v>0</v>
          </cell>
          <cell r="C288">
            <v>0</v>
          </cell>
        </row>
        <row r="289">
          <cell r="A289">
            <v>0</v>
          </cell>
          <cell r="B289">
            <v>0</v>
          </cell>
          <cell r="C289">
            <v>0</v>
          </cell>
        </row>
        <row r="290">
          <cell r="A290">
            <v>0</v>
          </cell>
          <cell r="B290">
            <v>0</v>
          </cell>
          <cell r="C290">
            <v>0</v>
          </cell>
        </row>
        <row r="291">
          <cell r="A291">
            <v>0</v>
          </cell>
          <cell r="B291">
            <v>0</v>
          </cell>
          <cell r="C291">
            <v>0</v>
          </cell>
        </row>
        <row r="292">
          <cell r="A292">
            <v>0</v>
          </cell>
          <cell r="B292">
            <v>0</v>
          </cell>
          <cell r="C292">
            <v>0</v>
          </cell>
        </row>
        <row r="293">
          <cell r="A293">
            <v>0</v>
          </cell>
          <cell r="B293">
            <v>0</v>
          </cell>
          <cell r="C293">
            <v>0</v>
          </cell>
        </row>
        <row r="294">
          <cell r="A294">
            <v>0</v>
          </cell>
          <cell r="B294">
            <v>0</v>
          </cell>
          <cell r="C294">
            <v>0</v>
          </cell>
        </row>
        <row r="295">
          <cell r="A295">
            <v>0</v>
          </cell>
          <cell r="B295">
            <v>0</v>
          </cell>
          <cell r="C295">
            <v>0</v>
          </cell>
        </row>
        <row r="296">
          <cell r="A296">
            <v>0</v>
          </cell>
          <cell r="B296">
            <v>0</v>
          </cell>
          <cell r="C296">
            <v>0</v>
          </cell>
        </row>
        <row r="297">
          <cell r="A297">
            <v>0</v>
          </cell>
          <cell r="B297">
            <v>0</v>
          </cell>
          <cell r="C297">
            <v>0</v>
          </cell>
        </row>
        <row r="298">
          <cell r="A298">
            <v>0</v>
          </cell>
          <cell r="B298">
            <v>0</v>
          </cell>
          <cell r="C298">
            <v>0</v>
          </cell>
        </row>
        <row r="299">
          <cell r="A299">
            <v>0</v>
          </cell>
          <cell r="B299">
            <v>0</v>
          </cell>
          <cell r="C299">
            <v>0</v>
          </cell>
        </row>
        <row r="300">
          <cell r="A300">
            <v>0</v>
          </cell>
          <cell r="B300">
            <v>0</v>
          </cell>
          <cell r="C300">
            <v>0</v>
          </cell>
        </row>
        <row r="301">
          <cell r="A301">
            <v>0</v>
          </cell>
          <cell r="B301">
            <v>0</v>
          </cell>
          <cell r="C301">
            <v>0</v>
          </cell>
        </row>
        <row r="302">
          <cell r="A302">
            <v>0</v>
          </cell>
          <cell r="B302">
            <v>0</v>
          </cell>
          <cell r="C302">
            <v>0</v>
          </cell>
        </row>
        <row r="303">
          <cell r="A303">
            <v>0</v>
          </cell>
          <cell r="B303">
            <v>0</v>
          </cell>
          <cell r="C303">
            <v>0</v>
          </cell>
        </row>
        <row r="304">
          <cell r="A304">
            <v>0</v>
          </cell>
          <cell r="B304">
            <v>0</v>
          </cell>
          <cell r="C304">
            <v>0</v>
          </cell>
        </row>
        <row r="305">
          <cell r="A305">
            <v>0</v>
          </cell>
          <cell r="B305">
            <v>0</v>
          </cell>
          <cell r="C305">
            <v>0</v>
          </cell>
        </row>
        <row r="306">
          <cell r="A306">
            <v>0</v>
          </cell>
          <cell r="B306">
            <v>0</v>
          </cell>
          <cell r="C306">
            <v>0</v>
          </cell>
        </row>
        <row r="307">
          <cell r="A307">
            <v>0</v>
          </cell>
          <cell r="B307">
            <v>0</v>
          </cell>
          <cell r="C307">
            <v>0</v>
          </cell>
        </row>
        <row r="308">
          <cell r="A308">
            <v>0</v>
          </cell>
          <cell r="B308">
            <v>0</v>
          </cell>
          <cell r="C308">
            <v>0</v>
          </cell>
        </row>
        <row r="309">
          <cell r="A309">
            <v>0</v>
          </cell>
          <cell r="B309">
            <v>0</v>
          </cell>
          <cell r="C309">
            <v>0</v>
          </cell>
        </row>
        <row r="310">
          <cell r="A310">
            <v>0</v>
          </cell>
          <cell r="B310">
            <v>0</v>
          </cell>
          <cell r="C310">
            <v>0</v>
          </cell>
        </row>
        <row r="311">
          <cell r="A311">
            <v>0</v>
          </cell>
          <cell r="B311">
            <v>0</v>
          </cell>
          <cell r="C311">
            <v>0</v>
          </cell>
        </row>
        <row r="312">
          <cell r="A312">
            <v>0</v>
          </cell>
          <cell r="B312">
            <v>0</v>
          </cell>
          <cell r="C312">
            <v>0</v>
          </cell>
        </row>
        <row r="313">
          <cell r="A313">
            <v>0</v>
          </cell>
          <cell r="B313">
            <v>0</v>
          </cell>
          <cell r="C313">
            <v>0</v>
          </cell>
        </row>
        <row r="314">
          <cell r="A314">
            <v>0</v>
          </cell>
          <cell r="B314">
            <v>0</v>
          </cell>
          <cell r="C314">
            <v>0</v>
          </cell>
        </row>
        <row r="315">
          <cell r="A315">
            <v>0</v>
          </cell>
          <cell r="B315">
            <v>0</v>
          </cell>
          <cell r="C315">
            <v>0</v>
          </cell>
        </row>
        <row r="316">
          <cell r="A316">
            <v>0</v>
          </cell>
          <cell r="B316">
            <v>0</v>
          </cell>
          <cell r="C316">
            <v>0</v>
          </cell>
        </row>
        <row r="317">
          <cell r="A317">
            <v>0</v>
          </cell>
          <cell r="B317">
            <v>0</v>
          </cell>
          <cell r="C317">
            <v>0</v>
          </cell>
        </row>
        <row r="318">
          <cell r="A318">
            <v>0</v>
          </cell>
          <cell r="B318">
            <v>0</v>
          </cell>
          <cell r="C318">
            <v>0</v>
          </cell>
        </row>
        <row r="319">
          <cell r="A319">
            <v>0</v>
          </cell>
          <cell r="B319">
            <v>0</v>
          </cell>
          <cell r="C319">
            <v>0</v>
          </cell>
        </row>
        <row r="320">
          <cell r="A320">
            <v>0</v>
          </cell>
          <cell r="B320">
            <v>0</v>
          </cell>
          <cell r="C320">
            <v>0</v>
          </cell>
        </row>
        <row r="321">
          <cell r="A321">
            <v>0</v>
          </cell>
          <cell r="B321">
            <v>0</v>
          </cell>
          <cell r="C321">
            <v>0</v>
          </cell>
        </row>
        <row r="322">
          <cell r="A322">
            <v>0</v>
          </cell>
          <cell r="B322">
            <v>0</v>
          </cell>
          <cell r="C322">
            <v>0</v>
          </cell>
        </row>
        <row r="323">
          <cell r="A323">
            <v>0</v>
          </cell>
          <cell r="B323">
            <v>0</v>
          </cell>
          <cell r="C323">
            <v>0</v>
          </cell>
        </row>
        <row r="324">
          <cell r="A324">
            <v>0</v>
          </cell>
          <cell r="B324">
            <v>0</v>
          </cell>
          <cell r="C324">
            <v>0</v>
          </cell>
        </row>
        <row r="325">
          <cell r="A325">
            <v>0</v>
          </cell>
          <cell r="B325">
            <v>0</v>
          </cell>
          <cell r="C325">
            <v>0</v>
          </cell>
        </row>
        <row r="326">
          <cell r="A326">
            <v>0</v>
          </cell>
          <cell r="B326">
            <v>0</v>
          </cell>
          <cell r="C326">
            <v>0</v>
          </cell>
        </row>
        <row r="327">
          <cell r="A327">
            <v>0</v>
          </cell>
          <cell r="B327">
            <v>0</v>
          </cell>
          <cell r="C327">
            <v>0</v>
          </cell>
        </row>
        <row r="328">
          <cell r="A328">
            <v>0</v>
          </cell>
          <cell r="B328">
            <v>0</v>
          </cell>
          <cell r="C328">
            <v>0</v>
          </cell>
        </row>
        <row r="329">
          <cell r="A329">
            <v>0</v>
          </cell>
          <cell r="B329">
            <v>0</v>
          </cell>
          <cell r="C329">
            <v>0</v>
          </cell>
        </row>
        <row r="330">
          <cell r="A330">
            <v>0</v>
          </cell>
          <cell r="B330">
            <v>0</v>
          </cell>
          <cell r="C330">
            <v>0</v>
          </cell>
        </row>
        <row r="331">
          <cell r="A331">
            <v>0</v>
          </cell>
          <cell r="B331">
            <v>0</v>
          </cell>
          <cell r="C331">
            <v>0</v>
          </cell>
        </row>
        <row r="332">
          <cell r="A332">
            <v>0</v>
          </cell>
          <cell r="B332">
            <v>0</v>
          </cell>
          <cell r="C332">
            <v>0</v>
          </cell>
        </row>
        <row r="333">
          <cell r="A333">
            <v>0</v>
          </cell>
          <cell r="B333">
            <v>0</v>
          </cell>
          <cell r="C333">
            <v>0</v>
          </cell>
        </row>
        <row r="334">
          <cell r="A334">
            <v>0</v>
          </cell>
          <cell r="B334">
            <v>0</v>
          </cell>
          <cell r="C334">
            <v>0</v>
          </cell>
        </row>
        <row r="335">
          <cell r="A335">
            <v>0</v>
          </cell>
          <cell r="B335">
            <v>0</v>
          </cell>
          <cell r="C335">
            <v>0</v>
          </cell>
        </row>
        <row r="336">
          <cell r="A336">
            <v>0</v>
          </cell>
          <cell r="B336">
            <v>0</v>
          </cell>
          <cell r="C336">
            <v>0</v>
          </cell>
        </row>
        <row r="337">
          <cell r="A337">
            <v>0</v>
          </cell>
          <cell r="B337">
            <v>0</v>
          </cell>
          <cell r="C337">
            <v>0</v>
          </cell>
        </row>
        <row r="338">
          <cell r="A338">
            <v>0</v>
          </cell>
          <cell r="B338">
            <v>0</v>
          </cell>
          <cell r="C338">
            <v>0</v>
          </cell>
        </row>
        <row r="339">
          <cell r="A339">
            <v>0</v>
          </cell>
          <cell r="B339">
            <v>0</v>
          </cell>
          <cell r="C339">
            <v>0</v>
          </cell>
        </row>
        <row r="340">
          <cell r="A340">
            <v>0</v>
          </cell>
          <cell r="B340">
            <v>0</v>
          </cell>
          <cell r="C340">
            <v>0</v>
          </cell>
        </row>
        <row r="341">
          <cell r="A341">
            <v>0</v>
          </cell>
          <cell r="B341">
            <v>0</v>
          </cell>
          <cell r="C341">
            <v>0</v>
          </cell>
        </row>
        <row r="342">
          <cell r="A342">
            <v>0</v>
          </cell>
          <cell r="B342">
            <v>0</v>
          </cell>
          <cell r="C342">
            <v>0</v>
          </cell>
        </row>
        <row r="343">
          <cell r="A343">
            <v>0</v>
          </cell>
          <cell r="B343">
            <v>0</v>
          </cell>
          <cell r="C343">
            <v>0</v>
          </cell>
        </row>
        <row r="344">
          <cell r="A344">
            <v>0</v>
          </cell>
          <cell r="B344">
            <v>0</v>
          </cell>
          <cell r="C344">
            <v>0</v>
          </cell>
        </row>
        <row r="345">
          <cell r="A345">
            <v>0</v>
          </cell>
          <cell r="B345">
            <v>0</v>
          </cell>
          <cell r="C345">
            <v>0</v>
          </cell>
        </row>
        <row r="346">
          <cell r="A346">
            <v>0</v>
          </cell>
          <cell r="B346">
            <v>0</v>
          </cell>
          <cell r="C346">
            <v>0</v>
          </cell>
        </row>
        <row r="347">
          <cell r="A347">
            <v>0</v>
          </cell>
          <cell r="B347">
            <v>0</v>
          </cell>
          <cell r="C347">
            <v>0</v>
          </cell>
        </row>
        <row r="348">
          <cell r="A348">
            <v>0</v>
          </cell>
          <cell r="B348">
            <v>0</v>
          </cell>
          <cell r="C348">
            <v>0</v>
          </cell>
        </row>
        <row r="349">
          <cell r="A349">
            <v>0</v>
          </cell>
          <cell r="B349">
            <v>0</v>
          </cell>
          <cell r="C349">
            <v>0</v>
          </cell>
        </row>
        <row r="350">
          <cell r="A350">
            <v>0</v>
          </cell>
          <cell r="B350">
            <v>0</v>
          </cell>
          <cell r="C350">
            <v>0</v>
          </cell>
        </row>
        <row r="351">
          <cell r="A351">
            <v>0</v>
          </cell>
          <cell r="B351">
            <v>0</v>
          </cell>
          <cell r="C351">
            <v>0</v>
          </cell>
        </row>
        <row r="352">
          <cell r="A352">
            <v>0</v>
          </cell>
          <cell r="B352">
            <v>0</v>
          </cell>
          <cell r="C352">
            <v>0</v>
          </cell>
        </row>
        <row r="353">
          <cell r="A353">
            <v>0</v>
          </cell>
          <cell r="B353">
            <v>0</v>
          </cell>
          <cell r="C353">
            <v>0</v>
          </cell>
        </row>
        <row r="354">
          <cell r="A354">
            <v>0</v>
          </cell>
          <cell r="B354">
            <v>0</v>
          </cell>
          <cell r="C354">
            <v>0</v>
          </cell>
        </row>
        <row r="355">
          <cell r="A355">
            <v>0</v>
          </cell>
          <cell r="B355">
            <v>0</v>
          </cell>
          <cell r="C355">
            <v>0</v>
          </cell>
        </row>
        <row r="356">
          <cell r="A356">
            <v>0</v>
          </cell>
          <cell r="B356">
            <v>0</v>
          </cell>
          <cell r="C356">
            <v>0</v>
          </cell>
        </row>
        <row r="357">
          <cell r="A357">
            <v>0</v>
          </cell>
          <cell r="B357">
            <v>0</v>
          </cell>
          <cell r="C357">
            <v>0</v>
          </cell>
        </row>
        <row r="358">
          <cell r="A358">
            <v>0</v>
          </cell>
          <cell r="B358">
            <v>0</v>
          </cell>
          <cell r="C358">
            <v>0</v>
          </cell>
        </row>
        <row r="359">
          <cell r="A359">
            <v>0</v>
          </cell>
          <cell r="B359">
            <v>0</v>
          </cell>
          <cell r="C359">
            <v>0</v>
          </cell>
        </row>
        <row r="360">
          <cell r="A360">
            <v>0</v>
          </cell>
          <cell r="B360">
            <v>0</v>
          </cell>
          <cell r="C360">
            <v>0</v>
          </cell>
        </row>
        <row r="361">
          <cell r="A361">
            <v>0</v>
          </cell>
          <cell r="B361">
            <v>0</v>
          </cell>
          <cell r="C361">
            <v>0</v>
          </cell>
        </row>
        <row r="362">
          <cell r="A362">
            <v>0</v>
          </cell>
          <cell r="B362">
            <v>0</v>
          </cell>
          <cell r="C362">
            <v>0</v>
          </cell>
        </row>
        <row r="363">
          <cell r="A363">
            <v>0</v>
          </cell>
          <cell r="B363">
            <v>0</v>
          </cell>
          <cell r="C363">
            <v>0</v>
          </cell>
        </row>
        <row r="364">
          <cell r="A364">
            <v>0</v>
          </cell>
          <cell r="B364">
            <v>0</v>
          </cell>
          <cell r="C364">
            <v>0</v>
          </cell>
        </row>
        <row r="365">
          <cell r="A365">
            <v>0</v>
          </cell>
          <cell r="B365">
            <v>0</v>
          </cell>
          <cell r="C365">
            <v>0</v>
          </cell>
        </row>
        <row r="366">
          <cell r="A366">
            <v>0</v>
          </cell>
          <cell r="B366">
            <v>0</v>
          </cell>
          <cell r="C366">
            <v>0</v>
          </cell>
        </row>
        <row r="367">
          <cell r="A367">
            <v>0</v>
          </cell>
          <cell r="B367">
            <v>0</v>
          </cell>
          <cell r="C367">
            <v>0</v>
          </cell>
        </row>
        <row r="368">
          <cell r="A368">
            <v>0</v>
          </cell>
          <cell r="B368">
            <v>0</v>
          </cell>
          <cell r="C368">
            <v>0</v>
          </cell>
        </row>
        <row r="369">
          <cell r="A369">
            <v>0</v>
          </cell>
          <cell r="B369">
            <v>0</v>
          </cell>
          <cell r="C369">
            <v>0</v>
          </cell>
        </row>
        <row r="370">
          <cell r="A370">
            <v>0</v>
          </cell>
          <cell r="B370">
            <v>0</v>
          </cell>
          <cell r="C370">
            <v>0</v>
          </cell>
        </row>
        <row r="371">
          <cell r="A371">
            <v>0</v>
          </cell>
          <cell r="B371">
            <v>0</v>
          </cell>
          <cell r="C371">
            <v>0</v>
          </cell>
        </row>
        <row r="372">
          <cell r="A372">
            <v>0</v>
          </cell>
          <cell r="B372">
            <v>0</v>
          </cell>
          <cell r="C372">
            <v>0</v>
          </cell>
        </row>
        <row r="373">
          <cell r="A373">
            <v>0</v>
          </cell>
          <cell r="B373">
            <v>0</v>
          </cell>
          <cell r="C373">
            <v>0</v>
          </cell>
        </row>
        <row r="374">
          <cell r="A374">
            <v>0</v>
          </cell>
          <cell r="B374">
            <v>0</v>
          </cell>
          <cell r="C374">
            <v>0</v>
          </cell>
        </row>
        <row r="375">
          <cell r="A375">
            <v>0</v>
          </cell>
          <cell r="B375">
            <v>0</v>
          </cell>
          <cell r="C375">
            <v>0</v>
          </cell>
        </row>
        <row r="376">
          <cell r="A376">
            <v>0</v>
          </cell>
          <cell r="B376">
            <v>0</v>
          </cell>
          <cell r="C376">
            <v>0</v>
          </cell>
        </row>
        <row r="377">
          <cell r="A377">
            <v>0</v>
          </cell>
          <cell r="B377">
            <v>0</v>
          </cell>
          <cell r="C377">
            <v>0</v>
          </cell>
        </row>
        <row r="378">
          <cell r="A378">
            <v>0</v>
          </cell>
          <cell r="B378">
            <v>0</v>
          </cell>
          <cell r="C378">
            <v>0</v>
          </cell>
        </row>
        <row r="379">
          <cell r="A379">
            <v>0</v>
          </cell>
          <cell r="B379">
            <v>0</v>
          </cell>
          <cell r="C379">
            <v>0</v>
          </cell>
        </row>
        <row r="380">
          <cell r="A380">
            <v>0</v>
          </cell>
          <cell r="B380">
            <v>0</v>
          </cell>
          <cell r="C380">
            <v>0</v>
          </cell>
        </row>
        <row r="381">
          <cell r="A381">
            <v>0</v>
          </cell>
          <cell r="B381">
            <v>0</v>
          </cell>
          <cell r="C381">
            <v>0</v>
          </cell>
        </row>
        <row r="382">
          <cell r="A382">
            <v>0</v>
          </cell>
          <cell r="B382">
            <v>0</v>
          </cell>
          <cell r="C382">
            <v>0</v>
          </cell>
        </row>
        <row r="383">
          <cell r="A383">
            <v>0</v>
          </cell>
          <cell r="B383">
            <v>0</v>
          </cell>
          <cell r="C383">
            <v>0</v>
          </cell>
        </row>
        <row r="384">
          <cell r="A384">
            <v>0</v>
          </cell>
          <cell r="B384">
            <v>0</v>
          </cell>
          <cell r="C384">
            <v>0</v>
          </cell>
        </row>
        <row r="385">
          <cell r="A385">
            <v>0</v>
          </cell>
          <cell r="B385">
            <v>0</v>
          </cell>
          <cell r="C385">
            <v>0</v>
          </cell>
        </row>
        <row r="386">
          <cell r="A386">
            <v>0</v>
          </cell>
          <cell r="B386">
            <v>0</v>
          </cell>
          <cell r="C386">
            <v>0</v>
          </cell>
        </row>
        <row r="387">
          <cell r="A387">
            <v>0</v>
          </cell>
          <cell r="B387">
            <v>0</v>
          </cell>
          <cell r="C387">
            <v>0</v>
          </cell>
        </row>
        <row r="388">
          <cell r="A388">
            <v>0</v>
          </cell>
          <cell r="B388">
            <v>0</v>
          </cell>
          <cell r="C388">
            <v>0</v>
          </cell>
        </row>
        <row r="389">
          <cell r="A389">
            <v>0</v>
          </cell>
          <cell r="B389">
            <v>0</v>
          </cell>
          <cell r="C389">
            <v>0</v>
          </cell>
        </row>
        <row r="390">
          <cell r="A390">
            <v>0</v>
          </cell>
          <cell r="B390">
            <v>0</v>
          </cell>
          <cell r="C390">
            <v>0</v>
          </cell>
        </row>
        <row r="391">
          <cell r="A391">
            <v>0</v>
          </cell>
          <cell r="B391">
            <v>0</v>
          </cell>
          <cell r="C391">
            <v>0</v>
          </cell>
        </row>
        <row r="392">
          <cell r="A392">
            <v>0</v>
          </cell>
          <cell r="B392">
            <v>0</v>
          </cell>
          <cell r="C392">
            <v>0</v>
          </cell>
        </row>
        <row r="393">
          <cell r="A393">
            <v>0</v>
          </cell>
          <cell r="B393">
            <v>0</v>
          </cell>
          <cell r="C393">
            <v>0</v>
          </cell>
        </row>
        <row r="394">
          <cell r="A394">
            <v>0</v>
          </cell>
          <cell r="B394">
            <v>0</v>
          </cell>
          <cell r="C394">
            <v>0</v>
          </cell>
        </row>
        <row r="395">
          <cell r="A395">
            <v>0</v>
          </cell>
          <cell r="B395">
            <v>0</v>
          </cell>
          <cell r="C395">
            <v>0</v>
          </cell>
        </row>
        <row r="396">
          <cell r="A396">
            <v>0</v>
          </cell>
          <cell r="B396">
            <v>0</v>
          </cell>
          <cell r="C396">
            <v>0</v>
          </cell>
        </row>
        <row r="397">
          <cell r="A397">
            <v>0</v>
          </cell>
          <cell r="B397">
            <v>0</v>
          </cell>
          <cell r="C397">
            <v>0</v>
          </cell>
        </row>
        <row r="398">
          <cell r="A398">
            <v>0</v>
          </cell>
          <cell r="B398">
            <v>0</v>
          </cell>
          <cell r="C398">
            <v>0</v>
          </cell>
        </row>
        <row r="399">
          <cell r="A399">
            <v>0</v>
          </cell>
          <cell r="B399">
            <v>0</v>
          </cell>
          <cell r="C399">
            <v>0</v>
          </cell>
        </row>
        <row r="400">
          <cell r="A400">
            <v>0</v>
          </cell>
          <cell r="B400">
            <v>0</v>
          </cell>
          <cell r="C400">
            <v>0</v>
          </cell>
        </row>
        <row r="401">
          <cell r="A401">
            <v>0</v>
          </cell>
          <cell r="B401">
            <v>0</v>
          </cell>
          <cell r="C401">
            <v>0</v>
          </cell>
        </row>
        <row r="402">
          <cell r="A402">
            <v>0</v>
          </cell>
          <cell r="B402">
            <v>0</v>
          </cell>
          <cell r="C402">
            <v>0</v>
          </cell>
        </row>
        <row r="403">
          <cell r="A403">
            <v>0</v>
          </cell>
          <cell r="B403">
            <v>0</v>
          </cell>
          <cell r="C403">
            <v>0</v>
          </cell>
        </row>
        <row r="404">
          <cell r="A404">
            <v>0</v>
          </cell>
          <cell r="B404">
            <v>0</v>
          </cell>
          <cell r="C404">
            <v>0</v>
          </cell>
        </row>
        <row r="405">
          <cell r="A405">
            <v>0</v>
          </cell>
          <cell r="B405">
            <v>0</v>
          </cell>
          <cell r="C405">
            <v>0</v>
          </cell>
        </row>
        <row r="406">
          <cell r="A406">
            <v>0</v>
          </cell>
          <cell r="B406">
            <v>0</v>
          </cell>
          <cell r="C406">
            <v>0</v>
          </cell>
        </row>
        <row r="407">
          <cell r="A407">
            <v>0</v>
          </cell>
          <cell r="B407">
            <v>0</v>
          </cell>
          <cell r="C407">
            <v>0</v>
          </cell>
        </row>
        <row r="408">
          <cell r="A408">
            <v>0</v>
          </cell>
          <cell r="B408">
            <v>0</v>
          </cell>
          <cell r="C408">
            <v>0</v>
          </cell>
        </row>
        <row r="409">
          <cell r="A409">
            <v>0</v>
          </cell>
          <cell r="B409">
            <v>0</v>
          </cell>
          <cell r="C409">
            <v>0</v>
          </cell>
        </row>
        <row r="410">
          <cell r="A410">
            <v>0</v>
          </cell>
          <cell r="B410">
            <v>0</v>
          </cell>
          <cell r="C410">
            <v>0</v>
          </cell>
        </row>
        <row r="411">
          <cell r="A411">
            <v>0</v>
          </cell>
          <cell r="B411">
            <v>0</v>
          </cell>
          <cell r="C411">
            <v>0</v>
          </cell>
        </row>
        <row r="412">
          <cell r="A412">
            <v>0</v>
          </cell>
          <cell r="B412">
            <v>0</v>
          </cell>
          <cell r="C412">
            <v>0</v>
          </cell>
        </row>
        <row r="413">
          <cell r="A413">
            <v>0</v>
          </cell>
          <cell r="B413">
            <v>0</v>
          </cell>
          <cell r="C413">
            <v>0</v>
          </cell>
        </row>
        <row r="414">
          <cell r="A414">
            <v>0</v>
          </cell>
          <cell r="B414">
            <v>0</v>
          </cell>
          <cell r="C414">
            <v>0</v>
          </cell>
        </row>
        <row r="415">
          <cell r="A415">
            <v>0</v>
          </cell>
          <cell r="B415">
            <v>0</v>
          </cell>
          <cell r="C415">
            <v>0</v>
          </cell>
        </row>
      </sheetData>
      <sheetData sheetId="7">
        <row r="2">
          <cell r="A2" t="str">
            <v>hlookup reference for table on "Create scenario" sheet</v>
          </cell>
          <cell r="B2" t="str">
            <v>2 degree (excluding Foresty Fund)Target method</v>
          </cell>
          <cell r="C2" t="str">
            <v>2 degree (excluding Foresty Fund)Target amount</v>
          </cell>
          <cell r="D2" t="str">
            <v>2 degree (excluding Foresty Fund)comments</v>
          </cell>
          <cell r="E2" t="str">
            <v>2 degree (excluding Foresty Fund)Allowed emissions</v>
          </cell>
          <cell r="F2" t="str">
            <v>2.5 degree (excluding Foresty Fund)Target method</v>
          </cell>
          <cell r="G2" t="str">
            <v>2.5 degree (excluding Foresty Fund)Target amount</v>
          </cell>
          <cell r="H2" t="str">
            <v>2.5 degree (excluding Foresty Fund)comments</v>
          </cell>
          <cell r="I2" t="str">
            <v>2.5 degree (excluding Foresty Fund)Allowed emissions</v>
          </cell>
          <cell r="J2" t="str">
            <v>Realistic low (excluding Foresty Fund)Target method</v>
          </cell>
          <cell r="K2" t="str">
            <v>Realistic low (excluding Foresty Fund)Target amount</v>
          </cell>
          <cell r="L2" t="str">
            <v>Realistic low (excluding Foresty Fund)comments</v>
          </cell>
          <cell r="M2" t="str">
            <v>Realistic low (excluding Foresty Fund)Allowed emissions</v>
          </cell>
          <cell r="N2" t="str">
            <v>Expected offer (excluding Foresty Fund)Target method</v>
          </cell>
          <cell r="O2" t="str">
            <v>Expected offer (excluding Foresty Fund)Target amount</v>
          </cell>
          <cell r="P2" t="str">
            <v>Expected offer (excluding Foresty Fund)comments</v>
          </cell>
          <cell r="Q2" t="str">
            <v>Expected offer (excluding Foresty Fund)Allowed emissions</v>
          </cell>
          <cell r="R2" t="str">
            <v>Realistic high (excluding Foresty Fund)Target method</v>
          </cell>
          <cell r="S2" t="str">
            <v>Realistic high (excluding Foresty Fund)Target amount</v>
          </cell>
          <cell r="T2" t="str">
            <v>Realistic high (excluding Foresty Fund)comments</v>
          </cell>
          <cell r="U2" t="str">
            <v>Realistic high (excluding Foresty Fund)Allowed emissions</v>
          </cell>
          <cell r="V2" t="str">
            <v>Ambitious ask (excluding Foresty Fund)Target method</v>
          </cell>
          <cell r="W2" t="str">
            <v>Ambitious ask (excluding Foresty Fund)Target amount</v>
          </cell>
          <cell r="X2" t="str">
            <v>Ambitious ask (excluding Foresty Fund)comments</v>
          </cell>
          <cell r="Y2" t="str">
            <v>Ambitious ask (excluding Foresty Fund)Allowed emissions</v>
          </cell>
          <cell r="Z2" t="str">
            <v>2 degree (including Foresty Fund)Target method</v>
          </cell>
          <cell r="AA2" t="str">
            <v>2 degree (including Foresty Fund)Target amount</v>
          </cell>
          <cell r="AB2" t="str">
            <v>2 degree (including Foresty Fund)comments</v>
          </cell>
          <cell r="AC2" t="str">
            <v>2 degree (including Foresty Fund)Allowed emissions</v>
          </cell>
          <cell r="AD2" t="str">
            <v>2.5 degree (including Foresty Fund)Target method</v>
          </cell>
          <cell r="AE2" t="str">
            <v>2.5 degree (including Foresty Fund)Target amount</v>
          </cell>
          <cell r="AF2" t="str">
            <v>2.5 degree (including Foresty Fund)comments</v>
          </cell>
          <cell r="AG2" t="str">
            <v>2.5 degree (including Foresty Fund)Allowed emissions</v>
          </cell>
          <cell r="AH2" t="str">
            <v>Realistic low (including Foresty Fund)Target method</v>
          </cell>
          <cell r="AI2" t="str">
            <v>Realistic low (including Foresty Fund)Target amount</v>
          </cell>
          <cell r="AJ2" t="str">
            <v>Realistic low (including Foresty Fund)comments</v>
          </cell>
          <cell r="AK2" t="str">
            <v>Realistic low (including Foresty Fund)Allowed emissions</v>
          </cell>
          <cell r="AL2" t="str">
            <v>Expected offer (including Foresty Fund)Target method</v>
          </cell>
          <cell r="AM2" t="str">
            <v>Expected offer (including Foresty Fund)Target amount</v>
          </cell>
          <cell r="AN2" t="str">
            <v>Expected offer (including Foresty Fund)comments</v>
          </cell>
          <cell r="AO2" t="str">
            <v>Expected offer (including Foresty Fund)Allowed emissions</v>
          </cell>
          <cell r="AP2" t="str">
            <v>Realistic high (including Foresty Fund)Target method</v>
          </cell>
          <cell r="AQ2" t="str">
            <v>Realistic high (including Foresty Fund)Target amount</v>
          </cell>
          <cell r="AR2" t="str">
            <v>Realistic high (including Foresty Fund)comments</v>
          </cell>
          <cell r="AS2" t="str">
            <v>Realistic high (including Foresty Fund)Allowed emissions</v>
          </cell>
          <cell r="AT2" t="str">
            <v>Ambitious ask (including Foresty Fund)Target method</v>
          </cell>
          <cell r="AU2" t="str">
            <v>Ambitious ask (including Foresty Fund)Target amount</v>
          </cell>
          <cell r="AV2" t="str">
            <v>Ambitious ask (including Foresty Fund)comments</v>
          </cell>
          <cell r="AW2" t="str">
            <v>Ambitious ask (including Foresty Fund)Allowed emissions</v>
          </cell>
          <cell r="AX2" t="str">
            <v>BAUTarget method</v>
          </cell>
          <cell r="AY2" t="str">
            <v>BAUTarget amount</v>
          </cell>
          <cell r="AZ2" t="str">
            <v>BAUcomments</v>
          </cell>
          <cell r="BA2" t="str">
            <v>BAUAllowed emissions</v>
          </cell>
          <cell r="BB2" t="str">
            <v>INDC_high_ambition_0319Target method</v>
          </cell>
          <cell r="BC2" t="str">
            <v>INDC_high_ambition_0319Target amount</v>
          </cell>
          <cell r="BD2" t="str">
            <v>INDC_high_ambition_0319comments</v>
          </cell>
          <cell r="BE2" t="str">
            <v>INDC_high_ambition_0319Allowed emissions</v>
          </cell>
          <cell r="BF2" t="str">
            <v>INDC_low_ambition_0319Target method</v>
          </cell>
          <cell r="BG2" t="str">
            <v>INDC_low_ambition_0319Target amount</v>
          </cell>
          <cell r="BH2" t="str">
            <v>INDC_low_ambition_0319comments</v>
          </cell>
          <cell r="BI2" t="str">
            <v>INDC_low_ambition_0319Allowed emissions</v>
          </cell>
          <cell r="BJ2" t="str">
            <v>INDC_high_ambition_0320Target method</v>
          </cell>
          <cell r="BK2" t="str">
            <v>INDC_high_ambition_0320Target amount</v>
          </cell>
          <cell r="BL2" t="str">
            <v>INDC_high_ambition_0320comments</v>
          </cell>
          <cell r="BM2" t="str">
            <v>INDC_high_ambition_0320Allowed emissions</v>
          </cell>
          <cell r="BN2" t="str">
            <v>INDC_low_ambition_0320Target method</v>
          </cell>
          <cell r="BO2" t="str">
            <v>INDC_low_ambition_0320Target amount</v>
          </cell>
          <cell r="BP2" t="str">
            <v>INDC_low_ambition_0320comments</v>
          </cell>
          <cell r="BQ2" t="str">
            <v>INDC_low_ambition_0320Allowed emissions</v>
          </cell>
          <cell r="BR2" t="str">
            <v>Expected offer 0324Target method</v>
          </cell>
          <cell r="BS2" t="str">
            <v>Expected offer 0324Target amount</v>
          </cell>
          <cell r="BT2" t="str">
            <v>Expected offer 0324comments</v>
          </cell>
          <cell r="BU2" t="str">
            <v>Expected offer 0324Allowed emissions</v>
          </cell>
          <cell r="BV2" t="str">
            <v>Realistic high 0324Target method</v>
          </cell>
          <cell r="BW2" t="str">
            <v>Realistic high 0324Target amount</v>
          </cell>
          <cell r="BX2" t="str">
            <v>Realistic high 0324comments</v>
          </cell>
          <cell r="BY2" t="str">
            <v>Realistic high 0324Allowed emissions</v>
          </cell>
          <cell r="BZ2" t="str">
            <v>INDC High ambition 0324 (excluding FF)Target method</v>
          </cell>
          <cell r="CA2" t="str">
            <v>INDC High ambition 0324 (excluding FF)Target amount</v>
          </cell>
          <cell r="CB2" t="str">
            <v>INDC High ambition 0324 (excluding FF)comments</v>
          </cell>
          <cell r="CC2" t="str">
            <v>INDC High ambition 0324 (excluding FF)Allowed emissions</v>
          </cell>
          <cell r="CD2" t="str">
            <v>INDC Low ambition 0324 (excluding FF)Target method</v>
          </cell>
          <cell r="CE2" t="str">
            <v>INDC Low ambition 0324 (excluding FF)Target amount</v>
          </cell>
          <cell r="CF2" t="str">
            <v>INDC Low ambition 0324 (excluding FF)comments</v>
          </cell>
          <cell r="CG2" t="str">
            <v>INDC Low ambition 0324 (excluding FF)Allowed emissions</v>
          </cell>
          <cell r="CH2" t="str">
            <v>Expected Offer 0324 (exclude FF)Target method</v>
          </cell>
          <cell r="CI2" t="str">
            <v>Expected Offer 0324 (exclude FF)Target amount</v>
          </cell>
          <cell r="CJ2" t="str">
            <v>Expected Offer 0324 (exclude FF)comments</v>
          </cell>
          <cell r="CK2" t="str">
            <v>Expected Offer 0324 (exclude FF)Allowed emissions</v>
          </cell>
          <cell r="CL2" t="str">
            <v>Realistic high 0320 (exclude FF)Target method</v>
          </cell>
          <cell r="CM2" t="str">
            <v>Realistic high 0320 (exclude FF)Target amount</v>
          </cell>
          <cell r="CN2" t="str">
            <v>Realistic high 0320 (exclude FF)comments</v>
          </cell>
          <cell r="CO2" t="str">
            <v>Realistic high 0320 (exclude FF)Allowed emissions</v>
          </cell>
          <cell r="CP2" t="str">
            <v>Reaslistic high 0324 (exclude FF)Target method</v>
          </cell>
          <cell r="CQ2" t="str">
            <v>Reaslistic high 0324 (exclude FF)Target amount</v>
          </cell>
          <cell r="CR2" t="str">
            <v>Reaslistic high 0324 (exclude FF)comments</v>
          </cell>
          <cell r="CS2" t="str">
            <v>Reaslistic high 0324 (exclude FF)Allowed emissions</v>
          </cell>
          <cell r="CT2" t="str">
            <v>Expected offer 0324b (exclude FF)Target method</v>
          </cell>
          <cell r="CU2" t="str">
            <v>Expected offer 0324b (exclude FF)Target amount</v>
          </cell>
          <cell r="CV2" t="str">
            <v>Expected offer 0324b (exclude FF)comments</v>
          </cell>
          <cell r="CW2" t="str">
            <v>Expected offer 0324b (exclude FF)Allowed emissions</v>
          </cell>
          <cell r="CX2" t="str">
            <v>Reaslitic high 0324b (exclude FF)Target method</v>
          </cell>
          <cell r="CY2" t="str">
            <v>Reaslitic high 0324b (exclude FF)Target amount</v>
          </cell>
          <cell r="CZ2" t="str">
            <v>Reaslitic high 0324b (exclude FF)comments</v>
          </cell>
          <cell r="DA2" t="str">
            <v>Reaslitic high 0324b (exclude FF)Allowed emissions</v>
          </cell>
          <cell r="DB2" t="str">
            <v>Reaslitic high 0324c (exclude FF)Target method</v>
          </cell>
          <cell r="DC2" t="str">
            <v>Reaslitic high 0324c (exclude FF)Target amount</v>
          </cell>
          <cell r="DD2" t="str">
            <v>Reaslitic high 0324c (exclude FF)comments</v>
          </cell>
          <cell r="DE2" t="str">
            <v>Reaslitic high 0324c (exclude FF)Allowed emissions</v>
          </cell>
          <cell r="DF2" t="str">
            <v>Expected offer 0324c (exclude FF)Target method</v>
          </cell>
          <cell r="DG2" t="str">
            <v>Expected offer 0324c (exclude FF)Target amount</v>
          </cell>
          <cell r="DH2" t="str">
            <v>Expected offer 0324c (exclude FF)comments</v>
          </cell>
          <cell r="DI2" t="str">
            <v>Expected offer 0324c (exclude FF)Allowed emissions</v>
          </cell>
          <cell r="DJ2" t="str">
            <v>INDC low ambition 0325 (exclude FF)Target method</v>
          </cell>
          <cell r="DK2" t="str">
            <v>INDC low ambition 0325 (exclude FF)Target amount</v>
          </cell>
          <cell r="DL2" t="str">
            <v>INDC low ambition 0325 (exclude FF)comments</v>
          </cell>
          <cell r="DM2" t="str">
            <v>INDC low ambition 0325 (exclude FF)Allowed emissions</v>
          </cell>
          <cell r="DN2" t="str">
            <v>INDC high ambition 0325 (exclude FF)Target method</v>
          </cell>
          <cell r="DO2" t="str">
            <v>INDC high ambition 0325 (exclude FF)Target amount</v>
          </cell>
          <cell r="DP2" t="str">
            <v>INDC high ambition 0325 (exclude FF)comments</v>
          </cell>
          <cell r="DQ2" t="str">
            <v>INDC high ambition 0325 (exclude FF)Allowed emissions</v>
          </cell>
          <cell r="DR2" t="str">
            <v>INDC Low Ambition 0412 (exclude FF)Target method</v>
          </cell>
          <cell r="DS2" t="str">
            <v>INDC Low Ambition 0412 (exclude FF)Target amount</v>
          </cell>
          <cell r="DT2" t="str">
            <v>INDC Low Ambition 0412 (exclude FF)comments</v>
          </cell>
          <cell r="DU2" t="str">
            <v>INDC Low Ambition 0412 (exclude FF)Allowed emissions</v>
          </cell>
          <cell r="DV2" t="str">
            <v>INDC high ambition 0412 (exclude FF)Target method</v>
          </cell>
          <cell r="DW2" t="str">
            <v>INDC high ambition 0412 (exclude FF)Target amount</v>
          </cell>
          <cell r="DX2" t="str">
            <v>INDC high ambition 0412 (exclude FF)comments</v>
          </cell>
          <cell r="DY2" t="str">
            <v>INDC high ambition 0412 (exclude FF)Allowed emissions</v>
          </cell>
          <cell r="DZ2" t="str">
            <v>Expected offer 0412 (exclude FF)Target method</v>
          </cell>
          <cell r="EA2" t="str">
            <v>Expected offer 0412 (exclude FF)Target amount</v>
          </cell>
          <cell r="EB2" t="str">
            <v>Expected offer 0412 (exclude FF)comments</v>
          </cell>
          <cell r="EC2" t="str">
            <v>Expected offer 0412 (exclude FF)Allowed emissions</v>
          </cell>
          <cell r="ED2" t="str">
            <v>Realistic high 0412 (exclude FF)Target method</v>
          </cell>
          <cell r="EE2" t="str">
            <v>Realistic high 0412 (exclude FF)Target amount</v>
          </cell>
          <cell r="EF2" t="str">
            <v>Realistic high 0412 (exclude FF)comments</v>
          </cell>
          <cell r="EG2" t="str">
            <v>Realistic high 0412 (exclude FF)Allowed emissions</v>
          </cell>
          <cell r="EH2" t="str">
            <v>BAU_core32_previous year PBL dataTarget method</v>
          </cell>
          <cell r="EI2" t="str">
            <v>BAU_core32_previous year PBL dataTarget amount</v>
          </cell>
          <cell r="EJ2" t="str">
            <v>BAU_core32_previous year PBL datacomments</v>
          </cell>
          <cell r="EK2" t="str">
            <v>BAU_core32_previous year PBL dataAllowed emissions</v>
          </cell>
          <cell r="EL2" t="str">
            <v>150507 INDC low ambition (exclude FF) Target method</v>
          </cell>
          <cell r="EM2" t="str">
            <v>150507 INDC low ambition (exclude FF) Target amount</v>
          </cell>
          <cell r="EN2" t="str">
            <v>150507 INDC low ambition (exclude FF) comments</v>
          </cell>
          <cell r="EO2" t="str">
            <v>150507 INDC low ambition (exclude FF) Allowed emissions</v>
          </cell>
          <cell r="EP2" t="str">
            <v>150507 INDC high ambition (exclude FF)Target method</v>
          </cell>
          <cell r="EQ2" t="str">
            <v>150507 INDC high ambition (exclude FF)Target amount</v>
          </cell>
          <cell r="ER2" t="str">
            <v>150507 INDC high ambition (exclude FF)comments</v>
          </cell>
          <cell r="ES2" t="str">
            <v>150507 INDC high ambition (exclude FF)Allowed emissions</v>
          </cell>
          <cell r="ET2" t="str">
            <v>2015 2 degrees (exclude forestry fund)Target method</v>
          </cell>
          <cell r="EU2" t="str">
            <v>2015 2 degrees (exclude forestry fund)Target amount</v>
          </cell>
          <cell r="EV2" t="str">
            <v>2015 2 degrees (exclude forestry fund)comments</v>
          </cell>
          <cell r="EW2" t="str">
            <v>2015 2 degrees (exclude forestry fund)Allowed emissions</v>
          </cell>
          <cell r="EX2" t="str">
            <v>2015 Late action 2 degrees (exclude forestry fund)Target method</v>
          </cell>
          <cell r="EY2" t="str">
            <v>2015 Late action 2 degrees (exclude forestry fund)Target amount</v>
          </cell>
          <cell r="EZ2" t="str">
            <v>2015 Late action 2 degrees (exclude forestry fund)comments</v>
          </cell>
          <cell r="FA2" t="str">
            <v>2015 Late action 2 degrees (exclude forestry fund)Allowed emissions</v>
          </cell>
          <cell r="FB2" t="str">
            <v>2015 2.5 degrees (exclude forestry fund)Target method</v>
          </cell>
          <cell r="FC2" t="str">
            <v>2015 2.5 degrees (exclude forestry fund)Target amount</v>
          </cell>
          <cell r="FD2" t="str">
            <v>2015 2.5 degrees (exclude forestry fund)comments</v>
          </cell>
          <cell r="FE2" t="str">
            <v>2015 2.5 degrees (exclude forestry fund)Allowed emissions</v>
          </cell>
          <cell r="FF2" t="str">
            <v>150622 Current expected low ambition (Exclude FF)Target method</v>
          </cell>
          <cell r="FG2" t="str">
            <v>150622 Current expected low ambition (Exclude FF)Target amount</v>
          </cell>
          <cell r="FH2" t="str">
            <v>150622 Current expected low ambition (Exclude FF)comments</v>
          </cell>
          <cell r="FI2" t="str">
            <v>150622 Current expected low ambition (Exclude FF)Allowed emissions</v>
          </cell>
          <cell r="FJ2" t="str">
            <v>150622 Current expected high ambition (Exclude FF)Target method</v>
          </cell>
          <cell r="FK2" t="str">
            <v>150622 Current expected high ambition (Exclude FF)Target amount</v>
          </cell>
          <cell r="FL2" t="str">
            <v>150622 Current expected high ambition (Exclude FF)comments</v>
          </cell>
          <cell r="FM2" t="str">
            <v>150622 Current expected high ambition (Exclude FF)Allowed emissions</v>
          </cell>
          <cell r="FN2" t="str">
            <v>150622 INDC low ambition (exclude FF) plus Japan and ChinaTarget method</v>
          </cell>
          <cell r="FO2" t="str">
            <v>150622 INDC low ambition (exclude FF) plus Japan and ChinaTarget amount</v>
          </cell>
          <cell r="FP2" t="str">
            <v>150622 INDC low ambition (exclude FF) plus Japan and Chinacomments</v>
          </cell>
          <cell r="FQ2" t="str">
            <v>150622 INDC low ambition (exclude FF) plus Japan and ChinaAllowed emissions</v>
          </cell>
          <cell r="FR2" t="str">
            <v>150622 INDC high ambition (exculde FF) plus China and JapanTarget method</v>
          </cell>
          <cell r="FS2" t="str">
            <v>150622 INDC high ambition (exculde FF) plus China and JapanTarget amount</v>
          </cell>
          <cell r="FT2" t="str">
            <v>150622 INDC high ambition (exculde FF) plus China and Japancomments</v>
          </cell>
          <cell r="FU2" t="str">
            <v>150622 INDC high ambition (exculde FF) plus China and JapanAllowed emissions</v>
          </cell>
          <cell r="FV2" t="str">
            <v>2015 low ambition current expected (exclude forestry fund)Target method</v>
          </cell>
          <cell r="FW2" t="str">
            <v>2015 low ambition current expected (exclude forestry fund)Target amount</v>
          </cell>
          <cell r="FX2" t="str">
            <v>2015 low ambition current expected (exclude forestry fund)comments</v>
          </cell>
          <cell r="FY2" t="str">
            <v>2015 low ambition current expected (exclude forestry fund)Allowed emissions</v>
          </cell>
          <cell r="FZ2" t="str">
            <v>2015 high ambition current expected (exclude forestry fund)Target method</v>
          </cell>
          <cell r="GA2" t="str">
            <v>2015 high ambition current expected (exclude forestry fund)Target amount</v>
          </cell>
          <cell r="GB2" t="str">
            <v>2015 high ambition current expected (exclude forestry fund)comments</v>
          </cell>
          <cell r="GC2" t="str">
            <v>2015 high ambition current expected (exclude forestry fund)Allowed emissions</v>
          </cell>
          <cell r="GD2" t="str">
            <v>2015 Stretch scenario (exclude forestry fund)Target method</v>
          </cell>
          <cell r="GE2" t="str">
            <v>2015 Stretch scenario (exclude forestry fund)Target amount</v>
          </cell>
          <cell r="GF2" t="str">
            <v>2015 Stretch scenario (exclude forestry fund)comments</v>
          </cell>
          <cell r="GG2" t="str">
            <v>2015 Stretch scenario (exclude forestry fund)Allowed emissions</v>
          </cell>
          <cell r="GH2" t="str">
            <v>2015 Credible ask (exclude forestry fund)Target method</v>
          </cell>
          <cell r="GI2" t="str">
            <v>2015 Credible ask (exclude forestry fund)Target amount</v>
          </cell>
          <cell r="GJ2" t="str">
            <v>2015 Credible ask (exclude forestry fund)comments</v>
          </cell>
          <cell r="GK2" t="str">
            <v>2015 Credible ask (exclude forestry fund)Allowed emissions</v>
          </cell>
          <cell r="GL2" t="str">
            <v>2015 2C unadjusted (exclude FF) Target method</v>
          </cell>
          <cell r="GM2" t="str">
            <v>2015 2C unadjusted (exclude FF) Target amount</v>
          </cell>
          <cell r="GN2" t="str">
            <v>2015 2C unadjusted (exclude FF) comments</v>
          </cell>
          <cell r="GO2" t="str">
            <v>2015 2C unadjusted (exclude FF) Allowed emissions</v>
          </cell>
          <cell r="GP2" t="str">
            <v>2015 2.5C unadjusted (exclude FF)Target method</v>
          </cell>
          <cell r="GQ2" t="str">
            <v>2015 2.5C unadjusted (exclude FF)Target amount</v>
          </cell>
          <cell r="GR2" t="str">
            <v>2015 2.5C unadjusted (exclude FF)comments</v>
          </cell>
          <cell r="GS2" t="str">
            <v>2015 2.5C unadjusted (exclude FF)Allowed emissions</v>
          </cell>
          <cell r="GT2" t="str">
            <v>2015 Late action 2C unadjusted (exclude FF)Target method</v>
          </cell>
          <cell r="GU2" t="str">
            <v>2015 Late action 2C unadjusted (exclude FF)Target amount</v>
          </cell>
          <cell r="GV2" t="str">
            <v>2015 Late action 2C unadjusted (exclude FF)comments</v>
          </cell>
          <cell r="GW2" t="str">
            <v>2015 Late action 2C unadjusted (exclude FF)Allowed emissions</v>
          </cell>
          <cell r="GX2" t="str">
            <v>150708b Announced INDCs low ambition plus JapanTarget method</v>
          </cell>
          <cell r="GY2" t="str">
            <v>150708b Announced INDCs low ambition plus JapanTarget amount</v>
          </cell>
          <cell r="GZ2" t="str">
            <v>150708b Announced INDCs low ambition plus Japancomments</v>
          </cell>
          <cell r="HA2" t="str">
            <v>150708b Announced INDCs low ambition plus JapanAllowed emissions</v>
          </cell>
          <cell r="HB2" t="str">
            <v>150708b Announced INDCs high ambition plus JapanTarget method</v>
          </cell>
          <cell r="HC2" t="str">
            <v>150708b Announced INDCs high ambition plus JapanTarget amount</v>
          </cell>
          <cell r="HD2" t="str">
            <v>150708b Announced INDCs high ambition plus Japancomments</v>
          </cell>
          <cell r="HE2" t="str">
            <v>150708b Announced INDCs high ambition plus JapanAllowed emissions</v>
          </cell>
          <cell r="HF2" t="str">
            <v>150708b Announced INDCs low ambition excl JapanTarget method</v>
          </cell>
          <cell r="HG2" t="str">
            <v>150708b Announced INDCs low ambition excl JapanTarget amount</v>
          </cell>
          <cell r="HH2" t="str">
            <v>150708b Announced INDCs low ambition excl Japancomments</v>
          </cell>
          <cell r="HI2" t="str">
            <v>150708b Announced INDCs low ambition excl JapanAllowed emissions</v>
          </cell>
          <cell r="HJ2" t="str">
            <v>150708b Announced INDCs high ambition excl JapanTarget method</v>
          </cell>
          <cell r="HK2" t="str">
            <v>150708b Announced INDCs high ambition excl JapanTarget amount</v>
          </cell>
          <cell r="HL2" t="str">
            <v>150708b Announced INDCs high ambition excl Japancomments</v>
          </cell>
          <cell r="HM2" t="str">
            <v>150708b Announced INDCs high ambition excl JapanAllowed emissions</v>
          </cell>
          <cell r="HN2" t="str">
            <v>150709 Current expected high ambitionTarget method</v>
          </cell>
          <cell r="HO2" t="str">
            <v>150709 Current expected high ambitionTarget amount</v>
          </cell>
          <cell r="HP2" t="str">
            <v>150709 Current expected high ambitioncomments</v>
          </cell>
          <cell r="HQ2" t="str">
            <v>150709 Current expected high ambitionAllowed emissions</v>
          </cell>
          <cell r="HR2" t="str">
            <v>150709 Current expected low ambitionTarget method</v>
          </cell>
          <cell r="HS2" t="str">
            <v>150709 Current expected low ambitionTarget amount</v>
          </cell>
          <cell r="HT2" t="str">
            <v>150709 Current expected low ambitioncomments</v>
          </cell>
          <cell r="HU2" t="str">
            <v>150709 Current expected low ambitionAllowed emissions</v>
          </cell>
          <cell r="HV2" t="str">
            <v>150709 Current expected low ambition_with comment TESTTarget method</v>
          </cell>
          <cell r="HW2" t="str">
            <v>150709 Current expected low ambition_with comment TESTTarget amount</v>
          </cell>
          <cell r="HX2" t="str">
            <v>150709 Current expected low ambition_with comment TESTComments</v>
          </cell>
          <cell r="HY2" t="str">
            <v>150709 Current expected low ambition_with comment TESTAllowed emissions</v>
          </cell>
          <cell r="HZ2" t="str">
            <v>150728 Announced INDCs low ambition GRANTHAMTarget method</v>
          </cell>
          <cell r="IA2" t="str">
            <v>150728 Announced INDCs low ambition GRANTHAMTarget amount</v>
          </cell>
          <cell r="IB2" t="str">
            <v>150728 Announced INDCs low ambition GRANTHAMComments</v>
          </cell>
          <cell r="IC2" t="str">
            <v>150728 Announced INDCs low ambition GRANTHAMAllowed emissions</v>
          </cell>
          <cell r="ID2" t="str">
            <v>150728 Announced INDCs high ambition GRANTHAMTarget method</v>
          </cell>
          <cell r="IE2" t="str">
            <v>150728 Announced INDCs high ambition GRANTHAMTarget amount</v>
          </cell>
          <cell r="IF2" t="str">
            <v>150728 Announced INDCs high ambition GRANTHAMComments</v>
          </cell>
          <cell r="IG2" t="str">
            <v>150728 Announced INDCs high ambition GRANTHAMAllowed emissions</v>
          </cell>
          <cell r="IH2" t="str">
            <v/>
          </cell>
          <cell r="II2" t="str">
            <v/>
          </cell>
          <cell r="IJ2" t="str">
            <v/>
          </cell>
          <cell r="IK2" t="str">
            <v/>
          </cell>
          <cell r="IL2" t="str">
            <v/>
          </cell>
          <cell r="IM2" t="str">
            <v/>
          </cell>
          <cell r="IN2" t="str">
            <v/>
          </cell>
          <cell r="IO2" t="str">
            <v/>
          </cell>
          <cell r="IP2" t="str">
            <v/>
          </cell>
          <cell r="IQ2" t="str">
            <v/>
          </cell>
          <cell r="IR2" t="str">
            <v/>
          </cell>
          <cell r="IS2" t="str">
            <v/>
          </cell>
          <cell r="IT2" t="str">
            <v/>
          </cell>
          <cell r="IU2" t="str">
            <v/>
          </cell>
          <cell r="IV2" t="str">
            <v/>
          </cell>
          <cell r="IW2" t="str">
            <v/>
          </cell>
          <cell r="IX2" t="str">
            <v/>
          </cell>
          <cell r="IY2" t="str">
            <v/>
          </cell>
          <cell r="IZ2" t="str">
            <v/>
          </cell>
          <cell r="JA2" t="str">
            <v/>
          </cell>
          <cell r="JB2" t="str">
            <v/>
          </cell>
          <cell r="JC2" t="str">
            <v/>
          </cell>
          <cell r="JD2" t="str">
            <v/>
          </cell>
          <cell r="JE2" t="str">
            <v/>
          </cell>
          <cell r="JF2" t="str">
            <v/>
          </cell>
          <cell r="JG2" t="str">
            <v/>
          </cell>
          <cell r="JH2" t="str">
            <v/>
          </cell>
          <cell r="JI2" t="str">
            <v/>
          </cell>
          <cell r="JJ2" t="str">
            <v/>
          </cell>
          <cell r="JK2" t="str">
            <v/>
          </cell>
          <cell r="JL2" t="str">
            <v/>
          </cell>
          <cell r="JM2" t="str">
            <v/>
          </cell>
          <cell r="JN2" t="str">
            <v/>
          </cell>
          <cell r="JO2" t="str">
            <v/>
          </cell>
          <cell r="JP2" t="str">
            <v/>
          </cell>
          <cell r="JQ2" t="str">
            <v/>
          </cell>
          <cell r="JR2" t="str">
            <v/>
          </cell>
          <cell r="JS2" t="str">
            <v/>
          </cell>
          <cell r="JT2" t="str">
            <v/>
          </cell>
          <cell r="JU2" t="str">
            <v/>
          </cell>
          <cell r="JV2" t="str">
            <v/>
          </cell>
          <cell r="JW2" t="str">
            <v/>
          </cell>
          <cell r="JX2" t="str">
            <v/>
          </cell>
          <cell r="JY2" t="str">
            <v/>
          </cell>
          <cell r="JZ2" t="str">
            <v/>
          </cell>
          <cell r="KA2" t="str">
            <v/>
          </cell>
          <cell r="KB2" t="str">
            <v/>
          </cell>
          <cell r="KC2" t="str">
            <v/>
          </cell>
          <cell r="KD2" t="str">
            <v/>
          </cell>
          <cell r="KE2" t="str">
            <v/>
          </cell>
          <cell r="KF2" t="str">
            <v/>
          </cell>
          <cell r="KG2" t="str">
            <v/>
          </cell>
          <cell r="KH2" t="str">
            <v/>
          </cell>
          <cell r="KI2" t="str">
            <v/>
          </cell>
          <cell r="KJ2" t="str">
            <v/>
          </cell>
          <cell r="KK2" t="str">
            <v/>
          </cell>
          <cell r="KL2" t="str">
            <v/>
          </cell>
          <cell r="KM2" t="str">
            <v/>
          </cell>
          <cell r="KN2" t="str">
            <v/>
          </cell>
          <cell r="KO2" t="str">
            <v/>
          </cell>
          <cell r="KP2" t="str">
            <v/>
          </cell>
          <cell r="KQ2" t="str">
            <v/>
          </cell>
          <cell r="KR2" t="str">
            <v/>
          </cell>
          <cell r="KS2" t="str">
            <v/>
          </cell>
          <cell r="KT2" t="str">
            <v/>
          </cell>
          <cell r="KU2" t="str">
            <v/>
          </cell>
          <cell r="KV2" t="str">
            <v/>
          </cell>
          <cell r="KW2" t="str">
            <v/>
          </cell>
          <cell r="KX2" t="str">
            <v/>
          </cell>
          <cell r="KY2" t="str">
            <v/>
          </cell>
          <cell r="KZ2" t="str">
            <v/>
          </cell>
          <cell r="LA2" t="str">
            <v/>
          </cell>
          <cell r="LB2" t="str">
            <v/>
          </cell>
          <cell r="LC2" t="str">
            <v/>
          </cell>
          <cell r="LD2" t="str">
            <v/>
          </cell>
          <cell r="LE2" t="str">
            <v/>
          </cell>
          <cell r="LF2" t="str">
            <v/>
          </cell>
          <cell r="LG2" t="str">
            <v/>
          </cell>
          <cell r="LH2" t="str">
            <v/>
          </cell>
          <cell r="LI2" t="str">
            <v/>
          </cell>
          <cell r="LJ2" t="str">
            <v/>
          </cell>
          <cell r="LK2" t="str">
            <v/>
          </cell>
          <cell r="LL2" t="str">
            <v/>
          </cell>
          <cell r="LM2" t="str">
            <v/>
          </cell>
          <cell r="LN2" t="str">
            <v/>
          </cell>
          <cell r="LO2" t="str">
            <v/>
          </cell>
          <cell r="LP2" t="str">
            <v/>
          </cell>
          <cell r="LQ2" t="str">
            <v/>
          </cell>
          <cell r="LR2" t="str">
            <v/>
          </cell>
          <cell r="LS2" t="str">
            <v/>
          </cell>
          <cell r="LT2" t="str">
            <v/>
          </cell>
          <cell r="LU2" t="str">
            <v/>
          </cell>
          <cell r="LV2" t="str">
            <v/>
          </cell>
          <cell r="LW2" t="str">
            <v/>
          </cell>
          <cell r="LX2" t="str">
            <v/>
          </cell>
          <cell r="LY2" t="str">
            <v/>
          </cell>
          <cell r="LZ2" t="str">
            <v/>
          </cell>
          <cell r="MA2" t="str">
            <v/>
          </cell>
          <cell r="MB2" t="str">
            <v/>
          </cell>
          <cell r="MC2" t="str">
            <v/>
          </cell>
          <cell r="MD2" t="str">
            <v/>
          </cell>
          <cell r="ME2" t="str">
            <v/>
          </cell>
          <cell r="MF2" t="str">
            <v/>
          </cell>
          <cell r="MG2" t="str">
            <v/>
          </cell>
          <cell r="MH2" t="str">
            <v/>
          </cell>
          <cell r="MI2" t="str">
            <v/>
          </cell>
          <cell r="MJ2" t="str">
            <v/>
          </cell>
          <cell r="MK2" t="str">
            <v/>
          </cell>
          <cell r="ML2" t="str">
            <v/>
          </cell>
          <cell r="MM2" t="str">
            <v/>
          </cell>
          <cell r="MN2" t="str">
            <v/>
          </cell>
          <cell r="MO2" t="str">
            <v/>
          </cell>
          <cell r="MP2" t="str">
            <v/>
          </cell>
          <cell r="MQ2" t="str">
            <v/>
          </cell>
          <cell r="MR2" t="str">
            <v/>
          </cell>
          <cell r="MS2" t="str">
            <v/>
          </cell>
          <cell r="MT2" t="str">
            <v/>
          </cell>
          <cell r="MU2" t="str">
            <v/>
          </cell>
          <cell r="MV2" t="str">
            <v/>
          </cell>
          <cell r="MW2" t="str">
            <v/>
          </cell>
          <cell r="MX2" t="str">
            <v/>
          </cell>
          <cell r="MY2" t="str">
            <v/>
          </cell>
          <cell r="MZ2" t="str">
            <v/>
          </cell>
          <cell r="NA2" t="str">
            <v/>
          </cell>
          <cell r="NB2" t="str">
            <v/>
          </cell>
          <cell r="NC2" t="str">
            <v/>
          </cell>
          <cell r="ND2" t="str">
            <v/>
          </cell>
          <cell r="NE2" t="str">
            <v/>
          </cell>
          <cell r="NF2" t="str">
            <v/>
          </cell>
          <cell r="NG2" t="str">
            <v/>
          </cell>
          <cell r="NH2" t="str">
            <v/>
          </cell>
          <cell r="NI2" t="str">
            <v/>
          </cell>
          <cell r="NJ2" t="str">
            <v/>
          </cell>
          <cell r="NK2" t="str">
            <v/>
          </cell>
          <cell r="NL2" t="str">
            <v/>
          </cell>
          <cell r="NM2" t="str">
            <v/>
          </cell>
          <cell r="NN2" t="str">
            <v/>
          </cell>
          <cell r="NO2" t="str">
            <v/>
          </cell>
          <cell r="NP2" t="str">
            <v/>
          </cell>
          <cell r="NQ2" t="str">
            <v/>
          </cell>
          <cell r="NR2" t="str">
            <v/>
          </cell>
          <cell r="NS2" t="str">
            <v/>
          </cell>
          <cell r="NT2" t="str">
            <v/>
          </cell>
          <cell r="NU2" t="str">
            <v/>
          </cell>
          <cell r="NV2" t="str">
            <v/>
          </cell>
          <cell r="NW2" t="str">
            <v/>
          </cell>
          <cell r="NX2" t="str">
            <v/>
          </cell>
          <cell r="NY2" t="str">
            <v/>
          </cell>
          <cell r="NZ2" t="str">
            <v/>
          </cell>
          <cell r="OA2" t="str">
            <v/>
          </cell>
          <cell r="OB2" t="str">
            <v/>
          </cell>
          <cell r="OC2" t="str">
            <v/>
          </cell>
          <cell r="OD2" t="str">
            <v/>
          </cell>
          <cell r="OE2" t="str">
            <v/>
          </cell>
          <cell r="OF2" t="str">
            <v/>
          </cell>
          <cell r="OG2" t="str">
            <v/>
          </cell>
          <cell r="OH2" t="str">
            <v/>
          </cell>
          <cell r="OI2" t="str">
            <v/>
          </cell>
          <cell r="OJ2" t="str">
            <v/>
          </cell>
          <cell r="OK2" t="str">
            <v/>
          </cell>
          <cell r="OL2" t="str">
            <v/>
          </cell>
          <cell r="OM2" t="str">
            <v/>
          </cell>
          <cell r="ON2" t="str">
            <v/>
          </cell>
          <cell r="OO2" t="str">
            <v/>
          </cell>
          <cell r="OP2" t="str">
            <v/>
          </cell>
          <cell r="OQ2" t="str">
            <v/>
          </cell>
          <cell r="OR2" t="str">
            <v/>
          </cell>
          <cell r="OS2" t="str">
            <v/>
          </cell>
          <cell r="OT2" t="str">
            <v/>
          </cell>
          <cell r="OU2" t="str">
            <v/>
          </cell>
          <cell r="OV2" t="str">
            <v/>
          </cell>
          <cell r="OW2" t="str">
            <v/>
          </cell>
          <cell r="OX2" t="str">
            <v/>
          </cell>
          <cell r="OY2" t="str">
            <v/>
          </cell>
          <cell r="OZ2" t="str">
            <v/>
          </cell>
          <cell r="PA2" t="str">
            <v/>
          </cell>
          <cell r="PB2" t="str">
            <v/>
          </cell>
          <cell r="PC2" t="str">
            <v/>
          </cell>
          <cell r="PD2" t="str">
            <v/>
          </cell>
          <cell r="PE2" t="str">
            <v/>
          </cell>
          <cell r="PF2" t="str">
            <v/>
          </cell>
          <cell r="PG2" t="str">
            <v/>
          </cell>
          <cell r="PH2" t="str">
            <v/>
          </cell>
          <cell r="PI2" t="str">
            <v/>
          </cell>
          <cell r="PJ2" t="str">
            <v/>
          </cell>
          <cell r="PK2" t="str">
            <v/>
          </cell>
          <cell r="PL2" t="str">
            <v/>
          </cell>
          <cell r="PM2" t="str">
            <v/>
          </cell>
          <cell r="PN2" t="str">
            <v/>
          </cell>
          <cell r="PO2" t="str">
            <v/>
          </cell>
          <cell r="PP2" t="str">
            <v/>
          </cell>
          <cell r="PQ2" t="str">
            <v/>
          </cell>
          <cell r="PR2" t="str">
            <v/>
          </cell>
          <cell r="PS2" t="str">
            <v/>
          </cell>
          <cell r="PT2" t="str">
            <v/>
          </cell>
          <cell r="PU2" t="str">
            <v/>
          </cell>
          <cell r="PV2" t="str">
            <v/>
          </cell>
          <cell r="PW2" t="str">
            <v/>
          </cell>
          <cell r="PX2" t="str">
            <v/>
          </cell>
          <cell r="PY2" t="str">
            <v/>
          </cell>
          <cell r="PZ2" t="str">
            <v/>
          </cell>
          <cell r="QA2" t="str">
            <v/>
          </cell>
          <cell r="QB2" t="str">
            <v/>
          </cell>
          <cell r="QC2" t="str">
            <v/>
          </cell>
          <cell r="QD2" t="str">
            <v/>
          </cell>
          <cell r="QE2" t="str">
            <v/>
          </cell>
          <cell r="QF2" t="str">
            <v/>
          </cell>
          <cell r="QG2" t="str">
            <v/>
          </cell>
          <cell r="QH2" t="str">
            <v/>
          </cell>
          <cell r="QI2" t="str">
            <v/>
          </cell>
          <cell r="QJ2" t="str">
            <v/>
          </cell>
          <cell r="QK2" t="str">
            <v/>
          </cell>
          <cell r="QL2" t="str">
            <v/>
          </cell>
          <cell r="QM2" t="str">
            <v/>
          </cell>
          <cell r="QN2" t="str">
            <v/>
          </cell>
          <cell r="QO2" t="str">
            <v/>
          </cell>
          <cell r="QP2" t="str">
            <v/>
          </cell>
          <cell r="QQ2" t="str">
            <v/>
          </cell>
          <cell r="QR2" t="str">
            <v/>
          </cell>
          <cell r="QS2" t="str">
            <v/>
          </cell>
          <cell r="QT2" t="str">
            <v/>
          </cell>
          <cell r="QU2" t="str">
            <v/>
          </cell>
          <cell r="QV2" t="str">
            <v/>
          </cell>
          <cell r="QW2" t="str">
            <v/>
          </cell>
          <cell r="QX2" t="str">
            <v/>
          </cell>
          <cell r="QY2" t="str">
            <v/>
          </cell>
          <cell r="QZ2" t="str">
            <v/>
          </cell>
          <cell r="RA2" t="str">
            <v/>
          </cell>
          <cell r="RB2" t="str">
            <v/>
          </cell>
          <cell r="RC2" t="str">
            <v/>
          </cell>
          <cell r="RD2" t="str">
            <v/>
          </cell>
          <cell r="RE2" t="str">
            <v/>
          </cell>
          <cell r="RF2" t="str">
            <v/>
          </cell>
          <cell r="RG2" t="str">
            <v/>
          </cell>
          <cell r="RH2" t="str">
            <v/>
          </cell>
          <cell r="RI2" t="str">
            <v/>
          </cell>
          <cell r="RJ2" t="str">
            <v/>
          </cell>
          <cell r="RK2" t="str">
            <v/>
          </cell>
          <cell r="RL2" t="str">
            <v/>
          </cell>
          <cell r="RM2" t="str">
            <v/>
          </cell>
          <cell r="RN2" t="str">
            <v/>
          </cell>
          <cell r="RO2" t="str">
            <v/>
          </cell>
          <cell r="RP2" t="str">
            <v/>
          </cell>
          <cell r="RQ2" t="str">
            <v/>
          </cell>
          <cell r="RR2" t="str">
            <v/>
          </cell>
          <cell r="RS2" t="str">
            <v/>
          </cell>
          <cell r="RT2" t="str">
            <v/>
          </cell>
          <cell r="RU2" t="str">
            <v/>
          </cell>
          <cell r="RV2" t="str">
            <v/>
          </cell>
          <cell r="RW2" t="str">
            <v/>
          </cell>
          <cell r="RX2" t="str">
            <v/>
          </cell>
          <cell r="RY2" t="str">
            <v/>
          </cell>
          <cell r="RZ2" t="str">
            <v/>
          </cell>
          <cell r="SA2" t="str">
            <v/>
          </cell>
          <cell r="SB2" t="str">
            <v/>
          </cell>
          <cell r="SC2" t="str">
            <v/>
          </cell>
          <cell r="SD2" t="str">
            <v/>
          </cell>
          <cell r="SE2" t="str">
            <v/>
          </cell>
          <cell r="SF2" t="str">
            <v/>
          </cell>
          <cell r="SG2" t="str">
            <v/>
          </cell>
          <cell r="SH2" t="str">
            <v/>
          </cell>
          <cell r="SI2" t="str">
            <v/>
          </cell>
          <cell r="SJ2" t="str">
            <v/>
          </cell>
          <cell r="SK2" t="str">
            <v/>
          </cell>
          <cell r="SL2" t="str">
            <v/>
          </cell>
          <cell r="SM2" t="str">
            <v/>
          </cell>
          <cell r="SN2" t="str">
            <v/>
          </cell>
          <cell r="SO2" t="str">
            <v/>
          </cell>
          <cell r="SP2" t="str">
            <v/>
          </cell>
          <cell r="SQ2" t="str">
            <v/>
          </cell>
          <cell r="SR2" t="str">
            <v/>
          </cell>
          <cell r="SS2" t="str">
            <v/>
          </cell>
          <cell r="ST2" t="str">
            <v/>
          </cell>
          <cell r="SU2" t="str">
            <v/>
          </cell>
          <cell r="SV2" t="str">
            <v/>
          </cell>
          <cell r="SW2" t="str">
            <v/>
          </cell>
          <cell r="SX2" t="str">
            <v/>
          </cell>
          <cell r="SY2" t="str">
            <v/>
          </cell>
          <cell r="SZ2" t="str">
            <v/>
          </cell>
          <cell r="TA2" t="str">
            <v/>
          </cell>
          <cell r="TB2" t="str">
            <v/>
          </cell>
          <cell r="TC2" t="str">
            <v/>
          </cell>
          <cell r="TD2" t="str">
            <v/>
          </cell>
          <cell r="TE2" t="str">
            <v/>
          </cell>
          <cell r="TF2" t="str">
            <v/>
          </cell>
          <cell r="TG2" t="str">
            <v/>
          </cell>
          <cell r="TH2" t="str">
            <v/>
          </cell>
          <cell r="TI2" t="str">
            <v/>
          </cell>
          <cell r="TJ2" t="str">
            <v/>
          </cell>
          <cell r="TK2" t="str">
            <v/>
          </cell>
          <cell r="TL2" t="str">
            <v/>
          </cell>
          <cell r="TM2" t="str">
            <v/>
          </cell>
          <cell r="TN2" t="str">
            <v/>
          </cell>
          <cell r="TO2" t="str">
            <v/>
          </cell>
          <cell r="TP2" t="str">
            <v/>
          </cell>
          <cell r="TQ2" t="str">
            <v/>
          </cell>
          <cell r="TR2" t="str">
            <v/>
          </cell>
          <cell r="TS2" t="str">
            <v/>
          </cell>
          <cell r="TT2" t="str">
            <v/>
          </cell>
          <cell r="TU2" t="str">
            <v/>
          </cell>
          <cell r="TV2" t="str">
            <v/>
          </cell>
          <cell r="TW2" t="str">
            <v/>
          </cell>
          <cell r="TX2" t="str">
            <v/>
          </cell>
          <cell r="TY2" t="str">
            <v/>
          </cell>
          <cell r="TZ2" t="str">
            <v/>
          </cell>
          <cell r="UA2" t="str">
            <v/>
          </cell>
          <cell r="UB2" t="str">
            <v/>
          </cell>
          <cell r="UC2" t="str">
            <v/>
          </cell>
          <cell r="UD2" t="str">
            <v/>
          </cell>
          <cell r="UE2" t="str">
            <v/>
          </cell>
          <cell r="UF2" t="str">
            <v/>
          </cell>
          <cell r="UG2" t="str">
            <v/>
          </cell>
          <cell r="UH2" t="str">
            <v/>
          </cell>
          <cell r="UI2" t="str">
            <v/>
          </cell>
          <cell r="UJ2" t="str">
            <v/>
          </cell>
          <cell r="UK2" t="str">
            <v/>
          </cell>
          <cell r="UL2" t="str">
            <v/>
          </cell>
          <cell r="UM2" t="str">
            <v/>
          </cell>
          <cell r="UN2" t="str">
            <v/>
          </cell>
          <cell r="UO2" t="str">
            <v/>
          </cell>
          <cell r="UP2" t="str">
            <v/>
          </cell>
          <cell r="UQ2" t="str">
            <v/>
          </cell>
          <cell r="UR2" t="str">
            <v/>
          </cell>
          <cell r="US2" t="str">
            <v/>
          </cell>
          <cell r="UT2" t="str">
            <v/>
          </cell>
          <cell r="UU2" t="str">
            <v/>
          </cell>
          <cell r="UV2" t="str">
            <v/>
          </cell>
          <cell r="UW2" t="str">
            <v/>
          </cell>
          <cell r="UX2" t="str">
            <v/>
          </cell>
          <cell r="UY2" t="str">
            <v/>
          </cell>
          <cell r="UZ2" t="str">
            <v/>
          </cell>
          <cell r="VA2" t="str">
            <v/>
          </cell>
          <cell r="VB2" t="str">
            <v/>
          </cell>
          <cell r="VC2" t="str">
            <v/>
          </cell>
          <cell r="VD2" t="str">
            <v/>
          </cell>
          <cell r="VE2" t="str">
            <v/>
          </cell>
          <cell r="VF2" t="str">
            <v/>
          </cell>
          <cell r="VG2" t="str">
            <v/>
          </cell>
          <cell r="VH2" t="str">
            <v/>
          </cell>
          <cell r="VI2" t="str">
            <v/>
          </cell>
          <cell r="VJ2" t="str">
            <v/>
          </cell>
          <cell r="VK2" t="str">
            <v/>
          </cell>
          <cell r="VL2" t="str">
            <v/>
          </cell>
          <cell r="VM2" t="str">
            <v/>
          </cell>
          <cell r="VN2" t="str">
            <v/>
          </cell>
          <cell r="VO2" t="str">
            <v/>
          </cell>
          <cell r="VP2" t="str">
            <v/>
          </cell>
          <cell r="VQ2" t="str">
            <v/>
          </cell>
          <cell r="VR2" t="str">
            <v/>
          </cell>
          <cell r="VS2" t="str">
            <v/>
          </cell>
          <cell r="VT2" t="str">
            <v/>
          </cell>
          <cell r="VU2" t="str">
            <v/>
          </cell>
          <cell r="VV2" t="str">
            <v/>
          </cell>
          <cell r="VW2" t="str">
            <v/>
          </cell>
          <cell r="VX2" t="str">
            <v/>
          </cell>
          <cell r="VY2" t="str">
            <v/>
          </cell>
          <cell r="VZ2" t="str">
            <v/>
          </cell>
          <cell r="WA2" t="str">
            <v/>
          </cell>
          <cell r="WB2" t="str">
            <v/>
          </cell>
          <cell r="WC2" t="str">
            <v/>
          </cell>
          <cell r="WD2" t="str">
            <v/>
          </cell>
          <cell r="WE2" t="str">
            <v/>
          </cell>
          <cell r="WF2" t="str">
            <v/>
          </cell>
          <cell r="WG2" t="str">
            <v/>
          </cell>
          <cell r="WH2" t="str">
            <v/>
          </cell>
          <cell r="WI2" t="str">
            <v/>
          </cell>
          <cell r="WJ2" t="str">
            <v/>
          </cell>
          <cell r="WK2" t="str">
            <v/>
          </cell>
          <cell r="WL2" t="str">
            <v/>
          </cell>
          <cell r="WM2" t="str">
            <v/>
          </cell>
          <cell r="WN2" t="str">
            <v/>
          </cell>
          <cell r="WO2" t="str">
            <v/>
          </cell>
          <cell r="WP2" t="str">
            <v/>
          </cell>
          <cell r="WQ2" t="str">
            <v/>
          </cell>
          <cell r="WR2" t="str">
            <v/>
          </cell>
          <cell r="WS2" t="str">
            <v/>
          </cell>
          <cell r="WT2" t="str">
            <v/>
          </cell>
          <cell r="WU2" t="str">
            <v/>
          </cell>
          <cell r="WV2" t="str">
            <v/>
          </cell>
          <cell r="WW2" t="str">
            <v/>
          </cell>
          <cell r="WX2" t="str">
            <v/>
          </cell>
          <cell r="WY2" t="str">
            <v/>
          </cell>
          <cell r="WZ2" t="str">
            <v/>
          </cell>
          <cell r="XA2" t="str">
            <v/>
          </cell>
          <cell r="XB2" t="str">
            <v/>
          </cell>
          <cell r="XC2" t="str">
            <v/>
          </cell>
          <cell r="XD2" t="str">
            <v/>
          </cell>
          <cell r="XE2" t="str">
            <v/>
          </cell>
          <cell r="XF2" t="str">
            <v/>
          </cell>
          <cell r="XG2" t="str">
            <v/>
          </cell>
          <cell r="XH2" t="str">
            <v/>
          </cell>
          <cell r="XI2" t="str">
            <v/>
          </cell>
          <cell r="XJ2" t="str">
            <v/>
          </cell>
          <cell r="XK2" t="str">
            <v/>
          </cell>
          <cell r="XL2" t="str">
            <v/>
          </cell>
          <cell r="XM2" t="str">
            <v/>
          </cell>
          <cell r="XN2" t="str">
            <v/>
          </cell>
          <cell r="XO2" t="str">
            <v/>
          </cell>
          <cell r="XP2" t="str">
            <v/>
          </cell>
          <cell r="XQ2" t="str">
            <v/>
          </cell>
          <cell r="XR2" t="str">
            <v/>
          </cell>
          <cell r="XS2" t="str">
            <v/>
          </cell>
          <cell r="XT2" t="str">
            <v/>
          </cell>
          <cell r="XU2" t="str">
            <v/>
          </cell>
          <cell r="XV2" t="str">
            <v/>
          </cell>
          <cell r="XW2" t="str">
            <v/>
          </cell>
          <cell r="XX2" t="str">
            <v/>
          </cell>
          <cell r="XY2" t="str">
            <v/>
          </cell>
          <cell r="XZ2" t="str">
            <v/>
          </cell>
          <cell r="YA2" t="str">
            <v/>
          </cell>
          <cell r="YB2" t="str">
            <v/>
          </cell>
          <cell r="YC2" t="str">
            <v/>
          </cell>
          <cell r="YD2" t="str">
            <v/>
          </cell>
          <cell r="YE2" t="str">
            <v/>
          </cell>
          <cell r="YF2" t="str">
            <v/>
          </cell>
          <cell r="YG2" t="str">
            <v/>
          </cell>
          <cell r="YH2" t="str">
            <v/>
          </cell>
          <cell r="YI2" t="str">
            <v/>
          </cell>
          <cell r="YJ2" t="str">
            <v/>
          </cell>
          <cell r="YK2" t="str">
            <v/>
          </cell>
          <cell r="YL2" t="str">
            <v/>
          </cell>
          <cell r="YM2" t="str">
            <v/>
          </cell>
          <cell r="YN2" t="str">
            <v/>
          </cell>
          <cell r="YO2" t="str">
            <v/>
          </cell>
          <cell r="YP2" t="str">
            <v/>
          </cell>
          <cell r="YQ2" t="str">
            <v/>
          </cell>
          <cell r="YR2" t="str">
            <v/>
          </cell>
          <cell r="YS2" t="str">
            <v/>
          </cell>
          <cell r="YT2" t="str">
            <v/>
          </cell>
          <cell r="YU2" t="str">
            <v/>
          </cell>
          <cell r="YV2" t="str">
            <v/>
          </cell>
          <cell r="YW2" t="str">
            <v/>
          </cell>
          <cell r="YX2" t="str">
            <v/>
          </cell>
          <cell r="YY2" t="str">
            <v/>
          </cell>
          <cell r="YZ2" t="str">
            <v/>
          </cell>
          <cell r="ZA2" t="str">
            <v/>
          </cell>
          <cell r="ZB2" t="str">
            <v/>
          </cell>
          <cell r="ZC2" t="str">
            <v/>
          </cell>
          <cell r="ZD2" t="str">
            <v/>
          </cell>
          <cell r="ZE2" t="str">
            <v/>
          </cell>
          <cell r="ZF2" t="str">
            <v/>
          </cell>
          <cell r="ZG2" t="str">
            <v/>
          </cell>
          <cell r="ZH2" t="str">
            <v/>
          </cell>
          <cell r="ZI2" t="str">
            <v/>
          </cell>
          <cell r="ZJ2" t="str">
            <v/>
          </cell>
          <cell r="ZK2" t="str">
            <v/>
          </cell>
          <cell r="ZL2" t="str">
            <v/>
          </cell>
          <cell r="ZM2" t="str">
            <v/>
          </cell>
          <cell r="ZN2" t="str">
            <v/>
          </cell>
          <cell r="ZO2" t="str">
            <v/>
          </cell>
          <cell r="ZP2" t="str">
            <v/>
          </cell>
          <cell r="ZQ2" t="str">
            <v/>
          </cell>
          <cell r="ZR2" t="str">
            <v/>
          </cell>
          <cell r="ZS2" t="str">
            <v/>
          </cell>
          <cell r="ZT2" t="str">
            <v/>
          </cell>
          <cell r="ZU2" t="str">
            <v/>
          </cell>
          <cell r="ZV2" t="str">
            <v/>
          </cell>
          <cell r="ZW2" t="str">
            <v/>
          </cell>
          <cell r="ZX2" t="str">
            <v/>
          </cell>
          <cell r="ZY2" t="str">
            <v/>
          </cell>
          <cell r="ZZ2" t="str">
            <v/>
          </cell>
          <cell r="AAA2" t="str">
            <v/>
          </cell>
          <cell r="AAB2" t="str">
            <v/>
          </cell>
          <cell r="AAC2" t="str">
            <v/>
          </cell>
          <cell r="AAD2" t="str">
            <v/>
          </cell>
          <cell r="AAE2" t="str">
            <v/>
          </cell>
          <cell r="AAF2" t="str">
            <v/>
          </cell>
          <cell r="AAG2" t="str">
            <v/>
          </cell>
          <cell r="AAH2" t="str">
            <v/>
          </cell>
          <cell r="AAI2" t="str">
            <v/>
          </cell>
          <cell r="AAJ2" t="str">
            <v/>
          </cell>
          <cell r="AAK2" t="str">
            <v/>
          </cell>
          <cell r="AAL2" t="str">
            <v/>
          </cell>
          <cell r="AAM2" t="str">
            <v/>
          </cell>
          <cell r="AAN2" t="str">
            <v/>
          </cell>
          <cell r="AAO2" t="str">
            <v/>
          </cell>
          <cell r="AAP2" t="str">
            <v/>
          </cell>
          <cell r="AAQ2" t="str">
            <v/>
          </cell>
          <cell r="AAR2" t="str">
            <v/>
          </cell>
          <cell r="AAS2" t="str">
            <v/>
          </cell>
          <cell r="AAT2" t="str">
            <v/>
          </cell>
          <cell r="AAU2" t="str">
            <v/>
          </cell>
          <cell r="AAV2" t="str">
            <v/>
          </cell>
          <cell r="AAW2" t="str">
            <v/>
          </cell>
          <cell r="AAX2" t="str">
            <v/>
          </cell>
          <cell r="AAY2" t="str">
            <v/>
          </cell>
          <cell r="AAZ2" t="str">
            <v/>
          </cell>
          <cell r="ABA2" t="str">
            <v/>
          </cell>
          <cell r="ABB2" t="str">
            <v/>
          </cell>
          <cell r="ABC2" t="str">
            <v/>
          </cell>
          <cell r="ABD2" t="str">
            <v/>
          </cell>
          <cell r="ABE2" t="str">
            <v/>
          </cell>
          <cell r="ABF2" t="str">
            <v/>
          </cell>
          <cell r="ABG2" t="str">
            <v/>
          </cell>
          <cell r="ABH2" t="str">
            <v/>
          </cell>
          <cell r="ABI2" t="str">
            <v/>
          </cell>
          <cell r="ABJ2" t="str">
            <v/>
          </cell>
          <cell r="ABK2" t="str">
            <v/>
          </cell>
          <cell r="ABL2" t="str">
            <v/>
          </cell>
          <cell r="ABM2" t="str">
            <v/>
          </cell>
          <cell r="ABN2" t="str">
            <v/>
          </cell>
          <cell r="ABO2" t="str">
            <v/>
          </cell>
          <cell r="ABP2" t="str">
            <v/>
          </cell>
          <cell r="ABQ2" t="str">
            <v/>
          </cell>
          <cell r="ABR2" t="str">
            <v/>
          </cell>
          <cell r="ABS2" t="str">
            <v/>
          </cell>
          <cell r="ABT2" t="str">
            <v/>
          </cell>
          <cell r="ABU2" t="str">
            <v/>
          </cell>
          <cell r="ABV2" t="str">
            <v/>
          </cell>
          <cell r="ABW2" t="str">
            <v/>
          </cell>
          <cell r="ABX2" t="str">
            <v/>
          </cell>
          <cell r="ABY2" t="str">
            <v/>
          </cell>
          <cell r="ABZ2" t="str">
            <v/>
          </cell>
          <cell r="ACA2" t="str">
            <v/>
          </cell>
          <cell r="ACB2" t="str">
            <v/>
          </cell>
          <cell r="ACC2" t="str">
            <v/>
          </cell>
          <cell r="ACD2" t="str">
            <v/>
          </cell>
          <cell r="ACE2" t="str">
            <v/>
          </cell>
          <cell r="ACF2" t="str">
            <v/>
          </cell>
          <cell r="ACG2" t="str">
            <v/>
          </cell>
          <cell r="ACH2" t="str">
            <v/>
          </cell>
          <cell r="ACI2" t="str">
            <v/>
          </cell>
          <cell r="ACJ2" t="str">
            <v/>
          </cell>
          <cell r="ACK2" t="str">
            <v/>
          </cell>
          <cell r="ACL2" t="str">
            <v/>
          </cell>
          <cell r="ACM2" t="str">
            <v/>
          </cell>
          <cell r="ACN2" t="str">
            <v/>
          </cell>
          <cell r="ACO2" t="str">
            <v/>
          </cell>
          <cell r="ACP2" t="str">
            <v/>
          </cell>
          <cell r="ACQ2" t="str">
            <v/>
          </cell>
          <cell r="ACR2" t="str">
            <v/>
          </cell>
          <cell r="ACS2" t="str">
            <v/>
          </cell>
          <cell r="ACT2" t="str">
            <v/>
          </cell>
          <cell r="ACU2" t="str">
            <v/>
          </cell>
          <cell r="ACV2" t="str">
            <v/>
          </cell>
          <cell r="ACW2" t="str">
            <v/>
          </cell>
          <cell r="ACX2" t="str">
            <v/>
          </cell>
          <cell r="ACY2" t="str">
            <v/>
          </cell>
          <cell r="ACZ2" t="str">
            <v/>
          </cell>
          <cell r="ADA2" t="str">
            <v/>
          </cell>
          <cell r="ADB2" t="str">
            <v/>
          </cell>
          <cell r="ADC2" t="str">
            <v/>
          </cell>
          <cell r="ADD2" t="str">
            <v/>
          </cell>
          <cell r="ADE2" t="str">
            <v/>
          </cell>
          <cell r="ADF2" t="str">
            <v/>
          </cell>
          <cell r="ADG2" t="str">
            <v/>
          </cell>
          <cell r="ADH2" t="str">
            <v/>
          </cell>
          <cell r="ADI2" t="str">
            <v/>
          </cell>
          <cell r="ADJ2" t="str">
            <v/>
          </cell>
          <cell r="ADK2" t="str">
            <v/>
          </cell>
          <cell r="ADL2" t="str">
            <v/>
          </cell>
          <cell r="ADM2" t="str">
            <v/>
          </cell>
          <cell r="ADN2" t="str">
            <v/>
          </cell>
          <cell r="ADO2" t="str">
            <v/>
          </cell>
          <cell r="ADP2" t="str">
            <v/>
          </cell>
          <cell r="ADQ2" t="str">
            <v/>
          </cell>
          <cell r="ADR2" t="str">
            <v/>
          </cell>
          <cell r="ADS2" t="str">
            <v/>
          </cell>
          <cell r="ADT2" t="str">
            <v/>
          </cell>
          <cell r="ADU2" t="str">
            <v/>
          </cell>
          <cell r="ADV2" t="str">
            <v/>
          </cell>
          <cell r="ADW2" t="str">
            <v/>
          </cell>
          <cell r="ADX2" t="str">
            <v/>
          </cell>
          <cell r="ADY2" t="str">
            <v/>
          </cell>
          <cell r="ADZ2" t="str">
            <v/>
          </cell>
          <cell r="AEA2" t="str">
            <v/>
          </cell>
          <cell r="AEB2" t="str">
            <v/>
          </cell>
          <cell r="AEC2" t="str">
            <v/>
          </cell>
          <cell r="AED2" t="str">
            <v/>
          </cell>
          <cell r="AEE2" t="str">
            <v/>
          </cell>
          <cell r="AEF2" t="str">
            <v/>
          </cell>
          <cell r="AEG2" t="str">
            <v/>
          </cell>
          <cell r="AEH2" t="str">
            <v/>
          </cell>
          <cell r="AEI2" t="str">
            <v/>
          </cell>
          <cell r="AEJ2" t="str">
            <v/>
          </cell>
          <cell r="AEK2" t="str">
            <v/>
          </cell>
          <cell r="AEL2" t="str">
            <v/>
          </cell>
          <cell r="AEM2" t="str">
            <v/>
          </cell>
          <cell r="AEN2" t="str">
            <v/>
          </cell>
          <cell r="AEO2" t="str">
            <v/>
          </cell>
          <cell r="AEP2" t="str">
            <v/>
          </cell>
          <cell r="AEQ2" t="str">
            <v/>
          </cell>
          <cell r="AER2" t="str">
            <v/>
          </cell>
          <cell r="AES2" t="str">
            <v/>
          </cell>
          <cell r="AET2" t="str">
            <v/>
          </cell>
          <cell r="AEU2" t="str">
            <v/>
          </cell>
          <cell r="AEV2" t="str">
            <v/>
          </cell>
          <cell r="AEW2" t="str">
            <v/>
          </cell>
          <cell r="AEX2" t="str">
            <v/>
          </cell>
          <cell r="AEY2" t="str">
            <v/>
          </cell>
          <cell r="AEZ2" t="str">
            <v/>
          </cell>
          <cell r="AFA2" t="str">
            <v/>
          </cell>
          <cell r="AFB2" t="str">
            <v/>
          </cell>
          <cell r="AFC2" t="str">
            <v/>
          </cell>
          <cell r="AFD2" t="str">
            <v/>
          </cell>
          <cell r="AFE2" t="str">
            <v/>
          </cell>
          <cell r="AFF2" t="str">
            <v/>
          </cell>
          <cell r="AFG2" t="str">
            <v/>
          </cell>
          <cell r="AFH2" t="str">
            <v/>
          </cell>
          <cell r="AFI2" t="str">
            <v/>
          </cell>
          <cell r="AFJ2" t="str">
            <v/>
          </cell>
          <cell r="AFK2" t="str">
            <v/>
          </cell>
          <cell r="AFL2" t="str">
            <v/>
          </cell>
          <cell r="AFM2" t="str">
            <v/>
          </cell>
          <cell r="AFN2" t="str">
            <v/>
          </cell>
          <cell r="AFO2" t="str">
            <v/>
          </cell>
          <cell r="AFP2" t="str">
            <v/>
          </cell>
          <cell r="AFQ2" t="str">
            <v/>
          </cell>
          <cell r="AFR2" t="str">
            <v/>
          </cell>
          <cell r="AFS2" t="str">
            <v/>
          </cell>
          <cell r="AFT2" t="str">
            <v/>
          </cell>
          <cell r="AFU2" t="str">
            <v/>
          </cell>
          <cell r="AFV2" t="str">
            <v/>
          </cell>
          <cell r="AFW2" t="str">
            <v/>
          </cell>
          <cell r="AFX2" t="str">
            <v/>
          </cell>
          <cell r="AFY2" t="str">
            <v/>
          </cell>
          <cell r="AFZ2" t="str">
            <v/>
          </cell>
          <cell r="AGA2" t="str">
            <v/>
          </cell>
          <cell r="AGB2" t="str">
            <v/>
          </cell>
          <cell r="AGC2" t="str">
            <v/>
          </cell>
          <cell r="AGD2" t="str">
            <v/>
          </cell>
          <cell r="AGE2" t="str">
            <v/>
          </cell>
          <cell r="AGF2" t="str">
            <v/>
          </cell>
          <cell r="AGG2" t="str">
            <v/>
          </cell>
          <cell r="AGH2" t="str">
            <v/>
          </cell>
          <cell r="AGI2" t="str">
            <v/>
          </cell>
          <cell r="AGJ2" t="str">
            <v/>
          </cell>
          <cell r="AGK2" t="str">
            <v/>
          </cell>
          <cell r="AGL2" t="str">
            <v/>
          </cell>
          <cell r="AGM2" t="str">
            <v/>
          </cell>
          <cell r="AGN2" t="str">
            <v/>
          </cell>
          <cell r="AGO2" t="str">
            <v/>
          </cell>
          <cell r="AGP2" t="str">
            <v/>
          </cell>
          <cell r="AGQ2" t="str">
            <v/>
          </cell>
          <cell r="AGR2" t="str">
            <v/>
          </cell>
          <cell r="AGS2" t="str">
            <v/>
          </cell>
          <cell r="AGT2" t="str">
            <v/>
          </cell>
          <cell r="AGU2" t="str">
            <v/>
          </cell>
          <cell r="AGV2" t="str">
            <v/>
          </cell>
          <cell r="AGW2" t="str">
            <v/>
          </cell>
          <cell r="AGX2" t="str">
            <v/>
          </cell>
          <cell r="AGY2" t="str">
            <v/>
          </cell>
          <cell r="AGZ2" t="str">
            <v/>
          </cell>
          <cell r="AHA2" t="str">
            <v/>
          </cell>
          <cell r="AHB2" t="str">
            <v/>
          </cell>
          <cell r="AHC2" t="str">
            <v/>
          </cell>
          <cell r="AHD2" t="str">
            <v/>
          </cell>
          <cell r="AHE2" t="str">
            <v/>
          </cell>
          <cell r="AHF2" t="str">
            <v/>
          </cell>
          <cell r="AHG2" t="str">
            <v/>
          </cell>
          <cell r="AHH2" t="str">
            <v/>
          </cell>
          <cell r="AHI2" t="str">
            <v/>
          </cell>
          <cell r="AHJ2" t="str">
            <v/>
          </cell>
          <cell r="AHK2" t="str">
            <v/>
          </cell>
          <cell r="AHL2" t="str">
            <v/>
          </cell>
          <cell r="AHM2" t="str">
            <v/>
          </cell>
          <cell r="AHN2" t="str">
            <v/>
          </cell>
          <cell r="AHO2" t="str">
            <v/>
          </cell>
          <cell r="AHP2" t="str">
            <v/>
          </cell>
          <cell r="AHQ2" t="str">
            <v/>
          </cell>
          <cell r="AHR2" t="str">
            <v/>
          </cell>
          <cell r="AHS2" t="str">
            <v/>
          </cell>
          <cell r="AHT2" t="str">
            <v/>
          </cell>
          <cell r="AHU2" t="str">
            <v/>
          </cell>
          <cell r="AHV2" t="str">
            <v/>
          </cell>
          <cell r="AHW2" t="str">
            <v/>
          </cell>
          <cell r="AHX2" t="str">
            <v/>
          </cell>
          <cell r="AHY2" t="str">
            <v/>
          </cell>
          <cell r="AHZ2" t="str">
            <v/>
          </cell>
          <cell r="AIA2" t="str">
            <v/>
          </cell>
          <cell r="AIB2" t="str">
            <v/>
          </cell>
          <cell r="AIC2" t="str">
            <v/>
          </cell>
          <cell r="AID2" t="str">
            <v/>
          </cell>
          <cell r="AIE2" t="str">
            <v/>
          </cell>
          <cell r="AIF2" t="str">
            <v/>
          </cell>
          <cell r="AIG2" t="str">
            <v/>
          </cell>
          <cell r="AIH2" t="str">
            <v/>
          </cell>
          <cell r="AII2" t="str">
            <v/>
          </cell>
          <cell r="AIJ2" t="str">
            <v/>
          </cell>
          <cell r="AIK2" t="str">
            <v/>
          </cell>
          <cell r="AIL2" t="str">
            <v/>
          </cell>
          <cell r="AIM2" t="str">
            <v/>
          </cell>
          <cell r="AIN2" t="str">
            <v/>
          </cell>
          <cell r="AIO2" t="str">
            <v/>
          </cell>
          <cell r="AIP2" t="str">
            <v/>
          </cell>
          <cell r="AIQ2" t="str">
            <v/>
          </cell>
          <cell r="AIR2" t="str">
            <v/>
          </cell>
          <cell r="AIS2" t="str">
            <v/>
          </cell>
          <cell r="AIT2" t="str">
            <v/>
          </cell>
          <cell r="AIU2" t="str">
            <v/>
          </cell>
          <cell r="AIV2" t="str">
            <v/>
          </cell>
          <cell r="AIW2" t="str">
            <v/>
          </cell>
          <cell r="AIX2" t="str">
            <v/>
          </cell>
          <cell r="AIY2" t="str">
            <v/>
          </cell>
          <cell r="AIZ2" t="str">
            <v/>
          </cell>
          <cell r="AJA2" t="str">
            <v/>
          </cell>
          <cell r="AJB2" t="str">
            <v/>
          </cell>
          <cell r="AJC2" t="str">
            <v/>
          </cell>
          <cell r="AJD2" t="str">
            <v/>
          </cell>
          <cell r="AJE2" t="str">
            <v/>
          </cell>
          <cell r="AJF2" t="str">
            <v/>
          </cell>
          <cell r="AJG2" t="str">
            <v/>
          </cell>
          <cell r="AJH2" t="str">
            <v/>
          </cell>
          <cell r="AJI2" t="str">
            <v/>
          </cell>
          <cell r="AJJ2" t="str">
            <v/>
          </cell>
          <cell r="AJK2" t="str">
            <v/>
          </cell>
          <cell r="AJL2" t="str">
            <v/>
          </cell>
          <cell r="AJM2" t="str">
            <v/>
          </cell>
          <cell r="AJN2" t="str">
            <v/>
          </cell>
          <cell r="AJO2" t="str">
            <v/>
          </cell>
          <cell r="AJP2" t="str">
            <v/>
          </cell>
          <cell r="AJQ2" t="str">
            <v/>
          </cell>
          <cell r="AJR2" t="str">
            <v/>
          </cell>
          <cell r="AJS2" t="str">
            <v/>
          </cell>
          <cell r="AJT2" t="str">
            <v/>
          </cell>
          <cell r="AJU2" t="str">
            <v/>
          </cell>
          <cell r="AJV2" t="str">
            <v/>
          </cell>
          <cell r="AJW2" t="str">
            <v/>
          </cell>
          <cell r="AJX2" t="str">
            <v/>
          </cell>
          <cell r="AJY2" t="str">
            <v/>
          </cell>
          <cell r="AJZ2" t="str">
            <v/>
          </cell>
          <cell r="AKA2" t="str">
            <v/>
          </cell>
          <cell r="AKB2" t="str">
            <v/>
          </cell>
          <cell r="AKC2" t="str">
            <v/>
          </cell>
          <cell r="AKD2" t="str">
            <v/>
          </cell>
          <cell r="AKE2" t="str">
            <v/>
          </cell>
          <cell r="AKF2" t="str">
            <v/>
          </cell>
          <cell r="AKG2" t="str">
            <v/>
          </cell>
          <cell r="AKH2" t="str">
            <v/>
          </cell>
          <cell r="AKI2" t="str">
            <v/>
          </cell>
          <cell r="AKJ2" t="str">
            <v/>
          </cell>
          <cell r="AKK2" t="str">
            <v/>
          </cell>
          <cell r="AKL2" t="str">
            <v/>
          </cell>
          <cell r="AKM2" t="str">
            <v/>
          </cell>
          <cell r="AKN2" t="str">
            <v/>
          </cell>
          <cell r="AKO2" t="str">
            <v/>
          </cell>
          <cell r="AKP2" t="str">
            <v/>
          </cell>
          <cell r="AKQ2" t="str">
            <v/>
          </cell>
          <cell r="AKR2" t="str">
            <v/>
          </cell>
          <cell r="AKS2" t="str">
            <v/>
          </cell>
          <cell r="AKT2" t="str">
            <v/>
          </cell>
          <cell r="AKU2" t="str">
            <v/>
          </cell>
          <cell r="AKV2" t="str">
            <v/>
          </cell>
          <cell r="AKW2" t="str">
            <v/>
          </cell>
          <cell r="AKX2" t="str">
            <v/>
          </cell>
          <cell r="AKY2" t="str">
            <v/>
          </cell>
          <cell r="AKZ2" t="str">
            <v/>
          </cell>
          <cell r="ALA2" t="str">
            <v/>
          </cell>
          <cell r="ALB2" t="str">
            <v/>
          </cell>
          <cell r="ALC2" t="str">
            <v/>
          </cell>
          <cell r="ALD2" t="str">
            <v/>
          </cell>
          <cell r="ALE2" t="str">
            <v/>
          </cell>
          <cell r="ALF2" t="str">
            <v/>
          </cell>
          <cell r="ALG2" t="str">
            <v/>
          </cell>
          <cell r="ALH2" t="str">
            <v/>
          </cell>
          <cell r="ALI2" t="str">
            <v/>
          </cell>
          <cell r="ALJ2" t="str">
            <v/>
          </cell>
          <cell r="ALK2" t="str">
            <v/>
          </cell>
          <cell r="ALL2" t="str">
            <v/>
          </cell>
          <cell r="ALM2" t="str">
            <v/>
          </cell>
          <cell r="ALN2" t="str">
            <v/>
          </cell>
          <cell r="ALO2" t="str">
            <v/>
          </cell>
          <cell r="ALP2" t="str">
            <v/>
          </cell>
          <cell r="ALQ2" t="str">
            <v/>
          </cell>
          <cell r="ALR2" t="str">
            <v/>
          </cell>
          <cell r="ALS2" t="str">
            <v/>
          </cell>
          <cell r="ALT2" t="str">
            <v/>
          </cell>
          <cell r="ALU2" t="str">
            <v/>
          </cell>
          <cell r="ALV2" t="str">
            <v/>
          </cell>
          <cell r="ALW2" t="str">
            <v/>
          </cell>
          <cell r="ALX2" t="str">
            <v/>
          </cell>
          <cell r="ALY2" t="str">
            <v/>
          </cell>
          <cell r="ALZ2" t="str">
            <v/>
          </cell>
          <cell r="AMA2" t="str">
            <v/>
          </cell>
          <cell r="AMB2" t="str">
            <v/>
          </cell>
          <cell r="AMC2" t="str">
            <v/>
          </cell>
          <cell r="AMD2" t="str">
            <v/>
          </cell>
          <cell r="AME2" t="str">
            <v/>
          </cell>
          <cell r="AMF2" t="str">
            <v/>
          </cell>
          <cell r="AMG2" t="str">
            <v/>
          </cell>
          <cell r="AMH2" t="str">
            <v/>
          </cell>
          <cell r="AMI2" t="str">
            <v/>
          </cell>
          <cell r="AMJ2" t="str">
            <v/>
          </cell>
          <cell r="AMK2" t="str">
            <v/>
          </cell>
          <cell r="AML2" t="str">
            <v/>
          </cell>
          <cell r="AMM2" t="str">
            <v/>
          </cell>
          <cell r="AMN2" t="str">
            <v/>
          </cell>
          <cell r="AMO2" t="str">
            <v/>
          </cell>
          <cell r="AMP2" t="str">
            <v/>
          </cell>
          <cell r="AMQ2" t="str">
            <v/>
          </cell>
          <cell r="AMR2" t="str">
            <v/>
          </cell>
          <cell r="AMS2" t="str">
            <v/>
          </cell>
          <cell r="AMT2" t="str">
            <v/>
          </cell>
          <cell r="AMU2" t="str">
            <v/>
          </cell>
          <cell r="AMV2" t="str">
            <v/>
          </cell>
          <cell r="AMW2" t="str">
            <v/>
          </cell>
          <cell r="AMX2" t="str">
            <v/>
          </cell>
          <cell r="AMY2" t="str">
            <v/>
          </cell>
          <cell r="AMZ2" t="str">
            <v/>
          </cell>
          <cell r="ANA2" t="str">
            <v/>
          </cell>
          <cell r="ANB2" t="str">
            <v/>
          </cell>
          <cell r="ANC2" t="str">
            <v/>
          </cell>
          <cell r="AND2" t="str">
            <v/>
          </cell>
          <cell r="ANE2" t="str">
            <v/>
          </cell>
          <cell r="ANF2" t="str">
            <v/>
          </cell>
          <cell r="ANG2" t="str">
            <v/>
          </cell>
          <cell r="ANH2" t="str">
            <v/>
          </cell>
          <cell r="ANI2" t="str">
            <v/>
          </cell>
          <cell r="ANJ2" t="str">
            <v/>
          </cell>
          <cell r="ANK2" t="str">
            <v/>
          </cell>
          <cell r="ANL2" t="str">
            <v/>
          </cell>
          <cell r="ANM2" t="str">
            <v/>
          </cell>
          <cell r="ANN2" t="str">
            <v/>
          </cell>
          <cell r="ANO2" t="str">
            <v/>
          </cell>
          <cell r="ANP2" t="str">
            <v/>
          </cell>
          <cell r="ANQ2" t="str">
            <v/>
          </cell>
          <cell r="ANR2" t="str">
            <v/>
          </cell>
          <cell r="ANS2" t="str">
            <v/>
          </cell>
          <cell r="ANT2" t="str">
            <v/>
          </cell>
          <cell r="ANU2" t="str">
            <v/>
          </cell>
          <cell r="ANV2" t="str">
            <v/>
          </cell>
          <cell r="ANW2" t="str">
            <v/>
          </cell>
          <cell r="ANX2" t="str">
            <v/>
          </cell>
          <cell r="ANY2" t="str">
            <v/>
          </cell>
          <cell r="ANZ2" t="str">
            <v/>
          </cell>
          <cell r="AOA2" t="str">
            <v/>
          </cell>
          <cell r="AOB2" t="str">
            <v/>
          </cell>
          <cell r="AOC2" t="str">
            <v/>
          </cell>
          <cell r="AOD2" t="str">
            <v/>
          </cell>
          <cell r="AOE2" t="str">
            <v/>
          </cell>
          <cell r="AOF2" t="str">
            <v/>
          </cell>
          <cell r="AOG2" t="str">
            <v/>
          </cell>
          <cell r="AOH2" t="str">
            <v/>
          </cell>
          <cell r="AOI2" t="str">
            <v/>
          </cell>
          <cell r="AOJ2" t="str">
            <v/>
          </cell>
          <cell r="AOK2" t="str">
            <v/>
          </cell>
          <cell r="AOL2" t="str">
            <v/>
          </cell>
          <cell r="AOM2" t="str">
            <v/>
          </cell>
          <cell r="AON2" t="str">
            <v/>
          </cell>
          <cell r="AOO2" t="str">
            <v/>
          </cell>
          <cell r="AOP2" t="str">
            <v/>
          </cell>
          <cell r="AOQ2" t="str">
            <v/>
          </cell>
          <cell r="AOR2" t="str">
            <v/>
          </cell>
          <cell r="AOS2" t="str">
            <v/>
          </cell>
          <cell r="AOT2" t="str">
            <v/>
          </cell>
          <cell r="AOU2" t="str">
            <v/>
          </cell>
          <cell r="AOV2" t="str">
            <v/>
          </cell>
          <cell r="AOW2" t="str">
            <v/>
          </cell>
          <cell r="AOX2" t="str">
            <v/>
          </cell>
          <cell r="AOY2" t="str">
            <v/>
          </cell>
          <cell r="AOZ2" t="str">
            <v/>
          </cell>
          <cell r="APA2" t="str">
            <v/>
          </cell>
          <cell r="APB2" t="str">
            <v/>
          </cell>
          <cell r="APC2" t="str">
            <v/>
          </cell>
          <cell r="APD2" t="str">
            <v/>
          </cell>
          <cell r="APE2" t="str">
            <v/>
          </cell>
          <cell r="APF2" t="str">
            <v/>
          </cell>
          <cell r="APG2" t="str">
            <v/>
          </cell>
          <cell r="APH2" t="str">
            <v/>
          </cell>
          <cell r="API2" t="str">
            <v/>
          </cell>
          <cell r="APJ2" t="str">
            <v/>
          </cell>
          <cell r="APK2" t="str">
            <v/>
          </cell>
          <cell r="APL2" t="str">
            <v/>
          </cell>
          <cell r="APM2" t="str">
            <v/>
          </cell>
          <cell r="APN2" t="str">
            <v/>
          </cell>
          <cell r="APO2" t="str">
            <v/>
          </cell>
          <cell r="APP2" t="str">
            <v/>
          </cell>
          <cell r="APQ2" t="str">
            <v/>
          </cell>
          <cell r="APR2" t="str">
            <v/>
          </cell>
          <cell r="APS2" t="str">
            <v/>
          </cell>
          <cell r="APT2" t="str">
            <v/>
          </cell>
          <cell r="APU2" t="str">
            <v/>
          </cell>
          <cell r="APV2" t="str">
            <v/>
          </cell>
          <cell r="APW2" t="str">
            <v/>
          </cell>
          <cell r="APX2" t="str">
            <v/>
          </cell>
          <cell r="APY2" t="str">
            <v/>
          </cell>
          <cell r="APZ2" t="str">
            <v/>
          </cell>
          <cell r="AQA2" t="str">
            <v/>
          </cell>
          <cell r="AQB2" t="str">
            <v/>
          </cell>
          <cell r="AQC2" t="str">
            <v/>
          </cell>
          <cell r="AQD2" t="str">
            <v/>
          </cell>
          <cell r="AQE2" t="str">
            <v/>
          </cell>
          <cell r="AQF2" t="str">
            <v/>
          </cell>
          <cell r="AQG2" t="str">
            <v/>
          </cell>
          <cell r="AQH2" t="str">
            <v/>
          </cell>
          <cell r="AQI2" t="str">
            <v/>
          </cell>
          <cell r="AQJ2" t="str">
            <v/>
          </cell>
          <cell r="AQK2" t="str">
            <v/>
          </cell>
          <cell r="AQL2" t="str">
            <v/>
          </cell>
          <cell r="AQM2" t="str">
            <v/>
          </cell>
          <cell r="AQN2" t="str">
            <v/>
          </cell>
          <cell r="AQO2" t="str">
            <v/>
          </cell>
          <cell r="AQP2" t="str">
            <v/>
          </cell>
          <cell r="AQQ2" t="str">
            <v/>
          </cell>
          <cell r="AQR2" t="str">
            <v/>
          </cell>
          <cell r="AQS2" t="str">
            <v/>
          </cell>
          <cell r="AQT2" t="str">
            <v/>
          </cell>
          <cell r="AQU2" t="str">
            <v/>
          </cell>
          <cell r="AQV2" t="str">
            <v/>
          </cell>
          <cell r="AQW2" t="str">
            <v/>
          </cell>
          <cell r="AQX2" t="str">
            <v/>
          </cell>
          <cell r="AQY2" t="str">
            <v/>
          </cell>
          <cell r="AQZ2" t="str">
            <v/>
          </cell>
          <cell r="ARA2" t="str">
            <v/>
          </cell>
          <cell r="ARB2" t="str">
            <v/>
          </cell>
          <cell r="ARC2" t="str">
            <v/>
          </cell>
          <cell r="ARD2" t="str">
            <v/>
          </cell>
          <cell r="ARE2" t="str">
            <v/>
          </cell>
          <cell r="ARF2" t="str">
            <v/>
          </cell>
          <cell r="ARG2" t="str">
            <v/>
          </cell>
          <cell r="ARH2" t="str">
            <v/>
          </cell>
          <cell r="ARI2" t="str">
            <v/>
          </cell>
          <cell r="ARJ2" t="str">
            <v/>
          </cell>
          <cell r="ARK2" t="str">
            <v/>
          </cell>
          <cell r="ARL2" t="str">
            <v/>
          </cell>
          <cell r="ARM2" t="str">
            <v/>
          </cell>
          <cell r="ARN2" t="str">
            <v/>
          </cell>
          <cell r="ARO2" t="str">
            <v/>
          </cell>
          <cell r="ARP2" t="str">
            <v/>
          </cell>
          <cell r="ARQ2" t="str">
            <v/>
          </cell>
          <cell r="ARR2" t="str">
            <v/>
          </cell>
          <cell r="ARS2" t="str">
            <v/>
          </cell>
          <cell r="ART2" t="str">
            <v/>
          </cell>
          <cell r="ARU2" t="str">
            <v/>
          </cell>
          <cell r="ARV2" t="str">
            <v/>
          </cell>
          <cell r="ARW2" t="str">
            <v/>
          </cell>
          <cell r="ARX2" t="str">
            <v/>
          </cell>
          <cell r="ARY2" t="str">
            <v/>
          </cell>
          <cell r="ARZ2" t="str">
            <v/>
          </cell>
          <cell r="ASA2" t="str">
            <v/>
          </cell>
          <cell r="ASB2" t="str">
            <v/>
          </cell>
          <cell r="ASC2" t="str">
            <v/>
          </cell>
          <cell r="ASD2" t="str">
            <v/>
          </cell>
          <cell r="ASE2" t="str">
            <v/>
          </cell>
          <cell r="ASF2" t="str">
            <v/>
          </cell>
          <cell r="ASG2" t="str">
            <v/>
          </cell>
          <cell r="ASH2" t="str">
            <v/>
          </cell>
          <cell r="ASI2" t="str">
            <v/>
          </cell>
          <cell r="ASJ2" t="str">
            <v/>
          </cell>
          <cell r="ASK2" t="str">
            <v/>
          </cell>
          <cell r="ASL2" t="str">
            <v/>
          </cell>
          <cell r="ASM2" t="str">
            <v/>
          </cell>
          <cell r="ASN2" t="str">
            <v/>
          </cell>
          <cell r="ASO2" t="str">
            <v/>
          </cell>
          <cell r="ASP2" t="str">
            <v/>
          </cell>
          <cell r="ASQ2" t="str">
            <v/>
          </cell>
          <cell r="ASR2" t="str">
            <v/>
          </cell>
          <cell r="ASS2" t="str">
            <v/>
          </cell>
          <cell r="AST2" t="str">
            <v/>
          </cell>
          <cell r="ASU2" t="str">
            <v/>
          </cell>
          <cell r="ASV2" t="str">
            <v/>
          </cell>
          <cell r="ASW2" t="str">
            <v/>
          </cell>
          <cell r="ASX2" t="str">
            <v/>
          </cell>
          <cell r="ASY2" t="str">
            <v/>
          </cell>
          <cell r="ASZ2" t="str">
            <v/>
          </cell>
          <cell r="ATA2" t="str">
            <v/>
          </cell>
          <cell r="ATB2" t="str">
            <v/>
          </cell>
          <cell r="ATC2" t="str">
            <v/>
          </cell>
          <cell r="ATD2" t="str">
            <v/>
          </cell>
          <cell r="ATE2" t="str">
            <v/>
          </cell>
          <cell r="ATF2" t="str">
            <v/>
          </cell>
          <cell r="ATG2" t="str">
            <v/>
          </cell>
          <cell r="ATH2" t="str">
            <v/>
          </cell>
          <cell r="ATI2" t="str">
            <v/>
          </cell>
          <cell r="ATJ2" t="str">
            <v/>
          </cell>
          <cell r="ATK2" t="str">
            <v/>
          </cell>
          <cell r="ATL2" t="str">
            <v/>
          </cell>
          <cell r="ATM2" t="str">
            <v/>
          </cell>
          <cell r="ATN2" t="str">
            <v/>
          </cell>
          <cell r="ATO2" t="str">
            <v/>
          </cell>
          <cell r="ATP2" t="str">
            <v/>
          </cell>
          <cell r="ATQ2" t="str">
            <v/>
          </cell>
          <cell r="ATR2" t="str">
            <v/>
          </cell>
          <cell r="ATS2" t="str">
            <v/>
          </cell>
          <cell r="ATT2" t="str">
            <v/>
          </cell>
          <cell r="ATU2" t="str">
            <v/>
          </cell>
          <cell r="ATV2" t="str">
            <v/>
          </cell>
          <cell r="ATW2" t="str">
            <v/>
          </cell>
          <cell r="ATX2" t="str">
            <v/>
          </cell>
          <cell r="ATY2" t="str">
            <v/>
          </cell>
          <cell r="ATZ2" t="str">
            <v/>
          </cell>
          <cell r="AUA2" t="str">
            <v/>
          </cell>
          <cell r="AUB2" t="str">
            <v/>
          </cell>
          <cell r="AUC2" t="str">
            <v/>
          </cell>
          <cell r="AUD2" t="str">
            <v/>
          </cell>
          <cell r="AUE2" t="str">
            <v/>
          </cell>
          <cell r="AUF2" t="str">
            <v/>
          </cell>
          <cell r="AUG2" t="str">
            <v/>
          </cell>
          <cell r="AUH2" t="str">
            <v/>
          </cell>
          <cell r="AUI2" t="str">
            <v/>
          </cell>
          <cell r="AUJ2" t="str">
            <v/>
          </cell>
          <cell r="AUK2" t="str">
            <v/>
          </cell>
          <cell r="AUL2" t="str">
            <v/>
          </cell>
          <cell r="AUM2" t="str">
            <v/>
          </cell>
          <cell r="AUN2" t="str">
            <v/>
          </cell>
          <cell r="AUO2" t="str">
            <v/>
          </cell>
          <cell r="AUP2" t="str">
            <v/>
          </cell>
          <cell r="AUQ2" t="str">
            <v/>
          </cell>
          <cell r="AUR2" t="str">
            <v/>
          </cell>
          <cell r="AUS2" t="str">
            <v/>
          </cell>
          <cell r="AUT2" t="str">
            <v/>
          </cell>
          <cell r="AUU2" t="str">
            <v/>
          </cell>
          <cell r="AUV2" t="str">
            <v/>
          </cell>
          <cell r="AUW2" t="str">
            <v/>
          </cell>
          <cell r="AUX2" t="str">
            <v/>
          </cell>
          <cell r="AUY2" t="str">
            <v/>
          </cell>
          <cell r="AUZ2" t="str">
            <v/>
          </cell>
          <cell r="AVA2" t="str">
            <v/>
          </cell>
          <cell r="AVB2" t="str">
            <v/>
          </cell>
          <cell r="AVC2" t="str">
            <v/>
          </cell>
          <cell r="AVD2" t="str">
            <v/>
          </cell>
          <cell r="AVE2" t="str">
            <v/>
          </cell>
          <cell r="AVF2" t="str">
            <v/>
          </cell>
          <cell r="AVG2" t="str">
            <v/>
          </cell>
          <cell r="AVH2" t="str">
            <v/>
          </cell>
          <cell r="AVI2" t="str">
            <v/>
          </cell>
          <cell r="AVJ2" t="str">
            <v/>
          </cell>
          <cell r="AVK2" t="str">
            <v/>
          </cell>
          <cell r="AVL2" t="str">
            <v/>
          </cell>
          <cell r="AVM2" t="str">
            <v/>
          </cell>
          <cell r="AVN2" t="str">
            <v/>
          </cell>
          <cell r="AVO2" t="str">
            <v/>
          </cell>
          <cell r="AVP2" t="str">
            <v/>
          </cell>
          <cell r="AVQ2" t="str">
            <v/>
          </cell>
          <cell r="AVR2" t="str">
            <v/>
          </cell>
          <cell r="AVS2" t="str">
            <v/>
          </cell>
          <cell r="AVT2" t="str">
            <v/>
          </cell>
          <cell r="AVU2" t="str">
            <v/>
          </cell>
          <cell r="AVV2" t="str">
            <v/>
          </cell>
          <cell r="AVW2" t="str">
            <v/>
          </cell>
          <cell r="AVX2" t="str">
            <v/>
          </cell>
          <cell r="AVY2" t="str">
            <v/>
          </cell>
          <cell r="AVZ2" t="str">
            <v/>
          </cell>
          <cell r="AWA2" t="str">
            <v/>
          </cell>
          <cell r="AWB2" t="str">
            <v/>
          </cell>
          <cell r="AWC2" t="str">
            <v/>
          </cell>
          <cell r="AWD2" t="str">
            <v/>
          </cell>
          <cell r="AWE2" t="str">
            <v/>
          </cell>
          <cell r="AWF2" t="str">
            <v/>
          </cell>
          <cell r="AWG2" t="str">
            <v/>
          </cell>
          <cell r="AWH2" t="str">
            <v/>
          </cell>
          <cell r="AWI2" t="str">
            <v/>
          </cell>
          <cell r="AWJ2" t="str">
            <v/>
          </cell>
          <cell r="AWK2" t="str">
            <v/>
          </cell>
          <cell r="AWL2" t="str">
            <v/>
          </cell>
          <cell r="AWM2" t="str">
            <v/>
          </cell>
          <cell r="AWN2" t="str">
            <v/>
          </cell>
          <cell r="AWO2" t="str">
            <v/>
          </cell>
          <cell r="AWP2" t="str">
            <v/>
          </cell>
          <cell r="AWQ2" t="str">
            <v/>
          </cell>
          <cell r="AWR2" t="str">
            <v/>
          </cell>
          <cell r="AWS2" t="str">
            <v/>
          </cell>
          <cell r="AWT2" t="str">
            <v/>
          </cell>
          <cell r="AWU2" t="str">
            <v/>
          </cell>
          <cell r="AWV2" t="str">
            <v/>
          </cell>
          <cell r="AWW2" t="str">
            <v/>
          </cell>
          <cell r="AWX2" t="str">
            <v/>
          </cell>
          <cell r="AWY2" t="str">
            <v/>
          </cell>
          <cell r="AWZ2" t="str">
            <v/>
          </cell>
          <cell r="AXA2" t="str">
            <v/>
          </cell>
          <cell r="AXB2" t="str">
            <v/>
          </cell>
          <cell r="AXC2" t="str">
            <v/>
          </cell>
          <cell r="AXD2" t="str">
            <v/>
          </cell>
          <cell r="AXE2" t="str">
            <v/>
          </cell>
          <cell r="AXF2" t="str">
            <v/>
          </cell>
          <cell r="AXG2" t="str">
            <v/>
          </cell>
          <cell r="AXH2" t="str">
            <v/>
          </cell>
          <cell r="AXI2" t="str">
            <v/>
          </cell>
          <cell r="AXJ2" t="str">
            <v/>
          </cell>
          <cell r="AXK2" t="str">
            <v/>
          </cell>
          <cell r="AXL2" t="str">
            <v/>
          </cell>
          <cell r="AXM2" t="str">
            <v/>
          </cell>
          <cell r="AXN2" t="str">
            <v/>
          </cell>
          <cell r="AXO2" t="str">
            <v/>
          </cell>
          <cell r="AXP2" t="str">
            <v/>
          </cell>
          <cell r="AXQ2" t="str">
            <v/>
          </cell>
          <cell r="AXR2" t="str">
            <v/>
          </cell>
          <cell r="AXS2" t="str">
            <v/>
          </cell>
          <cell r="AXT2" t="str">
            <v/>
          </cell>
          <cell r="AXU2" t="str">
            <v/>
          </cell>
          <cell r="AXV2" t="str">
            <v/>
          </cell>
          <cell r="AXW2" t="str">
            <v/>
          </cell>
          <cell r="AXX2" t="str">
            <v/>
          </cell>
          <cell r="AXY2" t="str">
            <v/>
          </cell>
          <cell r="AXZ2" t="str">
            <v/>
          </cell>
          <cell r="AYA2" t="str">
            <v/>
          </cell>
          <cell r="AYB2" t="str">
            <v/>
          </cell>
          <cell r="AYC2" t="str">
            <v/>
          </cell>
          <cell r="AYD2" t="str">
            <v/>
          </cell>
          <cell r="AYE2" t="str">
            <v/>
          </cell>
          <cell r="AYF2" t="str">
            <v/>
          </cell>
          <cell r="AYG2" t="str">
            <v/>
          </cell>
          <cell r="AYH2" t="str">
            <v/>
          </cell>
          <cell r="AYI2" t="str">
            <v/>
          </cell>
          <cell r="AYJ2" t="str">
            <v/>
          </cell>
          <cell r="AYK2" t="str">
            <v/>
          </cell>
          <cell r="AYL2" t="str">
            <v/>
          </cell>
          <cell r="AYM2" t="str">
            <v/>
          </cell>
          <cell r="AYN2" t="str">
            <v/>
          </cell>
          <cell r="AYO2" t="str">
            <v/>
          </cell>
          <cell r="AYP2" t="str">
            <v/>
          </cell>
          <cell r="AYQ2" t="str">
            <v/>
          </cell>
          <cell r="AYR2" t="str">
            <v/>
          </cell>
          <cell r="AYS2" t="str">
            <v/>
          </cell>
          <cell r="AYT2" t="str">
            <v/>
          </cell>
          <cell r="AYU2" t="str">
            <v/>
          </cell>
          <cell r="AYV2" t="str">
            <v/>
          </cell>
          <cell r="AYW2" t="str">
            <v/>
          </cell>
          <cell r="AYX2" t="str">
            <v/>
          </cell>
          <cell r="AYY2" t="str">
            <v/>
          </cell>
          <cell r="AYZ2" t="str">
            <v/>
          </cell>
          <cell r="AZA2" t="str">
            <v/>
          </cell>
          <cell r="AZB2" t="str">
            <v/>
          </cell>
          <cell r="AZC2" t="str">
            <v/>
          </cell>
          <cell r="AZD2" t="str">
            <v/>
          </cell>
          <cell r="AZE2" t="str">
            <v/>
          </cell>
          <cell r="AZF2" t="str">
            <v/>
          </cell>
          <cell r="AZG2" t="str">
            <v/>
          </cell>
          <cell r="AZH2" t="str">
            <v/>
          </cell>
          <cell r="AZI2" t="str">
            <v/>
          </cell>
          <cell r="AZJ2" t="str">
            <v/>
          </cell>
          <cell r="AZK2" t="str">
            <v/>
          </cell>
          <cell r="AZL2" t="str">
            <v/>
          </cell>
          <cell r="AZM2" t="str">
            <v/>
          </cell>
          <cell r="AZN2" t="str">
            <v/>
          </cell>
          <cell r="AZO2" t="str">
            <v/>
          </cell>
          <cell r="AZP2" t="str">
            <v/>
          </cell>
          <cell r="AZQ2" t="str">
            <v/>
          </cell>
          <cell r="AZR2" t="str">
            <v/>
          </cell>
          <cell r="AZS2" t="str">
            <v/>
          </cell>
          <cell r="AZT2" t="str">
            <v/>
          </cell>
          <cell r="AZU2" t="str">
            <v/>
          </cell>
          <cell r="AZV2" t="str">
            <v/>
          </cell>
          <cell r="AZW2" t="str">
            <v/>
          </cell>
          <cell r="AZX2" t="str">
            <v/>
          </cell>
          <cell r="AZY2" t="str">
            <v/>
          </cell>
          <cell r="AZZ2" t="str">
            <v/>
          </cell>
          <cell r="BAA2" t="str">
            <v/>
          </cell>
          <cell r="BAB2" t="str">
            <v/>
          </cell>
          <cell r="BAC2" t="str">
            <v/>
          </cell>
          <cell r="BAD2" t="str">
            <v/>
          </cell>
          <cell r="BAE2" t="str">
            <v/>
          </cell>
          <cell r="BAF2" t="str">
            <v/>
          </cell>
          <cell r="BAG2" t="str">
            <v/>
          </cell>
          <cell r="BAH2" t="str">
            <v/>
          </cell>
          <cell r="BAI2" t="str">
            <v/>
          </cell>
          <cell r="BAJ2" t="str">
            <v/>
          </cell>
          <cell r="BAK2" t="str">
            <v/>
          </cell>
          <cell r="BAL2" t="str">
            <v/>
          </cell>
          <cell r="BAM2" t="str">
            <v/>
          </cell>
          <cell r="BAN2" t="str">
            <v/>
          </cell>
          <cell r="BAO2" t="str">
            <v/>
          </cell>
          <cell r="BAP2" t="str">
            <v/>
          </cell>
          <cell r="BAQ2" t="str">
            <v/>
          </cell>
          <cell r="BAR2" t="str">
            <v/>
          </cell>
          <cell r="BAS2" t="str">
            <v/>
          </cell>
          <cell r="BAT2" t="str">
            <v/>
          </cell>
          <cell r="BAU2" t="str">
            <v/>
          </cell>
          <cell r="BAV2" t="str">
            <v/>
          </cell>
          <cell r="BAW2" t="str">
            <v/>
          </cell>
          <cell r="BAX2" t="str">
            <v/>
          </cell>
          <cell r="BAY2" t="str">
            <v/>
          </cell>
          <cell r="BAZ2" t="str">
            <v/>
          </cell>
          <cell r="BBA2" t="str">
            <v/>
          </cell>
          <cell r="BBB2" t="str">
            <v/>
          </cell>
          <cell r="BBC2" t="str">
            <v/>
          </cell>
          <cell r="BBD2" t="str">
            <v/>
          </cell>
          <cell r="BBE2" t="str">
            <v/>
          </cell>
          <cell r="BBF2" t="str">
            <v/>
          </cell>
          <cell r="BBG2" t="str">
            <v/>
          </cell>
          <cell r="BBH2" t="str">
            <v/>
          </cell>
          <cell r="BBI2" t="str">
            <v/>
          </cell>
          <cell r="BBJ2" t="str">
            <v/>
          </cell>
          <cell r="BBK2" t="str">
            <v/>
          </cell>
          <cell r="BBL2" t="str">
            <v/>
          </cell>
          <cell r="BBM2" t="str">
            <v/>
          </cell>
          <cell r="BBN2" t="str">
            <v/>
          </cell>
          <cell r="BBO2" t="str">
            <v/>
          </cell>
          <cell r="BBP2" t="str">
            <v/>
          </cell>
          <cell r="BBQ2" t="str">
            <v/>
          </cell>
          <cell r="BBR2" t="str">
            <v/>
          </cell>
          <cell r="BBS2" t="str">
            <v/>
          </cell>
          <cell r="BBT2" t="str">
            <v/>
          </cell>
          <cell r="BBU2" t="str">
            <v/>
          </cell>
          <cell r="BBV2" t="str">
            <v/>
          </cell>
          <cell r="BBW2" t="str">
            <v/>
          </cell>
          <cell r="BBX2" t="str">
            <v/>
          </cell>
          <cell r="BBY2" t="str">
            <v/>
          </cell>
          <cell r="BBZ2" t="str">
            <v/>
          </cell>
          <cell r="BCA2" t="str">
            <v/>
          </cell>
          <cell r="BCB2" t="str">
            <v/>
          </cell>
          <cell r="BCC2" t="str">
            <v/>
          </cell>
          <cell r="BCD2" t="str">
            <v/>
          </cell>
          <cell r="BCE2" t="str">
            <v/>
          </cell>
          <cell r="BCF2" t="str">
            <v/>
          </cell>
          <cell r="BCG2" t="str">
            <v/>
          </cell>
          <cell r="BCH2" t="str">
            <v/>
          </cell>
          <cell r="BCI2" t="str">
            <v/>
          </cell>
          <cell r="BCJ2" t="str">
            <v/>
          </cell>
          <cell r="BCK2" t="str">
            <v/>
          </cell>
          <cell r="BCL2" t="str">
            <v/>
          </cell>
          <cell r="BCM2" t="str">
            <v/>
          </cell>
          <cell r="BCN2" t="str">
            <v/>
          </cell>
          <cell r="BCO2" t="str">
            <v/>
          </cell>
          <cell r="BCP2" t="str">
            <v/>
          </cell>
          <cell r="BCQ2" t="str">
            <v/>
          </cell>
          <cell r="BCR2" t="str">
            <v/>
          </cell>
          <cell r="BCS2" t="str">
            <v/>
          </cell>
          <cell r="BCT2" t="str">
            <v/>
          </cell>
          <cell r="BCU2" t="str">
            <v/>
          </cell>
          <cell r="BCV2" t="str">
            <v/>
          </cell>
          <cell r="BCW2" t="str">
            <v/>
          </cell>
          <cell r="BCX2" t="str">
            <v/>
          </cell>
          <cell r="BCY2" t="str">
            <v/>
          </cell>
          <cell r="BCZ2" t="str">
            <v/>
          </cell>
          <cell r="BDA2" t="str">
            <v/>
          </cell>
          <cell r="BDB2" t="str">
            <v/>
          </cell>
          <cell r="BDC2" t="str">
            <v/>
          </cell>
          <cell r="BDD2" t="str">
            <v/>
          </cell>
          <cell r="BDE2" t="str">
            <v/>
          </cell>
          <cell r="BDF2" t="str">
            <v/>
          </cell>
          <cell r="BDG2" t="str">
            <v/>
          </cell>
          <cell r="BDH2" t="str">
            <v/>
          </cell>
          <cell r="BDI2" t="str">
            <v/>
          </cell>
          <cell r="BDJ2" t="str">
            <v/>
          </cell>
          <cell r="BDK2" t="str">
            <v/>
          </cell>
          <cell r="BDL2" t="str">
            <v/>
          </cell>
          <cell r="BDM2" t="str">
            <v/>
          </cell>
          <cell r="BDN2" t="str">
            <v/>
          </cell>
          <cell r="BDO2" t="str">
            <v/>
          </cell>
          <cell r="BDP2" t="str">
            <v/>
          </cell>
          <cell r="BDQ2" t="str">
            <v/>
          </cell>
          <cell r="BDR2" t="str">
            <v/>
          </cell>
          <cell r="BDS2" t="str">
            <v/>
          </cell>
          <cell r="BDT2" t="str">
            <v/>
          </cell>
          <cell r="BDU2" t="str">
            <v/>
          </cell>
          <cell r="BDV2" t="str">
            <v/>
          </cell>
          <cell r="BDW2" t="str">
            <v/>
          </cell>
          <cell r="BDX2" t="str">
            <v/>
          </cell>
          <cell r="BDY2" t="str">
            <v/>
          </cell>
          <cell r="BDZ2" t="str">
            <v/>
          </cell>
          <cell r="BEA2" t="str">
            <v/>
          </cell>
          <cell r="BEB2" t="str">
            <v/>
          </cell>
          <cell r="BEC2" t="str">
            <v/>
          </cell>
          <cell r="BED2" t="str">
            <v/>
          </cell>
          <cell r="BEE2" t="str">
            <v/>
          </cell>
          <cell r="BEF2" t="str">
            <v/>
          </cell>
          <cell r="BEG2" t="str">
            <v/>
          </cell>
          <cell r="BEH2" t="str">
            <v/>
          </cell>
          <cell r="BEI2" t="str">
            <v/>
          </cell>
          <cell r="BEJ2" t="str">
            <v/>
          </cell>
          <cell r="BEK2" t="str">
            <v/>
          </cell>
          <cell r="BEL2" t="str">
            <v/>
          </cell>
          <cell r="BEM2" t="str">
            <v/>
          </cell>
          <cell r="BEN2" t="str">
            <v/>
          </cell>
          <cell r="BEO2" t="str">
            <v/>
          </cell>
          <cell r="BEP2" t="str">
            <v/>
          </cell>
          <cell r="BEQ2" t="str">
            <v/>
          </cell>
          <cell r="BER2" t="str">
            <v/>
          </cell>
          <cell r="BES2" t="str">
            <v/>
          </cell>
          <cell r="BET2" t="str">
            <v/>
          </cell>
          <cell r="BEU2" t="str">
            <v/>
          </cell>
          <cell r="BEV2" t="str">
            <v/>
          </cell>
          <cell r="BEW2" t="str">
            <v/>
          </cell>
          <cell r="BEX2" t="str">
            <v/>
          </cell>
          <cell r="BEY2" t="str">
            <v/>
          </cell>
          <cell r="BEZ2" t="str">
            <v/>
          </cell>
          <cell r="BFA2" t="str">
            <v/>
          </cell>
          <cell r="BFB2" t="str">
            <v/>
          </cell>
          <cell r="BFC2" t="str">
            <v/>
          </cell>
          <cell r="BFD2" t="str">
            <v/>
          </cell>
          <cell r="BFE2" t="str">
            <v/>
          </cell>
          <cell r="BFF2" t="str">
            <v/>
          </cell>
          <cell r="BFG2" t="str">
            <v/>
          </cell>
          <cell r="BFH2" t="str">
            <v/>
          </cell>
          <cell r="BFI2" t="str">
            <v/>
          </cell>
          <cell r="BFJ2" t="str">
            <v/>
          </cell>
          <cell r="BFK2" t="str">
            <v/>
          </cell>
          <cell r="BFL2" t="str">
            <v/>
          </cell>
          <cell r="BFM2" t="str">
            <v/>
          </cell>
          <cell r="BFN2" t="str">
            <v/>
          </cell>
          <cell r="BFO2" t="str">
            <v/>
          </cell>
          <cell r="BFP2" t="str">
            <v/>
          </cell>
          <cell r="BFQ2" t="str">
            <v/>
          </cell>
          <cell r="BFR2" t="str">
            <v/>
          </cell>
          <cell r="BFS2" t="str">
            <v/>
          </cell>
          <cell r="BFT2" t="str">
            <v/>
          </cell>
          <cell r="BFU2" t="str">
            <v/>
          </cell>
          <cell r="BFV2" t="str">
            <v/>
          </cell>
          <cell r="BFW2" t="str">
            <v/>
          </cell>
          <cell r="BFX2" t="str">
            <v/>
          </cell>
          <cell r="BFY2" t="str">
            <v/>
          </cell>
          <cell r="BFZ2" t="str">
            <v/>
          </cell>
          <cell r="BGA2" t="str">
            <v/>
          </cell>
          <cell r="BGB2" t="str">
            <v/>
          </cell>
          <cell r="BGC2" t="str">
            <v/>
          </cell>
          <cell r="BGD2" t="str">
            <v/>
          </cell>
          <cell r="BGE2" t="str">
            <v/>
          </cell>
          <cell r="BGF2" t="str">
            <v/>
          </cell>
          <cell r="BGG2" t="str">
            <v/>
          </cell>
          <cell r="BGH2" t="str">
            <v/>
          </cell>
          <cell r="BGI2" t="str">
            <v/>
          </cell>
          <cell r="BGJ2" t="str">
            <v/>
          </cell>
          <cell r="BGK2" t="str">
            <v/>
          </cell>
          <cell r="BGL2" t="str">
            <v/>
          </cell>
          <cell r="BGM2" t="str">
            <v/>
          </cell>
          <cell r="BGN2" t="str">
            <v/>
          </cell>
          <cell r="BGO2" t="str">
            <v/>
          </cell>
          <cell r="BGP2" t="str">
            <v/>
          </cell>
          <cell r="BGQ2" t="str">
            <v/>
          </cell>
          <cell r="BGR2" t="str">
            <v/>
          </cell>
          <cell r="BGS2" t="str">
            <v/>
          </cell>
          <cell r="BGT2" t="str">
            <v/>
          </cell>
          <cell r="BGU2" t="str">
            <v/>
          </cell>
          <cell r="BGV2" t="str">
            <v/>
          </cell>
          <cell r="BGW2" t="str">
            <v/>
          </cell>
          <cell r="BGX2" t="str">
            <v/>
          </cell>
          <cell r="BGY2" t="str">
            <v/>
          </cell>
          <cell r="BGZ2" t="str">
            <v/>
          </cell>
          <cell r="BHA2" t="str">
            <v/>
          </cell>
          <cell r="BHB2" t="str">
            <v/>
          </cell>
          <cell r="BHC2" t="str">
            <v/>
          </cell>
          <cell r="BHD2" t="str">
            <v/>
          </cell>
          <cell r="BHE2" t="str">
            <v/>
          </cell>
          <cell r="BHF2" t="str">
            <v/>
          </cell>
          <cell r="BHG2" t="str">
            <v/>
          </cell>
          <cell r="BHH2" t="str">
            <v/>
          </cell>
          <cell r="BHI2" t="str">
            <v/>
          </cell>
          <cell r="BHJ2" t="str">
            <v/>
          </cell>
          <cell r="BHK2" t="str">
            <v/>
          </cell>
          <cell r="BHL2" t="str">
            <v/>
          </cell>
          <cell r="BHM2" t="str">
            <v/>
          </cell>
          <cell r="BHN2" t="str">
            <v/>
          </cell>
          <cell r="BHO2" t="str">
            <v/>
          </cell>
          <cell r="BHP2" t="str">
            <v/>
          </cell>
          <cell r="BHQ2" t="str">
            <v/>
          </cell>
          <cell r="BHR2" t="str">
            <v/>
          </cell>
          <cell r="BHS2" t="str">
            <v/>
          </cell>
          <cell r="BHT2" t="str">
            <v/>
          </cell>
          <cell r="BHU2" t="str">
            <v/>
          </cell>
          <cell r="BHV2" t="str">
            <v/>
          </cell>
          <cell r="BHW2" t="str">
            <v/>
          </cell>
          <cell r="BHX2" t="str">
            <v/>
          </cell>
          <cell r="BHY2" t="str">
            <v/>
          </cell>
          <cell r="BHZ2" t="str">
            <v/>
          </cell>
          <cell r="BIA2" t="str">
            <v/>
          </cell>
          <cell r="BIB2" t="str">
            <v/>
          </cell>
          <cell r="BIC2" t="str">
            <v/>
          </cell>
          <cell r="BID2" t="str">
            <v/>
          </cell>
          <cell r="BIE2" t="str">
            <v/>
          </cell>
          <cell r="BIF2" t="str">
            <v/>
          </cell>
          <cell r="BIG2" t="str">
            <v/>
          </cell>
          <cell r="BIH2" t="str">
            <v/>
          </cell>
          <cell r="BII2" t="str">
            <v/>
          </cell>
          <cell r="BIJ2" t="str">
            <v/>
          </cell>
          <cell r="BIK2" t="str">
            <v/>
          </cell>
          <cell r="BIL2" t="str">
            <v/>
          </cell>
          <cell r="BIM2" t="str">
            <v/>
          </cell>
          <cell r="BIN2" t="str">
            <v/>
          </cell>
          <cell r="BIO2" t="str">
            <v/>
          </cell>
          <cell r="BIP2" t="str">
            <v/>
          </cell>
          <cell r="BIQ2" t="str">
            <v/>
          </cell>
          <cell r="BIR2" t="str">
            <v/>
          </cell>
          <cell r="BIS2" t="str">
            <v/>
          </cell>
          <cell r="BIT2" t="str">
            <v/>
          </cell>
          <cell r="BIU2" t="str">
            <v/>
          </cell>
          <cell r="BIV2" t="str">
            <v/>
          </cell>
          <cell r="BIW2" t="str">
            <v/>
          </cell>
          <cell r="BIX2" t="str">
            <v/>
          </cell>
          <cell r="BIY2" t="str">
            <v/>
          </cell>
          <cell r="BIZ2" t="str">
            <v/>
          </cell>
          <cell r="BJA2" t="str">
            <v/>
          </cell>
          <cell r="BJB2" t="str">
            <v/>
          </cell>
          <cell r="BJC2" t="str">
            <v/>
          </cell>
          <cell r="BJD2" t="str">
            <v/>
          </cell>
          <cell r="BJE2" t="str">
            <v/>
          </cell>
          <cell r="BJF2" t="str">
            <v/>
          </cell>
          <cell r="BJG2" t="str">
            <v/>
          </cell>
          <cell r="BJH2" t="str">
            <v/>
          </cell>
          <cell r="BJI2" t="str">
            <v/>
          </cell>
          <cell r="BJJ2" t="str">
            <v/>
          </cell>
          <cell r="BJK2" t="str">
            <v/>
          </cell>
          <cell r="BJL2" t="str">
            <v/>
          </cell>
          <cell r="BJM2" t="str">
            <v/>
          </cell>
          <cell r="BJN2" t="str">
            <v/>
          </cell>
          <cell r="BJO2" t="str">
            <v/>
          </cell>
          <cell r="BJP2" t="str">
            <v/>
          </cell>
          <cell r="BJQ2" t="str">
            <v/>
          </cell>
          <cell r="BJR2" t="str">
            <v/>
          </cell>
          <cell r="BJS2" t="str">
            <v/>
          </cell>
          <cell r="BJT2" t="str">
            <v/>
          </cell>
          <cell r="BJU2" t="str">
            <v/>
          </cell>
          <cell r="BJV2" t="str">
            <v/>
          </cell>
          <cell r="BJW2" t="str">
            <v/>
          </cell>
          <cell r="BJX2" t="str">
            <v/>
          </cell>
          <cell r="BJY2" t="str">
            <v/>
          </cell>
          <cell r="BJZ2" t="str">
            <v/>
          </cell>
          <cell r="BKA2" t="str">
            <v/>
          </cell>
          <cell r="BKB2" t="str">
            <v/>
          </cell>
          <cell r="BKC2" t="str">
            <v/>
          </cell>
          <cell r="BKD2" t="str">
            <v/>
          </cell>
          <cell r="BKE2" t="str">
            <v/>
          </cell>
          <cell r="BKF2" t="str">
            <v/>
          </cell>
          <cell r="BKG2" t="str">
            <v/>
          </cell>
          <cell r="BKH2" t="str">
            <v/>
          </cell>
          <cell r="BKI2" t="str">
            <v/>
          </cell>
          <cell r="BKJ2" t="str">
            <v/>
          </cell>
          <cell r="BKK2" t="str">
            <v/>
          </cell>
          <cell r="BKL2" t="str">
            <v/>
          </cell>
          <cell r="BKM2" t="str">
            <v/>
          </cell>
          <cell r="BKN2" t="str">
            <v/>
          </cell>
          <cell r="BKO2" t="str">
            <v/>
          </cell>
          <cell r="BKP2" t="str">
            <v/>
          </cell>
          <cell r="BKQ2" t="str">
            <v/>
          </cell>
          <cell r="BKR2" t="str">
            <v/>
          </cell>
          <cell r="BKS2" t="str">
            <v/>
          </cell>
          <cell r="BKT2" t="str">
            <v/>
          </cell>
          <cell r="BKU2" t="str">
            <v/>
          </cell>
          <cell r="BKV2" t="str">
            <v/>
          </cell>
          <cell r="BKW2" t="str">
            <v/>
          </cell>
          <cell r="BKX2" t="str">
            <v/>
          </cell>
          <cell r="BKY2" t="str">
            <v/>
          </cell>
          <cell r="BKZ2" t="str">
            <v/>
          </cell>
          <cell r="BLA2" t="str">
            <v/>
          </cell>
          <cell r="BLB2" t="str">
            <v/>
          </cell>
          <cell r="BLC2" t="str">
            <v/>
          </cell>
          <cell r="BLD2" t="str">
            <v/>
          </cell>
          <cell r="BLE2" t="str">
            <v/>
          </cell>
          <cell r="BLF2" t="str">
            <v/>
          </cell>
          <cell r="BLG2" t="str">
            <v/>
          </cell>
          <cell r="BLH2" t="str">
            <v/>
          </cell>
          <cell r="BLI2" t="str">
            <v/>
          </cell>
          <cell r="BLJ2" t="str">
            <v/>
          </cell>
          <cell r="BLK2" t="str">
            <v/>
          </cell>
          <cell r="BLL2" t="str">
            <v/>
          </cell>
          <cell r="BLM2" t="str">
            <v/>
          </cell>
          <cell r="BLN2" t="str">
            <v/>
          </cell>
          <cell r="BLO2" t="str">
            <v/>
          </cell>
          <cell r="BLP2" t="str">
            <v/>
          </cell>
          <cell r="BLQ2" t="str">
            <v/>
          </cell>
          <cell r="BLR2" t="str">
            <v/>
          </cell>
          <cell r="BLS2" t="str">
            <v/>
          </cell>
          <cell r="BLT2" t="str">
            <v/>
          </cell>
          <cell r="BLU2" t="str">
            <v/>
          </cell>
          <cell r="BLV2" t="str">
            <v/>
          </cell>
          <cell r="BLW2" t="str">
            <v/>
          </cell>
          <cell r="BLX2" t="str">
            <v/>
          </cell>
          <cell r="BLY2" t="str">
            <v/>
          </cell>
          <cell r="BLZ2" t="str">
            <v/>
          </cell>
          <cell r="BMA2" t="str">
            <v/>
          </cell>
          <cell r="BMB2" t="str">
            <v/>
          </cell>
          <cell r="BMC2" t="str">
            <v/>
          </cell>
          <cell r="BMD2" t="str">
            <v/>
          </cell>
          <cell r="BME2" t="str">
            <v/>
          </cell>
          <cell r="BMF2" t="str">
            <v/>
          </cell>
          <cell r="BMG2" t="str">
            <v/>
          </cell>
          <cell r="BMH2" t="str">
            <v/>
          </cell>
          <cell r="BMI2" t="str">
            <v/>
          </cell>
          <cell r="BMJ2" t="str">
            <v/>
          </cell>
          <cell r="BMK2" t="str">
            <v/>
          </cell>
          <cell r="BML2" t="str">
            <v/>
          </cell>
          <cell r="BMM2" t="str">
            <v/>
          </cell>
          <cell r="BMN2" t="str">
            <v/>
          </cell>
          <cell r="BMO2" t="str">
            <v/>
          </cell>
          <cell r="BMP2" t="str">
            <v/>
          </cell>
          <cell r="BMQ2" t="str">
            <v/>
          </cell>
          <cell r="BMR2" t="str">
            <v/>
          </cell>
          <cell r="BMS2" t="str">
            <v/>
          </cell>
          <cell r="BMT2" t="str">
            <v/>
          </cell>
          <cell r="BMU2" t="str">
            <v/>
          </cell>
          <cell r="BMV2" t="str">
            <v/>
          </cell>
          <cell r="BMW2" t="str">
            <v/>
          </cell>
          <cell r="BMX2" t="str">
            <v/>
          </cell>
          <cell r="BMY2" t="str">
            <v/>
          </cell>
          <cell r="BMZ2" t="str">
            <v/>
          </cell>
          <cell r="BNA2" t="str">
            <v/>
          </cell>
          <cell r="BNB2" t="str">
            <v/>
          </cell>
          <cell r="BNC2" t="str">
            <v/>
          </cell>
          <cell r="BND2" t="str">
            <v/>
          </cell>
          <cell r="BNE2" t="str">
            <v/>
          </cell>
          <cell r="BNF2" t="str">
            <v/>
          </cell>
          <cell r="BNG2" t="str">
            <v/>
          </cell>
          <cell r="BNH2" t="str">
            <v/>
          </cell>
          <cell r="BNI2" t="str">
            <v/>
          </cell>
          <cell r="BNJ2" t="str">
            <v/>
          </cell>
          <cell r="BNK2" t="str">
            <v/>
          </cell>
          <cell r="BNL2" t="str">
            <v/>
          </cell>
          <cell r="BNM2" t="str">
            <v/>
          </cell>
          <cell r="BNN2" t="str">
            <v/>
          </cell>
          <cell r="BNO2" t="str">
            <v/>
          </cell>
          <cell r="BNP2" t="str">
            <v/>
          </cell>
          <cell r="BNQ2" t="str">
            <v/>
          </cell>
          <cell r="BNR2" t="str">
            <v/>
          </cell>
          <cell r="BNS2" t="str">
            <v/>
          </cell>
          <cell r="BNT2" t="str">
            <v/>
          </cell>
          <cell r="BNU2" t="str">
            <v/>
          </cell>
          <cell r="BNV2" t="str">
            <v/>
          </cell>
          <cell r="BNW2" t="str">
            <v/>
          </cell>
          <cell r="BNX2" t="str">
            <v/>
          </cell>
          <cell r="BNY2" t="str">
            <v/>
          </cell>
          <cell r="BNZ2" t="str">
            <v/>
          </cell>
          <cell r="BOA2" t="str">
            <v/>
          </cell>
          <cell r="BOB2" t="str">
            <v/>
          </cell>
          <cell r="BOC2" t="str">
            <v/>
          </cell>
          <cell r="BOD2" t="str">
            <v/>
          </cell>
          <cell r="BOE2" t="str">
            <v/>
          </cell>
          <cell r="BOF2" t="str">
            <v/>
          </cell>
          <cell r="BOG2" t="str">
            <v/>
          </cell>
          <cell r="BOH2" t="str">
            <v/>
          </cell>
          <cell r="BOI2" t="str">
            <v/>
          </cell>
          <cell r="BOJ2" t="str">
            <v/>
          </cell>
          <cell r="BOK2" t="str">
            <v/>
          </cell>
          <cell r="BOL2" t="str">
            <v/>
          </cell>
          <cell r="BOM2" t="str">
            <v/>
          </cell>
          <cell r="BON2" t="str">
            <v/>
          </cell>
          <cell r="BOO2" t="str">
            <v/>
          </cell>
          <cell r="BOP2" t="str">
            <v/>
          </cell>
          <cell r="BOQ2" t="str">
            <v/>
          </cell>
          <cell r="BOR2" t="str">
            <v/>
          </cell>
          <cell r="BOS2" t="str">
            <v/>
          </cell>
          <cell r="BOT2" t="str">
            <v/>
          </cell>
          <cell r="BOU2" t="str">
            <v/>
          </cell>
          <cell r="BOV2" t="str">
            <v/>
          </cell>
          <cell r="BOW2" t="str">
            <v/>
          </cell>
          <cell r="BOX2" t="str">
            <v/>
          </cell>
          <cell r="BOY2" t="str">
            <v/>
          </cell>
          <cell r="BOZ2" t="str">
            <v/>
          </cell>
          <cell r="BPA2" t="str">
            <v/>
          </cell>
          <cell r="BPB2" t="str">
            <v/>
          </cell>
          <cell r="BPC2" t="str">
            <v/>
          </cell>
          <cell r="BPD2" t="str">
            <v/>
          </cell>
          <cell r="BPE2" t="str">
            <v/>
          </cell>
          <cell r="BPF2" t="str">
            <v/>
          </cell>
          <cell r="BPG2" t="str">
            <v/>
          </cell>
          <cell r="BPH2" t="str">
            <v/>
          </cell>
          <cell r="BPI2" t="str">
            <v/>
          </cell>
          <cell r="BPJ2" t="str">
            <v/>
          </cell>
          <cell r="BPK2" t="str">
            <v/>
          </cell>
          <cell r="BPL2" t="str">
            <v/>
          </cell>
          <cell r="BPM2" t="str">
            <v/>
          </cell>
          <cell r="BPN2" t="str">
            <v/>
          </cell>
          <cell r="BPO2" t="str">
            <v/>
          </cell>
          <cell r="BPP2" t="str">
            <v/>
          </cell>
          <cell r="BPQ2" t="str">
            <v/>
          </cell>
          <cell r="BPR2" t="str">
            <v/>
          </cell>
          <cell r="BPS2" t="str">
            <v/>
          </cell>
          <cell r="BPT2" t="str">
            <v/>
          </cell>
          <cell r="BPU2" t="str">
            <v/>
          </cell>
          <cell r="BPV2" t="str">
            <v/>
          </cell>
          <cell r="BPW2" t="str">
            <v/>
          </cell>
          <cell r="BPX2" t="str">
            <v/>
          </cell>
          <cell r="BPY2" t="str">
            <v/>
          </cell>
          <cell r="BPZ2" t="str">
            <v/>
          </cell>
          <cell r="BQA2" t="str">
            <v/>
          </cell>
          <cell r="BQB2" t="str">
            <v/>
          </cell>
          <cell r="BQC2" t="str">
            <v/>
          </cell>
          <cell r="BQD2" t="str">
            <v/>
          </cell>
          <cell r="BQE2" t="str">
            <v/>
          </cell>
          <cell r="BQF2" t="str">
            <v/>
          </cell>
          <cell r="BQG2" t="str">
            <v/>
          </cell>
          <cell r="BQH2" t="str">
            <v/>
          </cell>
          <cell r="BQI2" t="str">
            <v/>
          </cell>
          <cell r="BQJ2" t="str">
            <v/>
          </cell>
          <cell r="BQK2" t="str">
            <v/>
          </cell>
          <cell r="BQL2" t="str">
            <v/>
          </cell>
          <cell r="BQM2" t="str">
            <v/>
          </cell>
          <cell r="BQN2" t="str">
            <v/>
          </cell>
          <cell r="BQO2" t="str">
            <v/>
          </cell>
          <cell r="BQP2" t="str">
            <v/>
          </cell>
          <cell r="BQQ2" t="str">
            <v/>
          </cell>
          <cell r="BQR2" t="str">
            <v/>
          </cell>
          <cell r="BQS2" t="str">
            <v/>
          </cell>
          <cell r="BQT2" t="str">
            <v/>
          </cell>
          <cell r="BQU2" t="str">
            <v/>
          </cell>
          <cell r="BQV2" t="str">
            <v/>
          </cell>
          <cell r="BQW2" t="str">
            <v/>
          </cell>
          <cell r="BQX2" t="str">
            <v/>
          </cell>
          <cell r="BQY2" t="str">
            <v/>
          </cell>
          <cell r="BQZ2" t="str">
            <v/>
          </cell>
          <cell r="BRA2" t="str">
            <v/>
          </cell>
          <cell r="BRB2" t="str">
            <v/>
          </cell>
          <cell r="BRC2" t="str">
            <v/>
          </cell>
          <cell r="BRD2" t="str">
            <v/>
          </cell>
          <cell r="BRE2" t="str">
            <v/>
          </cell>
          <cell r="BRF2" t="str">
            <v/>
          </cell>
          <cell r="BRG2" t="str">
            <v/>
          </cell>
          <cell r="BRH2" t="str">
            <v/>
          </cell>
          <cell r="BRI2" t="str">
            <v/>
          </cell>
          <cell r="BRJ2" t="str">
            <v/>
          </cell>
          <cell r="BRK2" t="str">
            <v/>
          </cell>
          <cell r="BRL2" t="str">
            <v/>
          </cell>
          <cell r="BRM2" t="str">
            <v/>
          </cell>
          <cell r="BRN2" t="str">
            <v/>
          </cell>
          <cell r="BRO2" t="str">
            <v/>
          </cell>
          <cell r="BRP2" t="str">
            <v/>
          </cell>
          <cell r="BRQ2" t="str">
            <v/>
          </cell>
          <cell r="BRR2" t="str">
            <v/>
          </cell>
          <cell r="BRS2" t="str">
            <v/>
          </cell>
          <cell r="BRT2" t="str">
            <v/>
          </cell>
          <cell r="BRU2" t="str">
            <v/>
          </cell>
          <cell r="BRV2" t="str">
            <v/>
          </cell>
          <cell r="BRW2" t="str">
            <v/>
          </cell>
          <cell r="BRX2" t="str">
            <v/>
          </cell>
          <cell r="BRY2" t="str">
            <v/>
          </cell>
          <cell r="BRZ2" t="str">
            <v/>
          </cell>
          <cell r="BSA2" t="str">
            <v/>
          </cell>
          <cell r="BSB2" t="str">
            <v/>
          </cell>
          <cell r="BSC2" t="str">
            <v/>
          </cell>
          <cell r="BSD2" t="str">
            <v/>
          </cell>
          <cell r="BSE2" t="str">
            <v/>
          </cell>
          <cell r="BSF2" t="str">
            <v/>
          </cell>
          <cell r="BSG2" t="str">
            <v/>
          </cell>
          <cell r="BSH2" t="str">
            <v/>
          </cell>
          <cell r="BSI2" t="str">
            <v/>
          </cell>
          <cell r="BSJ2" t="str">
            <v/>
          </cell>
          <cell r="BSK2" t="str">
            <v/>
          </cell>
          <cell r="BSL2" t="str">
            <v/>
          </cell>
          <cell r="BSM2" t="str">
            <v/>
          </cell>
          <cell r="BSN2" t="str">
            <v/>
          </cell>
          <cell r="BSO2" t="str">
            <v/>
          </cell>
          <cell r="BSP2" t="str">
            <v/>
          </cell>
          <cell r="BSQ2" t="str">
            <v/>
          </cell>
          <cell r="BSR2" t="str">
            <v/>
          </cell>
          <cell r="BSS2" t="str">
            <v/>
          </cell>
          <cell r="BST2" t="str">
            <v/>
          </cell>
          <cell r="BSU2" t="str">
            <v/>
          </cell>
          <cell r="BSV2" t="str">
            <v/>
          </cell>
          <cell r="BSW2" t="str">
            <v/>
          </cell>
          <cell r="BSX2" t="str">
            <v/>
          </cell>
          <cell r="BSY2" t="str">
            <v/>
          </cell>
          <cell r="BSZ2" t="str">
            <v/>
          </cell>
          <cell r="BTA2" t="str">
            <v/>
          </cell>
          <cell r="BTB2" t="str">
            <v/>
          </cell>
          <cell r="BTC2" t="str">
            <v/>
          </cell>
          <cell r="BTD2" t="str">
            <v/>
          </cell>
          <cell r="BTE2" t="str">
            <v/>
          </cell>
          <cell r="BTF2" t="str">
            <v/>
          </cell>
          <cell r="BTG2" t="str">
            <v/>
          </cell>
          <cell r="BTH2" t="str">
            <v/>
          </cell>
          <cell r="BTI2" t="str">
            <v/>
          </cell>
          <cell r="BTJ2" t="str">
            <v/>
          </cell>
          <cell r="BTK2" t="str">
            <v/>
          </cell>
          <cell r="BTL2" t="str">
            <v/>
          </cell>
          <cell r="BTM2" t="str">
            <v/>
          </cell>
          <cell r="BTN2" t="str">
            <v/>
          </cell>
          <cell r="BTO2" t="str">
            <v/>
          </cell>
          <cell r="BTP2" t="str">
            <v/>
          </cell>
          <cell r="BTQ2" t="str">
            <v/>
          </cell>
          <cell r="BTR2" t="str">
            <v/>
          </cell>
          <cell r="BTS2" t="str">
            <v/>
          </cell>
          <cell r="BTT2" t="str">
            <v/>
          </cell>
          <cell r="BTU2" t="str">
            <v/>
          </cell>
          <cell r="BTV2" t="str">
            <v/>
          </cell>
          <cell r="BTW2" t="str">
            <v/>
          </cell>
          <cell r="BTX2" t="str">
            <v/>
          </cell>
          <cell r="BTY2" t="str">
            <v/>
          </cell>
          <cell r="BTZ2" t="str">
            <v/>
          </cell>
          <cell r="BUA2" t="str">
            <v/>
          </cell>
          <cell r="BUB2" t="str">
            <v/>
          </cell>
          <cell r="BUC2" t="str">
            <v/>
          </cell>
          <cell r="BUD2" t="str">
            <v/>
          </cell>
          <cell r="BUE2" t="str">
            <v/>
          </cell>
          <cell r="BUF2" t="str">
            <v/>
          </cell>
          <cell r="BUG2" t="str">
            <v/>
          </cell>
          <cell r="BUH2" t="str">
            <v/>
          </cell>
          <cell r="BUI2" t="str">
            <v/>
          </cell>
          <cell r="BUJ2" t="str">
            <v/>
          </cell>
          <cell r="BUK2" t="str">
            <v/>
          </cell>
          <cell r="BUL2" t="str">
            <v/>
          </cell>
          <cell r="BUM2" t="str">
            <v/>
          </cell>
          <cell r="BUN2" t="str">
            <v/>
          </cell>
          <cell r="BUO2" t="str">
            <v/>
          </cell>
          <cell r="BUP2" t="str">
            <v/>
          </cell>
          <cell r="BUQ2" t="str">
            <v/>
          </cell>
          <cell r="BUR2" t="str">
            <v/>
          </cell>
          <cell r="BUS2" t="str">
            <v/>
          </cell>
          <cell r="BUT2" t="str">
            <v/>
          </cell>
          <cell r="BUU2" t="str">
            <v/>
          </cell>
          <cell r="BUV2" t="str">
            <v/>
          </cell>
          <cell r="BUW2" t="str">
            <v/>
          </cell>
          <cell r="BUX2" t="str">
            <v/>
          </cell>
          <cell r="BUY2" t="str">
            <v/>
          </cell>
          <cell r="BUZ2" t="str">
            <v/>
          </cell>
          <cell r="BVA2" t="str">
            <v/>
          </cell>
          <cell r="BVB2" t="str">
            <v/>
          </cell>
          <cell r="BVC2" t="str">
            <v/>
          </cell>
          <cell r="BVD2" t="str">
            <v/>
          </cell>
          <cell r="BVE2" t="str">
            <v/>
          </cell>
          <cell r="BVF2" t="str">
            <v/>
          </cell>
          <cell r="BVG2" t="str">
            <v/>
          </cell>
          <cell r="BVH2" t="str">
            <v/>
          </cell>
          <cell r="BVI2" t="str">
            <v/>
          </cell>
          <cell r="BVJ2" t="str">
            <v/>
          </cell>
          <cell r="BVK2" t="str">
            <v/>
          </cell>
          <cell r="BVL2" t="str">
            <v/>
          </cell>
          <cell r="BVM2" t="str">
            <v/>
          </cell>
          <cell r="BVN2" t="str">
            <v/>
          </cell>
          <cell r="BVO2" t="str">
            <v/>
          </cell>
          <cell r="BVP2" t="str">
            <v/>
          </cell>
          <cell r="BVQ2" t="str">
            <v/>
          </cell>
          <cell r="BVR2" t="str">
            <v/>
          </cell>
          <cell r="BVS2" t="str">
            <v/>
          </cell>
          <cell r="BVT2" t="str">
            <v/>
          </cell>
          <cell r="BVU2" t="str">
            <v/>
          </cell>
          <cell r="BVV2" t="str">
            <v/>
          </cell>
          <cell r="BVW2" t="str">
            <v/>
          </cell>
          <cell r="BVX2" t="str">
            <v/>
          </cell>
          <cell r="BVY2" t="str">
            <v/>
          </cell>
          <cell r="BVZ2" t="str">
            <v/>
          </cell>
          <cell r="BWA2" t="str">
            <v/>
          </cell>
          <cell r="BWB2" t="str">
            <v/>
          </cell>
          <cell r="BWC2" t="str">
            <v/>
          </cell>
          <cell r="BWD2" t="str">
            <v/>
          </cell>
          <cell r="BWE2" t="str">
            <v/>
          </cell>
          <cell r="BWF2" t="str">
            <v/>
          </cell>
          <cell r="BWG2" t="str">
            <v/>
          </cell>
          <cell r="BWH2" t="str">
            <v/>
          </cell>
          <cell r="BWI2" t="str">
            <v/>
          </cell>
          <cell r="BWJ2" t="str">
            <v/>
          </cell>
          <cell r="BWK2" t="str">
            <v/>
          </cell>
          <cell r="BWL2" t="str">
            <v/>
          </cell>
          <cell r="BWM2" t="str">
            <v/>
          </cell>
          <cell r="BWN2" t="str">
            <v/>
          </cell>
          <cell r="BWO2" t="str">
            <v/>
          </cell>
          <cell r="BWP2" t="str">
            <v/>
          </cell>
          <cell r="BWQ2" t="str">
            <v/>
          </cell>
          <cell r="BWR2" t="str">
            <v/>
          </cell>
          <cell r="BWS2" t="str">
            <v/>
          </cell>
          <cell r="BWT2" t="str">
            <v/>
          </cell>
          <cell r="BWU2" t="str">
            <v/>
          </cell>
          <cell r="BWV2" t="str">
            <v/>
          </cell>
          <cell r="BWW2" t="str">
            <v/>
          </cell>
          <cell r="BWX2" t="str">
            <v/>
          </cell>
          <cell r="BWY2" t="str">
            <v/>
          </cell>
          <cell r="BWZ2" t="str">
            <v/>
          </cell>
          <cell r="BXA2" t="str">
            <v/>
          </cell>
          <cell r="BXB2" t="str">
            <v/>
          </cell>
          <cell r="BXC2" t="str">
            <v/>
          </cell>
          <cell r="BXD2" t="str">
            <v/>
          </cell>
          <cell r="BXE2" t="str">
            <v/>
          </cell>
          <cell r="BXF2" t="str">
            <v/>
          </cell>
          <cell r="BXG2" t="str">
            <v/>
          </cell>
          <cell r="BXH2" t="str">
            <v/>
          </cell>
          <cell r="BXI2" t="str">
            <v/>
          </cell>
          <cell r="BXJ2" t="str">
            <v/>
          </cell>
          <cell r="BXK2" t="str">
            <v/>
          </cell>
          <cell r="BXL2" t="str">
            <v/>
          </cell>
          <cell r="BXM2" t="str">
            <v/>
          </cell>
          <cell r="BXN2" t="str">
            <v/>
          </cell>
          <cell r="BXO2" t="str">
            <v/>
          </cell>
          <cell r="BXP2" t="str">
            <v/>
          </cell>
          <cell r="BXQ2" t="str">
            <v/>
          </cell>
          <cell r="BXR2" t="str">
            <v/>
          </cell>
          <cell r="BXS2" t="str">
            <v/>
          </cell>
          <cell r="BXT2" t="str">
            <v/>
          </cell>
          <cell r="BXU2" t="str">
            <v/>
          </cell>
          <cell r="BXV2" t="str">
            <v/>
          </cell>
          <cell r="BXW2" t="str">
            <v/>
          </cell>
          <cell r="BXX2" t="str">
            <v/>
          </cell>
          <cell r="BXY2" t="str">
            <v/>
          </cell>
          <cell r="BXZ2" t="str">
            <v/>
          </cell>
          <cell r="BYA2" t="str">
            <v/>
          </cell>
          <cell r="BYB2" t="str">
            <v/>
          </cell>
          <cell r="BYC2" t="str">
            <v/>
          </cell>
          <cell r="BYD2" t="str">
            <v/>
          </cell>
          <cell r="BYE2" t="str">
            <v/>
          </cell>
          <cell r="BYF2" t="str">
            <v/>
          </cell>
          <cell r="BYG2" t="str">
            <v/>
          </cell>
          <cell r="BYH2" t="str">
            <v/>
          </cell>
          <cell r="BYI2" t="str">
            <v/>
          </cell>
          <cell r="BYJ2" t="str">
            <v/>
          </cell>
          <cell r="BYK2" t="str">
            <v/>
          </cell>
          <cell r="BYL2" t="str">
            <v/>
          </cell>
          <cell r="BYM2" t="str">
            <v/>
          </cell>
          <cell r="BYN2" t="str">
            <v/>
          </cell>
          <cell r="BYO2" t="str">
            <v/>
          </cell>
          <cell r="BYP2" t="str">
            <v/>
          </cell>
          <cell r="BYQ2" t="str">
            <v/>
          </cell>
          <cell r="BYR2" t="str">
            <v/>
          </cell>
          <cell r="BYS2" t="str">
            <v/>
          </cell>
          <cell r="BYT2" t="str">
            <v/>
          </cell>
          <cell r="BYU2" t="str">
            <v/>
          </cell>
          <cell r="BYV2" t="str">
            <v/>
          </cell>
          <cell r="BYW2" t="str">
            <v/>
          </cell>
          <cell r="BYX2" t="str">
            <v/>
          </cell>
          <cell r="BYY2" t="str">
            <v/>
          </cell>
          <cell r="BYZ2" t="str">
            <v/>
          </cell>
          <cell r="BZA2" t="str">
            <v/>
          </cell>
          <cell r="BZB2" t="str">
            <v/>
          </cell>
          <cell r="BZC2" t="str">
            <v/>
          </cell>
          <cell r="BZD2" t="str">
            <v/>
          </cell>
          <cell r="BZE2" t="str">
            <v/>
          </cell>
          <cell r="BZF2" t="str">
            <v/>
          </cell>
          <cell r="BZG2" t="str">
            <v/>
          </cell>
          <cell r="BZH2" t="str">
            <v/>
          </cell>
          <cell r="BZI2" t="str">
            <v/>
          </cell>
          <cell r="BZJ2" t="str">
            <v/>
          </cell>
          <cell r="BZK2" t="str">
            <v/>
          </cell>
          <cell r="BZL2" t="str">
            <v/>
          </cell>
          <cell r="BZM2" t="str">
            <v/>
          </cell>
          <cell r="BZN2" t="str">
            <v/>
          </cell>
          <cell r="BZO2" t="str">
            <v/>
          </cell>
          <cell r="BZP2" t="str">
            <v/>
          </cell>
          <cell r="BZQ2" t="str">
            <v/>
          </cell>
          <cell r="BZR2" t="str">
            <v/>
          </cell>
          <cell r="BZS2" t="str">
            <v/>
          </cell>
          <cell r="BZT2" t="str">
            <v/>
          </cell>
          <cell r="BZU2" t="str">
            <v/>
          </cell>
          <cell r="BZV2" t="str">
            <v/>
          </cell>
          <cell r="BZW2" t="str">
            <v/>
          </cell>
          <cell r="BZX2" t="str">
            <v/>
          </cell>
          <cell r="BZY2" t="str">
            <v/>
          </cell>
          <cell r="BZZ2" t="str">
            <v/>
          </cell>
          <cell r="CAA2" t="str">
            <v/>
          </cell>
          <cell r="CAB2" t="str">
            <v/>
          </cell>
          <cell r="CAC2" t="str">
            <v/>
          </cell>
          <cell r="CAD2" t="str">
            <v/>
          </cell>
          <cell r="CAE2" t="str">
            <v/>
          </cell>
          <cell r="CAF2" t="str">
            <v/>
          </cell>
          <cell r="CAG2" t="str">
            <v/>
          </cell>
          <cell r="CAH2" t="str">
            <v/>
          </cell>
          <cell r="CAI2" t="str">
            <v/>
          </cell>
          <cell r="CAJ2" t="str">
            <v/>
          </cell>
          <cell r="CAK2" t="str">
            <v/>
          </cell>
          <cell r="CAL2" t="str">
            <v/>
          </cell>
          <cell r="CAM2" t="str">
            <v/>
          </cell>
          <cell r="CAN2" t="str">
            <v/>
          </cell>
          <cell r="CAO2" t="str">
            <v/>
          </cell>
          <cell r="CAP2" t="str">
            <v/>
          </cell>
          <cell r="CAQ2" t="str">
            <v/>
          </cell>
          <cell r="CAR2" t="str">
            <v/>
          </cell>
          <cell r="CAS2" t="str">
            <v/>
          </cell>
          <cell r="CAT2" t="str">
            <v/>
          </cell>
          <cell r="CAU2" t="str">
            <v/>
          </cell>
          <cell r="CAV2" t="str">
            <v/>
          </cell>
          <cell r="CAW2" t="str">
            <v/>
          </cell>
          <cell r="CAX2" t="str">
            <v/>
          </cell>
          <cell r="CAY2" t="str">
            <v/>
          </cell>
          <cell r="CAZ2" t="str">
            <v/>
          </cell>
          <cell r="CBA2" t="str">
            <v/>
          </cell>
          <cell r="CBB2" t="str">
            <v/>
          </cell>
          <cell r="CBC2" t="str">
            <v/>
          </cell>
          <cell r="CBD2" t="str">
            <v/>
          </cell>
          <cell r="CBE2" t="str">
            <v/>
          </cell>
          <cell r="CBF2" t="str">
            <v/>
          </cell>
          <cell r="CBG2" t="str">
            <v/>
          </cell>
          <cell r="CBH2" t="str">
            <v/>
          </cell>
          <cell r="CBI2" t="str">
            <v/>
          </cell>
          <cell r="CBJ2" t="str">
            <v/>
          </cell>
          <cell r="CBK2" t="str">
            <v/>
          </cell>
          <cell r="CBL2" t="str">
            <v/>
          </cell>
          <cell r="CBM2" t="str">
            <v/>
          </cell>
          <cell r="CBN2" t="str">
            <v/>
          </cell>
          <cell r="CBO2" t="str">
            <v/>
          </cell>
          <cell r="CBP2" t="str">
            <v/>
          </cell>
          <cell r="CBQ2" t="str">
            <v/>
          </cell>
          <cell r="CBR2" t="str">
            <v/>
          </cell>
          <cell r="CBS2" t="str">
            <v/>
          </cell>
          <cell r="CBT2" t="str">
            <v/>
          </cell>
          <cell r="CBU2" t="str">
            <v/>
          </cell>
          <cell r="CBV2" t="str">
            <v/>
          </cell>
          <cell r="CBW2" t="str">
            <v/>
          </cell>
          <cell r="CBX2" t="str">
            <v/>
          </cell>
          <cell r="CBY2" t="str">
            <v/>
          </cell>
          <cell r="CBZ2" t="str">
            <v/>
          </cell>
          <cell r="CCA2" t="str">
            <v/>
          </cell>
          <cell r="CCB2" t="str">
            <v/>
          </cell>
          <cell r="CCC2" t="str">
            <v/>
          </cell>
          <cell r="CCD2" t="str">
            <v/>
          </cell>
          <cell r="CCE2" t="str">
            <v/>
          </cell>
          <cell r="CCF2" t="str">
            <v/>
          </cell>
          <cell r="CCG2" t="str">
            <v/>
          </cell>
          <cell r="CCH2" t="str">
            <v/>
          </cell>
          <cell r="CCI2" t="str">
            <v/>
          </cell>
          <cell r="CCJ2" t="str">
            <v/>
          </cell>
          <cell r="CCK2" t="str">
            <v/>
          </cell>
          <cell r="CCL2" t="str">
            <v/>
          </cell>
          <cell r="CCM2" t="str">
            <v/>
          </cell>
          <cell r="CCN2" t="str">
            <v/>
          </cell>
          <cell r="CCO2" t="str">
            <v/>
          </cell>
          <cell r="CCP2" t="str">
            <v/>
          </cell>
          <cell r="CCQ2" t="str">
            <v/>
          </cell>
          <cell r="CCR2" t="str">
            <v/>
          </cell>
          <cell r="CCS2" t="str">
            <v/>
          </cell>
          <cell r="CCT2" t="str">
            <v/>
          </cell>
          <cell r="CCU2" t="str">
            <v/>
          </cell>
          <cell r="CCV2" t="str">
            <v/>
          </cell>
          <cell r="CCW2" t="str">
            <v/>
          </cell>
          <cell r="CCX2" t="str">
            <v/>
          </cell>
          <cell r="CCY2" t="str">
            <v/>
          </cell>
          <cell r="CCZ2" t="str">
            <v/>
          </cell>
          <cell r="CDA2" t="str">
            <v/>
          </cell>
          <cell r="CDB2" t="str">
            <v/>
          </cell>
          <cell r="CDC2" t="str">
            <v/>
          </cell>
          <cell r="CDD2" t="str">
            <v/>
          </cell>
          <cell r="CDE2" t="str">
            <v/>
          </cell>
          <cell r="CDF2" t="str">
            <v/>
          </cell>
          <cell r="CDG2" t="str">
            <v/>
          </cell>
          <cell r="CDH2" t="str">
            <v/>
          </cell>
          <cell r="CDI2" t="str">
            <v/>
          </cell>
          <cell r="CDJ2" t="str">
            <v/>
          </cell>
          <cell r="CDK2" t="str">
            <v/>
          </cell>
          <cell r="CDL2" t="str">
            <v/>
          </cell>
          <cell r="CDM2" t="str">
            <v/>
          </cell>
          <cell r="CDN2" t="str">
            <v/>
          </cell>
          <cell r="CDO2" t="str">
            <v/>
          </cell>
          <cell r="CDP2" t="str">
            <v/>
          </cell>
          <cell r="CDQ2" t="str">
            <v/>
          </cell>
          <cell r="CDR2" t="str">
            <v/>
          </cell>
          <cell r="CDS2" t="str">
            <v/>
          </cell>
          <cell r="CDT2" t="str">
            <v/>
          </cell>
          <cell r="CDU2" t="str">
            <v/>
          </cell>
          <cell r="CDV2" t="str">
            <v/>
          </cell>
          <cell r="CDW2" t="str">
            <v/>
          </cell>
          <cell r="CDX2" t="str">
            <v/>
          </cell>
          <cell r="CDY2" t="str">
            <v/>
          </cell>
          <cell r="CDZ2" t="str">
            <v/>
          </cell>
          <cell r="CEA2" t="str">
            <v/>
          </cell>
          <cell r="CEB2" t="str">
            <v/>
          </cell>
          <cell r="CEC2" t="str">
            <v/>
          </cell>
          <cell r="CED2" t="str">
            <v/>
          </cell>
          <cell r="CEE2" t="str">
            <v/>
          </cell>
          <cell r="CEF2" t="str">
            <v/>
          </cell>
          <cell r="CEG2" t="str">
            <v/>
          </cell>
          <cell r="CEH2" t="str">
            <v/>
          </cell>
          <cell r="CEI2" t="str">
            <v/>
          </cell>
          <cell r="CEJ2" t="str">
            <v/>
          </cell>
          <cell r="CEK2" t="str">
            <v/>
          </cell>
          <cell r="CEL2" t="str">
            <v/>
          </cell>
          <cell r="CEM2" t="str">
            <v/>
          </cell>
          <cell r="CEN2" t="str">
            <v/>
          </cell>
          <cell r="CEO2" t="str">
            <v/>
          </cell>
          <cell r="CEP2" t="str">
            <v/>
          </cell>
          <cell r="CEQ2" t="str">
            <v/>
          </cell>
          <cell r="CER2" t="str">
            <v/>
          </cell>
          <cell r="CES2" t="str">
            <v/>
          </cell>
          <cell r="CET2" t="str">
            <v/>
          </cell>
          <cell r="CEU2" t="str">
            <v/>
          </cell>
          <cell r="CEV2" t="str">
            <v/>
          </cell>
          <cell r="CEW2" t="str">
            <v/>
          </cell>
          <cell r="CEX2" t="str">
            <v/>
          </cell>
          <cell r="CEY2" t="str">
            <v/>
          </cell>
          <cell r="CEZ2" t="str">
            <v/>
          </cell>
          <cell r="CFA2" t="str">
            <v/>
          </cell>
          <cell r="CFB2" t="str">
            <v/>
          </cell>
          <cell r="CFC2" t="str">
            <v/>
          </cell>
          <cell r="CFD2" t="str">
            <v/>
          </cell>
          <cell r="CFE2" t="str">
            <v/>
          </cell>
          <cell r="CFF2" t="str">
            <v/>
          </cell>
          <cell r="CFG2" t="str">
            <v/>
          </cell>
          <cell r="CFH2" t="str">
            <v/>
          </cell>
          <cell r="CFI2" t="str">
            <v/>
          </cell>
          <cell r="CFJ2" t="str">
            <v/>
          </cell>
          <cell r="CFK2" t="str">
            <v/>
          </cell>
          <cell r="CFL2" t="str">
            <v/>
          </cell>
          <cell r="CFM2" t="str">
            <v/>
          </cell>
          <cell r="CFN2" t="str">
            <v/>
          </cell>
          <cell r="CFO2" t="str">
            <v/>
          </cell>
          <cell r="CFP2" t="str">
            <v/>
          </cell>
          <cell r="CFQ2" t="str">
            <v/>
          </cell>
          <cell r="CFR2" t="str">
            <v/>
          </cell>
          <cell r="CFS2" t="str">
            <v/>
          </cell>
          <cell r="CFT2" t="str">
            <v/>
          </cell>
          <cell r="CFU2" t="str">
            <v/>
          </cell>
          <cell r="CFV2" t="str">
            <v/>
          </cell>
          <cell r="CFW2" t="str">
            <v/>
          </cell>
          <cell r="CFX2" t="str">
            <v/>
          </cell>
          <cell r="CFY2" t="str">
            <v/>
          </cell>
          <cell r="CFZ2" t="str">
            <v/>
          </cell>
          <cell r="CGA2" t="str">
            <v/>
          </cell>
          <cell r="CGB2" t="str">
            <v/>
          </cell>
          <cell r="CGC2" t="str">
            <v/>
          </cell>
          <cell r="CGD2" t="str">
            <v/>
          </cell>
          <cell r="CGE2" t="str">
            <v/>
          </cell>
          <cell r="CGF2" t="str">
            <v/>
          </cell>
          <cell r="CGG2" t="str">
            <v/>
          </cell>
          <cell r="CGH2" t="str">
            <v/>
          </cell>
          <cell r="CGI2" t="str">
            <v/>
          </cell>
          <cell r="CGJ2" t="str">
            <v/>
          </cell>
          <cell r="CGK2" t="str">
            <v/>
          </cell>
          <cell r="CGL2" t="str">
            <v/>
          </cell>
          <cell r="CGM2" t="str">
            <v/>
          </cell>
          <cell r="CGN2" t="str">
            <v/>
          </cell>
          <cell r="CGO2" t="str">
            <v/>
          </cell>
          <cell r="CGP2" t="str">
            <v/>
          </cell>
          <cell r="CGQ2" t="str">
            <v/>
          </cell>
          <cell r="CGR2" t="str">
            <v/>
          </cell>
          <cell r="CGS2" t="str">
            <v/>
          </cell>
          <cell r="CGT2" t="str">
            <v/>
          </cell>
          <cell r="CGU2" t="str">
            <v/>
          </cell>
          <cell r="CGV2" t="str">
            <v/>
          </cell>
          <cell r="CGW2" t="str">
            <v/>
          </cell>
          <cell r="CGX2" t="str">
            <v/>
          </cell>
          <cell r="CGY2" t="str">
            <v/>
          </cell>
          <cell r="CGZ2" t="str">
            <v/>
          </cell>
          <cell r="CHA2" t="str">
            <v/>
          </cell>
          <cell r="CHB2" t="str">
            <v/>
          </cell>
          <cell r="CHC2" t="str">
            <v/>
          </cell>
          <cell r="CHD2" t="str">
            <v/>
          </cell>
          <cell r="CHE2" t="str">
            <v/>
          </cell>
          <cell r="CHF2" t="str">
            <v/>
          </cell>
          <cell r="CHG2" t="str">
            <v/>
          </cell>
          <cell r="CHH2" t="str">
            <v/>
          </cell>
          <cell r="CHI2" t="str">
            <v/>
          </cell>
          <cell r="CHJ2" t="str">
            <v/>
          </cell>
          <cell r="CHK2" t="str">
            <v/>
          </cell>
          <cell r="CHL2" t="str">
            <v/>
          </cell>
          <cell r="CHM2" t="str">
            <v/>
          </cell>
          <cell r="CHN2" t="str">
            <v/>
          </cell>
          <cell r="CHO2" t="str">
            <v/>
          </cell>
          <cell r="CHP2" t="str">
            <v/>
          </cell>
          <cell r="CHQ2" t="str">
            <v/>
          </cell>
          <cell r="CHR2" t="str">
            <v/>
          </cell>
          <cell r="CHS2" t="str">
            <v/>
          </cell>
          <cell r="CHT2" t="str">
            <v/>
          </cell>
          <cell r="CHU2" t="str">
            <v/>
          </cell>
          <cell r="CHV2" t="str">
            <v/>
          </cell>
          <cell r="CHW2" t="str">
            <v/>
          </cell>
          <cell r="CHX2" t="str">
            <v/>
          </cell>
          <cell r="CHY2" t="str">
            <v/>
          </cell>
          <cell r="CHZ2" t="str">
            <v/>
          </cell>
          <cell r="CIA2" t="str">
            <v/>
          </cell>
          <cell r="CIB2" t="str">
            <v/>
          </cell>
          <cell r="CIC2" t="str">
            <v/>
          </cell>
          <cell r="CID2" t="str">
            <v/>
          </cell>
          <cell r="CIE2" t="str">
            <v/>
          </cell>
          <cell r="CIF2" t="str">
            <v/>
          </cell>
          <cell r="CIG2" t="str">
            <v/>
          </cell>
          <cell r="CIH2" t="str">
            <v/>
          </cell>
          <cell r="CII2" t="str">
            <v/>
          </cell>
          <cell r="CIJ2" t="str">
            <v/>
          </cell>
          <cell r="CIK2" t="str">
            <v/>
          </cell>
          <cell r="CIL2" t="str">
            <v/>
          </cell>
          <cell r="CIM2" t="str">
            <v/>
          </cell>
          <cell r="CIN2" t="str">
            <v/>
          </cell>
          <cell r="CIO2" t="str">
            <v/>
          </cell>
          <cell r="CIP2" t="str">
            <v/>
          </cell>
          <cell r="CIQ2" t="str">
            <v/>
          </cell>
          <cell r="CIR2" t="str">
            <v/>
          </cell>
          <cell r="CIS2" t="str">
            <v/>
          </cell>
          <cell r="CIT2" t="str">
            <v/>
          </cell>
          <cell r="CIU2" t="str">
            <v/>
          </cell>
          <cell r="CIV2" t="str">
            <v/>
          </cell>
          <cell r="CIW2" t="str">
            <v/>
          </cell>
          <cell r="CIX2" t="str">
            <v/>
          </cell>
          <cell r="CIY2" t="str">
            <v/>
          </cell>
          <cell r="CIZ2" t="str">
            <v/>
          </cell>
          <cell r="CJA2" t="str">
            <v/>
          </cell>
          <cell r="CJB2" t="str">
            <v/>
          </cell>
          <cell r="CJC2" t="str">
            <v/>
          </cell>
          <cell r="CJD2" t="str">
            <v/>
          </cell>
          <cell r="CJE2" t="str">
            <v/>
          </cell>
          <cell r="CJF2" t="str">
            <v/>
          </cell>
          <cell r="CJG2" t="str">
            <v/>
          </cell>
          <cell r="CJH2" t="str">
            <v/>
          </cell>
          <cell r="CJI2" t="str">
            <v/>
          </cell>
          <cell r="CJJ2" t="str">
            <v/>
          </cell>
          <cell r="CJK2" t="str">
            <v/>
          </cell>
          <cell r="CJL2" t="str">
            <v/>
          </cell>
          <cell r="CJM2" t="str">
            <v/>
          </cell>
          <cell r="CJN2" t="str">
            <v/>
          </cell>
          <cell r="CJO2" t="str">
            <v/>
          </cell>
          <cell r="CJP2" t="str">
            <v/>
          </cell>
          <cell r="CJQ2" t="str">
            <v/>
          </cell>
          <cell r="CJR2" t="str">
            <v/>
          </cell>
          <cell r="CJS2" t="str">
            <v/>
          </cell>
          <cell r="CJT2" t="str">
            <v/>
          </cell>
          <cell r="CJU2" t="str">
            <v/>
          </cell>
          <cell r="CJV2" t="str">
            <v/>
          </cell>
          <cell r="CJW2" t="str">
            <v/>
          </cell>
          <cell r="CJX2" t="str">
            <v/>
          </cell>
          <cell r="CJY2" t="str">
            <v/>
          </cell>
          <cell r="CJZ2" t="str">
            <v/>
          </cell>
          <cell r="CKA2" t="str">
            <v/>
          </cell>
          <cell r="CKB2" t="str">
            <v/>
          </cell>
          <cell r="CKC2" t="str">
            <v/>
          </cell>
          <cell r="CKD2" t="str">
            <v/>
          </cell>
          <cell r="CKE2" t="str">
            <v/>
          </cell>
          <cell r="CKF2" t="str">
            <v/>
          </cell>
          <cell r="CKG2" t="str">
            <v/>
          </cell>
          <cell r="CKH2" t="str">
            <v/>
          </cell>
          <cell r="CKI2" t="str">
            <v/>
          </cell>
          <cell r="CKJ2" t="str">
            <v/>
          </cell>
          <cell r="CKK2" t="str">
            <v/>
          </cell>
          <cell r="CKL2" t="str">
            <v/>
          </cell>
          <cell r="CKM2" t="str">
            <v/>
          </cell>
          <cell r="CKN2" t="str">
            <v/>
          </cell>
          <cell r="CKO2" t="str">
            <v/>
          </cell>
          <cell r="CKP2" t="str">
            <v/>
          </cell>
          <cell r="CKQ2" t="str">
            <v/>
          </cell>
          <cell r="CKR2" t="str">
            <v/>
          </cell>
          <cell r="CKS2" t="str">
            <v/>
          </cell>
          <cell r="CKT2" t="str">
            <v/>
          </cell>
          <cell r="CKU2" t="str">
            <v/>
          </cell>
          <cell r="CKV2" t="str">
            <v/>
          </cell>
          <cell r="CKW2" t="str">
            <v/>
          </cell>
          <cell r="CKX2" t="str">
            <v/>
          </cell>
          <cell r="CKY2" t="str">
            <v/>
          </cell>
          <cell r="CKZ2" t="str">
            <v/>
          </cell>
          <cell r="CLA2" t="str">
            <v/>
          </cell>
          <cell r="CLB2" t="str">
            <v/>
          </cell>
          <cell r="CLC2" t="str">
            <v/>
          </cell>
          <cell r="CLD2" t="str">
            <v/>
          </cell>
          <cell r="CLE2" t="str">
            <v/>
          </cell>
          <cell r="CLF2" t="str">
            <v/>
          </cell>
          <cell r="CLG2" t="str">
            <v/>
          </cell>
          <cell r="CLH2" t="str">
            <v/>
          </cell>
          <cell r="CLI2" t="str">
            <v/>
          </cell>
          <cell r="CLJ2" t="str">
            <v/>
          </cell>
          <cell r="CLK2" t="str">
            <v/>
          </cell>
          <cell r="CLL2" t="str">
            <v/>
          </cell>
          <cell r="CLM2" t="str">
            <v/>
          </cell>
          <cell r="CLN2" t="str">
            <v/>
          </cell>
          <cell r="CLO2" t="str">
            <v/>
          </cell>
          <cell r="CLP2" t="str">
            <v/>
          </cell>
          <cell r="CLQ2" t="str">
            <v/>
          </cell>
          <cell r="CLR2" t="str">
            <v/>
          </cell>
          <cell r="CLS2" t="str">
            <v/>
          </cell>
          <cell r="CLT2" t="str">
            <v/>
          </cell>
          <cell r="CLU2" t="str">
            <v/>
          </cell>
          <cell r="CLV2" t="str">
            <v/>
          </cell>
          <cell r="CLW2" t="str">
            <v/>
          </cell>
          <cell r="CLX2" t="str">
            <v/>
          </cell>
          <cell r="CLY2" t="str">
            <v/>
          </cell>
          <cell r="CLZ2" t="str">
            <v/>
          </cell>
          <cell r="CMA2" t="str">
            <v/>
          </cell>
          <cell r="CMB2" t="str">
            <v/>
          </cell>
          <cell r="CMC2" t="str">
            <v/>
          </cell>
          <cell r="CMD2" t="str">
            <v/>
          </cell>
          <cell r="CME2" t="str">
            <v/>
          </cell>
          <cell r="CMF2" t="str">
            <v/>
          </cell>
          <cell r="CMG2" t="str">
            <v/>
          </cell>
          <cell r="CMH2" t="str">
            <v/>
          </cell>
          <cell r="CMI2" t="str">
            <v/>
          </cell>
          <cell r="CMJ2" t="str">
            <v/>
          </cell>
          <cell r="CMK2" t="str">
            <v/>
          </cell>
          <cell r="CML2" t="str">
            <v/>
          </cell>
          <cell r="CMM2" t="str">
            <v/>
          </cell>
          <cell r="CMN2" t="str">
            <v/>
          </cell>
          <cell r="CMO2" t="str">
            <v/>
          </cell>
          <cell r="CMP2" t="str">
            <v/>
          </cell>
          <cell r="CMQ2" t="str">
            <v/>
          </cell>
          <cell r="CMR2" t="str">
            <v/>
          </cell>
          <cell r="CMS2" t="str">
            <v/>
          </cell>
          <cell r="CMT2" t="str">
            <v/>
          </cell>
          <cell r="CMU2" t="str">
            <v/>
          </cell>
          <cell r="CMV2" t="str">
            <v/>
          </cell>
          <cell r="CMW2" t="str">
            <v/>
          </cell>
          <cell r="CMX2" t="str">
            <v/>
          </cell>
          <cell r="CMY2" t="str">
            <v/>
          </cell>
          <cell r="CMZ2" t="str">
            <v/>
          </cell>
          <cell r="CNA2" t="str">
            <v/>
          </cell>
          <cell r="CNB2" t="str">
            <v/>
          </cell>
          <cell r="CNC2" t="str">
            <v/>
          </cell>
          <cell r="CND2" t="str">
            <v/>
          </cell>
          <cell r="CNE2" t="str">
            <v/>
          </cell>
          <cell r="CNF2" t="str">
            <v/>
          </cell>
          <cell r="CNG2" t="str">
            <v/>
          </cell>
          <cell r="CNH2" t="str">
            <v/>
          </cell>
          <cell r="CNI2" t="str">
            <v/>
          </cell>
          <cell r="CNJ2" t="str">
            <v/>
          </cell>
          <cell r="CNK2" t="str">
            <v/>
          </cell>
          <cell r="CNL2" t="str">
            <v/>
          </cell>
          <cell r="CNM2" t="str">
            <v/>
          </cell>
          <cell r="CNN2" t="str">
            <v/>
          </cell>
          <cell r="CNO2" t="str">
            <v/>
          </cell>
          <cell r="CNP2" t="str">
            <v/>
          </cell>
          <cell r="CNQ2" t="str">
            <v/>
          </cell>
          <cell r="CNR2" t="str">
            <v/>
          </cell>
          <cell r="CNS2" t="str">
            <v/>
          </cell>
          <cell r="CNT2" t="str">
            <v/>
          </cell>
          <cell r="CNU2" t="str">
            <v/>
          </cell>
          <cell r="CNV2" t="str">
            <v/>
          </cell>
          <cell r="CNW2" t="str">
            <v/>
          </cell>
          <cell r="CNX2" t="str">
            <v/>
          </cell>
          <cell r="CNY2" t="str">
            <v/>
          </cell>
          <cell r="CNZ2" t="str">
            <v/>
          </cell>
          <cell r="COA2" t="str">
            <v/>
          </cell>
          <cell r="COB2" t="str">
            <v/>
          </cell>
          <cell r="COC2" t="str">
            <v/>
          </cell>
          <cell r="COD2" t="str">
            <v/>
          </cell>
          <cell r="COE2" t="str">
            <v/>
          </cell>
          <cell r="COF2" t="str">
            <v/>
          </cell>
          <cell r="COG2" t="str">
            <v/>
          </cell>
          <cell r="COH2" t="str">
            <v/>
          </cell>
          <cell r="COI2" t="str">
            <v/>
          </cell>
          <cell r="COJ2" t="str">
            <v/>
          </cell>
          <cell r="COK2" t="str">
            <v/>
          </cell>
          <cell r="COL2" t="str">
            <v/>
          </cell>
          <cell r="COM2" t="str">
            <v/>
          </cell>
          <cell r="CON2" t="str">
            <v/>
          </cell>
          <cell r="COO2" t="str">
            <v/>
          </cell>
          <cell r="COP2" t="str">
            <v/>
          </cell>
          <cell r="COQ2" t="str">
            <v/>
          </cell>
          <cell r="COR2" t="str">
            <v/>
          </cell>
          <cell r="COS2" t="str">
            <v/>
          </cell>
          <cell r="COT2" t="str">
            <v/>
          </cell>
          <cell r="COU2" t="str">
            <v/>
          </cell>
          <cell r="COV2" t="str">
            <v/>
          </cell>
          <cell r="COW2" t="str">
            <v/>
          </cell>
          <cell r="COX2" t="str">
            <v/>
          </cell>
          <cell r="COY2" t="str">
            <v/>
          </cell>
          <cell r="COZ2" t="str">
            <v/>
          </cell>
          <cell r="CPA2" t="str">
            <v/>
          </cell>
          <cell r="CPB2" t="str">
            <v/>
          </cell>
          <cell r="CPC2" t="str">
            <v/>
          </cell>
          <cell r="CPD2" t="str">
            <v/>
          </cell>
          <cell r="CPE2" t="str">
            <v/>
          </cell>
          <cell r="CPF2" t="str">
            <v/>
          </cell>
          <cell r="CPG2" t="str">
            <v/>
          </cell>
          <cell r="CPH2" t="str">
            <v/>
          </cell>
          <cell r="CPI2" t="str">
            <v/>
          </cell>
          <cell r="CPJ2" t="str">
            <v/>
          </cell>
          <cell r="CPK2" t="str">
            <v/>
          </cell>
          <cell r="CPL2" t="str">
            <v/>
          </cell>
          <cell r="CPM2" t="str">
            <v/>
          </cell>
          <cell r="CPN2" t="str">
            <v/>
          </cell>
          <cell r="CPO2" t="str">
            <v/>
          </cell>
          <cell r="CPP2" t="str">
            <v/>
          </cell>
          <cell r="CPQ2" t="str">
            <v/>
          </cell>
          <cell r="CPR2" t="str">
            <v/>
          </cell>
          <cell r="CPS2" t="str">
            <v/>
          </cell>
          <cell r="CPT2" t="str">
            <v/>
          </cell>
          <cell r="CPU2" t="str">
            <v/>
          </cell>
          <cell r="CPV2" t="str">
            <v/>
          </cell>
          <cell r="CPW2" t="str">
            <v/>
          </cell>
          <cell r="CPX2" t="str">
            <v/>
          </cell>
          <cell r="CPY2" t="str">
            <v/>
          </cell>
          <cell r="CPZ2" t="str">
            <v/>
          </cell>
          <cell r="CQA2" t="str">
            <v/>
          </cell>
          <cell r="CQB2" t="str">
            <v/>
          </cell>
          <cell r="CQC2" t="str">
            <v/>
          </cell>
          <cell r="CQD2" t="str">
            <v/>
          </cell>
          <cell r="CQE2" t="str">
            <v/>
          </cell>
          <cell r="CQF2" t="str">
            <v/>
          </cell>
          <cell r="CQG2" t="str">
            <v/>
          </cell>
          <cell r="CQH2" t="str">
            <v/>
          </cell>
          <cell r="CQI2" t="str">
            <v/>
          </cell>
          <cell r="CQJ2" t="str">
            <v/>
          </cell>
          <cell r="CQK2" t="str">
            <v/>
          </cell>
          <cell r="CQL2" t="str">
            <v/>
          </cell>
          <cell r="CQM2" t="str">
            <v/>
          </cell>
          <cell r="CQN2" t="str">
            <v/>
          </cell>
          <cell r="CQO2" t="str">
            <v/>
          </cell>
          <cell r="CQP2" t="str">
            <v/>
          </cell>
          <cell r="CQQ2" t="str">
            <v/>
          </cell>
          <cell r="CQR2" t="str">
            <v/>
          </cell>
          <cell r="CQS2" t="str">
            <v/>
          </cell>
          <cell r="CQT2" t="str">
            <v/>
          </cell>
          <cell r="CQU2" t="str">
            <v/>
          </cell>
          <cell r="CQV2" t="str">
            <v/>
          </cell>
          <cell r="CQW2" t="str">
            <v/>
          </cell>
          <cell r="CQX2" t="str">
            <v/>
          </cell>
          <cell r="CQY2" t="str">
            <v/>
          </cell>
          <cell r="CQZ2" t="str">
            <v/>
          </cell>
          <cell r="CRA2" t="str">
            <v/>
          </cell>
          <cell r="CRB2" t="str">
            <v/>
          </cell>
          <cell r="CRC2" t="str">
            <v/>
          </cell>
          <cell r="CRD2" t="str">
            <v/>
          </cell>
          <cell r="CRE2" t="str">
            <v/>
          </cell>
          <cell r="CRF2" t="str">
            <v/>
          </cell>
          <cell r="CRG2" t="str">
            <v/>
          </cell>
          <cell r="CRH2" t="str">
            <v/>
          </cell>
          <cell r="CRI2" t="str">
            <v/>
          </cell>
          <cell r="CRJ2" t="str">
            <v/>
          </cell>
          <cell r="CRK2" t="str">
            <v/>
          </cell>
          <cell r="CRL2" t="str">
            <v/>
          </cell>
          <cell r="CRM2" t="str">
            <v/>
          </cell>
          <cell r="CRN2" t="str">
            <v/>
          </cell>
          <cell r="CRO2" t="str">
            <v/>
          </cell>
          <cell r="CRP2" t="str">
            <v/>
          </cell>
          <cell r="CRQ2" t="str">
            <v/>
          </cell>
          <cell r="CRR2" t="str">
            <v/>
          </cell>
          <cell r="CRS2" t="str">
            <v/>
          </cell>
          <cell r="CRT2" t="str">
            <v/>
          </cell>
          <cell r="CRU2" t="str">
            <v/>
          </cell>
          <cell r="CRV2" t="str">
            <v/>
          </cell>
          <cell r="CRW2" t="str">
            <v/>
          </cell>
          <cell r="CRX2" t="str">
            <v/>
          </cell>
          <cell r="CRY2" t="str">
            <v/>
          </cell>
          <cell r="CRZ2" t="str">
            <v/>
          </cell>
          <cell r="CSA2" t="str">
            <v/>
          </cell>
          <cell r="CSB2" t="str">
            <v/>
          </cell>
          <cell r="CSC2" t="str">
            <v/>
          </cell>
          <cell r="CSD2" t="str">
            <v/>
          </cell>
          <cell r="CSE2" t="str">
            <v/>
          </cell>
          <cell r="CSF2" t="str">
            <v/>
          </cell>
          <cell r="CSG2" t="str">
            <v/>
          </cell>
          <cell r="CSH2" t="str">
            <v/>
          </cell>
          <cell r="CSI2" t="str">
            <v/>
          </cell>
          <cell r="CSJ2" t="str">
            <v/>
          </cell>
          <cell r="CSK2" t="str">
            <v/>
          </cell>
          <cell r="CSL2" t="str">
            <v/>
          </cell>
          <cell r="CSM2" t="str">
            <v/>
          </cell>
          <cell r="CSN2" t="str">
            <v/>
          </cell>
          <cell r="CSO2" t="str">
            <v/>
          </cell>
          <cell r="CSP2" t="str">
            <v/>
          </cell>
          <cell r="CSQ2" t="str">
            <v/>
          </cell>
          <cell r="CSR2" t="str">
            <v/>
          </cell>
          <cell r="CSS2" t="str">
            <v/>
          </cell>
          <cell r="CST2" t="str">
            <v/>
          </cell>
          <cell r="CSU2" t="str">
            <v/>
          </cell>
          <cell r="CSV2" t="str">
            <v/>
          </cell>
          <cell r="CSW2" t="str">
            <v/>
          </cell>
          <cell r="CSX2" t="str">
            <v/>
          </cell>
          <cell r="CSY2" t="str">
            <v/>
          </cell>
          <cell r="CSZ2" t="str">
            <v/>
          </cell>
          <cell r="CTA2" t="str">
            <v/>
          </cell>
          <cell r="CTB2" t="str">
            <v/>
          </cell>
          <cell r="CTC2" t="str">
            <v/>
          </cell>
          <cell r="CTD2" t="str">
            <v/>
          </cell>
          <cell r="CTE2" t="str">
            <v/>
          </cell>
          <cell r="CTF2" t="str">
            <v/>
          </cell>
          <cell r="CTG2" t="str">
            <v/>
          </cell>
          <cell r="CTH2" t="str">
            <v/>
          </cell>
          <cell r="CTI2" t="str">
            <v/>
          </cell>
          <cell r="CTJ2" t="str">
            <v/>
          </cell>
          <cell r="CTK2" t="str">
            <v/>
          </cell>
          <cell r="CTL2" t="str">
            <v/>
          </cell>
          <cell r="CTM2" t="str">
            <v/>
          </cell>
          <cell r="CTN2" t="str">
            <v/>
          </cell>
          <cell r="CTO2" t="str">
            <v/>
          </cell>
          <cell r="CTP2" t="str">
            <v/>
          </cell>
          <cell r="CTQ2" t="str">
            <v/>
          </cell>
          <cell r="CTR2" t="str">
            <v/>
          </cell>
          <cell r="CTS2" t="str">
            <v/>
          </cell>
          <cell r="CTT2" t="str">
            <v/>
          </cell>
          <cell r="CTU2" t="str">
            <v/>
          </cell>
          <cell r="CTV2" t="str">
            <v/>
          </cell>
          <cell r="CTW2" t="str">
            <v/>
          </cell>
          <cell r="CTX2" t="str">
            <v/>
          </cell>
          <cell r="CTY2" t="str">
            <v/>
          </cell>
          <cell r="CTZ2" t="str">
            <v/>
          </cell>
          <cell r="CUA2" t="str">
            <v/>
          </cell>
          <cell r="CUB2" t="str">
            <v/>
          </cell>
          <cell r="CUC2" t="str">
            <v/>
          </cell>
          <cell r="CUD2" t="str">
            <v/>
          </cell>
          <cell r="CUE2" t="str">
            <v/>
          </cell>
          <cell r="CUF2" t="str">
            <v/>
          </cell>
          <cell r="CUG2" t="str">
            <v/>
          </cell>
          <cell r="CUH2" t="str">
            <v/>
          </cell>
          <cell r="CUI2" t="str">
            <v/>
          </cell>
          <cell r="CUJ2" t="str">
            <v/>
          </cell>
          <cell r="CUK2" t="str">
            <v/>
          </cell>
          <cell r="CUL2" t="str">
            <v/>
          </cell>
          <cell r="CUM2" t="str">
            <v/>
          </cell>
          <cell r="CUN2" t="str">
            <v/>
          </cell>
          <cell r="CUO2" t="str">
            <v/>
          </cell>
          <cell r="CUP2" t="str">
            <v/>
          </cell>
          <cell r="CUQ2" t="str">
            <v/>
          </cell>
          <cell r="CUR2" t="str">
            <v/>
          </cell>
          <cell r="CUS2" t="str">
            <v/>
          </cell>
          <cell r="CUT2" t="str">
            <v/>
          </cell>
          <cell r="CUU2" t="str">
            <v/>
          </cell>
          <cell r="CUV2" t="str">
            <v/>
          </cell>
          <cell r="CUW2" t="str">
            <v/>
          </cell>
          <cell r="CUX2" t="str">
            <v/>
          </cell>
          <cell r="CUY2" t="str">
            <v/>
          </cell>
          <cell r="CUZ2" t="str">
            <v/>
          </cell>
          <cell r="CVA2" t="str">
            <v/>
          </cell>
          <cell r="CVB2" t="str">
            <v/>
          </cell>
          <cell r="CVC2" t="str">
            <v/>
          </cell>
          <cell r="CVD2" t="str">
            <v/>
          </cell>
          <cell r="CVE2" t="str">
            <v/>
          </cell>
          <cell r="CVF2" t="str">
            <v/>
          </cell>
          <cell r="CVG2" t="str">
            <v/>
          </cell>
          <cell r="CVH2" t="str">
            <v/>
          </cell>
          <cell r="CVI2" t="str">
            <v/>
          </cell>
          <cell r="CVJ2" t="str">
            <v/>
          </cell>
          <cell r="CVK2" t="str">
            <v/>
          </cell>
          <cell r="CVL2" t="str">
            <v/>
          </cell>
          <cell r="CVM2" t="str">
            <v/>
          </cell>
          <cell r="CVN2" t="str">
            <v/>
          </cell>
          <cell r="CVO2" t="str">
            <v/>
          </cell>
          <cell r="CVP2" t="str">
            <v/>
          </cell>
          <cell r="CVQ2" t="str">
            <v/>
          </cell>
          <cell r="CVR2" t="str">
            <v/>
          </cell>
          <cell r="CVS2" t="str">
            <v/>
          </cell>
          <cell r="CVT2" t="str">
            <v/>
          </cell>
          <cell r="CVU2" t="str">
            <v/>
          </cell>
          <cell r="CVV2" t="str">
            <v/>
          </cell>
          <cell r="CVW2" t="str">
            <v/>
          </cell>
          <cell r="CVX2" t="str">
            <v/>
          </cell>
          <cell r="CVY2" t="str">
            <v/>
          </cell>
          <cell r="CVZ2" t="str">
            <v/>
          </cell>
          <cell r="CWA2" t="str">
            <v/>
          </cell>
          <cell r="CWB2" t="str">
            <v/>
          </cell>
          <cell r="CWC2" t="str">
            <v/>
          </cell>
          <cell r="CWD2" t="str">
            <v/>
          </cell>
          <cell r="CWE2" t="str">
            <v/>
          </cell>
          <cell r="CWF2" t="str">
            <v/>
          </cell>
          <cell r="CWG2" t="str">
            <v/>
          </cell>
          <cell r="CWH2" t="str">
            <v/>
          </cell>
          <cell r="CWI2" t="str">
            <v/>
          </cell>
          <cell r="CWJ2" t="str">
            <v/>
          </cell>
          <cell r="CWK2" t="str">
            <v/>
          </cell>
          <cell r="CWL2" t="str">
            <v/>
          </cell>
          <cell r="CWM2" t="str">
            <v/>
          </cell>
          <cell r="CWN2" t="str">
            <v/>
          </cell>
          <cell r="CWO2" t="str">
            <v/>
          </cell>
          <cell r="CWP2" t="str">
            <v/>
          </cell>
          <cell r="CWQ2" t="str">
            <v/>
          </cell>
          <cell r="CWR2" t="str">
            <v/>
          </cell>
          <cell r="CWS2" t="str">
            <v/>
          </cell>
          <cell r="CWT2" t="str">
            <v/>
          </cell>
          <cell r="CWU2" t="str">
            <v/>
          </cell>
          <cell r="CWV2" t="str">
            <v/>
          </cell>
          <cell r="CWW2" t="str">
            <v/>
          </cell>
          <cell r="CWX2" t="str">
            <v/>
          </cell>
          <cell r="CWY2" t="str">
            <v/>
          </cell>
          <cell r="CWZ2" t="str">
            <v/>
          </cell>
          <cell r="CXA2" t="str">
            <v/>
          </cell>
          <cell r="CXB2" t="str">
            <v/>
          </cell>
          <cell r="CXC2" t="str">
            <v/>
          </cell>
          <cell r="CXD2" t="str">
            <v/>
          </cell>
          <cell r="CXE2" t="str">
            <v/>
          </cell>
          <cell r="CXF2" t="str">
            <v/>
          </cell>
          <cell r="CXG2" t="str">
            <v/>
          </cell>
          <cell r="CXH2" t="str">
            <v/>
          </cell>
          <cell r="CXI2" t="str">
            <v/>
          </cell>
          <cell r="CXJ2" t="str">
            <v/>
          </cell>
          <cell r="CXK2" t="str">
            <v/>
          </cell>
          <cell r="CXL2" t="str">
            <v/>
          </cell>
          <cell r="CXM2" t="str">
            <v/>
          </cell>
          <cell r="CXN2" t="str">
            <v/>
          </cell>
          <cell r="CXO2" t="str">
            <v/>
          </cell>
          <cell r="CXP2" t="str">
            <v/>
          </cell>
          <cell r="CXQ2" t="str">
            <v/>
          </cell>
          <cell r="CXR2" t="str">
            <v/>
          </cell>
          <cell r="CXS2" t="str">
            <v/>
          </cell>
          <cell r="CXT2" t="str">
            <v/>
          </cell>
          <cell r="CXU2" t="str">
            <v/>
          </cell>
          <cell r="CXV2" t="str">
            <v/>
          </cell>
          <cell r="CXW2" t="str">
            <v/>
          </cell>
          <cell r="CXX2" t="str">
            <v/>
          </cell>
          <cell r="CXY2" t="str">
            <v/>
          </cell>
          <cell r="CXZ2" t="str">
            <v/>
          </cell>
          <cell r="CYA2" t="str">
            <v/>
          </cell>
          <cell r="CYB2" t="str">
            <v/>
          </cell>
          <cell r="CYC2" t="str">
            <v/>
          </cell>
          <cell r="CYD2" t="str">
            <v/>
          </cell>
          <cell r="CYE2" t="str">
            <v/>
          </cell>
          <cell r="CYF2" t="str">
            <v/>
          </cell>
          <cell r="CYG2" t="str">
            <v/>
          </cell>
          <cell r="CYH2" t="str">
            <v/>
          </cell>
          <cell r="CYI2" t="str">
            <v/>
          </cell>
          <cell r="CYJ2" t="str">
            <v/>
          </cell>
          <cell r="CYK2" t="str">
            <v/>
          </cell>
          <cell r="CYL2" t="str">
            <v/>
          </cell>
          <cell r="CYM2" t="str">
            <v/>
          </cell>
          <cell r="CYN2" t="str">
            <v/>
          </cell>
          <cell r="CYO2" t="str">
            <v/>
          </cell>
          <cell r="CYP2" t="str">
            <v/>
          </cell>
          <cell r="CYQ2" t="str">
            <v/>
          </cell>
          <cell r="CYR2" t="str">
            <v/>
          </cell>
          <cell r="CYS2" t="str">
            <v/>
          </cell>
          <cell r="CYT2" t="str">
            <v/>
          </cell>
          <cell r="CYU2" t="str">
            <v/>
          </cell>
          <cell r="CYV2" t="str">
            <v/>
          </cell>
          <cell r="CYW2" t="str">
            <v/>
          </cell>
          <cell r="CYX2" t="str">
            <v/>
          </cell>
          <cell r="CYY2" t="str">
            <v/>
          </cell>
          <cell r="CYZ2" t="str">
            <v/>
          </cell>
          <cell r="CZA2" t="str">
            <v/>
          </cell>
          <cell r="CZB2" t="str">
            <v/>
          </cell>
          <cell r="CZC2" t="str">
            <v/>
          </cell>
          <cell r="CZD2" t="str">
            <v/>
          </cell>
          <cell r="CZE2" t="str">
            <v/>
          </cell>
          <cell r="CZF2" t="str">
            <v/>
          </cell>
          <cell r="CZG2" t="str">
            <v/>
          </cell>
          <cell r="CZH2" t="str">
            <v/>
          </cell>
          <cell r="CZI2" t="str">
            <v/>
          </cell>
          <cell r="CZJ2" t="str">
            <v/>
          </cell>
          <cell r="CZK2" t="str">
            <v/>
          </cell>
          <cell r="CZL2" t="str">
            <v/>
          </cell>
          <cell r="CZM2" t="str">
            <v/>
          </cell>
          <cell r="CZN2" t="str">
            <v/>
          </cell>
          <cell r="CZO2" t="str">
            <v/>
          </cell>
          <cell r="CZP2" t="str">
            <v/>
          </cell>
          <cell r="CZQ2" t="str">
            <v/>
          </cell>
          <cell r="CZR2" t="str">
            <v/>
          </cell>
          <cell r="CZS2" t="str">
            <v/>
          </cell>
          <cell r="CZT2" t="str">
            <v/>
          </cell>
          <cell r="CZU2" t="str">
            <v/>
          </cell>
          <cell r="CZV2" t="str">
            <v/>
          </cell>
          <cell r="CZW2" t="str">
            <v/>
          </cell>
          <cell r="CZX2" t="str">
            <v/>
          </cell>
          <cell r="CZY2" t="str">
            <v/>
          </cell>
          <cell r="CZZ2" t="str">
            <v/>
          </cell>
          <cell r="DAA2" t="str">
            <v/>
          </cell>
          <cell r="DAB2" t="str">
            <v/>
          </cell>
          <cell r="DAC2" t="str">
            <v/>
          </cell>
          <cell r="DAD2" t="str">
            <v/>
          </cell>
          <cell r="DAE2" t="str">
            <v/>
          </cell>
          <cell r="DAF2" t="str">
            <v/>
          </cell>
          <cell r="DAG2" t="str">
            <v/>
          </cell>
          <cell r="DAH2" t="str">
            <v/>
          </cell>
          <cell r="DAI2" t="str">
            <v/>
          </cell>
          <cell r="DAJ2" t="str">
            <v/>
          </cell>
          <cell r="DAK2" t="str">
            <v/>
          </cell>
          <cell r="DAL2" t="str">
            <v/>
          </cell>
          <cell r="DAM2" t="str">
            <v/>
          </cell>
          <cell r="DAN2" t="str">
            <v/>
          </cell>
          <cell r="DAO2" t="str">
            <v/>
          </cell>
          <cell r="DAP2" t="str">
            <v/>
          </cell>
          <cell r="DAQ2" t="str">
            <v/>
          </cell>
          <cell r="DAR2" t="str">
            <v/>
          </cell>
          <cell r="DAS2" t="str">
            <v/>
          </cell>
          <cell r="DAT2" t="str">
            <v/>
          </cell>
          <cell r="DAU2" t="str">
            <v/>
          </cell>
          <cell r="DAV2" t="str">
            <v/>
          </cell>
          <cell r="DAW2" t="str">
            <v/>
          </cell>
          <cell r="DAX2" t="str">
            <v/>
          </cell>
          <cell r="DAY2" t="str">
            <v/>
          </cell>
          <cell r="DAZ2" t="str">
            <v/>
          </cell>
          <cell r="DBA2" t="str">
            <v/>
          </cell>
          <cell r="DBB2" t="str">
            <v/>
          </cell>
          <cell r="DBC2" t="str">
            <v/>
          </cell>
          <cell r="DBD2" t="str">
            <v/>
          </cell>
          <cell r="DBE2" t="str">
            <v/>
          </cell>
          <cell r="DBF2" t="str">
            <v/>
          </cell>
          <cell r="DBG2" t="str">
            <v/>
          </cell>
          <cell r="DBH2" t="str">
            <v/>
          </cell>
          <cell r="DBI2" t="str">
            <v/>
          </cell>
          <cell r="DBJ2" t="str">
            <v/>
          </cell>
          <cell r="DBK2" t="str">
            <v/>
          </cell>
          <cell r="DBL2" t="str">
            <v/>
          </cell>
          <cell r="DBM2" t="str">
            <v/>
          </cell>
          <cell r="DBN2" t="str">
            <v/>
          </cell>
          <cell r="DBO2" t="str">
            <v/>
          </cell>
          <cell r="DBP2" t="str">
            <v/>
          </cell>
          <cell r="DBQ2" t="str">
            <v/>
          </cell>
          <cell r="DBR2" t="str">
            <v/>
          </cell>
          <cell r="DBS2" t="str">
            <v/>
          </cell>
          <cell r="DBT2" t="str">
            <v/>
          </cell>
          <cell r="DBU2" t="str">
            <v/>
          </cell>
          <cell r="DBV2" t="str">
            <v/>
          </cell>
          <cell r="DBW2" t="str">
            <v/>
          </cell>
          <cell r="DBX2" t="str">
            <v/>
          </cell>
          <cell r="DBY2" t="str">
            <v/>
          </cell>
          <cell r="DBZ2" t="str">
            <v/>
          </cell>
          <cell r="DCA2" t="str">
            <v/>
          </cell>
          <cell r="DCB2" t="str">
            <v/>
          </cell>
          <cell r="DCC2" t="str">
            <v/>
          </cell>
          <cell r="DCD2" t="str">
            <v/>
          </cell>
          <cell r="DCE2" t="str">
            <v/>
          </cell>
          <cell r="DCF2" t="str">
            <v/>
          </cell>
          <cell r="DCG2" t="str">
            <v/>
          </cell>
          <cell r="DCH2" t="str">
            <v/>
          </cell>
          <cell r="DCI2" t="str">
            <v/>
          </cell>
          <cell r="DCJ2" t="str">
            <v/>
          </cell>
          <cell r="DCK2" t="str">
            <v/>
          </cell>
          <cell r="DCL2" t="str">
            <v/>
          </cell>
          <cell r="DCM2" t="str">
            <v/>
          </cell>
          <cell r="DCN2" t="str">
            <v/>
          </cell>
          <cell r="DCO2" t="str">
            <v/>
          </cell>
          <cell r="DCP2" t="str">
            <v/>
          </cell>
          <cell r="DCQ2" t="str">
            <v/>
          </cell>
          <cell r="DCR2" t="str">
            <v/>
          </cell>
          <cell r="DCS2" t="str">
            <v/>
          </cell>
          <cell r="DCT2" t="str">
            <v/>
          </cell>
          <cell r="DCU2" t="str">
            <v/>
          </cell>
          <cell r="DCV2" t="str">
            <v/>
          </cell>
          <cell r="DCW2" t="str">
            <v/>
          </cell>
          <cell r="DCX2" t="str">
            <v/>
          </cell>
          <cell r="DCY2" t="str">
            <v/>
          </cell>
          <cell r="DCZ2" t="str">
            <v/>
          </cell>
          <cell r="DDA2" t="str">
            <v/>
          </cell>
          <cell r="DDB2" t="str">
            <v/>
          </cell>
          <cell r="DDC2" t="str">
            <v/>
          </cell>
          <cell r="DDD2" t="str">
            <v/>
          </cell>
          <cell r="DDE2" t="str">
            <v/>
          </cell>
          <cell r="DDF2" t="str">
            <v/>
          </cell>
          <cell r="DDG2" t="str">
            <v/>
          </cell>
          <cell r="DDH2" t="str">
            <v/>
          </cell>
          <cell r="DDI2" t="str">
            <v/>
          </cell>
          <cell r="DDJ2" t="str">
            <v/>
          </cell>
          <cell r="DDK2" t="str">
            <v/>
          </cell>
          <cell r="DDL2" t="str">
            <v/>
          </cell>
          <cell r="DDM2" t="str">
            <v/>
          </cell>
          <cell r="DDN2" t="str">
            <v/>
          </cell>
          <cell r="DDO2" t="str">
            <v/>
          </cell>
          <cell r="DDP2" t="str">
            <v/>
          </cell>
          <cell r="DDQ2" t="str">
            <v/>
          </cell>
          <cell r="DDR2" t="str">
            <v/>
          </cell>
          <cell r="DDS2" t="str">
            <v/>
          </cell>
          <cell r="DDT2" t="str">
            <v/>
          </cell>
          <cell r="DDU2" t="str">
            <v/>
          </cell>
          <cell r="DDV2" t="str">
            <v/>
          </cell>
          <cell r="DDW2" t="str">
            <v/>
          </cell>
          <cell r="DDX2" t="str">
            <v/>
          </cell>
          <cell r="DDY2" t="str">
            <v/>
          </cell>
          <cell r="DDZ2" t="str">
            <v/>
          </cell>
          <cell r="DEA2" t="str">
            <v/>
          </cell>
          <cell r="DEB2" t="str">
            <v/>
          </cell>
          <cell r="DEC2" t="str">
            <v/>
          </cell>
          <cell r="DED2" t="str">
            <v/>
          </cell>
          <cell r="DEE2" t="str">
            <v/>
          </cell>
          <cell r="DEF2" t="str">
            <v/>
          </cell>
          <cell r="DEG2" t="str">
            <v/>
          </cell>
          <cell r="DEH2" t="str">
            <v/>
          </cell>
          <cell r="DEI2" t="str">
            <v/>
          </cell>
          <cell r="DEJ2" t="str">
            <v/>
          </cell>
          <cell r="DEK2" t="str">
            <v/>
          </cell>
          <cell r="DEL2" t="str">
            <v/>
          </cell>
          <cell r="DEM2" t="str">
            <v/>
          </cell>
          <cell r="DEN2" t="str">
            <v/>
          </cell>
          <cell r="DEO2" t="str">
            <v/>
          </cell>
          <cell r="DEP2" t="str">
            <v/>
          </cell>
          <cell r="DEQ2" t="str">
            <v/>
          </cell>
          <cell r="DER2" t="str">
            <v/>
          </cell>
          <cell r="DES2" t="str">
            <v/>
          </cell>
          <cell r="DET2" t="str">
            <v/>
          </cell>
          <cell r="DEU2" t="str">
            <v/>
          </cell>
          <cell r="DEV2" t="str">
            <v/>
          </cell>
          <cell r="DEW2" t="str">
            <v/>
          </cell>
          <cell r="DEX2" t="str">
            <v/>
          </cell>
          <cell r="DEY2" t="str">
            <v/>
          </cell>
          <cell r="DEZ2" t="str">
            <v/>
          </cell>
          <cell r="DFA2" t="str">
            <v/>
          </cell>
          <cell r="DFB2" t="str">
            <v/>
          </cell>
          <cell r="DFC2" t="str">
            <v/>
          </cell>
          <cell r="DFD2" t="str">
            <v/>
          </cell>
          <cell r="DFE2" t="str">
            <v/>
          </cell>
          <cell r="DFF2" t="str">
            <v/>
          </cell>
          <cell r="DFG2" t="str">
            <v/>
          </cell>
          <cell r="DFH2" t="str">
            <v/>
          </cell>
          <cell r="DFI2" t="str">
            <v/>
          </cell>
          <cell r="DFJ2" t="str">
            <v/>
          </cell>
          <cell r="DFK2" t="str">
            <v/>
          </cell>
          <cell r="DFL2" t="str">
            <v/>
          </cell>
          <cell r="DFM2" t="str">
            <v/>
          </cell>
          <cell r="DFN2" t="str">
            <v/>
          </cell>
          <cell r="DFO2" t="str">
            <v/>
          </cell>
          <cell r="DFP2" t="str">
            <v/>
          </cell>
          <cell r="DFQ2" t="str">
            <v/>
          </cell>
          <cell r="DFR2" t="str">
            <v/>
          </cell>
          <cell r="DFS2" t="str">
            <v/>
          </cell>
          <cell r="DFT2" t="str">
            <v/>
          </cell>
          <cell r="DFU2" t="str">
            <v/>
          </cell>
          <cell r="DFV2" t="str">
            <v/>
          </cell>
          <cell r="DFW2" t="str">
            <v/>
          </cell>
          <cell r="DFX2" t="str">
            <v/>
          </cell>
          <cell r="DFY2" t="str">
            <v/>
          </cell>
          <cell r="DFZ2" t="str">
            <v/>
          </cell>
          <cell r="DGA2" t="str">
            <v/>
          </cell>
          <cell r="DGB2" t="str">
            <v/>
          </cell>
          <cell r="DGC2" t="str">
            <v/>
          </cell>
          <cell r="DGD2" t="str">
            <v/>
          </cell>
          <cell r="DGE2" t="str">
            <v/>
          </cell>
          <cell r="DGF2" t="str">
            <v/>
          </cell>
          <cell r="DGG2" t="str">
            <v/>
          </cell>
          <cell r="DGH2" t="str">
            <v/>
          </cell>
          <cell r="DGI2" t="str">
            <v/>
          </cell>
          <cell r="DGJ2" t="str">
            <v/>
          </cell>
          <cell r="DGK2" t="str">
            <v/>
          </cell>
          <cell r="DGL2" t="str">
            <v/>
          </cell>
          <cell r="DGM2" t="str">
            <v/>
          </cell>
          <cell r="DGN2" t="str">
            <v/>
          </cell>
          <cell r="DGO2" t="str">
            <v/>
          </cell>
          <cell r="DGP2" t="str">
            <v/>
          </cell>
          <cell r="DGQ2" t="str">
            <v/>
          </cell>
          <cell r="DGR2" t="str">
            <v/>
          </cell>
          <cell r="DGS2" t="str">
            <v/>
          </cell>
          <cell r="DGT2" t="str">
            <v/>
          </cell>
          <cell r="DGU2" t="str">
            <v/>
          </cell>
          <cell r="DGV2" t="str">
            <v/>
          </cell>
          <cell r="DGW2" t="str">
            <v/>
          </cell>
          <cell r="DGX2" t="str">
            <v/>
          </cell>
          <cell r="DGY2" t="str">
            <v/>
          </cell>
          <cell r="DGZ2" t="str">
            <v/>
          </cell>
          <cell r="DHA2" t="str">
            <v/>
          </cell>
          <cell r="DHB2" t="str">
            <v/>
          </cell>
          <cell r="DHC2" t="str">
            <v/>
          </cell>
          <cell r="DHD2" t="str">
            <v/>
          </cell>
          <cell r="DHE2" t="str">
            <v/>
          </cell>
          <cell r="DHF2" t="str">
            <v/>
          </cell>
          <cell r="DHG2" t="str">
            <v/>
          </cell>
          <cell r="DHH2" t="str">
            <v/>
          </cell>
          <cell r="DHI2" t="str">
            <v/>
          </cell>
          <cell r="DHJ2" t="str">
            <v/>
          </cell>
          <cell r="DHK2" t="str">
            <v/>
          </cell>
          <cell r="DHL2" t="str">
            <v/>
          </cell>
          <cell r="DHM2" t="str">
            <v/>
          </cell>
          <cell r="DHN2" t="str">
            <v/>
          </cell>
          <cell r="DHO2" t="str">
            <v/>
          </cell>
          <cell r="DHP2" t="str">
            <v/>
          </cell>
          <cell r="DHQ2" t="str">
            <v/>
          </cell>
          <cell r="DHR2" t="str">
            <v/>
          </cell>
          <cell r="DHS2" t="str">
            <v/>
          </cell>
          <cell r="DHT2" t="str">
            <v/>
          </cell>
          <cell r="DHU2" t="str">
            <v/>
          </cell>
          <cell r="DHV2" t="str">
            <v/>
          </cell>
          <cell r="DHW2" t="str">
            <v/>
          </cell>
          <cell r="DHX2" t="str">
            <v/>
          </cell>
          <cell r="DHY2" t="str">
            <v/>
          </cell>
          <cell r="DHZ2" t="str">
            <v/>
          </cell>
          <cell r="DIA2" t="str">
            <v/>
          </cell>
          <cell r="DIB2" t="str">
            <v/>
          </cell>
          <cell r="DIC2" t="str">
            <v/>
          </cell>
          <cell r="DID2" t="str">
            <v/>
          </cell>
          <cell r="DIE2" t="str">
            <v/>
          </cell>
          <cell r="DIF2" t="str">
            <v/>
          </cell>
          <cell r="DIG2" t="str">
            <v/>
          </cell>
          <cell r="DIH2" t="str">
            <v/>
          </cell>
          <cell r="DII2" t="str">
            <v/>
          </cell>
          <cell r="DIJ2" t="str">
            <v/>
          </cell>
          <cell r="DIK2" t="str">
            <v/>
          </cell>
          <cell r="DIL2" t="str">
            <v/>
          </cell>
          <cell r="DIM2" t="str">
            <v/>
          </cell>
          <cell r="DIN2" t="str">
            <v/>
          </cell>
          <cell r="DIO2" t="str">
            <v/>
          </cell>
          <cell r="DIP2" t="str">
            <v/>
          </cell>
          <cell r="DIQ2" t="str">
            <v/>
          </cell>
          <cell r="DIR2" t="str">
            <v/>
          </cell>
          <cell r="DIS2" t="str">
            <v/>
          </cell>
          <cell r="DIT2" t="str">
            <v/>
          </cell>
          <cell r="DIU2" t="str">
            <v/>
          </cell>
          <cell r="DIV2" t="str">
            <v/>
          </cell>
          <cell r="DIW2" t="str">
            <v/>
          </cell>
          <cell r="DIX2" t="str">
            <v/>
          </cell>
          <cell r="DIY2" t="str">
            <v/>
          </cell>
          <cell r="DIZ2" t="str">
            <v/>
          </cell>
          <cell r="DJA2" t="str">
            <v/>
          </cell>
          <cell r="DJB2" t="str">
            <v/>
          </cell>
          <cell r="DJC2" t="str">
            <v/>
          </cell>
          <cell r="DJD2" t="str">
            <v/>
          </cell>
          <cell r="DJE2" t="str">
            <v/>
          </cell>
          <cell r="DJF2" t="str">
            <v/>
          </cell>
          <cell r="DJG2" t="str">
            <v/>
          </cell>
          <cell r="DJH2" t="str">
            <v/>
          </cell>
          <cell r="DJI2" t="str">
            <v/>
          </cell>
          <cell r="DJJ2" t="str">
            <v/>
          </cell>
          <cell r="DJK2" t="str">
            <v/>
          </cell>
          <cell r="DJL2" t="str">
            <v/>
          </cell>
          <cell r="DJM2" t="str">
            <v/>
          </cell>
          <cell r="DJN2" t="str">
            <v/>
          </cell>
          <cell r="DJO2" t="str">
            <v/>
          </cell>
          <cell r="DJP2" t="str">
            <v/>
          </cell>
          <cell r="DJQ2" t="str">
            <v/>
          </cell>
          <cell r="DJR2" t="str">
            <v/>
          </cell>
          <cell r="DJS2" t="str">
            <v/>
          </cell>
          <cell r="DJT2" t="str">
            <v/>
          </cell>
          <cell r="DJU2" t="str">
            <v/>
          </cell>
          <cell r="DJV2" t="str">
            <v/>
          </cell>
          <cell r="DJW2" t="str">
            <v/>
          </cell>
          <cell r="DJX2" t="str">
            <v/>
          </cell>
          <cell r="DJY2" t="str">
            <v/>
          </cell>
          <cell r="DJZ2" t="str">
            <v/>
          </cell>
          <cell r="DKA2" t="str">
            <v/>
          </cell>
          <cell r="DKB2" t="str">
            <v/>
          </cell>
          <cell r="DKC2" t="str">
            <v/>
          </cell>
          <cell r="DKD2" t="str">
            <v/>
          </cell>
          <cell r="DKE2" t="str">
            <v/>
          </cell>
          <cell r="DKF2" t="str">
            <v/>
          </cell>
          <cell r="DKG2" t="str">
            <v/>
          </cell>
          <cell r="DKH2" t="str">
            <v/>
          </cell>
          <cell r="DKI2" t="str">
            <v/>
          </cell>
          <cell r="DKJ2" t="str">
            <v/>
          </cell>
          <cell r="DKK2" t="str">
            <v/>
          </cell>
          <cell r="DKL2" t="str">
            <v/>
          </cell>
          <cell r="DKM2" t="str">
            <v/>
          </cell>
          <cell r="DKN2" t="str">
            <v/>
          </cell>
          <cell r="DKO2" t="str">
            <v/>
          </cell>
          <cell r="DKP2" t="str">
            <v/>
          </cell>
          <cell r="DKQ2" t="str">
            <v/>
          </cell>
          <cell r="DKR2" t="str">
            <v/>
          </cell>
          <cell r="DKS2" t="str">
            <v/>
          </cell>
          <cell r="DKT2" t="str">
            <v/>
          </cell>
          <cell r="DKU2" t="str">
            <v/>
          </cell>
          <cell r="DKV2" t="str">
            <v/>
          </cell>
          <cell r="DKW2" t="str">
            <v/>
          </cell>
          <cell r="DKX2" t="str">
            <v/>
          </cell>
          <cell r="DKY2" t="str">
            <v/>
          </cell>
          <cell r="DKZ2" t="str">
            <v/>
          </cell>
          <cell r="DLA2" t="str">
            <v/>
          </cell>
          <cell r="DLB2" t="str">
            <v/>
          </cell>
          <cell r="DLC2" t="str">
            <v/>
          </cell>
          <cell r="DLD2" t="str">
            <v/>
          </cell>
          <cell r="DLE2" t="str">
            <v/>
          </cell>
          <cell r="DLF2" t="str">
            <v/>
          </cell>
          <cell r="DLG2" t="str">
            <v/>
          </cell>
          <cell r="DLH2" t="str">
            <v/>
          </cell>
          <cell r="DLI2" t="str">
            <v/>
          </cell>
          <cell r="DLJ2" t="str">
            <v/>
          </cell>
          <cell r="DLK2" t="str">
            <v/>
          </cell>
          <cell r="DLL2" t="str">
            <v/>
          </cell>
          <cell r="DLM2" t="str">
            <v/>
          </cell>
          <cell r="DLN2" t="str">
            <v/>
          </cell>
          <cell r="DLO2" t="str">
            <v/>
          </cell>
          <cell r="DLP2" t="str">
            <v/>
          </cell>
          <cell r="DLQ2" t="str">
            <v/>
          </cell>
          <cell r="DLR2" t="str">
            <v/>
          </cell>
          <cell r="DLS2" t="str">
            <v/>
          </cell>
          <cell r="DLT2" t="str">
            <v/>
          </cell>
          <cell r="DLU2" t="str">
            <v/>
          </cell>
          <cell r="DLV2" t="str">
            <v/>
          </cell>
          <cell r="DLW2" t="str">
            <v/>
          </cell>
          <cell r="DLX2" t="str">
            <v/>
          </cell>
          <cell r="DLY2" t="str">
            <v/>
          </cell>
          <cell r="DLZ2" t="str">
            <v/>
          </cell>
          <cell r="DMA2" t="str">
            <v/>
          </cell>
          <cell r="DMB2" t="str">
            <v/>
          </cell>
          <cell r="DMC2" t="str">
            <v/>
          </cell>
          <cell r="DMD2" t="str">
            <v/>
          </cell>
          <cell r="DME2" t="str">
            <v/>
          </cell>
          <cell r="DMF2" t="str">
            <v/>
          </cell>
          <cell r="DMG2" t="str">
            <v/>
          </cell>
          <cell r="DMH2" t="str">
            <v/>
          </cell>
          <cell r="DMI2" t="str">
            <v/>
          </cell>
          <cell r="DMJ2" t="str">
            <v/>
          </cell>
          <cell r="DMK2" t="str">
            <v/>
          </cell>
          <cell r="DML2" t="str">
            <v/>
          </cell>
          <cell r="DMM2" t="str">
            <v/>
          </cell>
          <cell r="DMN2" t="str">
            <v/>
          </cell>
          <cell r="DMO2" t="str">
            <v/>
          </cell>
          <cell r="DMP2" t="str">
            <v/>
          </cell>
          <cell r="DMQ2" t="str">
            <v/>
          </cell>
          <cell r="DMR2" t="str">
            <v/>
          </cell>
          <cell r="DMS2" t="str">
            <v/>
          </cell>
          <cell r="DMT2" t="str">
            <v/>
          </cell>
          <cell r="DMU2" t="str">
            <v/>
          </cell>
          <cell r="DMV2" t="str">
            <v/>
          </cell>
          <cell r="DMW2" t="str">
            <v/>
          </cell>
          <cell r="DMX2" t="str">
            <v/>
          </cell>
          <cell r="DMY2" t="str">
            <v/>
          </cell>
          <cell r="DMZ2" t="str">
            <v/>
          </cell>
          <cell r="DNA2" t="str">
            <v/>
          </cell>
          <cell r="DNB2" t="str">
            <v/>
          </cell>
          <cell r="DNC2" t="str">
            <v/>
          </cell>
          <cell r="DND2" t="str">
            <v/>
          </cell>
          <cell r="DNE2" t="str">
            <v/>
          </cell>
          <cell r="DNF2" t="str">
            <v/>
          </cell>
          <cell r="DNG2" t="str">
            <v/>
          </cell>
          <cell r="DNH2" t="str">
            <v/>
          </cell>
          <cell r="DNI2" t="str">
            <v/>
          </cell>
          <cell r="DNJ2" t="str">
            <v/>
          </cell>
          <cell r="DNK2" t="str">
            <v/>
          </cell>
          <cell r="DNL2" t="str">
            <v/>
          </cell>
          <cell r="DNM2" t="str">
            <v/>
          </cell>
          <cell r="DNN2" t="str">
            <v/>
          </cell>
          <cell r="DNO2" t="str">
            <v/>
          </cell>
          <cell r="DNP2" t="str">
            <v/>
          </cell>
          <cell r="DNQ2" t="str">
            <v/>
          </cell>
          <cell r="DNR2" t="str">
            <v/>
          </cell>
          <cell r="DNS2" t="str">
            <v/>
          </cell>
          <cell r="DNT2" t="str">
            <v/>
          </cell>
          <cell r="DNU2" t="str">
            <v/>
          </cell>
          <cell r="DNV2" t="str">
            <v/>
          </cell>
          <cell r="DNW2" t="str">
            <v/>
          </cell>
          <cell r="DNX2" t="str">
            <v/>
          </cell>
          <cell r="DNY2" t="str">
            <v/>
          </cell>
          <cell r="DNZ2" t="str">
            <v/>
          </cell>
          <cell r="DOA2" t="str">
            <v/>
          </cell>
          <cell r="DOB2" t="str">
            <v/>
          </cell>
          <cell r="DOC2" t="str">
            <v/>
          </cell>
          <cell r="DOD2" t="str">
            <v/>
          </cell>
          <cell r="DOE2" t="str">
            <v/>
          </cell>
          <cell r="DOF2" t="str">
            <v/>
          </cell>
          <cell r="DOG2" t="str">
            <v/>
          </cell>
          <cell r="DOH2" t="str">
            <v/>
          </cell>
          <cell r="DOI2" t="str">
            <v/>
          </cell>
          <cell r="DOJ2" t="str">
            <v/>
          </cell>
          <cell r="DOK2" t="str">
            <v/>
          </cell>
          <cell r="DOL2" t="str">
            <v/>
          </cell>
          <cell r="DOM2" t="str">
            <v/>
          </cell>
          <cell r="DON2" t="str">
            <v/>
          </cell>
          <cell r="DOO2" t="str">
            <v/>
          </cell>
          <cell r="DOP2" t="str">
            <v/>
          </cell>
          <cell r="DOQ2" t="str">
            <v/>
          </cell>
          <cell r="DOR2" t="str">
            <v/>
          </cell>
          <cell r="DOS2" t="str">
            <v/>
          </cell>
          <cell r="DOT2" t="str">
            <v/>
          </cell>
          <cell r="DOU2" t="str">
            <v/>
          </cell>
          <cell r="DOV2" t="str">
            <v/>
          </cell>
          <cell r="DOW2" t="str">
            <v/>
          </cell>
          <cell r="DOX2" t="str">
            <v/>
          </cell>
          <cell r="DOY2" t="str">
            <v/>
          </cell>
          <cell r="DOZ2" t="str">
            <v/>
          </cell>
          <cell r="DPA2" t="str">
            <v/>
          </cell>
          <cell r="DPB2" t="str">
            <v/>
          </cell>
          <cell r="DPC2" t="str">
            <v/>
          </cell>
          <cell r="DPD2" t="str">
            <v/>
          </cell>
          <cell r="DPE2" t="str">
            <v/>
          </cell>
          <cell r="DPF2" t="str">
            <v/>
          </cell>
          <cell r="DPG2" t="str">
            <v/>
          </cell>
          <cell r="DPH2" t="str">
            <v/>
          </cell>
          <cell r="DPI2" t="str">
            <v/>
          </cell>
          <cell r="DPJ2" t="str">
            <v/>
          </cell>
          <cell r="DPK2" t="str">
            <v/>
          </cell>
          <cell r="DPL2" t="str">
            <v/>
          </cell>
          <cell r="DPM2" t="str">
            <v/>
          </cell>
          <cell r="DPN2" t="str">
            <v/>
          </cell>
          <cell r="DPO2" t="str">
            <v/>
          </cell>
          <cell r="DPP2" t="str">
            <v/>
          </cell>
          <cell r="DPQ2" t="str">
            <v/>
          </cell>
          <cell r="DPR2" t="str">
            <v/>
          </cell>
          <cell r="DPS2" t="str">
            <v/>
          </cell>
          <cell r="DPT2" t="str">
            <v/>
          </cell>
          <cell r="DPU2" t="str">
            <v/>
          </cell>
          <cell r="DPV2" t="str">
            <v/>
          </cell>
          <cell r="DPW2" t="str">
            <v/>
          </cell>
          <cell r="DPX2" t="str">
            <v/>
          </cell>
          <cell r="DPY2" t="str">
            <v/>
          </cell>
          <cell r="DPZ2" t="str">
            <v/>
          </cell>
          <cell r="DQA2" t="str">
            <v/>
          </cell>
          <cell r="DQB2" t="str">
            <v/>
          </cell>
          <cell r="DQC2" t="str">
            <v/>
          </cell>
          <cell r="DQD2" t="str">
            <v/>
          </cell>
          <cell r="DQE2" t="str">
            <v/>
          </cell>
          <cell r="DQF2" t="str">
            <v/>
          </cell>
          <cell r="DQG2" t="str">
            <v/>
          </cell>
          <cell r="DQH2" t="str">
            <v/>
          </cell>
          <cell r="DQI2" t="str">
            <v/>
          </cell>
          <cell r="DQJ2" t="str">
            <v/>
          </cell>
          <cell r="DQK2" t="str">
            <v/>
          </cell>
          <cell r="DQL2" t="str">
            <v/>
          </cell>
          <cell r="DQM2" t="str">
            <v/>
          </cell>
          <cell r="DQN2" t="str">
            <v/>
          </cell>
          <cell r="DQO2" t="str">
            <v/>
          </cell>
          <cell r="DQP2" t="str">
            <v/>
          </cell>
          <cell r="DQQ2" t="str">
            <v/>
          </cell>
          <cell r="DQR2" t="str">
            <v/>
          </cell>
          <cell r="DQS2" t="str">
            <v/>
          </cell>
          <cell r="DQT2" t="str">
            <v/>
          </cell>
          <cell r="DQU2" t="str">
            <v/>
          </cell>
          <cell r="DQV2" t="str">
            <v/>
          </cell>
          <cell r="DQW2" t="str">
            <v/>
          </cell>
          <cell r="DQX2" t="str">
            <v/>
          </cell>
          <cell r="DQY2" t="str">
            <v/>
          </cell>
          <cell r="DQZ2" t="str">
            <v/>
          </cell>
          <cell r="DRA2" t="str">
            <v/>
          </cell>
          <cell r="DRB2" t="str">
            <v/>
          </cell>
          <cell r="DRC2" t="str">
            <v/>
          </cell>
          <cell r="DRD2" t="str">
            <v/>
          </cell>
          <cell r="DRE2" t="str">
            <v/>
          </cell>
          <cell r="DRF2" t="str">
            <v/>
          </cell>
          <cell r="DRG2" t="str">
            <v/>
          </cell>
          <cell r="DRH2" t="str">
            <v/>
          </cell>
          <cell r="DRI2" t="str">
            <v/>
          </cell>
          <cell r="DRJ2" t="str">
            <v/>
          </cell>
          <cell r="DRK2" t="str">
            <v/>
          </cell>
          <cell r="DRL2" t="str">
            <v/>
          </cell>
          <cell r="DRM2" t="str">
            <v/>
          </cell>
          <cell r="DRN2" t="str">
            <v/>
          </cell>
          <cell r="DRO2" t="str">
            <v/>
          </cell>
          <cell r="DRP2" t="str">
            <v/>
          </cell>
          <cell r="DRQ2" t="str">
            <v/>
          </cell>
          <cell r="DRR2" t="str">
            <v/>
          </cell>
          <cell r="DRS2" t="str">
            <v/>
          </cell>
          <cell r="DRT2" t="str">
            <v/>
          </cell>
          <cell r="DRU2" t="str">
            <v/>
          </cell>
          <cell r="DRV2" t="str">
            <v/>
          </cell>
          <cell r="DRW2" t="str">
            <v/>
          </cell>
          <cell r="DRX2" t="str">
            <v/>
          </cell>
          <cell r="DRY2" t="str">
            <v/>
          </cell>
          <cell r="DRZ2" t="str">
            <v/>
          </cell>
          <cell r="DSA2" t="str">
            <v/>
          </cell>
          <cell r="DSB2" t="str">
            <v/>
          </cell>
          <cell r="DSC2" t="str">
            <v/>
          </cell>
          <cell r="DSD2" t="str">
            <v/>
          </cell>
          <cell r="DSE2" t="str">
            <v/>
          </cell>
          <cell r="DSF2" t="str">
            <v/>
          </cell>
          <cell r="DSG2" t="str">
            <v/>
          </cell>
          <cell r="DSH2" t="str">
            <v/>
          </cell>
          <cell r="DSI2" t="str">
            <v/>
          </cell>
          <cell r="DSJ2" t="str">
            <v/>
          </cell>
          <cell r="DSK2" t="str">
            <v/>
          </cell>
          <cell r="DSL2" t="str">
            <v/>
          </cell>
          <cell r="DSM2" t="str">
            <v/>
          </cell>
          <cell r="DSN2" t="str">
            <v/>
          </cell>
          <cell r="DSO2" t="str">
            <v/>
          </cell>
          <cell r="DSP2" t="str">
            <v/>
          </cell>
          <cell r="DSQ2" t="str">
            <v/>
          </cell>
          <cell r="DSR2" t="str">
            <v/>
          </cell>
          <cell r="DSS2" t="str">
            <v/>
          </cell>
          <cell r="DST2" t="str">
            <v/>
          </cell>
          <cell r="DSU2" t="str">
            <v/>
          </cell>
          <cell r="DSV2" t="str">
            <v/>
          </cell>
          <cell r="DSW2" t="str">
            <v/>
          </cell>
          <cell r="DSX2" t="str">
            <v/>
          </cell>
          <cell r="DSY2" t="str">
            <v/>
          </cell>
          <cell r="DSZ2" t="str">
            <v/>
          </cell>
          <cell r="DTA2" t="str">
            <v/>
          </cell>
          <cell r="DTB2" t="str">
            <v/>
          </cell>
          <cell r="DTC2" t="str">
            <v/>
          </cell>
          <cell r="DTD2" t="str">
            <v/>
          </cell>
          <cell r="DTE2" t="str">
            <v/>
          </cell>
          <cell r="DTF2" t="str">
            <v/>
          </cell>
          <cell r="DTG2" t="str">
            <v/>
          </cell>
          <cell r="DTH2" t="str">
            <v/>
          </cell>
          <cell r="DTI2" t="str">
            <v/>
          </cell>
          <cell r="DTJ2" t="str">
            <v/>
          </cell>
          <cell r="DTK2" t="str">
            <v/>
          </cell>
          <cell r="DTL2" t="str">
            <v/>
          </cell>
          <cell r="DTM2" t="str">
            <v/>
          </cell>
          <cell r="DTN2" t="str">
            <v/>
          </cell>
          <cell r="DTO2" t="str">
            <v/>
          </cell>
          <cell r="DTP2" t="str">
            <v/>
          </cell>
          <cell r="DTQ2" t="str">
            <v/>
          </cell>
          <cell r="DTR2" t="str">
            <v/>
          </cell>
          <cell r="DTS2" t="str">
            <v/>
          </cell>
          <cell r="DTT2" t="str">
            <v/>
          </cell>
          <cell r="DTU2" t="str">
            <v/>
          </cell>
          <cell r="DTV2" t="str">
            <v/>
          </cell>
          <cell r="DTW2" t="str">
            <v/>
          </cell>
          <cell r="DTX2" t="str">
            <v/>
          </cell>
          <cell r="DTY2" t="str">
            <v/>
          </cell>
          <cell r="DTZ2" t="str">
            <v/>
          </cell>
          <cell r="DUA2" t="str">
            <v/>
          </cell>
          <cell r="DUB2" t="str">
            <v/>
          </cell>
          <cell r="DUC2" t="str">
            <v/>
          </cell>
          <cell r="DUD2" t="str">
            <v/>
          </cell>
          <cell r="DUE2" t="str">
            <v/>
          </cell>
          <cell r="DUF2" t="str">
            <v/>
          </cell>
          <cell r="DUG2" t="str">
            <v/>
          </cell>
          <cell r="DUH2" t="str">
            <v/>
          </cell>
          <cell r="DUI2" t="str">
            <v/>
          </cell>
          <cell r="DUJ2" t="str">
            <v/>
          </cell>
          <cell r="DUK2" t="str">
            <v/>
          </cell>
          <cell r="DUL2" t="str">
            <v/>
          </cell>
          <cell r="DUM2" t="str">
            <v/>
          </cell>
          <cell r="DUN2" t="str">
            <v/>
          </cell>
          <cell r="DUO2" t="str">
            <v/>
          </cell>
          <cell r="DUP2" t="str">
            <v/>
          </cell>
          <cell r="DUQ2" t="str">
            <v/>
          </cell>
          <cell r="DUR2" t="str">
            <v/>
          </cell>
          <cell r="DUS2" t="str">
            <v/>
          </cell>
          <cell r="DUT2" t="str">
            <v/>
          </cell>
          <cell r="DUU2" t="str">
            <v/>
          </cell>
          <cell r="DUV2" t="str">
            <v/>
          </cell>
          <cell r="DUW2" t="str">
            <v/>
          </cell>
          <cell r="DUX2" t="str">
            <v/>
          </cell>
          <cell r="DUY2" t="str">
            <v/>
          </cell>
          <cell r="DUZ2" t="str">
            <v/>
          </cell>
          <cell r="DVA2" t="str">
            <v/>
          </cell>
          <cell r="DVB2" t="str">
            <v/>
          </cell>
          <cell r="DVC2" t="str">
            <v/>
          </cell>
          <cell r="DVD2" t="str">
            <v/>
          </cell>
          <cell r="DVE2" t="str">
            <v/>
          </cell>
          <cell r="DVF2" t="str">
            <v/>
          </cell>
          <cell r="DVG2" t="str">
            <v/>
          </cell>
          <cell r="DVH2" t="str">
            <v/>
          </cell>
          <cell r="DVI2" t="str">
            <v/>
          </cell>
          <cell r="DVJ2" t="str">
            <v/>
          </cell>
          <cell r="DVK2" t="str">
            <v/>
          </cell>
          <cell r="DVL2" t="str">
            <v/>
          </cell>
          <cell r="DVM2" t="str">
            <v/>
          </cell>
          <cell r="DVN2" t="str">
            <v/>
          </cell>
          <cell r="DVO2" t="str">
            <v/>
          </cell>
          <cell r="DVP2" t="str">
            <v/>
          </cell>
          <cell r="DVQ2" t="str">
            <v/>
          </cell>
          <cell r="DVR2" t="str">
            <v/>
          </cell>
          <cell r="DVS2" t="str">
            <v/>
          </cell>
          <cell r="DVT2" t="str">
            <v/>
          </cell>
          <cell r="DVU2" t="str">
            <v/>
          </cell>
          <cell r="DVV2" t="str">
            <v/>
          </cell>
          <cell r="DVW2" t="str">
            <v/>
          </cell>
          <cell r="DVX2" t="str">
            <v/>
          </cell>
          <cell r="DVY2" t="str">
            <v/>
          </cell>
          <cell r="DVZ2" t="str">
            <v/>
          </cell>
          <cell r="DWA2" t="str">
            <v/>
          </cell>
          <cell r="DWB2" t="str">
            <v/>
          </cell>
          <cell r="DWC2" t="str">
            <v/>
          </cell>
          <cell r="DWD2" t="str">
            <v/>
          </cell>
          <cell r="DWE2" t="str">
            <v/>
          </cell>
          <cell r="DWF2" t="str">
            <v/>
          </cell>
          <cell r="DWG2" t="str">
            <v/>
          </cell>
          <cell r="DWH2" t="str">
            <v/>
          </cell>
          <cell r="DWI2" t="str">
            <v/>
          </cell>
          <cell r="DWJ2" t="str">
            <v/>
          </cell>
          <cell r="DWK2" t="str">
            <v/>
          </cell>
          <cell r="DWL2" t="str">
            <v/>
          </cell>
          <cell r="DWM2" t="str">
            <v/>
          </cell>
          <cell r="DWN2" t="str">
            <v/>
          </cell>
          <cell r="DWO2" t="str">
            <v/>
          </cell>
          <cell r="DWP2" t="str">
            <v/>
          </cell>
          <cell r="DWQ2" t="str">
            <v/>
          </cell>
          <cell r="DWR2" t="str">
            <v/>
          </cell>
          <cell r="DWS2" t="str">
            <v/>
          </cell>
          <cell r="DWT2" t="str">
            <v/>
          </cell>
          <cell r="DWU2" t="str">
            <v/>
          </cell>
          <cell r="DWV2" t="str">
            <v/>
          </cell>
          <cell r="DWW2" t="str">
            <v/>
          </cell>
          <cell r="DWX2" t="str">
            <v/>
          </cell>
          <cell r="DWY2" t="str">
            <v/>
          </cell>
          <cell r="DWZ2" t="str">
            <v/>
          </cell>
          <cell r="DXA2" t="str">
            <v/>
          </cell>
          <cell r="DXB2" t="str">
            <v/>
          </cell>
          <cell r="DXC2" t="str">
            <v/>
          </cell>
          <cell r="DXD2" t="str">
            <v/>
          </cell>
          <cell r="DXE2" t="str">
            <v/>
          </cell>
          <cell r="DXF2" t="str">
            <v/>
          </cell>
          <cell r="DXG2" t="str">
            <v/>
          </cell>
          <cell r="DXH2" t="str">
            <v/>
          </cell>
          <cell r="DXI2" t="str">
            <v/>
          </cell>
          <cell r="DXJ2" t="str">
            <v/>
          </cell>
          <cell r="DXK2" t="str">
            <v/>
          </cell>
          <cell r="DXL2" t="str">
            <v/>
          </cell>
          <cell r="DXM2" t="str">
            <v/>
          </cell>
          <cell r="DXN2" t="str">
            <v/>
          </cell>
          <cell r="DXO2" t="str">
            <v/>
          </cell>
          <cell r="DXP2" t="str">
            <v/>
          </cell>
          <cell r="DXQ2" t="str">
            <v/>
          </cell>
          <cell r="DXR2" t="str">
            <v/>
          </cell>
          <cell r="DXS2" t="str">
            <v/>
          </cell>
          <cell r="DXT2" t="str">
            <v/>
          </cell>
          <cell r="DXU2" t="str">
            <v/>
          </cell>
          <cell r="DXV2" t="str">
            <v/>
          </cell>
          <cell r="DXW2" t="str">
            <v/>
          </cell>
          <cell r="DXX2" t="str">
            <v/>
          </cell>
          <cell r="DXY2" t="str">
            <v/>
          </cell>
          <cell r="DXZ2" t="str">
            <v/>
          </cell>
          <cell r="DYA2" t="str">
            <v/>
          </cell>
          <cell r="DYB2" t="str">
            <v/>
          </cell>
          <cell r="DYC2" t="str">
            <v/>
          </cell>
          <cell r="DYD2" t="str">
            <v/>
          </cell>
          <cell r="DYE2" t="str">
            <v/>
          </cell>
          <cell r="DYF2" t="str">
            <v/>
          </cell>
          <cell r="DYG2" t="str">
            <v/>
          </cell>
          <cell r="DYH2" t="str">
            <v/>
          </cell>
          <cell r="DYI2" t="str">
            <v/>
          </cell>
          <cell r="DYJ2" t="str">
            <v/>
          </cell>
          <cell r="DYK2" t="str">
            <v/>
          </cell>
          <cell r="DYL2" t="str">
            <v/>
          </cell>
          <cell r="DYM2" t="str">
            <v/>
          </cell>
          <cell r="DYN2" t="str">
            <v/>
          </cell>
          <cell r="DYO2" t="str">
            <v/>
          </cell>
          <cell r="DYP2" t="str">
            <v/>
          </cell>
          <cell r="DYQ2" t="str">
            <v/>
          </cell>
          <cell r="DYR2" t="str">
            <v/>
          </cell>
          <cell r="DYS2" t="str">
            <v/>
          </cell>
          <cell r="DYT2" t="str">
            <v/>
          </cell>
          <cell r="DYU2" t="str">
            <v/>
          </cell>
          <cell r="DYV2" t="str">
            <v/>
          </cell>
          <cell r="DYW2" t="str">
            <v/>
          </cell>
          <cell r="DYX2" t="str">
            <v/>
          </cell>
          <cell r="DYY2" t="str">
            <v/>
          </cell>
          <cell r="DYZ2" t="str">
            <v/>
          </cell>
          <cell r="DZA2" t="str">
            <v/>
          </cell>
          <cell r="DZB2" t="str">
            <v/>
          </cell>
          <cell r="DZC2" t="str">
            <v/>
          </cell>
          <cell r="DZD2" t="str">
            <v/>
          </cell>
          <cell r="DZE2" t="str">
            <v/>
          </cell>
          <cell r="DZF2" t="str">
            <v/>
          </cell>
          <cell r="DZG2" t="str">
            <v/>
          </cell>
          <cell r="DZH2" t="str">
            <v/>
          </cell>
          <cell r="DZI2" t="str">
            <v/>
          </cell>
          <cell r="DZJ2" t="str">
            <v/>
          </cell>
          <cell r="DZK2" t="str">
            <v/>
          </cell>
          <cell r="DZL2" t="str">
            <v/>
          </cell>
          <cell r="DZM2" t="str">
            <v/>
          </cell>
          <cell r="DZN2" t="str">
            <v/>
          </cell>
          <cell r="DZO2" t="str">
            <v/>
          </cell>
          <cell r="DZP2" t="str">
            <v/>
          </cell>
          <cell r="DZQ2" t="str">
            <v/>
          </cell>
          <cell r="DZR2" t="str">
            <v/>
          </cell>
          <cell r="DZS2" t="str">
            <v/>
          </cell>
          <cell r="DZT2" t="str">
            <v/>
          </cell>
          <cell r="DZU2" t="str">
            <v/>
          </cell>
          <cell r="DZV2" t="str">
            <v/>
          </cell>
          <cell r="DZW2" t="str">
            <v/>
          </cell>
          <cell r="DZX2" t="str">
            <v/>
          </cell>
          <cell r="DZY2" t="str">
            <v/>
          </cell>
          <cell r="DZZ2" t="str">
            <v/>
          </cell>
          <cell r="EAA2" t="str">
            <v/>
          </cell>
          <cell r="EAB2" t="str">
            <v/>
          </cell>
          <cell r="EAC2" t="str">
            <v/>
          </cell>
          <cell r="EAD2" t="str">
            <v/>
          </cell>
          <cell r="EAE2" t="str">
            <v/>
          </cell>
          <cell r="EAF2" t="str">
            <v/>
          </cell>
          <cell r="EAG2" t="str">
            <v/>
          </cell>
          <cell r="EAH2" t="str">
            <v/>
          </cell>
          <cell r="EAI2" t="str">
            <v/>
          </cell>
          <cell r="EAJ2" t="str">
            <v/>
          </cell>
          <cell r="EAK2" t="str">
            <v/>
          </cell>
          <cell r="EAL2" t="str">
            <v/>
          </cell>
          <cell r="EAM2" t="str">
            <v/>
          </cell>
          <cell r="EAN2" t="str">
            <v/>
          </cell>
          <cell r="EAO2" t="str">
            <v/>
          </cell>
          <cell r="EAP2" t="str">
            <v/>
          </cell>
          <cell r="EAQ2" t="str">
            <v/>
          </cell>
          <cell r="EAR2" t="str">
            <v/>
          </cell>
          <cell r="EAS2" t="str">
            <v/>
          </cell>
          <cell r="EAT2" t="str">
            <v/>
          </cell>
          <cell r="EAU2" t="str">
            <v/>
          </cell>
          <cell r="EAV2" t="str">
            <v/>
          </cell>
          <cell r="EAW2" t="str">
            <v/>
          </cell>
          <cell r="EAX2" t="str">
            <v/>
          </cell>
          <cell r="EAY2" t="str">
            <v/>
          </cell>
          <cell r="EAZ2" t="str">
            <v/>
          </cell>
          <cell r="EBA2" t="str">
            <v/>
          </cell>
          <cell r="EBB2" t="str">
            <v/>
          </cell>
          <cell r="EBC2" t="str">
            <v/>
          </cell>
          <cell r="EBD2" t="str">
            <v/>
          </cell>
          <cell r="EBE2" t="str">
            <v/>
          </cell>
          <cell r="EBF2" t="str">
            <v/>
          </cell>
          <cell r="EBG2" t="str">
            <v/>
          </cell>
          <cell r="EBH2" t="str">
            <v/>
          </cell>
          <cell r="EBI2" t="str">
            <v/>
          </cell>
          <cell r="EBJ2" t="str">
            <v/>
          </cell>
          <cell r="EBK2" t="str">
            <v/>
          </cell>
          <cell r="EBL2" t="str">
            <v/>
          </cell>
          <cell r="EBM2" t="str">
            <v/>
          </cell>
          <cell r="EBN2" t="str">
            <v/>
          </cell>
          <cell r="EBO2" t="str">
            <v/>
          </cell>
          <cell r="EBP2" t="str">
            <v/>
          </cell>
          <cell r="EBQ2" t="str">
            <v/>
          </cell>
          <cell r="EBR2" t="str">
            <v/>
          </cell>
          <cell r="EBS2" t="str">
            <v/>
          </cell>
          <cell r="EBT2" t="str">
            <v/>
          </cell>
          <cell r="EBU2" t="str">
            <v/>
          </cell>
          <cell r="EBV2" t="str">
            <v/>
          </cell>
          <cell r="EBW2" t="str">
            <v/>
          </cell>
          <cell r="EBX2" t="str">
            <v/>
          </cell>
          <cell r="EBY2" t="str">
            <v/>
          </cell>
          <cell r="EBZ2" t="str">
            <v/>
          </cell>
          <cell r="ECA2" t="str">
            <v/>
          </cell>
          <cell r="ECB2" t="str">
            <v/>
          </cell>
          <cell r="ECC2" t="str">
            <v/>
          </cell>
          <cell r="ECD2" t="str">
            <v/>
          </cell>
          <cell r="ECE2" t="str">
            <v/>
          </cell>
          <cell r="ECF2" t="str">
            <v/>
          </cell>
          <cell r="ECG2" t="str">
            <v/>
          </cell>
          <cell r="ECH2" t="str">
            <v/>
          </cell>
          <cell r="ECI2" t="str">
            <v/>
          </cell>
          <cell r="ECJ2" t="str">
            <v/>
          </cell>
          <cell r="ECK2" t="str">
            <v/>
          </cell>
          <cell r="ECL2" t="str">
            <v/>
          </cell>
          <cell r="ECM2" t="str">
            <v/>
          </cell>
          <cell r="ECN2" t="str">
            <v/>
          </cell>
          <cell r="ECO2" t="str">
            <v/>
          </cell>
          <cell r="ECP2" t="str">
            <v/>
          </cell>
          <cell r="ECQ2" t="str">
            <v/>
          </cell>
          <cell r="ECR2" t="str">
            <v/>
          </cell>
          <cell r="ECS2" t="str">
            <v/>
          </cell>
          <cell r="ECT2" t="str">
            <v/>
          </cell>
          <cell r="ECU2" t="str">
            <v/>
          </cell>
          <cell r="ECV2" t="str">
            <v/>
          </cell>
          <cell r="ECW2" t="str">
            <v/>
          </cell>
          <cell r="ECX2" t="str">
            <v/>
          </cell>
          <cell r="ECY2" t="str">
            <v/>
          </cell>
          <cell r="ECZ2" t="str">
            <v/>
          </cell>
          <cell r="EDA2" t="str">
            <v/>
          </cell>
          <cell r="EDB2" t="str">
            <v/>
          </cell>
          <cell r="EDC2" t="str">
            <v/>
          </cell>
          <cell r="EDD2" t="str">
            <v/>
          </cell>
          <cell r="EDE2" t="str">
            <v/>
          </cell>
          <cell r="EDF2" t="str">
            <v/>
          </cell>
          <cell r="EDG2" t="str">
            <v/>
          </cell>
          <cell r="EDH2" t="str">
            <v/>
          </cell>
          <cell r="EDI2" t="str">
            <v/>
          </cell>
          <cell r="EDJ2" t="str">
            <v/>
          </cell>
          <cell r="EDK2" t="str">
            <v/>
          </cell>
          <cell r="EDL2" t="str">
            <v/>
          </cell>
          <cell r="EDM2" t="str">
            <v/>
          </cell>
          <cell r="EDN2" t="str">
            <v/>
          </cell>
          <cell r="EDO2" t="str">
            <v/>
          </cell>
          <cell r="EDP2" t="str">
            <v/>
          </cell>
          <cell r="EDQ2" t="str">
            <v/>
          </cell>
          <cell r="EDR2" t="str">
            <v/>
          </cell>
          <cell r="EDS2" t="str">
            <v/>
          </cell>
          <cell r="EDT2" t="str">
            <v/>
          </cell>
          <cell r="EDU2" t="str">
            <v/>
          </cell>
          <cell r="EDV2" t="str">
            <v/>
          </cell>
          <cell r="EDW2" t="str">
            <v/>
          </cell>
          <cell r="EDX2" t="str">
            <v/>
          </cell>
          <cell r="EDY2" t="str">
            <v/>
          </cell>
          <cell r="EDZ2" t="str">
            <v/>
          </cell>
          <cell r="EEA2" t="str">
            <v/>
          </cell>
          <cell r="EEB2" t="str">
            <v/>
          </cell>
          <cell r="EEC2" t="str">
            <v/>
          </cell>
          <cell r="EED2" t="str">
            <v/>
          </cell>
          <cell r="EEE2" t="str">
            <v/>
          </cell>
          <cell r="EEF2" t="str">
            <v/>
          </cell>
          <cell r="EEG2" t="str">
            <v/>
          </cell>
          <cell r="EEH2" t="str">
            <v/>
          </cell>
          <cell r="EEI2" t="str">
            <v/>
          </cell>
          <cell r="EEJ2" t="str">
            <v/>
          </cell>
          <cell r="EEK2" t="str">
            <v/>
          </cell>
          <cell r="EEL2" t="str">
            <v/>
          </cell>
          <cell r="EEM2" t="str">
            <v/>
          </cell>
          <cell r="EEN2" t="str">
            <v/>
          </cell>
          <cell r="EEO2" t="str">
            <v/>
          </cell>
          <cell r="EEP2" t="str">
            <v/>
          </cell>
          <cell r="EEQ2" t="str">
            <v/>
          </cell>
          <cell r="EER2" t="str">
            <v/>
          </cell>
          <cell r="EES2" t="str">
            <v/>
          </cell>
          <cell r="EET2" t="str">
            <v/>
          </cell>
          <cell r="EEU2" t="str">
            <v/>
          </cell>
          <cell r="EEV2" t="str">
            <v/>
          </cell>
          <cell r="EEW2" t="str">
            <v/>
          </cell>
          <cell r="EEX2" t="str">
            <v/>
          </cell>
          <cell r="EEY2" t="str">
            <v/>
          </cell>
          <cell r="EEZ2" t="str">
            <v/>
          </cell>
          <cell r="EFA2" t="str">
            <v/>
          </cell>
          <cell r="EFB2" t="str">
            <v/>
          </cell>
          <cell r="EFC2" t="str">
            <v/>
          </cell>
          <cell r="EFD2" t="str">
            <v/>
          </cell>
          <cell r="EFE2" t="str">
            <v/>
          </cell>
          <cell r="EFF2" t="str">
            <v/>
          </cell>
          <cell r="EFG2" t="str">
            <v/>
          </cell>
          <cell r="EFH2" t="str">
            <v/>
          </cell>
          <cell r="EFI2" t="str">
            <v/>
          </cell>
          <cell r="EFJ2" t="str">
            <v/>
          </cell>
          <cell r="EFK2" t="str">
            <v/>
          </cell>
          <cell r="EFL2" t="str">
            <v/>
          </cell>
          <cell r="EFM2" t="str">
            <v/>
          </cell>
          <cell r="EFN2" t="str">
            <v/>
          </cell>
          <cell r="EFO2" t="str">
            <v/>
          </cell>
          <cell r="EFP2" t="str">
            <v/>
          </cell>
          <cell r="EFQ2" t="str">
            <v/>
          </cell>
          <cell r="EFR2" t="str">
            <v/>
          </cell>
          <cell r="EFS2" t="str">
            <v/>
          </cell>
          <cell r="EFT2" t="str">
            <v/>
          </cell>
          <cell r="EFU2" t="str">
            <v/>
          </cell>
          <cell r="EFV2" t="str">
            <v/>
          </cell>
          <cell r="EFW2" t="str">
            <v/>
          </cell>
          <cell r="EFX2" t="str">
            <v/>
          </cell>
          <cell r="EFY2" t="str">
            <v/>
          </cell>
          <cell r="EFZ2" t="str">
            <v/>
          </cell>
          <cell r="EGA2" t="str">
            <v/>
          </cell>
          <cell r="EGB2" t="str">
            <v/>
          </cell>
          <cell r="EGC2" t="str">
            <v/>
          </cell>
          <cell r="EGD2" t="str">
            <v/>
          </cell>
          <cell r="EGE2" t="str">
            <v/>
          </cell>
          <cell r="EGF2" t="str">
            <v/>
          </cell>
          <cell r="EGG2" t="str">
            <v/>
          </cell>
          <cell r="EGH2" t="str">
            <v/>
          </cell>
          <cell r="EGI2" t="str">
            <v/>
          </cell>
          <cell r="EGJ2" t="str">
            <v/>
          </cell>
          <cell r="EGK2" t="str">
            <v/>
          </cell>
          <cell r="EGL2" t="str">
            <v/>
          </cell>
          <cell r="EGM2" t="str">
            <v/>
          </cell>
          <cell r="EGN2" t="str">
            <v/>
          </cell>
          <cell r="EGO2" t="str">
            <v/>
          </cell>
          <cell r="EGP2" t="str">
            <v/>
          </cell>
          <cell r="EGQ2" t="str">
            <v/>
          </cell>
          <cell r="EGR2" t="str">
            <v/>
          </cell>
          <cell r="EGS2" t="str">
            <v/>
          </cell>
          <cell r="EGT2" t="str">
            <v/>
          </cell>
          <cell r="EGU2" t="str">
            <v/>
          </cell>
          <cell r="EGV2" t="str">
            <v/>
          </cell>
          <cell r="EGW2" t="str">
            <v/>
          </cell>
          <cell r="EGX2" t="str">
            <v/>
          </cell>
          <cell r="EGY2" t="str">
            <v/>
          </cell>
          <cell r="EGZ2" t="str">
            <v/>
          </cell>
          <cell r="EHA2" t="str">
            <v/>
          </cell>
          <cell r="EHB2" t="str">
            <v/>
          </cell>
          <cell r="EHC2" t="str">
            <v/>
          </cell>
          <cell r="EHD2" t="str">
            <v/>
          </cell>
          <cell r="EHE2" t="str">
            <v/>
          </cell>
          <cell r="EHF2" t="str">
            <v/>
          </cell>
          <cell r="EHG2" t="str">
            <v/>
          </cell>
          <cell r="EHH2" t="str">
            <v/>
          </cell>
          <cell r="EHI2" t="str">
            <v/>
          </cell>
          <cell r="EHJ2" t="str">
            <v/>
          </cell>
          <cell r="EHK2" t="str">
            <v/>
          </cell>
          <cell r="EHL2" t="str">
            <v/>
          </cell>
          <cell r="EHM2" t="str">
            <v/>
          </cell>
          <cell r="EHN2" t="str">
            <v/>
          </cell>
          <cell r="EHO2" t="str">
            <v/>
          </cell>
          <cell r="EHP2" t="str">
            <v/>
          </cell>
          <cell r="EHQ2" t="str">
            <v/>
          </cell>
          <cell r="EHR2" t="str">
            <v/>
          </cell>
          <cell r="EHS2" t="str">
            <v/>
          </cell>
          <cell r="EHT2" t="str">
            <v/>
          </cell>
          <cell r="EHU2" t="str">
            <v/>
          </cell>
          <cell r="EHV2" t="str">
            <v/>
          </cell>
          <cell r="EHW2" t="str">
            <v/>
          </cell>
          <cell r="EHX2" t="str">
            <v/>
          </cell>
          <cell r="EHY2" t="str">
            <v/>
          </cell>
          <cell r="EHZ2" t="str">
            <v/>
          </cell>
          <cell r="EIA2" t="str">
            <v/>
          </cell>
          <cell r="EIB2" t="str">
            <v/>
          </cell>
          <cell r="EIC2" t="str">
            <v/>
          </cell>
          <cell r="EID2" t="str">
            <v/>
          </cell>
          <cell r="EIE2" t="str">
            <v/>
          </cell>
          <cell r="EIF2" t="str">
            <v/>
          </cell>
          <cell r="EIG2" t="str">
            <v/>
          </cell>
          <cell r="EIH2" t="str">
            <v/>
          </cell>
          <cell r="EII2" t="str">
            <v/>
          </cell>
          <cell r="EIJ2" t="str">
            <v/>
          </cell>
          <cell r="EIK2" t="str">
            <v/>
          </cell>
          <cell r="EIL2" t="str">
            <v/>
          </cell>
          <cell r="EIM2" t="str">
            <v/>
          </cell>
          <cell r="EIN2" t="str">
            <v/>
          </cell>
          <cell r="EIO2" t="str">
            <v/>
          </cell>
          <cell r="EIP2" t="str">
            <v/>
          </cell>
          <cell r="EIQ2" t="str">
            <v/>
          </cell>
          <cell r="EIR2" t="str">
            <v/>
          </cell>
          <cell r="EIS2" t="str">
            <v/>
          </cell>
          <cell r="EIT2" t="str">
            <v/>
          </cell>
          <cell r="EIU2" t="str">
            <v/>
          </cell>
          <cell r="EIV2" t="str">
            <v/>
          </cell>
          <cell r="EIW2" t="str">
            <v/>
          </cell>
          <cell r="EIX2" t="str">
            <v/>
          </cell>
          <cell r="EIY2" t="str">
            <v/>
          </cell>
          <cell r="EIZ2" t="str">
            <v/>
          </cell>
          <cell r="EJA2" t="str">
            <v/>
          </cell>
          <cell r="EJB2" t="str">
            <v/>
          </cell>
          <cell r="EJC2" t="str">
            <v/>
          </cell>
          <cell r="EJD2" t="str">
            <v/>
          </cell>
          <cell r="EJE2" t="str">
            <v/>
          </cell>
          <cell r="EJF2" t="str">
            <v/>
          </cell>
          <cell r="EJG2" t="str">
            <v/>
          </cell>
          <cell r="EJH2" t="str">
            <v/>
          </cell>
          <cell r="EJI2" t="str">
            <v/>
          </cell>
          <cell r="EJJ2" t="str">
            <v/>
          </cell>
          <cell r="EJK2" t="str">
            <v/>
          </cell>
          <cell r="EJL2" t="str">
            <v/>
          </cell>
          <cell r="EJM2" t="str">
            <v/>
          </cell>
          <cell r="EJN2" t="str">
            <v/>
          </cell>
          <cell r="EJO2" t="str">
            <v/>
          </cell>
          <cell r="EJP2" t="str">
            <v/>
          </cell>
          <cell r="EJQ2" t="str">
            <v/>
          </cell>
          <cell r="EJR2" t="str">
            <v/>
          </cell>
          <cell r="EJS2" t="str">
            <v/>
          </cell>
          <cell r="EJT2" t="str">
            <v/>
          </cell>
          <cell r="EJU2" t="str">
            <v/>
          </cell>
          <cell r="EJV2" t="str">
            <v/>
          </cell>
          <cell r="EJW2" t="str">
            <v/>
          </cell>
          <cell r="EJX2" t="str">
            <v/>
          </cell>
          <cell r="EJY2" t="str">
            <v/>
          </cell>
          <cell r="EJZ2" t="str">
            <v/>
          </cell>
          <cell r="EKA2" t="str">
            <v/>
          </cell>
          <cell r="EKB2" t="str">
            <v/>
          </cell>
          <cell r="EKC2" t="str">
            <v/>
          </cell>
          <cell r="EKD2" t="str">
            <v/>
          </cell>
          <cell r="EKE2" t="str">
            <v/>
          </cell>
          <cell r="EKF2" t="str">
            <v/>
          </cell>
          <cell r="EKG2" t="str">
            <v/>
          </cell>
          <cell r="EKH2" t="str">
            <v/>
          </cell>
          <cell r="EKI2" t="str">
            <v/>
          </cell>
          <cell r="EKJ2" t="str">
            <v/>
          </cell>
          <cell r="EKK2" t="str">
            <v/>
          </cell>
          <cell r="EKL2" t="str">
            <v/>
          </cell>
          <cell r="EKM2" t="str">
            <v/>
          </cell>
          <cell r="EKN2" t="str">
            <v/>
          </cell>
          <cell r="EKO2" t="str">
            <v/>
          </cell>
          <cell r="EKP2" t="str">
            <v/>
          </cell>
          <cell r="EKQ2" t="str">
            <v/>
          </cell>
          <cell r="EKR2" t="str">
            <v/>
          </cell>
          <cell r="EKS2" t="str">
            <v/>
          </cell>
          <cell r="EKT2" t="str">
            <v/>
          </cell>
          <cell r="EKU2" t="str">
            <v/>
          </cell>
          <cell r="EKV2" t="str">
            <v/>
          </cell>
          <cell r="EKW2" t="str">
            <v/>
          </cell>
          <cell r="EKX2" t="str">
            <v/>
          </cell>
          <cell r="EKY2" t="str">
            <v/>
          </cell>
          <cell r="EKZ2" t="str">
            <v/>
          </cell>
          <cell r="ELA2" t="str">
            <v/>
          </cell>
          <cell r="ELB2" t="str">
            <v/>
          </cell>
          <cell r="ELC2" t="str">
            <v/>
          </cell>
          <cell r="ELD2" t="str">
            <v/>
          </cell>
          <cell r="ELE2" t="str">
            <v/>
          </cell>
          <cell r="ELF2" t="str">
            <v/>
          </cell>
          <cell r="ELG2" t="str">
            <v/>
          </cell>
          <cell r="ELH2" t="str">
            <v/>
          </cell>
          <cell r="ELI2" t="str">
            <v/>
          </cell>
          <cell r="ELJ2" t="str">
            <v/>
          </cell>
          <cell r="ELK2" t="str">
            <v/>
          </cell>
          <cell r="ELL2" t="str">
            <v/>
          </cell>
          <cell r="ELM2" t="str">
            <v/>
          </cell>
          <cell r="ELN2" t="str">
            <v/>
          </cell>
          <cell r="ELO2" t="str">
            <v/>
          </cell>
          <cell r="ELP2" t="str">
            <v/>
          </cell>
          <cell r="ELQ2" t="str">
            <v/>
          </cell>
          <cell r="ELR2" t="str">
            <v/>
          </cell>
          <cell r="ELS2" t="str">
            <v/>
          </cell>
          <cell r="ELT2" t="str">
            <v/>
          </cell>
          <cell r="ELU2" t="str">
            <v/>
          </cell>
          <cell r="ELV2" t="str">
            <v/>
          </cell>
          <cell r="ELW2" t="str">
            <v/>
          </cell>
          <cell r="ELX2" t="str">
            <v/>
          </cell>
          <cell r="ELY2" t="str">
            <v/>
          </cell>
          <cell r="ELZ2" t="str">
            <v/>
          </cell>
          <cell r="EMA2" t="str">
            <v/>
          </cell>
          <cell r="EMB2" t="str">
            <v/>
          </cell>
          <cell r="EMC2" t="str">
            <v/>
          </cell>
          <cell r="EMD2" t="str">
            <v/>
          </cell>
          <cell r="EME2" t="str">
            <v/>
          </cell>
          <cell r="EMF2" t="str">
            <v/>
          </cell>
          <cell r="EMG2" t="str">
            <v/>
          </cell>
          <cell r="EMH2" t="str">
            <v/>
          </cell>
          <cell r="EMI2" t="str">
            <v/>
          </cell>
          <cell r="EMJ2" t="str">
            <v/>
          </cell>
          <cell r="EMK2" t="str">
            <v/>
          </cell>
          <cell r="EML2" t="str">
            <v/>
          </cell>
          <cell r="EMM2" t="str">
            <v/>
          </cell>
          <cell r="EMN2" t="str">
            <v/>
          </cell>
          <cell r="EMO2" t="str">
            <v/>
          </cell>
          <cell r="EMP2" t="str">
            <v/>
          </cell>
          <cell r="EMQ2" t="str">
            <v/>
          </cell>
          <cell r="EMR2" t="str">
            <v/>
          </cell>
          <cell r="EMS2" t="str">
            <v/>
          </cell>
          <cell r="EMT2" t="str">
            <v/>
          </cell>
          <cell r="EMU2" t="str">
            <v/>
          </cell>
          <cell r="EMV2" t="str">
            <v/>
          </cell>
          <cell r="EMW2" t="str">
            <v/>
          </cell>
          <cell r="EMX2" t="str">
            <v/>
          </cell>
          <cell r="EMY2" t="str">
            <v/>
          </cell>
          <cell r="EMZ2" t="str">
            <v/>
          </cell>
          <cell r="ENA2" t="str">
            <v/>
          </cell>
          <cell r="ENB2" t="str">
            <v/>
          </cell>
          <cell r="ENC2" t="str">
            <v/>
          </cell>
          <cell r="END2" t="str">
            <v/>
          </cell>
          <cell r="ENE2" t="str">
            <v/>
          </cell>
          <cell r="ENF2" t="str">
            <v/>
          </cell>
          <cell r="ENG2" t="str">
            <v/>
          </cell>
          <cell r="ENH2" t="str">
            <v/>
          </cell>
          <cell r="ENI2" t="str">
            <v/>
          </cell>
          <cell r="ENJ2" t="str">
            <v/>
          </cell>
          <cell r="ENK2" t="str">
            <v/>
          </cell>
          <cell r="ENL2" t="str">
            <v/>
          </cell>
          <cell r="ENM2" t="str">
            <v/>
          </cell>
          <cell r="ENN2" t="str">
            <v/>
          </cell>
          <cell r="ENO2" t="str">
            <v/>
          </cell>
          <cell r="ENP2" t="str">
            <v/>
          </cell>
          <cell r="ENQ2" t="str">
            <v/>
          </cell>
          <cell r="ENR2" t="str">
            <v/>
          </cell>
          <cell r="ENS2" t="str">
            <v/>
          </cell>
          <cell r="ENT2" t="str">
            <v/>
          </cell>
          <cell r="ENU2" t="str">
            <v/>
          </cell>
          <cell r="ENV2" t="str">
            <v/>
          </cell>
          <cell r="ENW2" t="str">
            <v/>
          </cell>
          <cell r="ENX2" t="str">
            <v/>
          </cell>
          <cell r="ENY2" t="str">
            <v/>
          </cell>
          <cell r="ENZ2" t="str">
            <v/>
          </cell>
          <cell r="EOA2" t="str">
            <v/>
          </cell>
          <cell r="EOB2" t="str">
            <v/>
          </cell>
          <cell r="EOC2" t="str">
            <v/>
          </cell>
          <cell r="EOD2" t="str">
            <v/>
          </cell>
          <cell r="EOE2" t="str">
            <v/>
          </cell>
          <cell r="EOF2" t="str">
            <v/>
          </cell>
          <cell r="EOG2" t="str">
            <v/>
          </cell>
          <cell r="EOH2" t="str">
            <v/>
          </cell>
          <cell r="EOI2" t="str">
            <v/>
          </cell>
          <cell r="EOJ2" t="str">
            <v/>
          </cell>
          <cell r="EOK2" t="str">
            <v/>
          </cell>
          <cell r="EOL2" t="str">
            <v/>
          </cell>
          <cell r="EOM2" t="str">
            <v/>
          </cell>
          <cell r="EON2" t="str">
            <v/>
          </cell>
          <cell r="EOO2" t="str">
            <v/>
          </cell>
          <cell r="EOP2" t="str">
            <v/>
          </cell>
          <cell r="EOQ2" t="str">
            <v/>
          </cell>
          <cell r="EOR2" t="str">
            <v/>
          </cell>
          <cell r="EOS2" t="str">
            <v/>
          </cell>
          <cell r="EOT2" t="str">
            <v/>
          </cell>
          <cell r="EOU2" t="str">
            <v/>
          </cell>
          <cell r="EOV2" t="str">
            <v/>
          </cell>
          <cell r="EOW2" t="str">
            <v/>
          </cell>
          <cell r="EOX2" t="str">
            <v/>
          </cell>
          <cell r="EOY2" t="str">
            <v/>
          </cell>
          <cell r="EOZ2" t="str">
            <v/>
          </cell>
          <cell r="EPA2" t="str">
            <v/>
          </cell>
          <cell r="EPB2" t="str">
            <v/>
          </cell>
          <cell r="EPC2" t="str">
            <v/>
          </cell>
          <cell r="EPD2" t="str">
            <v/>
          </cell>
          <cell r="EPE2" t="str">
            <v/>
          </cell>
          <cell r="EPF2" t="str">
            <v/>
          </cell>
          <cell r="EPG2" t="str">
            <v/>
          </cell>
          <cell r="EPH2" t="str">
            <v/>
          </cell>
          <cell r="EPI2" t="str">
            <v/>
          </cell>
          <cell r="EPJ2" t="str">
            <v/>
          </cell>
          <cell r="EPK2" t="str">
            <v/>
          </cell>
          <cell r="EPL2" t="str">
            <v/>
          </cell>
          <cell r="EPM2" t="str">
            <v/>
          </cell>
          <cell r="EPN2" t="str">
            <v/>
          </cell>
          <cell r="EPO2" t="str">
            <v/>
          </cell>
          <cell r="EPP2" t="str">
            <v/>
          </cell>
          <cell r="EPQ2" t="str">
            <v/>
          </cell>
          <cell r="EPR2" t="str">
            <v/>
          </cell>
          <cell r="EPS2" t="str">
            <v/>
          </cell>
          <cell r="EPT2" t="str">
            <v/>
          </cell>
          <cell r="EPU2" t="str">
            <v/>
          </cell>
          <cell r="EPV2" t="str">
            <v/>
          </cell>
          <cell r="EPW2" t="str">
            <v/>
          </cell>
          <cell r="EPX2" t="str">
            <v/>
          </cell>
          <cell r="EPY2" t="str">
            <v/>
          </cell>
          <cell r="EPZ2" t="str">
            <v/>
          </cell>
          <cell r="EQA2" t="str">
            <v/>
          </cell>
          <cell r="EQB2" t="str">
            <v/>
          </cell>
          <cell r="EQC2" t="str">
            <v/>
          </cell>
          <cell r="EQD2" t="str">
            <v/>
          </cell>
          <cell r="EQE2" t="str">
            <v/>
          </cell>
          <cell r="EQF2" t="str">
            <v/>
          </cell>
          <cell r="EQG2" t="str">
            <v/>
          </cell>
          <cell r="EQH2" t="str">
            <v/>
          </cell>
          <cell r="EQI2" t="str">
            <v/>
          </cell>
          <cell r="EQJ2" t="str">
            <v/>
          </cell>
          <cell r="EQK2" t="str">
            <v/>
          </cell>
          <cell r="EQL2" t="str">
            <v/>
          </cell>
          <cell r="EQM2" t="str">
            <v/>
          </cell>
          <cell r="EQN2" t="str">
            <v/>
          </cell>
          <cell r="EQO2" t="str">
            <v/>
          </cell>
          <cell r="EQP2" t="str">
            <v/>
          </cell>
          <cell r="EQQ2" t="str">
            <v/>
          </cell>
          <cell r="EQR2" t="str">
            <v/>
          </cell>
          <cell r="EQS2" t="str">
            <v/>
          </cell>
          <cell r="EQT2" t="str">
            <v/>
          </cell>
          <cell r="EQU2" t="str">
            <v/>
          </cell>
          <cell r="EQV2" t="str">
            <v/>
          </cell>
          <cell r="EQW2" t="str">
            <v/>
          </cell>
          <cell r="EQX2" t="str">
            <v/>
          </cell>
          <cell r="EQY2" t="str">
            <v/>
          </cell>
          <cell r="EQZ2" t="str">
            <v/>
          </cell>
          <cell r="ERA2" t="str">
            <v/>
          </cell>
          <cell r="ERB2" t="str">
            <v/>
          </cell>
          <cell r="ERC2" t="str">
            <v/>
          </cell>
          <cell r="ERD2" t="str">
            <v/>
          </cell>
          <cell r="ERE2" t="str">
            <v/>
          </cell>
          <cell r="ERF2" t="str">
            <v/>
          </cell>
          <cell r="ERG2" t="str">
            <v/>
          </cell>
          <cell r="ERH2" t="str">
            <v/>
          </cell>
          <cell r="ERI2" t="str">
            <v/>
          </cell>
          <cell r="ERJ2" t="str">
            <v/>
          </cell>
          <cell r="ERK2" t="str">
            <v/>
          </cell>
          <cell r="ERL2" t="str">
            <v/>
          </cell>
          <cell r="ERM2" t="str">
            <v/>
          </cell>
          <cell r="ERN2" t="str">
            <v/>
          </cell>
          <cell r="ERO2" t="str">
            <v/>
          </cell>
          <cell r="ERP2" t="str">
            <v/>
          </cell>
          <cell r="ERQ2" t="str">
            <v/>
          </cell>
          <cell r="ERR2" t="str">
            <v/>
          </cell>
          <cell r="ERS2" t="str">
            <v/>
          </cell>
          <cell r="ERT2" t="str">
            <v/>
          </cell>
          <cell r="ERU2" t="str">
            <v/>
          </cell>
          <cell r="ERV2" t="str">
            <v/>
          </cell>
          <cell r="ERW2" t="str">
            <v/>
          </cell>
          <cell r="ERX2" t="str">
            <v/>
          </cell>
          <cell r="ERY2" t="str">
            <v/>
          </cell>
          <cell r="ERZ2" t="str">
            <v/>
          </cell>
          <cell r="ESA2" t="str">
            <v/>
          </cell>
          <cell r="ESB2" t="str">
            <v/>
          </cell>
          <cell r="ESC2" t="str">
            <v/>
          </cell>
          <cell r="ESD2" t="str">
            <v/>
          </cell>
          <cell r="ESE2" t="str">
            <v/>
          </cell>
          <cell r="ESF2" t="str">
            <v/>
          </cell>
          <cell r="ESG2" t="str">
            <v/>
          </cell>
          <cell r="ESH2" t="str">
            <v/>
          </cell>
          <cell r="ESI2" t="str">
            <v/>
          </cell>
          <cell r="ESJ2" t="str">
            <v/>
          </cell>
          <cell r="ESK2" t="str">
            <v/>
          </cell>
          <cell r="ESL2" t="str">
            <v/>
          </cell>
          <cell r="ESM2" t="str">
            <v/>
          </cell>
          <cell r="ESN2" t="str">
            <v/>
          </cell>
          <cell r="ESO2" t="str">
            <v/>
          </cell>
          <cell r="ESP2" t="str">
            <v/>
          </cell>
          <cell r="ESQ2" t="str">
            <v/>
          </cell>
          <cell r="ESR2" t="str">
            <v/>
          </cell>
          <cell r="ESS2" t="str">
            <v/>
          </cell>
          <cell r="EST2" t="str">
            <v/>
          </cell>
          <cell r="ESU2" t="str">
            <v/>
          </cell>
          <cell r="ESV2" t="str">
            <v/>
          </cell>
          <cell r="ESW2" t="str">
            <v/>
          </cell>
          <cell r="ESX2" t="str">
            <v/>
          </cell>
          <cell r="ESY2" t="str">
            <v/>
          </cell>
          <cell r="ESZ2" t="str">
            <v/>
          </cell>
          <cell r="ETA2" t="str">
            <v/>
          </cell>
          <cell r="ETB2" t="str">
            <v/>
          </cell>
          <cell r="ETC2" t="str">
            <v/>
          </cell>
          <cell r="ETD2" t="str">
            <v/>
          </cell>
          <cell r="ETE2" t="str">
            <v/>
          </cell>
          <cell r="ETF2" t="str">
            <v/>
          </cell>
          <cell r="ETG2" t="str">
            <v/>
          </cell>
          <cell r="ETH2" t="str">
            <v/>
          </cell>
          <cell r="ETI2" t="str">
            <v/>
          </cell>
          <cell r="ETJ2" t="str">
            <v/>
          </cell>
          <cell r="ETK2" t="str">
            <v/>
          </cell>
          <cell r="ETL2" t="str">
            <v/>
          </cell>
          <cell r="ETM2" t="str">
            <v/>
          </cell>
          <cell r="ETN2" t="str">
            <v/>
          </cell>
          <cell r="ETO2" t="str">
            <v/>
          </cell>
          <cell r="ETP2" t="str">
            <v/>
          </cell>
          <cell r="ETQ2" t="str">
            <v/>
          </cell>
          <cell r="ETR2" t="str">
            <v/>
          </cell>
          <cell r="ETS2" t="str">
            <v/>
          </cell>
          <cell r="ETT2" t="str">
            <v/>
          </cell>
          <cell r="ETU2" t="str">
            <v/>
          </cell>
          <cell r="ETV2" t="str">
            <v/>
          </cell>
          <cell r="ETW2" t="str">
            <v/>
          </cell>
          <cell r="ETX2" t="str">
            <v/>
          </cell>
          <cell r="ETY2" t="str">
            <v/>
          </cell>
          <cell r="ETZ2" t="str">
            <v/>
          </cell>
          <cell r="EUA2" t="str">
            <v/>
          </cell>
          <cell r="EUB2" t="str">
            <v/>
          </cell>
          <cell r="EUC2" t="str">
            <v/>
          </cell>
          <cell r="EUD2" t="str">
            <v/>
          </cell>
          <cell r="EUE2" t="str">
            <v/>
          </cell>
          <cell r="EUF2" t="str">
            <v/>
          </cell>
          <cell r="EUG2" t="str">
            <v/>
          </cell>
          <cell r="EUH2" t="str">
            <v/>
          </cell>
          <cell r="EUI2" t="str">
            <v/>
          </cell>
          <cell r="EUJ2" t="str">
            <v/>
          </cell>
          <cell r="EUK2" t="str">
            <v/>
          </cell>
          <cell r="EUL2" t="str">
            <v/>
          </cell>
          <cell r="EUM2" t="str">
            <v/>
          </cell>
          <cell r="EUN2" t="str">
            <v/>
          </cell>
          <cell r="EUO2" t="str">
            <v/>
          </cell>
          <cell r="EUP2" t="str">
            <v/>
          </cell>
          <cell r="EUQ2" t="str">
            <v/>
          </cell>
          <cell r="EUR2" t="str">
            <v/>
          </cell>
          <cell r="EUS2" t="str">
            <v/>
          </cell>
          <cell r="EUT2" t="str">
            <v/>
          </cell>
          <cell r="EUU2" t="str">
            <v/>
          </cell>
          <cell r="EUV2" t="str">
            <v/>
          </cell>
          <cell r="EUW2" t="str">
            <v/>
          </cell>
          <cell r="EUX2" t="str">
            <v/>
          </cell>
          <cell r="EUY2" t="str">
            <v/>
          </cell>
          <cell r="EUZ2" t="str">
            <v/>
          </cell>
          <cell r="EVA2" t="str">
            <v/>
          </cell>
          <cell r="EVB2" t="str">
            <v/>
          </cell>
          <cell r="EVC2" t="str">
            <v/>
          </cell>
          <cell r="EVD2" t="str">
            <v/>
          </cell>
          <cell r="EVE2" t="str">
            <v/>
          </cell>
          <cell r="EVF2" t="str">
            <v/>
          </cell>
          <cell r="EVG2" t="str">
            <v/>
          </cell>
          <cell r="EVH2" t="str">
            <v/>
          </cell>
          <cell r="EVI2" t="str">
            <v/>
          </cell>
          <cell r="EVJ2" t="str">
            <v/>
          </cell>
          <cell r="EVK2" t="str">
            <v/>
          </cell>
          <cell r="EVL2" t="str">
            <v/>
          </cell>
          <cell r="EVM2" t="str">
            <v/>
          </cell>
          <cell r="EVN2" t="str">
            <v/>
          </cell>
          <cell r="EVO2" t="str">
            <v/>
          </cell>
          <cell r="EVP2" t="str">
            <v/>
          </cell>
          <cell r="EVQ2" t="str">
            <v/>
          </cell>
          <cell r="EVR2" t="str">
            <v/>
          </cell>
          <cell r="EVS2" t="str">
            <v/>
          </cell>
          <cell r="EVT2" t="str">
            <v/>
          </cell>
          <cell r="EVU2" t="str">
            <v/>
          </cell>
          <cell r="EVV2" t="str">
            <v/>
          </cell>
          <cell r="EVW2" t="str">
            <v/>
          </cell>
          <cell r="EVX2" t="str">
            <v/>
          </cell>
          <cell r="EVY2" t="str">
            <v/>
          </cell>
          <cell r="EVZ2" t="str">
            <v/>
          </cell>
          <cell r="EWA2" t="str">
            <v/>
          </cell>
          <cell r="EWB2" t="str">
            <v/>
          </cell>
          <cell r="EWC2" t="str">
            <v/>
          </cell>
          <cell r="EWD2" t="str">
            <v/>
          </cell>
          <cell r="EWE2" t="str">
            <v/>
          </cell>
          <cell r="EWF2" t="str">
            <v/>
          </cell>
          <cell r="EWG2" t="str">
            <v/>
          </cell>
          <cell r="EWH2" t="str">
            <v/>
          </cell>
          <cell r="EWI2" t="str">
            <v/>
          </cell>
          <cell r="EWJ2" t="str">
            <v/>
          </cell>
          <cell r="EWK2" t="str">
            <v/>
          </cell>
          <cell r="EWL2" t="str">
            <v/>
          </cell>
          <cell r="EWM2" t="str">
            <v/>
          </cell>
          <cell r="EWN2" t="str">
            <v/>
          </cell>
          <cell r="EWO2" t="str">
            <v/>
          </cell>
          <cell r="EWP2" t="str">
            <v/>
          </cell>
          <cell r="EWQ2" t="str">
            <v/>
          </cell>
          <cell r="EWR2" t="str">
            <v/>
          </cell>
          <cell r="EWS2" t="str">
            <v/>
          </cell>
          <cell r="EWT2" t="str">
            <v/>
          </cell>
          <cell r="EWU2" t="str">
            <v/>
          </cell>
          <cell r="EWV2" t="str">
            <v/>
          </cell>
          <cell r="EWW2" t="str">
            <v/>
          </cell>
          <cell r="EWX2" t="str">
            <v/>
          </cell>
          <cell r="EWY2" t="str">
            <v/>
          </cell>
          <cell r="EWZ2" t="str">
            <v/>
          </cell>
          <cell r="EXA2" t="str">
            <v/>
          </cell>
          <cell r="EXB2" t="str">
            <v/>
          </cell>
          <cell r="EXC2" t="str">
            <v/>
          </cell>
          <cell r="EXD2" t="str">
            <v/>
          </cell>
          <cell r="EXE2" t="str">
            <v/>
          </cell>
          <cell r="EXF2" t="str">
            <v/>
          </cell>
          <cell r="EXG2" t="str">
            <v/>
          </cell>
          <cell r="EXH2" t="str">
            <v/>
          </cell>
          <cell r="EXI2" t="str">
            <v/>
          </cell>
          <cell r="EXJ2" t="str">
            <v/>
          </cell>
          <cell r="EXK2" t="str">
            <v/>
          </cell>
          <cell r="EXL2" t="str">
            <v/>
          </cell>
          <cell r="EXM2" t="str">
            <v/>
          </cell>
          <cell r="EXN2" t="str">
            <v/>
          </cell>
          <cell r="EXO2" t="str">
            <v/>
          </cell>
          <cell r="EXP2" t="str">
            <v/>
          </cell>
          <cell r="EXQ2" t="str">
            <v/>
          </cell>
          <cell r="EXR2" t="str">
            <v/>
          </cell>
          <cell r="EXS2" t="str">
            <v/>
          </cell>
          <cell r="EXT2" t="str">
            <v/>
          </cell>
          <cell r="EXU2" t="str">
            <v/>
          </cell>
          <cell r="EXV2" t="str">
            <v/>
          </cell>
          <cell r="EXW2" t="str">
            <v/>
          </cell>
          <cell r="EXX2" t="str">
            <v/>
          </cell>
          <cell r="EXY2" t="str">
            <v/>
          </cell>
          <cell r="EXZ2" t="str">
            <v/>
          </cell>
          <cell r="EYA2" t="str">
            <v/>
          </cell>
          <cell r="EYB2" t="str">
            <v/>
          </cell>
          <cell r="EYC2" t="str">
            <v/>
          </cell>
          <cell r="EYD2" t="str">
            <v/>
          </cell>
          <cell r="EYE2" t="str">
            <v/>
          </cell>
          <cell r="EYF2" t="str">
            <v/>
          </cell>
          <cell r="EYG2" t="str">
            <v/>
          </cell>
          <cell r="EYH2" t="str">
            <v/>
          </cell>
          <cell r="EYI2" t="str">
            <v/>
          </cell>
          <cell r="EYJ2" t="str">
            <v/>
          </cell>
          <cell r="EYK2" t="str">
            <v/>
          </cell>
          <cell r="EYL2" t="str">
            <v/>
          </cell>
          <cell r="EYM2" t="str">
            <v/>
          </cell>
          <cell r="EYN2" t="str">
            <v/>
          </cell>
          <cell r="EYO2" t="str">
            <v/>
          </cell>
          <cell r="EYP2" t="str">
            <v/>
          </cell>
          <cell r="EYQ2" t="str">
            <v/>
          </cell>
          <cell r="EYR2" t="str">
            <v/>
          </cell>
          <cell r="EYS2" t="str">
            <v/>
          </cell>
          <cell r="EYT2" t="str">
            <v/>
          </cell>
          <cell r="EYU2" t="str">
            <v/>
          </cell>
          <cell r="EYV2" t="str">
            <v/>
          </cell>
          <cell r="EYW2" t="str">
            <v/>
          </cell>
          <cell r="EYX2" t="str">
            <v/>
          </cell>
          <cell r="EYY2" t="str">
            <v/>
          </cell>
          <cell r="EYZ2" t="str">
            <v/>
          </cell>
          <cell r="EZA2" t="str">
            <v/>
          </cell>
          <cell r="EZB2" t="str">
            <v/>
          </cell>
          <cell r="EZC2" t="str">
            <v/>
          </cell>
          <cell r="EZD2" t="str">
            <v/>
          </cell>
          <cell r="EZE2" t="str">
            <v/>
          </cell>
          <cell r="EZF2" t="str">
            <v/>
          </cell>
          <cell r="EZG2" t="str">
            <v/>
          </cell>
          <cell r="EZH2" t="str">
            <v/>
          </cell>
          <cell r="EZI2" t="str">
            <v/>
          </cell>
          <cell r="EZJ2" t="str">
            <v/>
          </cell>
          <cell r="EZK2" t="str">
            <v/>
          </cell>
          <cell r="EZL2" t="str">
            <v/>
          </cell>
          <cell r="EZM2" t="str">
            <v/>
          </cell>
          <cell r="EZN2" t="str">
            <v/>
          </cell>
          <cell r="EZO2" t="str">
            <v/>
          </cell>
          <cell r="EZP2" t="str">
            <v/>
          </cell>
          <cell r="EZQ2" t="str">
            <v/>
          </cell>
          <cell r="EZR2" t="str">
            <v/>
          </cell>
          <cell r="EZS2" t="str">
            <v/>
          </cell>
          <cell r="EZT2" t="str">
            <v/>
          </cell>
          <cell r="EZU2" t="str">
            <v/>
          </cell>
          <cell r="EZV2" t="str">
            <v/>
          </cell>
          <cell r="EZW2" t="str">
            <v/>
          </cell>
          <cell r="EZX2" t="str">
            <v/>
          </cell>
          <cell r="EZY2" t="str">
            <v/>
          </cell>
          <cell r="EZZ2" t="str">
            <v/>
          </cell>
          <cell r="FAA2" t="str">
            <v/>
          </cell>
          <cell r="FAB2" t="str">
            <v/>
          </cell>
          <cell r="FAC2" t="str">
            <v/>
          </cell>
          <cell r="FAD2" t="str">
            <v/>
          </cell>
          <cell r="FAE2" t="str">
            <v/>
          </cell>
          <cell r="FAF2" t="str">
            <v/>
          </cell>
          <cell r="FAG2" t="str">
            <v/>
          </cell>
          <cell r="FAH2" t="str">
            <v/>
          </cell>
          <cell r="FAI2" t="str">
            <v/>
          </cell>
          <cell r="FAJ2" t="str">
            <v/>
          </cell>
          <cell r="FAK2" t="str">
            <v/>
          </cell>
          <cell r="FAL2" t="str">
            <v/>
          </cell>
          <cell r="FAM2" t="str">
            <v/>
          </cell>
          <cell r="FAN2" t="str">
            <v/>
          </cell>
          <cell r="FAO2" t="str">
            <v/>
          </cell>
          <cell r="FAP2" t="str">
            <v/>
          </cell>
          <cell r="FAQ2" t="str">
            <v/>
          </cell>
          <cell r="FAR2" t="str">
            <v/>
          </cell>
          <cell r="FAS2" t="str">
            <v/>
          </cell>
          <cell r="FAT2" t="str">
            <v/>
          </cell>
          <cell r="FAU2" t="str">
            <v/>
          </cell>
          <cell r="FAV2" t="str">
            <v/>
          </cell>
          <cell r="FAW2" t="str">
            <v/>
          </cell>
          <cell r="FAX2" t="str">
            <v/>
          </cell>
          <cell r="FAY2" t="str">
            <v/>
          </cell>
          <cell r="FAZ2" t="str">
            <v/>
          </cell>
          <cell r="FBA2" t="str">
            <v/>
          </cell>
          <cell r="FBB2" t="str">
            <v/>
          </cell>
          <cell r="FBC2" t="str">
            <v/>
          </cell>
          <cell r="FBD2" t="str">
            <v/>
          </cell>
          <cell r="FBE2" t="str">
            <v/>
          </cell>
          <cell r="FBF2" t="str">
            <v/>
          </cell>
          <cell r="FBG2" t="str">
            <v/>
          </cell>
          <cell r="FBH2" t="str">
            <v/>
          </cell>
          <cell r="FBI2" t="str">
            <v/>
          </cell>
          <cell r="FBJ2" t="str">
            <v/>
          </cell>
          <cell r="FBK2" t="str">
            <v/>
          </cell>
          <cell r="FBL2" t="str">
            <v/>
          </cell>
          <cell r="FBM2" t="str">
            <v/>
          </cell>
          <cell r="FBN2" t="str">
            <v/>
          </cell>
          <cell r="FBO2" t="str">
            <v/>
          </cell>
          <cell r="FBP2" t="str">
            <v/>
          </cell>
          <cell r="FBQ2" t="str">
            <v/>
          </cell>
          <cell r="FBR2" t="str">
            <v/>
          </cell>
          <cell r="FBS2" t="str">
            <v/>
          </cell>
          <cell r="FBT2" t="str">
            <v/>
          </cell>
          <cell r="FBU2" t="str">
            <v/>
          </cell>
          <cell r="FBV2" t="str">
            <v/>
          </cell>
          <cell r="FBW2" t="str">
            <v/>
          </cell>
          <cell r="FBX2" t="str">
            <v/>
          </cell>
          <cell r="FBY2" t="str">
            <v/>
          </cell>
          <cell r="FBZ2" t="str">
            <v/>
          </cell>
          <cell r="FCA2" t="str">
            <v/>
          </cell>
          <cell r="FCB2" t="str">
            <v/>
          </cell>
          <cell r="FCC2" t="str">
            <v/>
          </cell>
          <cell r="FCD2" t="str">
            <v/>
          </cell>
          <cell r="FCE2" t="str">
            <v/>
          </cell>
          <cell r="FCF2" t="str">
            <v/>
          </cell>
          <cell r="FCG2" t="str">
            <v/>
          </cell>
          <cell r="FCH2" t="str">
            <v/>
          </cell>
          <cell r="FCI2" t="str">
            <v/>
          </cell>
          <cell r="FCJ2" t="str">
            <v/>
          </cell>
          <cell r="FCK2" t="str">
            <v/>
          </cell>
          <cell r="FCL2" t="str">
            <v/>
          </cell>
          <cell r="FCM2" t="str">
            <v/>
          </cell>
          <cell r="FCN2" t="str">
            <v/>
          </cell>
          <cell r="FCO2" t="str">
            <v/>
          </cell>
          <cell r="FCP2" t="str">
            <v/>
          </cell>
          <cell r="FCQ2" t="str">
            <v/>
          </cell>
          <cell r="FCR2" t="str">
            <v/>
          </cell>
          <cell r="FCS2" t="str">
            <v/>
          </cell>
          <cell r="FCT2" t="str">
            <v/>
          </cell>
          <cell r="FCU2" t="str">
            <v/>
          </cell>
          <cell r="FCV2" t="str">
            <v/>
          </cell>
          <cell r="FCW2" t="str">
            <v/>
          </cell>
          <cell r="FCX2" t="str">
            <v/>
          </cell>
          <cell r="FCY2" t="str">
            <v/>
          </cell>
          <cell r="FCZ2" t="str">
            <v/>
          </cell>
          <cell r="FDA2" t="str">
            <v/>
          </cell>
          <cell r="FDB2" t="str">
            <v/>
          </cell>
          <cell r="FDC2" t="str">
            <v/>
          </cell>
          <cell r="FDD2" t="str">
            <v/>
          </cell>
          <cell r="FDE2" t="str">
            <v/>
          </cell>
          <cell r="FDF2" t="str">
            <v/>
          </cell>
          <cell r="FDG2" t="str">
            <v/>
          </cell>
          <cell r="FDH2" t="str">
            <v/>
          </cell>
          <cell r="FDI2" t="str">
            <v/>
          </cell>
          <cell r="FDJ2" t="str">
            <v/>
          </cell>
          <cell r="FDK2" t="str">
            <v/>
          </cell>
          <cell r="FDL2" t="str">
            <v/>
          </cell>
          <cell r="FDM2" t="str">
            <v/>
          </cell>
          <cell r="FDN2" t="str">
            <v/>
          </cell>
          <cell r="FDO2" t="str">
            <v/>
          </cell>
          <cell r="FDP2" t="str">
            <v/>
          </cell>
          <cell r="FDQ2" t="str">
            <v/>
          </cell>
          <cell r="FDR2" t="str">
            <v/>
          </cell>
          <cell r="FDS2" t="str">
            <v/>
          </cell>
          <cell r="FDT2" t="str">
            <v/>
          </cell>
          <cell r="FDU2" t="str">
            <v/>
          </cell>
          <cell r="FDV2" t="str">
            <v/>
          </cell>
          <cell r="FDW2" t="str">
            <v/>
          </cell>
          <cell r="FDX2" t="str">
            <v/>
          </cell>
          <cell r="FDY2" t="str">
            <v/>
          </cell>
          <cell r="FDZ2" t="str">
            <v/>
          </cell>
          <cell r="FEA2" t="str">
            <v/>
          </cell>
          <cell r="FEB2" t="str">
            <v/>
          </cell>
          <cell r="FEC2" t="str">
            <v/>
          </cell>
          <cell r="FED2" t="str">
            <v/>
          </cell>
          <cell r="FEE2" t="str">
            <v/>
          </cell>
          <cell r="FEF2" t="str">
            <v/>
          </cell>
          <cell r="FEG2" t="str">
            <v/>
          </cell>
          <cell r="FEH2" t="str">
            <v/>
          </cell>
          <cell r="FEI2" t="str">
            <v/>
          </cell>
          <cell r="FEJ2" t="str">
            <v/>
          </cell>
          <cell r="FEK2" t="str">
            <v/>
          </cell>
          <cell r="FEL2" t="str">
            <v/>
          </cell>
          <cell r="FEM2" t="str">
            <v/>
          </cell>
          <cell r="FEN2" t="str">
            <v/>
          </cell>
          <cell r="FEO2" t="str">
            <v/>
          </cell>
          <cell r="FEP2" t="str">
            <v/>
          </cell>
          <cell r="FEQ2" t="str">
            <v/>
          </cell>
          <cell r="FER2" t="str">
            <v/>
          </cell>
          <cell r="FES2" t="str">
            <v/>
          </cell>
          <cell r="FET2" t="str">
            <v/>
          </cell>
          <cell r="FEU2" t="str">
            <v/>
          </cell>
          <cell r="FEV2" t="str">
            <v/>
          </cell>
          <cell r="FEW2" t="str">
            <v/>
          </cell>
          <cell r="FEX2" t="str">
            <v/>
          </cell>
          <cell r="FEY2" t="str">
            <v/>
          </cell>
          <cell r="FEZ2" t="str">
            <v/>
          </cell>
          <cell r="FFA2" t="str">
            <v/>
          </cell>
          <cell r="FFB2" t="str">
            <v/>
          </cell>
          <cell r="FFC2" t="str">
            <v/>
          </cell>
          <cell r="FFD2" t="str">
            <v/>
          </cell>
          <cell r="FFE2" t="str">
            <v/>
          </cell>
          <cell r="FFF2" t="str">
            <v/>
          </cell>
          <cell r="FFG2" t="str">
            <v/>
          </cell>
          <cell r="FFH2" t="str">
            <v/>
          </cell>
          <cell r="FFI2" t="str">
            <v/>
          </cell>
          <cell r="FFJ2" t="str">
            <v/>
          </cell>
          <cell r="FFK2" t="str">
            <v/>
          </cell>
          <cell r="FFL2" t="str">
            <v/>
          </cell>
          <cell r="FFM2" t="str">
            <v/>
          </cell>
          <cell r="FFN2" t="str">
            <v/>
          </cell>
          <cell r="FFO2" t="str">
            <v/>
          </cell>
          <cell r="FFP2" t="str">
            <v/>
          </cell>
          <cell r="FFQ2" t="str">
            <v/>
          </cell>
          <cell r="FFR2" t="str">
            <v/>
          </cell>
          <cell r="FFS2" t="str">
            <v/>
          </cell>
          <cell r="FFT2" t="str">
            <v/>
          </cell>
          <cell r="FFU2" t="str">
            <v/>
          </cell>
          <cell r="FFV2" t="str">
            <v/>
          </cell>
          <cell r="FFW2" t="str">
            <v/>
          </cell>
          <cell r="FFX2" t="str">
            <v/>
          </cell>
          <cell r="FFY2" t="str">
            <v/>
          </cell>
          <cell r="FFZ2" t="str">
            <v/>
          </cell>
          <cell r="FGA2" t="str">
            <v/>
          </cell>
          <cell r="FGB2" t="str">
            <v/>
          </cell>
          <cell r="FGC2" t="str">
            <v/>
          </cell>
          <cell r="FGD2" t="str">
            <v/>
          </cell>
          <cell r="FGE2" t="str">
            <v/>
          </cell>
          <cell r="FGF2" t="str">
            <v/>
          </cell>
          <cell r="FGG2" t="str">
            <v/>
          </cell>
          <cell r="FGH2" t="str">
            <v/>
          </cell>
          <cell r="FGI2" t="str">
            <v/>
          </cell>
          <cell r="FGJ2" t="str">
            <v/>
          </cell>
          <cell r="FGK2" t="str">
            <v/>
          </cell>
          <cell r="FGL2" t="str">
            <v/>
          </cell>
          <cell r="FGM2" t="str">
            <v/>
          </cell>
          <cell r="FGN2" t="str">
            <v/>
          </cell>
          <cell r="FGO2" t="str">
            <v/>
          </cell>
          <cell r="FGP2" t="str">
            <v/>
          </cell>
          <cell r="FGQ2" t="str">
            <v/>
          </cell>
          <cell r="FGR2" t="str">
            <v/>
          </cell>
          <cell r="FGS2" t="str">
            <v/>
          </cell>
          <cell r="FGT2" t="str">
            <v/>
          </cell>
          <cell r="FGU2" t="str">
            <v/>
          </cell>
          <cell r="FGV2" t="str">
            <v/>
          </cell>
          <cell r="FGW2" t="str">
            <v/>
          </cell>
          <cell r="FGX2" t="str">
            <v/>
          </cell>
          <cell r="FGY2" t="str">
            <v/>
          </cell>
          <cell r="FGZ2" t="str">
            <v/>
          </cell>
          <cell r="FHA2" t="str">
            <v/>
          </cell>
          <cell r="FHB2" t="str">
            <v/>
          </cell>
          <cell r="FHC2" t="str">
            <v/>
          </cell>
          <cell r="FHD2" t="str">
            <v/>
          </cell>
          <cell r="FHE2" t="str">
            <v/>
          </cell>
          <cell r="FHF2" t="str">
            <v/>
          </cell>
          <cell r="FHG2" t="str">
            <v/>
          </cell>
          <cell r="FHH2" t="str">
            <v/>
          </cell>
          <cell r="FHI2" t="str">
            <v/>
          </cell>
          <cell r="FHJ2" t="str">
            <v/>
          </cell>
          <cell r="FHK2" t="str">
            <v/>
          </cell>
          <cell r="FHL2" t="str">
            <v/>
          </cell>
          <cell r="FHM2" t="str">
            <v/>
          </cell>
          <cell r="FHN2" t="str">
            <v/>
          </cell>
          <cell r="FHO2" t="str">
            <v/>
          </cell>
          <cell r="FHP2" t="str">
            <v/>
          </cell>
          <cell r="FHQ2" t="str">
            <v/>
          </cell>
          <cell r="FHR2" t="str">
            <v/>
          </cell>
          <cell r="FHS2" t="str">
            <v/>
          </cell>
          <cell r="FHT2" t="str">
            <v/>
          </cell>
          <cell r="FHU2" t="str">
            <v/>
          </cell>
          <cell r="FHV2" t="str">
            <v/>
          </cell>
          <cell r="FHW2" t="str">
            <v/>
          </cell>
          <cell r="FHX2" t="str">
            <v/>
          </cell>
          <cell r="FHY2" t="str">
            <v/>
          </cell>
          <cell r="FHZ2" t="str">
            <v/>
          </cell>
          <cell r="FIA2" t="str">
            <v/>
          </cell>
          <cell r="FIB2" t="str">
            <v/>
          </cell>
          <cell r="FIC2" t="str">
            <v/>
          </cell>
          <cell r="FID2" t="str">
            <v/>
          </cell>
          <cell r="FIE2" t="str">
            <v/>
          </cell>
          <cell r="FIF2" t="str">
            <v/>
          </cell>
          <cell r="FIG2" t="str">
            <v/>
          </cell>
          <cell r="FIH2" t="str">
            <v/>
          </cell>
          <cell r="FII2" t="str">
            <v/>
          </cell>
          <cell r="FIJ2" t="str">
            <v/>
          </cell>
          <cell r="FIK2" t="str">
            <v/>
          </cell>
          <cell r="FIL2" t="str">
            <v/>
          </cell>
          <cell r="FIM2" t="str">
            <v/>
          </cell>
          <cell r="FIN2" t="str">
            <v/>
          </cell>
          <cell r="FIO2" t="str">
            <v/>
          </cell>
          <cell r="FIP2" t="str">
            <v/>
          </cell>
          <cell r="FIQ2" t="str">
            <v/>
          </cell>
          <cell r="FIR2" t="str">
            <v/>
          </cell>
          <cell r="FIS2" t="str">
            <v/>
          </cell>
          <cell r="FIT2" t="str">
            <v/>
          </cell>
          <cell r="FIU2" t="str">
            <v/>
          </cell>
          <cell r="FIV2" t="str">
            <v/>
          </cell>
          <cell r="FIW2" t="str">
            <v/>
          </cell>
          <cell r="FIX2" t="str">
            <v/>
          </cell>
          <cell r="FIY2" t="str">
            <v/>
          </cell>
          <cell r="FIZ2" t="str">
            <v/>
          </cell>
          <cell r="FJA2" t="str">
            <v/>
          </cell>
          <cell r="FJB2" t="str">
            <v/>
          </cell>
          <cell r="FJC2" t="str">
            <v/>
          </cell>
          <cell r="FJD2" t="str">
            <v/>
          </cell>
          <cell r="FJE2" t="str">
            <v/>
          </cell>
          <cell r="FJF2" t="str">
            <v/>
          </cell>
          <cell r="FJG2" t="str">
            <v/>
          </cell>
          <cell r="FJH2" t="str">
            <v/>
          </cell>
          <cell r="FJI2" t="str">
            <v/>
          </cell>
          <cell r="FJJ2" t="str">
            <v/>
          </cell>
          <cell r="FJK2" t="str">
            <v/>
          </cell>
          <cell r="FJL2" t="str">
            <v/>
          </cell>
          <cell r="FJM2" t="str">
            <v/>
          </cell>
          <cell r="FJN2" t="str">
            <v/>
          </cell>
          <cell r="FJO2" t="str">
            <v/>
          </cell>
          <cell r="FJP2" t="str">
            <v/>
          </cell>
          <cell r="FJQ2" t="str">
            <v/>
          </cell>
          <cell r="FJR2" t="str">
            <v/>
          </cell>
          <cell r="FJS2" t="str">
            <v/>
          </cell>
          <cell r="FJT2" t="str">
            <v/>
          </cell>
          <cell r="FJU2" t="str">
            <v/>
          </cell>
          <cell r="FJV2" t="str">
            <v/>
          </cell>
          <cell r="FJW2" t="str">
            <v/>
          </cell>
          <cell r="FJX2" t="str">
            <v/>
          </cell>
          <cell r="FJY2" t="str">
            <v/>
          </cell>
          <cell r="FJZ2" t="str">
            <v/>
          </cell>
          <cell r="FKA2" t="str">
            <v/>
          </cell>
          <cell r="FKB2" t="str">
            <v/>
          </cell>
          <cell r="FKC2" t="str">
            <v/>
          </cell>
          <cell r="FKD2" t="str">
            <v/>
          </cell>
          <cell r="FKE2" t="str">
            <v/>
          </cell>
          <cell r="FKF2" t="str">
            <v/>
          </cell>
          <cell r="FKG2" t="str">
            <v/>
          </cell>
          <cell r="FKH2" t="str">
            <v/>
          </cell>
          <cell r="FKI2" t="str">
            <v/>
          </cell>
          <cell r="FKJ2" t="str">
            <v/>
          </cell>
          <cell r="FKK2" t="str">
            <v/>
          </cell>
          <cell r="FKL2" t="str">
            <v/>
          </cell>
          <cell r="FKM2" t="str">
            <v/>
          </cell>
          <cell r="FKN2" t="str">
            <v/>
          </cell>
          <cell r="FKO2" t="str">
            <v/>
          </cell>
          <cell r="FKP2" t="str">
            <v/>
          </cell>
          <cell r="FKQ2" t="str">
            <v/>
          </cell>
          <cell r="FKR2" t="str">
            <v/>
          </cell>
          <cell r="FKS2" t="str">
            <v/>
          </cell>
          <cell r="FKT2" t="str">
            <v/>
          </cell>
          <cell r="FKU2" t="str">
            <v/>
          </cell>
          <cell r="FKV2" t="str">
            <v/>
          </cell>
          <cell r="FKW2" t="str">
            <v/>
          </cell>
          <cell r="FKX2" t="str">
            <v/>
          </cell>
          <cell r="FKY2" t="str">
            <v/>
          </cell>
          <cell r="FKZ2" t="str">
            <v/>
          </cell>
          <cell r="FLA2" t="str">
            <v/>
          </cell>
          <cell r="FLB2" t="str">
            <v/>
          </cell>
          <cell r="FLC2" t="str">
            <v/>
          </cell>
          <cell r="FLD2" t="str">
            <v/>
          </cell>
          <cell r="FLE2" t="str">
            <v/>
          </cell>
          <cell r="FLF2" t="str">
            <v/>
          </cell>
          <cell r="FLG2" t="str">
            <v/>
          </cell>
          <cell r="FLH2" t="str">
            <v/>
          </cell>
          <cell r="FLI2" t="str">
            <v/>
          </cell>
          <cell r="FLJ2" t="str">
            <v/>
          </cell>
          <cell r="FLK2" t="str">
            <v/>
          </cell>
          <cell r="FLL2" t="str">
            <v/>
          </cell>
          <cell r="FLM2" t="str">
            <v/>
          </cell>
          <cell r="FLN2" t="str">
            <v/>
          </cell>
          <cell r="FLO2" t="str">
            <v/>
          </cell>
          <cell r="FLP2" t="str">
            <v/>
          </cell>
          <cell r="FLQ2" t="str">
            <v/>
          </cell>
          <cell r="FLR2" t="str">
            <v/>
          </cell>
          <cell r="FLS2" t="str">
            <v/>
          </cell>
          <cell r="FLT2" t="str">
            <v/>
          </cell>
          <cell r="FLU2" t="str">
            <v/>
          </cell>
          <cell r="FLV2" t="str">
            <v/>
          </cell>
          <cell r="FLW2" t="str">
            <v/>
          </cell>
          <cell r="FLX2" t="str">
            <v/>
          </cell>
          <cell r="FLY2" t="str">
            <v/>
          </cell>
          <cell r="FLZ2" t="str">
            <v/>
          </cell>
          <cell r="FMA2" t="str">
            <v/>
          </cell>
          <cell r="FMB2" t="str">
            <v/>
          </cell>
          <cell r="FMC2" t="str">
            <v/>
          </cell>
          <cell r="FMD2" t="str">
            <v/>
          </cell>
          <cell r="FME2" t="str">
            <v/>
          </cell>
          <cell r="FMF2" t="str">
            <v/>
          </cell>
          <cell r="FMG2" t="str">
            <v/>
          </cell>
          <cell r="FMH2" t="str">
            <v/>
          </cell>
          <cell r="FMI2" t="str">
            <v/>
          </cell>
          <cell r="FMJ2" t="str">
            <v/>
          </cell>
          <cell r="FMK2" t="str">
            <v/>
          </cell>
          <cell r="FML2" t="str">
            <v/>
          </cell>
          <cell r="FMM2" t="str">
            <v/>
          </cell>
          <cell r="FMN2" t="str">
            <v/>
          </cell>
          <cell r="FMO2" t="str">
            <v/>
          </cell>
          <cell r="FMP2" t="str">
            <v/>
          </cell>
          <cell r="FMQ2" t="str">
            <v/>
          </cell>
          <cell r="FMR2" t="str">
            <v/>
          </cell>
          <cell r="FMS2" t="str">
            <v/>
          </cell>
          <cell r="FMT2" t="str">
            <v/>
          </cell>
          <cell r="FMU2" t="str">
            <v/>
          </cell>
          <cell r="FMV2" t="str">
            <v/>
          </cell>
          <cell r="FMW2" t="str">
            <v/>
          </cell>
          <cell r="FMX2" t="str">
            <v/>
          </cell>
          <cell r="FMY2" t="str">
            <v/>
          </cell>
          <cell r="FMZ2" t="str">
            <v/>
          </cell>
          <cell r="FNA2" t="str">
            <v/>
          </cell>
          <cell r="FNB2" t="str">
            <v/>
          </cell>
          <cell r="FNC2" t="str">
            <v/>
          </cell>
          <cell r="FND2" t="str">
            <v/>
          </cell>
          <cell r="FNE2" t="str">
            <v/>
          </cell>
          <cell r="FNF2" t="str">
            <v/>
          </cell>
          <cell r="FNG2" t="str">
            <v/>
          </cell>
          <cell r="FNH2" t="str">
            <v/>
          </cell>
          <cell r="FNI2" t="str">
            <v/>
          </cell>
          <cell r="FNJ2" t="str">
            <v/>
          </cell>
          <cell r="FNK2" t="str">
            <v/>
          </cell>
          <cell r="FNL2" t="str">
            <v/>
          </cell>
          <cell r="FNM2" t="str">
            <v/>
          </cell>
          <cell r="FNN2" t="str">
            <v/>
          </cell>
          <cell r="FNO2" t="str">
            <v/>
          </cell>
          <cell r="FNP2" t="str">
            <v/>
          </cell>
          <cell r="FNQ2" t="str">
            <v/>
          </cell>
          <cell r="FNR2" t="str">
            <v/>
          </cell>
          <cell r="FNS2" t="str">
            <v/>
          </cell>
          <cell r="FNT2" t="str">
            <v/>
          </cell>
          <cell r="FNU2" t="str">
            <v/>
          </cell>
          <cell r="FNV2" t="str">
            <v/>
          </cell>
          <cell r="FNW2" t="str">
            <v/>
          </cell>
          <cell r="FNX2" t="str">
            <v/>
          </cell>
          <cell r="FNY2" t="str">
            <v/>
          </cell>
          <cell r="FNZ2" t="str">
            <v/>
          </cell>
          <cell r="FOA2" t="str">
            <v/>
          </cell>
          <cell r="FOB2" t="str">
            <v/>
          </cell>
          <cell r="FOC2" t="str">
            <v/>
          </cell>
          <cell r="FOD2" t="str">
            <v/>
          </cell>
          <cell r="FOE2" t="str">
            <v/>
          </cell>
          <cell r="FOF2" t="str">
            <v/>
          </cell>
          <cell r="FOG2" t="str">
            <v/>
          </cell>
          <cell r="FOH2" t="str">
            <v/>
          </cell>
          <cell r="FOI2" t="str">
            <v/>
          </cell>
          <cell r="FOJ2" t="str">
            <v/>
          </cell>
          <cell r="FOK2" t="str">
            <v/>
          </cell>
          <cell r="FOL2" t="str">
            <v/>
          </cell>
          <cell r="FOM2" t="str">
            <v/>
          </cell>
          <cell r="FON2" t="str">
            <v/>
          </cell>
          <cell r="FOO2" t="str">
            <v/>
          </cell>
          <cell r="FOP2" t="str">
            <v/>
          </cell>
          <cell r="FOQ2" t="str">
            <v/>
          </cell>
          <cell r="FOR2" t="str">
            <v/>
          </cell>
          <cell r="FOS2" t="str">
            <v/>
          </cell>
          <cell r="FOT2" t="str">
            <v/>
          </cell>
          <cell r="FOU2" t="str">
            <v/>
          </cell>
          <cell r="FOV2" t="str">
            <v/>
          </cell>
          <cell r="FOW2" t="str">
            <v/>
          </cell>
          <cell r="FOX2" t="str">
            <v/>
          </cell>
          <cell r="FOY2" t="str">
            <v/>
          </cell>
          <cell r="FOZ2" t="str">
            <v/>
          </cell>
          <cell r="FPA2" t="str">
            <v/>
          </cell>
          <cell r="FPB2" t="str">
            <v/>
          </cell>
          <cell r="FPC2" t="str">
            <v/>
          </cell>
          <cell r="FPD2" t="str">
            <v/>
          </cell>
          <cell r="FPE2" t="str">
            <v/>
          </cell>
          <cell r="FPF2" t="str">
            <v/>
          </cell>
          <cell r="FPG2" t="str">
            <v/>
          </cell>
          <cell r="FPH2" t="str">
            <v/>
          </cell>
          <cell r="FPI2" t="str">
            <v/>
          </cell>
          <cell r="FPJ2" t="str">
            <v/>
          </cell>
          <cell r="FPK2" t="str">
            <v/>
          </cell>
          <cell r="FPL2" t="str">
            <v/>
          </cell>
          <cell r="FPM2" t="str">
            <v/>
          </cell>
          <cell r="FPN2" t="str">
            <v/>
          </cell>
          <cell r="FPO2" t="str">
            <v/>
          </cell>
          <cell r="FPP2" t="str">
            <v/>
          </cell>
          <cell r="FPQ2" t="str">
            <v/>
          </cell>
          <cell r="FPR2" t="str">
            <v/>
          </cell>
          <cell r="FPS2" t="str">
            <v/>
          </cell>
          <cell r="FPT2" t="str">
            <v/>
          </cell>
          <cell r="FPU2" t="str">
            <v/>
          </cell>
          <cell r="FPV2" t="str">
            <v/>
          </cell>
          <cell r="FPW2" t="str">
            <v/>
          </cell>
          <cell r="FPX2" t="str">
            <v/>
          </cell>
          <cell r="FPY2" t="str">
            <v/>
          </cell>
          <cell r="FPZ2" t="str">
            <v/>
          </cell>
          <cell r="FQA2" t="str">
            <v/>
          </cell>
          <cell r="FQB2" t="str">
            <v/>
          </cell>
          <cell r="FQC2" t="str">
            <v/>
          </cell>
          <cell r="FQD2" t="str">
            <v/>
          </cell>
          <cell r="FQE2" t="str">
            <v/>
          </cell>
          <cell r="FQF2" t="str">
            <v/>
          </cell>
          <cell r="FQG2" t="str">
            <v/>
          </cell>
          <cell r="FQH2" t="str">
            <v/>
          </cell>
          <cell r="FQI2" t="str">
            <v/>
          </cell>
          <cell r="FQJ2" t="str">
            <v/>
          </cell>
          <cell r="FQK2" t="str">
            <v/>
          </cell>
          <cell r="FQL2" t="str">
            <v/>
          </cell>
          <cell r="FQM2" t="str">
            <v/>
          </cell>
          <cell r="FQN2" t="str">
            <v/>
          </cell>
          <cell r="FQO2" t="str">
            <v/>
          </cell>
          <cell r="FQP2" t="str">
            <v/>
          </cell>
          <cell r="FQQ2" t="str">
            <v/>
          </cell>
          <cell r="FQR2" t="str">
            <v/>
          </cell>
          <cell r="FQS2" t="str">
            <v/>
          </cell>
          <cell r="FQT2" t="str">
            <v/>
          </cell>
          <cell r="FQU2" t="str">
            <v/>
          </cell>
          <cell r="FQV2" t="str">
            <v/>
          </cell>
          <cell r="FQW2" t="str">
            <v/>
          </cell>
          <cell r="FQX2" t="str">
            <v/>
          </cell>
          <cell r="FQY2" t="str">
            <v/>
          </cell>
          <cell r="FQZ2" t="str">
            <v/>
          </cell>
          <cell r="FRA2" t="str">
            <v/>
          </cell>
          <cell r="FRB2" t="str">
            <v/>
          </cell>
          <cell r="FRC2" t="str">
            <v/>
          </cell>
          <cell r="FRD2" t="str">
            <v/>
          </cell>
          <cell r="FRE2" t="str">
            <v/>
          </cell>
          <cell r="FRF2" t="str">
            <v/>
          </cell>
          <cell r="FRG2" t="str">
            <v/>
          </cell>
          <cell r="FRH2" t="str">
            <v/>
          </cell>
          <cell r="FRI2" t="str">
            <v/>
          </cell>
          <cell r="FRJ2" t="str">
            <v/>
          </cell>
          <cell r="FRK2" t="str">
            <v/>
          </cell>
          <cell r="FRL2" t="str">
            <v/>
          </cell>
          <cell r="FRM2" t="str">
            <v/>
          </cell>
          <cell r="FRN2" t="str">
            <v/>
          </cell>
          <cell r="FRO2" t="str">
            <v/>
          </cell>
          <cell r="FRP2" t="str">
            <v/>
          </cell>
          <cell r="FRQ2" t="str">
            <v/>
          </cell>
          <cell r="FRR2" t="str">
            <v/>
          </cell>
          <cell r="FRS2" t="str">
            <v/>
          </cell>
          <cell r="FRT2" t="str">
            <v/>
          </cell>
          <cell r="FRU2" t="str">
            <v/>
          </cell>
          <cell r="FRV2" t="str">
            <v/>
          </cell>
          <cell r="FRW2" t="str">
            <v/>
          </cell>
          <cell r="FRX2" t="str">
            <v/>
          </cell>
          <cell r="FRY2" t="str">
            <v/>
          </cell>
          <cell r="FRZ2" t="str">
            <v/>
          </cell>
          <cell r="FSA2" t="str">
            <v/>
          </cell>
          <cell r="FSB2" t="str">
            <v/>
          </cell>
          <cell r="FSC2" t="str">
            <v/>
          </cell>
          <cell r="FSD2" t="str">
            <v/>
          </cell>
          <cell r="FSE2" t="str">
            <v/>
          </cell>
          <cell r="FSF2" t="str">
            <v/>
          </cell>
          <cell r="FSG2" t="str">
            <v/>
          </cell>
          <cell r="FSH2" t="str">
            <v/>
          </cell>
          <cell r="FSI2" t="str">
            <v/>
          </cell>
          <cell r="FSJ2" t="str">
            <v/>
          </cell>
          <cell r="FSK2" t="str">
            <v/>
          </cell>
          <cell r="FSL2" t="str">
            <v/>
          </cell>
          <cell r="FSM2" t="str">
            <v/>
          </cell>
          <cell r="FSN2" t="str">
            <v/>
          </cell>
          <cell r="FSO2" t="str">
            <v/>
          </cell>
          <cell r="FSP2" t="str">
            <v/>
          </cell>
          <cell r="FSQ2" t="str">
            <v/>
          </cell>
          <cell r="FSR2" t="str">
            <v/>
          </cell>
          <cell r="FSS2" t="str">
            <v/>
          </cell>
          <cell r="FST2" t="str">
            <v/>
          </cell>
          <cell r="FSU2" t="str">
            <v/>
          </cell>
          <cell r="FSV2" t="str">
            <v/>
          </cell>
          <cell r="FSW2" t="str">
            <v/>
          </cell>
          <cell r="FSX2" t="str">
            <v/>
          </cell>
          <cell r="FSY2" t="str">
            <v/>
          </cell>
          <cell r="FSZ2" t="str">
            <v/>
          </cell>
          <cell r="FTA2" t="str">
            <v/>
          </cell>
          <cell r="FTB2" t="str">
            <v/>
          </cell>
          <cell r="FTC2" t="str">
            <v/>
          </cell>
          <cell r="FTD2" t="str">
            <v/>
          </cell>
          <cell r="FTE2" t="str">
            <v/>
          </cell>
          <cell r="FTF2" t="str">
            <v/>
          </cell>
          <cell r="FTG2" t="str">
            <v/>
          </cell>
          <cell r="FTH2" t="str">
            <v/>
          </cell>
          <cell r="FTI2" t="str">
            <v/>
          </cell>
          <cell r="FTJ2" t="str">
            <v/>
          </cell>
          <cell r="FTK2" t="str">
            <v/>
          </cell>
          <cell r="FTL2" t="str">
            <v/>
          </cell>
          <cell r="FTM2" t="str">
            <v/>
          </cell>
          <cell r="FTN2" t="str">
            <v/>
          </cell>
          <cell r="FTO2" t="str">
            <v/>
          </cell>
          <cell r="FTP2" t="str">
            <v/>
          </cell>
          <cell r="FTQ2" t="str">
            <v/>
          </cell>
          <cell r="FTR2" t="str">
            <v/>
          </cell>
          <cell r="FTS2" t="str">
            <v/>
          </cell>
          <cell r="FTT2" t="str">
            <v/>
          </cell>
          <cell r="FTU2" t="str">
            <v/>
          </cell>
          <cell r="FTV2" t="str">
            <v/>
          </cell>
          <cell r="FTW2" t="str">
            <v/>
          </cell>
          <cell r="FTX2" t="str">
            <v/>
          </cell>
          <cell r="FTY2" t="str">
            <v/>
          </cell>
          <cell r="FTZ2" t="str">
            <v/>
          </cell>
          <cell r="FUA2" t="str">
            <v/>
          </cell>
          <cell r="FUB2" t="str">
            <v/>
          </cell>
          <cell r="FUC2" t="str">
            <v/>
          </cell>
          <cell r="FUD2" t="str">
            <v/>
          </cell>
          <cell r="FUE2" t="str">
            <v/>
          </cell>
          <cell r="FUF2" t="str">
            <v/>
          </cell>
          <cell r="FUG2" t="str">
            <v/>
          </cell>
          <cell r="FUH2" t="str">
            <v/>
          </cell>
          <cell r="FUI2" t="str">
            <v/>
          </cell>
          <cell r="FUJ2" t="str">
            <v/>
          </cell>
          <cell r="FUK2" t="str">
            <v/>
          </cell>
          <cell r="FUL2" t="str">
            <v/>
          </cell>
          <cell r="FUM2" t="str">
            <v/>
          </cell>
          <cell r="FUN2" t="str">
            <v/>
          </cell>
          <cell r="FUO2" t="str">
            <v/>
          </cell>
          <cell r="FUP2" t="str">
            <v/>
          </cell>
          <cell r="FUQ2" t="str">
            <v/>
          </cell>
          <cell r="FUR2" t="str">
            <v/>
          </cell>
          <cell r="FUS2" t="str">
            <v/>
          </cell>
          <cell r="FUT2" t="str">
            <v/>
          </cell>
          <cell r="FUU2" t="str">
            <v/>
          </cell>
          <cell r="FUV2" t="str">
            <v/>
          </cell>
          <cell r="FUW2" t="str">
            <v/>
          </cell>
          <cell r="FUX2" t="str">
            <v/>
          </cell>
          <cell r="FUY2" t="str">
            <v/>
          </cell>
          <cell r="FUZ2" t="str">
            <v/>
          </cell>
          <cell r="FVA2" t="str">
            <v/>
          </cell>
          <cell r="FVB2" t="str">
            <v/>
          </cell>
          <cell r="FVC2" t="str">
            <v/>
          </cell>
          <cell r="FVD2" t="str">
            <v/>
          </cell>
          <cell r="FVE2" t="str">
            <v/>
          </cell>
          <cell r="FVF2" t="str">
            <v/>
          </cell>
          <cell r="FVG2" t="str">
            <v/>
          </cell>
          <cell r="FVH2" t="str">
            <v/>
          </cell>
          <cell r="FVI2" t="str">
            <v/>
          </cell>
          <cell r="FVJ2" t="str">
            <v/>
          </cell>
          <cell r="FVK2" t="str">
            <v/>
          </cell>
          <cell r="FVL2" t="str">
            <v/>
          </cell>
          <cell r="FVM2" t="str">
            <v/>
          </cell>
          <cell r="FVN2" t="str">
            <v/>
          </cell>
          <cell r="FVO2" t="str">
            <v/>
          </cell>
          <cell r="FVP2" t="str">
            <v/>
          </cell>
          <cell r="FVQ2" t="str">
            <v/>
          </cell>
          <cell r="FVR2" t="str">
            <v/>
          </cell>
          <cell r="FVS2" t="str">
            <v/>
          </cell>
          <cell r="FVT2" t="str">
            <v/>
          </cell>
          <cell r="FVU2" t="str">
            <v/>
          </cell>
          <cell r="FVV2" t="str">
            <v/>
          </cell>
          <cell r="FVW2" t="str">
            <v/>
          </cell>
          <cell r="FVX2" t="str">
            <v/>
          </cell>
          <cell r="FVY2" t="str">
            <v/>
          </cell>
          <cell r="FVZ2" t="str">
            <v/>
          </cell>
          <cell r="FWA2" t="str">
            <v/>
          </cell>
          <cell r="FWB2" t="str">
            <v/>
          </cell>
          <cell r="FWC2" t="str">
            <v/>
          </cell>
          <cell r="FWD2" t="str">
            <v/>
          </cell>
          <cell r="FWE2" t="str">
            <v/>
          </cell>
          <cell r="FWF2" t="str">
            <v/>
          </cell>
          <cell r="FWG2" t="str">
            <v/>
          </cell>
          <cell r="FWH2" t="str">
            <v/>
          </cell>
          <cell r="FWI2" t="str">
            <v/>
          </cell>
          <cell r="FWJ2" t="str">
            <v/>
          </cell>
          <cell r="FWK2" t="str">
            <v/>
          </cell>
          <cell r="FWL2" t="str">
            <v/>
          </cell>
          <cell r="FWM2" t="str">
            <v/>
          </cell>
          <cell r="FWN2" t="str">
            <v/>
          </cell>
          <cell r="FWO2" t="str">
            <v/>
          </cell>
          <cell r="FWP2" t="str">
            <v/>
          </cell>
          <cell r="FWQ2" t="str">
            <v/>
          </cell>
          <cell r="FWR2" t="str">
            <v/>
          </cell>
          <cell r="FWS2" t="str">
            <v/>
          </cell>
          <cell r="FWT2" t="str">
            <v/>
          </cell>
          <cell r="FWU2" t="str">
            <v/>
          </cell>
          <cell r="FWV2" t="str">
            <v/>
          </cell>
          <cell r="FWW2" t="str">
            <v/>
          </cell>
          <cell r="FWX2" t="str">
            <v/>
          </cell>
          <cell r="FWY2" t="str">
            <v/>
          </cell>
          <cell r="FWZ2" t="str">
            <v/>
          </cell>
          <cell r="FXA2" t="str">
            <v/>
          </cell>
          <cell r="FXB2" t="str">
            <v/>
          </cell>
          <cell r="FXC2" t="str">
            <v/>
          </cell>
          <cell r="FXD2" t="str">
            <v/>
          </cell>
          <cell r="FXE2" t="str">
            <v/>
          </cell>
          <cell r="FXF2" t="str">
            <v/>
          </cell>
          <cell r="FXG2" t="str">
            <v/>
          </cell>
          <cell r="FXH2" t="str">
            <v/>
          </cell>
          <cell r="FXI2" t="str">
            <v/>
          </cell>
          <cell r="FXJ2" t="str">
            <v/>
          </cell>
          <cell r="FXK2" t="str">
            <v/>
          </cell>
          <cell r="FXL2" t="str">
            <v/>
          </cell>
          <cell r="FXM2" t="str">
            <v/>
          </cell>
          <cell r="FXN2" t="str">
            <v/>
          </cell>
          <cell r="FXO2" t="str">
            <v/>
          </cell>
          <cell r="FXP2" t="str">
            <v/>
          </cell>
          <cell r="FXQ2" t="str">
            <v/>
          </cell>
          <cell r="FXR2" t="str">
            <v/>
          </cell>
          <cell r="FXS2" t="str">
            <v/>
          </cell>
          <cell r="FXT2" t="str">
            <v/>
          </cell>
          <cell r="FXU2" t="str">
            <v/>
          </cell>
          <cell r="FXV2" t="str">
            <v/>
          </cell>
          <cell r="FXW2" t="str">
            <v/>
          </cell>
          <cell r="FXX2" t="str">
            <v/>
          </cell>
          <cell r="FXY2" t="str">
            <v/>
          </cell>
          <cell r="FXZ2" t="str">
            <v/>
          </cell>
          <cell r="FYA2" t="str">
            <v/>
          </cell>
          <cell r="FYB2" t="str">
            <v/>
          </cell>
          <cell r="FYC2" t="str">
            <v/>
          </cell>
          <cell r="FYD2" t="str">
            <v/>
          </cell>
          <cell r="FYE2" t="str">
            <v/>
          </cell>
          <cell r="FYF2" t="str">
            <v/>
          </cell>
          <cell r="FYG2" t="str">
            <v/>
          </cell>
          <cell r="FYH2" t="str">
            <v/>
          </cell>
          <cell r="FYI2" t="str">
            <v/>
          </cell>
          <cell r="FYJ2" t="str">
            <v/>
          </cell>
          <cell r="FYK2" t="str">
            <v/>
          </cell>
          <cell r="FYL2" t="str">
            <v/>
          </cell>
          <cell r="FYM2" t="str">
            <v/>
          </cell>
          <cell r="FYN2" t="str">
            <v/>
          </cell>
          <cell r="FYO2" t="str">
            <v/>
          </cell>
          <cell r="FYP2" t="str">
            <v/>
          </cell>
          <cell r="FYQ2" t="str">
            <v/>
          </cell>
          <cell r="FYR2" t="str">
            <v/>
          </cell>
          <cell r="FYS2" t="str">
            <v/>
          </cell>
          <cell r="FYT2" t="str">
            <v/>
          </cell>
          <cell r="FYU2" t="str">
            <v/>
          </cell>
          <cell r="FYV2" t="str">
            <v/>
          </cell>
          <cell r="FYW2" t="str">
            <v/>
          </cell>
          <cell r="FYX2" t="str">
            <v/>
          </cell>
          <cell r="FYY2" t="str">
            <v/>
          </cell>
          <cell r="FYZ2" t="str">
            <v/>
          </cell>
          <cell r="FZA2" t="str">
            <v/>
          </cell>
          <cell r="FZB2" t="str">
            <v/>
          </cell>
          <cell r="FZC2" t="str">
            <v/>
          </cell>
          <cell r="FZD2" t="str">
            <v/>
          </cell>
          <cell r="FZE2" t="str">
            <v/>
          </cell>
          <cell r="FZF2" t="str">
            <v/>
          </cell>
          <cell r="FZG2" t="str">
            <v/>
          </cell>
          <cell r="FZH2" t="str">
            <v/>
          </cell>
          <cell r="FZI2" t="str">
            <v/>
          </cell>
          <cell r="FZJ2" t="str">
            <v/>
          </cell>
          <cell r="FZK2" t="str">
            <v/>
          </cell>
          <cell r="FZL2" t="str">
            <v/>
          </cell>
          <cell r="FZM2" t="str">
            <v/>
          </cell>
          <cell r="FZN2" t="str">
            <v/>
          </cell>
          <cell r="FZO2" t="str">
            <v/>
          </cell>
          <cell r="FZP2" t="str">
            <v/>
          </cell>
          <cell r="FZQ2" t="str">
            <v/>
          </cell>
          <cell r="FZR2" t="str">
            <v/>
          </cell>
          <cell r="FZS2" t="str">
            <v/>
          </cell>
          <cell r="FZT2" t="str">
            <v/>
          </cell>
          <cell r="FZU2" t="str">
            <v/>
          </cell>
          <cell r="FZV2" t="str">
            <v/>
          </cell>
          <cell r="FZW2" t="str">
            <v/>
          </cell>
          <cell r="FZX2" t="str">
            <v/>
          </cell>
          <cell r="FZY2" t="str">
            <v/>
          </cell>
          <cell r="FZZ2" t="str">
            <v/>
          </cell>
          <cell r="GAA2" t="str">
            <v/>
          </cell>
          <cell r="GAB2" t="str">
            <v/>
          </cell>
          <cell r="GAC2" t="str">
            <v/>
          </cell>
          <cell r="GAD2" t="str">
            <v/>
          </cell>
          <cell r="GAE2" t="str">
            <v/>
          </cell>
          <cell r="GAF2" t="str">
            <v/>
          </cell>
          <cell r="GAG2" t="str">
            <v/>
          </cell>
          <cell r="GAH2" t="str">
            <v/>
          </cell>
          <cell r="GAI2" t="str">
            <v/>
          </cell>
          <cell r="GAJ2" t="str">
            <v/>
          </cell>
          <cell r="GAK2" t="str">
            <v/>
          </cell>
          <cell r="GAL2" t="str">
            <v/>
          </cell>
          <cell r="GAM2" t="str">
            <v/>
          </cell>
          <cell r="GAN2" t="str">
            <v/>
          </cell>
          <cell r="GAO2" t="str">
            <v/>
          </cell>
          <cell r="GAP2" t="str">
            <v/>
          </cell>
          <cell r="GAQ2" t="str">
            <v/>
          </cell>
          <cell r="GAR2" t="str">
            <v/>
          </cell>
          <cell r="GAS2" t="str">
            <v/>
          </cell>
          <cell r="GAT2" t="str">
            <v/>
          </cell>
          <cell r="GAU2" t="str">
            <v/>
          </cell>
          <cell r="GAV2" t="str">
            <v/>
          </cell>
          <cell r="GAW2" t="str">
            <v/>
          </cell>
          <cell r="GAX2" t="str">
            <v/>
          </cell>
          <cell r="GAY2" t="str">
            <v/>
          </cell>
          <cell r="GAZ2" t="str">
            <v/>
          </cell>
          <cell r="GBA2" t="str">
            <v/>
          </cell>
          <cell r="GBB2" t="str">
            <v/>
          </cell>
          <cell r="GBC2" t="str">
            <v/>
          </cell>
          <cell r="GBD2" t="str">
            <v/>
          </cell>
          <cell r="GBE2" t="str">
            <v/>
          </cell>
          <cell r="GBF2" t="str">
            <v/>
          </cell>
          <cell r="GBG2" t="str">
            <v/>
          </cell>
          <cell r="GBH2" t="str">
            <v/>
          </cell>
          <cell r="GBI2" t="str">
            <v/>
          </cell>
          <cell r="GBJ2" t="str">
            <v/>
          </cell>
          <cell r="GBK2" t="str">
            <v/>
          </cell>
          <cell r="GBL2" t="str">
            <v/>
          </cell>
          <cell r="GBM2" t="str">
            <v/>
          </cell>
          <cell r="GBN2" t="str">
            <v/>
          </cell>
          <cell r="GBO2" t="str">
            <v/>
          </cell>
          <cell r="GBP2" t="str">
            <v/>
          </cell>
          <cell r="GBQ2" t="str">
            <v/>
          </cell>
          <cell r="GBR2" t="str">
            <v/>
          </cell>
          <cell r="GBS2" t="str">
            <v/>
          </cell>
          <cell r="GBT2" t="str">
            <v/>
          </cell>
          <cell r="GBU2" t="str">
            <v/>
          </cell>
          <cell r="GBV2" t="str">
            <v/>
          </cell>
          <cell r="GBW2" t="str">
            <v/>
          </cell>
          <cell r="GBX2" t="str">
            <v/>
          </cell>
          <cell r="GBY2" t="str">
            <v/>
          </cell>
          <cell r="GBZ2" t="str">
            <v/>
          </cell>
          <cell r="GCA2" t="str">
            <v/>
          </cell>
          <cell r="GCB2" t="str">
            <v/>
          </cell>
          <cell r="GCC2" t="str">
            <v/>
          </cell>
          <cell r="GCD2" t="str">
            <v/>
          </cell>
          <cell r="GCE2" t="str">
            <v/>
          </cell>
          <cell r="GCF2" t="str">
            <v/>
          </cell>
          <cell r="GCG2" t="str">
            <v/>
          </cell>
          <cell r="GCH2" t="str">
            <v/>
          </cell>
          <cell r="GCI2" t="str">
            <v/>
          </cell>
          <cell r="GCJ2" t="str">
            <v/>
          </cell>
          <cell r="GCK2" t="str">
            <v/>
          </cell>
          <cell r="GCL2" t="str">
            <v/>
          </cell>
          <cell r="GCM2" t="str">
            <v/>
          </cell>
          <cell r="GCN2" t="str">
            <v/>
          </cell>
          <cell r="GCO2" t="str">
            <v/>
          </cell>
          <cell r="GCP2" t="str">
            <v/>
          </cell>
          <cell r="GCQ2" t="str">
            <v/>
          </cell>
          <cell r="GCR2" t="str">
            <v/>
          </cell>
          <cell r="GCS2" t="str">
            <v/>
          </cell>
          <cell r="GCT2" t="str">
            <v/>
          </cell>
          <cell r="GCU2" t="str">
            <v/>
          </cell>
          <cell r="GCV2" t="str">
            <v/>
          </cell>
          <cell r="GCW2" t="str">
            <v/>
          </cell>
          <cell r="GCX2" t="str">
            <v/>
          </cell>
          <cell r="GCY2" t="str">
            <v/>
          </cell>
          <cell r="GCZ2" t="str">
            <v/>
          </cell>
          <cell r="GDA2" t="str">
            <v/>
          </cell>
          <cell r="GDB2" t="str">
            <v/>
          </cell>
          <cell r="GDC2" t="str">
            <v/>
          </cell>
          <cell r="GDD2" t="str">
            <v/>
          </cell>
          <cell r="GDE2" t="str">
            <v/>
          </cell>
          <cell r="GDF2" t="str">
            <v/>
          </cell>
          <cell r="GDG2" t="str">
            <v/>
          </cell>
          <cell r="GDH2" t="str">
            <v/>
          </cell>
          <cell r="GDI2" t="str">
            <v/>
          </cell>
          <cell r="GDJ2" t="str">
            <v/>
          </cell>
          <cell r="GDK2" t="str">
            <v/>
          </cell>
          <cell r="GDL2" t="str">
            <v/>
          </cell>
          <cell r="GDM2" t="str">
            <v/>
          </cell>
          <cell r="GDN2" t="str">
            <v/>
          </cell>
          <cell r="GDO2" t="str">
            <v/>
          </cell>
          <cell r="GDP2" t="str">
            <v/>
          </cell>
          <cell r="GDQ2" t="str">
            <v/>
          </cell>
          <cell r="GDR2" t="str">
            <v/>
          </cell>
          <cell r="GDS2" t="str">
            <v/>
          </cell>
          <cell r="GDT2" t="str">
            <v/>
          </cell>
          <cell r="GDU2" t="str">
            <v/>
          </cell>
          <cell r="GDV2" t="str">
            <v/>
          </cell>
          <cell r="GDW2" t="str">
            <v/>
          </cell>
          <cell r="GDX2" t="str">
            <v/>
          </cell>
          <cell r="GDY2" t="str">
            <v/>
          </cell>
          <cell r="GDZ2" t="str">
            <v/>
          </cell>
          <cell r="GEA2" t="str">
            <v/>
          </cell>
          <cell r="GEB2" t="str">
            <v/>
          </cell>
          <cell r="GEC2" t="str">
            <v/>
          </cell>
          <cell r="GED2" t="str">
            <v/>
          </cell>
          <cell r="GEE2" t="str">
            <v/>
          </cell>
          <cell r="GEF2" t="str">
            <v/>
          </cell>
          <cell r="GEG2" t="str">
            <v/>
          </cell>
          <cell r="GEH2" t="str">
            <v/>
          </cell>
          <cell r="GEI2" t="str">
            <v/>
          </cell>
          <cell r="GEJ2" t="str">
            <v/>
          </cell>
          <cell r="GEK2" t="str">
            <v/>
          </cell>
          <cell r="GEL2" t="str">
            <v/>
          </cell>
          <cell r="GEM2" t="str">
            <v/>
          </cell>
          <cell r="GEN2" t="str">
            <v/>
          </cell>
          <cell r="GEO2" t="str">
            <v/>
          </cell>
          <cell r="GEP2" t="str">
            <v/>
          </cell>
          <cell r="GEQ2" t="str">
            <v/>
          </cell>
          <cell r="GER2" t="str">
            <v/>
          </cell>
          <cell r="GES2" t="str">
            <v/>
          </cell>
          <cell r="GET2" t="str">
            <v/>
          </cell>
          <cell r="GEU2" t="str">
            <v/>
          </cell>
          <cell r="GEV2" t="str">
            <v/>
          </cell>
          <cell r="GEW2" t="str">
            <v/>
          </cell>
          <cell r="GEX2" t="str">
            <v/>
          </cell>
          <cell r="GEY2" t="str">
            <v/>
          </cell>
          <cell r="GEZ2" t="str">
            <v/>
          </cell>
          <cell r="GFA2" t="str">
            <v/>
          </cell>
          <cell r="GFB2" t="str">
            <v/>
          </cell>
          <cell r="GFC2" t="str">
            <v/>
          </cell>
          <cell r="GFD2" t="str">
            <v/>
          </cell>
          <cell r="GFE2" t="str">
            <v/>
          </cell>
          <cell r="GFF2" t="str">
            <v/>
          </cell>
          <cell r="GFG2" t="str">
            <v/>
          </cell>
          <cell r="GFH2" t="str">
            <v/>
          </cell>
          <cell r="GFI2" t="str">
            <v/>
          </cell>
          <cell r="GFJ2" t="str">
            <v/>
          </cell>
          <cell r="GFK2" t="str">
            <v/>
          </cell>
          <cell r="GFL2" t="str">
            <v/>
          </cell>
          <cell r="GFM2" t="str">
            <v/>
          </cell>
          <cell r="GFN2" t="str">
            <v/>
          </cell>
          <cell r="GFO2" t="str">
            <v/>
          </cell>
          <cell r="GFP2" t="str">
            <v/>
          </cell>
          <cell r="GFQ2" t="str">
            <v/>
          </cell>
          <cell r="GFR2" t="str">
            <v/>
          </cell>
          <cell r="GFS2" t="str">
            <v/>
          </cell>
          <cell r="GFT2" t="str">
            <v/>
          </cell>
          <cell r="GFU2" t="str">
            <v/>
          </cell>
          <cell r="GFV2" t="str">
            <v/>
          </cell>
          <cell r="GFW2" t="str">
            <v/>
          </cell>
          <cell r="GFX2" t="str">
            <v/>
          </cell>
          <cell r="GFY2" t="str">
            <v/>
          </cell>
          <cell r="GFZ2" t="str">
            <v/>
          </cell>
          <cell r="GGA2" t="str">
            <v/>
          </cell>
          <cell r="GGB2" t="str">
            <v/>
          </cell>
          <cell r="GGC2" t="str">
            <v/>
          </cell>
          <cell r="GGD2" t="str">
            <v/>
          </cell>
          <cell r="GGE2" t="str">
            <v/>
          </cell>
          <cell r="GGF2" t="str">
            <v/>
          </cell>
          <cell r="GGG2" t="str">
            <v/>
          </cell>
          <cell r="GGH2" t="str">
            <v/>
          </cell>
          <cell r="GGI2" t="str">
            <v/>
          </cell>
          <cell r="GGJ2" t="str">
            <v/>
          </cell>
          <cell r="GGK2" t="str">
            <v/>
          </cell>
          <cell r="GGL2" t="str">
            <v/>
          </cell>
          <cell r="GGM2" t="str">
            <v/>
          </cell>
          <cell r="GGN2" t="str">
            <v/>
          </cell>
          <cell r="GGO2" t="str">
            <v/>
          </cell>
          <cell r="GGP2" t="str">
            <v/>
          </cell>
          <cell r="GGQ2" t="str">
            <v/>
          </cell>
          <cell r="GGR2" t="str">
            <v/>
          </cell>
          <cell r="GGS2" t="str">
            <v/>
          </cell>
          <cell r="GGT2" t="str">
            <v/>
          </cell>
          <cell r="GGU2" t="str">
            <v/>
          </cell>
          <cell r="GGV2" t="str">
            <v/>
          </cell>
          <cell r="GGW2" t="str">
            <v/>
          </cell>
          <cell r="GGX2" t="str">
            <v/>
          </cell>
          <cell r="GGY2" t="str">
            <v/>
          </cell>
          <cell r="GGZ2" t="str">
            <v/>
          </cell>
          <cell r="GHA2" t="str">
            <v/>
          </cell>
          <cell r="GHB2" t="str">
            <v/>
          </cell>
          <cell r="GHC2" t="str">
            <v/>
          </cell>
          <cell r="GHD2" t="str">
            <v/>
          </cell>
          <cell r="GHE2" t="str">
            <v/>
          </cell>
          <cell r="GHF2" t="str">
            <v/>
          </cell>
          <cell r="GHG2" t="str">
            <v/>
          </cell>
          <cell r="GHH2" t="str">
            <v/>
          </cell>
          <cell r="GHI2" t="str">
            <v/>
          </cell>
          <cell r="GHJ2" t="str">
            <v/>
          </cell>
          <cell r="GHK2" t="str">
            <v/>
          </cell>
          <cell r="GHL2" t="str">
            <v/>
          </cell>
          <cell r="GHM2" t="str">
            <v/>
          </cell>
          <cell r="GHN2" t="str">
            <v/>
          </cell>
          <cell r="GHO2" t="str">
            <v/>
          </cell>
          <cell r="GHP2" t="str">
            <v/>
          </cell>
          <cell r="GHQ2" t="str">
            <v/>
          </cell>
          <cell r="GHR2" t="str">
            <v/>
          </cell>
          <cell r="GHS2" t="str">
            <v/>
          </cell>
          <cell r="GHT2" t="str">
            <v/>
          </cell>
          <cell r="GHU2" t="str">
            <v/>
          </cell>
          <cell r="GHV2" t="str">
            <v/>
          </cell>
          <cell r="GHW2" t="str">
            <v/>
          </cell>
          <cell r="GHX2" t="str">
            <v/>
          </cell>
          <cell r="GHY2" t="str">
            <v/>
          </cell>
          <cell r="GHZ2" t="str">
            <v/>
          </cell>
          <cell r="GIA2" t="str">
            <v/>
          </cell>
          <cell r="GIB2" t="str">
            <v/>
          </cell>
          <cell r="GIC2" t="str">
            <v/>
          </cell>
          <cell r="GID2" t="str">
            <v/>
          </cell>
          <cell r="GIE2" t="str">
            <v/>
          </cell>
          <cell r="GIF2" t="str">
            <v/>
          </cell>
          <cell r="GIG2" t="str">
            <v/>
          </cell>
          <cell r="GIH2" t="str">
            <v/>
          </cell>
          <cell r="GII2" t="str">
            <v/>
          </cell>
          <cell r="GIJ2" t="str">
            <v/>
          </cell>
          <cell r="GIK2" t="str">
            <v/>
          </cell>
          <cell r="GIL2" t="str">
            <v/>
          </cell>
          <cell r="GIM2" t="str">
            <v/>
          </cell>
          <cell r="GIN2" t="str">
            <v/>
          </cell>
          <cell r="GIO2" t="str">
            <v/>
          </cell>
          <cell r="GIP2" t="str">
            <v/>
          </cell>
          <cell r="GIQ2" t="str">
            <v/>
          </cell>
          <cell r="GIR2" t="str">
            <v/>
          </cell>
          <cell r="GIS2" t="str">
            <v/>
          </cell>
          <cell r="GIT2" t="str">
            <v/>
          </cell>
          <cell r="GIU2" t="str">
            <v/>
          </cell>
          <cell r="GIV2" t="str">
            <v/>
          </cell>
          <cell r="GIW2" t="str">
            <v/>
          </cell>
          <cell r="GIX2" t="str">
            <v/>
          </cell>
          <cell r="GIY2" t="str">
            <v/>
          </cell>
          <cell r="GIZ2" t="str">
            <v/>
          </cell>
          <cell r="GJA2" t="str">
            <v/>
          </cell>
          <cell r="GJB2" t="str">
            <v/>
          </cell>
          <cell r="GJC2" t="str">
            <v/>
          </cell>
          <cell r="GJD2" t="str">
            <v/>
          </cell>
          <cell r="GJE2" t="str">
            <v/>
          </cell>
          <cell r="GJF2" t="str">
            <v/>
          </cell>
          <cell r="GJG2" t="str">
            <v/>
          </cell>
          <cell r="GJH2" t="str">
            <v/>
          </cell>
          <cell r="GJI2" t="str">
            <v/>
          </cell>
          <cell r="GJJ2" t="str">
            <v/>
          </cell>
          <cell r="GJK2" t="str">
            <v/>
          </cell>
          <cell r="GJL2" t="str">
            <v/>
          </cell>
          <cell r="GJM2" t="str">
            <v/>
          </cell>
          <cell r="GJN2" t="str">
            <v/>
          </cell>
          <cell r="GJO2" t="str">
            <v/>
          </cell>
          <cell r="GJP2" t="str">
            <v/>
          </cell>
          <cell r="GJQ2" t="str">
            <v/>
          </cell>
          <cell r="GJR2" t="str">
            <v/>
          </cell>
          <cell r="GJS2" t="str">
            <v/>
          </cell>
          <cell r="GJT2" t="str">
            <v/>
          </cell>
          <cell r="GJU2" t="str">
            <v/>
          </cell>
          <cell r="GJV2" t="str">
            <v/>
          </cell>
          <cell r="GJW2" t="str">
            <v/>
          </cell>
          <cell r="GJX2" t="str">
            <v/>
          </cell>
          <cell r="GJY2" t="str">
            <v/>
          </cell>
          <cell r="GJZ2" t="str">
            <v/>
          </cell>
          <cell r="GKA2" t="str">
            <v/>
          </cell>
          <cell r="GKB2" t="str">
            <v/>
          </cell>
          <cell r="GKC2" t="str">
            <v/>
          </cell>
          <cell r="GKD2" t="str">
            <v/>
          </cell>
          <cell r="GKE2" t="str">
            <v/>
          </cell>
          <cell r="GKF2" t="str">
            <v/>
          </cell>
          <cell r="GKG2" t="str">
            <v/>
          </cell>
          <cell r="GKH2" t="str">
            <v/>
          </cell>
          <cell r="GKI2" t="str">
            <v/>
          </cell>
          <cell r="GKJ2" t="str">
            <v/>
          </cell>
          <cell r="GKK2" t="str">
            <v/>
          </cell>
          <cell r="GKL2" t="str">
            <v/>
          </cell>
          <cell r="GKM2" t="str">
            <v/>
          </cell>
          <cell r="GKN2" t="str">
            <v/>
          </cell>
          <cell r="GKO2" t="str">
            <v/>
          </cell>
          <cell r="GKP2" t="str">
            <v/>
          </cell>
          <cell r="GKQ2" t="str">
            <v/>
          </cell>
          <cell r="GKR2" t="str">
            <v/>
          </cell>
          <cell r="GKS2" t="str">
            <v/>
          </cell>
          <cell r="GKT2" t="str">
            <v/>
          </cell>
          <cell r="GKU2" t="str">
            <v/>
          </cell>
          <cell r="GKV2" t="str">
            <v/>
          </cell>
          <cell r="GKW2" t="str">
            <v/>
          </cell>
          <cell r="GKX2" t="str">
            <v/>
          </cell>
          <cell r="GKY2" t="str">
            <v/>
          </cell>
          <cell r="GKZ2" t="str">
            <v/>
          </cell>
          <cell r="GLA2" t="str">
            <v/>
          </cell>
          <cell r="GLB2" t="str">
            <v/>
          </cell>
          <cell r="GLC2" t="str">
            <v/>
          </cell>
          <cell r="GLD2" t="str">
            <v/>
          </cell>
          <cell r="GLE2" t="str">
            <v/>
          </cell>
          <cell r="GLF2" t="str">
            <v/>
          </cell>
          <cell r="GLG2" t="str">
            <v/>
          </cell>
          <cell r="GLH2" t="str">
            <v/>
          </cell>
          <cell r="GLI2" t="str">
            <v/>
          </cell>
          <cell r="GLJ2" t="str">
            <v/>
          </cell>
          <cell r="GLK2" t="str">
            <v/>
          </cell>
          <cell r="GLL2" t="str">
            <v/>
          </cell>
          <cell r="GLM2" t="str">
            <v/>
          </cell>
          <cell r="GLN2" t="str">
            <v/>
          </cell>
          <cell r="GLO2" t="str">
            <v/>
          </cell>
          <cell r="GLP2" t="str">
            <v/>
          </cell>
          <cell r="GLQ2" t="str">
            <v/>
          </cell>
          <cell r="GLR2" t="str">
            <v/>
          </cell>
          <cell r="GLS2" t="str">
            <v/>
          </cell>
          <cell r="GLT2" t="str">
            <v/>
          </cell>
          <cell r="GLU2" t="str">
            <v/>
          </cell>
          <cell r="GLV2" t="str">
            <v/>
          </cell>
          <cell r="GLW2" t="str">
            <v/>
          </cell>
          <cell r="GLX2" t="str">
            <v/>
          </cell>
          <cell r="GLY2" t="str">
            <v/>
          </cell>
          <cell r="GLZ2" t="str">
            <v/>
          </cell>
          <cell r="GMA2" t="str">
            <v/>
          </cell>
          <cell r="GMB2" t="str">
            <v/>
          </cell>
          <cell r="GMC2" t="str">
            <v/>
          </cell>
          <cell r="GMD2" t="str">
            <v/>
          </cell>
          <cell r="GME2" t="str">
            <v/>
          </cell>
          <cell r="GMF2" t="str">
            <v/>
          </cell>
          <cell r="GMG2" t="str">
            <v/>
          </cell>
          <cell r="GMH2" t="str">
            <v/>
          </cell>
          <cell r="GMI2" t="str">
            <v/>
          </cell>
          <cell r="GMJ2" t="str">
            <v/>
          </cell>
          <cell r="GMK2" t="str">
            <v/>
          </cell>
          <cell r="GML2" t="str">
            <v/>
          </cell>
          <cell r="GMM2" t="str">
            <v/>
          </cell>
          <cell r="GMN2" t="str">
            <v/>
          </cell>
          <cell r="GMO2" t="str">
            <v/>
          </cell>
          <cell r="GMP2" t="str">
            <v/>
          </cell>
          <cell r="GMQ2" t="str">
            <v/>
          </cell>
          <cell r="GMR2" t="str">
            <v/>
          </cell>
          <cell r="GMS2" t="str">
            <v/>
          </cell>
          <cell r="GMT2" t="str">
            <v/>
          </cell>
          <cell r="GMU2" t="str">
            <v/>
          </cell>
          <cell r="GMV2" t="str">
            <v/>
          </cell>
          <cell r="GMW2" t="str">
            <v/>
          </cell>
          <cell r="GMX2" t="str">
            <v/>
          </cell>
          <cell r="GMY2" t="str">
            <v/>
          </cell>
          <cell r="GMZ2" t="str">
            <v/>
          </cell>
          <cell r="GNA2" t="str">
            <v/>
          </cell>
          <cell r="GNB2" t="str">
            <v/>
          </cell>
          <cell r="GNC2" t="str">
            <v/>
          </cell>
          <cell r="GND2" t="str">
            <v/>
          </cell>
          <cell r="GNE2" t="str">
            <v/>
          </cell>
          <cell r="GNF2" t="str">
            <v/>
          </cell>
          <cell r="GNG2" t="str">
            <v/>
          </cell>
          <cell r="GNH2" t="str">
            <v/>
          </cell>
          <cell r="GNI2" t="str">
            <v/>
          </cell>
          <cell r="GNJ2" t="str">
            <v/>
          </cell>
          <cell r="GNK2" t="str">
            <v/>
          </cell>
          <cell r="GNL2" t="str">
            <v/>
          </cell>
          <cell r="GNM2" t="str">
            <v/>
          </cell>
          <cell r="GNN2" t="str">
            <v/>
          </cell>
          <cell r="GNO2" t="str">
            <v/>
          </cell>
          <cell r="GNP2" t="str">
            <v/>
          </cell>
          <cell r="GNQ2" t="str">
            <v/>
          </cell>
          <cell r="GNR2" t="str">
            <v/>
          </cell>
          <cell r="GNS2" t="str">
            <v/>
          </cell>
          <cell r="GNT2" t="str">
            <v/>
          </cell>
          <cell r="GNU2" t="str">
            <v/>
          </cell>
          <cell r="GNV2" t="str">
            <v/>
          </cell>
          <cell r="GNW2" t="str">
            <v/>
          </cell>
          <cell r="GNX2" t="str">
            <v/>
          </cell>
          <cell r="GNY2" t="str">
            <v/>
          </cell>
          <cell r="GNZ2" t="str">
            <v/>
          </cell>
          <cell r="GOA2" t="str">
            <v/>
          </cell>
          <cell r="GOB2" t="str">
            <v/>
          </cell>
          <cell r="GOC2" t="str">
            <v/>
          </cell>
          <cell r="GOD2" t="str">
            <v/>
          </cell>
          <cell r="GOE2" t="str">
            <v/>
          </cell>
          <cell r="GOF2" t="str">
            <v/>
          </cell>
          <cell r="GOG2" t="str">
            <v/>
          </cell>
          <cell r="GOH2" t="str">
            <v/>
          </cell>
          <cell r="GOI2" t="str">
            <v/>
          </cell>
          <cell r="GOJ2" t="str">
            <v/>
          </cell>
          <cell r="GOK2" t="str">
            <v/>
          </cell>
          <cell r="GOL2" t="str">
            <v/>
          </cell>
          <cell r="GOM2" t="str">
            <v/>
          </cell>
          <cell r="GON2" t="str">
            <v/>
          </cell>
          <cell r="GOO2" t="str">
            <v/>
          </cell>
          <cell r="GOP2" t="str">
            <v/>
          </cell>
          <cell r="GOQ2" t="str">
            <v/>
          </cell>
          <cell r="GOR2" t="str">
            <v/>
          </cell>
          <cell r="GOS2" t="str">
            <v/>
          </cell>
          <cell r="GOT2" t="str">
            <v/>
          </cell>
          <cell r="GOU2" t="str">
            <v/>
          </cell>
          <cell r="GOV2" t="str">
            <v/>
          </cell>
          <cell r="GOW2" t="str">
            <v/>
          </cell>
          <cell r="GOX2" t="str">
            <v/>
          </cell>
          <cell r="GOY2" t="str">
            <v/>
          </cell>
          <cell r="GOZ2" t="str">
            <v/>
          </cell>
          <cell r="GPA2" t="str">
            <v/>
          </cell>
          <cell r="GPB2" t="str">
            <v/>
          </cell>
          <cell r="GPC2" t="str">
            <v/>
          </cell>
          <cell r="GPD2" t="str">
            <v/>
          </cell>
          <cell r="GPE2" t="str">
            <v/>
          </cell>
          <cell r="GPF2" t="str">
            <v/>
          </cell>
          <cell r="GPG2" t="str">
            <v/>
          </cell>
          <cell r="GPH2" t="str">
            <v/>
          </cell>
          <cell r="GPI2" t="str">
            <v/>
          </cell>
          <cell r="GPJ2" t="str">
            <v/>
          </cell>
          <cell r="GPK2" t="str">
            <v/>
          </cell>
          <cell r="GPL2" t="str">
            <v/>
          </cell>
          <cell r="GPM2" t="str">
            <v/>
          </cell>
          <cell r="GPN2" t="str">
            <v/>
          </cell>
          <cell r="GPO2" t="str">
            <v/>
          </cell>
          <cell r="GPP2" t="str">
            <v/>
          </cell>
          <cell r="GPQ2" t="str">
            <v/>
          </cell>
          <cell r="GPR2" t="str">
            <v/>
          </cell>
          <cell r="GPS2" t="str">
            <v/>
          </cell>
          <cell r="GPT2" t="str">
            <v/>
          </cell>
          <cell r="GPU2" t="str">
            <v/>
          </cell>
          <cell r="GPV2" t="str">
            <v/>
          </cell>
          <cell r="GPW2" t="str">
            <v/>
          </cell>
          <cell r="GPX2" t="str">
            <v/>
          </cell>
          <cell r="GPY2" t="str">
            <v/>
          </cell>
          <cell r="GPZ2" t="str">
            <v/>
          </cell>
          <cell r="GQA2" t="str">
            <v/>
          </cell>
          <cell r="GQB2" t="str">
            <v/>
          </cell>
          <cell r="GQC2" t="str">
            <v/>
          </cell>
          <cell r="GQD2" t="str">
            <v/>
          </cell>
          <cell r="GQE2" t="str">
            <v/>
          </cell>
          <cell r="GQF2" t="str">
            <v/>
          </cell>
          <cell r="GQG2" t="str">
            <v/>
          </cell>
          <cell r="GQH2" t="str">
            <v/>
          </cell>
          <cell r="GQI2" t="str">
            <v/>
          </cell>
          <cell r="GQJ2" t="str">
            <v/>
          </cell>
          <cell r="GQK2" t="str">
            <v/>
          </cell>
          <cell r="GQL2" t="str">
            <v/>
          </cell>
          <cell r="GQM2" t="str">
            <v/>
          </cell>
          <cell r="GQN2" t="str">
            <v/>
          </cell>
          <cell r="GQO2" t="str">
            <v/>
          </cell>
          <cell r="GQP2" t="str">
            <v/>
          </cell>
          <cell r="GQQ2" t="str">
            <v/>
          </cell>
          <cell r="GQR2" t="str">
            <v/>
          </cell>
          <cell r="GQS2" t="str">
            <v/>
          </cell>
          <cell r="GQT2" t="str">
            <v/>
          </cell>
          <cell r="GQU2" t="str">
            <v/>
          </cell>
          <cell r="GQV2" t="str">
            <v/>
          </cell>
          <cell r="GQW2" t="str">
            <v/>
          </cell>
          <cell r="GQX2" t="str">
            <v/>
          </cell>
          <cell r="GQY2" t="str">
            <v/>
          </cell>
          <cell r="GQZ2" t="str">
            <v/>
          </cell>
          <cell r="GRA2" t="str">
            <v/>
          </cell>
          <cell r="GRB2" t="str">
            <v/>
          </cell>
          <cell r="GRC2" t="str">
            <v/>
          </cell>
          <cell r="GRD2" t="str">
            <v/>
          </cell>
          <cell r="GRE2" t="str">
            <v/>
          </cell>
          <cell r="GRF2" t="str">
            <v/>
          </cell>
          <cell r="GRG2" t="str">
            <v/>
          </cell>
          <cell r="GRH2" t="str">
            <v/>
          </cell>
          <cell r="GRI2" t="str">
            <v/>
          </cell>
          <cell r="GRJ2" t="str">
            <v/>
          </cell>
          <cell r="GRK2" t="str">
            <v/>
          </cell>
          <cell r="GRL2" t="str">
            <v/>
          </cell>
          <cell r="GRM2" t="str">
            <v/>
          </cell>
          <cell r="GRN2" t="str">
            <v/>
          </cell>
          <cell r="GRO2" t="str">
            <v/>
          </cell>
          <cell r="GRP2" t="str">
            <v/>
          </cell>
          <cell r="GRQ2" t="str">
            <v/>
          </cell>
          <cell r="GRR2" t="str">
            <v/>
          </cell>
          <cell r="GRS2" t="str">
            <v/>
          </cell>
          <cell r="GRT2" t="str">
            <v/>
          </cell>
          <cell r="GRU2" t="str">
            <v/>
          </cell>
          <cell r="GRV2" t="str">
            <v/>
          </cell>
          <cell r="GRW2" t="str">
            <v/>
          </cell>
          <cell r="GRX2" t="str">
            <v/>
          </cell>
          <cell r="GRY2" t="str">
            <v/>
          </cell>
          <cell r="GRZ2" t="str">
            <v/>
          </cell>
          <cell r="GSA2" t="str">
            <v/>
          </cell>
          <cell r="GSB2" t="str">
            <v/>
          </cell>
          <cell r="GSC2" t="str">
            <v/>
          </cell>
          <cell r="GSD2" t="str">
            <v/>
          </cell>
          <cell r="GSE2" t="str">
            <v/>
          </cell>
          <cell r="GSF2" t="str">
            <v/>
          </cell>
          <cell r="GSG2" t="str">
            <v/>
          </cell>
          <cell r="GSH2" t="str">
            <v/>
          </cell>
          <cell r="GSI2" t="str">
            <v/>
          </cell>
          <cell r="GSJ2" t="str">
            <v/>
          </cell>
          <cell r="GSK2" t="str">
            <v/>
          </cell>
          <cell r="GSL2" t="str">
            <v/>
          </cell>
          <cell r="GSM2" t="str">
            <v/>
          </cell>
          <cell r="GSN2" t="str">
            <v/>
          </cell>
          <cell r="GSO2" t="str">
            <v/>
          </cell>
          <cell r="GSP2" t="str">
            <v/>
          </cell>
          <cell r="GSQ2" t="str">
            <v/>
          </cell>
          <cell r="GSR2" t="str">
            <v/>
          </cell>
          <cell r="GSS2" t="str">
            <v/>
          </cell>
          <cell r="GST2" t="str">
            <v/>
          </cell>
          <cell r="GSU2" t="str">
            <v/>
          </cell>
          <cell r="GSV2" t="str">
            <v/>
          </cell>
          <cell r="GSW2" t="str">
            <v/>
          </cell>
          <cell r="GSX2" t="str">
            <v/>
          </cell>
          <cell r="GSY2" t="str">
            <v/>
          </cell>
          <cell r="GSZ2" t="str">
            <v/>
          </cell>
          <cell r="GTA2" t="str">
            <v/>
          </cell>
          <cell r="GTB2" t="str">
            <v/>
          </cell>
          <cell r="GTC2" t="str">
            <v/>
          </cell>
          <cell r="GTD2" t="str">
            <v/>
          </cell>
          <cell r="GTE2" t="str">
            <v/>
          </cell>
          <cell r="GTF2" t="str">
            <v/>
          </cell>
          <cell r="GTG2" t="str">
            <v/>
          </cell>
          <cell r="GTH2" t="str">
            <v/>
          </cell>
          <cell r="GTI2" t="str">
            <v/>
          </cell>
          <cell r="GTJ2" t="str">
            <v/>
          </cell>
          <cell r="GTK2" t="str">
            <v/>
          </cell>
          <cell r="GTL2" t="str">
            <v/>
          </cell>
          <cell r="GTM2" t="str">
            <v/>
          </cell>
          <cell r="GTN2" t="str">
            <v/>
          </cell>
          <cell r="GTO2" t="str">
            <v/>
          </cell>
          <cell r="GTP2" t="str">
            <v/>
          </cell>
          <cell r="GTQ2" t="str">
            <v/>
          </cell>
          <cell r="GTR2" t="str">
            <v/>
          </cell>
          <cell r="GTS2" t="str">
            <v/>
          </cell>
          <cell r="GTT2" t="str">
            <v/>
          </cell>
          <cell r="GTU2" t="str">
            <v/>
          </cell>
          <cell r="GTV2" t="str">
            <v/>
          </cell>
          <cell r="GTW2" t="str">
            <v/>
          </cell>
          <cell r="GTX2" t="str">
            <v/>
          </cell>
          <cell r="GTY2" t="str">
            <v/>
          </cell>
          <cell r="GTZ2" t="str">
            <v/>
          </cell>
          <cell r="GUA2" t="str">
            <v/>
          </cell>
          <cell r="GUB2" t="str">
            <v/>
          </cell>
          <cell r="GUC2" t="str">
            <v/>
          </cell>
          <cell r="GUD2" t="str">
            <v/>
          </cell>
          <cell r="GUE2" t="str">
            <v/>
          </cell>
          <cell r="GUF2" t="str">
            <v/>
          </cell>
          <cell r="GUG2" t="str">
            <v/>
          </cell>
          <cell r="GUH2" t="str">
            <v/>
          </cell>
          <cell r="GUI2" t="str">
            <v/>
          </cell>
          <cell r="GUJ2" t="str">
            <v/>
          </cell>
          <cell r="GUK2" t="str">
            <v/>
          </cell>
          <cell r="GUL2" t="str">
            <v/>
          </cell>
          <cell r="GUM2" t="str">
            <v/>
          </cell>
          <cell r="GUN2" t="str">
            <v/>
          </cell>
          <cell r="GUO2" t="str">
            <v/>
          </cell>
          <cell r="GUP2" t="str">
            <v/>
          </cell>
          <cell r="GUQ2" t="str">
            <v/>
          </cell>
          <cell r="GUR2" t="str">
            <v/>
          </cell>
          <cell r="GUS2" t="str">
            <v/>
          </cell>
          <cell r="GUT2" t="str">
            <v/>
          </cell>
          <cell r="GUU2" t="str">
            <v/>
          </cell>
          <cell r="GUV2" t="str">
            <v/>
          </cell>
          <cell r="GUW2" t="str">
            <v/>
          </cell>
          <cell r="GUX2" t="str">
            <v/>
          </cell>
          <cell r="GUY2" t="str">
            <v/>
          </cell>
          <cell r="GUZ2" t="str">
            <v/>
          </cell>
          <cell r="GVA2" t="str">
            <v/>
          </cell>
          <cell r="GVB2" t="str">
            <v/>
          </cell>
          <cell r="GVC2" t="str">
            <v/>
          </cell>
          <cell r="GVD2" t="str">
            <v/>
          </cell>
          <cell r="GVE2" t="str">
            <v/>
          </cell>
          <cell r="GVF2" t="str">
            <v/>
          </cell>
          <cell r="GVG2" t="str">
            <v/>
          </cell>
          <cell r="GVH2" t="str">
            <v/>
          </cell>
          <cell r="GVI2" t="str">
            <v/>
          </cell>
          <cell r="GVJ2" t="str">
            <v/>
          </cell>
          <cell r="GVK2" t="str">
            <v/>
          </cell>
          <cell r="GVL2" t="str">
            <v/>
          </cell>
          <cell r="GVM2" t="str">
            <v/>
          </cell>
          <cell r="GVN2" t="str">
            <v/>
          </cell>
          <cell r="GVO2" t="str">
            <v/>
          </cell>
          <cell r="GVP2" t="str">
            <v/>
          </cell>
          <cell r="GVQ2" t="str">
            <v/>
          </cell>
          <cell r="GVR2" t="str">
            <v/>
          </cell>
          <cell r="GVS2" t="str">
            <v/>
          </cell>
          <cell r="GVT2" t="str">
            <v/>
          </cell>
          <cell r="GVU2" t="str">
            <v/>
          </cell>
          <cell r="GVV2" t="str">
            <v/>
          </cell>
          <cell r="GVW2" t="str">
            <v/>
          </cell>
          <cell r="GVX2" t="str">
            <v/>
          </cell>
          <cell r="GVY2" t="str">
            <v/>
          </cell>
          <cell r="GVZ2" t="str">
            <v/>
          </cell>
          <cell r="GWA2" t="str">
            <v/>
          </cell>
          <cell r="GWB2" t="str">
            <v/>
          </cell>
          <cell r="GWC2" t="str">
            <v/>
          </cell>
          <cell r="GWD2" t="str">
            <v/>
          </cell>
          <cell r="GWE2" t="str">
            <v/>
          </cell>
          <cell r="GWF2" t="str">
            <v/>
          </cell>
          <cell r="GWG2" t="str">
            <v/>
          </cell>
          <cell r="GWH2" t="str">
            <v/>
          </cell>
          <cell r="GWI2" t="str">
            <v/>
          </cell>
          <cell r="GWJ2" t="str">
            <v/>
          </cell>
          <cell r="GWK2" t="str">
            <v/>
          </cell>
          <cell r="GWL2" t="str">
            <v/>
          </cell>
          <cell r="GWM2" t="str">
            <v/>
          </cell>
          <cell r="GWN2" t="str">
            <v/>
          </cell>
          <cell r="GWO2" t="str">
            <v/>
          </cell>
          <cell r="GWP2" t="str">
            <v/>
          </cell>
          <cell r="GWQ2" t="str">
            <v/>
          </cell>
          <cell r="GWR2" t="str">
            <v/>
          </cell>
          <cell r="GWS2" t="str">
            <v/>
          </cell>
          <cell r="GWT2" t="str">
            <v/>
          </cell>
          <cell r="GWU2" t="str">
            <v/>
          </cell>
          <cell r="GWV2" t="str">
            <v/>
          </cell>
          <cell r="GWW2" t="str">
            <v/>
          </cell>
          <cell r="GWX2" t="str">
            <v/>
          </cell>
          <cell r="GWY2" t="str">
            <v/>
          </cell>
          <cell r="GWZ2" t="str">
            <v/>
          </cell>
          <cell r="GXA2" t="str">
            <v/>
          </cell>
          <cell r="GXB2" t="str">
            <v/>
          </cell>
          <cell r="GXC2" t="str">
            <v/>
          </cell>
          <cell r="GXD2" t="str">
            <v/>
          </cell>
          <cell r="GXE2" t="str">
            <v/>
          </cell>
          <cell r="GXF2" t="str">
            <v/>
          </cell>
          <cell r="GXG2" t="str">
            <v/>
          </cell>
          <cell r="GXH2" t="str">
            <v/>
          </cell>
          <cell r="GXI2" t="str">
            <v/>
          </cell>
          <cell r="GXJ2" t="str">
            <v/>
          </cell>
          <cell r="GXK2" t="str">
            <v/>
          </cell>
          <cell r="GXL2" t="str">
            <v/>
          </cell>
          <cell r="GXM2" t="str">
            <v/>
          </cell>
          <cell r="GXN2" t="str">
            <v/>
          </cell>
          <cell r="GXO2" t="str">
            <v/>
          </cell>
          <cell r="GXP2" t="str">
            <v/>
          </cell>
          <cell r="GXQ2" t="str">
            <v/>
          </cell>
          <cell r="GXR2" t="str">
            <v/>
          </cell>
          <cell r="GXS2" t="str">
            <v/>
          </cell>
          <cell r="GXT2" t="str">
            <v/>
          </cell>
          <cell r="GXU2" t="str">
            <v/>
          </cell>
          <cell r="GXV2" t="str">
            <v/>
          </cell>
          <cell r="GXW2" t="str">
            <v/>
          </cell>
          <cell r="GXX2" t="str">
            <v/>
          </cell>
          <cell r="GXY2" t="str">
            <v/>
          </cell>
          <cell r="GXZ2" t="str">
            <v/>
          </cell>
          <cell r="GYA2" t="str">
            <v/>
          </cell>
          <cell r="GYB2" t="str">
            <v/>
          </cell>
          <cell r="GYC2" t="str">
            <v/>
          </cell>
          <cell r="GYD2" t="str">
            <v/>
          </cell>
          <cell r="GYE2" t="str">
            <v/>
          </cell>
          <cell r="GYF2" t="str">
            <v/>
          </cell>
          <cell r="GYG2" t="str">
            <v/>
          </cell>
          <cell r="GYH2" t="str">
            <v/>
          </cell>
          <cell r="GYI2" t="str">
            <v/>
          </cell>
          <cell r="GYJ2" t="str">
            <v/>
          </cell>
          <cell r="GYK2" t="str">
            <v/>
          </cell>
          <cell r="GYL2" t="str">
            <v/>
          </cell>
          <cell r="GYM2" t="str">
            <v/>
          </cell>
          <cell r="GYN2" t="str">
            <v/>
          </cell>
          <cell r="GYO2" t="str">
            <v/>
          </cell>
          <cell r="GYP2" t="str">
            <v/>
          </cell>
          <cell r="GYQ2" t="str">
            <v/>
          </cell>
          <cell r="GYR2" t="str">
            <v/>
          </cell>
          <cell r="GYS2" t="str">
            <v/>
          </cell>
          <cell r="GYT2" t="str">
            <v/>
          </cell>
          <cell r="GYU2" t="str">
            <v/>
          </cell>
          <cell r="GYV2" t="str">
            <v/>
          </cell>
          <cell r="GYW2" t="str">
            <v/>
          </cell>
          <cell r="GYX2" t="str">
            <v/>
          </cell>
          <cell r="GYY2" t="str">
            <v/>
          </cell>
          <cell r="GYZ2" t="str">
            <v/>
          </cell>
          <cell r="GZA2" t="str">
            <v/>
          </cell>
          <cell r="GZB2" t="str">
            <v/>
          </cell>
          <cell r="GZC2" t="str">
            <v/>
          </cell>
          <cell r="GZD2" t="str">
            <v/>
          </cell>
          <cell r="GZE2" t="str">
            <v/>
          </cell>
          <cell r="GZF2" t="str">
            <v/>
          </cell>
          <cell r="GZG2" t="str">
            <v/>
          </cell>
          <cell r="GZH2" t="str">
            <v/>
          </cell>
          <cell r="GZI2" t="str">
            <v/>
          </cell>
          <cell r="GZJ2" t="str">
            <v/>
          </cell>
          <cell r="GZK2" t="str">
            <v/>
          </cell>
          <cell r="GZL2" t="str">
            <v/>
          </cell>
          <cell r="GZM2" t="str">
            <v/>
          </cell>
          <cell r="GZN2" t="str">
            <v/>
          </cell>
          <cell r="GZO2" t="str">
            <v/>
          </cell>
          <cell r="GZP2" t="str">
            <v/>
          </cell>
          <cell r="GZQ2" t="str">
            <v/>
          </cell>
          <cell r="GZR2" t="str">
            <v/>
          </cell>
          <cell r="GZS2" t="str">
            <v/>
          </cell>
          <cell r="GZT2" t="str">
            <v/>
          </cell>
          <cell r="GZU2" t="str">
            <v/>
          </cell>
          <cell r="GZV2" t="str">
            <v/>
          </cell>
          <cell r="GZW2" t="str">
            <v/>
          </cell>
          <cell r="GZX2" t="str">
            <v/>
          </cell>
          <cell r="GZY2" t="str">
            <v/>
          </cell>
          <cell r="GZZ2" t="str">
            <v/>
          </cell>
          <cell r="HAA2" t="str">
            <v/>
          </cell>
          <cell r="HAB2" t="str">
            <v/>
          </cell>
          <cell r="HAC2" t="str">
            <v/>
          </cell>
          <cell r="HAD2" t="str">
            <v/>
          </cell>
          <cell r="HAE2" t="str">
            <v/>
          </cell>
          <cell r="HAF2" t="str">
            <v/>
          </cell>
          <cell r="HAG2" t="str">
            <v/>
          </cell>
          <cell r="HAH2" t="str">
            <v/>
          </cell>
          <cell r="HAI2" t="str">
            <v/>
          </cell>
          <cell r="HAJ2" t="str">
            <v/>
          </cell>
          <cell r="HAK2" t="str">
            <v/>
          </cell>
          <cell r="HAL2" t="str">
            <v/>
          </cell>
          <cell r="HAM2" t="str">
            <v/>
          </cell>
          <cell r="HAN2" t="str">
            <v/>
          </cell>
          <cell r="HAO2" t="str">
            <v/>
          </cell>
          <cell r="HAP2" t="str">
            <v/>
          </cell>
          <cell r="HAQ2" t="str">
            <v/>
          </cell>
          <cell r="HAR2" t="str">
            <v/>
          </cell>
          <cell r="HAS2" t="str">
            <v/>
          </cell>
          <cell r="HAT2" t="str">
            <v/>
          </cell>
          <cell r="HAU2" t="str">
            <v/>
          </cell>
          <cell r="HAV2" t="str">
            <v/>
          </cell>
          <cell r="HAW2" t="str">
            <v/>
          </cell>
          <cell r="HAX2" t="str">
            <v/>
          </cell>
          <cell r="HAY2" t="str">
            <v/>
          </cell>
          <cell r="HAZ2" t="str">
            <v/>
          </cell>
          <cell r="HBA2" t="str">
            <v/>
          </cell>
          <cell r="HBB2" t="str">
            <v/>
          </cell>
          <cell r="HBC2" t="str">
            <v/>
          </cell>
          <cell r="HBD2" t="str">
            <v/>
          </cell>
          <cell r="HBE2" t="str">
            <v/>
          </cell>
          <cell r="HBF2" t="str">
            <v/>
          </cell>
          <cell r="HBG2" t="str">
            <v/>
          </cell>
          <cell r="HBH2" t="str">
            <v/>
          </cell>
          <cell r="HBI2" t="str">
            <v/>
          </cell>
          <cell r="HBJ2" t="str">
            <v/>
          </cell>
          <cell r="HBK2" t="str">
            <v/>
          </cell>
          <cell r="HBL2" t="str">
            <v/>
          </cell>
          <cell r="HBM2" t="str">
            <v/>
          </cell>
          <cell r="HBN2" t="str">
            <v/>
          </cell>
          <cell r="HBO2" t="str">
            <v/>
          </cell>
          <cell r="HBP2" t="str">
            <v/>
          </cell>
          <cell r="HBQ2" t="str">
            <v/>
          </cell>
          <cell r="HBR2" t="str">
            <v/>
          </cell>
          <cell r="HBS2" t="str">
            <v/>
          </cell>
          <cell r="HBT2" t="str">
            <v/>
          </cell>
          <cell r="HBU2" t="str">
            <v/>
          </cell>
          <cell r="HBV2" t="str">
            <v/>
          </cell>
          <cell r="HBW2" t="str">
            <v/>
          </cell>
          <cell r="HBX2" t="str">
            <v/>
          </cell>
          <cell r="HBY2" t="str">
            <v/>
          </cell>
          <cell r="HBZ2" t="str">
            <v/>
          </cell>
          <cell r="HCA2" t="str">
            <v/>
          </cell>
          <cell r="HCB2" t="str">
            <v/>
          </cell>
          <cell r="HCC2" t="str">
            <v/>
          </cell>
          <cell r="HCD2" t="str">
            <v/>
          </cell>
          <cell r="HCE2" t="str">
            <v/>
          </cell>
          <cell r="HCF2" t="str">
            <v/>
          </cell>
          <cell r="HCG2" t="str">
            <v/>
          </cell>
          <cell r="HCH2" t="str">
            <v/>
          </cell>
          <cell r="HCI2" t="str">
            <v/>
          </cell>
          <cell r="HCJ2" t="str">
            <v/>
          </cell>
          <cell r="HCK2" t="str">
            <v/>
          </cell>
          <cell r="HCL2" t="str">
            <v/>
          </cell>
          <cell r="HCM2" t="str">
            <v/>
          </cell>
          <cell r="HCN2" t="str">
            <v/>
          </cell>
          <cell r="HCO2" t="str">
            <v/>
          </cell>
          <cell r="HCP2" t="str">
            <v/>
          </cell>
          <cell r="HCQ2" t="str">
            <v/>
          </cell>
          <cell r="HCR2" t="str">
            <v/>
          </cell>
          <cell r="HCS2" t="str">
            <v/>
          </cell>
          <cell r="HCT2" t="str">
            <v/>
          </cell>
          <cell r="HCU2" t="str">
            <v/>
          </cell>
          <cell r="HCV2" t="str">
            <v/>
          </cell>
          <cell r="HCW2" t="str">
            <v/>
          </cell>
          <cell r="HCX2" t="str">
            <v/>
          </cell>
          <cell r="HCY2" t="str">
            <v/>
          </cell>
          <cell r="HCZ2" t="str">
            <v/>
          </cell>
          <cell r="HDA2" t="str">
            <v/>
          </cell>
          <cell r="HDB2" t="str">
            <v/>
          </cell>
          <cell r="HDC2" t="str">
            <v/>
          </cell>
          <cell r="HDD2" t="str">
            <v/>
          </cell>
          <cell r="HDE2" t="str">
            <v/>
          </cell>
          <cell r="HDF2" t="str">
            <v/>
          </cell>
          <cell r="HDG2" t="str">
            <v/>
          </cell>
          <cell r="HDH2" t="str">
            <v/>
          </cell>
          <cell r="HDI2" t="str">
            <v/>
          </cell>
          <cell r="HDJ2" t="str">
            <v/>
          </cell>
          <cell r="HDK2" t="str">
            <v/>
          </cell>
          <cell r="HDL2" t="str">
            <v/>
          </cell>
          <cell r="HDM2" t="str">
            <v/>
          </cell>
          <cell r="HDN2" t="str">
            <v/>
          </cell>
          <cell r="HDO2" t="str">
            <v/>
          </cell>
          <cell r="HDP2" t="str">
            <v/>
          </cell>
          <cell r="HDQ2" t="str">
            <v/>
          </cell>
          <cell r="HDR2" t="str">
            <v/>
          </cell>
          <cell r="HDS2" t="str">
            <v/>
          </cell>
          <cell r="HDT2" t="str">
            <v/>
          </cell>
          <cell r="HDU2" t="str">
            <v/>
          </cell>
          <cell r="HDV2" t="str">
            <v/>
          </cell>
          <cell r="HDW2" t="str">
            <v/>
          </cell>
          <cell r="HDX2" t="str">
            <v/>
          </cell>
          <cell r="HDY2" t="str">
            <v/>
          </cell>
          <cell r="HDZ2" t="str">
            <v/>
          </cell>
          <cell r="HEA2" t="str">
            <v/>
          </cell>
          <cell r="HEB2" t="str">
            <v/>
          </cell>
          <cell r="HEC2" t="str">
            <v/>
          </cell>
          <cell r="HED2" t="str">
            <v/>
          </cell>
          <cell r="HEE2" t="str">
            <v/>
          </cell>
          <cell r="HEF2" t="str">
            <v/>
          </cell>
          <cell r="HEG2" t="str">
            <v/>
          </cell>
          <cell r="HEH2" t="str">
            <v/>
          </cell>
          <cell r="HEI2" t="str">
            <v/>
          </cell>
          <cell r="HEJ2" t="str">
            <v/>
          </cell>
          <cell r="HEK2" t="str">
            <v/>
          </cell>
          <cell r="HEL2" t="str">
            <v/>
          </cell>
          <cell r="HEM2" t="str">
            <v/>
          </cell>
          <cell r="HEN2" t="str">
            <v/>
          </cell>
          <cell r="HEO2" t="str">
            <v/>
          </cell>
          <cell r="HEP2" t="str">
            <v/>
          </cell>
          <cell r="HEQ2" t="str">
            <v/>
          </cell>
          <cell r="HER2" t="str">
            <v/>
          </cell>
          <cell r="HES2" t="str">
            <v/>
          </cell>
          <cell r="HET2" t="str">
            <v/>
          </cell>
          <cell r="HEU2" t="str">
            <v/>
          </cell>
          <cell r="HEV2" t="str">
            <v/>
          </cell>
          <cell r="HEW2" t="str">
            <v/>
          </cell>
          <cell r="HEX2" t="str">
            <v/>
          </cell>
          <cell r="HEY2" t="str">
            <v/>
          </cell>
          <cell r="HEZ2" t="str">
            <v/>
          </cell>
          <cell r="HFA2" t="str">
            <v/>
          </cell>
          <cell r="HFB2" t="str">
            <v/>
          </cell>
          <cell r="HFC2" t="str">
            <v/>
          </cell>
          <cell r="HFD2" t="str">
            <v/>
          </cell>
          <cell r="HFE2" t="str">
            <v/>
          </cell>
          <cell r="HFF2" t="str">
            <v/>
          </cell>
          <cell r="HFG2" t="str">
            <v/>
          </cell>
          <cell r="HFH2" t="str">
            <v/>
          </cell>
          <cell r="HFI2" t="str">
            <v/>
          </cell>
          <cell r="HFJ2" t="str">
            <v/>
          </cell>
          <cell r="HFK2" t="str">
            <v/>
          </cell>
          <cell r="HFL2" t="str">
            <v/>
          </cell>
          <cell r="HFM2" t="str">
            <v/>
          </cell>
          <cell r="HFN2" t="str">
            <v/>
          </cell>
          <cell r="HFO2" t="str">
            <v/>
          </cell>
          <cell r="HFP2" t="str">
            <v/>
          </cell>
          <cell r="HFQ2" t="str">
            <v/>
          </cell>
          <cell r="HFR2" t="str">
            <v/>
          </cell>
          <cell r="HFS2" t="str">
            <v/>
          </cell>
          <cell r="HFT2" t="str">
            <v/>
          </cell>
          <cell r="HFU2" t="str">
            <v/>
          </cell>
          <cell r="HFV2" t="str">
            <v/>
          </cell>
          <cell r="HFW2" t="str">
            <v/>
          </cell>
          <cell r="HFX2" t="str">
            <v/>
          </cell>
          <cell r="HFY2" t="str">
            <v/>
          </cell>
          <cell r="HFZ2" t="str">
            <v/>
          </cell>
          <cell r="HGA2" t="str">
            <v/>
          </cell>
          <cell r="HGB2" t="str">
            <v/>
          </cell>
          <cell r="HGC2" t="str">
            <v/>
          </cell>
          <cell r="HGD2" t="str">
            <v/>
          </cell>
          <cell r="HGE2" t="str">
            <v/>
          </cell>
          <cell r="HGF2" t="str">
            <v/>
          </cell>
          <cell r="HGG2" t="str">
            <v/>
          </cell>
          <cell r="HGH2" t="str">
            <v/>
          </cell>
          <cell r="HGI2" t="str">
            <v/>
          </cell>
          <cell r="HGJ2" t="str">
            <v/>
          </cell>
          <cell r="HGK2" t="str">
            <v/>
          </cell>
          <cell r="HGL2" t="str">
            <v/>
          </cell>
          <cell r="HGM2" t="str">
            <v/>
          </cell>
          <cell r="HGN2" t="str">
            <v/>
          </cell>
          <cell r="HGO2" t="str">
            <v/>
          </cell>
          <cell r="HGP2" t="str">
            <v/>
          </cell>
          <cell r="HGQ2" t="str">
            <v/>
          </cell>
          <cell r="HGR2" t="str">
            <v/>
          </cell>
          <cell r="HGS2" t="str">
            <v/>
          </cell>
          <cell r="HGT2" t="str">
            <v/>
          </cell>
          <cell r="HGU2" t="str">
            <v/>
          </cell>
          <cell r="HGV2" t="str">
            <v/>
          </cell>
          <cell r="HGW2" t="str">
            <v/>
          </cell>
          <cell r="HGX2" t="str">
            <v/>
          </cell>
          <cell r="HGY2" t="str">
            <v/>
          </cell>
          <cell r="HGZ2" t="str">
            <v/>
          </cell>
          <cell r="HHA2" t="str">
            <v/>
          </cell>
          <cell r="HHB2" t="str">
            <v/>
          </cell>
          <cell r="HHC2" t="str">
            <v/>
          </cell>
          <cell r="HHD2" t="str">
            <v/>
          </cell>
          <cell r="HHE2" t="str">
            <v/>
          </cell>
          <cell r="HHF2" t="str">
            <v/>
          </cell>
          <cell r="HHG2" t="str">
            <v/>
          </cell>
          <cell r="HHH2" t="str">
            <v/>
          </cell>
          <cell r="HHI2" t="str">
            <v/>
          </cell>
          <cell r="HHJ2" t="str">
            <v/>
          </cell>
          <cell r="HHK2" t="str">
            <v/>
          </cell>
          <cell r="HHL2" t="str">
            <v/>
          </cell>
          <cell r="HHM2" t="str">
            <v/>
          </cell>
          <cell r="HHN2" t="str">
            <v/>
          </cell>
          <cell r="HHO2" t="str">
            <v/>
          </cell>
          <cell r="HHP2" t="str">
            <v/>
          </cell>
          <cell r="HHQ2" t="str">
            <v/>
          </cell>
          <cell r="HHR2" t="str">
            <v/>
          </cell>
          <cell r="HHS2" t="str">
            <v/>
          </cell>
          <cell r="HHT2" t="str">
            <v/>
          </cell>
          <cell r="HHU2" t="str">
            <v/>
          </cell>
          <cell r="HHV2" t="str">
            <v/>
          </cell>
          <cell r="HHW2" t="str">
            <v/>
          </cell>
          <cell r="HHX2" t="str">
            <v/>
          </cell>
          <cell r="HHY2" t="str">
            <v/>
          </cell>
          <cell r="HHZ2" t="str">
            <v/>
          </cell>
          <cell r="HIA2" t="str">
            <v/>
          </cell>
          <cell r="HIB2" t="str">
            <v/>
          </cell>
          <cell r="HIC2" t="str">
            <v/>
          </cell>
          <cell r="HID2" t="str">
            <v/>
          </cell>
          <cell r="HIE2" t="str">
            <v/>
          </cell>
          <cell r="HIF2" t="str">
            <v/>
          </cell>
          <cell r="HIG2" t="str">
            <v/>
          </cell>
          <cell r="HIH2" t="str">
            <v/>
          </cell>
          <cell r="HII2" t="str">
            <v/>
          </cell>
          <cell r="HIJ2" t="str">
            <v/>
          </cell>
          <cell r="HIK2" t="str">
            <v/>
          </cell>
          <cell r="HIL2" t="str">
            <v/>
          </cell>
          <cell r="HIM2" t="str">
            <v/>
          </cell>
          <cell r="HIN2" t="str">
            <v/>
          </cell>
          <cell r="HIO2" t="str">
            <v/>
          </cell>
          <cell r="HIP2" t="str">
            <v/>
          </cell>
          <cell r="HIQ2" t="str">
            <v/>
          </cell>
          <cell r="HIR2" t="str">
            <v/>
          </cell>
          <cell r="HIS2" t="str">
            <v/>
          </cell>
          <cell r="HIT2" t="str">
            <v/>
          </cell>
          <cell r="HIU2" t="str">
            <v/>
          </cell>
          <cell r="HIV2" t="str">
            <v/>
          </cell>
          <cell r="HIW2" t="str">
            <v/>
          </cell>
          <cell r="HIX2" t="str">
            <v/>
          </cell>
          <cell r="HIY2" t="str">
            <v/>
          </cell>
          <cell r="HIZ2" t="str">
            <v/>
          </cell>
          <cell r="HJA2" t="str">
            <v/>
          </cell>
          <cell r="HJB2" t="str">
            <v/>
          </cell>
          <cell r="HJC2" t="str">
            <v/>
          </cell>
          <cell r="HJD2" t="str">
            <v/>
          </cell>
          <cell r="HJE2" t="str">
            <v/>
          </cell>
          <cell r="HJF2" t="str">
            <v/>
          </cell>
          <cell r="HJG2" t="str">
            <v/>
          </cell>
          <cell r="HJH2" t="str">
            <v/>
          </cell>
          <cell r="HJI2" t="str">
            <v/>
          </cell>
          <cell r="HJJ2" t="str">
            <v/>
          </cell>
          <cell r="HJK2" t="str">
            <v/>
          </cell>
          <cell r="HJL2" t="str">
            <v/>
          </cell>
          <cell r="HJM2" t="str">
            <v/>
          </cell>
          <cell r="HJN2" t="str">
            <v/>
          </cell>
          <cell r="HJO2" t="str">
            <v/>
          </cell>
          <cell r="HJP2" t="str">
            <v/>
          </cell>
          <cell r="HJQ2" t="str">
            <v/>
          </cell>
          <cell r="HJR2" t="str">
            <v/>
          </cell>
          <cell r="HJS2" t="str">
            <v/>
          </cell>
          <cell r="HJT2" t="str">
            <v/>
          </cell>
          <cell r="HJU2" t="str">
            <v/>
          </cell>
          <cell r="HJV2" t="str">
            <v/>
          </cell>
          <cell r="HJW2" t="str">
            <v/>
          </cell>
          <cell r="HJX2" t="str">
            <v/>
          </cell>
          <cell r="HJY2" t="str">
            <v/>
          </cell>
          <cell r="HJZ2" t="str">
            <v/>
          </cell>
          <cell r="HKA2" t="str">
            <v/>
          </cell>
          <cell r="HKB2" t="str">
            <v/>
          </cell>
          <cell r="HKC2" t="str">
            <v/>
          </cell>
          <cell r="HKD2" t="str">
            <v/>
          </cell>
          <cell r="HKE2" t="str">
            <v/>
          </cell>
          <cell r="HKF2" t="str">
            <v/>
          </cell>
          <cell r="HKG2" t="str">
            <v/>
          </cell>
          <cell r="HKH2" t="str">
            <v/>
          </cell>
          <cell r="HKI2" t="str">
            <v/>
          </cell>
          <cell r="HKJ2" t="str">
            <v/>
          </cell>
          <cell r="HKK2" t="str">
            <v/>
          </cell>
          <cell r="HKL2" t="str">
            <v/>
          </cell>
          <cell r="HKM2" t="str">
            <v/>
          </cell>
          <cell r="HKN2" t="str">
            <v/>
          </cell>
          <cell r="HKO2" t="str">
            <v/>
          </cell>
          <cell r="HKP2" t="str">
            <v/>
          </cell>
          <cell r="HKQ2" t="str">
            <v/>
          </cell>
          <cell r="HKR2" t="str">
            <v/>
          </cell>
          <cell r="HKS2" t="str">
            <v/>
          </cell>
          <cell r="HKT2" t="str">
            <v/>
          </cell>
          <cell r="HKU2" t="str">
            <v/>
          </cell>
          <cell r="HKV2" t="str">
            <v/>
          </cell>
          <cell r="HKW2" t="str">
            <v/>
          </cell>
          <cell r="HKX2" t="str">
            <v/>
          </cell>
          <cell r="HKY2" t="str">
            <v/>
          </cell>
          <cell r="HKZ2" t="str">
            <v/>
          </cell>
          <cell r="HLA2" t="str">
            <v/>
          </cell>
          <cell r="HLB2" t="str">
            <v/>
          </cell>
          <cell r="HLC2" t="str">
            <v/>
          </cell>
          <cell r="HLD2" t="str">
            <v/>
          </cell>
          <cell r="HLE2" t="str">
            <v/>
          </cell>
          <cell r="HLF2" t="str">
            <v/>
          </cell>
          <cell r="HLG2" t="str">
            <v/>
          </cell>
          <cell r="HLH2" t="str">
            <v/>
          </cell>
          <cell r="HLI2" t="str">
            <v/>
          </cell>
          <cell r="HLJ2" t="str">
            <v/>
          </cell>
          <cell r="HLK2" t="str">
            <v/>
          </cell>
          <cell r="HLL2" t="str">
            <v/>
          </cell>
          <cell r="HLM2" t="str">
            <v/>
          </cell>
          <cell r="HLN2" t="str">
            <v/>
          </cell>
          <cell r="HLO2" t="str">
            <v/>
          </cell>
          <cell r="HLP2" t="str">
            <v/>
          </cell>
          <cell r="HLQ2" t="str">
            <v/>
          </cell>
          <cell r="HLR2" t="str">
            <v/>
          </cell>
          <cell r="HLS2" t="str">
            <v/>
          </cell>
          <cell r="HLT2" t="str">
            <v/>
          </cell>
          <cell r="HLU2" t="str">
            <v/>
          </cell>
          <cell r="HLV2" t="str">
            <v/>
          </cell>
          <cell r="HLW2" t="str">
            <v/>
          </cell>
          <cell r="HLX2" t="str">
            <v/>
          </cell>
          <cell r="HLY2" t="str">
            <v/>
          </cell>
          <cell r="HLZ2" t="str">
            <v/>
          </cell>
          <cell r="HMA2" t="str">
            <v/>
          </cell>
          <cell r="HMB2" t="str">
            <v/>
          </cell>
          <cell r="HMC2" t="str">
            <v/>
          </cell>
          <cell r="HMD2" t="str">
            <v/>
          </cell>
          <cell r="HME2" t="str">
            <v/>
          </cell>
          <cell r="HMF2" t="str">
            <v/>
          </cell>
          <cell r="HMG2" t="str">
            <v/>
          </cell>
          <cell r="HMH2" t="str">
            <v/>
          </cell>
          <cell r="HMI2" t="str">
            <v/>
          </cell>
          <cell r="HMJ2" t="str">
            <v/>
          </cell>
          <cell r="HMK2" t="str">
            <v/>
          </cell>
          <cell r="HML2" t="str">
            <v/>
          </cell>
          <cell r="HMM2" t="str">
            <v/>
          </cell>
          <cell r="HMN2" t="str">
            <v/>
          </cell>
          <cell r="HMO2" t="str">
            <v/>
          </cell>
          <cell r="HMP2" t="str">
            <v/>
          </cell>
          <cell r="HMQ2" t="str">
            <v/>
          </cell>
          <cell r="HMR2" t="str">
            <v/>
          </cell>
          <cell r="HMS2" t="str">
            <v/>
          </cell>
          <cell r="HMT2" t="str">
            <v/>
          </cell>
          <cell r="HMU2" t="str">
            <v/>
          </cell>
          <cell r="HMV2" t="str">
            <v/>
          </cell>
          <cell r="HMW2" t="str">
            <v/>
          </cell>
          <cell r="HMX2" t="str">
            <v/>
          </cell>
          <cell r="HMY2" t="str">
            <v/>
          </cell>
          <cell r="HMZ2" t="str">
            <v/>
          </cell>
          <cell r="HNA2" t="str">
            <v/>
          </cell>
          <cell r="HNB2" t="str">
            <v/>
          </cell>
          <cell r="HNC2" t="str">
            <v/>
          </cell>
          <cell r="HND2" t="str">
            <v/>
          </cell>
          <cell r="HNE2" t="str">
            <v/>
          </cell>
          <cell r="HNF2" t="str">
            <v/>
          </cell>
          <cell r="HNG2" t="str">
            <v/>
          </cell>
          <cell r="HNH2" t="str">
            <v/>
          </cell>
          <cell r="HNI2" t="str">
            <v/>
          </cell>
          <cell r="HNJ2" t="str">
            <v/>
          </cell>
          <cell r="HNK2" t="str">
            <v/>
          </cell>
          <cell r="HNL2" t="str">
            <v/>
          </cell>
          <cell r="HNM2" t="str">
            <v/>
          </cell>
          <cell r="HNN2" t="str">
            <v/>
          </cell>
          <cell r="HNO2" t="str">
            <v/>
          </cell>
          <cell r="HNP2" t="str">
            <v/>
          </cell>
          <cell r="HNQ2" t="str">
            <v/>
          </cell>
          <cell r="HNR2" t="str">
            <v/>
          </cell>
          <cell r="HNS2" t="str">
            <v/>
          </cell>
          <cell r="HNT2" t="str">
            <v/>
          </cell>
          <cell r="HNU2" t="str">
            <v/>
          </cell>
          <cell r="HNV2" t="str">
            <v/>
          </cell>
          <cell r="HNW2" t="str">
            <v/>
          </cell>
          <cell r="HNX2" t="str">
            <v/>
          </cell>
          <cell r="HNY2" t="str">
            <v/>
          </cell>
          <cell r="HNZ2" t="str">
            <v/>
          </cell>
          <cell r="HOA2" t="str">
            <v/>
          </cell>
          <cell r="HOB2" t="str">
            <v/>
          </cell>
          <cell r="HOC2" t="str">
            <v/>
          </cell>
          <cell r="HOD2" t="str">
            <v/>
          </cell>
          <cell r="HOE2" t="str">
            <v/>
          </cell>
          <cell r="HOF2" t="str">
            <v/>
          </cell>
          <cell r="HOG2" t="str">
            <v/>
          </cell>
          <cell r="HOH2" t="str">
            <v/>
          </cell>
          <cell r="HOI2" t="str">
            <v/>
          </cell>
          <cell r="HOJ2" t="str">
            <v/>
          </cell>
          <cell r="HOK2" t="str">
            <v/>
          </cell>
          <cell r="HOL2" t="str">
            <v/>
          </cell>
          <cell r="HOM2" t="str">
            <v/>
          </cell>
          <cell r="HON2" t="str">
            <v/>
          </cell>
          <cell r="HOO2" t="str">
            <v/>
          </cell>
          <cell r="HOP2" t="str">
            <v/>
          </cell>
          <cell r="HOQ2" t="str">
            <v/>
          </cell>
          <cell r="HOR2" t="str">
            <v/>
          </cell>
          <cell r="HOS2" t="str">
            <v/>
          </cell>
          <cell r="HOT2" t="str">
            <v/>
          </cell>
          <cell r="HOU2" t="str">
            <v/>
          </cell>
          <cell r="HOV2" t="str">
            <v/>
          </cell>
          <cell r="HOW2" t="str">
            <v/>
          </cell>
          <cell r="HOX2" t="str">
            <v/>
          </cell>
          <cell r="HOY2" t="str">
            <v/>
          </cell>
          <cell r="HOZ2" t="str">
            <v/>
          </cell>
          <cell r="HPA2" t="str">
            <v/>
          </cell>
          <cell r="HPB2" t="str">
            <v/>
          </cell>
          <cell r="HPC2" t="str">
            <v/>
          </cell>
          <cell r="HPD2" t="str">
            <v/>
          </cell>
          <cell r="HPE2" t="str">
            <v/>
          </cell>
          <cell r="HPF2" t="str">
            <v/>
          </cell>
          <cell r="HPG2" t="str">
            <v/>
          </cell>
          <cell r="HPH2" t="str">
            <v/>
          </cell>
          <cell r="HPI2" t="str">
            <v/>
          </cell>
          <cell r="HPJ2" t="str">
            <v/>
          </cell>
          <cell r="HPK2" t="str">
            <v/>
          </cell>
          <cell r="HPL2" t="str">
            <v/>
          </cell>
          <cell r="HPM2" t="str">
            <v/>
          </cell>
          <cell r="HPN2" t="str">
            <v/>
          </cell>
          <cell r="HPO2" t="str">
            <v/>
          </cell>
          <cell r="HPP2" t="str">
            <v/>
          </cell>
          <cell r="HPQ2" t="str">
            <v/>
          </cell>
          <cell r="HPR2" t="str">
            <v/>
          </cell>
          <cell r="HPS2" t="str">
            <v/>
          </cell>
          <cell r="HPT2" t="str">
            <v/>
          </cell>
          <cell r="HPU2" t="str">
            <v/>
          </cell>
          <cell r="HPV2" t="str">
            <v/>
          </cell>
          <cell r="HPW2" t="str">
            <v/>
          </cell>
          <cell r="HPX2" t="str">
            <v/>
          </cell>
          <cell r="HPY2" t="str">
            <v/>
          </cell>
          <cell r="HPZ2" t="str">
            <v/>
          </cell>
          <cell r="HQA2" t="str">
            <v/>
          </cell>
          <cell r="HQB2" t="str">
            <v/>
          </cell>
          <cell r="HQC2" t="str">
            <v/>
          </cell>
          <cell r="HQD2" t="str">
            <v/>
          </cell>
          <cell r="HQE2" t="str">
            <v/>
          </cell>
          <cell r="HQF2" t="str">
            <v/>
          </cell>
          <cell r="HQG2" t="str">
            <v/>
          </cell>
          <cell r="HQH2" t="str">
            <v/>
          </cell>
          <cell r="HQI2" t="str">
            <v/>
          </cell>
          <cell r="HQJ2" t="str">
            <v/>
          </cell>
          <cell r="HQK2" t="str">
            <v/>
          </cell>
          <cell r="HQL2" t="str">
            <v/>
          </cell>
          <cell r="HQM2" t="str">
            <v/>
          </cell>
          <cell r="HQN2" t="str">
            <v/>
          </cell>
          <cell r="HQO2" t="str">
            <v/>
          </cell>
          <cell r="HQP2" t="str">
            <v/>
          </cell>
          <cell r="HQQ2" t="str">
            <v/>
          </cell>
          <cell r="HQR2" t="str">
            <v/>
          </cell>
          <cell r="HQS2" t="str">
            <v/>
          </cell>
          <cell r="HQT2" t="str">
            <v/>
          </cell>
          <cell r="HQU2" t="str">
            <v/>
          </cell>
          <cell r="HQV2" t="str">
            <v/>
          </cell>
          <cell r="HQW2" t="str">
            <v/>
          </cell>
          <cell r="HQX2" t="str">
            <v/>
          </cell>
          <cell r="HQY2" t="str">
            <v/>
          </cell>
          <cell r="HQZ2" t="str">
            <v/>
          </cell>
          <cell r="HRA2" t="str">
            <v/>
          </cell>
          <cell r="HRB2" t="str">
            <v/>
          </cell>
          <cell r="HRC2" t="str">
            <v/>
          </cell>
          <cell r="HRD2" t="str">
            <v/>
          </cell>
          <cell r="HRE2" t="str">
            <v/>
          </cell>
          <cell r="HRF2" t="str">
            <v/>
          </cell>
          <cell r="HRG2" t="str">
            <v/>
          </cell>
          <cell r="HRH2" t="str">
            <v/>
          </cell>
          <cell r="HRI2" t="str">
            <v/>
          </cell>
          <cell r="HRJ2" t="str">
            <v/>
          </cell>
          <cell r="HRK2" t="str">
            <v/>
          </cell>
          <cell r="HRL2" t="str">
            <v/>
          </cell>
          <cell r="HRM2" t="str">
            <v/>
          </cell>
          <cell r="HRN2" t="str">
            <v/>
          </cell>
          <cell r="HRO2" t="str">
            <v/>
          </cell>
          <cell r="HRP2" t="str">
            <v/>
          </cell>
          <cell r="HRQ2" t="str">
            <v/>
          </cell>
          <cell r="HRR2" t="str">
            <v/>
          </cell>
          <cell r="HRS2" t="str">
            <v/>
          </cell>
          <cell r="HRT2" t="str">
            <v/>
          </cell>
          <cell r="HRU2" t="str">
            <v/>
          </cell>
          <cell r="HRV2" t="str">
            <v/>
          </cell>
          <cell r="HRW2" t="str">
            <v/>
          </cell>
          <cell r="HRX2" t="str">
            <v/>
          </cell>
          <cell r="HRY2" t="str">
            <v/>
          </cell>
          <cell r="HRZ2" t="str">
            <v/>
          </cell>
          <cell r="HSA2" t="str">
            <v/>
          </cell>
          <cell r="HSB2" t="str">
            <v/>
          </cell>
          <cell r="HSC2" t="str">
            <v/>
          </cell>
          <cell r="HSD2" t="str">
            <v/>
          </cell>
          <cell r="HSE2" t="str">
            <v/>
          </cell>
          <cell r="HSF2" t="str">
            <v/>
          </cell>
          <cell r="HSG2" t="str">
            <v/>
          </cell>
          <cell r="HSH2" t="str">
            <v/>
          </cell>
          <cell r="HSI2" t="str">
            <v/>
          </cell>
          <cell r="HSJ2" t="str">
            <v/>
          </cell>
          <cell r="HSK2" t="str">
            <v/>
          </cell>
          <cell r="HSL2" t="str">
            <v/>
          </cell>
          <cell r="HSM2" t="str">
            <v/>
          </cell>
          <cell r="HSN2" t="str">
            <v/>
          </cell>
          <cell r="HSO2" t="str">
            <v/>
          </cell>
          <cell r="HSP2" t="str">
            <v/>
          </cell>
          <cell r="HSQ2" t="str">
            <v/>
          </cell>
          <cell r="HSR2" t="str">
            <v/>
          </cell>
          <cell r="HSS2" t="str">
            <v/>
          </cell>
          <cell r="HST2" t="str">
            <v/>
          </cell>
          <cell r="HSU2" t="str">
            <v/>
          </cell>
          <cell r="HSV2" t="str">
            <v/>
          </cell>
          <cell r="HSW2" t="str">
            <v/>
          </cell>
          <cell r="HSX2" t="str">
            <v/>
          </cell>
          <cell r="HSY2" t="str">
            <v/>
          </cell>
          <cell r="HSZ2" t="str">
            <v/>
          </cell>
          <cell r="HTA2" t="str">
            <v/>
          </cell>
          <cell r="HTB2" t="str">
            <v/>
          </cell>
          <cell r="HTC2" t="str">
            <v/>
          </cell>
          <cell r="HTD2" t="str">
            <v/>
          </cell>
          <cell r="HTE2" t="str">
            <v/>
          </cell>
          <cell r="HTF2" t="str">
            <v/>
          </cell>
          <cell r="HTG2" t="str">
            <v/>
          </cell>
          <cell r="HTH2" t="str">
            <v/>
          </cell>
          <cell r="HTI2" t="str">
            <v/>
          </cell>
          <cell r="HTJ2" t="str">
            <v/>
          </cell>
          <cell r="HTK2" t="str">
            <v/>
          </cell>
          <cell r="HTL2" t="str">
            <v/>
          </cell>
          <cell r="HTM2" t="str">
            <v/>
          </cell>
          <cell r="HTN2" t="str">
            <v/>
          </cell>
          <cell r="HTO2" t="str">
            <v/>
          </cell>
          <cell r="HTP2" t="str">
            <v/>
          </cell>
          <cell r="HTQ2" t="str">
            <v/>
          </cell>
          <cell r="HTR2" t="str">
            <v/>
          </cell>
          <cell r="HTS2" t="str">
            <v/>
          </cell>
          <cell r="HTT2" t="str">
            <v/>
          </cell>
          <cell r="HTU2" t="str">
            <v/>
          </cell>
          <cell r="HTV2" t="str">
            <v/>
          </cell>
          <cell r="HTW2" t="str">
            <v/>
          </cell>
          <cell r="HTX2" t="str">
            <v/>
          </cell>
          <cell r="HTY2" t="str">
            <v/>
          </cell>
          <cell r="HTZ2" t="str">
            <v/>
          </cell>
          <cell r="HUA2" t="str">
            <v/>
          </cell>
          <cell r="HUB2" t="str">
            <v/>
          </cell>
          <cell r="HUC2" t="str">
            <v/>
          </cell>
          <cell r="HUD2" t="str">
            <v/>
          </cell>
          <cell r="HUE2" t="str">
            <v/>
          </cell>
          <cell r="HUF2" t="str">
            <v/>
          </cell>
          <cell r="HUG2" t="str">
            <v/>
          </cell>
          <cell r="HUH2" t="str">
            <v/>
          </cell>
          <cell r="HUI2" t="str">
            <v/>
          </cell>
          <cell r="HUJ2" t="str">
            <v/>
          </cell>
          <cell r="HUK2" t="str">
            <v/>
          </cell>
          <cell r="HUL2" t="str">
            <v/>
          </cell>
          <cell r="HUM2" t="str">
            <v/>
          </cell>
          <cell r="HUN2" t="str">
            <v/>
          </cell>
          <cell r="HUO2" t="str">
            <v/>
          </cell>
          <cell r="HUP2" t="str">
            <v/>
          </cell>
          <cell r="HUQ2" t="str">
            <v/>
          </cell>
          <cell r="HUR2" t="str">
            <v/>
          </cell>
          <cell r="HUS2" t="str">
            <v/>
          </cell>
          <cell r="HUT2" t="str">
            <v/>
          </cell>
          <cell r="HUU2" t="str">
            <v/>
          </cell>
          <cell r="HUV2" t="str">
            <v/>
          </cell>
          <cell r="HUW2" t="str">
            <v/>
          </cell>
          <cell r="HUX2" t="str">
            <v/>
          </cell>
          <cell r="HUY2" t="str">
            <v/>
          </cell>
          <cell r="HUZ2" t="str">
            <v/>
          </cell>
          <cell r="HVA2" t="str">
            <v/>
          </cell>
          <cell r="HVB2" t="str">
            <v/>
          </cell>
          <cell r="HVC2" t="str">
            <v/>
          </cell>
          <cell r="HVD2" t="str">
            <v/>
          </cell>
          <cell r="HVE2" t="str">
            <v/>
          </cell>
          <cell r="HVF2" t="str">
            <v/>
          </cell>
          <cell r="HVG2" t="str">
            <v/>
          </cell>
          <cell r="HVH2" t="str">
            <v/>
          </cell>
          <cell r="HVI2" t="str">
            <v/>
          </cell>
          <cell r="HVJ2" t="str">
            <v/>
          </cell>
          <cell r="HVK2" t="str">
            <v/>
          </cell>
          <cell r="HVL2" t="str">
            <v/>
          </cell>
          <cell r="HVM2" t="str">
            <v/>
          </cell>
          <cell r="HVN2" t="str">
            <v/>
          </cell>
          <cell r="HVO2" t="str">
            <v/>
          </cell>
          <cell r="HVP2" t="str">
            <v/>
          </cell>
          <cell r="HVQ2" t="str">
            <v/>
          </cell>
          <cell r="HVR2" t="str">
            <v/>
          </cell>
          <cell r="HVS2" t="str">
            <v/>
          </cell>
          <cell r="HVT2" t="str">
            <v/>
          </cell>
          <cell r="HVU2" t="str">
            <v/>
          </cell>
          <cell r="HVV2" t="str">
            <v/>
          </cell>
          <cell r="HVW2" t="str">
            <v/>
          </cell>
          <cell r="HVX2" t="str">
            <v/>
          </cell>
          <cell r="HVY2" t="str">
            <v/>
          </cell>
          <cell r="HVZ2" t="str">
            <v/>
          </cell>
          <cell r="HWA2" t="str">
            <v/>
          </cell>
          <cell r="HWB2" t="str">
            <v/>
          </cell>
          <cell r="HWC2" t="str">
            <v/>
          </cell>
          <cell r="HWD2" t="str">
            <v/>
          </cell>
          <cell r="HWE2" t="str">
            <v/>
          </cell>
          <cell r="HWF2" t="str">
            <v/>
          </cell>
          <cell r="HWG2" t="str">
            <v/>
          </cell>
          <cell r="HWH2" t="str">
            <v/>
          </cell>
          <cell r="HWI2" t="str">
            <v/>
          </cell>
          <cell r="HWJ2" t="str">
            <v/>
          </cell>
          <cell r="HWK2" t="str">
            <v/>
          </cell>
          <cell r="HWL2" t="str">
            <v/>
          </cell>
          <cell r="HWM2" t="str">
            <v/>
          </cell>
          <cell r="HWN2" t="str">
            <v/>
          </cell>
          <cell r="HWO2" t="str">
            <v/>
          </cell>
          <cell r="HWP2" t="str">
            <v/>
          </cell>
          <cell r="HWQ2" t="str">
            <v/>
          </cell>
          <cell r="HWR2" t="str">
            <v/>
          </cell>
          <cell r="HWS2" t="str">
            <v/>
          </cell>
          <cell r="HWT2" t="str">
            <v/>
          </cell>
          <cell r="HWU2" t="str">
            <v/>
          </cell>
          <cell r="HWV2" t="str">
            <v/>
          </cell>
          <cell r="HWW2" t="str">
            <v/>
          </cell>
          <cell r="HWX2" t="str">
            <v/>
          </cell>
          <cell r="HWY2" t="str">
            <v/>
          </cell>
          <cell r="HWZ2" t="str">
            <v/>
          </cell>
          <cell r="HXA2" t="str">
            <v/>
          </cell>
          <cell r="HXB2" t="str">
            <v/>
          </cell>
          <cell r="HXC2" t="str">
            <v/>
          </cell>
          <cell r="HXD2" t="str">
            <v/>
          </cell>
          <cell r="HXE2" t="str">
            <v/>
          </cell>
          <cell r="HXF2" t="str">
            <v/>
          </cell>
          <cell r="HXG2" t="str">
            <v/>
          </cell>
          <cell r="HXH2" t="str">
            <v/>
          </cell>
          <cell r="HXI2" t="str">
            <v/>
          </cell>
          <cell r="HXJ2" t="str">
            <v/>
          </cell>
          <cell r="HXK2" t="str">
            <v/>
          </cell>
          <cell r="HXL2" t="str">
            <v/>
          </cell>
          <cell r="HXM2" t="str">
            <v/>
          </cell>
          <cell r="HXN2" t="str">
            <v/>
          </cell>
          <cell r="HXO2" t="str">
            <v/>
          </cell>
          <cell r="HXP2" t="str">
            <v/>
          </cell>
          <cell r="HXQ2" t="str">
            <v/>
          </cell>
          <cell r="HXR2" t="str">
            <v/>
          </cell>
          <cell r="HXS2" t="str">
            <v/>
          </cell>
          <cell r="HXT2" t="str">
            <v/>
          </cell>
          <cell r="HXU2" t="str">
            <v/>
          </cell>
          <cell r="HXV2" t="str">
            <v/>
          </cell>
          <cell r="HXW2" t="str">
            <v/>
          </cell>
          <cell r="HXX2" t="str">
            <v/>
          </cell>
          <cell r="HXY2" t="str">
            <v/>
          </cell>
          <cell r="HXZ2" t="str">
            <v/>
          </cell>
          <cell r="HYA2" t="str">
            <v/>
          </cell>
          <cell r="HYB2" t="str">
            <v/>
          </cell>
          <cell r="HYC2" t="str">
            <v/>
          </cell>
          <cell r="HYD2" t="str">
            <v/>
          </cell>
          <cell r="HYE2" t="str">
            <v/>
          </cell>
          <cell r="HYF2" t="str">
            <v/>
          </cell>
          <cell r="HYG2" t="str">
            <v/>
          </cell>
          <cell r="HYH2" t="str">
            <v/>
          </cell>
          <cell r="HYI2" t="str">
            <v/>
          </cell>
          <cell r="HYJ2" t="str">
            <v/>
          </cell>
          <cell r="HYK2" t="str">
            <v/>
          </cell>
          <cell r="HYL2" t="str">
            <v/>
          </cell>
          <cell r="HYM2" t="str">
            <v/>
          </cell>
          <cell r="HYN2" t="str">
            <v/>
          </cell>
          <cell r="HYO2" t="str">
            <v/>
          </cell>
          <cell r="HYP2" t="str">
            <v/>
          </cell>
          <cell r="HYQ2" t="str">
            <v/>
          </cell>
          <cell r="HYR2" t="str">
            <v/>
          </cell>
          <cell r="HYS2" t="str">
            <v/>
          </cell>
          <cell r="HYT2" t="str">
            <v/>
          </cell>
          <cell r="HYU2" t="str">
            <v/>
          </cell>
          <cell r="HYV2" t="str">
            <v/>
          </cell>
          <cell r="HYW2" t="str">
            <v/>
          </cell>
          <cell r="HYX2" t="str">
            <v/>
          </cell>
          <cell r="HYY2" t="str">
            <v/>
          </cell>
          <cell r="HYZ2" t="str">
            <v/>
          </cell>
          <cell r="HZA2" t="str">
            <v/>
          </cell>
          <cell r="HZB2" t="str">
            <v/>
          </cell>
          <cell r="HZC2" t="str">
            <v/>
          </cell>
          <cell r="HZD2" t="str">
            <v/>
          </cell>
          <cell r="HZE2" t="str">
            <v/>
          </cell>
          <cell r="HZF2" t="str">
            <v/>
          </cell>
          <cell r="HZG2" t="str">
            <v/>
          </cell>
          <cell r="HZH2" t="str">
            <v/>
          </cell>
          <cell r="HZI2" t="str">
            <v/>
          </cell>
          <cell r="HZJ2" t="str">
            <v/>
          </cell>
          <cell r="HZK2" t="str">
            <v/>
          </cell>
          <cell r="HZL2" t="str">
            <v/>
          </cell>
          <cell r="HZM2" t="str">
            <v/>
          </cell>
          <cell r="HZN2" t="str">
            <v/>
          </cell>
          <cell r="HZO2" t="str">
            <v/>
          </cell>
          <cell r="HZP2" t="str">
            <v/>
          </cell>
          <cell r="HZQ2" t="str">
            <v/>
          </cell>
          <cell r="HZR2" t="str">
            <v/>
          </cell>
          <cell r="HZS2" t="str">
            <v/>
          </cell>
          <cell r="HZT2" t="str">
            <v/>
          </cell>
          <cell r="HZU2" t="str">
            <v/>
          </cell>
          <cell r="HZV2" t="str">
            <v/>
          </cell>
          <cell r="HZW2" t="str">
            <v/>
          </cell>
          <cell r="HZX2" t="str">
            <v/>
          </cell>
          <cell r="HZY2" t="str">
            <v/>
          </cell>
          <cell r="HZZ2" t="str">
            <v/>
          </cell>
          <cell r="IAA2" t="str">
            <v/>
          </cell>
          <cell r="IAB2" t="str">
            <v/>
          </cell>
          <cell r="IAC2" t="str">
            <v/>
          </cell>
          <cell r="IAD2" t="str">
            <v/>
          </cell>
          <cell r="IAE2" t="str">
            <v/>
          </cell>
          <cell r="IAF2" t="str">
            <v/>
          </cell>
          <cell r="IAG2" t="str">
            <v/>
          </cell>
          <cell r="IAH2" t="str">
            <v/>
          </cell>
          <cell r="IAI2" t="str">
            <v/>
          </cell>
          <cell r="IAJ2" t="str">
            <v/>
          </cell>
          <cell r="IAK2" t="str">
            <v/>
          </cell>
          <cell r="IAL2" t="str">
            <v/>
          </cell>
          <cell r="IAM2" t="str">
            <v/>
          </cell>
          <cell r="IAN2" t="str">
            <v/>
          </cell>
          <cell r="IAO2" t="str">
            <v/>
          </cell>
          <cell r="IAP2" t="str">
            <v/>
          </cell>
          <cell r="IAQ2" t="str">
            <v/>
          </cell>
          <cell r="IAR2" t="str">
            <v/>
          </cell>
          <cell r="IAS2" t="str">
            <v/>
          </cell>
          <cell r="IAT2" t="str">
            <v/>
          </cell>
          <cell r="IAU2" t="str">
            <v/>
          </cell>
          <cell r="IAV2" t="str">
            <v/>
          </cell>
          <cell r="IAW2" t="str">
            <v/>
          </cell>
          <cell r="IAX2" t="str">
            <v/>
          </cell>
          <cell r="IAY2" t="str">
            <v/>
          </cell>
          <cell r="IAZ2" t="str">
            <v/>
          </cell>
          <cell r="IBA2" t="str">
            <v/>
          </cell>
          <cell r="IBB2" t="str">
            <v/>
          </cell>
          <cell r="IBC2" t="str">
            <v/>
          </cell>
          <cell r="IBD2" t="str">
            <v/>
          </cell>
          <cell r="IBE2" t="str">
            <v/>
          </cell>
          <cell r="IBF2" t="str">
            <v/>
          </cell>
          <cell r="IBG2" t="str">
            <v/>
          </cell>
          <cell r="IBH2" t="str">
            <v/>
          </cell>
          <cell r="IBI2" t="str">
            <v/>
          </cell>
          <cell r="IBJ2" t="str">
            <v/>
          </cell>
          <cell r="IBK2" t="str">
            <v/>
          </cell>
          <cell r="IBL2" t="str">
            <v/>
          </cell>
          <cell r="IBM2" t="str">
            <v/>
          </cell>
          <cell r="IBN2" t="str">
            <v/>
          </cell>
          <cell r="IBO2" t="str">
            <v/>
          </cell>
          <cell r="IBP2" t="str">
            <v/>
          </cell>
          <cell r="IBQ2" t="str">
            <v/>
          </cell>
          <cell r="IBR2" t="str">
            <v/>
          </cell>
          <cell r="IBS2" t="str">
            <v/>
          </cell>
          <cell r="IBT2" t="str">
            <v/>
          </cell>
          <cell r="IBU2" t="str">
            <v/>
          </cell>
          <cell r="IBV2" t="str">
            <v/>
          </cell>
          <cell r="IBW2" t="str">
            <v/>
          </cell>
          <cell r="IBX2" t="str">
            <v/>
          </cell>
          <cell r="IBY2" t="str">
            <v/>
          </cell>
          <cell r="IBZ2" t="str">
            <v/>
          </cell>
          <cell r="ICA2" t="str">
            <v/>
          </cell>
          <cell r="ICB2" t="str">
            <v/>
          </cell>
          <cell r="ICC2" t="str">
            <v/>
          </cell>
          <cell r="ICD2" t="str">
            <v/>
          </cell>
          <cell r="ICE2" t="str">
            <v/>
          </cell>
          <cell r="ICF2" t="str">
            <v/>
          </cell>
          <cell r="ICG2" t="str">
            <v/>
          </cell>
          <cell r="ICH2" t="str">
            <v/>
          </cell>
          <cell r="ICI2" t="str">
            <v/>
          </cell>
          <cell r="ICJ2" t="str">
            <v/>
          </cell>
          <cell r="ICK2" t="str">
            <v/>
          </cell>
          <cell r="ICL2" t="str">
            <v/>
          </cell>
          <cell r="ICM2" t="str">
            <v/>
          </cell>
          <cell r="ICN2" t="str">
            <v/>
          </cell>
          <cell r="ICO2" t="str">
            <v/>
          </cell>
          <cell r="ICP2" t="str">
            <v/>
          </cell>
          <cell r="ICQ2" t="str">
            <v/>
          </cell>
          <cell r="ICR2" t="str">
            <v/>
          </cell>
          <cell r="ICS2" t="str">
            <v/>
          </cell>
          <cell r="ICT2" t="str">
            <v/>
          </cell>
          <cell r="ICU2" t="str">
            <v/>
          </cell>
          <cell r="ICV2" t="str">
            <v/>
          </cell>
          <cell r="ICW2" t="str">
            <v/>
          </cell>
          <cell r="ICX2" t="str">
            <v/>
          </cell>
          <cell r="ICY2" t="str">
            <v/>
          </cell>
          <cell r="ICZ2" t="str">
            <v/>
          </cell>
          <cell r="IDA2" t="str">
            <v/>
          </cell>
          <cell r="IDB2" t="str">
            <v/>
          </cell>
          <cell r="IDC2" t="str">
            <v/>
          </cell>
          <cell r="IDD2" t="str">
            <v/>
          </cell>
          <cell r="IDE2" t="str">
            <v/>
          </cell>
          <cell r="IDF2" t="str">
            <v/>
          </cell>
          <cell r="IDG2" t="str">
            <v/>
          </cell>
          <cell r="IDH2" t="str">
            <v/>
          </cell>
          <cell r="IDI2" t="str">
            <v/>
          </cell>
          <cell r="IDJ2" t="str">
            <v/>
          </cell>
          <cell r="IDK2" t="str">
            <v/>
          </cell>
          <cell r="IDL2" t="str">
            <v/>
          </cell>
          <cell r="IDM2" t="str">
            <v/>
          </cell>
          <cell r="IDN2" t="str">
            <v/>
          </cell>
          <cell r="IDO2" t="str">
            <v/>
          </cell>
          <cell r="IDP2" t="str">
            <v/>
          </cell>
          <cell r="IDQ2" t="str">
            <v/>
          </cell>
          <cell r="IDR2" t="str">
            <v/>
          </cell>
          <cell r="IDS2" t="str">
            <v/>
          </cell>
          <cell r="IDT2" t="str">
            <v/>
          </cell>
          <cell r="IDU2" t="str">
            <v/>
          </cell>
          <cell r="IDV2" t="str">
            <v/>
          </cell>
          <cell r="IDW2" t="str">
            <v/>
          </cell>
          <cell r="IDX2" t="str">
            <v/>
          </cell>
          <cell r="IDY2" t="str">
            <v/>
          </cell>
          <cell r="IDZ2" t="str">
            <v/>
          </cell>
          <cell r="IEA2" t="str">
            <v/>
          </cell>
          <cell r="IEB2" t="str">
            <v/>
          </cell>
          <cell r="IEC2" t="str">
            <v/>
          </cell>
          <cell r="IED2" t="str">
            <v/>
          </cell>
          <cell r="IEE2" t="str">
            <v/>
          </cell>
          <cell r="IEF2" t="str">
            <v/>
          </cell>
          <cell r="IEG2" t="str">
            <v/>
          </cell>
          <cell r="IEH2" t="str">
            <v/>
          </cell>
          <cell r="IEI2" t="str">
            <v/>
          </cell>
          <cell r="IEJ2" t="str">
            <v/>
          </cell>
          <cell r="IEK2" t="str">
            <v/>
          </cell>
          <cell r="IEL2" t="str">
            <v/>
          </cell>
          <cell r="IEM2" t="str">
            <v/>
          </cell>
          <cell r="IEN2" t="str">
            <v/>
          </cell>
          <cell r="IEO2" t="str">
            <v/>
          </cell>
          <cell r="IEP2" t="str">
            <v/>
          </cell>
          <cell r="IEQ2" t="str">
            <v/>
          </cell>
          <cell r="IER2" t="str">
            <v/>
          </cell>
          <cell r="IES2" t="str">
            <v/>
          </cell>
          <cell r="IET2" t="str">
            <v/>
          </cell>
          <cell r="IEU2" t="str">
            <v/>
          </cell>
          <cell r="IEV2" t="str">
            <v/>
          </cell>
          <cell r="IEW2" t="str">
            <v/>
          </cell>
          <cell r="IEX2" t="str">
            <v/>
          </cell>
          <cell r="IEY2" t="str">
            <v/>
          </cell>
          <cell r="IEZ2" t="str">
            <v/>
          </cell>
          <cell r="IFA2" t="str">
            <v/>
          </cell>
          <cell r="IFB2" t="str">
            <v/>
          </cell>
          <cell r="IFC2" t="str">
            <v/>
          </cell>
          <cell r="IFD2" t="str">
            <v/>
          </cell>
          <cell r="IFE2" t="str">
            <v/>
          </cell>
          <cell r="IFF2" t="str">
            <v/>
          </cell>
          <cell r="IFG2" t="str">
            <v/>
          </cell>
          <cell r="IFH2" t="str">
            <v/>
          </cell>
          <cell r="IFI2" t="str">
            <v/>
          </cell>
          <cell r="IFJ2" t="str">
            <v/>
          </cell>
          <cell r="IFK2" t="str">
            <v/>
          </cell>
          <cell r="IFL2" t="str">
            <v/>
          </cell>
          <cell r="IFM2" t="str">
            <v/>
          </cell>
          <cell r="IFN2" t="str">
            <v/>
          </cell>
          <cell r="IFO2" t="str">
            <v/>
          </cell>
          <cell r="IFP2" t="str">
            <v/>
          </cell>
          <cell r="IFQ2" t="str">
            <v/>
          </cell>
          <cell r="IFR2" t="str">
            <v/>
          </cell>
          <cell r="IFS2" t="str">
            <v/>
          </cell>
          <cell r="IFT2" t="str">
            <v/>
          </cell>
          <cell r="IFU2" t="str">
            <v/>
          </cell>
          <cell r="IFV2" t="str">
            <v/>
          </cell>
          <cell r="IFW2" t="str">
            <v/>
          </cell>
          <cell r="IFX2" t="str">
            <v/>
          </cell>
          <cell r="IFY2" t="str">
            <v/>
          </cell>
          <cell r="IFZ2" t="str">
            <v/>
          </cell>
          <cell r="IGA2" t="str">
            <v/>
          </cell>
          <cell r="IGB2" t="str">
            <v/>
          </cell>
          <cell r="IGC2" t="str">
            <v/>
          </cell>
          <cell r="IGD2" t="str">
            <v/>
          </cell>
          <cell r="IGE2" t="str">
            <v/>
          </cell>
          <cell r="IGF2" t="str">
            <v/>
          </cell>
          <cell r="IGG2" t="str">
            <v/>
          </cell>
          <cell r="IGH2" t="str">
            <v/>
          </cell>
          <cell r="IGI2" t="str">
            <v/>
          </cell>
          <cell r="IGJ2" t="str">
            <v/>
          </cell>
          <cell r="IGK2" t="str">
            <v/>
          </cell>
          <cell r="IGL2" t="str">
            <v/>
          </cell>
          <cell r="IGM2" t="str">
            <v/>
          </cell>
          <cell r="IGN2" t="str">
            <v/>
          </cell>
          <cell r="IGO2" t="str">
            <v/>
          </cell>
          <cell r="IGP2" t="str">
            <v/>
          </cell>
          <cell r="IGQ2" t="str">
            <v/>
          </cell>
          <cell r="IGR2" t="str">
            <v/>
          </cell>
          <cell r="IGS2" t="str">
            <v/>
          </cell>
          <cell r="IGT2" t="str">
            <v/>
          </cell>
          <cell r="IGU2" t="str">
            <v/>
          </cell>
          <cell r="IGV2" t="str">
            <v/>
          </cell>
          <cell r="IGW2" t="str">
            <v/>
          </cell>
          <cell r="IGX2" t="str">
            <v/>
          </cell>
          <cell r="IGY2" t="str">
            <v/>
          </cell>
          <cell r="IGZ2" t="str">
            <v/>
          </cell>
          <cell r="IHA2" t="str">
            <v/>
          </cell>
          <cell r="IHB2" t="str">
            <v/>
          </cell>
          <cell r="IHC2" t="str">
            <v/>
          </cell>
          <cell r="IHD2" t="str">
            <v/>
          </cell>
          <cell r="IHE2" t="str">
            <v/>
          </cell>
          <cell r="IHF2" t="str">
            <v/>
          </cell>
          <cell r="IHG2" t="str">
            <v/>
          </cell>
          <cell r="IHH2" t="str">
            <v/>
          </cell>
          <cell r="IHI2" t="str">
            <v/>
          </cell>
          <cell r="IHJ2" t="str">
            <v/>
          </cell>
          <cell r="IHK2" t="str">
            <v/>
          </cell>
          <cell r="IHL2" t="str">
            <v/>
          </cell>
          <cell r="IHM2" t="str">
            <v/>
          </cell>
          <cell r="IHN2" t="str">
            <v/>
          </cell>
          <cell r="IHO2" t="str">
            <v/>
          </cell>
          <cell r="IHP2" t="str">
            <v/>
          </cell>
          <cell r="IHQ2" t="str">
            <v/>
          </cell>
          <cell r="IHR2" t="str">
            <v/>
          </cell>
          <cell r="IHS2" t="str">
            <v/>
          </cell>
          <cell r="IHT2" t="str">
            <v/>
          </cell>
          <cell r="IHU2" t="str">
            <v/>
          </cell>
          <cell r="IHV2" t="str">
            <v/>
          </cell>
          <cell r="IHW2" t="str">
            <v/>
          </cell>
          <cell r="IHX2" t="str">
            <v/>
          </cell>
          <cell r="IHY2" t="str">
            <v/>
          </cell>
          <cell r="IHZ2" t="str">
            <v/>
          </cell>
          <cell r="IIA2" t="str">
            <v/>
          </cell>
          <cell r="IIB2" t="str">
            <v/>
          </cell>
          <cell r="IIC2" t="str">
            <v/>
          </cell>
          <cell r="IID2" t="str">
            <v/>
          </cell>
          <cell r="IIE2" t="str">
            <v/>
          </cell>
          <cell r="IIF2" t="str">
            <v/>
          </cell>
          <cell r="IIG2" t="str">
            <v/>
          </cell>
          <cell r="IIH2" t="str">
            <v/>
          </cell>
          <cell r="III2" t="str">
            <v/>
          </cell>
          <cell r="IIJ2" t="str">
            <v/>
          </cell>
          <cell r="IIK2" t="str">
            <v/>
          </cell>
          <cell r="IIL2" t="str">
            <v/>
          </cell>
          <cell r="IIM2" t="str">
            <v/>
          </cell>
          <cell r="IIN2" t="str">
            <v/>
          </cell>
          <cell r="IIO2" t="str">
            <v/>
          </cell>
          <cell r="IIP2" t="str">
            <v/>
          </cell>
          <cell r="IIQ2" t="str">
            <v/>
          </cell>
          <cell r="IIR2" t="str">
            <v/>
          </cell>
          <cell r="IIS2" t="str">
            <v/>
          </cell>
          <cell r="IIT2" t="str">
            <v/>
          </cell>
          <cell r="IIU2" t="str">
            <v/>
          </cell>
          <cell r="IIV2" t="str">
            <v/>
          </cell>
          <cell r="IIW2" t="str">
            <v/>
          </cell>
          <cell r="IIX2" t="str">
            <v/>
          </cell>
          <cell r="IIY2" t="str">
            <v/>
          </cell>
          <cell r="IIZ2" t="str">
            <v/>
          </cell>
          <cell r="IJA2" t="str">
            <v/>
          </cell>
          <cell r="IJB2" t="str">
            <v/>
          </cell>
          <cell r="IJC2" t="str">
            <v/>
          </cell>
          <cell r="IJD2" t="str">
            <v/>
          </cell>
          <cell r="IJE2" t="str">
            <v/>
          </cell>
          <cell r="IJF2" t="str">
            <v/>
          </cell>
          <cell r="IJG2" t="str">
            <v/>
          </cell>
          <cell r="IJH2" t="str">
            <v/>
          </cell>
          <cell r="IJI2" t="str">
            <v/>
          </cell>
          <cell r="IJJ2" t="str">
            <v/>
          </cell>
          <cell r="IJK2" t="str">
            <v/>
          </cell>
          <cell r="IJL2" t="str">
            <v/>
          </cell>
          <cell r="IJM2" t="str">
            <v/>
          </cell>
          <cell r="IJN2" t="str">
            <v/>
          </cell>
          <cell r="IJO2" t="str">
            <v/>
          </cell>
          <cell r="IJP2" t="str">
            <v/>
          </cell>
          <cell r="IJQ2" t="str">
            <v/>
          </cell>
          <cell r="IJR2" t="str">
            <v/>
          </cell>
          <cell r="IJS2" t="str">
            <v/>
          </cell>
          <cell r="IJT2" t="str">
            <v/>
          </cell>
          <cell r="IJU2" t="str">
            <v/>
          </cell>
          <cell r="IJV2" t="str">
            <v/>
          </cell>
          <cell r="IJW2" t="str">
            <v/>
          </cell>
          <cell r="IJX2" t="str">
            <v/>
          </cell>
          <cell r="IJY2" t="str">
            <v/>
          </cell>
          <cell r="IJZ2" t="str">
            <v/>
          </cell>
          <cell r="IKA2" t="str">
            <v/>
          </cell>
          <cell r="IKB2" t="str">
            <v/>
          </cell>
          <cell r="IKC2" t="str">
            <v/>
          </cell>
          <cell r="IKD2" t="str">
            <v/>
          </cell>
          <cell r="IKE2" t="str">
            <v/>
          </cell>
          <cell r="IKF2" t="str">
            <v/>
          </cell>
          <cell r="IKG2" t="str">
            <v/>
          </cell>
          <cell r="IKH2" t="str">
            <v/>
          </cell>
          <cell r="IKI2" t="str">
            <v/>
          </cell>
          <cell r="IKJ2" t="str">
            <v/>
          </cell>
          <cell r="IKK2" t="str">
            <v/>
          </cell>
          <cell r="IKL2" t="str">
            <v/>
          </cell>
          <cell r="IKM2" t="str">
            <v/>
          </cell>
          <cell r="IKN2" t="str">
            <v/>
          </cell>
          <cell r="IKO2" t="str">
            <v/>
          </cell>
          <cell r="IKP2" t="str">
            <v/>
          </cell>
          <cell r="IKQ2" t="str">
            <v/>
          </cell>
          <cell r="IKR2" t="str">
            <v/>
          </cell>
          <cell r="IKS2" t="str">
            <v/>
          </cell>
          <cell r="IKT2" t="str">
            <v/>
          </cell>
          <cell r="IKU2" t="str">
            <v/>
          </cell>
          <cell r="IKV2" t="str">
            <v/>
          </cell>
          <cell r="IKW2" t="str">
            <v/>
          </cell>
          <cell r="IKX2" t="str">
            <v/>
          </cell>
          <cell r="IKY2" t="str">
            <v/>
          </cell>
          <cell r="IKZ2" t="str">
            <v/>
          </cell>
          <cell r="ILA2" t="str">
            <v/>
          </cell>
          <cell r="ILB2" t="str">
            <v/>
          </cell>
          <cell r="ILC2" t="str">
            <v/>
          </cell>
          <cell r="ILD2" t="str">
            <v/>
          </cell>
          <cell r="ILE2" t="str">
            <v/>
          </cell>
          <cell r="ILF2" t="str">
            <v/>
          </cell>
          <cell r="ILG2" t="str">
            <v/>
          </cell>
          <cell r="ILH2" t="str">
            <v/>
          </cell>
          <cell r="ILI2" t="str">
            <v/>
          </cell>
          <cell r="ILJ2" t="str">
            <v/>
          </cell>
          <cell r="ILK2" t="str">
            <v/>
          </cell>
          <cell r="ILL2" t="str">
            <v/>
          </cell>
          <cell r="ILM2" t="str">
            <v/>
          </cell>
          <cell r="ILN2" t="str">
            <v/>
          </cell>
          <cell r="ILO2" t="str">
            <v/>
          </cell>
          <cell r="ILP2" t="str">
            <v/>
          </cell>
          <cell r="ILQ2" t="str">
            <v/>
          </cell>
          <cell r="ILR2" t="str">
            <v/>
          </cell>
          <cell r="ILS2" t="str">
            <v/>
          </cell>
          <cell r="ILT2" t="str">
            <v/>
          </cell>
          <cell r="ILU2" t="str">
            <v/>
          </cell>
          <cell r="ILV2" t="str">
            <v/>
          </cell>
          <cell r="ILW2" t="str">
            <v/>
          </cell>
          <cell r="ILX2" t="str">
            <v/>
          </cell>
          <cell r="ILY2" t="str">
            <v/>
          </cell>
          <cell r="ILZ2" t="str">
            <v/>
          </cell>
          <cell r="IMA2" t="str">
            <v/>
          </cell>
          <cell r="IMB2" t="str">
            <v/>
          </cell>
          <cell r="IMC2" t="str">
            <v/>
          </cell>
          <cell r="IMD2" t="str">
            <v/>
          </cell>
          <cell r="IME2" t="str">
            <v/>
          </cell>
          <cell r="IMF2" t="str">
            <v/>
          </cell>
          <cell r="IMG2" t="str">
            <v/>
          </cell>
          <cell r="IMH2" t="str">
            <v/>
          </cell>
          <cell r="IMI2" t="str">
            <v/>
          </cell>
          <cell r="IMJ2" t="str">
            <v/>
          </cell>
          <cell r="IMK2" t="str">
            <v/>
          </cell>
          <cell r="IML2" t="str">
            <v/>
          </cell>
          <cell r="IMM2" t="str">
            <v/>
          </cell>
          <cell r="IMN2" t="str">
            <v/>
          </cell>
          <cell r="IMO2" t="str">
            <v/>
          </cell>
          <cell r="IMP2" t="str">
            <v/>
          </cell>
          <cell r="IMQ2" t="str">
            <v/>
          </cell>
          <cell r="IMR2" t="str">
            <v/>
          </cell>
          <cell r="IMS2" t="str">
            <v/>
          </cell>
          <cell r="IMT2" t="str">
            <v/>
          </cell>
          <cell r="IMU2" t="str">
            <v/>
          </cell>
          <cell r="IMV2" t="str">
            <v/>
          </cell>
          <cell r="IMW2" t="str">
            <v/>
          </cell>
          <cell r="IMX2" t="str">
            <v/>
          </cell>
          <cell r="IMY2" t="str">
            <v/>
          </cell>
          <cell r="IMZ2" t="str">
            <v/>
          </cell>
          <cell r="INA2" t="str">
            <v/>
          </cell>
          <cell r="INB2" t="str">
            <v/>
          </cell>
          <cell r="INC2" t="str">
            <v/>
          </cell>
          <cell r="IND2" t="str">
            <v/>
          </cell>
          <cell r="INE2" t="str">
            <v/>
          </cell>
          <cell r="INF2" t="str">
            <v/>
          </cell>
          <cell r="ING2" t="str">
            <v/>
          </cell>
          <cell r="INH2" t="str">
            <v/>
          </cell>
          <cell r="INI2" t="str">
            <v/>
          </cell>
          <cell r="INJ2" t="str">
            <v/>
          </cell>
          <cell r="INK2" t="str">
            <v/>
          </cell>
          <cell r="INL2" t="str">
            <v/>
          </cell>
          <cell r="INM2" t="str">
            <v/>
          </cell>
          <cell r="INN2" t="str">
            <v/>
          </cell>
          <cell r="INO2" t="str">
            <v/>
          </cell>
          <cell r="INP2" t="str">
            <v/>
          </cell>
          <cell r="INQ2" t="str">
            <v/>
          </cell>
          <cell r="INR2" t="str">
            <v/>
          </cell>
          <cell r="INS2" t="str">
            <v/>
          </cell>
          <cell r="INT2" t="str">
            <v/>
          </cell>
          <cell r="INU2" t="str">
            <v/>
          </cell>
          <cell r="INV2" t="str">
            <v/>
          </cell>
          <cell r="INW2" t="str">
            <v/>
          </cell>
          <cell r="INX2" t="str">
            <v/>
          </cell>
          <cell r="INY2" t="str">
            <v/>
          </cell>
          <cell r="INZ2" t="str">
            <v/>
          </cell>
          <cell r="IOA2" t="str">
            <v/>
          </cell>
          <cell r="IOB2" t="str">
            <v/>
          </cell>
          <cell r="IOC2" t="str">
            <v/>
          </cell>
          <cell r="IOD2" t="str">
            <v/>
          </cell>
          <cell r="IOE2" t="str">
            <v/>
          </cell>
          <cell r="IOF2" t="str">
            <v/>
          </cell>
          <cell r="IOG2" t="str">
            <v/>
          </cell>
          <cell r="IOH2" t="str">
            <v/>
          </cell>
          <cell r="IOI2" t="str">
            <v/>
          </cell>
          <cell r="IOJ2" t="str">
            <v/>
          </cell>
          <cell r="IOK2" t="str">
            <v/>
          </cell>
          <cell r="IOL2" t="str">
            <v/>
          </cell>
          <cell r="IOM2" t="str">
            <v/>
          </cell>
          <cell r="ION2" t="str">
            <v/>
          </cell>
          <cell r="IOO2" t="str">
            <v/>
          </cell>
          <cell r="IOP2" t="str">
            <v/>
          </cell>
          <cell r="IOQ2" t="str">
            <v/>
          </cell>
          <cell r="IOR2" t="str">
            <v/>
          </cell>
          <cell r="IOS2" t="str">
            <v/>
          </cell>
          <cell r="IOT2" t="str">
            <v/>
          </cell>
          <cell r="IOU2" t="str">
            <v/>
          </cell>
          <cell r="IOV2" t="str">
            <v/>
          </cell>
          <cell r="IOW2" t="str">
            <v/>
          </cell>
          <cell r="IOX2" t="str">
            <v/>
          </cell>
          <cell r="IOY2" t="str">
            <v/>
          </cell>
          <cell r="IOZ2" t="str">
            <v/>
          </cell>
          <cell r="IPA2" t="str">
            <v/>
          </cell>
          <cell r="IPB2" t="str">
            <v/>
          </cell>
          <cell r="IPC2" t="str">
            <v/>
          </cell>
          <cell r="IPD2" t="str">
            <v/>
          </cell>
          <cell r="IPE2" t="str">
            <v/>
          </cell>
          <cell r="IPF2" t="str">
            <v/>
          </cell>
          <cell r="IPG2" t="str">
            <v/>
          </cell>
          <cell r="IPH2" t="str">
            <v/>
          </cell>
          <cell r="IPI2" t="str">
            <v/>
          </cell>
          <cell r="IPJ2" t="str">
            <v/>
          </cell>
          <cell r="IPK2" t="str">
            <v/>
          </cell>
          <cell r="IPL2" t="str">
            <v/>
          </cell>
          <cell r="IPM2" t="str">
            <v/>
          </cell>
          <cell r="IPN2" t="str">
            <v/>
          </cell>
          <cell r="IPO2" t="str">
            <v/>
          </cell>
          <cell r="IPP2" t="str">
            <v/>
          </cell>
          <cell r="IPQ2" t="str">
            <v/>
          </cell>
          <cell r="IPR2" t="str">
            <v/>
          </cell>
          <cell r="IPS2" t="str">
            <v/>
          </cell>
          <cell r="IPT2" t="str">
            <v/>
          </cell>
          <cell r="IPU2" t="str">
            <v/>
          </cell>
          <cell r="IPV2" t="str">
            <v/>
          </cell>
          <cell r="IPW2" t="str">
            <v/>
          </cell>
          <cell r="IPX2" t="str">
            <v/>
          </cell>
          <cell r="IPY2" t="str">
            <v/>
          </cell>
          <cell r="IPZ2" t="str">
            <v/>
          </cell>
          <cell r="IQA2" t="str">
            <v/>
          </cell>
          <cell r="IQB2" t="str">
            <v/>
          </cell>
          <cell r="IQC2" t="str">
            <v/>
          </cell>
          <cell r="IQD2" t="str">
            <v/>
          </cell>
          <cell r="IQE2" t="str">
            <v/>
          </cell>
          <cell r="IQF2" t="str">
            <v/>
          </cell>
          <cell r="IQG2" t="str">
            <v/>
          </cell>
          <cell r="IQH2" t="str">
            <v/>
          </cell>
          <cell r="IQI2" t="str">
            <v/>
          </cell>
          <cell r="IQJ2" t="str">
            <v/>
          </cell>
          <cell r="IQK2" t="str">
            <v/>
          </cell>
          <cell r="IQL2" t="str">
            <v/>
          </cell>
          <cell r="IQM2" t="str">
            <v/>
          </cell>
          <cell r="IQN2" t="str">
            <v/>
          </cell>
          <cell r="IQO2" t="str">
            <v/>
          </cell>
          <cell r="IQP2" t="str">
            <v/>
          </cell>
          <cell r="IQQ2" t="str">
            <v/>
          </cell>
          <cell r="IQR2" t="str">
            <v/>
          </cell>
          <cell r="IQS2" t="str">
            <v/>
          </cell>
          <cell r="IQT2" t="str">
            <v/>
          </cell>
          <cell r="IQU2" t="str">
            <v/>
          </cell>
          <cell r="IQV2" t="str">
            <v/>
          </cell>
          <cell r="IQW2" t="str">
            <v/>
          </cell>
          <cell r="IQX2" t="str">
            <v/>
          </cell>
          <cell r="IQY2" t="str">
            <v/>
          </cell>
          <cell r="IQZ2" t="str">
            <v/>
          </cell>
          <cell r="IRA2" t="str">
            <v/>
          </cell>
          <cell r="IRB2" t="str">
            <v/>
          </cell>
          <cell r="IRC2" t="str">
            <v/>
          </cell>
          <cell r="IRD2" t="str">
            <v/>
          </cell>
          <cell r="IRE2" t="str">
            <v/>
          </cell>
          <cell r="IRF2" t="str">
            <v/>
          </cell>
          <cell r="IRG2" t="str">
            <v/>
          </cell>
          <cell r="IRH2" t="str">
            <v/>
          </cell>
          <cell r="IRI2" t="str">
            <v/>
          </cell>
          <cell r="IRJ2" t="str">
            <v/>
          </cell>
          <cell r="IRK2" t="str">
            <v/>
          </cell>
          <cell r="IRL2" t="str">
            <v/>
          </cell>
          <cell r="IRM2" t="str">
            <v/>
          </cell>
          <cell r="IRN2" t="str">
            <v/>
          </cell>
          <cell r="IRO2" t="str">
            <v/>
          </cell>
          <cell r="IRP2" t="str">
            <v/>
          </cell>
          <cell r="IRQ2" t="str">
            <v/>
          </cell>
          <cell r="IRR2" t="str">
            <v/>
          </cell>
          <cell r="IRS2" t="str">
            <v/>
          </cell>
          <cell r="IRT2" t="str">
            <v/>
          </cell>
          <cell r="IRU2" t="str">
            <v/>
          </cell>
          <cell r="IRV2" t="str">
            <v/>
          </cell>
          <cell r="IRW2" t="str">
            <v/>
          </cell>
          <cell r="IRX2" t="str">
            <v/>
          </cell>
          <cell r="IRY2" t="str">
            <v/>
          </cell>
          <cell r="IRZ2" t="str">
            <v/>
          </cell>
          <cell r="ISA2" t="str">
            <v/>
          </cell>
          <cell r="ISB2" t="str">
            <v/>
          </cell>
          <cell r="ISC2" t="str">
            <v/>
          </cell>
          <cell r="ISD2" t="str">
            <v/>
          </cell>
          <cell r="ISE2" t="str">
            <v/>
          </cell>
          <cell r="ISF2" t="str">
            <v/>
          </cell>
          <cell r="ISG2" t="str">
            <v/>
          </cell>
          <cell r="ISH2" t="str">
            <v/>
          </cell>
          <cell r="ISI2" t="str">
            <v/>
          </cell>
          <cell r="ISJ2" t="str">
            <v/>
          </cell>
          <cell r="ISK2" t="str">
            <v/>
          </cell>
          <cell r="ISL2" t="str">
            <v/>
          </cell>
          <cell r="ISM2" t="str">
            <v/>
          </cell>
          <cell r="ISN2" t="str">
            <v/>
          </cell>
          <cell r="ISO2" t="str">
            <v/>
          </cell>
          <cell r="ISP2" t="str">
            <v/>
          </cell>
          <cell r="ISQ2" t="str">
            <v/>
          </cell>
          <cell r="ISR2" t="str">
            <v/>
          </cell>
          <cell r="ISS2" t="str">
            <v/>
          </cell>
          <cell r="IST2" t="str">
            <v/>
          </cell>
          <cell r="ISU2" t="str">
            <v/>
          </cell>
          <cell r="ISV2" t="str">
            <v/>
          </cell>
          <cell r="ISW2" t="str">
            <v/>
          </cell>
          <cell r="ISX2" t="str">
            <v/>
          </cell>
          <cell r="ISY2" t="str">
            <v/>
          </cell>
          <cell r="ISZ2" t="str">
            <v/>
          </cell>
          <cell r="ITA2" t="str">
            <v/>
          </cell>
          <cell r="ITB2" t="str">
            <v/>
          </cell>
          <cell r="ITC2" t="str">
            <v/>
          </cell>
          <cell r="ITD2" t="str">
            <v/>
          </cell>
          <cell r="ITE2" t="str">
            <v/>
          </cell>
          <cell r="ITF2" t="str">
            <v/>
          </cell>
          <cell r="ITG2" t="str">
            <v/>
          </cell>
          <cell r="ITH2" t="str">
            <v/>
          </cell>
          <cell r="ITI2" t="str">
            <v/>
          </cell>
          <cell r="ITJ2" t="str">
            <v/>
          </cell>
          <cell r="ITK2" t="str">
            <v/>
          </cell>
          <cell r="ITL2" t="str">
            <v/>
          </cell>
          <cell r="ITM2" t="str">
            <v/>
          </cell>
          <cell r="ITN2" t="str">
            <v/>
          </cell>
          <cell r="ITO2" t="str">
            <v/>
          </cell>
          <cell r="ITP2" t="str">
            <v/>
          </cell>
          <cell r="ITQ2" t="str">
            <v/>
          </cell>
          <cell r="ITR2" t="str">
            <v/>
          </cell>
          <cell r="ITS2" t="str">
            <v/>
          </cell>
          <cell r="ITT2" t="str">
            <v/>
          </cell>
          <cell r="ITU2" t="str">
            <v/>
          </cell>
          <cell r="ITV2" t="str">
            <v/>
          </cell>
          <cell r="ITW2" t="str">
            <v/>
          </cell>
          <cell r="ITX2" t="str">
            <v/>
          </cell>
          <cell r="ITY2" t="str">
            <v/>
          </cell>
          <cell r="ITZ2" t="str">
            <v/>
          </cell>
          <cell r="IUA2" t="str">
            <v/>
          </cell>
          <cell r="IUB2" t="str">
            <v/>
          </cell>
          <cell r="IUC2" t="str">
            <v/>
          </cell>
          <cell r="IUD2" t="str">
            <v/>
          </cell>
          <cell r="IUE2" t="str">
            <v/>
          </cell>
          <cell r="IUF2" t="str">
            <v/>
          </cell>
          <cell r="IUG2" t="str">
            <v/>
          </cell>
          <cell r="IUH2" t="str">
            <v/>
          </cell>
          <cell r="IUI2" t="str">
            <v/>
          </cell>
          <cell r="IUJ2" t="str">
            <v/>
          </cell>
          <cell r="IUK2" t="str">
            <v/>
          </cell>
          <cell r="IUL2" t="str">
            <v/>
          </cell>
          <cell r="IUM2" t="str">
            <v/>
          </cell>
          <cell r="IUN2" t="str">
            <v/>
          </cell>
          <cell r="IUO2" t="str">
            <v/>
          </cell>
          <cell r="IUP2" t="str">
            <v/>
          </cell>
          <cell r="IUQ2" t="str">
            <v/>
          </cell>
          <cell r="IUR2" t="str">
            <v/>
          </cell>
          <cell r="IUS2" t="str">
            <v/>
          </cell>
          <cell r="IUT2" t="str">
            <v/>
          </cell>
          <cell r="IUU2" t="str">
            <v/>
          </cell>
          <cell r="IUV2" t="str">
            <v/>
          </cell>
          <cell r="IUW2" t="str">
            <v/>
          </cell>
          <cell r="IUX2" t="str">
            <v/>
          </cell>
          <cell r="IUY2" t="str">
            <v/>
          </cell>
          <cell r="IUZ2" t="str">
            <v/>
          </cell>
          <cell r="IVA2" t="str">
            <v/>
          </cell>
          <cell r="IVB2" t="str">
            <v/>
          </cell>
          <cell r="IVC2" t="str">
            <v/>
          </cell>
          <cell r="IVD2" t="str">
            <v/>
          </cell>
          <cell r="IVE2" t="str">
            <v/>
          </cell>
          <cell r="IVF2" t="str">
            <v/>
          </cell>
          <cell r="IVG2" t="str">
            <v/>
          </cell>
          <cell r="IVH2" t="str">
            <v/>
          </cell>
          <cell r="IVI2" t="str">
            <v/>
          </cell>
          <cell r="IVJ2" t="str">
            <v/>
          </cell>
          <cell r="IVK2" t="str">
            <v/>
          </cell>
          <cell r="IVL2" t="str">
            <v/>
          </cell>
          <cell r="IVM2" t="str">
            <v/>
          </cell>
          <cell r="IVN2" t="str">
            <v/>
          </cell>
          <cell r="IVO2" t="str">
            <v/>
          </cell>
          <cell r="IVP2" t="str">
            <v/>
          </cell>
          <cell r="IVQ2" t="str">
            <v/>
          </cell>
          <cell r="IVR2" t="str">
            <v/>
          </cell>
          <cell r="IVS2" t="str">
            <v/>
          </cell>
          <cell r="IVT2" t="str">
            <v/>
          </cell>
          <cell r="IVU2" t="str">
            <v/>
          </cell>
          <cell r="IVV2" t="str">
            <v/>
          </cell>
          <cell r="IVW2" t="str">
            <v/>
          </cell>
          <cell r="IVX2" t="str">
            <v/>
          </cell>
          <cell r="IVY2" t="str">
            <v/>
          </cell>
          <cell r="IVZ2" t="str">
            <v/>
          </cell>
          <cell r="IWA2" t="str">
            <v/>
          </cell>
          <cell r="IWB2" t="str">
            <v/>
          </cell>
          <cell r="IWC2" t="str">
            <v/>
          </cell>
          <cell r="IWD2" t="str">
            <v/>
          </cell>
          <cell r="IWE2" t="str">
            <v/>
          </cell>
          <cell r="IWF2" t="str">
            <v/>
          </cell>
          <cell r="IWG2" t="str">
            <v/>
          </cell>
          <cell r="IWH2" t="str">
            <v/>
          </cell>
          <cell r="IWI2" t="str">
            <v/>
          </cell>
          <cell r="IWJ2" t="str">
            <v/>
          </cell>
          <cell r="IWK2" t="str">
            <v/>
          </cell>
          <cell r="IWL2" t="str">
            <v/>
          </cell>
          <cell r="IWM2" t="str">
            <v/>
          </cell>
          <cell r="IWN2" t="str">
            <v/>
          </cell>
          <cell r="IWO2" t="str">
            <v/>
          </cell>
          <cell r="IWP2" t="str">
            <v/>
          </cell>
          <cell r="IWQ2" t="str">
            <v/>
          </cell>
          <cell r="IWR2" t="str">
            <v/>
          </cell>
          <cell r="IWS2" t="str">
            <v/>
          </cell>
          <cell r="IWT2" t="str">
            <v/>
          </cell>
          <cell r="IWU2" t="str">
            <v/>
          </cell>
          <cell r="IWV2" t="str">
            <v/>
          </cell>
          <cell r="IWW2" t="str">
            <v/>
          </cell>
          <cell r="IWX2" t="str">
            <v/>
          </cell>
          <cell r="IWY2" t="str">
            <v/>
          </cell>
          <cell r="IWZ2" t="str">
            <v/>
          </cell>
          <cell r="IXA2" t="str">
            <v/>
          </cell>
          <cell r="IXB2" t="str">
            <v/>
          </cell>
          <cell r="IXC2" t="str">
            <v/>
          </cell>
          <cell r="IXD2" t="str">
            <v/>
          </cell>
          <cell r="IXE2" t="str">
            <v/>
          </cell>
          <cell r="IXF2" t="str">
            <v/>
          </cell>
          <cell r="IXG2" t="str">
            <v/>
          </cell>
          <cell r="IXH2" t="str">
            <v/>
          </cell>
          <cell r="IXI2" t="str">
            <v/>
          </cell>
          <cell r="IXJ2" t="str">
            <v/>
          </cell>
          <cell r="IXK2" t="str">
            <v/>
          </cell>
          <cell r="IXL2" t="str">
            <v/>
          </cell>
          <cell r="IXM2" t="str">
            <v/>
          </cell>
          <cell r="IXN2" t="str">
            <v/>
          </cell>
          <cell r="IXO2" t="str">
            <v/>
          </cell>
          <cell r="IXP2" t="str">
            <v/>
          </cell>
          <cell r="IXQ2" t="str">
            <v/>
          </cell>
          <cell r="IXR2" t="str">
            <v/>
          </cell>
          <cell r="IXS2" t="str">
            <v/>
          </cell>
          <cell r="IXT2" t="str">
            <v/>
          </cell>
          <cell r="IXU2" t="str">
            <v/>
          </cell>
          <cell r="IXV2" t="str">
            <v/>
          </cell>
          <cell r="IXW2" t="str">
            <v/>
          </cell>
          <cell r="IXX2" t="str">
            <v/>
          </cell>
          <cell r="IXY2" t="str">
            <v/>
          </cell>
          <cell r="IXZ2" t="str">
            <v/>
          </cell>
          <cell r="IYA2" t="str">
            <v/>
          </cell>
          <cell r="IYB2" t="str">
            <v/>
          </cell>
          <cell r="IYC2" t="str">
            <v/>
          </cell>
          <cell r="IYD2" t="str">
            <v/>
          </cell>
          <cell r="IYE2" t="str">
            <v/>
          </cell>
          <cell r="IYF2" t="str">
            <v/>
          </cell>
          <cell r="IYG2" t="str">
            <v/>
          </cell>
          <cell r="IYH2" t="str">
            <v/>
          </cell>
          <cell r="IYI2" t="str">
            <v/>
          </cell>
          <cell r="IYJ2" t="str">
            <v/>
          </cell>
          <cell r="IYK2" t="str">
            <v/>
          </cell>
          <cell r="IYL2" t="str">
            <v/>
          </cell>
          <cell r="IYM2" t="str">
            <v/>
          </cell>
          <cell r="IYN2" t="str">
            <v/>
          </cell>
          <cell r="IYO2" t="str">
            <v/>
          </cell>
          <cell r="IYP2" t="str">
            <v/>
          </cell>
          <cell r="IYQ2" t="str">
            <v/>
          </cell>
          <cell r="IYR2" t="str">
            <v/>
          </cell>
          <cell r="IYS2" t="str">
            <v/>
          </cell>
          <cell r="IYT2" t="str">
            <v/>
          </cell>
          <cell r="IYU2" t="str">
            <v/>
          </cell>
          <cell r="IYV2" t="str">
            <v/>
          </cell>
          <cell r="IYW2" t="str">
            <v/>
          </cell>
          <cell r="IYX2" t="str">
            <v/>
          </cell>
          <cell r="IYY2" t="str">
            <v/>
          </cell>
          <cell r="IYZ2" t="str">
            <v/>
          </cell>
          <cell r="IZA2" t="str">
            <v/>
          </cell>
          <cell r="IZB2" t="str">
            <v/>
          </cell>
          <cell r="IZC2" t="str">
            <v/>
          </cell>
          <cell r="IZD2" t="str">
            <v/>
          </cell>
          <cell r="IZE2" t="str">
            <v/>
          </cell>
          <cell r="IZF2" t="str">
            <v/>
          </cell>
          <cell r="IZG2" t="str">
            <v/>
          </cell>
          <cell r="IZH2" t="str">
            <v/>
          </cell>
          <cell r="IZI2" t="str">
            <v/>
          </cell>
          <cell r="IZJ2" t="str">
            <v/>
          </cell>
          <cell r="IZK2" t="str">
            <v/>
          </cell>
          <cell r="IZL2" t="str">
            <v/>
          </cell>
          <cell r="IZM2" t="str">
            <v/>
          </cell>
          <cell r="IZN2" t="str">
            <v/>
          </cell>
          <cell r="IZO2" t="str">
            <v/>
          </cell>
          <cell r="IZP2" t="str">
            <v/>
          </cell>
          <cell r="IZQ2" t="str">
            <v/>
          </cell>
          <cell r="IZR2" t="str">
            <v/>
          </cell>
          <cell r="IZS2" t="str">
            <v/>
          </cell>
          <cell r="IZT2" t="str">
            <v/>
          </cell>
          <cell r="IZU2" t="str">
            <v/>
          </cell>
          <cell r="IZV2" t="str">
            <v/>
          </cell>
          <cell r="IZW2" t="str">
            <v/>
          </cell>
          <cell r="IZX2" t="str">
            <v/>
          </cell>
          <cell r="IZY2" t="str">
            <v/>
          </cell>
          <cell r="IZZ2" t="str">
            <v/>
          </cell>
          <cell r="JAA2" t="str">
            <v/>
          </cell>
          <cell r="JAB2" t="str">
            <v/>
          </cell>
          <cell r="JAC2" t="str">
            <v/>
          </cell>
          <cell r="JAD2" t="str">
            <v/>
          </cell>
          <cell r="JAE2" t="str">
            <v/>
          </cell>
          <cell r="JAF2" t="str">
            <v/>
          </cell>
          <cell r="JAG2" t="str">
            <v/>
          </cell>
          <cell r="JAH2" t="str">
            <v/>
          </cell>
          <cell r="JAI2" t="str">
            <v/>
          </cell>
          <cell r="JAJ2" t="str">
            <v/>
          </cell>
          <cell r="JAK2" t="str">
            <v/>
          </cell>
          <cell r="JAL2" t="str">
            <v/>
          </cell>
          <cell r="JAM2" t="str">
            <v/>
          </cell>
          <cell r="JAN2" t="str">
            <v/>
          </cell>
          <cell r="JAO2" t="str">
            <v/>
          </cell>
          <cell r="JAP2" t="str">
            <v/>
          </cell>
          <cell r="JAQ2" t="str">
            <v/>
          </cell>
          <cell r="JAR2" t="str">
            <v/>
          </cell>
          <cell r="JAS2" t="str">
            <v/>
          </cell>
          <cell r="JAT2" t="str">
            <v/>
          </cell>
          <cell r="JAU2" t="str">
            <v/>
          </cell>
          <cell r="JAV2" t="str">
            <v/>
          </cell>
          <cell r="JAW2" t="str">
            <v/>
          </cell>
          <cell r="JAX2" t="str">
            <v/>
          </cell>
          <cell r="JAY2" t="str">
            <v/>
          </cell>
          <cell r="JAZ2" t="str">
            <v/>
          </cell>
          <cell r="JBA2" t="str">
            <v/>
          </cell>
          <cell r="JBB2" t="str">
            <v/>
          </cell>
          <cell r="JBC2" t="str">
            <v/>
          </cell>
          <cell r="JBD2" t="str">
            <v/>
          </cell>
          <cell r="JBE2" t="str">
            <v/>
          </cell>
          <cell r="JBF2" t="str">
            <v/>
          </cell>
          <cell r="JBG2" t="str">
            <v/>
          </cell>
          <cell r="JBH2" t="str">
            <v/>
          </cell>
          <cell r="JBI2" t="str">
            <v/>
          </cell>
          <cell r="JBJ2" t="str">
            <v/>
          </cell>
          <cell r="JBK2" t="str">
            <v/>
          </cell>
          <cell r="JBL2" t="str">
            <v/>
          </cell>
          <cell r="JBM2" t="str">
            <v/>
          </cell>
          <cell r="JBN2" t="str">
            <v/>
          </cell>
          <cell r="JBO2" t="str">
            <v/>
          </cell>
          <cell r="JBP2" t="str">
            <v/>
          </cell>
          <cell r="JBQ2" t="str">
            <v/>
          </cell>
          <cell r="JBR2" t="str">
            <v/>
          </cell>
          <cell r="JBS2" t="str">
            <v/>
          </cell>
          <cell r="JBT2" t="str">
            <v/>
          </cell>
          <cell r="JBU2" t="str">
            <v/>
          </cell>
          <cell r="JBV2" t="str">
            <v/>
          </cell>
          <cell r="JBW2" t="str">
            <v/>
          </cell>
          <cell r="JBX2" t="str">
            <v/>
          </cell>
          <cell r="JBY2" t="str">
            <v/>
          </cell>
          <cell r="JBZ2" t="str">
            <v/>
          </cell>
          <cell r="JCA2" t="str">
            <v/>
          </cell>
          <cell r="JCB2" t="str">
            <v/>
          </cell>
          <cell r="JCC2" t="str">
            <v/>
          </cell>
          <cell r="JCD2" t="str">
            <v/>
          </cell>
          <cell r="JCE2" t="str">
            <v/>
          </cell>
          <cell r="JCF2" t="str">
            <v/>
          </cell>
          <cell r="JCG2" t="str">
            <v/>
          </cell>
          <cell r="JCH2" t="str">
            <v/>
          </cell>
          <cell r="JCI2" t="str">
            <v/>
          </cell>
          <cell r="JCJ2" t="str">
            <v/>
          </cell>
          <cell r="JCK2" t="str">
            <v/>
          </cell>
          <cell r="JCL2" t="str">
            <v/>
          </cell>
          <cell r="JCM2" t="str">
            <v/>
          </cell>
          <cell r="JCN2" t="str">
            <v/>
          </cell>
          <cell r="JCO2" t="str">
            <v/>
          </cell>
          <cell r="JCP2" t="str">
            <v/>
          </cell>
          <cell r="JCQ2" t="str">
            <v/>
          </cell>
          <cell r="JCR2" t="str">
            <v/>
          </cell>
          <cell r="JCS2" t="str">
            <v/>
          </cell>
          <cell r="JCT2" t="str">
            <v/>
          </cell>
          <cell r="JCU2" t="str">
            <v/>
          </cell>
          <cell r="JCV2" t="str">
            <v/>
          </cell>
          <cell r="JCW2" t="str">
            <v/>
          </cell>
          <cell r="JCX2" t="str">
            <v/>
          </cell>
          <cell r="JCY2" t="str">
            <v/>
          </cell>
          <cell r="JCZ2" t="str">
            <v/>
          </cell>
          <cell r="JDA2" t="str">
            <v/>
          </cell>
          <cell r="JDB2" t="str">
            <v/>
          </cell>
          <cell r="JDC2" t="str">
            <v/>
          </cell>
          <cell r="JDD2" t="str">
            <v/>
          </cell>
          <cell r="JDE2" t="str">
            <v/>
          </cell>
          <cell r="JDF2" t="str">
            <v/>
          </cell>
          <cell r="JDG2" t="str">
            <v/>
          </cell>
          <cell r="JDH2" t="str">
            <v/>
          </cell>
          <cell r="JDI2" t="str">
            <v/>
          </cell>
          <cell r="JDJ2" t="str">
            <v/>
          </cell>
          <cell r="JDK2" t="str">
            <v/>
          </cell>
          <cell r="JDL2" t="str">
            <v/>
          </cell>
          <cell r="JDM2" t="str">
            <v/>
          </cell>
          <cell r="JDN2" t="str">
            <v/>
          </cell>
          <cell r="JDO2" t="str">
            <v/>
          </cell>
          <cell r="JDP2" t="str">
            <v/>
          </cell>
          <cell r="JDQ2" t="str">
            <v/>
          </cell>
          <cell r="JDR2" t="str">
            <v/>
          </cell>
          <cell r="JDS2" t="str">
            <v/>
          </cell>
          <cell r="JDT2" t="str">
            <v/>
          </cell>
          <cell r="JDU2" t="str">
            <v/>
          </cell>
          <cell r="JDV2" t="str">
            <v/>
          </cell>
          <cell r="JDW2" t="str">
            <v/>
          </cell>
          <cell r="JDX2" t="str">
            <v/>
          </cell>
          <cell r="JDY2" t="str">
            <v/>
          </cell>
          <cell r="JDZ2" t="str">
            <v/>
          </cell>
          <cell r="JEA2" t="str">
            <v/>
          </cell>
          <cell r="JEB2" t="str">
            <v/>
          </cell>
          <cell r="JEC2" t="str">
            <v/>
          </cell>
          <cell r="JED2" t="str">
            <v/>
          </cell>
          <cell r="JEE2" t="str">
            <v/>
          </cell>
          <cell r="JEF2" t="str">
            <v/>
          </cell>
          <cell r="JEG2" t="str">
            <v/>
          </cell>
          <cell r="JEH2" t="str">
            <v/>
          </cell>
          <cell r="JEI2" t="str">
            <v/>
          </cell>
          <cell r="JEJ2" t="str">
            <v/>
          </cell>
          <cell r="JEK2" t="str">
            <v/>
          </cell>
          <cell r="JEL2" t="str">
            <v/>
          </cell>
          <cell r="JEM2" t="str">
            <v/>
          </cell>
          <cell r="JEN2" t="str">
            <v/>
          </cell>
          <cell r="JEO2" t="str">
            <v/>
          </cell>
          <cell r="JEP2" t="str">
            <v/>
          </cell>
          <cell r="JEQ2" t="str">
            <v/>
          </cell>
          <cell r="JER2" t="str">
            <v/>
          </cell>
          <cell r="JES2" t="str">
            <v/>
          </cell>
          <cell r="JET2" t="str">
            <v/>
          </cell>
          <cell r="JEU2" t="str">
            <v/>
          </cell>
          <cell r="JEV2" t="str">
            <v/>
          </cell>
          <cell r="JEW2" t="str">
            <v/>
          </cell>
          <cell r="JEX2" t="str">
            <v/>
          </cell>
          <cell r="JEY2" t="str">
            <v/>
          </cell>
          <cell r="JEZ2" t="str">
            <v/>
          </cell>
          <cell r="JFA2" t="str">
            <v/>
          </cell>
          <cell r="JFB2" t="str">
            <v/>
          </cell>
          <cell r="JFC2" t="str">
            <v/>
          </cell>
          <cell r="JFD2" t="str">
            <v/>
          </cell>
          <cell r="JFE2" t="str">
            <v/>
          </cell>
          <cell r="JFF2" t="str">
            <v/>
          </cell>
          <cell r="JFG2" t="str">
            <v/>
          </cell>
          <cell r="JFH2" t="str">
            <v/>
          </cell>
          <cell r="JFI2" t="str">
            <v/>
          </cell>
          <cell r="JFJ2" t="str">
            <v/>
          </cell>
          <cell r="JFK2" t="str">
            <v/>
          </cell>
          <cell r="JFL2" t="str">
            <v/>
          </cell>
          <cell r="JFM2" t="str">
            <v/>
          </cell>
          <cell r="JFN2" t="str">
            <v/>
          </cell>
          <cell r="JFO2" t="str">
            <v/>
          </cell>
          <cell r="JFP2" t="str">
            <v/>
          </cell>
          <cell r="JFQ2" t="str">
            <v/>
          </cell>
          <cell r="JFR2" t="str">
            <v/>
          </cell>
          <cell r="JFS2" t="str">
            <v/>
          </cell>
          <cell r="JFT2" t="str">
            <v/>
          </cell>
          <cell r="JFU2" t="str">
            <v/>
          </cell>
          <cell r="JFV2" t="str">
            <v/>
          </cell>
          <cell r="JFW2" t="str">
            <v/>
          </cell>
          <cell r="JFX2" t="str">
            <v/>
          </cell>
          <cell r="JFY2" t="str">
            <v/>
          </cell>
          <cell r="JFZ2" t="str">
            <v/>
          </cell>
          <cell r="JGA2" t="str">
            <v/>
          </cell>
          <cell r="JGB2" t="str">
            <v/>
          </cell>
          <cell r="JGC2" t="str">
            <v/>
          </cell>
          <cell r="JGD2" t="str">
            <v/>
          </cell>
          <cell r="JGE2" t="str">
            <v/>
          </cell>
          <cell r="JGF2" t="str">
            <v/>
          </cell>
          <cell r="JGG2" t="str">
            <v/>
          </cell>
          <cell r="JGH2" t="str">
            <v/>
          </cell>
          <cell r="JGI2" t="str">
            <v/>
          </cell>
          <cell r="JGJ2" t="str">
            <v/>
          </cell>
          <cell r="JGK2" t="str">
            <v/>
          </cell>
          <cell r="JGL2" t="str">
            <v/>
          </cell>
          <cell r="JGM2" t="str">
            <v/>
          </cell>
          <cell r="JGN2" t="str">
            <v/>
          </cell>
          <cell r="JGO2" t="str">
            <v/>
          </cell>
          <cell r="JGP2" t="str">
            <v/>
          </cell>
          <cell r="JGQ2" t="str">
            <v/>
          </cell>
          <cell r="JGR2" t="str">
            <v/>
          </cell>
          <cell r="JGS2" t="str">
            <v/>
          </cell>
          <cell r="JGT2" t="str">
            <v/>
          </cell>
          <cell r="JGU2" t="str">
            <v/>
          </cell>
          <cell r="JGV2" t="str">
            <v/>
          </cell>
          <cell r="JGW2" t="str">
            <v/>
          </cell>
          <cell r="JGX2" t="str">
            <v/>
          </cell>
          <cell r="JGY2" t="str">
            <v/>
          </cell>
          <cell r="JGZ2" t="str">
            <v/>
          </cell>
          <cell r="JHA2" t="str">
            <v/>
          </cell>
          <cell r="JHB2" t="str">
            <v/>
          </cell>
          <cell r="JHC2" t="str">
            <v/>
          </cell>
          <cell r="JHD2" t="str">
            <v/>
          </cell>
          <cell r="JHE2" t="str">
            <v/>
          </cell>
          <cell r="JHF2" t="str">
            <v/>
          </cell>
          <cell r="JHG2" t="str">
            <v/>
          </cell>
          <cell r="JHH2" t="str">
            <v/>
          </cell>
          <cell r="JHI2" t="str">
            <v/>
          </cell>
          <cell r="JHJ2" t="str">
            <v/>
          </cell>
          <cell r="JHK2" t="str">
            <v/>
          </cell>
          <cell r="JHL2" t="str">
            <v/>
          </cell>
          <cell r="JHM2" t="str">
            <v/>
          </cell>
          <cell r="JHN2" t="str">
            <v/>
          </cell>
          <cell r="JHO2" t="str">
            <v/>
          </cell>
          <cell r="JHP2" t="str">
            <v/>
          </cell>
          <cell r="JHQ2" t="str">
            <v/>
          </cell>
          <cell r="JHR2" t="str">
            <v/>
          </cell>
          <cell r="JHS2" t="str">
            <v/>
          </cell>
          <cell r="JHT2" t="str">
            <v/>
          </cell>
          <cell r="JHU2" t="str">
            <v/>
          </cell>
          <cell r="JHV2" t="str">
            <v/>
          </cell>
          <cell r="JHW2" t="str">
            <v/>
          </cell>
          <cell r="JHX2" t="str">
            <v/>
          </cell>
          <cell r="JHY2" t="str">
            <v/>
          </cell>
          <cell r="JHZ2" t="str">
            <v/>
          </cell>
          <cell r="JIA2" t="str">
            <v/>
          </cell>
          <cell r="JIB2" t="str">
            <v/>
          </cell>
          <cell r="JIC2" t="str">
            <v/>
          </cell>
          <cell r="JID2" t="str">
            <v/>
          </cell>
          <cell r="JIE2" t="str">
            <v/>
          </cell>
          <cell r="JIF2" t="str">
            <v/>
          </cell>
          <cell r="JIG2" t="str">
            <v/>
          </cell>
          <cell r="JIH2" t="str">
            <v/>
          </cell>
          <cell r="JII2" t="str">
            <v/>
          </cell>
          <cell r="JIJ2" t="str">
            <v/>
          </cell>
          <cell r="JIK2" t="str">
            <v/>
          </cell>
          <cell r="JIL2" t="str">
            <v/>
          </cell>
          <cell r="JIM2" t="str">
            <v/>
          </cell>
          <cell r="JIN2" t="str">
            <v/>
          </cell>
          <cell r="JIO2" t="str">
            <v/>
          </cell>
          <cell r="JIP2" t="str">
            <v/>
          </cell>
          <cell r="JIQ2" t="str">
            <v/>
          </cell>
          <cell r="JIR2" t="str">
            <v/>
          </cell>
          <cell r="JIS2" t="str">
            <v/>
          </cell>
          <cell r="JIT2" t="str">
            <v/>
          </cell>
          <cell r="JIU2" t="str">
            <v/>
          </cell>
          <cell r="JIV2" t="str">
            <v/>
          </cell>
          <cell r="JIW2" t="str">
            <v/>
          </cell>
          <cell r="JIX2" t="str">
            <v/>
          </cell>
          <cell r="JIY2" t="str">
            <v/>
          </cell>
          <cell r="JIZ2" t="str">
            <v/>
          </cell>
          <cell r="JJA2" t="str">
            <v/>
          </cell>
          <cell r="JJB2" t="str">
            <v/>
          </cell>
          <cell r="JJC2" t="str">
            <v/>
          </cell>
          <cell r="JJD2" t="str">
            <v/>
          </cell>
          <cell r="JJE2" t="str">
            <v/>
          </cell>
          <cell r="JJF2" t="str">
            <v/>
          </cell>
          <cell r="JJG2" t="str">
            <v/>
          </cell>
          <cell r="JJH2" t="str">
            <v/>
          </cell>
          <cell r="JJI2" t="str">
            <v/>
          </cell>
          <cell r="JJJ2" t="str">
            <v/>
          </cell>
          <cell r="JJK2" t="str">
            <v/>
          </cell>
          <cell r="JJL2" t="str">
            <v/>
          </cell>
          <cell r="JJM2" t="str">
            <v/>
          </cell>
          <cell r="JJN2" t="str">
            <v/>
          </cell>
          <cell r="JJO2" t="str">
            <v/>
          </cell>
          <cell r="JJP2" t="str">
            <v/>
          </cell>
          <cell r="JJQ2" t="str">
            <v/>
          </cell>
          <cell r="JJR2" t="str">
            <v/>
          </cell>
          <cell r="JJS2" t="str">
            <v/>
          </cell>
          <cell r="JJT2" t="str">
            <v/>
          </cell>
          <cell r="JJU2" t="str">
            <v/>
          </cell>
          <cell r="JJV2" t="str">
            <v/>
          </cell>
          <cell r="JJW2" t="str">
            <v/>
          </cell>
          <cell r="JJX2" t="str">
            <v/>
          </cell>
          <cell r="JJY2" t="str">
            <v/>
          </cell>
          <cell r="JJZ2" t="str">
            <v/>
          </cell>
          <cell r="JKA2" t="str">
            <v/>
          </cell>
          <cell r="JKB2" t="str">
            <v/>
          </cell>
          <cell r="JKC2" t="str">
            <v/>
          </cell>
          <cell r="JKD2" t="str">
            <v/>
          </cell>
          <cell r="JKE2" t="str">
            <v/>
          </cell>
          <cell r="JKF2" t="str">
            <v/>
          </cell>
          <cell r="JKG2" t="str">
            <v/>
          </cell>
          <cell r="JKH2" t="str">
            <v/>
          </cell>
          <cell r="JKI2" t="str">
            <v/>
          </cell>
          <cell r="JKJ2" t="str">
            <v/>
          </cell>
          <cell r="JKK2" t="str">
            <v/>
          </cell>
          <cell r="JKL2" t="str">
            <v/>
          </cell>
          <cell r="JKM2" t="str">
            <v/>
          </cell>
          <cell r="JKN2" t="str">
            <v/>
          </cell>
          <cell r="JKO2" t="str">
            <v/>
          </cell>
          <cell r="JKP2" t="str">
            <v/>
          </cell>
          <cell r="JKQ2" t="str">
            <v/>
          </cell>
          <cell r="JKR2" t="str">
            <v/>
          </cell>
          <cell r="JKS2" t="str">
            <v/>
          </cell>
          <cell r="JKT2" t="str">
            <v/>
          </cell>
          <cell r="JKU2" t="str">
            <v/>
          </cell>
          <cell r="JKV2" t="str">
            <v/>
          </cell>
          <cell r="JKW2" t="str">
            <v/>
          </cell>
          <cell r="JKX2" t="str">
            <v/>
          </cell>
          <cell r="JKY2" t="str">
            <v/>
          </cell>
          <cell r="JKZ2" t="str">
            <v/>
          </cell>
          <cell r="JLA2" t="str">
            <v/>
          </cell>
          <cell r="JLB2" t="str">
            <v/>
          </cell>
          <cell r="JLC2" t="str">
            <v/>
          </cell>
          <cell r="JLD2" t="str">
            <v/>
          </cell>
          <cell r="JLE2" t="str">
            <v/>
          </cell>
          <cell r="JLF2" t="str">
            <v/>
          </cell>
          <cell r="JLG2" t="str">
            <v/>
          </cell>
          <cell r="JLH2" t="str">
            <v/>
          </cell>
          <cell r="JLI2" t="str">
            <v/>
          </cell>
          <cell r="JLJ2" t="str">
            <v/>
          </cell>
          <cell r="JLK2" t="str">
            <v/>
          </cell>
          <cell r="JLL2" t="str">
            <v/>
          </cell>
          <cell r="JLM2" t="str">
            <v/>
          </cell>
          <cell r="JLN2" t="str">
            <v/>
          </cell>
          <cell r="JLO2" t="str">
            <v/>
          </cell>
          <cell r="JLP2" t="str">
            <v/>
          </cell>
          <cell r="JLQ2" t="str">
            <v/>
          </cell>
          <cell r="JLR2" t="str">
            <v/>
          </cell>
          <cell r="JLS2" t="str">
            <v/>
          </cell>
          <cell r="JLT2" t="str">
            <v/>
          </cell>
          <cell r="JLU2" t="str">
            <v/>
          </cell>
          <cell r="JLV2" t="str">
            <v/>
          </cell>
          <cell r="JLW2" t="str">
            <v/>
          </cell>
          <cell r="JLX2" t="str">
            <v/>
          </cell>
          <cell r="JLY2" t="str">
            <v/>
          </cell>
          <cell r="JLZ2" t="str">
            <v/>
          </cell>
          <cell r="JMA2" t="str">
            <v/>
          </cell>
          <cell r="JMB2" t="str">
            <v/>
          </cell>
          <cell r="JMC2" t="str">
            <v/>
          </cell>
          <cell r="JMD2" t="str">
            <v/>
          </cell>
          <cell r="JME2" t="str">
            <v/>
          </cell>
          <cell r="JMF2" t="str">
            <v/>
          </cell>
          <cell r="JMG2" t="str">
            <v/>
          </cell>
          <cell r="JMH2" t="str">
            <v/>
          </cell>
          <cell r="JMI2" t="str">
            <v/>
          </cell>
          <cell r="JMJ2" t="str">
            <v/>
          </cell>
          <cell r="JMK2" t="str">
            <v/>
          </cell>
          <cell r="JML2" t="str">
            <v/>
          </cell>
          <cell r="JMM2" t="str">
            <v/>
          </cell>
          <cell r="JMN2" t="str">
            <v/>
          </cell>
          <cell r="JMO2" t="str">
            <v/>
          </cell>
          <cell r="JMP2" t="str">
            <v/>
          </cell>
          <cell r="JMQ2" t="str">
            <v/>
          </cell>
          <cell r="JMR2" t="str">
            <v/>
          </cell>
          <cell r="JMS2" t="str">
            <v/>
          </cell>
          <cell r="JMT2" t="str">
            <v/>
          </cell>
          <cell r="JMU2" t="str">
            <v/>
          </cell>
          <cell r="JMV2" t="str">
            <v/>
          </cell>
          <cell r="JMW2" t="str">
            <v/>
          </cell>
          <cell r="JMX2" t="str">
            <v/>
          </cell>
          <cell r="JMY2" t="str">
            <v/>
          </cell>
          <cell r="JMZ2" t="str">
            <v/>
          </cell>
          <cell r="JNA2" t="str">
            <v/>
          </cell>
          <cell r="JNB2" t="str">
            <v/>
          </cell>
          <cell r="JNC2" t="str">
            <v/>
          </cell>
          <cell r="JND2" t="str">
            <v/>
          </cell>
          <cell r="JNE2" t="str">
            <v/>
          </cell>
          <cell r="JNF2" t="str">
            <v/>
          </cell>
          <cell r="JNG2" t="str">
            <v/>
          </cell>
          <cell r="JNH2" t="str">
            <v/>
          </cell>
          <cell r="JNI2" t="str">
            <v/>
          </cell>
          <cell r="JNJ2" t="str">
            <v/>
          </cell>
          <cell r="JNK2" t="str">
            <v/>
          </cell>
          <cell r="JNL2" t="str">
            <v/>
          </cell>
          <cell r="JNM2" t="str">
            <v/>
          </cell>
          <cell r="JNN2" t="str">
            <v/>
          </cell>
          <cell r="JNO2" t="str">
            <v/>
          </cell>
          <cell r="JNP2" t="str">
            <v/>
          </cell>
          <cell r="JNQ2" t="str">
            <v/>
          </cell>
          <cell r="JNR2" t="str">
            <v/>
          </cell>
          <cell r="JNS2" t="str">
            <v/>
          </cell>
          <cell r="JNT2" t="str">
            <v/>
          </cell>
          <cell r="JNU2" t="str">
            <v/>
          </cell>
          <cell r="JNV2" t="str">
            <v/>
          </cell>
          <cell r="JNW2" t="str">
            <v/>
          </cell>
          <cell r="JNX2" t="str">
            <v/>
          </cell>
          <cell r="JNY2" t="str">
            <v/>
          </cell>
          <cell r="JNZ2" t="str">
            <v/>
          </cell>
          <cell r="JOA2" t="str">
            <v/>
          </cell>
          <cell r="JOB2" t="str">
            <v/>
          </cell>
          <cell r="JOC2" t="str">
            <v/>
          </cell>
          <cell r="JOD2" t="str">
            <v/>
          </cell>
          <cell r="JOE2" t="str">
            <v/>
          </cell>
          <cell r="JOF2" t="str">
            <v/>
          </cell>
          <cell r="JOG2" t="str">
            <v/>
          </cell>
          <cell r="JOH2" t="str">
            <v/>
          </cell>
          <cell r="JOI2" t="str">
            <v/>
          </cell>
          <cell r="JOJ2" t="str">
            <v/>
          </cell>
          <cell r="JOK2" t="str">
            <v/>
          </cell>
          <cell r="JOL2" t="str">
            <v/>
          </cell>
          <cell r="JOM2" t="str">
            <v/>
          </cell>
          <cell r="JON2" t="str">
            <v/>
          </cell>
          <cell r="JOO2" t="str">
            <v/>
          </cell>
          <cell r="JOP2" t="str">
            <v/>
          </cell>
          <cell r="JOQ2" t="str">
            <v/>
          </cell>
          <cell r="JOR2" t="str">
            <v/>
          </cell>
          <cell r="JOS2" t="str">
            <v/>
          </cell>
          <cell r="JOT2" t="str">
            <v/>
          </cell>
          <cell r="JOU2" t="str">
            <v/>
          </cell>
          <cell r="JOV2" t="str">
            <v/>
          </cell>
          <cell r="JOW2" t="str">
            <v/>
          </cell>
          <cell r="JOX2" t="str">
            <v/>
          </cell>
          <cell r="JOY2" t="str">
            <v/>
          </cell>
          <cell r="JOZ2" t="str">
            <v/>
          </cell>
          <cell r="JPA2" t="str">
            <v/>
          </cell>
          <cell r="JPB2" t="str">
            <v/>
          </cell>
          <cell r="JPC2" t="str">
            <v/>
          </cell>
          <cell r="JPD2" t="str">
            <v/>
          </cell>
          <cell r="JPE2" t="str">
            <v/>
          </cell>
          <cell r="JPF2" t="str">
            <v/>
          </cell>
          <cell r="JPG2" t="str">
            <v/>
          </cell>
          <cell r="JPH2" t="str">
            <v/>
          </cell>
          <cell r="JPI2" t="str">
            <v/>
          </cell>
          <cell r="JPJ2" t="str">
            <v/>
          </cell>
          <cell r="JPK2" t="str">
            <v/>
          </cell>
          <cell r="JPL2" t="str">
            <v/>
          </cell>
          <cell r="JPM2" t="str">
            <v/>
          </cell>
          <cell r="JPN2" t="str">
            <v/>
          </cell>
          <cell r="JPO2" t="str">
            <v/>
          </cell>
          <cell r="JPP2" t="str">
            <v/>
          </cell>
          <cell r="JPQ2" t="str">
            <v/>
          </cell>
          <cell r="JPR2" t="str">
            <v/>
          </cell>
          <cell r="JPS2" t="str">
            <v/>
          </cell>
          <cell r="JPT2" t="str">
            <v/>
          </cell>
          <cell r="JPU2" t="str">
            <v/>
          </cell>
          <cell r="JPV2" t="str">
            <v/>
          </cell>
          <cell r="JPW2" t="str">
            <v/>
          </cell>
          <cell r="JPX2" t="str">
            <v/>
          </cell>
          <cell r="JPY2" t="str">
            <v/>
          </cell>
          <cell r="JPZ2" t="str">
            <v/>
          </cell>
          <cell r="JQA2" t="str">
            <v/>
          </cell>
          <cell r="JQB2" t="str">
            <v/>
          </cell>
          <cell r="JQC2" t="str">
            <v/>
          </cell>
          <cell r="JQD2" t="str">
            <v/>
          </cell>
          <cell r="JQE2" t="str">
            <v/>
          </cell>
          <cell r="JQF2" t="str">
            <v/>
          </cell>
          <cell r="JQG2" t="str">
            <v/>
          </cell>
          <cell r="JQH2" t="str">
            <v/>
          </cell>
          <cell r="JQI2" t="str">
            <v/>
          </cell>
          <cell r="JQJ2" t="str">
            <v/>
          </cell>
          <cell r="JQK2" t="str">
            <v/>
          </cell>
          <cell r="JQL2" t="str">
            <v/>
          </cell>
          <cell r="JQM2" t="str">
            <v/>
          </cell>
          <cell r="JQN2" t="str">
            <v/>
          </cell>
          <cell r="JQO2" t="str">
            <v/>
          </cell>
          <cell r="JQP2" t="str">
            <v/>
          </cell>
          <cell r="JQQ2" t="str">
            <v/>
          </cell>
          <cell r="JQR2" t="str">
            <v/>
          </cell>
          <cell r="JQS2" t="str">
            <v/>
          </cell>
          <cell r="JQT2" t="str">
            <v/>
          </cell>
          <cell r="JQU2" t="str">
            <v/>
          </cell>
          <cell r="JQV2" t="str">
            <v/>
          </cell>
          <cell r="JQW2" t="str">
            <v/>
          </cell>
          <cell r="JQX2" t="str">
            <v/>
          </cell>
          <cell r="JQY2" t="str">
            <v/>
          </cell>
          <cell r="JQZ2" t="str">
            <v/>
          </cell>
          <cell r="JRA2" t="str">
            <v/>
          </cell>
          <cell r="JRB2" t="str">
            <v/>
          </cell>
          <cell r="JRC2" t="str">
            <v/>
          </cell>
          <cell r="JRD2" t="str">
            <v/>
          </cell>
          <cell r="JRE2" t="str">
            <v/>
          </cell>
          <cell r="JRF2" t="str">
            <v/>
          </cell>
          <cell r="JRG2" t="str">
            <v/>
          </cell>
          <cell r="JRH2" t="str">
            <v/>
          </cell>
          <cell r="JRI2" t="str">
            <v/>
          </cell>
          <cell r="JRJ2" t="str">
            <v/>
          </cell>
          <cell r="JRK2" t="str">
            <v/>
          </cell>
          <cell r="JRL2" t="str">
            <v/>
          </cell>
          <cell r="JRM2" t="str">
            <v/>
          </cell>
          <cell r="JRN2" t="str">
            <v/>
          </cell>
          <cell r="JRO2" t="str">
            <v/>
          </cell>
          <cell r="JRP2" t="str">
            <v/>
          </cell>
          <cell r="JRQ2" t="str">
            <v/>
          </cell>
          <cell r="JRR2" t="str">
            <v/>
          </cell>
          <cell r="JRS2" t="str">
            <v/>
          </cell>
          <cell r="JRT2" t="str">
            <v/>
          </cell>
          <cell r="JRU2" t="str">
            <v/>
          </cell>
          <cell r="JRV2" t="str">
            <v/>
          </cell>
          <cell r="JRW2" t="str">
            <v/>
          </cell>
          <cell r="JRX2" t="str">
            <v/>
          </cell>
          <cell r="JRY2" t="str">
            <v/>
          </cell>
          <cell r="JRZ2" t="str">
            <v/>
          </cell>
          <cell r="JSA2" t="str">
            <v/>
          </cell>
          <cell r="JSB2" t="str">
            <v/>
          </cell>
          <cell r="JSC2" t="str">
            <v/>
          </cell>
          <cell r="JSD2" t="str">
            <v/>
          </cell>
          <cell r="JSE2" t="str">
            <v/>
          </cell>
          <cell r="JSF2" t="str">
            <v/>
          </cell>
          <cell r="JSG2" t="str">
            <v/>
          </cell>
          <cell r="JSH2" t="str">
            <v/>
          </cell>
          <cell r="JSI2" t="str">
            <v/>
          </cell>
          <cell r="JSJ2" t="str">
            <v/>
          </cell>
          <cell r="JSK2" t="str">
            <v/>
          </cell>
          <cell r="JSL2" t="str">
            <v/>
          </cell>
          <cell r="JSM2" t="str">
            <v/>
          </cell>
          <cell r="JSN2" t="str">
            <v/>
          </cell>
          <cell r="JSO2" t="str">
            <v/>
          </cell>
          <cell r="JSP2" t="str">
            <v/>
          </cell>
          <cell r="JSQ2" t="str">
            <v/>
          </cell>
          <cell r="JSR2" t="str">
            <v/>
          </cell>
          <cell r="JSS2" t="str">
            <v/>
          </cell>
          <cell r="JST2" t="str">
            <v/>
          </cell>
          <cell r="JSU2" t="str">
            <v/>
          </cell>
          <cell r="JSV2" t="str">
            <v/>
          </cell>
          <cell r="JSW2" t="str">
            <v/>
          </cell>
          <cell r="JSX2" t="str">
            <v/>
          </cell>
          <cell r="JSY2" t="str">
            <v/>
          </cell>
          <cell r="JSZ2" t="str">
            <v/>
          </cell>
          <cell r="JTA2" t="str">
            <v/>
          </cell>
          <cell r="JTB2" t="str">
            <v/>
          </cell>
          <cell r="JTC2" t="str">
            <v/>
          </cell>
          <cell r="JTD2" t="str">
            <v/>
          </cell>
          <cell r="JTE2" t="str">
            <v/>
          </cell>
          <cell r="JTF2" t="str">
            <v/>
          </cell>
          <cell r="JTG2" t="str">
            <v/>
          </cell>
          <cell r="JTH2" t="str">
            <v/>
          </cell>
          <cell r="JTI2" t="str">
            <v/>
          </cell>
          <cell r="JTJ2" t="str">
            <v/>
          </cell>
          <cell r="JTK2" t="str">
            <v/>
          </cell>
          <cell r="JTL2" t="str">
            <v/>
          </cell>
          <cell r="JTM2" t="str">
            <v/>
          </cell>
          <cell r="JTN2" t="str">
            <v/>
          </cell>
          <cell r="JTO2" t="str">
            <v/>
          </cell>
          <cell r="JTP2" t="str">
            <v/>
          </cell>
          <cell r="JTQ2" t="str">
            <v/>
          </cell>
          <cell r="JTR2" t="str">
            <v/>
          </cell>
          <cell r="JTS2" t="str">
            <v/>
          </cell>
          <cell r="JTT2" t="str">
            <v/>
          </cell>
          <cell r="JTU2" t="str">
            <v/>
          </cell>
          <cell r="JTV2" t="str">
            <v/>
          </cell>
          <cell r="JTW2" t="str">
            <v/>
          </cell>
          <cell r="JTX2" t="str">
            <v/>
          </cell>
          <cell r="JTY2" t="str">
            <v/>
          </cell>
          <cell r="JTZ2" t="str">
            <v/>
          </cell>
          <cell r="JUA2" t="str">
            <v/>
          </cell>
          <cell r="JUB2" t="str">
            <v/>
          </cell>
          <cell r="JUC2" t="str">
            <v/>
          </cell>
          <cell r="JUD2" t="str">
            <v/>
          </cell>
          <cell r="JUE2" t="str">
            <v/>
          </cell>
          <cell r="JUF2" t="str">
            <v/>
          </cell>
          <cell r="JUG2" t="str">
            <v/>
          </cell>
          <cell r="JUH2" t="str">
            <v/>
          </cell>
          <cell r="JUI2" t="str">
            <v/>
          </cell>
          <cell r="JUJ2" t="str">
            <v/>
          </cell>
          <cell r="JUK2" t="str">
            <v/>
          </cell>
          <cell r="JUL2" t="str">
            <v/>
          </cell>
          <cell r="JUM2" t="str">
            <v/>
          </cell>
          <cell r="JUN2" t="str">
            <v/>
          </cell>
          <cell r="JUO2" t="str">
            <v/>
          </cell>
          <cell r="JUP2" t="str">
            <v/>
          </cell>
          <cell r="JUQ2" t="str">
            <v/>
          </cell>
          <cell r="JUR2" t="str">
            <v/>
          </cell>
          <cell r="JUS2" t="str">
            <v/>
          </cell>
          <cell r="JUT2" t="str">
            <v/>
          </cell>
          <cell r="JUU2" t="str">
            <v/>
          </cell>
          <cell r="JUV2" t="str">
            <v/>
          </cell>
          <cell r="JUW2" t="str">
            <v/>
          </cell>
          <cell r="JUX2" t="str">
            <v/>
          </cell>
          <cell r="JUY2" t="str">
            <v/>
          </cell>
          <cell r="JUZ2" t="str">
            <v/>
          </cell>
          <cell r="JVA2" t="str">
            <v/>
          </cell>
          <cell r="JVB2" t="str">
            <v/>
          </cell>
          <cell r="JVC2" t="str">
            <v/>
          </cell>
          <cell r="JVD2" t="str">
            <v/>
          </cell>
          <cell r="JVE2" t="str">
            <v/>
          </cell>
          <cell r="JVF2" t="str">
            <v/>
          </cell>
          <cell r="JVG2" t="str">
            <v/>
          </cell>
          <cell r="JVH2" t="str">
            <v/>
          </cell>
          <cell r="JVI2" t="str">
            <v/>
          </cell>
          <cell r="JVJ2" t="str">
            <v/>
          </cell>
          <cell r="JVK2" t="str">
            <v/>
          </cell>
          <cell r="JVL2" t="str">
            <v/>
          </cell>
          <cell r="JVM2" t="str">
            <v/>
          </cell>
          <cell r="JVN2" t="str">
            <v/>
          </cell>
          <cell r="JVO2" t="str">
            <v/>
          </cell>
          <cell r="JVP2" t="str">
            <v/>
          </cell>
          <cell r="JVQ2" t="str">
            <v/>
          </cell>
          <cell r="JVR2" t="str">
            <v/>
          </cell>
          <cell r="JVS2" t="str">
            <v/>
          </cell>
          <cell r="JVT2" t="str">
            <v/>
          </cell>
          <cell r="JVU2" t="str">
            <v/>
          </cell>
          <cell r="JVV2" t="str">
            <v/>
          </cell>
          <cell r="JVW2" t="str">
            <v/>
          </cell>
          <cell r="JVX2" t="str">
            <v/>
          </cell>
          <cell r="JVY2" t="str">
            <v/>
          </cell>
          <cell r="JVZ2" t="str">
            <v/>
          </cell>
          <cell r="JWA2" t="str">
            <v/>
          </cell>
          <cell r="JWB2" t="str">
            <v/>
          </cell>
          <cell r="JWC2" t="str">
            <v/>
          </cell>
          <cell r="JWD2" t="str">
            <v/>
          </cell>
          <cell r="JWE2" t="str">
            <v/>
          </cell>
          <cell r="JWF2" t="str">
            <v/>
          </cell>
          <cell r="JWG2" t="str">
            <v/>
          </cell>
          <cell r="JWH2" t="str">
            <v/>
          </cell>
          <cell r="JWI2" t="str">
            <v/>
          </cell>
          <cell r="JWJ2" t="str">
            <v/>
          </cell>
          <cell r="JWK2" t="str">
            <v/>
          </cell>
          <cell r="JWL2" t="str">
            <v/>
          </cell>
          <cell r="JWM2" t="str">
            <v/>
          </cell>
          <cell r="JWN2" t="str">
            <v/>
          </cell>
          <cell r="JWO2" t="str">
            <v/>
          </cell>
          <cell r="JWP2" t="str">
            <v/>
          </cell>
          <cell r="JWQ2" t="str">
            <v/>
          </cell>
          <cell r="JWR2" t="str">
            <v/>
          </cell>
          <cell r="JWS2" t="str">
            <v/>
          </cell>
          <cell r="JWT2" t="str">
            <v/>
          </cell>
          <cell r="JWU2" t="str">
            <v/>
          </cell>
          <cell r="JWV2" t="str">
            <v/>
          </cell>
          <cell r="JWW2" t="str">
            <v/>
          </cell>
          <cell r="JWX2" t="str">
            <v/>
          </cell>
          <cell r="JWY2" t="str">
            <v/>
          </cell>
          <cell r="JWZ2" t="str">
            <v/>
          </cell>
          <cell r="JXA2" t="str">
            <v/>
          </cell>
          <cell r="JXB2" t="str">
            <v/>
          </cell>
          <cell r="JXC2" t="str">
            <v/>
          </cell>
          <cell r="JXD2" t="str">
            <v/>
          </cell>
          <cell r="JXE2" t="str">
            <v/>
          </cell>
          <cell r="JXF2" t="str">
            <v/>
          </cell>
          <cell r="JXG2" t="str">
            <v/>
          </cell>
          <cell r="JXH2" t="str">
            <v/>
          </cell>
          <cell r="JXI2" t="str">
            <v/>
          </cell>
          <cell r="JXJ2" t="str">
            <v/>
          </cell>
          <cell r="JXK2" t="str">
            <v/>
          </cell>
          <cell r="JXL2" t="str">
            <v/>
          </cell>
          <cell r="JXM2" t="str">
            <v/>
          </cell>
          <cell r="JXN2" t="str">
            <v/>
          </cell>
          <cell r="JXO2" t="str">
            <v/>
          </cell>
          <cell r="JXP2" t="str">
            <v/>
          </cell>
          <cell r="JXQ2" t="str">
            <v/>
          </cell>
          <cell r="JXR2" t="str">
            <v/>
          </cell>
          <cell r="JXS2" t="str">
            <v/>
          </cell>
          <cell r="JXT2" t="str">
            <v/>
          </cell>
          <cell r="JXU2" t="str">
            <v/>
          </cell>
          <cell r="JXV2" t="str">
            <v/>
          </cell>
          <cell r="JXW2" t="str">
            <v/>
          </cell>
          <cell r="JXX2" t="str">
            <v/>
          </cell>
          <cell r="JXY2" t="str">
            <v/>
          </cell>
          <cell r="JXZ2" t="str">
            <v/>
          </cell>
          <cell r="JYA2" t="str">
            <v/>
          </cell>
          <cell r="JYB2" t="str">
            <v/>
          </cell>
          <cell r="JYC2" t="str">
            <v/>
          </cell>
          <cell r="JYD2" t="str">
            <v/>
          </cell>
          <cell r="JYE2" t="str">
            <v/>
          </cell>
          <cell r="JYF2" t="str">
            <v/>
          </cell>
          <cell r="JYG2" t="str">
            <v/>
          </cell>
          <cell r="JYH2" t="str">
            <v/>
          </cell>
          <cell r="JYI2" t="str">
            <v/>
          </cell>
          <cell r="JYJ2" t="str">
            <v/>
          </cell>
          <cell r="JYK2" t="str">
            <v/>
          </cell>
          <cell r="JYL2" t="str">
            <v/>
          </cell>
          <cell r="JYM2" t="str">
            <v/>
          </cell>
          <cell r="JYN2" t="str">
            <v/>
          </cell>
          <cell r="JYO2" t="str">
            <v/>
          </cell>
          <cell r="JYP2" t="str">
            <v/>
          </cell>
          <cell r="JYQ2" t="str">
            <v/>
          </cell>
          <cell r="JYR2" t="str">
            <v/>
          </cell>
          <cell r="JYS2" t="str">
            <v/>
          </cell>
          <cell r="JYT2" t="str">
            <v/>
          </cell>
          <cell r="JYU2" t="str">
            <v/>
          </cell>
          <cell r="JYV2" t="str">
            <v/>
          </cell>
          <cell r="JYW2" t="str">
            <v/>
          </cell>
          <cell r="JYX2" t="str">
            <v/>
          </cell>
          <cell r="JYY2" t="str">
            <v/>
          </cell>
          <cell r="JYZ2" t="str">
            <v/>
          </cell>
          <cell r="JZA2" t="str">
            <v/>
          </cell>
          <cell r="JZB2" t="str">
            <v/>
          </cell>
          <cell r="JZC2" t="str">
            <v/>
          </cell>
          <cell r="JZD2" t="str">
            <v/>
          </cell>
          <cell r="JZE2" t="str">
            <v/>
          </cell>
          <cell r="JZF2" t="str">
            <v/>
          </cell>
          <cell r="JZG2" t="str">
            <v/>
          </cell>
          <cell r="JZH2" t="str">
            <v/>
          </cell>
          <cell r="JZI2" t="str">
            <v/>
          </cell>
          <cell r="JZJ2" t="str">
            <v/>
          </cell>
          <cell r="JZK2" t="str">
            <v/>
          </cell>
          <cell r="JZL2" t="str">
            <v/>
          </cell>
          <cell r="JZM2" t="str">
            <v/>
          </cell>
          <cell r="JZN2" t="str">
            <v/>
          </cell>
          <cell r="JZO2" t="str">
            <v/>
          </cell>
          <cell r="JZP2" t="str">
            <v/>
          </cell>
          <cell r="JZQ2" t="str">
            <v/>
          </cell>
          <cell r="JZR2" t="str">
            <v/>
          </cell>
          <cell r="JZS2" t="str">
            <v/>
          </cell>
          <cell r="JZT2" t="str">
            <v/>
          </cell>
          <cell r="JZU2" t="str">
            <v/>
          </cell>
          <cell r="JZV2" t="str">
            <v/>
          </cell>
          <cell r="JZW2" t="str">
            <v/>
          </cell>
          <cell r="JZX2" t="str">
            <v/>
          </cell>
          <cell r="JZY2" t="str">
            <v/>
          </cell>
          <cell r="JZZ2" t="str">
            <v/>
          </cell>
          <cell r="KAA2" t="str">
            <v/>
          </cell>
          <cell r="KAB2" t="str">
            <v/>
          </cell>
          <cell r="KAC2" t="str">
            <v/>
          </cell>
          <cell r="KAD2" t="str">
            <v/>
          </cell>
          <cell r="KAE2" t="str">
            <v/>
          </cell>
          <cell r="KAF2" t="str">
            <v/>
          </cell>
          <cell r="KAG2" t="str">
            <v/>
          </cell>
          <cell r="KAH2" t="str">
            <v/>
          </cell>
          <cell r="KAI2" t="str">
            <v/>
          </cell>
          <cell r="KAJ2" t="str">
            <v/>
          </cell>
          <cell r="KAK2" t="str">
            <v/>
          </cell>
          <cell r="KAL2" t="str">
            <v/>
          </cell>
          <cell r="KAM2" t="str">
            <v/>
          </cell>
          <cell r="KAN2" t="str">
            <v/>
          </cell>
          <cell r="KAO2" t="str">
            <v/>
          </cell>
          <cell r="KAP2" t="str">
            <v/>
          </cell>
          <cell r="KAQ2" t="str">
            <v/>
          </cell>
          <cell r="KAR2" t="str">
            <v/>
          </cell>
          <cell r="KAS2" t="str">
            <v/>
          </cell>
          <cell r="KAT2" t="str">
            <v/>
          </cell>
          <cell r="KAU2" t="str">
            <v/>
          </cell>
          <cell r="KAV2" t="str">
            <v/>
          </cell>
          <cell r="KAW2" t="str">
            <v/>
          </cell>
          <cell r="KAX2" t="str">
            <v/>
          </cell>
          <cell r="KAY2" t="str">
            <v/>
          </cell>
          <cell r="KAZ2" t="str">
            <v/>
          </cell>
          <cell r="KBA2" t="str">
            <v/>
          </cell>
          <cell r="KBB2" t="str">
            <v/>
          </cell>
          <cell r="KBC2" t="str">
            <v/>
          </cell>
          <cell r="KBD2" t="str">
            <v/>
          </cell>
          <cell r="KBE2" t="str">
            <v/>
          </cell>
          <cell r="KBF2" t="str">
            <v/>
          </cell>
          <cell r="KBG2" t="str">
            <v/>
          </cell>
          <cell r="KBH2" t="str">
            <v/>
          </cell>
          <cell r="KBI2" t="str">
            <v/>
          </cell>
          <cell r="KBJ2" t="str">
            <v/>
          </cell>
          <cell r="KBK2" t="str">
            <v/>
          </cell>
          <cell r="KBL2" t="str">
            <v/>
          </cell>
          <cell r="KBM2" t="str">
            <v/>
          </cell>
          <cell r="KBN2" t="str">
            <v/>
          </cell>
          <cell r="KBO2" t="str">
            <v/>
          </cell>
          <cell r="KBP2" t="str">
            <v/>
          </cell>
          <cell r="KBQ2" t="str">
            <v/>
          </cell>
          <cell r="KBR2" t="str">
            <v/>
          </cell>
          <cell r="KBS2" t="str">
            <v/>
          </cell>
          <cell r="KBT2" t="str">
            <v/>
          </cell>
          <cell r="KBU2" t="str">
            <v/>
          </cell>
          <cell r="KBV2" t="str">
            <v/>
          </cell>
          <cell r="KBW2" t="str">
            <v/>
          </cell>
          <cell r="KBX2" t="str">
            <v/>
          </cell>
          <cell r="KBY2" t="str">
            <v/>
          </cell>
          <cell r="KBZ2" t="str">
            <v/>
          </cell>
          <cell r="KCA2" t="str">
            <v/>
          </cell>
          <cell r="KCB2" t="str">
            <v/>
          </cell>
          <cell r="KCC2" t="str">
            <v/>
          </cell>
          <cell r="KCD2" t="str">
            <v/>
          </cell>
          <cell r="KCE2" t="str">
            <v/>
          </cell>
          <cell r="KCF2" t="str">
            <v/>
          </cell>
          <cell r="KCG2" t="str">
            <v/>
          </cell>
          <cell r="KCH2" t="str">
            <v/>
          </cell>
          <cell r="KCI2" t="str">
            <v/>
          </cell>
          <cell r="KCJ2" t="str">
            <v/>
          </cell>
          <cell r="KCK2" t="str">
            <v/>
          </cell>
          <cell r="KCL2" t="str">
            <v/>
          </cell>
          <cell r="KCM2" t="str">
            <v/>
          </cell>
          <cell r="KCN2" t="str">
            <v/>
          </cell>
          <cell r="KCO2" t="str">
            <v/>
          </cell>
          <cell r="KCP2" t="str">
            <v/>
          </cell>
          <cell r="KCQ2" t="str">
            <v/>
          </cell>
          <cell r="KCR2" t="str">
            <v/>
          </cell>
          <cell r="KCS2" t="str">
            <v/>
          </cell>
          <cell r="KCT2" t="str">
            <v/>
          </cell>
          <cell r="KCU2" t="str">
            <v/>
          </cell>
          <cell r="KCV2" t="str">
            <v/>
          </cell>
          <cell r="KCW2" t="str">
            <v/>
          </cell>
          <cell r="KCX2" t="str">
            <v/>
          </cell>
          <cell r="KCY2" t="str">
            <v/>
          </cell>
          <cell r="KCZ2" t="str">
            <v/>
          </cell>
          <cell r="KDA2" t="str">
            <v/>
          </cell>
          <cell r="KDB2" t="str">
            <v/>
          </cell>
          <cell r="KDC2" t="str">
            <v/>
          </cell>
          <cell r="KDD2" t="str">
            <v/>
          </cell>
          <cell r="KDE2" t="str">
            <v/>
          </cell>
          <cell r="KDF2" t="str">
            <v/>
          </cell>
          <cell r="KDG2" t="str">
            <v/>
          </cell>
          <cell r="KDH2" t="str">
            <v/>
          </cell>
          <cell r="KDI2" t="str">
            <v/>
          </cell>
          <cell r="KDJ2" t="str">
            <v/>
          </cell>
          <cell r="KDK2" t="str">
            <v/>
          </cell>
          <cell r="KDL2" t="str">
            <v/>
          </cell>
          <cell r="KDM2" t="str">
            <v/>
          </cell>
          <cell r="KDN2" t="str">
            <v/>
          </cell>
          <cell r="KDO2" t="str">
            <v/>
          </cell>
          <cell r="KDP2" t="str">
            <v/>
          </cell>
          <cell r="KDQ2" t="str">
            <v/>
          </cell>
          <cell r="KDR2" t="str">
            <v/>
          </cell>
          <cell r="KDS2" t="str">
            <v/>
          </cell>
          <cell r="KDT2" t="str">
            <v/>
          </cell>
          <cell r="KDU2" t="str">
            <v/>
          </cell>
          <cell r="KDV2" t="str">
            <v/>
          </cell>
          <cell r="KDW2" t="str">
            <v/>
          </cell>
          <cell r="KDX2" t="str">
            <v/>
          </cell>
          <cell r="KDY2" t="str">
            <v/>
          </cell>
          <cell r="KDZ2" t="str">
            <v/>
          </cell>
          <cell r="KEA2" t="str">
            <v/>
          </cell>
          <cell r="KEB2" t="str">
            <v/>
          </cell>
          <cell r="KEC2" t="str">
            <v/>
          </cell>
          <cell r="KED2" t="str">
            <v/>
          </cell>
          <cell r="KEE2" t="str">
            <v/>
          </cell>
          <cell r="KEF2" t="str">
            <v/>
          </cell>
          <cell r="KEG2" t="str">
            <v/>
          </cell>
          <cell r="KEH2" t="str">
            <v/>
          </cell>
          <cell r="KEI2" t="str">
            <v/>
          </cell>
          <cell r="KEJ2" t="str">
            <v/>
          </cell>
          <cell r="KEK2" t="str">
            <v/>
          </cell>
          <cell r="KEL2" t="str">
            <v/>
          </cell>
          <cell r="KEM2" t="str">
            <v/>
          </cell>
          <cell r="KEN2" t="str">
            <v/>
          </cell>
          <cell r="KEO2" t="str">
            <v/>
          </cell>
          <cell r="KEP2" t="str">
            <v/>
          </cell>
          <cell r="KEQ2" t="str">
            <v/>
          </cell>
          <cell r="KER2" t="str">
            <v/>
          </cell>
          <cell r="KES2" t="str">
            <v/>
          </cell>
          <cell r="KET2" t="str">
            <v/>
          </cell>
          <cell r="KEU2" t="str">
            <v/>
          </cell>
          <cell r="KEV2" t="str">
            <v/>
          </cell>
          <cell r="KEW2" t="str">
            <v/>
          </cell>
          <cell r="KEX2" t="str">
            <v/>
          </cell>
          <cell r="KEY2" t="str">
            <v/>
          </cell>
          <cell r="KEZ2" t="str">
            <v/>
          </cell>
          <cell r="KFA2" t="str">
            <v/>
          </cell>
          <cell r="KFB2" t="str">
            <v/>
          </cell>
          <cell r="KFC2" t="str">
            <v/>
          </cell>
          <cell r="KFD2" t="str">
            <v/>
          </cell>
          <cell r="KFE2" t="str">
            <v/>
          </cell>
          <cell r="KFF2" t="str">
            <v/>
          </cell>
          <cell r="KFG2" t="str">
            <v/>
          </cell>
          <cell r="KFH2" t="str">
            <v/>
          </cell>
          <cell r="KFI2" t="str">
            <v/>
          </cell>
          <cell r="KFJ2" t="str">
            <v/>
          </cell>
          <cell r="KFK2" t="str">
            <v/>
          </cell>
          <cell r="KFL2" t="str">
            <v/>
          </cell>
          <cell r="KFM2" t="str">
            <v/>
          </cell>
          <cell r="KFN2" t="str">
            <v/>
          </cell>
          <cell r="KFO2" t="str">
            <v/>
          </cell>
          <cell r="KFP2" t="str">
            <v/>
          </cell>
          <cell r="KFQ2" t="str">
            <v/>
          </cell>
          <cell r="KFR2" t="str">
            <v/>
          </cell>
          <cell r="KFS2" t="str">
            <v/>
          </cell>
          <cell r="KFT2" t="str">
            <v/>
          </cell>
          <cell r="KFU2" t="str">
            <v/>
          </cell>
          <cell r="KFV2" t="str">
            <v/>
          </cell>
          <cell r="KFW2" t="str">
            <v/>
          </cell>
          <cell r="KFX2" t="str">
            <v/>
          </cell>
          <cell r="KFY2" t="str">
            <v/>
          </cell>
          <cell r="KFZ2" t="str">
            <v/>
          </cell>
          <cell r="KGA2" t="str">
            <v/>
          </cell>
          <cell r="KGB2" t="str">
            <v/>
          </cell>
          <cell r="KGC2" t="str">
            <v/>
          </cell>
          <cell r="KGD2" t="str">
            <v/>
          </cell>
          <cell r="KGE2" t="str">
            <v/>
          </cell>
          <cell r="KGF2" t="str">
            <v/>
          </cell>
          <cell r="KGG2" t="str">
            <v/>
          </cell>
          <cell r="KGH2" t="str">
            <v/>
          </cell>
          <cell r="KGI2" t="str">
            <v/>
          </cell>
          <cell r="KGJ2" t="str">
            <v/>
          </cell>
          <cell r="KGK2" t="str">
            <v/>
          </cell>
          <cell r="KGL2" t="str">
            <v/>
          </cell>
          <cell r="KGM2" t="str">
            <v/>
          </cell>
          <cell r="KGN2" t="str">
            <v/>
          </cell>
          <cell r="KGO2" t="str">
            <v/>
          </cell>
          <cell r="KGP2" t="str">
            <v/>
          </cell>
          <cell r="KGQ2" t="str">
            <v/>
          </cell>
          <cell r="KGR2" t="str">
            <v/>
          </cell>
          <cell r="KGS2" t="str">
            <v/>
          </cell>
          <cell r="KGT2" t="str">
            <v/>
          </cell>
          <cell r="KGU2" t="str">
            <v/>
          </cell>
          <cell r="KGV2" t="str">
            <v/>
          </cell>
          <cell r="KGW2" t="str">
            <v/>
          </cell>
          <cell r="KGX2" t="str">
            <v/>
          </cell>
          <cell r="KGY2" t="str">
            <v/>
          </cell>
          <cell r="KGZ2" t="str">
            <v/>
          </cell>
          <cell r="KHA2" t="str">
            <v/>
          </cell>
          <cell r="KHB2" t="str">
            <v/>
          </cell>
          <cell r="KHC2" t="str">
            <v/>
          </cell>
          <cell r="KHD2" t="str">
            <v/>
          </cell>
          <cell r="KHE2" t="str">
            <v/>
          </cell>
          <cell r="KHF2" t="str">
            <v/>
          </cell>
          <cell r="KHG2" t="str">
            <v/>
          </cell>
          <cell r="KHH2" t="str">
            <v/>
          </cell>
          <cell r="KHI2" t="str">
            <v/>
          </cell>
          <cell r="KHJ2" t="str">
            <v/>
          </cell>
          <cell r="KHK2" t="str">
            <v/>
          </cell>
          <cell r="KHL2" t="str">
            <v/>
          </cell>
          <cell r="KHM2" t="str">
            <v/>
          </cell>
          <cell r="KHN2" t="str">
            <v/>
          </cell>
          <cell r="KHO2" t="str">
            <v/>
          </cell>
          <cell r="KHP2" t="str">
            <v/>
          </cell>
          <cell r="KHQ2" t="str">
            <v/>
          </cell>
          <cell r="KHR2" t="str">
            <v/>
          </cell>
          <cell r="KHS2" t="str">
            <v/>
          </cell>
          <cell r="KHT2" t="str">
            <v/>
          </cell>
          <cell r="KHU2" t="str">
            <v/>
          </cell>
          <cell r="KHV2" t="str">
            <v/>
          </cell>
          <cell r="KHW2" t="str">
            <v/>
          </cell>
          <cell r="KHX2" t="str">
            <v/>
          </cell>
          <cell r="KHY2" t="str">
            <v/>
          </cell>
          <cell r="KHZ2" t="str">
            <v/>
          </cell>
          <cell r="KIA2" t="str">
            <v/>
          </cell>
          <cell r="KIB2" t="str">
            <v/>
          </cell>
          <cell r="KIC2" t="str">
            <v/>
          </cell>
          <cell r="KID2" t="str">
            <v/>
          </cell>
          <cell r="KIE2" t="str">
            <v/>
          </cell>
          <cell r="KIF2" t="str">
            <v/>
          </cell>
          <cell r="KIG2" t="str">
            <v/>
          </cell>
          <cell r="KIH2" t="str">
            <v/>
          </cell>
          <cell r="KII2" t="str">
            <v/>
          </cell>
          <cell r="KIJ2" t="str">
            <v/>
          </cell>
          <cell r="KIK2" t="str">
            <v/>
          </cell>
          <cell r="KIL2" t="str">
            <v/>
          </cell>
          <cell r="KIM2" t="str">
            <v/>
          </cell>
          <cell r="KIN2" t="str">
            <v/>
          </cell>
          <cell r="KIO2" t="str">
            <v/>
          </cell>
          <cell r="KIP2" t="str">
            <v/>
          </cell>
          <cell r="KIQ2" t="str">
            <v/>
          </cell>
          <cell r="KIR2" t="str">
            <v/>
          </cell>
          <cell r="KIS2" t="str">
            <v/>
          </cell>
          <cell r="KIT2" t="str">
            <v/>
          </cell>
          <cell r="KIU2" t="str">
            <v/>
          </cell>
          <cell r="KIV2" t="str">
            <v/>
          </cell>
          <cell r="KIW2" t="str">
            <v/>
          </cell>
          <cell r="KIX2" t="str">
            <v/>
          </cell>
          <cell r="KIY2" t="str">
            <v/>
          </cell>
          <cell r="KIZ2" t="str">
            <v/>
          </cell>
          <cell r="KJA2" t="str">
            <v/>
          </cell>
          <cell r="KJB2" t="str">
            <v/>
          </cell>
          <cell r="KJC2" t="str">
            <v/>
          </cell>
          <cell r="KJD2" t="str">
            <v/>
          </cell>
          <cell r="KJE2" t="str">
            <v/>
          </cell>
          <cell r="KJF2" t="str">
            <v/>
          </cell>
          <cell r="KJG2" t="str">
            <v/>
          </cell>
          <cell r="KJH2" t="str">
            <v/>
          </cell>
          <cell r="KJI2" t="str">
            <v/>
          </cell>
          <cell r="KJJ2" t="str">
            <v/>
          </cell>
          <cell r="KJK2" t="str">
            <v/>
          </cell>
          <cell r="KJL2" t="str">
            <v/>
          </cell>
          <cell r="KJM2" t="str">
            <v/>
          </cell>
          <cell r="KJN2" t="str">
            <v/>
          </cell>
          <cell r="KJO2" t="str">
            <v/>
          </cell>
          <cell r="KJP2" t="str">
            <v/>
          </cell>
          <cell r="KJQ2" t="str">
            <v/>
          </cell>
          <cell r="KJR2" t="str">
            <v/>
          </cell>
          <cell r="KJS2" t="str">
            <v/>
          </cell>
          <cell r="KJT2" t="str">
            <v/>
          </cell>
          <cell r="KJU2" t="str">
            <v/>
          </cell>
          <cell r="KJV2" t="str">
            <v/>
          </cell>
          <cell r="KJW2" t="str">
            <v/>
          </cell>
          <cell r="KJX2" t="str">
            <v/>
          </cell>
          <cell r="KJY2" t="str">
            <v/>
          </cell>
          <cell r="KJZ2" t="str">
            <v/>
          </cell>
          <cell r="KKA2" t="str">
            <v/>
          </cell>
          <cell r="KKB2" t="str">
            <v/>
          </cell>
          <cell r="KKC2" t="str">
            <v/>
          </cell>
          <cell r="KKD2" t="str">
            <v/>
          </cell>
          <cell r="KKE2" t="str">
            <v/>
          </cell>
          <cell r="KKF2" t="str">
            <v/>
          </cell>
          <cell r="KKG2" t="str">
            <v/>
          </cell>
          <cell r="KKH2" t="str">
            <v/>
          </cell>
          <cell r="KKI2" t="str">
            <v/>
          </cell>
          <cell r="KKJ2" t="str">
            <v/>
          </cell>
          <cell r="KKK2" t="str">
            <v/>
          </cell>
          <cell r="KKL2" t="str">
            <v/>
          </cell>
          <cell r="KKM2" t="str">
            <v/>
          </cell>
          <cell r="KKN2" t="str">
            <v/>
          </cell>
          <cell r="KKO2" t="str">
            <v/>
          </cell>
          <cell r="KKP2" t="str">
            <v/>
          </cell>
          <cell r="KKQ2" t="str">
            <v/>
          </cell>
          <cell r="KKR2" t="str">
            <v/>
          </cell>
          <cell r="KKS2" t="str">
            <v/>
          </cell>
          <cell r="KKT2" t="str">
            <v/>
          </cell>
          <cell r="KKU2" t="str">
            <v/>
          </cell>
          <cell r="KKV2" t="str">
            <v/>
          </cell>
          <cell r="KKW2" t="str">
            <v/>
          </cell>
          <cell r="KKX2" t="str">
            <v/>
          </cell>
          <cell r="KKY2" t="str">
            <v/>
          </cell>
          <cell r="KKZ2" t="str">
            <v/>
          </cell>
          <cell r="KLA2" t="str">
            <v/>
          </cell>
          <cell r="KLB2" t="str">
            <v/>
          </cell>
          <cell r="KLC2" t="str">
            <v/>
          </cell>
          <cell r="KLD2" t="str">
            <v/>
          </cell>
          <cell r="KLE2" t="str">
            <v/>
          </cell>
          <cell r="KLF2" t="str">
            <v/>
          </cell>
          <cell r="KLG2" t="str">
            <v/>
          </cell>
          <cell r="KLH2" t="str">
            <v/>
          </cell>
          <cell r="KLI2" t="str">
            <v/>
          </cell>
          <cell r="KLJ2" t="str">
            <v/>
          </cell>
          <cell r="KLK2" t="str">
            <v/>
          </cell>
          <cell r="KLL2" t="str">
            <v/>
          </cell>
          <cell r="KLM2" t="str">
            <v/>
          </cell>
          <cell r="KLN2" t="str">
            <v/>
          </cell>
          <cell r="KLO2" t="str">
            <v/>
          </cell>
          <cell r="KLP2" t="str">
            <v/>
          </cell>
          <cell r="KLQ2" t="str">
            <v/>
          </cell>
          <cell r="KLR2" t="str">
            <v/>
          </cell>
          <cell r="KLS2" t="str">
            <v/>
          </cell>
          <cell r="KLT2" t="str">
            <v/>
          </cell>
          <cell r="KLU2" t="str">
            <v/>
          </cell>
          <cell r="KLV2" t="str">
            <v/>
          </cell>
          <cell r="KLW2" t="str">
            <v/>
          </cell>
          <cell r="KLX2" t="str">
            <v/>
          </cell>
          <cell r="KLY2" t="str">
            <v/>
          </cell>
          <cell r="KLZ2" t="str">
            <v/>
          </cell>
          <cell r="KMA2" t="str">
            <v/>
          </cell>
          <cell r="KMB2" t="str">
            <v/>
          </cell>
          <cell r="KMC2" t="str">
            <v/>
          </cell>
          <cell r="KMD2" t="str">
            <v/>
          </cell>
          <cell r="KME2" t="str">
            <v/>
          </cell>
          <cell r="KMF2" t="str">
            <v/>
          </cell>
          <cell r="KMG2" t="str">
            <v/>
          </cell>
          <cell r="KMH2" t="str">
            <v/>
          </cell>
          <cell r="KMI2" t="str">
            <v/>
          </cell>
          <cell r="KMJ2" t="str">
            <v/>
          </cell>
          <cell r="KMK2" t="str">
            <v/>
          </cell>
          <cell r="KML2" t="str">
            <v/>
          </cell>
          <cell r="KMM2" t="str">
            <v/>
          </cell>
          <cell r="KMN2" t="str">
            <v/>
          </cell>
          <cell r="KMO2" t="str">
            <v/>
          </cell>
          <cell r="KMP2" t="str">
            <v/>
          </cell>
          <cell r="KMQ2" t="str">
            <v/>
          </cell>
          <cell r="KMR2" t="str">
            <v/>
          </cell>
          <cell r="KMS2" t="str">
            <v/>
          </cell>
          <cell r="KMT2" t="str">
            <v/>
          </cell>
          <cell r="KMU2" t="str">
            <v/>
          </cell>
          <cell r="KMV2" t="str">
            <v/>
          </cell>
          <cell r="KMW2" t="str">
            <v/>
          </cell>
          <cell r="KMX2" t="str">
            <v/>
          </cell>
          <cell r="KMY2" t="str">
            <v/>
          </cell>
          <cell r="KMZ2" t="str">
            <v/>
          </cell>
          <cell r="KNA2" t="str">
            <v/>
          </cell>
          <cell r="KNB2" t="str">
            <v/>
          </cell>
          <cell r="KNC2" t="str">
            <v/>
          </cell>
          <cell r="KND2" t="str">
            <v/>
          </cell>
          <cell r="KNE2" t="str">
            <v/>
          </cell>
          <cell r="KNF2" t="str">
            <v/>
          </cell>
          <cell r="KNG2" t="str">
            <v/>
          </cell>
          <cell r="KNH2" t="str">
            <v/>
          </cell>
          <cell r="KNI2" t="str">
            <v/>
          </cell>
          <cell r="KNJ2" t="str">
            <v/>
          </cell>
          <cell r="KNK2" t="str">
            <v/>
          </cell>
          <cell r="KNL2" t="str">
            <v/>
          </cell>
          <cell r="KNM2" t="str">
            <v/>
          </cell>
          <cell r="KNN2" t="str">
            <v/>
          </cell>
          <cell r="KNO2" t="str">
            <v/>
          </cell>
          <cell r="KNP2" t="str">
            <v/>
          </cell>
          <cell r="KNQ2" t="str">
            <v/>
          </cell>
          <cell r="KNR2" t="str">
            <v/>
          </cell>
          <cell r="KNS2" t="str">
            <v/>
          </cell>
          <cell r="KNT2" t="str">
            <v/>
          </cell>
          <cell r="KNU2" t="str">
            <v/>
          </cell>
          <cell r="KNV2" t="str">
            <v/>
          </cell>
          <cell r="KNW2" t="str">
            <v/>
          </cell>
          <cell r="KNX2" t="str">
            <v/>
          </cell>
          <cell r="KNY2" t="str">
            <v/>
          </cell>
          <cell r="KNZ2" t="str">
            <v/>
          </cell>
          <cell r="KOA2" t="str">
            <v/>
          </cell>
          <cell r="KOB2" t="str">
            <v/>
          </cell>
          <cell r="KOC2" t="str">
            <v/>
          </cell>
          <cell r="KOD2" t="str">
            <v/>
          </cell>
          <cell r="KOE2" t="str">
            <v/>
          </cell>
          <cell r="KOF2" t="str">
            <v/>
          </cell>
          <cell r="KOG2" t="str">
            <v/>
          </cell>
          <cell r="KOH2" t="str">
            <v/>
          </cell>
          <cell r="KOI2" t="str">
            <v/>
          </cell>
          <cell r="KOJ2" t="str">
            <v/>
          </cell>
          <cell r="KOK2" t="str">
            <v/>
          </cell>
          <cell r="KOL2" t="str">
            <v/>
          </cell>
          <cell r="KOM2" t="str">
            <v/>
          </cell>
          <cell r="KON2" t="str">
            <v/>
          </cell>
          <cell r="KOO2" t="str">
            <v/>
          </cell>
          <cell r="KOP2" t="str">
            <v/>
          </cell>
          <cell r="KOQ2" t="str">
            <v/>
          </cell>
          <cell r="KOR2" t="str">
            <v/>
          </cell>
          <cell r="KOS2" t="str">
            <v/>
          </cell>
          <cell r="KOT2" t="str">
            <v/>
          </cell>
          <cell r="KOU2" t="str">
            <v/>
          </cell>
          <cell r="KOV2" t="str">
            <v/>
          </cell>
          <cell r="KOW2" t="str">
            <v/>
          </cell>
          <cell r="KOX2" t="str">
            <v/>
          </cell>
          <cell r="KOY2" t="str">
            <v/>
          </cell>
          <cell r="KOZ2" t="str">
            <v/>
          </cell>
          <cell r="KPA2" t="str">
            <v/>
          </cell>
          <cell r="KPB2" t="str">
            <v/>
          </cell>
          <cell r="KPC2" t="str">
            <v/>
          </cell>
          <cell r="KPD2" t="str">
            <v/>
          </cell>
          <cell r="KPE2" t="str">
            <v/>
          </cell>
          <cell r="KPF2" t="str">
            <v/>
          </cell>
          <cell r="KPG2" t="str">
            <v/>
          </cell>
          <cell r="KPH2" t="str">
            <v/>
          </cell>
          <cell r="KPI2" t="str">
            <v/>
          </cell>
          <cell r="KPJ2" t="str">
            <v/>
          </cell>
          <cell r="KPK2" t="str">
            <v/>
          </cell>
          <cell r="KPL2" t="str">
            <v/>
          </cell>
          <cell r="KPM2" t="str">
            <v/>
          </cell>
          <cell r="KPN2" t="str">
            <v/>
          </cell>
          <cell r="KPO2" t="str">
            <v/>
          </cell>
          <cell r="KPP2" t="str">
            <v/>
          </cell>
          <cell r="KPQ2" t="str">
            <v/>
          </cell>
          <cell r="KPR2" t="str">
            <v/>
          </cell>
          <cell r="KPS2" t="str">
            <v/>
          </cell>
          <cell r="KPT2" t="str">
            <v/>
          </cell>
          <cell r="KPU2" t="str">
            <v/>
          </cell>
          <cell r="KPV2" t="str">
            <v/>
          </cell>
          <cell r="KPW2" t="str">
            <v/>
          </cell>
          <cell r="KPX2" t="str">
            <v/>
          </cell>
          <cell r="KPY2" t="str">
            <v/>
          </cell>
          <cell r="KPZ2" t="str">
            <v/>
          </cell>
          <cell r="KQA2" t="str">
            <v/>
          </cell>
          <cell r="KQB2" t="str">
            <v/>
          </cell>
          <cell r="KQC2" t="str">
            <v/>
          </cell>
          <cell r="KQD2" t="str">
            <v/>
          </cell>
          <cell r="KQE2" t="str">
            <v/>
          </cell>
          <cell r="KQF2" t="str">
            <v/>
          </cell>
          <cell r="KQG2" t="str">
            <v/>
          </cell>
          <cell r="KQH2" t="str">
            <v/>
          </cell>
          <cell r="KQI2" t="str">
            <v/>
          </cell>
          <cell r="KQJ2" t="str">
            <v/>
          </cell>
          <cell r="KQK2" t="str">
            <v/>
          </cell>
          <cell r="KQL2" t="str">
            <v/>
          </cell>
          <cell r="KQM2" t="str">
            <v/>
          </cell>
          <cell r="KQN2" t="str">
            <v/>
          </cell>
          <cell r="KQO2" t="str">
            <v/>
          </cell>
          <cell r="KQP2" t="str">
            <v/>
          </cell>
          <cell r="KQQ2" t="str">
            <v/>
          </cell>
          <cell r="KQR2" t="str">
            <v/>
          </cell>
          <cell r="KQS2" t="str">
            <v/>
          </cell>
          <cell r="KQT2" t="str">
            <v/>
          </cell>
          <cell r="KQU2" t="str">
            <v/>
          </cell>
          <cell r="KQV2" t="str">
            <v/>
          </cell>
          <cell r="KQW2" t="str">
            <v/>
          </cell>
          <cell r="KQX2" t="str">
            <v/>
          </cell>
          <cell r="KQY2" t="str">
            <v/>
          </cell>
          <cell r="KQZ2" t="str">
            <v/>
          </cell>
          <cell r="KRA2" t="str">
            <v/>
          </cell>
          <cell r="KRB2" t="str">
            <v/>
          </cell>
          <cell r="KRC2" t="str">
            <v/>
          </cell>
          <cell r="KRD2" t="str">
            <v/>
          </cell>
          <cell r="KRE2" t="str">
            <v/>
          </cell>
          <cell r="KRF2" t="str">
            <v/>
          </cell>
          <cell r="KRG2" t="str">
            <v/>
          </cell>
          <cell r="KRH2" t="str">
            <v/>
          </cell>
          <cell r="KRI2" t="str">
            <v/>
          </cell>
          <cell r="KRJ2" t="str">
            <v/>
          </cell>
          <cell r="KRK2" t="str">
            <v/>
          </cell>
          <cell r="KRL2" t="str">
            <v/>
          </cell>
          <cell r="KRM2" t="str">
            <v/>
          </cell>
          <cell r="KRN2" t="str">
            <v/>
          </cell>
          <cell r="KRO2" t="str">
            <v/>
          </cell>
          <cell r="KRP2" t="str">
            <v/>
          </cell>
          <cell r="KRQ2" t="str">
            <v/>
          </cell>
          <cell r="KRR2" t="str">
            <v/>
          </cell>
          <cell r="KRS2" t="str">
            <v/>
          </cell>
          <cell r="KRT2" t="str">
            <v/>
          </cell>
          <cell r="KRU2" t="str">
            <v/>
          </cell>
          <cell r="KRV2" t="str">
            <v/>
          </cell>
          <cell r="KRW2" t="str">
            <v/>
          </cell>
          <cell r="KRX2" t="str">
            <v/>
          </cell>
          <cell r="KRY2" t="str">
            <v/>
          </cell>
          <cell r="KRZ2" t="str">
            <v/>
          </cell>
          <cell r="KSA2" t="str">
            <v/>
          </cell>
          <cell r="KSB2" t="str">
            <v/>
          </cell>
          <cell r="KSC2" t="str">
            <v/>
          </cell>
          <cell r="KSD2" t="str">
            <v/>
          </cell>
          <cell r="KSE2" t="str">
            <v/>
          </cell>
          <cell r="KSF2" t="str">
            <v/>
          </cell>
          <cell r="KSG2" t="str">
            <v/>
          </cell>
          <cell r="KSH2" t="str">
            <v/>
          </cell>
          <cell r="KSI2" t="str">
            <v/>
          </cell>
          <cell r="KSJ2" t="str">
            <v/>
          </cell>
          <cell r="KSK2" t="str">
            <v/>
          </cell>
          <cell r="KSL2" t="str">
            <v/>
          </cell>
          <cell r="KSM2" t="str">
            <v/>
          </cell>
          <cell r="KSN2" t="str">
            <v/>
          </cell>
          <cell r="KSO2" t="str">
            <v/>
          </cell>
          <cell r="KSP2" t="str">
            <v/>
          </cell>
          <cell r="KSQ2" t="str">
            <v/>
          </cell>
          <cell r="KSR2" t="str">
            <v/>
          </cell>
          <cell r="KSS2" t="str">
            <v/>
          </cell>
          <cell r="KST2" t="str">
            <v/>
          </cell>
          <cell r="KSU2" t="str">
            <v/>
          </cell>
          <cell r="KSV2" t="str">
            <v/>
          </cell>
          <cell r="KSW2" t="str">
            <v/>
          </cell>
          <cell r="KSX2" t="str">
            <v/>
          </cell>
          <cell r="KSY2" t="str">
            <v/>
          </cell>
          <cell r="KSZ2" t="str">
            <v/>
          </cell>
          <cell r="KTA2" t="str">
            <v/>
          </cell>
          <cell r="KTB2" t="str">
            <v/>
          </cell>
          <cell r="KTC2" t="str">
            <v/>
          </cell>
          <cell r="KTD2" t="str">
            <v/>
          </cell>
          <cell r="KTE2" t="str">
            <v/>
          </cell>
          <cell r="KTF2" t="str">
            <v/>
          </cell>
          <cell r="KTG2" t="str">
            <v/>
          </cell>
          <cell r="KTH2" t="str">
            <v/>
          </cell>
          <cell r="KTI2" t="str">
            <v/>
          </cell>
          <cell r="KTJ2" t="str">
            <v/>
          </cell>
          <cell r="KTK2" t="str">
            <v/>
          </cell>
          <cell r="KTL2" t="str">
            <v/>
          </cell>
          <cell r="KTM2" t="str">
            <v/>
          </cell>
          <cell r="KTN2" t="str">
            <v/>
          </cell>
          <cell r="KTO2" t="str">
            <v/>
          </cell>
          <cell r="KTP2" t="str">
            <v/>
          </cell>
          <cell r="KTQ2" t="str">
            <v/>
          </cell>
          <cell r="KTR2" t="str">
            <v/>
          </cell>
          <cell r="KTS2" t="str">
            <v/>
          </cell>
          <cell r="KTT2" t="str">
            <v/>
          </cell>
          <cell r="KTU2" t="str">
            <v/>
          </cell>
          <cell r="KTV2" t="str">
            <v/>
          </cell>
          <cell r="KTW2" t="str">
            <v/>
          </cell>
          <cell r="KTX2" t="str">
            <v/>
          </cell>
          <cell r="KTY2" t="str">
            <v/>
          </cell>
          <cell r="KTZ2" t="str">
            <v/>
          </cell>
          <cell r="KUA2" t="str">
            <v/>
          </cell>
          <cell r="KUB2" t="str">
            <v/>
          </cell>
          <cell r="KUC2" t="str">
            <v/>
          </cell>
          <cell r="KUD2" t="str">
            <v/>
          </cell>
          <cell r="KUE2" t="str">
            <v/>
          </cell>
          <cell r="KUF2" t="str">
            <v/>
          </cell>
          <cell r="KUG2" t="str">
            <v/>
          </cell>
          <cell r="KUH2" t="str">
            <v/>
          </cell>
          <cell r="KUI2" t="str">
            <v/>
          </cell>
          <cell r="KUJ2" t="str">
            <v/>
          </cell>
          <cell r="KUK2" t="str">
            <v/>
          </cell>
          <cell r="KUL2" t="str">
            <v/>
          </cell>
          <cell r="KUM2" t="str">
            <v/>
          </cell>
          <cell r="KUN2" t="str">
            <v/>
          </cell>
          <cell r="KUO2" t="str">
            <v/>
          </cell>
          <cell r="KUP2" t="str">
            <v/>
          </cell>
          <cell r="KUQ2" t="str">
            <v/>
          </cell>
          <cell r="KUR2" t="str">
            <v/>
          </cell>
          <cell r="KUS2" t="str">
            <v/>
          </cell>
          <cell r="KUT2" t="str">
            <v/>
          </cell>
          <cell r="KUU2" t="str">
            <v/>
          </cell>
          <cell r="KUV2" t="str">
            <v/>
          </cell>
          <cell r="KUW2" t="str">
            <v/>
          </cell>
          <cell r="KUX2" t="str">
            <v/>
          </cell>
          <cell r="KUY2" t="str">
            <v/>
          </cell>
          <cell r="KUZ2" t="str">
            <v/>
          </cell>
          <cell r="KVA2" t="str">
            <v/>
          </cell>
          <cell r="KVB2" t="str">
            <v/>
          </cell>
          <cell r="KVC2" t="str">
            <v/>
          </cell>
          <cell r="KVD2" t="str">
            <v/>
          </cell>
          <cell r="KVE2" t="str">
            <v/>
          </cell>
          <cell r="KVF2" t="str">
            <v/>
          </cell>
          <cell r="KVG2" t="str">
            <v/>
          </cell>
          <cell r="KVH2" t="str">
            <v/>
          </cell>
          <cell r="KVI2" t="str">
            <v/>
          </cell>
          <cell r="KVJ2" t="str">
            <v/>
          </cell>
          <cell r="KVK2" t="str">
            <v/>
          </cell>
          <cell r="KVL2" t="str">
            <v/>
          </cell>
          <cell r="KVM2" t="str">
            <v/>
          </cell>
          <cell r="KVN2" t="str">
            <v/>
          </cell>
          <cell r="KVO2" t="str">
            <v/>
          </cell>
          <cell r="KVP2" t="str">
            <v/>
          </cell>
          <cell r="KVQ2" t="str">
            <v/>
          </cell>
          <cell r="KVR2" t="str">
            <v/>
          </cell>
          <cell r="KVS2" t="str">
            <v/>
          </cell>
          <cell r="KVT2" t="str">
            <v/>
          </cell>
          <cell r="KVU2" t="str">
            <v/>
          </cell>
          <cell r="KVV2" t="str">
            <v/>
          </cell>
          <cell r="KVW2" t="str">
            <v/>
          </cell>
          <cell r="KVX2" t="str">
            <v/>
          </cell>
          <cell r="KVY2" t="str">
            <v/>
          </cell>
          <cell r="KVZ2" t="str">
            <v/>
          </cell>
          <cell r="KWA2" t="str">
            <v/>
          </cell>
          <cell r="KWB2" t="str">
            <v/>
          </cell>
          <cell r="KWC2" t="str">
            <v/>
          </cell>
          <cell r="KWD2" t="str">
            <v/>
          </cell>
          <cell r="KWE2" t="str">
            <v/>
          </cell>
          <cell r="KWF2" t="str">
            <v/>
          </cell>
          <cell r="KWG2" t="str">
            <v/>
          </cell>
          <cell r="KWH2" t="str">
            <v/>
          </cell>
          <cell r="KWI2" t="str">
            <v/>
          </cell>
          <cell r="KWJ2" t="str">
            <v/>
          </cell>
          <cell r="KWK2" t="str">
            <v/>
          </cell>
          <cell r="KWL2" t="str">
            <v/>
          </cell>
          <cell r="KWM2" t="str">
            <v/>
          </cell>
          <cell r="KWN2" t="str">
            <v/>
          </cell>
          <cell r="KWO2" t="str">
            <v/>
          </cell>
          <cell r="KWP2" t="str">
            <v/>
          </cell>
          <cell r="KWQ2" t="str">
            <v/>
          </cell>
          <cell r="KWR2" t="str">
            <v/>
          </cell>
          <cell r="KWS2" t="str">
            <v/>
          </cell>
          <cell r="KWT2" t="str">
            <v/>
          </cell>
          <cell r="KWU2" t="str">
            <v/>
          </cell>
          <cell r="KWV2" t="str">
            <v/>
          </cell>
          <cell r="KWW2" t="str">
            <v/>
          </cell>
          <cell r="KWX2" t="str">
            <v/>
          </cell>
          <cell r="KWY2" t="str">
            <v/>
          </cell>
          <cell r="KWZ2" t="str">
            <v/>
          </cell>
          <cell r="KXA2" t="str">
            <v/>
          </cell>
          <cell r="KXB2" t="str">
            <v/>
          </cell>
          <cell r="KXC2" t="str">
            <v/>
          </cell>
          <cell r="KXD2" t="str">
            <v/>
          </cell>
          <cell r="KXE2" t="str">
            <v/>
          </cell>
          <cell r="KXF2" t="str">
            <v/>
          </cell>
          <cell r="KXG2" t="str">
            <v/>
          </cell>
          <cell r="KXH2" t="str">
            <v/>
          </cell>
          <cell r="KXI2" t="str">
            <v/>
          </cell>
          <cell r="KXJ2" t="str">
            <v/>
          </cell>
          <cell r="KXK2" t="str">
            <v/>
          </cell>
          <cell r="KXL2" t="str">
            <v/>
          </cell>
          <cell r="KXM2" t="str">
            <v/>
          </cell>
          <cell r="KXN2" t="str">
            <v/>
          </cell>
          <cell r="KXO2" t="str">
            <v/>
          </cell>
          <cell r="KXP2" t="str">
            <v/>
          </cell>
          <cell r="KXQ2" t="str">
            <v/>
          </cell>
          <cell r="KXR2" t="str">
            <v/>
          </cell>
          <cell r="KXS2" t="str">
            <v/>
          </cell>
          <cell r="KXT2" t="str">
            <v/>
          </cell>
          <cell r="KXU2" t="str">
            <v/>
          </cell>
          <cell r="KXV2" t="str">
            <v/>
          </cell>
          <cell r="KXW2" t="str">
            <v/>
          </cell>
          <cell r="KXX2" t="str">
            <v/>
          </cell>
          <cell r="KXY2" t="str">
            <v/>
          </cell>
          <cell r="KXZ2" t="str">
            <v/>
          </cell>
          <cell r="KYA2" t="str">
            <v/>
          </cell>
          <cell r="KYB2" t="str">
            <v/>
          </cell>
          <cell r="KYC2" t="str">
            <v/>
          </cell>
          <cell r="KYD2" t="str">
            <v/>
          </cell>
          <cell r="KYE2" t="str">
            <v/>
          </cell>
          <cell r="KYF2" t="str">
            <v/>
          </cell>
          <cell r="KYG2" t="str">
            <v/>
          </cell>
          <cell r="KYH2" t="str">
            <v/>
          </cell>
          <cell r="KYI2" t="str">
            <v/>
          </cell>
          <cell r="KYJ2" t="str">
            <v/>
          </cell>
          <cell r="KYK2" t="str">
            <v/>
          </cell>
          <cell r="KYL2" t="str">
            <v/>
          </cell>
          <cell r="KYM2" t="str">
            <v/>
          </cell>
          <cell r="KYN2" t="str">
            <v/>
          </cell>
          <cell r="KYO2" t="str">
            <v/>
          </cell>
          <cell r="KYP2" t="str">
            <v/>
          </cell>
          <cell r="KYQ2" t="str">
            <v/>
          </cell>
          <cell r="KYR2" t="str">
            <v/>
          </cell>
          <cell r="KYS2" t="str">
            <v/>
          </cell>
          <cell r="KYT2" t="str">
            <v/>
          </cell>
          <cell r="KYU2" t="str">
            <v/>
          </cell>
          <cell r="KYV2" t="str">
            <v/>
          </cell>
          <cell r="KYW2" t="str">
            <v/>
          </cell>
          <cell r="KYX2" t="str">
            <v/>
          </cell>
          <cell r="KYY2" t="str">
            <v/>
          </cell>
          <cell r="KYZ2" t="str">
            <v/>
          </cell>
          <cell r="KZA2" t="str">
            <v/>
          </cell>
          <cell r="KZB2" t="str">
            <v/>
          </cell>
          <cell r="KZC2" t="str">
            <v/>
          </cell>
          <cell r="KZD2" t="str">
            <v/>
          </cell>
          <cell r="KZE2" t="str">
            <v/>
          </cell>
          <cell r="KZF2" t="str">
            <v/>
          </cell>
          <cell r="KZG2" t="str">
            <v/>
          </cell>
          <cell r="KZH2" t="str">
            <v/>
          </cell>
          <cell r="KZI2" t="str">
            <v/>
          </cell>
          <cell r="KZJ2" t="str">
            <v/>
          </cell>
          <cell r="KZK2" t="str">
            <v/>
          </cell>
          <cell r="KZL2" t="str">
            <v/>
          </cell>
          <cell r="KZM2" t="str">
            <v/>
          </cell>
          <cell r="KZN2" t="str">
            <v/>
          </cell>
          <cell r="KZO2" t="str">
            <v/>
          </cell>
          <cell r="KZP2" t="str">
            <v/>
          </cell>
          <cell r="KZQ2" t="str">
            <v/>
          </cell>
          <cell r="KZR2" t="str">
            <v/>
          </cell>
          <cell r="KZS2" t="str">
            <v/>
          </cell>
          <cell r="KZT2" t="str">
            <v/>
          </cell>
          <cell r="KZU2" t="str">
            <v/>
          </cell>
          <cell r="KZV2" t="str">
            <v/>
          </cell>
          <cell r="KZW2" t="str">
            <v/>
          </cell>
          <cell r="KZX2" t="str">
            <v/>
          </cell>
          <cell r="KZY2" t="str">
            <v/>
          </cell>
          <cell r="KZZ2" t="str">
            <v/>
          </cell>
          <cell r="LAA2" t="str">
            <v/>
          </cell>
          <cell r="LAB2" t="str">
            <v/>
          </cell>
          <cell r="LAC2" t="str">
            <v/>
          </cell>
          <cell r="LAD2" t="str">
            <v/>
          </cell>
          <cell r="LAE2" t="str">
            <v/>
          </cell>
          <cell r="LAF2" t="str">
            <v/>
          </cell>
          <cell r="LAG2" t="str">
            <v/>
          </cell>
          <cell r="LAH2" t="str">
            <v/>
          </cell>
          <cell r="LAI2" t="str">
            <v/>
          </cell>
          <cell r="LAJ2" t="str">
            <v/>
          </cell>
          <cell r="LAK2" t="str">
            <v/>
          </cell>
          <cell r="LAL2" t="str">
            <v/>
          </cell>
          <cell r="LAM2" t="str">
            <v/>
          </cell>
          <cell r="LAN2" t="str">
            <v/>
          </cell>
          <cell r="LAO2" t="str">
            <v/>
          </cell>
          <cell r="LAP2" t="str">
            <v/>
          </cell>
          <cell r="LAQ2" t="str">
            <v/>
          </cell>
          <cell r="LAR2" t="str">
            <v/>
          </cell>
          <cell r="LAS2" t="str">
            <v/>
          </cell>
          <cell r="LAT2" t="str">
            <v/>
          </cell>
          <cell r="LAU2" t="str">
            <v/>
          </cell>
          <cell r="LAV2" t="str">
            <v/>
          </cell>
          <cell r="LAW2" t="str">
            <v/>
          </cell>
          <cell r="LAX2" t="str">
            <v/>
          </cell>
          <cell r="LAY2" t="str">
            <v/>
          </cell>
          <cell r="LAZ2" t="str">
            <v/>
          </cell>
          <cell r="LBA2" t="str">
            <v/>
          </cell>
          <cell r="LBB2" t="str">
            <v/>
          </cell>
          <cell r="LBC2" t="str">
            <v/>
          </cell>
          <cell r="LBD2" t="str">
            <v/>
          </cell>
          <cell r="LBE2" t="str">
            <v/>
          </cell>
          <cell r="LBF2" t="str">
            <v/>
          </cell>
          <cell r="LBG2" t="str">
            <v/>
          </cell>
          <cell r="LBH2" t="str">
            <v/>
          </cell>
          <cell r="LBI2" t="str">
            <v/>
          </cell>
          <cell r="LBJ2" t="str">
            <v/>
          </cell>
          <cell r="LBK2" t="str">
            <v/>
          </cell>
          <cell r="LBL2" t="str">
            <v/>
          </cell>
          <cell r="LBM2" t="str">
            <v/>
          </cell>
          <cell r="LBN2" t="str">
            <v/>
          </cell>
          <cell r="LBO2" t="str">
            <v/>
          </cell>
          <cell r="LBP2" t="str">
            <v/>
          </cell>
          <cell r="LBQ2" t="str">
            <v/>
          </cell>
          <cell r="LBR2" t="str">
            <v/>
          </cell>
          <cell r="LBS2" t="str">
            <v/>
          </cell>
          <cell r="LBT2" t="str">
            <v/>
          </cell>
          <cell r="LBU2" t="str">
            <v/>
          </cell>
          <cell r="LBV2" t="str">
            <v/>
          </cell>
          <cell r="LBW2" t="str">
            <v/>
          </cell>
          <cell r="LBX2" t="str">
            <v/>
          </cell>
          <cell r="LBY2" t="str">
            <v/>
          </cell>
          <cell r="LBZ2" t="str">
            <v/>
          </cell>
          <cell r="LCA2" t="str">
            <v/>
          </cell>
          <cell r="LCB2" t="str">
            <v/>
          </cell>
          <cell r="LCC2" t="str">
            <v/>
          </cell>
          <cell r="LCD2" t="str">
            <v/>
          </cell>
          <cell r="LCE2" t="str">
            <v/>
          </cell>
          <cell r="LCF2" t="str">
            <v/>
          </cell>
          <cell r="LCG2" t="str">
            <v/>
          </cell>
          <cell r="LCH2" t="str">
            <v/>
          </cell>
          <cell r="LCI2" t="str">
            <v/>
          </cell>
          <cell r="LCJ2" t="str">
            <v/>
          </cell>
          <cell r="LCK2" t="str">
            <v/>
          </cell>
          <cell r="LCL2" t="str">
            <v/>
          </cell>
          <cell r="LCM2" t="str">
            <v/>
          </cell>
          <cell r="LCN2" t="str">
            <v/>
          </cell>
          <cell r="LCO2" t="str">
            <v/>
          </cell>
          <cell r="LCP2" t="str">
            <v/>
          </cell>
          <cell r="LCQ2" t="str">
            <v/>
          </cell>
          <cell r="LCR2" t="str">
            <v/>
          </cell>
          <cell r="LCS2" t="str">
            <v/>
          </cell>
          <cell r="LCT2" t="str">
            <v/>
          </cell>
          <cell r="LCU2" t="str">
            <v/>
          </cell>
          <cell r="LCV2" t="str">
            <v/>
          </cell>
          <cell r="LCW2" t="str">
            <v/>
          </cell>
          <cell r="LCX2" t="str">
            <v/>
          </cell>
          <cell r="LCY2" t="str">
            <v/>
          </cell>
          <cell r="LCZ2" t="str">
            <v/>
          </cell>
          <cell r="LDA2" t="str">
            <v/>
          </cell>
          <cell r="LDB2" t="str">
            <v/>
          </cell>
          <cell r="LDC2" t="str">
            <v/>
          </cell>
          <cell r="LDD2" t="str">
            <v/>
          </cell>
          <cell r="LDE2" t="str">
            <v/>
          </cell>
          <cell r="LDF2" t="str">
            <v/>
          </cell>
          <cell r="LDG2" t="str">
            <v/>
          </cell>
          <cell r="LDH2" t="str">
            <v/>
          </cell>
          <cell r="LDI2" t="str">
            <v/>
          </cell>
          <cell r="LDJ2" t="str">
            <v/>
          </cell>
          <cell r="LDK2" t="str">
            <v/>
          </cell>
          <cell r="LDL2" t="str">
            <v/>
          </cell>
          <cell r="LDM2" t="str">
            <v/>
          </cell>
          <cell r="LDN2" t="str">
            <v/>
          </cell>
          <cell r="LDO2" t="str">
            <v/>
          </cell>
          <cell r="LDP2" t="str">
            <v/>
          </cell>
          <cell r="LDQ2" t="str">
            <v/>
          </cell>
          <cell r="LDR2" t="str">
            <v/>
          </cell>
          <cell r="LDS2" t="str">
            <v/>
          </cell>
          <cell r="LDT2" t="str">
            <v/>
          </cell>
          <cell r="LDU2" t="str">
            <v/>
          </cell>
          <cell r="LDV2" t="str">
            <v/>
          </cell>
          <cell r="LDW2" t="str">
            <v/>
          </cell>
          <cell r="LDX2" t="str">
            <v/>
          </cell>
          <cell r="LDY2" t="str">
            <v/>
          </cell>
          <cell r="LDZ2" t="str">
            <v/>
          </cell>
          <cell r="LEA2" t="str">
            <v/>
          </cell>
          <cell r="LEB2" t="str">
            <v/>
          </cell>
          <cell r="LEC2" t="str">
            <v/>
          </cell>
          <cell r="LED2" t="str">
            <v/>
          </cell>
          <cell r="LEE2" t="str">
            <v/>
          </cell>
          <cell r="LEF2" t="str">
            <v/>
          </cell>
          <cell r="LEG2" t="str">
            <v/>
          </cell>
          <cell r="LEH2" t="str">
            <v/>
          </cell>
          <cell r="LEI2" t="str">
            <v/>
          </cell>
          <cell r="LEJ2" t="str">
            <v/>
          </cell>
          <cell r="LEK2" t="str">
            <v/>
          </cell>
          <cell r="LEL2" t="str">
            <v/>
          </cell>
          <cell r="LEM2" t="str">
            <v/>
          </cell>
          <cell r="LEN2" t="str">
            <v/>
          </cell>
          <cell r="LEO2" t="str">
            <v/>
          </cell>
          <cell r="LEP2" t="str">
            <v/>
          </cell>
          <cell r="LEQ2" t="str">
            <v/>
          </cell>
          <cell r="LER2" t="str">
            <v/>
          </cell>
          <cell r="LES2" t="str">
            <v/>
          </cell>
          <cell r="LET2" t="str">
            <v/>
          </cell>
          <cell r="LEU2" t="str">
            <v/>
          </cell>
          <cell r="LEV2" t="str">
            <v/>
          </cell>
          <cell r="LEW2" t="str">
            <v/>
          </cell>
          <cell r="LEX2" t="str">
            <v/>
          </cell>
          <cell r="LEY2" t="str">
            <v/>
          </cell>
          <cell r="LEZ2" t="str">
            <v/>
          </cell>
          <cell r="LFA2" t="str">
            <v/>
          </cell>
          <cell r="LFB2" t="str">
            <v/>
          </cell>
          <cell r="LFC2" t="str">
            <v/>
          </cell>
          <cell r="LFD2" t="str">
            <v/>
          </cell>
          <cell r="LFE2" t="str">
            <v/>
          </cell>
          <cell r="LFF2" t="str">
            <v/>
          </cell>
          <cell r="LFG2" t="str">
            <v/>
          </cell>
          <cell r="LFH2" t="str">
            <v/>
          </cell>
          <cell r="LFI2" t="str">
            <v/>
          </cell>
          <cell r="LFJ2" t="str">
            <v/>
          </cell>
          <cell r="LFK2" t="str">
            <v/>
          </cell>
          <cell r="LFL2" t="str">
            <v/>
          </cell>
          <cell r="LFM2" t="str">
            <v/>
          </cell>
          <cell r="LFN2" t="str">
            <v/>
          </cell>
          <cell r="LFO2" t="str">
            <v/>
          </cell>
          <cell r="LFP2" t="str">
            <v/>
          </cell>
          <cell r="LFQ2" t="str">
            <v/>
          </cell>
          <cell r="LFR2" t="str">
            <v/>
          </cell>
          <cell r="LFS2" t="str">
            <v/>
          </cell>
          <cell r="LFT2" t="str">
            <v/>
          </cell>
          <cell r="LFU2" t="str">
            <v/>
          </cell>
          <cell r="LFV2" t="str">
            <v/>
          </cell>
          <cell r="LFW2" t="str">
            <v/>
          </cell>
          <cell r="LFX2" t="str">
            <v/>
          </cell>
          <cell r="LFY2" t="str">
            <v/>
          </cell>
          <cell r="LFZ2" t="str">
            <v/>
          </cell>
          <cell r="LGA2" t="str">
            <v/>
          </cell>
          <cell r="LGB2" t="str">
            <v/>
          </cell>
          <cell r="LGC2" t="str">
            <v/>
          </cell>
          <cell r="LGD2" t="str">
            <v/>
          </cell>
          <cell r="LGE2" t="str">
            <v/>
          </cell>
          <cell r="LGF2" t="str">
            <v/>
          </cell>
          <cell r="LGG2" t="str">
            <v/>
          </cell>
          <cell r="LGH2" t="str">
            <v/>
          </cell>
          <cell r="LGI2" t="str">
            <v/>
          </cell>
          <cell r="LGJ2" t="str">
            <v/>
          </cell>
          <cell r="LGK2" t="str">
            <v/>
          </cell>
          <cell r="LGL2" t="str">
            <v/>
          </cell>
          <cell r="LGM2" t="str">
            <v/>
          </cell>
          <cell r="LGN2" t="str">
            <v/>
          </cell>
          <cell r="LGO2" t="str">
            <v/>
          </cell>
          <cell r="LGP2" t="str">
            <v/>
          </cell>
          <cell r="LGQ2" t="str">
            <v/>
          </cell>
          <cell r="LGR2" t="str">
            <v/>
          </cell>
          <cell r="LGS2" t="str">
            <v/>
          </cell>
          <cell r="LGT2" t="str">
            <v/>
          </cell>
          <cell r="LGU2" t="str">
            <v/>
          </cell>
          <cell r="LGV2" t="str">
            <v/>
          </cell>
          <cell r="LGW2" t="str">
            <v/>
          </cell>
          <cell r="LGX2" t="str">
            <v/>
          </cell>
          <cell r="LGY2" t="str">
            <v/>
          </cell>
          <cell r="LGZ2" t="str">
            <v/>
          </cell>
          <cell r="LHA2" t="str">
            <v/>
          </cell>
          <cell r="LHB2" t="str">
            <v/>
          </cell>
          <cell r="LHC2" t="str">
            <v/>
          </cell>
          <cell r="LHD2" t="str">
            <v/>
          </cell>
          <cell r="LHE2" t="str">
            <v/>
          </cell>
          <cell r="LHF2" t="str">
            <v/>
          </cell>
          <cell r="LHG2" t="str">
            <v/>
          </cell>
          <cell r="LHH2" t="str">
            <v/>
          </cell>
          <cell r="LHI2" t="str">
            <v/>
          </cell>
          <cell r="LHJ2" t="str">
            <v/>
          </cell>
          <cell r="LHK2" t="str">
            <v/>
          </cell>
          <cell r="LHL2" t="str">
            <v/>
          </cell>
          <cell r="LHM2" t="str">
            <v/>
          </cell>
          <cell r="LHN2" t="str">
            <v/>
          </cell>
          <cell r="LHO2" t="str">
            <v/>
          </cell>
          <cell r="LHP2" t="str">
            <v/>
          </cell>
          <cell r="LHQ2" t="str">
            <v/>
          </cell>
          <cell r="LHR2" t="str">
            <v/>
          </cell>
          <cell r="LHS2" t="str">
            <v/>
          </cell>
          <cell r="LHT2" t="str">
            <v/>
          </cell>
          <cell r="LHU2" t="str">
            <v/>
          </cell>
          <cell r="LHV2" t="str">
            <v/>
          </cell>
          <cell r="LHW2" t="str">
            <v/>
          </cell>
          <cell r="LHX2" t="str">
            <v/>
          </cell>
          <cell r="LHY2" t="str">
            <v/>
          </cell>
          <cell r="LHZ2" t="str">
            <v/>
          </cell>
          <cell r="LIA2" t="str">
            <v/>
          </cell>
          <cell r="LIB2" t="str">
            <v/>
          </cell>
          <cell r="LIC2" t="str">
            <v/>
          </cell>
          <cell r="LID2" t="str">
            <v/>
          </cell>
          <cell r="LIE2" t="str">
            <v/>
          </cell>
          <cell r="LIF2" t="str">
            <v/>
          </cell>
          <cell r="LIG2" t="str">
            <v/>
          </cell>
          <cell r="LIH2" t="str">
            <v/>
          </cell>
          <cell r="LII2" t="str">
            <v/>
          </cell>
          <cell r="LIJ2" t="str">
            <v/>
          </cell>
          <cell r="LIK2" t="str">
            <v/>
          </cell>
          <cell r="LIL2" t="str">
            <v/>
          </cell>
          <cell r="LIM2" t="str">
            <v/>
          </cell>
          <cell r="LIN2" t="str">
            <v/>
          </cell>
          <cell r="LIO2" t="str">
            <v/>
          </cell>
          <cell r="LIP2" t="str">
            <v/>
          </cell>
          <cell r="LIQ2" t="str">
            <v/>
          </cell>
          <cell r="LIR2" t="str">
            <v/>
          </cell>
          <cell r="LIS2" t="str">
            <v/>
          </cell>
          <cell r="LIT2" t="str">
            <v/>
          </cell>
          <cell r="LIU2" t="str">
            <v/>
          </cell>
          <cell r="LIV2" t="str">
            <v/>
          </cell>
          <cell r="LIW2" t="str">
            <v/>
          </cell>
          <cell r="LIX2" t="str">
            <v/>
          </cell>
          <cell r="LIY2" t="str">
            <v/>
          </cell>
          <cell r="LIZ2" t="str">
            <v/>
          </cell>
          <cell r="LJA2" t="str">
            <v/>
          </cell>
          <cell r="LJB2" t="str">
            <v/>
          </cell>
          <cell r="LJC2" t="str">
            <v/>
          </cell>
          <cell r="LJD2" t="str">
            <v/>
          </cell>
          <cell r="LJE2" t="str">
            <v/>
          </cell>
          <cell r="LJF2" t="str">
            <v/>
          </cell>
          <cell r="LJG2" t="str">
            <v/>
          </cell>
          <cell r="LJH2" t="str">
            <v/>
          </cell>
          <cell r="LJI2" t="str">
            <v/>
          </cell>
          <cell r="LJJ2" t="str">
            <v/>
          </cell>
          <cell r="LJK2" t="str">
            <v/>
          </cell>
          <cell r="LJL2" t="str">
            <v/>
          </cell>
          <cell r="LJM2" t="str">
            <v/>
          </cell>
          <cell r="LJN2" t="str">
            <v/>
          </cell>
          <cell r="LJO2" t="str">
            <v/>
          </cell>
          <cell r="LJP2" t="str">
            <v/>
          </cell>
          <cell r="LJQ2" t="str">
            <v/>
          </cell>
          <cell r="LJR2" t="str">
            <v/>
          </cell>
          <cell r="LJS2" t="str">
            <v/>
          </cell>
          <cell r="LJT2" t="str">
            <v/>
          </cell>
          <cell r="LJU2" t="str">
            <v/>
          </cell>
          <cell r="LJV2" t="str">
            <v/>
          </cell>
          <cell r="LJW2" t="str">
            <v/>
          </cell>
          <cell r="LJX2" t="str">
            <v/>
          </cell>
          <cell r="LJY2" t="str">
            <v/>
          </cell>
          <cell r="LJZ2" t="str">
            <v/>
          </cell>
          <cell r="LKA2" t="str">
            <v/>
          </cell>
          <cell r="LKB2" t="str">
            <v/>
          </cell>
          <cell r="LKC2" t="str">
            <v/>
          </cell>
          <cell r="LKD2" t="str">
            <v/>
          </cell>
          <cell r="LKE2" t="str">
            <v/>
          </cell>
          <cell r="LKF2" t="str">
            <v/>
          </cell>
          <cell r="LKG2" t="str">
            <v/>
          </cell>
          <cell r="LKH2" t="str">
            <v/>
          </cell>
          <cell r="LKI2" t="str">
            <v/>
          </cell>
          <cell r="LKJ2" t="str">
            <v/>
          </cell>
          <cell r="LKK2" t="str">
            <v/>
          </cell>
          <cell r="LKL2" t="str">
            <v/>
          </cell>
          <cell r="LKM2" t="str">
            <v/>
          </cell>
          <cell r="LKN2" t="str">
            <v/>
          </cell>
          <cell r="LKO2" t="str">
            <v/>
          </cell>
          <cell r="LKP2" t="str">
            <v/>
          </cell>
          <cell r="LKQ2" t="str">
            <v/>
          </cell>
          <cell r="LKR2" t="str">
            <v/>
          </cell>
          <cell r="LKS2" t="str">
            <v/>
          </cell>
          <cell r="LKT2" t="str">
            <v/>
          </cell>
          <cell r="LKU2" t="str">
            <v/>
          </cell>
          <cell r="LKV2" t="str">
            <v/>
          </cell>
          <cell r="LKW2" t="str">
            <v/>
          </cell>
          <cell r="LKX2" t="str">
            <v/>
          </cell>
          <cell r="LKY2" t="str">
            <v/>
          </cell>
          <cell r="LKZ2" t="str">
            <v/>
          </cell>
          <cell r="LLA2" t="str">
            <v/>
          </cell>
          <cell r="LLB2" t="str">
            <v/>
          </cell>
          <cell r="LLC2" t="str">
            <v/>
          </cell>
          <cell r="LLD2" t="str">
            <v/>
          </cell>
          <cell r="LLE2" t="str">
            <v/>
          </cell>
          <cell r="LLF2" t="str">
            <v/>
          </cell>
          <cell r="LLG2" t="str">
            <v/>
          </cell>
          <cell r="LLH2" t="str">
            <v/>
          </cell>
          <cell r="LLI2" t="str">
            <v/>
          </cell>
          <cell r="LLJ2" t="str">
            <v/>
          </cell>
          <cell r="LLK2" t="str">
            <v/>
          </cell>
          <cell r="LLL2" t="str">
            <v/>
          </cell>
          <cell r="LLM2" t="str">
            <v/>
          </cell>
          <cell r="LLN2" t="str">
            <v/>
          </cell>
          <cell r="LLO2" t="str">
            <v/>
          </cell>
          <cell r="LLP2" t="str">
            <v/>
          </cell>
          <cell r="LLQ2" t="str">
            <v/>
          </cell>
          <cell r="LLR2" t="str">
            <v/>
          </cell>
          <cell r="LLS2" t="str">
            <v/>
          </cell>
          <cell r="LLT2" t="str">
            <v/>
          </cell>
          <cell r="LLU2" t="str">
            <v/>
          </cell>
          <cell r="LLV2" t="str">
            <v/>
          </cell>
          <cell r="LLW2" t="str">
            <v/>
          </cell>
          <cell r="LLX2" t="str">
            <v/>
          </cell>
          <cell r="LLY2" t="str">
            <v/>
          </cell>
          <cell r="LLZ2" t="str">
            <v/>
          </cell>
          <cell r="LMA2" t="str">
            <v/>
          </cell>
          <cell r="LMB2" t="str">
            <v/>
          </cell>
          <cell r="LMC2" t="str">
            <v/>
          </cell>
          <cell r="LMD2" t="str">
            <v/>
          </cell>
          <cell r="LME2" t="str">
            <v/>
          </cell>
          <cell r="LMF2" t="str">
            <v/>
          </cell>
          <cell r="LMG2" t="str">
            <v/>
          </cell>
          <cell r="LMH2" t="str">
            <v/>
          </cell>
          <cell r="LMI2" t="str">
            <v/>
          </cell>
          <cell r="LMJ2" t="str">
            <v/>
          </cell>
          <cell r="LMK2" t="str">
            <v/>
          </cell>
          <cell r="LML2" t="str">
            <v/>
          </cell>
          <cell r="LMM2" t="str">
            <v/>
          </cell>
          <cell r="LMN2" t="str">
            <v/>
          </cell>
          <cell r="LMO2" t="str">
            <v/>
          </cell>
          <cell r="LMP2" t="str">
            <v/>
          </cell>
          <cell r="LMQ2" t="str">
            <v/>
          </cell>
          <cell r="LMR2" t="str">
            <v/>
          </cell>
          <cell r="LMS2" t="str">
            <v/>
          </cell>
          <cell r="LMT2" t="str">
            <v/>
          </cell>
          <cell r="LMU2" t="str">
            <v/>
          </cell>
          <cell r="LMV2" t="str">
            <v/>
          </cell>
          <cell r="LMW2" t="str">
            <v/>
          </cell>
          <cell r="LMX2" t="str">
            <v/>
          </cell>
          <cell r="LMY2" t="str">
            <v/>
          </cell>
          <cell r="LMZ2" t="str">
            <v/>
          </cell>
          <cell r="LNA2" t="str">
            <v/>
          </cell>
          <cell r="LNB2" t="str">
            <v/>
          </cell>
          <cell r="LNC2" t="str">
            <v/>
          </cell>
          <cell r="LND2" t="str">
            <v/>
          </cell>
          <cell r="LNE2" t="str">
            <v/>
          </cell>
          <cell r="LNF2" t="str">
            <v/>
          </cell>
          <cell r="LNG2" t="str">
            <v/>
          </cell>
          <cell r="LNH2" t="str">
            <v/>
          </cell>
          <cell r="LNI2" t="str">
            <v/>
          </cell>
          <cell r="LNJ2" t="str">
            <v/>
          </cell>
          <cell r="LNK2" t="str">
            <v/>
          </cell>
          <cell r="LNL2" t="str">
            <v/>
          </cell>
          <cell r="LNM2" t="str">
            <v/>
          </cell>
          <cell r="LNN2" t="str">
            <v/>
          </cell>
          <cell r="LNO2" t="str">
            <v/>
          </cell>
          <cell r="LNP2" t="str">
            <v/>
          </cell>
          <cell r="LNQ2" t="str">
            <v/>
          </cell>
          <cell r="LNR2" t="str">
            <v/>
          </cell>
          <cell r="LNS2" t="str">
            <v/>
          </cell>
          <cell r="LNT2" t="str">
            <v/>
          </cell>
          <cell r="LNU2" t="str">
            <v/>
          </cell>
          <cell r="LNV2" t="str">
            <v/>
          </cell>
          <cell r="LNW2" t="str">
            <v/>
          </cell>
          <cell r="LNX2" t="str">
            <v/>
          </cell>
          <cell r="LNY2" t="str">
            <v/>
          </cell>
          <cell r="LNZ2" t="str">
            <v/>
          </cell>
          <cell r="LOA2" t="str">
            <v/>
          </cell>
          <cell r="LOB2" t="str">
            <v/>
          </cell>
          <cell r="LOC2" t="str">
            <v/>
          </cell>
          <cell r="LOD2" t="str">
            <v/>
          </cell>
          <cell r="LOE2" t="str">
            <v/>
          </cell>
          <cell r="LOF2" t="str">
            <v/>
          </cell>
          <cell r="LOG2" t="str">
            <v/>
          </cell>
          <cell r="LOH2" t="str">
            <v/>
          </cell>
          <cell r="LOI2" t="str">
            <v/>
          </cell>
          <cell r="LOJ2" t="str">
            <v/>
          </cell>
          <cell r="LOK2" t="str">
            <v/>
          </cell>
          <cell r="LOL2" t="str">
            <v/>
          </cell>
          <cell r="LOM2" t="str">
            <v/>
          </cell>
          <cell r="LON2" t="str">
            <v/>
          </cell>
          <cell r="LOO2" t="str">
            <v/>
          </cell>
          <cell r="LOP2" t="str">
            <v/>
          </cell>
          <cell r="LOQ2" t="str">
            <v/>
          </cell>
          <cell r="LOR2" t="str">
            <v/>
          </cell>
          <cell r="LOS2" t="str">
            <v/>
          </cell>
          <cell r="LOT2" t="str">
            <v/>
          </cell>
          <cell r="LOU2" t="str">
            <v/>
          </cell>
          <cell r="LOV2" t="str">
            <v/>
          </cell>
          <cell r="LOW2" t="str">
            <v/>
          </cell>
          <cell r="LOX2" t="str">
            <v/>
          </cell>
          <cell r="LOY2" t="str">
            <v/>
          </cell>
          <cell r="LOZ2" t="str">
            <v/>
          </cell>
          <cell r="LPA2" t="str">
            <v/>
          </cell>
          <cell r="LPB2" t="str">
            <v/>
          </cell>
          <cell r="LPC2" t="str">
            <v/>
          </cell>
          <cell r="LPD2" t="str">
            <v/>
          </cell>
          <cell r="LPE2" t="str">
            <v/>
          </cell>
          <cell r="LPF2" t="str">
            <v/>
          </cell>
          <cell r="LPG2" t="str">
            <v/>
          </cell>
          <cell r="LPH2" t="str">
            <v/>
          </cell>
          <cell r="LPI2" t="str">
            <v/>
          </cell>
          <cell r="LPJ2" t="str">
            <v/>
          </cell>
          <cell r="LPK2" t="str">
            <v/>
          </cell>
          <cell r="LPL2" t="str">
            <v/>
          </cell>
          <cell r="LPM2" t="str">
            <v/>
          </cell>
          <cell r="LPN2" t="str">
            <v/>
          </cell>
          <cell r="LPO2" t="str">
            <v/>
          </cell>
          <cell r="LPP2" t="str">
            <v/>
          </cell>
          <cell r="LPQ2" t="str">
            <v/>
          </cell>
          <cell r="LPR2" t="str">
            <v/>
          </cell>
          <cell r="LPS2" t="str">
            <v/>
          </cell>
          <cell r="LPT2" t="str">
            <v/>
          </cell>
          <cell r="LPU2" t="str">
            <v/>
          </cell>
          <cell r="LPV2" t="str">
            <v/>
          </cell>
          <cell r="LPW2" t="str">
            <v/>
          </cell>
          <cell r="LPX2" t="str">
            <v/>
          </cell>
          <cell r="LPY2" t="str">
            <v/>
          </cell>
          <cell r="LPZ2" t="str">
            <v/>
          </cell>
          <cell r="LQA2" t="str">
            <v/>
          </cell>
          <cell r="LQB2" t="str">
            <v/>
          </cell>
          <cell r="LQC2" t="str">
            <v/>
          </cell>
          <cell r="LQD2" t="str">
            <v/>
          </cell>
          <cell r="LQE2" t="str">
            <v/>
          </cell>
          <cell r="LQF2" t="str">
            <v/>
          </cell>
          <cell r="LQG2" t="str">
            <v/>
          </cell>
          <cell r="LQH2" t="str">
            <v/>
          </cell>
          <cell r="LQI2" t="str">
            <v/>
          </cell>
          <cell r="LQJ2" t="str">
            <v/>
          </cell>
          <cell r="LQK2" t="str">
            <v/>
          </cell>
          <cell r="LQL2" t="str">
            <v/>
          </cell>
          <cell r="LQM2" t="str">
            <v/>
          </cell>
          <cell r="LQN2" t="str">
            <v/>
          </cell>
          <cell r="LQO2" t="str">
            <v/>
          </cell>
          <cell r="LQP2" t="str">
            <v/>
          </cell>
          <cell r="LQQ2" t="str">
            <v/>
          </cell>
          <cell r="LQR2" t="str">
            <v/>
          </cell>
          <cell r="LQS2" t="str">
            <v/>
          </cell>
          <cell r="LQT2" t="str">
            <v/>
          </cell>
          <cell r="LQU2" t="str">
            <v/>
          </cell>
          <cell r="LQV2" t="str">
            <v/>
          </cell>
          <cell r="LQW2" t="str">
            <v/>
          </cell>
          <cell r="LQX2" t="str">
            <v/>
          </cell>
          <cell r="LQY2" t="str">
            <v/>
          </cell>
          <cell r="LQZ2" t="str">
            <v/>
          </cell>
          <cell r="LRA2" t="str">
            <v/>
          </cell>
          <cell r="LRB2" t="str">
            <v/>
          </cell>
          <cell r="LRC2" t="str">
            <v/>
          </cell>
          <cell r="LRD2" t="str">
            <v/>
          </cell>
          <cell r="LRE2" t="str">
            <v/>
          </cell>
          <cell r="LRF2" t="str">
            <v/>
          </cell>
          <cell r="LRG2" t="str">
            <v/>
          </cell>
          <cell r="LRH2" t="str">
            <v/>
          </cell>
          <cell r="LRI2" t="str">
            <v/>
          </cell>
          <cell r="LRJ2" t="str">
            <v/>
          </cell>
          <cell r="LRK2" t="str">
            <v/>
          </cell>
          <cell r="LRL2" t="str">
            <v/>
          </cell>
          <cell r="LRM2" t="str">
            <v/>
          </cell>
          <cell r="LRN2" t="str">
            <v/>
          </cell>
          <cell r="LRO2" t="str">
            <v/>
          </cell>
          <cell r="LRP2" t="str">
            <v/>
          </cell>
          <cell r="LRQ2" t="str">
            <v/>
          </cell>
          <cell r="LRR2" t="str">
            <v/>
          </cell>
          <cell r="LRS2" t="str">
            <v/>
          </cell>
          <cell r="LRT2" t="str">
            <v/>
          </cell>
          <cell r="LRU2" t="str">
            <v/>
          </cell>
          <cell r="LRV2" t="str">
            <v/>
          </cell>
          <cell r="LRW2" t="str">
            <v/>
          </cell>
          <cell r="LRX2" t="str">
            <v/>
          </cell>
          <cell r="LRY2" t="str">
            <v/>
          </cell>
          <cell r="LRZ2" t="str">
            <v/>
          </cell>
          <cell r="LSA2" t="str">
            <v/>
          </cell>
          <cell r="LSB2" t="str">
            <v/>
          </cell>
          <cell r="LSC2" t="str">
            <v/>
          </cell>
          <cell r="LSD2" t="str">
            <v/>
          </cell>
          <cell r="LSE2" t="str">
            <v/>
          </cell>
          <cell r="LSF2" t="str">
            <v/>
          </cell>
          <cell r="LSG2" t="str">
            <v/>
          </cell>
          <cell r="LSH2" t="str">
            <v/>
          </cell>
          <cell r="LSI2" t="str">
            <v/>
          </cell>
          <cell r="LSJ2" t="str">
            <v/>
          </cell>
          <cell r="LSK2" t="str">
            <v/>
          </cell>
          <cell r="LSL2" t="str">
            <v/>
          </cell>
          <cell r="LSM2" t="str">
            <v/>
          </cell>
          <cell r="LSN2" t="str">
            <v/>
          </cell>
          <cell r="LSO2" t="str">
            <v/>
          </cell>
          <cell r="LSP2" t="str">
            <v/>
          </cell>
          <cell r="LSQ2" t="str">
            <v/>
          </cell>
          <cell r="LSR2" t="str">
            <v/>
          </cell>
          <cell r="LSS2" t="str">
            <v/>
          </cell>
          <cell r="LST2" t="str">
            <v/>
          </cell>
          <cell r="LSU2" t="str">
            <v/>
          </cell>
          <cell r="LSV2" t="str">
            <v/>
          </cell>
          <cell r="LSW2" t="str">
            <v/>
          </cell>
          <cell r="LSX2" t="str">
            <v/>
          </cell>
          <cell r="LSY2" t="str">
            <v/>
          </cell>
          <cell r="LSZ2" t="str">
            <v/>
          </cell>
          <cell r="LTA2" t="str">
            <v/>
          </cell>
          <cell r="LTB2" t="str">
            <v/>
          </cell>
          <cell r="LTC2" t="str">
            <v/>
          </cell>
          <cell r="LTD2" t="str">
            <v/>
          </cell>
          <cell r="LTE2" t="str">
            <v/>
          </cell>
          <cell r="LTF2" t="str">
            <v/>
          </cell>
          <cell r="LTG2" t="str">
            <v/>
          </cell>
          <cell r="LTH2" t="str">
            <v/>
          </cell>
          <cell r="LTI2" t="str">
            <v/>
          </cell>
          <cell r="LTJ2" t="str">
            <v/>
          </cell>
          <cell r="LTK2" t="str">
            <v/>
          </cell>
          <cell r="LTL2" t="str">
            <v/>
          </cell>
          <cell r="LTM2" t="str">
            <v/>
          </cell>
          <cell r="LTN2" t="str">
            <v/>
          </cell>
          <cell r="LTO2" t="str">
            <v/>
          </cell>
          <cell r="LTP2" t="str">
            <v/>
          </cell>
          <cell r="LTQ2" t="str">
            <v/>
          </cell>
          <cell r="LTR2" t="str">
            <v/>
          </cell>
          <cell r="LTS2" t="str">
            <v/>
          </cell>
          <cell r="LTT2" t="str">
            <v/>
          </cell>
          <cell r="LTU2" t="str">
            <v/>
          </cell>
          <cell r="LTV2" t="str">
            <v/>
          </cell>
          <cell r="LTW2" t="str">
            <v/>
          </cell>
          <cell r="LTX2" t="str">
            <v/>
          </cell>
          <cell r="LTY2" t="str">
            <v/>
          </cell>
          <cell r="LTZ2" t="str">
            <v/>
          </cell>
          <cell r="LUA2" t="str">
            <v/>
          </cell>
          <cell r="LUB2" t="str">
            <v/>
          </cell>
          <cell r="LUC2" t="str">
            <v/>
          </cell>
          <cell r="LUD2" t="str">
            <v/>
          </cell>
          <cell r="LUE2" t="str">
            <v/>
          </cell>
          <cell r="LUF2" t="str">
            <v/>
          </cell>
          <cell r="LUG2" t="str">
            <v/>
          </cell>
          <cell r="LUH2" t="str">
            <v/>
          </cell>
          <cell r="LUI2" t="str">
            <v/>
          </cell>
          <cell r="LUJ2" t="str">
            <v/>
          </cell>
          <cell r="LUK2" t="str">
            <v/>
          </cell>
          <cell r="LUL2" t="str">
            <v/>
          </cell>
          <cell r="LUM2" t="str">
            <v/>
          </cell>
          <cell r="LUN2" t="str">
            <v/>
          </cell>
          <cell r="LUO2" t="str">
            <v/>
          </cell>
          <cell r="LUP2" t="str">
            <v/>
          </cell>
          <cell r="LUQ2" t="str">
            <v/>
          </cell>
          <cell r="LUR2" t="str">
            <v/>
          </cell>
          <cell r="LUS2" t="str">
            <v/>
          </cell>
          <cell r="LUT2" t="str">
            <v/>
          </cell>
          <cell r="LUU2" t="str">
            <v/>
          </cell>
          <cell r="LUV2" t="str">
            <v/>
          </cell>
          <cell r="LUW2" t="str">
            <v/>
          </cell>
          <cell r="LUX2" t="str">
            <v/>
          </cell>
          <cell r="LUY2" t="str">
            <v/>
          </cell>
          <cell r="LUZ2" t="str">
            <v/>
          </cell>
          <cell r="LVA2" t="str">
            <v/>
          </cell>
          <cell r="LVB2" t="str">
            <v/>
          </cell>
          <cell r="LVC2" t="str">
            <v/>
          </cell>
          <cell r="LVD2" t="str">
            <v/>
          </cell>
          <cell r="LVE2" t="str">
            <v/>
          </cell>
          <cell r="LVF2" t="str">
            <v/>
          </cell>
          <cell r="LVG2" t="str">
            <v/>
          </cell>
          <cell r="LVH2" t="str">
            <v/>
          </cell>
          <cell r="LVI2" t="str">
            <v/>
          </cell>
          <cell r="LVJ2" t="str">
            <v/>
          </cell>
          <cell r="LVK2" t="str">
            <v/>
          </cell>
          <cell r="LVL2" t="str">
            <v/>
          </cell>
          <cell r="LVM2" t="str">
            <v/>
          </cell>
          <cell r="LVN2" t="str">
            <v/>
          </cell>
          <cell r="LVO2" t="str">
            <v/>
          </cell>
          <cell r="LVP2" t="str">
            <v/>
          </cell>
          <cell r="LVQ2" t="str">
            <v/>
          </cell>
          <cell r="LVR2" t="str">
            <v/>
          </cell>
          <cell r="LVS2" t="str">
            <v/>
          </cell>
          <cell r="LVT2" t="str">
            <v/>
          </cell>
          <cell r="LVU2" t="str">
            <v/>
          </cell>
          <cell r="LVV2" t="str">
            <v/>
          </cell>
          <cell r="LVW2" t="str">
            <v/>
          </cell>
          <cell r="LVX2" t="str">
            <v/>
          </cell>
          <cell r="LVY2" t="str">
            <v/>
          </cell>
          <cell r="LVZ2" t="str">
            <v/>
          </cell>
          <cell r="LWA2" t="str">
            <v/>
          </cell>
          <cell r="LWB2" t="str">
            <v/>
          </cell>
          <cell r="LWC2" t="str">
            <v/>
          </cell>
          <cell r="LWD2" t="str">
            <v/>
          </cell>
          <cell r="LWE2" t="str">
            <v/>
          </cell>
          <cell r="LWF2" t="str">
            <v/>
          </cell>
          <cell r="LWG2" t="str">
            <v/>
          </cell>
          <cell r="LWH2" t="str">
            <v/>
          </cell>
          <cell r="LWI2" t="str">
            <v/>
          </cell>
          <cell r="LWJ2" t="str">
            <v/>
          </cell>
          <cell r="LWK2" t="str">
            <v/>
          </cell>
          <cell r="LWL2" t="str">
            <v/>
          </cell>
          <cell r="LWM2" t="str">
            <v/>
          </cell>
          <cell r="LWN2" t="str">
            <v/>
          </cell>
          <cell r="LWO2" t="str">
            <v/>
          </cell>
          <cell r="LWP2" t="str">
            <v/>
          </cell>
          <cell r="LWQ2" t="str">
            <v/>
          </cell>
          <cell r="LWR2" t="str">
            <v/>
          </cell>
          <cell r="LWS2" t="str">
            <v/>
          </cell>
          <cell r="LWT2" t="str">
            <v/>
          </cell>
          <cell r="LWU2" t="str">
            <v/>
          </cell>
          <cell r="LWV2" t="str">
            <v/>
          </cell>
          <cell r="LWW2" t="str">
            <v/>
          </cell>
          <cell r="LWX2" t="str">
            <v/>
          </cell>
          <cell r="LWY2" t="str">
            <v/>
          </cell>
          <cell r="LWZ2" t="str">
            <v/>
          </cell>
          <cell r="LXA2" t="str">
            <v/>
          </cell>
          <cell r="LXB2" t="str">
            <v/>
          </cell>
          <cell r="LXC2" t="str">
            <v/>
          </cell>
          <cell r="LXD2" t="str">
            <v/>
          </cell>
          <cell r="LXE2" t="str">
            <v/>
          </cell>
          <cell r="LXF2" t="str">
            <v/>
          </cell>
          <cell r="LXG2" t="str">
            <v/>
          </cell>
          <cell r="LXH2" t="str">
            <v/>
          </cell>
          <cell r="LXI2" t="str">
            <v/>
          </cell>
          <cell r="LXJ2" t="str">
            <v/>
          </cell>
          <cell r="LXK2" t="str">
            <v/>
          </cell>
          <cell r="LXL2" t="str">
            <v/>
          </cell>
          <cell r="LXM2" t="str">
            <v/>
          </cell>
          <cell r="LXN2" t="str">
            <v/>
          </cell>
          <cell r="LXO2" t="str">
            <v/>
          </cell>
          <cell r="LXP2" t="str">
            <v/>
          </cell>
          <cell r="LXQ2" t="str">
            <v/>
          </cell>
          <cell r="LXR2" t="str">
            <v/>
          </cell>
          <cell r="LXS2" t="str">
            <v/>
          </cell>
          <cell r="LXT2" t="str">
            <v/>
          </cell>
          <cell r="LXU2" t="str">
            <v/>
          </cell>
          <cell r="LXV2" t="str">
            <v/>
          </cell>
          <cell r="LXW2" t="str">
            <v/>
          </cell>
          <cell r="LXX2" t="str">
            <v/>
          </cell>
          <cell r="LXY2" t="str">
            <v/>
          </cell>
          <cell r="LXZ2" t="str">
            <v/>
          </cell>
          <cell r="LYA2" t="str">
            <v/>
          </cell>
          <cell r="LYB2" t="str">
            <v/>
          </cell>
          <cell r="LYC2" t="str">
            <v/>
          </cell>
          <cell r="LYD2" t="str">
            <v/>
          </cell>
          <cell r="LYE2" t="str">
            <v/>
          </cell>
          <cell r="LYF2" t="str">
            <v/>
          </cell>
          <cell r="LYG2" t="str">
            <v/>
          </cell>
          <cell r="LYH2" t="str">
            <v/>
          </cell>
          <cell r="LYI2" t="str">
            <v/>
          </cell>
          <cell r="LYJ2" t="str">
            <v/>
          </cell>
          <cell r="LYK2" t="str">
            <v/>
          </cell>
          <cell r="LYL2" t="str">
            <v/>
          </cell>
          <cell r="LYM2" t="str">
            <v/>
          </cell>
          <cell r="LYN2" t="str">
            <v/>
          </cell>
          <cell r="LYO2" t="str">
            <v/>
          </cell>
          <cell r="LYP2" t="str">
            <v/>
          </cell>
          <cell r="LYQ2" t="str">
            <v/>
          </cell>
          <cell r="LYR2" t="str">
            <v/>
          </cell>
          <cell r="LYS2" t="str">
            <v/>
          </cell>
          <cell r="LYT2" t="str">
            <v/>
          </cell>
          <cell r="LYU2" t="str">
            <v/>
          </cell>
          <cell r="LYV2" t="str">
            <v/>
          </cell>
          <cell r="LYW2" t="str">
            <v/>
          </cell>
          <cell r="LYX2" t="str">
            <v/>
          </cell>
          <cell r="LYY2" t="str">
            <v/>
          </cell>
          <cell r="LYZ2" t="str">
            <v/>
          </cell>
          <cell r="LZA2" t="str">
            <v/>
          </cell>
          <cell r="LZB2" t="str">
            <v/>
          </cell>
          <cell r="LZC2" t="str">
            <v/>
          </cell>
          <cell r="LZD2" t="str">
            <v/>
          </cell>
          <cell r="LZE2" t="str">
            <v/>
          </cell>
          <cell r="LZF2" t="str">
            <v/>
          </cell>
          <cell r="LZG2" t="str">
            <v/>
          </cell>
          <cell r="LZH2" t="str">
            <v/>
          </cell>
          <cell r="LZI2" t="str">
            <v/>
          </cell>
          <cell r="LZJ2" t="str">
            <v/>
          </cell>
          <cell r="LZK2" t="str">
            <v/>
          </cell>
          <cell r="LZL2" t="str">
            <v/>
          </cell>
          <cell r="LZM2" t="str">
            <v/>
          </cell>
          <cell r="LZN2" t="str">
            <v/>
          </cell>
          <cell r="LZO2" t="str">
            <v/>
          </cell>
          <cell r="LZP2" t="str">
            <v/>
          </cell>
          <cell r="LZQ2" t="str">
            <v/>
          </cell>
          <cell r="LZR2" t="str">
            <v/>
          </cell>
          <cell r="LZS2" t="str">
            <v/>
          </cell>
          <cell r="LZT2" t="str">
            <v/>
          </cell>
          <cell r="LZU2" t="str">
            <v/>
          </cell>
          <cell r="LZV2" t="str">
            <v/>
          </cell>
          <cell r="LZW2" t="str">
            <v/>
          </cell>
          <cell r="LZX2" t="str">
            <v/>
          </cell>
          <cell r="LZY2" t="str">
            <v/>
          </cell>
          <cell r="LZZ2" t="str">
            <v/>
          </cell>
          <cell r="MAA2" t="str">
            <v/>
          </cell>
          <cell r="MAB2" t="str">
            <v/>
          </cell>
          <cell r="MAC2" t="str">
            <v/>
          </cell>
          <cell r="MAD2" t="str">
            <v/>
          </cell>
          <cell r="MAE2" t="str">
            <v/>
          </cell>
          <cell r="MAF2" t="str">
            <v/>
          </cell>
          <cell r="MAG2" t="str">
            <v/>
          </cell>
          <cell r="MAH2" t="str">
            <v/>
          </cell>
          <cell r="MAI2" t="str">
            <v/>
          </cell>
          <cell r="MAJ2" t="str">
            <v/>
          </cell>
          <cell r="MAK2" t="str">
            <v/>
          </cell>
          <cell r="MAL2" t="str">
            <v/>
          </cell>
          <cell r="MAM2" t="str">
            <v/>
          </cell>
          <cell r="MAN2" t="str">
            <v/>
          </cell>
          <cell r="MAO2" t="str">
            <v/>
          </cell>
          <cell r="MAP2" t="str">
            <v/>
          </cell>
          <cell r="MAQ2" t="str">
            <v/>
          </cell>
          <cell r="MAR2" t="str">
            <v/>
          </cell>
          <cell r="MAS2" t="str">
            <v/>
          </cell>
          <cell r="MAT2" t="str">
            <v/>
          </cell>
          <cell r="MAU2" t="str">
            <v/>
          </cell>
          <cell r="MAV2" t="str">
            <v/>
          </cell>
          <cell r="MAW2" t="str">
            <v/>
          </cell>
          <cell r="MAX2" t="str">
            <v/>
          </cell>
          <cell r="MAY2" t="str">
            <v/>
          </cell>
          <cell r="MAZ2" t="str">
            <v/>
          </cell>
          <cell r="MBA2" t="str">
            <v/>
          </cell>
          <cell r="MBB2" t="str">
            <v/>
          </cell>
          <cell r="MBC2" t="str">
            <v/>
          </cell>
          <cell r="MBD2" t="str">
            <v/>
          </cell>
          <cell r="MBE2" t="str">
            <v/>
          </cell>
          <cell r="MBF2" t="str">
            <v/>
          </cell>
          <cell r="MBG2" t="str">
            <v/>
          </cell>
          <cell r="MBH2" t="str">
            <v/>
          </cell>
          <cell r="MBI2" t="str">
            <v/>
          </cell>
          <cell r="MBJ2" t="str">
            <v/>
          </cell>
          <cell r="MBK2" t="str">
            <v/>
          </cell>
          <cell r="MBL2" t="str">
            <v/>
          </cell>
          <cell r="MBM2" t="str">
            <v/>
          </cell>
          <cell r="MBN2" t="str">
            <v/>
          </cell>
          <cell r="MBO2" t="str">
            <v/>
          </cell>
          <cell r="MBP2" t="str">
            <v/>
          </cell>
          <cell r="MBQ2" t="str">
            <v/>
          </cell>
          <cell r="MBR2" t="str">
            <v/>
          </cell>
          <cell r="MBS2" t="str">
            <v/>
          </cell>
          <cell r="MBT2" t="str">
            <v/>
          </cell>
          <cell r="MBU2" t="str">
            <v/>
          </cell>
          <cell r="MBV2" t="str">
            <v/>
          </cell>
          <cell r="MBW2" t="str">
            <v/>
          </cell>
          <cell r="MBX2" t="str">
            <v/>
          </cell>
          <cell r="MBY2" t="str">
            <v/>
          </cell>
          <cell r="MBZ2" t="str">
            <v/>
          </cell>
          <cell r="MCA2" t="str">
            <v/>
          </cell>
          <cell r="MCB2" t="str">
            <v/>
          </cell>
          <cell r="MCC2" t="str">
            <v/>
          </cell>
          <cell r="MCD2" t="str">
            <v/>
          </cell>
          <cell r="MCE2" t="str">
            <v/>
          </cell>
          <cell r="MCF2" t="str">
            <v/>
          </cell>
          <cell r="MCG2" t="str">
            <v/>
          </cell>
          <cell r="MCH2" t="str">
            <v/>
          </cell>
          <cell r="MCI2" t="str">
            <v/>
          </cell>
          <cell r="MCJ2" t="str">
            <v/>
          </cell>
          <cell r="MCK2" t="str">
            <v/>
          </cell>
          <cell r="MCL2" t="str">
            <v/>
          </cell>
          <cell r="MCM2" t="str">
            <v/>
          </cell>
          <cell r="MCN2" t="str">
            <v/>
          </cell>
          <cell r="MCO2" t="str">
            <v/>
          </cell>
          <cell r="MCP2" t="str">
            <v/>
          </cell>
          <cell r="MCQ2" t="str">
            <v/>
          </cell>
          <cell r="MCR2" t="str">
            <v/>
          </cell>
          <cell r="MCS2" t="str">
            <v/>
          </cell>
          <cell r="MCT2" t="str">
            <v/>
          </cell>
          <cell r="MCU2" t="str">
            <v/>
          </cell>
          <cell r="MCV2" t="str">
            <v/>
          </cell>
          <cell r="MCW2" t="str">
            <v/>
          </cell>
          <cell r="MCX2" t="str">
            <v/>
          </cell>
          <cell r="MCY2" t="str">
            <v/>
          </cell>
          <cell r="MCZ2" t="str">
            <v/>
          </cell>
          <cell r="MDA2" t="str">
            <v/>
          </cell>
          <cell r="MDB2" t="str">
            <v/>
          </cell>
          <cell r="MDC2" t="str">
            <v/>
          </cell>
          <cell r="MDD2" t="str">
            <v/>
          </cell>
          <cell r="MDE2" t="str">
            <v/>
          </cell>
          <cell r="MDF2" t="str">
            <v/>
          </cell>
          <cell r="MDG2" t="str">
            <v/>
          </cell>
          <cell r="MDH2" t="str">
            <v/>
          </cell>
          <cell r="MDI2" t="str">
            <v/>
          </cell>
          <cell r="MDJ2" t="str">
            <v/>
          </cell>
          <cell r="MDK2" t="str">
            <v/>
          </cell>
          <cell r="MDL2" t="str">
            <v/>
          </cell>
          <cell r="MDM2" t="str">
            <v/>
          </cell>
          <cell r="MDN2" t="str">
            <v/>
          </cell>
          <cell r="MDO2" t="str">
            <v/>
          </cell>
          <cell r="MDP2" t="str">
            <v/>
          </cell>
          <cell r="MDQ2" t="str">
            <v/>
          </cell>
          <cell r="MDR2" t="str">
            <v/>
          </cell>
          <cell r="MDS2" t="str">
            <v/>
          </cell>
          <cell r="MDT2" t="str">
            <v/>
          </cell>
          <cell r="MDU2" t="str">
            <v/>
          </cell>
          <cell r="MDV2" t="str">
            <v/>
          </cell>
          <cell r="MDW2" t="str">
            <v/>
          </cell>
          <cell r="MDX2" t="str">
            <v/>
          </cell>
          <cell r="MDY2" t="str">
            <v/>
          </cell>
          <cell r="MDZ2" t="str">
            <v/>
          </cell>
          <cell r="MEA2" t="str">
            <v/>
          </cell>
          <cell r="MEB2" t="str">
            <v/>
          </cell>
          <cell r="MEC2" t="str">
            <v/>
          </cell>
          <cell r="MED2" t="str">
            <v/>
          </cell>
          <cell r="MEE2" t="str">
            <v/>
          </cell>
          <cell r="MEF2" t="str">
            <v/>
          </cell>
          <cell r="MEG2" t="str">
            <v/>
          </cell>
          <cell r="MEH2" t="str">
            <v/>
          </cell>
          <cell r="MEI2" t="str">
            <v/>
          </cell>
          <cell r="MEJ2" t="str">
            <v/>
          </cell>
          <cell r="MEK2" t="str">
            <v/>
          </cell>
          <cell r="MEL2" t="str">
            <v/>
          </cell>
          <cell r="MEM2" t="str">
            <v/>
          </cell>
          <cell r="MEN2" t="str">
            <v/>
          </cell>
          <cell r="MEO2" t="str">
            <v/>
          </cell>
          <cell r="MEP2" t="str">
            <v/>
          </cell>
          <cell r="MEQ2" t="str">
            <v/>
          </cell>
          <cell r="MER2" t="str">
            <v/>
          </cell>
          <cell r="MES2" t="str">
            <v/>
          </cell>
          <cell r="MET2" t="str">
            <v/>
          </cell>
          <cell r="MEU2" t="str">
            <v/>
          </cell>
          <cell r="MEV2" t="str">
            <v/>
          </cell>
          <cell r="MEW2" t="str">
            <v/>
          </cell>
          <cell r="MEX2" t="str">
            <v/>
          </cell>
          <cell r="MEY2" t="str">
            <v/>
          </cell>
          <cell r="MEZ2" t="str">
            <v/>
          </cell>
          <cell r="MFA2" t="str">
            <v/>
          </cell>
          <cell r="MFB2" t="str">
            <v/>
          </cell>
          <cell r="MFC2" t="str">
            <v/>
          </cell>
          <cell r="MFD2" t="str">
            <v/>
          </cell>
          <cell r="MFE2" t="str">
            <v/>
          </cell>
          <cell r="MFF2" t="str">
            <v/>
          </cell>
          <cell r="MFG2" t="str">
            <v/>
          </cell>
          <cell r="MFH2" t="str">
            <v/>
          </cell>
          <cell r="MFI2" t="str">
            <v/>
          </cell>
          <cell r="MFJ2" t="str">
            <v/>
          </cell>
          <cell r="MFK2" t="str">
            <v/>
          </cell>
          <cell r="MFL2" t="str">
            <v/>
          </cell>
          <cell r="MFM2" t="str">
            <v/>
          </cell>
          <cell r="MFN2" t="str">
            <v/>
          </cell>
          <cell r="MFO2" t="str">
            <v/>
          </cell>
          <cell r="MFP2" t="str">
            <v/>
          </cell>
          <cell r="MFQ2" t="str">
            <v/>
          </cell>
          <cell r="MFR2" t="str">
            <v/>
          </cell>
          <cell r="MFS2" t="str">
            <v/>
          </cell>
          <cell r="MFT2" t="str">
            <v/>
          </cell>
          <cell r="MFU2" t="str">
            <v/>
          </cell>
          <cell r="MFV2" t="str">
            <v/>
          </cell>
          <cell r="MFW2" t="str">
            <v/>
          </cell>
          <cell r="MFX2" t="str">
            <v/>
          </cell>
          <cell r="MFY2" t="str">
            <v/>
          </cell>
          <cell r="MFZ2" t="str">
            <v/>
          </cell>
          <cell r="MGA2" t="str">
            <v/>
          </cell>
          <cell r="MGB2" t="str">
            <v/>
          </cell>
          <cell r="MGC2" t="str">
            <v/>
          </cell>
          <cell r="MGD2" t="str">
            <v/>
          </cell>
          <cell r="MGE2" t="str">
            <v/>
          </cell>
          <cell r="MGF2" t="str">
            <v/>
          </cell>
          <cell r="MGG2" t="str">
            <v/>
          </cell>
          <cell r="MGH2" t="str">
            <v/>
          </cell>
          <cell r="MGI2" t="str">
            <v/>
          </cell>
          <cell r="MGJ2" t="str">
            <v/>
          </cell>
          <cell r="MGK2" t="str">
            <v/>
          </cell>
          <cell r="MGL2" t="str">
            <v/>
          </cell>
          <cell r="MGM2" t="str">
            <v/>
          </cell>
          <cell r="MGN2" t="str">
            <v/>
          </cell>
          <cell r="MGO2" t="str">
            <v/>
          </cell>
          <cell r="MGP2" t="str">
            <v/>
          </cell>
          <cell r="MGQ2" t="str">
            <v/>
          </cell>
          <cell r="MGR2" t="str">
            <v/>
          </cell>
          <cell r="MGS2" t="str">
            <v/>
          </cell>
          <cell r="MGT2" t="str">
            <v/>
          </cell>
          <cell r="MGU2" t="str">
            <v/>
          </cell>
          <cell r="MGV2" t="str">
            <v/>
          </cell>
          <cell r="MGW2" t="str">
            <v/>
          </cell>
          <cell r="MGX2" t="str">
            <v/>
          </cell>
          <cell r="MGY2" t="str">
            <v/>
          </cell>
          <cell r="MGZ2" t="str">
            <v/>
          </cell>
          <cell r="MHA2" t="str">
            <v/>
          </cell>
          <cell r="MHB2" t="str">
            <v/>
          </cell>
          <cell r="MHC2" t="str">
            <v/>
          </cell>
          <cell r="MHD2" t="str">
            <v/>
          </cell>
          <cell r="MHE2" t="str">
            <v/>
          </cell>
          <cell r="MHF2" t="str">
            <v/>
          </cell>
          <cell r="MHG2" t="str">
            <v/>
          </cell>
          <cell r="MHH2" t="str">
            <v/>
          </cell>
          <cell r="MHI2" t="str">
            <v/>
          </cell>
          <cell r="MHJ2" t="str">
            <v/>
          </cell>
          <cell r="MHK2" t="str">
            <v/>
          </cell>
          <cell r="MHL2" t="str">
            <v/>
          </cell>
          <cell r="MHM2" t="str">
            <v/>
          </cell>
          <cell r="MHN2" t="str">
            <v/>
          </cell>
          <cell r="MHO2" t="str">
            <v/>
          </cell>
          <cell r="MHP2" t="str">
            <v/>
          </cell>
          <cell r="MHQ2" t="str">
            <v/>
          </cell>
          <cell r="MHR2" t="str">
            <v/>
          </cell>
          <cell r="MHS2" t="str">
            <v/>
          </cell>
          <cell r="MHT2" t="str">
            <v/>
          </cell>
          <cell r="MHU2" t="str">
            <v/>
          </cell>
          <cell r="MHV2" t="str">
            <v/>
          </cell>
          <cell r="MHW2" t="str">
            <v/>
          </cell>
          <cell r="MHX2" t="str">
            <v/>
          </cell>
          <cell r="MHY2" t="str">
            <v/>
          </cell>
          <cell r="MHZ2" t="str">
            <v/>
          </cell>
          <cell r="MIA2" t="str">
            <v/>
          </cell>
          <cell r="MIB2" t="str">
            <v/>
          </cell>
          <cell r="MIC2" t="str">
            <v/>
          </cell>
          <cell r="MID2" t="str">
            <v/>
          </cell>
          <cell r="MIE2" t="str">
            <v/>
          </cell>
          <cell r="MIF2" t="str">
            <v/>
          </cell>
          <cell r="MIG2" t="str">
            <v/>
          </cell>
          <cell r="MIH2" t="str">
            <v/>
          </cell>
          <cell r="MII2" t="str">
            <v/>
          </cell>
          <cell r="MIJ2" t="str">
            <v/>
          </cell>
          <cell r="MIK2" t="str">
            <v/>
          </cell>
          <cell r="MIL2" t="str">
            <v/>
          </cell>
          <cell r="MIM2" t="str">
            <v/>
          </cell>
          <cell r="MIN2" t="str">
            <v/>
          </cell>
          <cell r="MIO2" t="str">
            <v/>
          </cell>
          <cell r="MIP2" t="str">
            <v/>
          </cell>
          <cell r="MIQ2" t="str">
            <v/>
          </cell>
          <cell r="MIR2" t="str">
            <v/>
          </cell>
          <cell r="MIS2" t="str">
            <v/>
          </cell>
          <cell r="MIT2" t="str">
            <v/>
          </cell>
          <cell r="MIU2" t="str">
            <v/>
          </cell>
          <cell r="MIV2" t="str">
            <v/>
          </cell>
          <cell r="MIW2" t="str">
            <v/>
          </cell>
          <cell r="MIX2" t="str">
            <v/>
          </cell>
          <cell r="MIY2" t="str">
            <v/>
          </cell>
          <cell r="MIZ2" t="str">
            <v/>
          </cell>
          <cell r="MJA2" t="str">
            <v/>
          </cell>
          <cell r="MJB2" t="str">
            <v/>
          </cell>
          <cell r="MJC2" t="str">
            <v/>
          </cell>
          <cell r="MJD2" t="str">
            <v/>
          </cell>
          <cell r="MJE2" t="str">
            <v/>
          </cell>
          <cell r="MJF2" t="str">
            <v/>
          </cell>
          <cell r="MJG2" t="str">
            <v/>
          </cell>
          <cell r="MJH2" t="str">
            <v/>
          </cell>
          <cell r="MJI2" t="str">
            <v/>
          </cell>
          <cell r="MJJ2" t="str">
            <v/>
          </cell>
          <cell r="MJK2" t="str">
            <v/>
          </cell>
          <cell r="MJL2" t="str">
            <v/>
          </cell>
          <cell r="MJM2" t="str">
            <v/>
          </cell>
          <cell r="MJN2" t="str">
            <v/>
          </cell>
          <cell r="MJO2" t="str">
            <v/>
          </cell>
          <cell r="MJP2" t="str">
            <v/>
          </cell>
          <cell r="MJQ2" t="str">
            <v/>
          </cell>
          <cell r="MJR2" t="str">
            <v/>
          </cell>
          <cell r="MJS2" t="str">
            <v/>
          </cell>
          <cell r="MJT2" t="str">
            <v/>
          </cell>
          <cell r="MJU2" t="str">
            <v/>
          </cell>
          <cell r="MJV2" t="str">
            <v/>
          </cell>
          <cell r="MJW2" t="str">
            <v/>
          </cell>
          <cell r="MJX2" t="str">
            <v/>
          </cell>
          <cell r="MJY2" t="str">
            <v/>
          </cell>
          <cell r="MJZ2" t="str">
            <v/>
          </cell>
          <cell r="MKA2" t="str">
            <v/>
          </cell>
          <cell r="MKB2" t="str">
            <v/>
          </cell>
          <cell r="MKC2" t="str">
            <v/>
          </cell>
          <cell r="MKD2" t="str">
            <v/>
          </cell>
          <cell r="MKE2" t="str">
            <v/>
          </cell>
          <cell r="MKF2" t="str">
            <v/>
          </cell>
          <cell r="MKG2" t="str">
            <v/>
          </cell>
          <cell r="MKH2" t="str">
            <v/>
          </cell>
          <cell r="MKI2" t="str">
            <v/>
          </cell>
          <cell r="MKJ2" t="str">
            <v/>
          </cell>
          <cell r="MKK2" t="str">
            <v/>
          </cell>
          <cell r="MKL2" t="str">
            <v/>
          </cell>
          <cell r="MKM2" t="str">
            <v/>
          </cell>
          <cell r="MKN2" t="str">
            <v/>
          </cell>
          <cell r="MKO2" t="str">
            <v/>
          </cell>
          <cell r="MKP2" t="str">
            <v/>
          </cell>
          <cell r="MKQ2" t="str">
            <v/>
          </cell>
          <cell r="MKR2" t="str">
            <v/>
          </cell>
          <cell r="MKS2" t="str">
            <v/>
          </cell>
          <cell r="MKT2" t="str">
            <v/>
          </cell>
          <cell r="MKU2" t="str">
            <v/>
          </cell>
          <cell r="MKV2" t="str">
            <v/>
          </cell>
          <cell r="MKW2" t="str">
            <v/>
          </cell>
          <cell r="MKX2" t="str">
            <v/>
          </cell>
          <cell r="MKY2" t="str">
            <v/>
          </cell>
          <cell r="MKZ2" t="str">
            <v/>
          </cell>
          <cell r="MLA2" t="str">
            <v/>
          </cell>
          <cell r="MLB2" t="str">
            <v/>
          </cell>
          <cell r="MLC2" t="str">
            <v/>
          </cell>
          <cell r="MLD2" t="str">
            <v/>
          </cell>
          <cell r="MLE2" t="str">
            <v/>
          </cell>
          <cell r="MLF2" t="str">
            <v/>
          </cell>
          <cell r="MLG2" t="str">
            <v/>
          </cell>
          <cell r="MLH2" t="str">
            <v/>
          </cell>
          <cell r="MLI2" t="str">
            <v/>
          </cell>
          <cell r="MLJ2" t="str">
            <v/>
          </cell>
          <cell r="MLK2" t="str">
            <v/>
          </cell>
          <cell r="MLL2" t="str">
            <v/>
          </cell>
          <cell r="MLM2" t="str">
            <v/>
          </cell>
          <cell r="MLN2" t="str">
            <v/>
          </cell>
          <cell r="MLO2" t="str">
            <v/>
          </cell>
          <cell r="MLP2" t="str">
            <v/>
          </cell>
          <cell r="MLQ2" t="str">
            <v/>
          </cell>
          <cell r="MLR2" t="str">
            <v/>
          </cell>
          <cell r="MLS2" t="str">
            <v/>
          </cell>
          <cell r="MLT2" t="str">
            <v/>
          </cell>
          <cell r="MLU2" t="str">
            <v/>
          </cell>
          <cell r="MLV2" t="str">
            <v/>
          </cell>
          <cell r="MLW2" t="str">
            <v/>
          </cell>
          <cell r="MLX2" t="str">
            <v/>
          </cell>
          <cell r="MLY2" t="str">
            <v/>
          </cell>
          <cell r="MLZ2" t="str">
            <v/>
          </cell>
          <cell r="MMA2" t="str">
            <v/>
          </cell>
          <cell r="MMB2" t="str">
            <v/>
          </cell>
          <cell r="MMC2" t="str">
            <v/>
          </cell>
          <cell r="MMD2" t="str">
            <v/>
          </cell>
          <cell r="MME2" t="str">
            <v/>
          </cell>
          <cell r="MMF2" t="str">
            <v/>
          </cell>
          <cell r="MMG2" t="str">
            <v/>
          </cell>
          <cell r="MMH2" t="str">
            <v/>
          </cell>
          <cell r="MMI2" t="str">
            <v/>
          </cell>
          <cell r="MMJ2" t="str">
            <v/>
          </cell>
          <cell r="MMK2" t="str">
            <v/>
          </cell>
          <cell r="MML2" t="str">
            <v/>
          </cell>
          <cell r="MMM2" t="str">
            <v/>
          </cell>
          <cell r="MMN2" t="str">
            <v/>
          </cell>
          <cell r="MMO2" t="str">
            <v/>
          </cell>
          <cell r="MMP2" t="str">
            <v/>
          </cell>
          <cell r="MMQ2" t="str">
            <v/>
          </cell>
          <cell r="MMR2" t="str">
            <v/>
          </cell>
          <cell r="MMS2" t="str">
            <v/>
          </cell>
          <cell r="MMT2" t="str">
            <v/>
          </cell>
          <cell r="MMU2" t="str">
            <v/>
          </cell>
          <cell r="MMV2" t="str">
            <v/>
          </cell>
          <cell r="MMW2" t="str">
            <v/>
          </cell>
          <cell r="MMX2" t="str">
            <v/>
          </cell>
          <cell r="MMY2" t="str">
            <v/>
          </cell>
          <cell r="MMZ2" t="str">
            <v/>
          </cell>
          <cell r="MNA2" t="str">
            <v/>
          </cell>
          <cell r="MNB2" t="str">
            <v/>
          </cell>
          <cell r="MNC2" t="str">
            <v/>
          </cell>
          <cell r="MND2" t="str">
            <v/>
          </cell>
          <cell r="MNE2" t="str">
            <v/>
          </cell>
          <cell r="MNF2" t="str">
            <v/>
          </cell>
          <cell r="MNG2" t="str">
            <v/>
          </cell>
          <cell r="MNH2" t="str">
            <v/>
          </cell>
          <cell r="MNI2" t="str">
            <v/>
          </cell>
          <cell r="MNJ2" t="str">
            <v/>
          </cell>
          <cell r="MNK2" t="str">
            <v/>
          </cell>
          <cell r="MNL2" t="str">
            <v/>
          </cell>
          <cell r="MNM2" t="str">
            <v/>
          </cell>
          <cell r="MNN2" t="str">
            <v/>
          </cell>
          <cell r="MNO2" t="str">
            <v/>
          </cell>
          <cell r="MNP2" t="str">
            <v/>
          </cell>
          <cell r="MNQ2" t="str">
            <v/>
          </cell>
          <cell r="MNR2" t="str">
            <v/>
          </cell>
          <cell r="MNS2" t="str">
            <v/>
          </cell>
          <cell r="MNT2" t="str">
            <v/>
          </cell>
          <cell r="MNU2" t="str">
            <v/>
          </cell>
          <cell r="MNV2" t="str">
            <v/>
          </cell>
          <cell r="MNW2" t="str">
            <v/>
          </cell>
          <cell r="MNX2" t="str">
            <v/>
          </cell>
          <cell r="MNY2" t="str">
            <v/>
          </cell>
          <cell r="MNZ2" t="str">
            <v/>
          </cell>
          <cell r="MOA2" t="str">
            <v/>
          </cell>
          <cell r="MOB2" t="str">
            <v/>
          </cell>
          <cell r="MOC2" t="str">
            <v/>
          </cell>
          <cell r="MOD2" t="str">
            <v/>
          </cell>
          <cell r="MOE2" t="str">
            <v/>
          </cell>
          <cell r="MOF2" t="str">
            <v/>
          </cell>
          <cell r="MOG2" t="str">
            <v/>
          </cell>
          <cell r="MOH2" t="str">
            <v/>
          </cell>
          <cell r="MOI2" t="str">
            <v/>
          </cell>
          <cell r="MOJ2" t="str">
            <v/>
          </cell>
          <cell r="MOK2" t="str">
            <v/>
          </cell>
          <cell r="MOL2" t="str">
            <v/>
          </cell>
          <cell r="MOM2" t="str">
            <v/>
          </cell>
          <cell r="MON2" t="str">
            <v/>
          </cell>
          <cell r="MOO2" t="str">
            <v/>
          </cell>
          <cell r="MOP2" t="str">
            <v/>
          </cell>
          <cell r="MOQ2" t="str">
            <v/>
          </cell>
          <cell r="MOR2" t="str">
            <v/>
          </cell>
          <cell r="MOS2" t="str">
            <v/>
          </cell>
          <cell r="MOT2" t="str">
            <v/>
          </cell>
          <cell r="MOU2" t="str">
            <v/>
          </cell>
          <cell r="MOV2" t="str">
            <v/>
          </cell>
          <cell r="MOW2" t="str">
            <v/>
          </cell>
          <cell r="MOX2" t="str">
            <v/>
          </cell>
          <cell r="MOY2" t="str">
            <v/>
          </cell>
          <cell r="MOZ2" t="str">
            <v/>
          </cell>
          <cell r="MPA2" t="str">
            <v/>
          </cell>
          <cell r="MPB2" t="str">
            <v/>
          </cell>
          <cell r="MPC2" t="str">
            <v/>
          </cell>
          <cell r="MPD2" t="str">
            <v/>
          </cell>
          <cell r="MPE2" t="str">
            <v/>
          </cell>
          <cell r="MPF2" t="str">
            <v/>
          </cell>
          <cell r="MPG2" t="str">
            <v/>
          </cell>
          <cell r="MPH2" t="str">
            <v/>
          </cell>
          <cell r="MPI2" t="str">
            <v/>
          </cell>
          <cell r="MPJ2" t="str">
            <v/>
          </cell>
          <cell r="MPK2" t="str">
            <v/>
          </cell>
          <cell r="MPL2" t="str">
            <v/>
          </cell>
          <cell r="MPM2" t="str">
            <v/>
          </cell>
          <cell r="MPN2" t="str">
            <v/>
          </cell>
          <cell r="MPO2" t="str">
            <v/>
          </cell>
          <cell r="MPP2" t="str">
            <v/>
          </cell>
          <cell r="MPQ2" t="str">
            <v/>
          </cell>
          <cell r="MPR2" t="str">
            <v/>
          </cell>
          <cell r="MPS2" t="str">
            <v/>
          </cell>
          <cell r="MPT2" t="str">
            <v/>
          </cell>
          <cell r="MPU2" t="str">
            <v/>
          </cell>
          <cell r="MPV2" t="str">
            <v/>
          </cell>
          <cell r="MPW2" t="str">
            <v/>
          </cell>
          <cell r="MPX2" t="str">
            <v/>
          </cell>
          <cell r="MPY2" t="str">
            <v/>
          </cell>
          <cell r="MPZ2" t="str">
            <v/>
          </cell>
          <cell r="MQA2" t="str">
            <v/>
          </cell>
          <cell r="MQB2" t="str">
            <v/>
          </cell>
          <cell r="MQC2" t="str">
            <v/>
          </cell>
          <cell r="MQD2" t="str">
            <v/>
          </cell>
          <cell r="MQE2" t="str">
            <v/>
          </cell>
          <cell r="MQF2" t="str">
            <v/>
          </cell>
          <cell r="MQG2" t="str">
            <v/>
          </cell>
          <cell r="MQH2" t="str">
            <v/>
          </cell>
          <cell r="MQI2" t="str">
            <v/>
          </cell>
          <cell r="MQJ2" t="str">
            <v/>
          </cell>
          <cell r="MQK2" t="str">
            <v/>
          </cell>
          <cell r="MQL2" t="str">
            <v/>
          </cell>
          <cell r="MQM2" t="str">
            <v/>
          </cell>
          <cell r="MQN2" t="str">
            <v/>
          </cell>
          <cell r="MQO2" t="str">
            <v/>
          </cell>
          <cell r="MQP2" t="str">
            <v/>
          </cell>
          <cell r="MQQ2" t="str">
            <v/>
          </cell>
          <cell r="MQR2" t="str">
            <v/>
          </cell>
          <cell r="MQS2" t="str">
            <v/>
          </cell>
          <cell r="MQT2" t="str">
            <v/>
          </cell>
          <cell r="MQU2" t="str">
            <v/>
          </cell>
          <cell r="MQV2" t="str">
            <v/>
          </cell>
          <cell r="MQW2" t="str">
            <v/>
          </cell>
          <cell r="MQX2" t="str">
            <v/>
          </cell>
          <cell r="MQY2" t="str">
            <v/>
          </cell>
          <cell r="MQZ2" t="str">
            <v/>
          </cell>
          <cell r="MRA2" t="str">
            <v/>
          </cell>
          <cell r="MRB2" t="str">
            <v/>
          </cell>
          <cell r="MRC2" t="str">
            <v/>
          </cell>
          <cell r="MRD2" t="str">
            <v/>
          </cell>
          <cell r="MRE2" t="str">
            <v/>
          </cell>
          <cell r="MRF2" t="str">
            <v/>
          </cell>
          <cell r="MRG2" t="str">
            <v/>
          </cell>
          <cell r="MRH2" t="str">
            <v/>
          </cell>
          <cell r="MRI2" t="str">
            <v/>
          </cell>
          <cell r="MRJ2" t="str">
            <v/>
          </cell>
          <cell r="MRK2" t="str">
            <v/>
          </cell>
          <cell r="MRL2" t="str">
            <v/>
          </cell>
          <cell r="MRM2" t="str">
            <v/>
          </cell>
          <cell r="MRN2" t="str">
            <v/>
          </cell>
          <cell r="MRO2" t="str">
            <v/>
          </cell>
          <cell r="MRP2" t="str">
            <v/>
          </cell>
          <cell r="MRQ2" t="str">
            <v/>
          </cell>
          <cell r="MRR2" t="str">
            <v/>
          </cell>
          <cell r="MRS2" t="str">
            <v/>
          </cell>
          <cell r="MRT2" t="str">
            <v/>
          </cell>
          <cell r="MRU2" t="str">
            <v/>
          </cell>
          <cell r="MRV2" t="str">
            <v/>
          </cell>
          <cell r="MRW2" t="str">
            <v/>
          </cell>
          <cell r="MRX2" t="str">
            <v/>
          </cell>
          <cell r="MRY2" t="str">
            <v/>
          </cell>
          <cell r="MRZ2" t="str">
            <v/>
          </cell>
          <cell r="MSA2" t="str">
            <v/>
          </cell>
          <cell r="MSB2" t="str">
            <v/>
          </cell>
          <cell r="MSC2" t="str">
            <v/>
          </cell>
          <cell r="MSD2" t="str">
            <v/>
          </cell>
          <cell r="MSE2" t="str">
            <v/>
          </cell>
          <cell r="MSF2" t="str">
            <v/>
          </cell>
          <cell r="MSG2" t="str">
            <v/>
          </cell>
          <cell r="MSH2" t="str">
            <v/>
          </cell>
          <cell r="MSI2" t="str">
            <v/>
          </cell>
          <cell r="MSJ2" t="str">
            <v/>
          </cell>
          <cell r="MSK2" t="str">
            <v/>
          </cell>
          <cell r="MSL2" t="str">
            <v/>
          </cell>
          <cell r="MSM2" t="str">
            <v/>
          </cell>
          <cell r="MSN2" t="str">
            <v/>
          </cell>
          <cell r="MSO2" t="str">
            <v/>
          </cell>
          <cell r="MSP2" t="str">
            <v/>
          </cell>
          <cell r="MSQ2" t="str">
            <v/>
          </cell>
          <cell r="MSR2" t="str">
            <v/>
          </cell>
          <cell r="MSS2" t="str">
            <v/>
          </cell>
          <cell r="MST2" t="str">
            <v/>
          </cell>
          <cell r="MSU2" t="str">
            <v/>
          </cell>
          <cell r="MSV2" t="str">
            <v/>
          </cell>
          <cell r="MSW2" t="str">
            <v/>
          </cell>
          <cell r="MSX2" t="str">
            <v/>
          </cell>
          <cell r="MSY2" t="str">
            <v/>
          </cell>
          <cell r="MSZ2" t="str">
            <v/>
          </cell>
          <cell r="MTA2" t="str">
            <v/>
          </cell>
          <cell r="MTB2" t="str">
            <v/>
          </cell>
          <cell r="MTC2" t="str">
            <v/>
          </cell>
          <cell r="MTD2" t="str">
            <v/>
          </cell>
          <cell r="MTE2" t="str">
            <v/>
          </cell>
          <cell r="MTF2" t="str">
            <v/>
          </cell>
          <cell r="MTG2" t="str">
            <v/>
          </cell>
          <cell r="MTH2" t="str">
            <v/>
          </cell>
          <cell r="MTI2" t="str">
            <v/>
          </cell>
          <cell r="MTJ2" t="str">
            <v/>
          </cell>
          <cell r="MTK2" t="str">
            <v/>
          </cell>
          <cell r="MTL2" t="str">
            <v/>
          </cell>
          <cell r="MTM2" t="str">
            <v/>
          </cell>
          <cell r="MTN2" t="str">
            <v/>
          </cell>
          <cell r="MTO2" t="str">
            <v/>
          </cell>
          <cell r="MTP2" t="str">
            <v/>
          </cell>
          <cell r="MTQ2" t="str">
            <v/>
          </cell>
          <cell r="MTR2" t="str">
            <v/>
          </cell>
          <cell r="MTS2" t="str">
            <v/>
          </cell>
          <cell r="MTT2" t="str">
            <v/>
          </cell>
          <cell r="MTU2" t="str">
            <v/>
          </cell>
          <cell r="MTV2" t="str">
            <v/>
          </cell>
          <cell r="MTW2" t="str">
            <v/>
          </cell>
          <cell r="MTX2" t="str">
            <v/>
          </cell>
          <cell r="MTY2" t="str">
            <v/>
          </cell>
          <cell r="MTZ2" t="str">
            <v/>
          </cell>
          <cell r="MUA2" t="str">
            <v/>
          </cell>
          <cell r="MUB2" t="str">
            <v/>
          </cell>
          <cell r="MUC2" t="str">
            <v/>
          </cell>
          <cell r="MUD2" t="str">
            <v/>
          </cell>
          <cell r="MUE2" t="str">
            <v/>
          </cell>
          <cell r="MUF2" t="str">
            <v/>
          </cell>
          <cell r="MUG2" t="str">
            <v/>
          </cell>
          <cell r="MUH2" t="str">
            <v/>
          </cell>
          <cell r="MUI2" t="str">
            <v/>
          </cell>
          <cell r="MUJ2" t="str">
            <v/>
          </cell>
          <cell r="MUK2" t="str">
            <v/>
          </cell>
          <cell r="MUL2" t="str">
            <v/>
          </cell>
          <cell r="MUM2" t="str">
            <v/>
          </cell>
          <cell r="MUN2" t="str">
            <v/>
          </cell>
          <cell r="MUO2" t="str">
            <v/>
          </cell>
          <cell r="MUP2" t="str">
            <v/>
          </cell>
          <cell r="MUQ2" t="str">
            <v/>
          </cell>
          <cell r="MUR2" t="str">
            <v/>
          </cell>
          <cell r="MUS2" t="str">
            <v/>
          </cell>
          <cell r="MUT2" t="str">
            <v/>
          </cell>
          <cell r="MUU2" t="str">
            <v/>
          </cell>
          <cell r="MUV2" t="str">
            <v/>
          </cell>
          <cell r="MUW2" t="str">
            <v/>
          </cell>
          <cell r="MUX2" t="str">
            <v/>
          </cell>
          <cell r="MUY2" t="str">
            <v/>
          </cell>
          <cell r="MUZ2" t="str">
            <v/>
          </cell>
          <cell r="MVA2" t="str">
            <v/>
          </cell>
          <cell r="MVB2" t="str">
            <v/>
          </cell>
          <cell r="MVC2" t="str">
            <v/>
          </cell>
          <cell r="MVD2" t="str">
            <v/>
          </cell>
          <cell r="MVE2" t="str">
            <v/>
          </cell>
          <cell r="MVF2" t="str">
            <v/>
          </cell>
          <cell r="MVG2" t="str">
            <v/>
          </cell>
          <cell r="MVH2" t="str">
            <v/>
          </cell>
          <cell r="MVI2" t="str">
            <v/>
          </cell>
          <cell r="MVJ2" t="str">
            <v/>
          </cell>
          <cell r="MVK2" t="str">
            <v/>
          </cell>
          <cell r="MVL2" t="str">
            <v/>
          </cell>
          <cell r="MVM2" t="str">
            <v/>
          </cell>
          <cell r="MVN2" t="str">
            <v/>
          </cell>
          <cell r="MVO2" t="str">
            <v/>
          </cell>
          <cell r="MVP2" t="str">
            <v/>
          </cell>
          <cell r="MVQ2" t="str">
            <v/>
          </cell>
          <cell r="MVR2" t="str">
            <v/>
          </cell>
          <cell r="MVS2" t="str">
            <v/>
          </cell>
          <cell r="MVT2" t="str">
            <v/>
          </cell>
          <cell r="MVU2" t="str">
            <v/>
          </cell>
          <cell r="MVV2" t="str">
            <v/>
          </cell>
          <cell r="MVW2" t="str">
            <v/>
          </cell>
          <cell r="MVX2" t="str">
            <v/>
          </cell>
          <cell r="MVY2" t="str">
            <v/>
          </cell>
          <cell r="MVZ2" t="str">
            <v/>
          </cell>
          <cell r="MWA2" t="str">
            <v/>
          </cell>
          <cell r="MWB2" t="str">
            <v/>
          </cell>
          <cell r="MWC2" t="str">
            <v/>
          </cell>
          <cell r="MWD2" t="str">
            <v/>
          </cell>
          <cell r="MWE2" t="str">
            <v/>
          </cell>
          <cell r="MWF2" t="str">
            <v/>
          </cell>
          <cell r="MWG2" t="str">
            <v/>
          </cell>
          <cell r="MWH2" t="str">
            <v/>
          </cell>
          <cell r="MWI2" t="str">
            <v/>
          </cell>
          <cell r="MWJ2" t="str">
            <v/>
          </cell>
          <cell r="MWK2" t="str">
            <v/>
          </cell>
          <cell r="MWL2" t="str">
            <v/>
          </cell>
          <cell r="MWM2" t="str">
            <v/>
          </cell>
          <cell r="MWN2" t="str">
            <v/>
          </cell>
          <cell r="MWO2" t="str">
            <v/>
          </cell>
          <cell r="MWP2" t="str">
            <v/>
          </cell>
          <cell r="MWQ2" t="str">
            <v/>
          </cell>
          <cell r="MWR2" t="str">
            <v/>
          </cell>
          <cell r="MWS2" t="str">
            <v/>
          </cell>
          <cell r="MWT2" t="str">
            <v/>
          </cell>
          <cell r="MWU2" t="str">
            <v/>
          </cell>
          <cell r="MWV2" t="str">
            <v/>
          </cell>
          <cell r="MWW2" t="str">
            <v/>
          </cell>
          <cell r="MWX2" t="str">
            <v/>
          </cell>
          <cell r="MWY2" t="str">
            <v/>
          </cell>
          <cell r="MWZ2" t="str">
            <v/>
          </cell>
          <cell r="MXA2" t="str">
            <v/>
          </cell>
          <cell r="MXB2" t="str">
            <v/>
          </cell>
          <cell r="MXC2" t="str">
            <v/>
          </cell>
          <cell r="MXD2" t="str">
            <v/>
          </cell>
          <cell r="MXE2" t="str">
            <v/>
          </cell>
          <cell r="MXF2" t="str">
            <v/>
          </cell>
          <cell r="MXG2" t="str">
            <v/>
          </cell>
          <cell r="MXH2" t="str">
            <v/>
          </cell>
          <cell r="MXI2" t="str">
            <v/>
          </cell>
          <cell r="MXJ2" t="str">
            <v/>
          </cell>
          <cell r="MXK2" t="str">
            <v/>
          </cell>
          <cell r="MXL2" t="str">
            <v/>
          </cell>
          <cell r="MXM2" t="str">
            <v/>
          </cell>
          <cell r="MXN2" t="str">
            <v/>
          </cell>
          <cell r="MXO2" t="str">
            <v/>
          </cell>
          <cell r="MXP2" t="str">
            <v/>
          </cell>
          <cell r="MXQ2" t="str">
            <v/>
          </cell>
          <cell r="MXR2" t="str">
            <v/>
          </cell>
          <cell r="MXS2" t="str">
            <v/>
          </cell>
          <cell r="MXT2" t="str">
            <v/>
          </cell>
          <cell r="MXU2" t="str">
            <v/>
          </cell>
          <cell r="MXV2" t="str">
            <v/>
          </cell>
          <cell r="MXW2" t="str">
            <v/>
          </cell>
          <cell r="MXX2" t="str">
            <v/>
          </cell>
          <cell r="MXY2" t="str">
            <v/>
          </cell>
          <cell r="MXZ2" t="str">
            <v/>
          </cell>
          <cell r="MYA2" t="str">
            <v/>
          </cell>
          <cell r="MYB2" t="str">
            <v/>
          </cell>
          <cell r="MYC2" t="str">
            <v/>
          </cell>
          <cell r="MYD2" t="str">
            <v/>
          </cell>
          <cell r="MYE2" t="str">
            <v/>
          </cell>
          <cell r="MYF2" t="str">
            <v/>
          </cell>
          <cell r="MYG2" t="str">
            <v/>
          </cell>
          <cell r="MYH2" t="str">
            <v/>
          </cell>
          <cell r="MYI2" t="str">
            <v/>
          </cell>
          <cell r="MYJ2" t="str">
            <v/>
          </cell>
          <cell r="MYK2" t="str">
            <v/>
          </cell>
          <cell r="MYL2" t="str">
            <v/>
          </cell>
          <cell r="MYM2" t="str">
            <v/>
          </cell>
          <cell r="MYN2" t="str">
            <v/>
          </cell>
          <cell r="MYO2" t="str">
            <v/>
          </cell>
          <cell r="MYP2" t="str">
            <v/>
          </cell>
          <cell r="MYQ2" t="str">
            <v/>
          </cell>
          <cell r="MYR2" t="str">
            <v/>
          </cell>
          <cell r="MYS2" t="str">
            <v/>
          </cell>
          <cell r="MYT2" t="str">
            <v/>
          </cell>
          <cell r="MYU2" t="str">
            <v/>
          </cell>
          <cell r="MYV2" t="str">
            <v/>
          </cell>
          <cell r="MYW2" t="str">
            <v/>
          </cell>
          <cell r="MYX2" t="str">
            <v/>
          </cell>
          <cell r="MYY2" t="str">
            <v/>
          </cell>
          <cell r="MYZ2" t="str">
            <v/>
          </cell>
          <cell r="MZA2" t="str">
            <v/>
          </cell>
          <cell r="MZB2" t="str">
            <v/>
          </cell>
          <cell r="MZC2" t="str">
            <v/>
          </cell>
          <cell r="MZD2" t="str">
            <v/>
          </cell>
          <cell r="MZE2" t="str">
            <v/>
          </cell>
          <cell r="MZF2" t="str">
            <v/>
          </cell>
          <cell r="MZG2" t="str">
            <v/>
          </cell>
          <cell r="MZH2" t="str">
            <v/>
          </cell>
          <cell r="MZI2" t="str">
            <v/>
          </cell>
          <cell r="MZJ2" t="str">
            <v/>
          </cell>
          <cell r="MZK2" t="str">
            <v/>
          </cell>
          <cell r="MZL2" t="str">
            <v/>
          </cell>
          <cell r="MZM2" t="str">
            <v/>
          </cell>
          <cell r="MZN2" t="str">
            <v/>
          </cell>
          <cell r="MZO2" t="str">
            <v/>
          </cell>
          <cell r="MZP2" t="str">
            <v/>
          </cell>
          <cell r="MZQ2" t="str">
            <v/>
          </cell>
          <cell r="MZR2" t="str">
            <v/>
          </cell>
          <cell r="MZS2" t="str">
            <v/>
          </cell>
          <cell r="MZT2" t="str">
            <v/>
          </cell>
          <cell r="MZU2" t="str">
            <v/>
          </cell>
          <cell r="MZV2" t="str">
            <v/>
          </cell>
          <cell r="MZW2" t="str">
            <v/>
          </cell>
          <cell r="MZX2" t="str">
            <v/>
          </cell>
          <cell r="MZY2" t="str">
            <v/>
          </cell>
          <cell r="MZZ2" t="str">
            <v/>
          </cell>
          <cell r="NAA2" t="str">
            <v/>
          </cell>
          <cell r="NAB2" t="str">
            <v/>
          </cell>
          <cell r="NAC2" t="str">
            <v/>
          </cell>
          <cell r="NAD2" t="str">
            <v/>
          </cell>
          <cell r="NAE2" t="str">
            <v/>
          </cell>
          <cell r="NAF2" t="str">
            <v/>
          </cell>
          <cell r="NAG2" t="str">
            <v/>
          </cell>
          <cell r="NAH2" t="str">
            <v/>
          </cell>
          <cell r="NAI2" t="str">
            <v/>
          </cell>
          <cell r="NAJ2" t="str">
            <v/>
          </cell>
          <cell r="NAK2" t="str">
            <v/>
          </cell>
          <cell r="NAL2" t="str">
            <v/>
          </cell>
          <cell r="NAM2" t="str">
            <v/>
          </cell>
          <cell r="NAN2" t="str">
            <v/>
          </cell>
          <cell r="NAO2" t="str">
            <v/>
          </cell>
          <cell r="NAP2" t="str">
            <v/>
          </cell>
          <cell r="NAQ2" t="str">
            <v/>
          </cell>
          <cell r="NAR2" t="str">
            <v/>
          </cell>
          <cell r="NAS2" t="str">
            <v/>
          </cell>
          <cell r="NAT2" t="str">
            <v/>
          </cell>
          <cell r="NAU2" t="str">
            <v/>
          </cell>
          <cell r="NAV2" t="str">
            <v/>
          </cell>
          <cell r="NAW2" t="str">
            <v/>
          </cell>
          <cell r="NAX2" t="str">
            <v/>
          </cell>
          <cell r="NAY2" t="str">
            <v/>
          </cell>
          <cell r="NAZ2" t="str">
            <v/>
          </cell>
          <cell r="NBA2" t="str">
            <v/>
          </cell>
          <cell r="NBB2" t="str">
            <v/>
          </cell>
          <cell r="NBC2" t="str">
            <v/>
          </cell>
          <cell r="NBD2" t="str">
            <v/>
          </cell>
          <cell r="NBE2" t="str">
            <v/>
          </cell>
          <cell r="NBF2" t="str">
            <v/>
          </cell>
          <cell r="NBG2" t="str">
            <v/>
          </cell>
          <cell r="NBH2" t="str">
            <v/>
          </cell>
          <cell r="NBI2" t="str">
            <v/>
          </cell>
          <cell r="NBJ2" t="str">
            <v/>
          </cell>
          <cell r="NBK2" t="str">
            <v/>
          </cell>
          <cell r="NBL2" t="str">
            <v/>
          </cell>
          <cell r="NBM2" t="str">
            <v/>
          </cell>
          <cell r="NBN2" t="str">
            <v/>
          </cell>
          <cell r="NBO2" t="str">
            <v/>
          </cell>
          <cell r="NBP2" t="str">
            <v/>
          </cell>
          <cell r="NBQ2" t="str">
            <v/>
          </cell>
          <cell r="NBR2" t="str">
            <v/>
          </cell>
          <cell r="NBS2" t="str">
            <v/>
          </cell>
          <cell r="NBT2" t="str">
            <v/>
          </cell>
          <cell r="NBU2" t="str">
            <v/>
          </cell>
          <cell r="NBV2" t="str">
            <v/>
          </cell>
          <cell r="NBW2" t="str">
            <v/>
          </cell>
          <cell r="NBX2" t="str">
            <v/>
          </cell>
          <cell r="NBY2" t="str">
            <v/>
          </cell>
          <cell r="NBZ2" t="str">
            <v/>
          </cell>
          <cell r="NCA2" t="str">
            <v/>
          </cell>
          <cell r="NCB2" t="str">
            <v/>
          </cell>
          <cell r="NCC2" t="str">
            <v/>
          </cell>
          <cell r="NCD2" t="str">
            <v/>
          </cell>
          <cell r="NCE2" t="str">
            <v/>
          </cell>
          <cell r="NCF2" t="str">
            <v/>
          </cell>
          <cell r="NCG2" t="str">
            <v/>
          </cell>
          <cell r="NCH2" t="str">
            <v/>
          </cell>
          <cell r="NCI2" t="str">
            <v/>
          </cell>
          <cell r="NCJ2" t="str">
            <v/>
          </cell>
          <cell r="NCK2" t="str">
            <v/>
          </cell>
          <cell r="NCL2" t="str">
            <v/>
          </cell>
          <cell r="NCM2" t="str">
            <v/>
          </cell>
          <cell r="NCN2" t="str">
            <v/>
          </cell>
          <cell r="NCO2" t="str">
            <v/>
          </cell>
          <cell r="NCP2" t="str">
            <v/>
          </cell>
          <cell r="NCQ2" t="str">
            <v/>
          </cell>
          <cell r="NCR2" t="str">
            <v/>
          </cell>
          <cell r="NCS2" t="str">
            <v/>
          </cell>
          <cell r="NCT2" t="str">
            <v/>
          </cell>
          <cell r="NCU2" t="str">
            <v/>
          </cell>
          <cell r="NCV2" t="str">
            <v/>
          </cell>
          <cell r="NCW2" t="str">
            <v/>
          </cell>
          <cell r="NCX2" t="str">
            <v/>
          </cell>
          <cell r="NCY2" t="str">
            <v/>
          </cell>
          <cell r="NCZ2" t="str">
            <v/>
          </cell>
          <cell r="NDA2" t="str">
            <v/>
          </cell>
          <cell r="NDB2" t="str">
            <v/>
          </cell>
          <cell r="NDC2" t="str">
            <v/>
          </cell>
          <cell r="NDD2" t="str">
            <v/>
          </cell>
          <cell r="NDE2" t="str">
            <v/>
          </cell>
          <cell r="NDF2" t="str">
            <v/>
          </cell>
          <cell r="NDG2" t="str">
            <v/>
          </cell>
          <cell r="NDH2" t="str">
            <v/>
          </cell>
          <cell r="NDI2" t="str">
            <v/>
          </cell>
          <cell r="NDJ2" t="str">
            <v/>
          </cell>
          <cell r="NDK2" t="str">
            <v/>
          </cell>
          <cell r="NDL2" t="str">
            <v/>
          </cell>
          <cell r="NDM2" t="str">
            <v/>
          </cell>
          <cell r="NDN2" t="str">
            <v/>
          </cell>
          <cell r="NDO2" t="str">
            <v/>
          </cell>
          <cell r="NDP2" t="str">
            <v/>
          </cell>
          <cell r="NDQ2" t="str">
            <v/>
          </cell>
          <cell r="NDR2" t="str">
            <v/>
          </cell>
          <cell r="NDS2" t="str">
            <v/>
          </cell>
          <cell r="NDT2" t="str">
            <v/>
          </cell>
          <cell r="NDU2" t="str">
            <v/>
          </cell>
          <cell r="NDV2" t="str">
            <v/>
          </cell>
          <cell r="NDW2" t="str">
            <v/>
          </cell>
          <cell r="NDX2" t="str">
            <v/>
          </cell>
          <cell r="NDY2" t="str">
            <v/>
          </cell>
          <cell r="NDZ2" t="str">
            <v/>
          </cell>
          <cell r="NEA2" t="str">
            <v/>
          </cell>
          <cell r="NEB2" t="str">
            <v/>
          </cell>
          <cell r="NEC2" t="str">
            <v/>
          </cell>
          <cell r="NED2" t="str">
            <v/>
          </cell>
          <cell r="NEE2" t="str">
            <v/>
          </cell>
          <cell r="NEF2" t="str">
            <v/>
          </cell>
          <cell r="NEG2" t="str">
            <v/>
          </cell>
          <cell r="NEH2" t="str">
            <v/>
          </cell>
          <cell r="NEI2" t="str">
            <v/>
          </cell>
          <cell r="NEJ2" t="str">
            <v/>
          </cell>
          <cell r="NEK2" t="str">
            <v/>
          </cell>
          <cell r="NEL2" t="str">
            <v/>
          </cell>
          <cell r="NEM2" t="str">
            <v/>
          </cell>
          <cell r="NEN2" t="str">
            <v/>
          </cell>
          <cell r="NEO2" t="str">
            <v/>
          </cell>
          <cell r="NEP2" t="str">
            <v/>
          </cell>
          <cell r="NEQ2" t="str">
            <v/>
          </cell>
          <cell r="NER2" t="str">
            <v/>
          </cell>
          <cell r="NES2" t="str">
            <v/>
          </cell>
          <cell r="NET2" t="str">
            <v/>
          </cell>
          <cell r="NEU2" t="str">
            <v/>
          </cell>
          <cell r="NEV2" t="str">
            <v/>
          </cell>
          <cell r="NEW2" t="str">
            <v/>
          </cell>
          <cell r="NEX2" t="str">
            <v/>
          </cell>
          <cell r="NEY2" t="str">
            <v/>
          </cell>
          <cell r="NEZ2" t="str">
            <v/>
          </cell>
          <cell r="NFA2" t="str">
            <v/>
          </cell>
          <cell r="NFB2" t="str">
            <v/>
          </cell>
          <cell r="NFC2" t="str">
            <v/>
          </cell>
          <cell r="NFD2" t="str">
            <v/>
          </cell>
          <cell r="NFE2" t="str">
            <v/>
          </cell>
          <cell r="NFF2" t="str">
            <v/>
          </cell>
          <cell r="NFG2" t="str">
            <v/>
          </cell>
          <cell r="NFH2" t="str">
            <v/>
          </cell>
          <cell r="NFI2" t="str">
            <v/>
          </cell>
          <cell r="NFJ2" t="str">
            <v/>
          </cell>
          <cell r="NFK2" t="str">
            <v/>
          </cell>
          <cell r="NFL2" t="str">
            <v/>
          </cell>
          <cell r="NFM2" t="str">
            <v/>
          </cell>
          <cell r="NFN2" t="str">
            <v/>
          </cell>
          <cell r="NFO2" t="str">
            <v/>
          </cell>
          <cell r="NFP2" t="str">
            <v/>
          </cell>
          <cell r="NFQ2" t="str">
            <v/>
          </cell>
          <cell r="NFR2" t="str">
            <v/>
          </cell>
          <cell r="NFS2" t="str">
            <v/>
          </cell>
          <cell r="NFT2" t="str">
            <v/>
          </cell>
          <cell r="NFU2" t="str">
            <v/>
          </cell>
          <cell r="NFV2" t="str">
            <v/>
          </cell>
          <cell r="NFW2" t="str">
            <v/>
          </cell>
          <cell r="NFX2" t="str">
            <v/>
          </cell>
          <cell r="NFY2" t="str">
            <v/>
          </cell>
          <cell r="NFZ2" t="str">
            <v/>
          </cell>
          <cell r="NGA2" t="str">
            <v/>
          </cell>
          <cell r="NGB2" t="str">
            <v/>
          </cell>
          <cell r="NGC2" t="str">
            <v/>
          </cell>
          <cell r="NGD2" t="str">
            <v/>
          </cell>
          <cell r="NGE2" t="str">
            <v/>
          </cell>
          <cell r="NGF2" t="str">
            <v/>
          </cell>
          <cell r="NGG2" t="str">
            <v/>
          </cell>
          <cell r="NGH2" t="str">
            <v/>
          </cell>
          <cell r="NGI2" t="str">
            <v/>
          </cell>
          <cell r="NGJ2" t="str">
            <v/>
          </cell>
          <cell r="NGK2" t="str">
            <v/>
          </cell>
          <cell r="NGL2" t="str">
            <v/>
          </cell>
          <cell r="NGM2" t="str">
            <v/>
          </cell>
          <cell r="NGN2" t="str">
            <v/>
          </cell>
          <cell r="NGO2" t="str">
            <v/>
          </cell>
          <cell r="NGP2" t="str">
            <v/>
          </cell>
          <cell r="NGQ2" t="str">
            <v/>
          </cell>
          <cell r="NGR2" t="str">
            <v/>
          </cell>
          <cell r="NGS2" t="str">
            <v/>
          </cell>
          <cell r="NGT2" t="str">
            <v/>
          </cell>
          <cell r="NGU2" t="str">
            <v/>
          </cell>
          <cell r="NGV2" t="str">
            <v/>
          </cell>
          <cell r="NGW2" t="str">
            <v/>
          </cell>
          <cell r="NGX2" t="str">
            <v/>
          </cell>
          <cell r="NGY2" t="str">
            <v/>
          </cell>
          <cell r="NGZ2" t="str">
            <v/>
          </cell>
          <cell r="NHA2" t="str">
            <v/>
          </cell>
          <cell r="NHB2" t="str">
            <v/>
          </cell>
          <cell r="NHC2" t="str">
            <v/>
          </cell>
          <cell r="NHD2" t="str">
            <v/>
          </cell>
          <cell r="NHE2" t="str">
            <v/>
          </cell>
          <cell r="NHF2" t="str">
            <v/>
          </cell>
          <cell r="NHG2" t="str">
            <v/>
          </cell>
          <cell r="NHH2" t="str">
            <v/>
          </cell>
          <cell r="NHI2" t="str">
            <v/>
          </cell>
          <cell r="NHJ2" t="str">
            <v/>
          </cell>
          <cell r="NHK2" t="str">
            <v/>
          </cell>
          <cell r="NHL2" t="str">
            <v/>
          </cell>
          <cell r="NHM2" t="str">
            <v/>
          </cell>
          <cell r="NHN2" t="str">
            <v/>
          </cell>
          <cell r="NHO2" t="str">
            <v/>
          </cell>
          <cell r="NHP2" t="str">
            <v/>
          </cell>
          <cell r="NHQ2" t="str">
            <v/>
          </cell>
          <cell r="NHR2" t="str">
            <v/>
          </cell>
          <cell r="NHS2" t="str">
            <v/>
          </cell>
          <cell r="NHT2" t="str">
            <v/>
          </cell>
          <cell r="NHU2" t="str">
            <v/>
          </cell>
          <cell r="NHV2" t="str">
            <v/>
          </cell>
          <cell r="NHW2" t="str">
            <v/>
          </cell>
          <cell r="NHX2" t="str">
            <v/>
          </cell>
          <cell r="NHY2" t="str">
            <v/>
          </cell>
          <cell r="NHZ2" t="str">
            <v/>
          </cell>
          <cell r="NIA2" t="str">
            <v/>
          </cell>
          <cell r="NIB2" t="str">
            <v/>
          </cell>
          <cell r="NIC2" t="str">
            <v/>
          </cell>
          <cell r="NID2" t="str">
            <v/>
          </cell>
          <cell r="NIE2" t="str">
            <v/>
          </cell>
          <cell r="NIF2" t="str">
            <v/>
          </cell>
          <cell r="NIG2" t="str">
            <v/>
          </cell>
          <cell r="NIH2" t="str">
            <v/>
          </cell>
          <cell r="NII2" t="str">
            <v/>
          </cell>
          <cell r="NIJ2" t="str">
            <v/>
          </cell>
          <cell r="NIK2" t="str">
            <v/>
          </cell>
          <cell r="NIL2" t="str">
            <v/>
          </cell>
          <cell r="NIM2" t="str">
            <v/>
          </cell>
          <cell r="NIN2" t="str">
            <v/>
          </cell>
          <cell r="NIO2" t="str">
            <v/>
          </cell>
          <cell r="NIP2" t="str">
            <v/>
          </cell>
          <cell r="NIQ2" t="str">
            <v/>
          </cell>
          <cell r="NIR2" t="str">
            <v/>
          </cell>
          <cell r="NIS2" t="str">
            <v/>
          </cell>
          <cell r="NIT2" t="str">
            <v/>
          </cell>
          <cell r="NIU2" t="str">
            <v/>
          </cell>
          <cell r="NIV2" t="str">
            <v/>
          </cell>
          <cell r="NIW2" t="str">
            <v/>
          </cell>
          <cell r="NIX2" t="str">
            <v/>
          </cell>
          <cell r="NIY2" t="str">
            <v/>
          </cell>
          <cell r="NIZ2" t="str">
            <v/>
          </cell>
          <cell r="NJA2" t="str">
            <v/>
          </cell>
          <cell r="NJB2" t="str">
            <v/>
          </cell>
          <cell r="NJC2" t="str">
            <v/>
          </cell>
          <cell r="NJD2" t="str">
            <v/>
          </cell>
          <cell r="NJE2" t="str">
            <v/>
          </cell>
          <cell r="NJF2" t="str">
            <v/>
          </cell>
          <cell r="NJG2" t="str">
            <v/>
          </cell>
          <cell r="NJH2" t="str">
            <v/>
          </cell>
          <cell r="NJI2" t="str">
            <v/>
          </cell>
          <cell r="NJJ2" t="str">
            <v/>
          </cell>
          <cell r="NJK2" t="str">
            <v/>
          </cell>
          <cell r="NJL2" t="str">
            <v/>
          </cell>
          <cell r="NJM2" t="str">
            <v/>
          </cell>
          <cell r="NJN2" t="str">
            <v/>
          </cell>
          <cell r="NJO2" t="str">
            <v/>
          </cell>
          <cell r="NJP2" t="str">
            <v/>
          </cell>
          <cell r="NJQ2" t="str">
            <v/>
          </cell>
          <cell r="NJR2" t="str">
            <v/>
          </cell>
          <cell r="NJS2" t="str">
            <v/>
          </cell>
          <cell r="NJT2" t="str">
            <v/>
          </cell>
          <cell r="NJU2" t="str">
            <v/>
          </cell>
          <cell r="NJV2" t="str">
            <v/>
          </cell>
          <cell r="NJW2" t="str">
            <v/>
          </cell>
          <cell r="NJX2" t="str">
            <v/>
          </cell>
          <cell r="NJY2" t="str">
            <v/>
          </cell>
          <cell r="NJZ2" t="str">
            <v/>
          </cell>
          <cell r="NKA2" t="str">
            <v/>
          </cell>
          <cell r="NKB2" t="str">
            <v/>
          </cell>
          <cell r="NKC2" t="str">
            <v/>
          </cell>
          <cell r="NKD2" t="str">
            <v/>
          </cell>
          <cell r="NKE2" t="str">
            <v/>
          </cell>
          <cell r="NKF2" t="str">
            <v/>
          </cell>
          <cell r="NKG2" t="str">
            <v/>
          </cell>
          <cell r="NKH2" t="str">
            <v/>
          </cell>
          <cell r="NKI2" t="str">
            <v/>
          </cell>
          <cell r="NKJ2" t="str">
            <v/>
          </cell>
          <cell r="NKK2" t="str">
            <v/>
          </cell>
          <cell r="NKL2" t="str">
            <v/>
          </cell>
          <cell r="NKM2" t="str">
            <v/>
          </cell>
          <cell r="NKN2" t="str">
            <v/>
          </cell>
          <cell r="NKO2" t="str">
            <v/>
          </cell>
          <cell r="NKP2" t="str">
            <v/>
          </cell>
          <cell r="NKQ2" t="str">
            <v/>
          </cell>
          <cell r="NKR2" t="str">
            <v/>
          </cell>
          <cell r="NKS2" t="str">
            <v/>
          </cell>
          <cell r="NKT2" t="str">
            <v/>
          </cell>
          <cell r="NKU2" t="str">
            <v/>
          </cell>
          <cell r="NKV2" t="str">
            <v/>
          </cell>
          <cell r="NKW2" t="str">
            <v/>
          </cell>
          <cell r="NKX2" t="str">
            <v/>
          </cell>
          <cell r="NKY2" t="str">
            <v/>
          </cell>
          <cell r="NKZ2" t="str">
            <v/>
          </cell>
          <cell r="NLA2" t="str">
            <v/>
          </cell>
          <cell r="NLB2" t="str">
            <v/>
          </cell>
          <cell r="NLC2" t="str">
            <v/>
          </cell>
          <cell r="NLD2" t="str">
            <v/>
          </cell>
          <cell r="NLE2" t="str">
            <v/>
          </cell>
          <cell r="NLF2" t="str">
            <v/>
          </cell>
          <cell r="NLG2" t="str">
            <v/>
          </cell>
          <cell r="NLH2" t="str">
            <v/>
          </cell>
          <cell r="NLI2" t="str">
            <v/>
          </cell>
          <cell r="NLJ2" t="str">
            <v/>
          </cell>
          <cell r="NLK2" t="str">
            <v/>
          </cell>
          <cell r="NLL2" t="str">
            <v/>
          </cell>
          <cell r="NLM2" t="str">
            <v/>
          </cell>
          <cell r="NLN2" t="str">
            <v/>
          </cell>
          <cell r="NLO2" t="str">
            <v/>
          </cell>
          <cell r="NLP2" t="str">
            <v/>
          </cell>
          <cell r="NLQ2" t="str">
            <v/>
          </cell>
          <cell r="NLR2" t="str">
            <v/>
          </cell>
          <cell r="NLS2" t="str">
            <v/>
          </cell>
          <cell r="NLT2" t="str">
            <v/>
          </cell>
          <cell r="NLU2" t="str">
            <v/>
          </cell>
          <cell r="NLV2" t="str">
            <v/>
          </cell>
          <cell r="NLW2" t="str">
            <v/>
          </cell>
          <cell r="NLX2" t="str">
            <v/>
          </cell>
          <cell r="NLY2" t="str">
            <v/>
          </cell>
          <cell r="NLZ2" t="str">
            <v/>
          </cell>
          <cell r="NMA2" t="str">
            <v/>
          </cell>
          <cell r="NMB2" t="str">
            <v/>
          </cell>
          <cell r="NMC2" t="str">
            <v/>
          </cell>
          <cell r="NMD2" t="str">
            <v/>
          </cell>
          <cell r="NME2" t="str">
            <v/>
          </cell>
          <cell r="NMF2" t="str">
            <v/>
          </cell>
          <cell r="NMG2" t="str">
            <v/>
          </cell>
          <cell r="NMH2" t="str">
            <v/>
          </cell>
          <cell r="NMI2" t="str">
            <v/>
          </cell>
          <cell r="NMJ2" t="str">
            <v/>
          </cell>
          <cell r="NMK2" t="str">
            <v/>
          </cell>
          <cell r="NML2" t="str">
            <v/>
          </cell>
          <cell r="NMM2" t="str">
            <v/>
          </cell>
          <cell r="NMN2" t="str">
            <v/>
          </cell>
          <cell r="NMO2" t="str">
            <v/>
          </cell>
          <cell r="NMP2" t="str">
            <v/>
          </cell>
          <cell r="NMQ2" t="str">
            <v/>
          </cell>
          <cell r="NMR2" t="str">
            <v/>
          </cell>
          <cell r="NMS2" t="str">
            <v/>
          </cell>
          <cell r="NMT2" t="str">
            <v/>
          </cell>
          <cell r="NMU2" t="str">
            <v/>
          </cell>
          <cell r="NMV2" t="str">
            <v/>
          </cell>
          <cell r="NMW2" t="str">
            <v/>
          </cell>
          <cell r="NMX2" t="str">
            <v/>
          </cell>
          <cell r="NMY2" t="str">
            <v/>
          </cell>
          <cell r="NMZ2" t="str">
            <v/>
          </cell>
          <cell r="NNA2" t="str">
            <v/>
          </cell>
          <cell r="NNB2" t="str">
            <v/>
          </cell>
          <cell r="NNC2" t="str">
            <v/>
          </cell>
          <cell r="NND2" t="str">
            <v/>
          </cell>
          <cell r="NNE2" t="str">
            <v/>
          </cell>
          <cell r="NNF2" t="str">
            <v/>
          </cell>
          <cell r="NNG2" t="str">
            <v/>
          </cell>
          <cell r="NNH2" t="str">
            <v/>
          </cell>
          <cell r="NNI2" t="str">
            <v/>
          </cell>
          <cell r="NNJ2" t="str">
            <v/>
          </cell>
          <cell r="NNK2" t="str">
            <v/>
          </cell>
          <cell r="NNL2" t="str">
            <v/>
          </cell>
          <cell r="NNM2" t="str">
            <v/>
          </cell>
          <cell r="NNN2" t="str">
            <v/>
          </cell>
          <cell r="NNO2" t="str">
            <v/>
          </cell>
          <cell r="NNP2" t="str">
            <v/>
          </cell>
          <cell r="NNQ2" t="str">
            <v/>
          </cell>
          <cell r="NNR2" t="str">
            <v/>
          </cell>
          <cell r="NNS2" t="str">
            <v/>
          </cell>
          <cell r="NNT2" t="str">
            <v/>
          </cell>
          <cell r="NNU2" t="str">
            <v/>
          </cell>
          <cell r="NNV2" t="str">
            <v/>
          </cell>
          <cell r="NNW2" t="str">
            <v/>
          </cell>
          <cell r="NNX2" t="str">
            <v/>
          </cell>
          <cell r="NNY2" t="str">
            <v/>
          </cell>
          <cell r="NNZ2" t="str">
            <v/>
          </cell>
          <cell r="NOA2" t="str">
            <v/>
          </cell>
          <cell r="NOB2" t="str">
            <v/>
          </cell>
          <cell r="NOC2" t="str">
            <v/>
          </cell>
          <cell r="NOD2" t="str">
            <v/>
          </cell>
          <cell r="NOE2" t="str">
            <v/>
          </cell>
          <cell r="NOF2" t="str">
            <v/>
          </cell>
          <cell r="NOG2" t="str">
            <v/>
          </cell>
          <cell r="NOH2" t="str">
            <v/>
          </cell>
          <cell r="NOI2" t="str">
            <v/>
          </cell>
          <cell r="NOJ2" t="str">
            <v/>
          </cell>
          <cell r="NOK2" t="str">
            <v/>
          </cell>
          <cell r="NOL2" t="str">
            <v/>
          </cell>
          <cell r="NOM2" t="str">
            <v/>
          </cell>
          <cell r="NON2" t="str">
            <v/>
          </cell>
          <cell r="NOO2" t="str">
            <v/>
          </cell>
          <cell r="NOP2" t="str">
            <v/>
          </cell>
          <cell r="NOQ2" t="str">
            <v/>
          </cell>
          <cell r="NOR2" t="str">
            <v/>
          </cell>
          <cell r="NOS2" t="str">
            <v/>
          </cell>
          <cell r="NOT2" t="str">
            <v/>
          </cell>
          <cell r="NOU2" t="str">
            <v/>
          </cell>
          <cell r="NOV2" t="str">
            <v/>
          </cell>
          <cell r="NOW2" t="str">
            <v/>
          </cell>
          <cell r="NOX2" t="str">
            <v/>
          </cell>
          <cell r="NOY2" t="str">
            <v/>
          </cell>
          <cell r="NOZ2" t="str">
            <v/>
          </cell>
          <cell r="NPA2" t="str">
            <v/>
          </cell>
          <cell r="NPB2" t="str">
            <v/>
          </cell>
          <cell r="NPC2" t="str">
            <v/>
          </cell>
          <cell r="NPD2" t="str">
            <v/>
          </cell>
          <cell r="NPE2" t="str">
            <v/>
          </cell>
          <cell r="NPF2" t="str">
            <v/>
          </cell>
          <cell r="NPG2" t="str">
            <v/>
          </cell>
          <cell r="NPH2" t="str">
            <v/>
          </cell>
          <cell r="NPI2" t="str">
            <v/>
          </cell>
          <cell r="NPJ2" t="str">
            <v/>
          </cell>
          <cell r="NPK2" t="str">
            <v/>
          </cell>
          <cell r="NPL2" t="str">
            <v/>
          </cell>
          <cell r="NPM2" t="str">
            <v/>
          </cell>
          <cell r="NPN2" t="str">
            <v/>
          </cell>
          <cell r="NPO2" t="str">
            <v/>
          </cell>
          <cell r="NPP2" t="str">
            <v/>
          </cell>
          <cell r="NPQ2" t="str">
            <v/>
          </cell>
          <cell r="NPR2" t="str">
            <v/>
          </cell>
          <cell r="NPS2" t="str">
            <v/>
          </cell>
          <cell r="NPT2" t="str">
            <v/>
          </cell>
          <cell r="NPU2" t="str">
            <v/>
          </cell>
          <cell r="NPV2" t="str">
            <v/>
          </cell>
          <cell r="NPW2" t="str">
            <v/>
          </cell>
          <cell r="NPX2" t="str">
            <v/>
          </cell>
          <cell r="NPY2" t="str">
            <v/>
          </cell>
          <cell r="NPZ2" t="str">
            <v/>
          </cell>
          <cell r="NQA2" t="str">
            <v/>
          </cell>
          <cell r="NQB2" t="str">
            <v/>
          </cell>
          <cell r="NQC2" t="str">
            <v/>
          </cell>
          <cell r="NQD2" t="str">
            <v/>
          </cell>
          <cell r="NQE2" t="str">
            <v/>
          </cell>
          <cell r="NQF2" t="str">
            <v/>
          </cell>
          <cell r="NQG2" t="str">
            <v/>
          </cell>
          <cell r="NQH2" t="str">
            <v/>
          </cell>
          <cell r="NQI2" t="str">
            <v/>
          </cell>
          <cell r="NQJ2" t="str">
            <v/>
          </cell>
          <cell r="NQK2" t="str">
            <v/>
          </cell>
          <cell r="NQL2" t="str">
            <v/>
          </cell>
          <cell r="NQM2" t="str">
            <v/>
          </cell>
          <cell r="NQN2" t="str">
            <v/>
          </cell>
          <cell r="NQO2" t="str">
            <v/>
          </cell>
          <cell r="NQP2" t="str">
            <v/>
          </cell>
          <cell r="NQQ2" t="str">
            <v/>
          </cell>
          <cell r="NQR2" t="str">
            <v/>
          </cell>
          <cell r="NQS2" t="str">
            <v/>
          </cell>
          <cell r="NQT2" t="str">
            <v/>
          </cell>
          <cell r="NQU2" t="str">
            <v/>
          </cell>
          <cell r="NQV2" t="str">
            <v/>
          </cell>
          <cell r="NQW2" t="str">
            <v/>
          </cell>
          <cell r="NQX2" t="str">
            <v/>
          </cell>
          <cell r="NQY2" t="str">
            <v/>
          </cell>
          <cell r="NQZ2" t="str">
            <v/>
          </cell>
          <cell r="NRA2" t="str">
            <v/>
          </cell>
          <cell r="NRB2" t="str">
            <v/>
          </cell>
          <cell r="NRC2" t="str">
            <v/>
          </cell>
          <cell r="NRD2" t="str">
            <v/>
          </cell>
          <cell r="NRE2" t="str">
            <v/>
          </cell>
          <cell r="NRF2" t="str">
            <v/>
          </cell>
          <cell r="NRG2" t="str">
            <v/>
          </cell>
          <cell r="NRH2" t="str">
            <v/>
          </cell>
          <cell r="NRI2" t="str">
            <v/>
          </cell>
          <cell r="NRJ2" t="str">
            <v/>
          </cell>
          <cell r="NRK2" t="str">
            <v/>
          </cell>
          <cell r="NRL2" t="str">
            <v/>
          </cell>
          <cell r="NRM2" t="str">
            <v/>
          </cell>
          <cell r="NRN2" t="str">
            <v/>
          </cell>
          <cell r="NRO2" t="str">
            <v/>
          </cell>
          <cell r="NRP2" t="str">
            <v/>
          </cell>
          <cell r="NRQ2" t="str">
            <v/>
          </cell>
          <cell r="NRR2" t="str">
            <v/>
          </cell>
          <cell r="NRS2" t="str">
            <v/>
          </cell>
          <cell r="NRT2" t="str">
            <v/>
          </cell>
          <cell r="NRU2" t="str">
            <v/>
          </cell>
          <cell r="NRV2" t="str">
            <v/>
          </cell>
          <cell r="NRW2" t="str">
            <v/>
          </cell>
          <cell r="NRX2" t="str">
            <v/>
          </cell>
          <cell r="NRY2" t="str">
            <v/>
          </cell>
          <cell r="NRZ2" t="str">
            <v/>
          </cell>
          <cell r="NSA2" t="str">
            <v/>
          </cell>
          <cell r="NSB2" t="str">
            <v/>
          </cell>
          <cell r="NSC2" t="str">
            <v/>
          </cell>
          <cell r="NSD2" t="str">
            <v/>
          </cell>
          <cell r="NSE2" t="str">
            <v/>
          </cell>
          <cell r="NSF2" t="str">
            <v/>
          </cell>
          <cell r="NSG2" t="str">
            <v/>
          </cell>
          <cell r="NSH2" t="str">
            <v/>
          </cell>
          <cell r="NSI2" t="str">
            <v/>
          </cell>
          <cell r="NSJ2" t="str">
            <v/>
          </cell>
          <cell r="NSK2" t="str">
            <v/>
          </cell>
          <cell r="NSL2" t="str">
            <v/>
          </cell>
          <cell r="NSM2" t="str">
            <v/>
          </cell>
          <cell r="NSN2" t="str">
            <v/>
          </cell>
          <cell r="NSO2" t="str">
            <v/>
          </cell>
          <cell r="NSP2" t="str">
            <v/>
          </cell>
          <cell r="NSQ2" t="str">
            <v/>
          </cell>
          <cell r="NSR2" t="str">
            <v/>
          </cell>
          <cell r="NSS2" t="str">
            <v/>
          </cell>
          <cell r="NST2" t="str">
            <v/>
          </cell>
          <cell r="NSU2" t="str">
            <v/>
          </cell>
          <cell r="NSV2" t="str">
            <v/>
          </cell>
          <cell r="NSW2" t="str">
            <v/>
          </cell>
          <cell r="NSX2" t="str">
            <v/>
          </cell>
          <cell r="NSY2" t="str">
            <v/>
          </cell>
          <cell r="NSZ2" t="str">
            <v/>
          </cell>
          <cell r="NTA2" t="str">
            <v/>
          </cell>
          <cell r="NTB2" t="str">
            <v/>
          </cell>
          <cell r="NTC2" t="str">
            <v/>
          </cell>
          <cell r="NTD2" t="str">
            <v/>
          </cell>
          <cell r="NTE2" t="str">
            <v/>
          </cell>
          <cell r="NTF2" t="str">
            <v/>
          </cell>
          <cell r="NTG2" t="str">
            <v/>
          </cell>
          <cell r="NTH2" t="str">
            <v/>
          </cell>
          <cell r="NTI2" t="str">
            <v/>
          </cell>
          <cell r="NTJ2" t="str">
            <v/>
          </cell>
          <cell r="NTK2" t="str">
            <v/>
          </cell>
          <cell r="NTL2" t="str">
            <v/>
          </cell>
          <cell r="NTM2" t="str">
            <v/>
          </cell>
          <cell r="NTN2" t="str">
            <v/>
          </cell>
          <cell r="NTO2" t="str">
            <v/>
          </cell>
          <cell r="NTP2" t="str">
            <v/>
          </cell>
          <cell r="NTQ2" t="str">
            <v/>
          </cell>
          <cell r="NTR2" t="str">
            <v/>
          </cell>
          <cell r="NTS2" t="str">
            <v/>
          </cell>
          <cell r="NTT2" t="str">
            <v/>
          </cell>
          <cell r="NTU2" t="str">
            <v/>
          </cell>
          <cell r="NTV2" t="str">
            <v/>
          </cell>
          <cell r="NTW2" t="str">
            <v/>
          </cell>
          <cell r="NTX2" t="str">
            <v/>
          </cell>
          <cell r="NTY2" t="str">
            <v/>
          </cell>
          <cell r="NTZ2" t="str">
            <v/>
          </cell>
          <cell r="NUA2" t="str">
            <v/>
          </cell>
          <cell r="NUB2" t="str">
            <v/>
          </cell>
          <cell r="NUC2" t="str">
            <v/>
          </cell>
          <cell r="NUD2" t="str">
            <v/>
          </cell>
          <cell r="NUE2" t="str">
            <v/>
          </cell>
          <cell r="NUF2" t="str">
            <v/>
          </cell>
          <cell r="NUG2" t="str">
            <v/>
          </cell>
          <cell r="NUH2" t="str">
            <v/>
          </cell>
          <cell r="NUI2" t="str">
            <v/>
          </cell>
          <cell r="NUJ2" t="str">
            <v/>
          </cell>
          <cell r="NUK2" t="str">
            <v/>
          </cell>
          <cell r="NUL2" t="str">
            <v/>
          </cell>
          <cell r="NUM2" t="str">
            <v/>
          </cell>
          <cell r="NUN2" t="str">
            <v/>
          </cell>
          <cell r="NUO2" t="str">
            <v/>
          </cell>
          <cell r="NUP2" t="str">
            <v/>
          </cell>
          <cell r="NUQ2" t="str">
            <v/>
          </cell>
          <cell r="NUR2" t="str">
            <v/>
          </cell>
          <cell r="NUS2" t="str">
            <v/>
          </cell>
          <cell r="NUT2" t="str">
            <v/>
          </cell>
          <cell r="NUU2" t="str">
            <v/>
          </cell>
          <cell r="NUV2" t="str">
            <v/>
          </cell>
          <cell r="NUW2" t="str">
            <v/>
          </cell>
          <cell r="NUX2" t="str">
            <v/>
          </cell>
          <cell r="NUY2" t="str">
            <v/>
          </cell>
          <cell r="NUZ2" t="str">
            <v/>
          </cell>
          <cell r="NVA2" t="str">
            <v/>
          </cell>
          <cell r="NVB2" t="str">
            <v/>
          </cell>
          <cell r="NVC2" t="str">
            <v/>
          </cell>
          <cell r="NVD2" t="str">
            <v/>
          </cell>
          <cell r="NVE2" t="str">
            <v/>
          </cell>
          <cell r="NVF2" t="str">
            <v/>
          </cell>
          <cell r="NVG2" t="str">
            <v/>
          </cell>
          <cell r="NVH2" t="str">
            <v/>
          </cell>
          <cell r="NVI2" t="str">
            <v/>
          </cell>
          <cell r="NVJ2" t="str">
            <v/>
          </cell>
          <cell r="NVK2" t="str">
            <v/>
          </cell>
          <cell r="NVL2" t="str">
            <v/>
          </cell>
          <cell r="NVM2" t="str">
            <v/>
          </cell>
          <cell r="NVN2" t="str">
            <v/>
          </cell>
          <cell r="NVO2" t="str">
            <v/>
          </cell>
          <cell r="NVP2" t="str">
            <v/>
          </cell>
          <cell r="NVQ2" t="str">
            <v/>
          </cell>
          <cell r="NVR2" t="str">
            <v/>
          </cell>
          <cell r="NVS2" t="str">
            <v/>
          </cell>
          <cell r="NVT2" t="str">
            <v/>
          </cell>
          <cell r="NVU2" t="str">
            <v/>
          </cell>
          <cell r="NVV2" t="str">
            <v/>
          </cell>
          <cell r="NVW2" t="str">
            <v/>
          </cell>
          <cell r="NVX2" t="str">
            <v/>
          </cell>
          <cell r="NVY2" t="str">
            <v/>
          </cell>
          <cell r="NVZ2" t="str">
            <v/>
          </cell>
          <cell r="NWA2" t="str">
            <v/>
          </cell>
          <cell r="NWB2" t="str">
            <v/>
          </cell>
          <cell r="NWC2" t="str">
            <v/>
          </cell>
          <cell r="NWD2" t="str">
            <v/>
          </cell>
          <cell r="NWE2" t="str">
            <v/>
          </cell>
          <cell r="NWF2" t="str">
            <v/>
          </cell>
          <cell r="NWG2" t="str">
            <v/>
          </cell>
          <cell r="NWH2" t="str">
            <v/>
          </cell>
          <cell r="NWI2" t="str">
            <v/>
          </cell>
          <cell r="NWJ2" t="str">
            <v/>
          </cell>
          <cell r="NWK2" t="str">
            <v/>
          </cell>
          <cell r="NWL2" t="str">
            <v/>
          </cell>
          <cell r="NWM2" t="str">
            <v/>
          </cell>
          <cell r="NWN2" t="str">
            <v/>
          </cell>
          <cell r="NWO2" t="str">
            <v/>
          </cell>
          <cell r="NWP2" t="str">
            <v/>
          </cell>
          <cell r="NWQ2" t="str">
            <v/>
          </cell>
          <cell r="NWR2" t="str">
            <v/>
          </cell>
          <cell r="NWS2" t="str">
            <v/>
          </cell>
          <cell r="NWT2" t="str">
            <v/>
          </cell>
          <cell r="NWU2" t="str">
            <v/>
          </cell>
          <cell r="NWV2" t="str">
            <v/>
          </cell>
          <cell r="NWW2" t="str">
            <v/>
          </cell>
          <cell r="NWX2" t="str">
            <v/>
          </cell>
          <cell r="NWY2" t="str">
            <v/>
          </cell>
          <cell r="NWZ2" t="str">
            <v/>
          </cell>
          <cell r="NXA2" t="str">
            <v/>
          </cell>
          <cell r="NXB2" t="str">
            <v/>
          </cell>
          <cell r="NXC2" t="str">
            <v/>
          </cell>
          <cell r="NXD2" t="str">
            <v/>
          </cell>
          <cell r="NXE2" t="str">
            <v/>
          </cell>
          <cell r="NXF2" t="str">
            <v/>
          </cell>
          <cell r="NXG2" t="str">
            <v/>
          </cell>
          <cell r="NXH2" t="str">
            <v/>
          </cell>
          <cell r="NXI2" t="str">
            <v/>
          </cell>
          <cell r="NXJ2" t="str">
            <v/>
          </cell>
          <cell r="NXK2" t="str">
            <v/>
          </cell>
          <cell r="NXL2" t="str">
            <v/>
          </cell>
          <cell r="NXM2" t="str">
            <v/>
          </cell>
          <cell r="NXN2" t="str">
            <v/>
          </cell>
          <cell r="NXO2" t="str">
            <v/>
          </cell>
          <cell r="NXP2" t="str">
            <v/>
          </cell>
          <cell r="NXQ2" t="str">
            <v/>
          </cell>
          <cell r="NXR2" t="str">
            <v/>
          </cell>
          <cell r="NXS2" t="str">
            <v/>
          </cell>
          <cell r="NXT2" t="str">
            <v/>
          </cell>
          <cell r="NXU2" t="str">
            <v/>
          </cell>
          <cell r="NXV2" t="str">
            <v/>
          </cell>
          <cell r="NXW2" t="str">
            <v/>
          </cell>
          <cell r="NXX2" t="str">
            <v/>
          </cell>
          <cell r="NXY2" t="str">
            <v/>
          </cell>
          <cell r="NXZ2" t="str">
            <v/>
          </cell>
          <cell r="NYA2" t="str">
            <v/>
          </cell>
          <cell r="NYB2" t="str">
            <v/>
          </cell>
          <cell r="NYC2" t="str">
            <v/>
          </cell>
          <cell r="NYD2" t="str">
            <v/>
          </cell>
          <cell r="NYE2" t="str">
            <v/>
          </cell>
          <cell r="NYF2" t="str">
            <v/>
          </cell>
          <cell r="NYG2" t="str">
            <v/>
          </cell>
          <cell r="NYH2" t="str">
            <v/>
          </cell>
          <cell r="NYI2" t="str">
            <v/>
          </cell>
          <cell r="NYJ2" t="str">
            <v/>
          </cell>
          <cell r="NYK2" t="str">
            <v/>
          </cell>
          <cell r="NYL2" t="str">
            <v/>
          </cell>
          <cell r="NYM2" t="str">
            <v/>
          </cell>
          <cell r="NYN2" t="str">
            <v/>
          </cell>
          <cell r="NYO2" t="str">
            <v/>
          </cell>
          <cell r="NYP2" t="str">
            <v/>
          </cell>
          <cell r="NYQ2" t="str">
            <v/>
          </cell>
          <cell r="NYR2" t="str">
            <v/>
          </cell>
          <cell r="NYS2" t="str">
            <v/>
          </cell>
          <cell r="NYT2" t="str">
            <v/>
          </cell>
          <cell r="NYU2" t="str">
            <v/>
          </cell>
          <cell r="NYV2" t="str">
            <v/>
          </cell>
          <cell r="NYW2" t="str">
            <v/>
          </cell>
          <cell r="NYX2" t="str">
            <v/>
          </cell>
          <cell r="NYY2" t="str">
            <v/>
          </cell>
          <cell r="NYZ2" t="str">
            <v/>
          </cell>
          <cell r="NZA2" t="str">
            <v/>
          </cell>
          <cell r="NZB2" t="str">
            <v/>
          </cell>
          <cell r="NZC2" t="str">
            <v/>
          </cell>
          <cell r="NZD2" t="str">
            <v/>
          </cell>
          <cell r="NZE2" t="str">
            <v/>
          </cell>
          <cell r="NZF2" t="str">
            <v/>
          </cell>
          <cell r="NZG2" t="str">
            <v/>
          </cell>
          <cell r="NZH2" t="str">
            <v/>
          </cell>
          <cell r="NZI2" t="str">
            <v/>
          </cell>
          <cell r="NZJ2" t="str">
            <v/>
          </cell>
          <cell r="NZK2" t="str">
            <v/>
          </cell>
          <cell r="NZL2" t="str">
            <v/>
          </cell>
          <cell r="NZM2" t="str">
            <v/>
          </cell>
          <cell r="NZN2" t="str">
            <v/>
          </cell>
          <cell r="NZO2" t="str">
            <v/>
          </cell>
          <cell r="NZP2" t="str">
            <v/>
          </cell>
          <cell r="NZQ2" t="str">
            <v/>
          </cell>
          <cell r="NZR2" t="str">
            <v/>
          </cell>
          <cell r="NZS2" t="str">
            <v/>
          </cell>
          <cell r="NZT2" t="str">
            <v/>
          </cell>
          <cell r="NZU2" t="str">
            <v/>
          </cell>
          <cell r="NZV2" t="str">
            <v/>
          </cell>
          <cell r="NZW2" t="str">
            <v/>
          </cell>
          <cell r="NZX2" t="str">
            <v/>
          </cell>
          <cell r="NZY2" t="str">
            <v/>
          </cell>
          <cell r="NZZ2" t="str">
            <v/>
          </cell>
          <cell r="OAA2" t="str">
            <v/>
          </cell>
          <cell r="OAB2" t="str">
            <v/>
          </cell>
          <cell r="OAC2" t="str">
            <v/>
          </cell>
          <cell r="OAD2" t="str">
            <v/>
          </cell>
          <cell r="OAE2" t="str">
            <v/>
          </cell>
          <cell r="OAF2" t="str">
            <v/>
          </cell>
          <cell r="OAG2" t="str">
            <v/>
          </cell>
          <cell r="OAH2" t="str">
            <v/>
          </cell>
          <cell r="OAI2" t="str">
            <v/>
          </cell>
          <cell r="OAJ2" t="str">
            <v/>
          </cell>
          <cell r="OAK2" t="str">
            <v/>
          </cell>
          <cell r="OAL2" t="str">
            <v/>
          </cell>
          <cell r="OAM2" t="str">
            <v/>
          </cell>
          <cell r="OAN2" t="str">
            <v/>
          </cell>
          <cell r="OAO2" t="str">
            <v/>
          </cell>
          <cell r="OAP2" t="str">
            <v/>
          </cell>
          <cell r="OAQ2" t="str">
            <v/>
          </cell>
          <cell r="OAR2" t="str">
            <v/>
          </cell>
          <cell r="OAS2" t="str">
            <v/>
          </cell>
          <cell r="OAT2" t="str">
            <v/>
          </cell>
          <cell r="OAU2" t="str">
            <v/>
          </cell>
          <cell r="OAV2" t="str">
            <v/>
          </cell>
          <cell r="OAW2" t="str">
            <v/>
          </cell>
          <cell r="OAX2" t="str">
            <v/>
          </cell>
          <cell r="OAY2" t="str">
            <v/>
          </cell>
          <cell r="OAZ2" t="str">
            <v/>
          </cell>
          <cell r="OBA2" t="str">
            <v/>
          </cell>
          <cell r="OBB2" t="str">
            <v/>
          </cell>
          <cell r="OBC2" t="str">
            <v/>
          </cell>
          <cell r="OBD2" t="str">
            <v/>
          </cell>
          <cell r="OBE2" t="str">
            <v/>
          </cell>
          <cell r="OBF2" t="str">
            <v/>
          </cell>
          <cell r="OBG2" t="str">
            <v/>
          </cell>
          <cell r="OBH2" t="str">
            <v/>
          </cell>
          <cell r="OBI2" t="str">
            <v/>
          </cell>
          <cell r="OBJ2" t="str">
            <v/>
          </cell>
          <cell r="OBK2" t="str">
            <v/>
          </cell>
          <cell r="OBL2" t="str">
            <v/>
          </cell>
          <cell r="OBM2" t="str">
            <v/>
          </cell>
          <cell r="OBN2" t="str">
            <v/>
          </cell>
          <cell r="OBO2" t="str">
            <v/>
          </cell>
          <cell r="OBP2" t="str">
            <v/>
          </cell>
          <cell r="OBQ2" t="str">
            <v/>
          </cell>
          <cell r="OBR2" t="str">
            <v/>
          </cell>
          <cell r="OBS2" t="str">
            <v/>
          </cell>
          <cell r="OBT2" t="str">
            <v/>
          </cell>
          <cell r="OBU2" t="str">
            <v/>
          </cell>
          <cell r="OBV2" t="str">
            <v/>
          </cell>
          <cell r="OBW2" t="str">
            <v/>
          </cell>
          <cell r="OBX2" t="str">
            <v/>
          </cell>
          <cell r="OBY2" t="str">
            <v/>
          </cell>
          <cell r="OBZ2" t="str">
            <v/>
          </cell>
          <cell r="OCA2" t="str">
            <v/>
          </cell>
          <cell r="OCB2" t="str">
            <v/>
          </cell>
          <cell r="OCC2" t="str">
            <v/>
          </cell>
          <cell r="OCD2" t="str">
            <v/>
          </cell>
          <cell r="OCE2" t="str">
            <v/>
          </cell>
          <cell r="OCF2" t="str">
            <v/>
          </cell>
          <cell r="OCG2" t="str">
            <v/>
          </cell>
          <cell r="OCH2" t="str">
            <v/>
          </cell>
          <cell r="OCI2" t="str">
            <v/>
          </cell>
          <cell r="OCJ2" t="str">
            <v/>
          </cell>
          <cell r="OCK2" t="str">
            <v/>
          </cell>
          <cell r="OCL2" t="str">
            <v/>
          </cell>
          <cell r="OCM2" t="str">
            <v/>
          </cell>
          <cell r="OCN2" t="str">
            <v/>
          </cell>
          <cell r="OCO2" t="str">
            <v/>
          </cell>
          <cell r="OCP2" t="str">
            <v/>
          </cell>
          <cell r="OCQ2" t="str">
            <v/>
          </cell>
          <cell r="OCR2" t="str">
            <v/>
          </cell>
          <cell r="OCS2" t="str">
            <v/>
          </cell>
          <cell r="OCT2" t="str">
            <v/>
          </cell>
          <cell r="OCU2" t="str">
            <v/>
          </cell>
          <cell r="OCV2" t="str">
            <v/>
          </cell>
          <cell r="OCW2" t="str">
            <v/>
          </cell>
          <cell r="OCX2" t="str">
            <v/>
          </cell>
          <cell r="OCY2" t="str">
            <v/>
          </cell>
          <cell r="OCZ2" t="str">
            <v/>
          </cell>
          <cell r="ODA2" t="str">
            <v/>
          </cell>
          <cell r="ODB2" t="str">
            <v/>
          </cell>
          <cell r="ODC2" t="str">
            <v/>
          </cell>
          <cell r="ODD2" t="str">
            <v/>
          </cell>
          <cell r="ODE2" t="str">
            <v/>
          </cell>
          <cell r="ODF2" t="str">
            <v/>
          </cell>
          <cell r="ODG2" t="str">
            <v/>
          </cell>
          <cell r="ODH2" t="str">
            <v/>
          </cell>
          <cell r="ODI2" t="str">
            <v/>
          </cell>
          <cell r="ODJ2" t="str">
            <v/>
          </cell>
          <cell r="ODK2" t="str">
            <v/>
          </cell>
          <cell r="ODL2" t="str">
            <v/>
          </cell>
          <cell r="ODM2" t="str">
            <v/>
          </cell>
          <cell r="ODN2" t="str">
            <v/>
          </cell>
          <cell r="ODO2" t="str">
            <v/>
          </cell>
          <cell r="ODP2" t="str">
            <v/>
          </cell>
          <cell r="ODQ2" t="str">
            <v/>
          </cell>
          <cell r="ODR2" t="str">
            <v/>
          </cell>
          <cell r="ODS2" t="str">
            <v/>
          </cell>
          <cell r="ODT2" t="str">
            <v/>
          </cell>
          <cell r="ODU2" t="str">
            <v/>
          </cell>
          <cell r="ODV2" t="str">
            <v/>
          </cell>
          <cell r="ODW2" t="str">
            <v/>
          </cell>
          <cell r="ODX2" t="str">
            <v/>
          </cell>
          <cell r="ODY2" t="str">
            <v/>
          </cell>
          <cell r="ODZ2" t="str">
            <v/>
          </cell>
          <cell r="OEA2" t="str">
            <v/>
          </cell>
          <cell r="OEB2" t="str">
            <v/>
          </cell>
          <cell r="OEC2" t="str">
            <v/>
          </cell>
          <cell r="OED2" t="str">
            <v/>
          </cell>
          <cell r="OEE2" t="str">
            <v/>
          </cell>
          <cell r="OEF2" t="str">
            <v/>
          </cell>
          <cell r="OEG2" t="str">
            <v/>
          </cell>
          <cell r="OEH2" t="str">
            <v/>
          </cell>
          <cell r="OEI2" t="str">
            <v/>
          </cell>
          <cell r="OEJ2" t="str">
            <v/>
          </cell>
          <cell r="OEK2" t="str">
            <v/>
          </cell>
          <cell r="OEL2" t="str">
            <v/>
          </cell>
          <cell r="OEM2" t="str">
            <v/>
          </cell>
          <cell r="OEN2" t="str">
            <v/>
          </cell>
          <cell r="OEO2" t="str">
            <v/>
          </cell>
          <cell r="OEP2" t="str">
            <v/>
          </cell>
          <cell r="OEQ2" t="str">
            <v/>
          </cell>
          <cell r="OER2" t="str">
            <v/>
          </cell>
          <cell r="OES2" t="str">
            <v/>
          </cell>
          <cell r="OET2" t="str">
            <v/>
          </cell>
          <cell r="OEU2" t="str">
            <v/>
          </cell>
          <cell r="OEV2" t="str">
            <v/>
          </cell>
          <cell r="OEW2" t="str">
            <v/>
          </cell>
          <cell r="OEX2" t="str">
            <v/>
          </cell>
          <cell r="OEY2" t="str">
            <v/>
          </cell>
          <cell r="OEZ2" t="str">
            <v/>
          </cell>
          <cell r="OFA2" t="str">
            <v/>
          </cell>
          <cell r="OFB2" t="str">
            <v/>
          </cell>
          <cell r="OFC2" t="str">
            <v/>
          </cell>
          <cell r="OFD2" t="str">
            <v/>
          </cell>
          <cell r="OFE2" t="str">
            <v/>
          </cell>
          <cell r="OFF2" t="str">
            <v/>
          </cell>
          <cell r="OFG2" t="str">
            <v/>
          </cell>
          <cell r="OFH2" t="str">
            <v/>
          </cell>
          <cell r="OFI2" t="str">
            <v/>
          </cell>
          <cell r="OFJ2" t="str">
            <v/>
          </cell>
          <cell r="OFK2" t="str">
            <v/>
          </cell>
          <cell r="OFL2" t="str">
            <v/>
          </cell>
          <cell r="OFM2" t="str">
            <v/>
          </cell>
          <cell r="OFN2" t="str">
            <v/>
          </cell>
          <cell r="OFO2" t="str">
            <v/>
          </cell>
          <cell r="OFP2" t="str">
            <v/>
          </cell>
          <cell r="OFQ2" t="str">
            <v/>
          </cell>
          <cell r="OFR2" t="str">
            <v/>
          </cell>
          <cell r="OFS2" t="str">
            <v/>
          </cell>
          <cell r="OFT2" t="str">
            <v/>
          </cell>
          <cell r="OFU2" t="str">
            <v/>
          </cell>
          <cell r="OFV2" t="str">
            <v/>
          </cell>
          <cell r="OFW2" t="str">
            <v/>
          </cell>
          <cell r="OFX2" t="str">
            <v/>
          </cell>
          <cell r="OFY2" t="str">
            <v/>
          </cell>
          <cell r="OFZ2" t="str">
            <v/>
          </cell>
          <cell r="OGA2" t="str">
            <v/>
          </cell>
          <cell r="OGB2" t="str">
            <v/>
          </cell>
          <cell r="OGC2" t="str">
            <v/>
          </cell>
          <cell r="OGD2" t="str">
            <v/>
          </cell>
          <cell r="OGE2" t="str">
            <v/>
          </cell>
          <cell r="OGF2" t="str">
            <v/>
          </cell>
          <cell r="OGG2" t="str">
            <v/>
          </cell>
          <cell r="OGH2" t="str">
            <v/>
          </cell>
          <cell r="OGI2" t="str">
            <v/>
          </cell>
          <cell r="OGJ2" t="str">
            <v/>
          </cell>
          <cell r="OGK2" t="str">
            <v/>
          </cell>
          <cell r="OGL2" t="str">
            <v/>
          </cell>
          <cell r="OGM2" t="str">
            <v/>
          </cell>
          <cell r="OGN2" t="str">
            <v/>
          </cell>
          <cell r="OGO2" t="str">
            <v/>
          </cell>
          <cell r="OGP2" t="str">
            <v/>
          </cell>
          <cell r="OGQ2" t="str">
            <v/>
          </cell>
          <cell r="OGR2" t="str">
            <v/>
          </cell>
          <cell r="OGS2" t="str">
            <v/>
          </cell>
          <cell r="OGT2" t="str">
            <v/>
          </cell>
          <cell r="OGU2" t="str">
            <v/>
          </cell>
          <cell r="OGV2" t="str">
            <v/>
          </cell>
          <cell r="OGW2" t="str">
            <v/>
          </cell>
          <cell r="OGX2" t="str">
            <v/>
          </cell>
          <cell r="OGY2" t="str">
            <v/>
          </cell>
          <cell r="OGZ2" t="str">
            <v/>
          </cell>
          <cell r="OHA2" t="str">
            <v/>
          </cell>
          <cell r="OHB2" t="str">
            <v/>
          </cell>
          <cell r="OHC2" t="str">
            <v/>
          </cell>
          <cell r="OHD2" t="str">
            <v/>
          </cell>
          <cell r="OHE2" t="str">
            <v/>
          </cell>
          <cell r="OHF2" t="str">
            <v/>
          </cell>
          <cell r="OHG2" t="str">
            <v/>
          </cell>
          <cell r="OHH2" t="str">
            <v/>
          </cell>
          <cell r="OHI2" t="str">
            <v/>
          </cell>
          <cell r="OHJ2" t="str">
            <v/>
          </cell>
          <cell r="OHK2" t="str">
            <v/>
          </cell>
          <cell r="OHL2" t="str">
            <v/>
          </cell>
          <cell r="OHM2" t="str">
            <v/>
          </cell>
          <cell r="OHN2" t="str">
            <v/>
          </cell>
          <cell r="OHO2" t="str">
            <v/>
          </cell>
          <cell r="OHP2" t="str">
            <v/>
          </cell>
          <cell r="OHQ2" t="str">
            <v/>
          </cell>
          <cell r="OHR2" t="str">
            <v/>
          </cell>
          <cell r="OHS2" t="str">
            <v/>
          </cell>
          <cell r="OHT2" t="str">
            <v/>
          </cell>
          <cell r="OHU2" t="str">
            <v/>
          </cell>
          <cell r="OHV2" t="str">
            <v/>
          </cell>
          <cell r="OHW2" t="str">
            <v/>
          </cell>
          <cell r="OHX2" t="str">
            <v/>
          </cell>
          <cell r="OHY2" t="str">
            <v/>
          </cell>
          <cell r="OHZ2" t="str">
            <v/>
          </cell>
          <cell r="OIA2" t="str">
            <v/>
          </cell>
          <cell r="OIB2" t="str">
            <v/>
          </cell>
          <cell r="OIC2" t="str">
            <v/>
          </cell>
          <cell r="OID2" t="str">
            <v/>
          </cell>
          <cell r="OIE2" t="str">
            <v/>
          </cell>
          <cell r="OIF2" t="str">
            <v/>
          </cell>
          <cell r="OIG2" t="str">
            <v/>
          </cell>
          <cell r="OIH2" t="str">
            <v/>
          </cell>
          <cell r="OII2" t="str">
            <v/>
          </cell>
          <cell r="OIJ2" t="str">
            <v/>
          </cell>
          <cell r="OIK2" t="str">
            <v/>
          </cell>
          <cell r="OIL2" t="str">
            <v/>
          </cell>
          <cell r="OIM2" t="str">
            <v/>
          </cell>
          <cell r="OIN2" t="str">
            <v/>
          </cell>
          <cell r="OIO2" t="str">
            <v/>
          </cell>
          <cell r="OIP2" t="str">
            <v/>
          </cell>
          <cell r="OIQ2" t="str">
            <v/>
          </cell>
          <cell r="OIR2" t="str">
            <v/>
          </cell>
          <cell r="OIS2" t="str">
            <v/>
          </cell>
          <cell r="OIT2" t="str">
            <v/>
          </cell>
          <cell r="OIU2" t="str">
            <v/>
          </cell>
          <cell r="OIV2" t="str">
            <v/>
          </cell>
          <cell r="OIW2" t="str">
            <v/>
          </cell>
          <cell r="OIX2" t="str">
            <v/>
          </cell>
          <cell r="OIY2" t="str">
            <v/>
          </cell>
          <cell r="OIZ2" t="str">
            <v/>
          </cell>
          <cell r="OJA2" t="str">
            <v/>
          </cell>
          <cell r="OJB2" t="str">
            <v/>
          </cell>
          <cell r="OJC2" t="str">
            <v/>
          </cell>
          <cell r="OJD2" t="str">
            <v/>
          </cell>
          <cell r="OJE2" t="str">
            <v/>
          </cell>
          <cell r="OJF2" t="str">
            <v/>
          </cell>
          <cell r="OJG2" t="str">
            <v/>
          </cell>
          <cell r="OJH2" t="str">
            <v/>
          </cell>
          <cell r="OJI2" t="str">
            <v/>
          </cell>
          <cell r="OJJ2" t="str">
            <v/>
          </cell>
          <cell r="OJK2" t="str">
            <v/>
          </cell>
          <cell r="OJL2" t="str">
            <v/>
          </cell>
          <cell r="OJM2" t="str">
            <v/>
          </cell>
          <cell r="OJN2" t="str">
            <v/>
          </cell>
          <cell r="OJO2" t="str">
            <v/>
          </cell>
          <cell r="OJP2" t="str">
            <v/>
          </cell>
          <cell r="OJQ2" t="str">
            <v/>
          </cell>
          <cell r="OJR2" t="str">
            <v/>
          </cell>
          <cell r="OJS2" t="str">
            <v/>
          </cell>
          <cell r="OJT2" t="str">
            <v/>
          </cell>
          <cell r="OJU2" t="str">
            <v/>
          </cell>
          <cell r="OJV2" t="str">
            <v/>
          </cell>
          <cell r="OJW2" t="str">
            <v/>
          </cell>
          <cell r="OJX2" t="str">
            <v/>
          </cell>
          <cell r="OJY2" t="str">
            <v/>
          </cell>
          <cell r="OJZ2" t="str">
            <v/>
          </cell>
          <cell r="OKA2" t="str">
            <v/>
          </cell>
          <cell r="OKB2" t="str">
            <v/>
          </cell>
          <cell r="OKC2" t="str">
            <v/>
          </cell>
          <cell r="OKD2" t="str">
            <v/>
          </cell>
          <cell r="OKE2" t="str">
            <v/>
          </cell>
          <cell r="OKF2" t="str">
            <v/>
          </cell>
          <cell r="OKG2" t="str">
            <v/>
          </cell>
          <cell r="OKH2" t="str">
            <v/>
          </cell>
          <cell r="OKI2" t="str">
            <v/>
          </cell>
          <cell r="OKJ2" t="str">
            <v/>
          </cell>
          <cell r="OKK2" t="str">
            <v/>
          </cell>
          <cell r="OKL2" t="str">
            <v/>
          </cell>
          <cell r="OKM2" t="str">
            <v/>
          </cell>
          <cell r="OKN2" t="str">
            <v/>
          </cell>
          <cell r="OKO2" t="str">
            <v/>
          </cell>
          <cell r="OKP2" t="str">
            <v/>
          </cell>
          <cell r="OKQ2" t="str">
            <v/>
          </cell>
          <cell r="OKR2" t="str">
            <v/>
          </cell>
          <cell r="OKS2" t="str">
            <v/>
          </cell>
          <cell r="OKT2" t="str">
            <v/>
          </cell>
          <cell r="OKU2" t="str">
            <v/>
          </cell>
          <cell r="OKV2" t="str">
            <v/>
          </cell>
          <cell r="OKW2" t="str">
            <v/>
          </cell>
          <cell r="OKX2" t="str">
            <v/>
          </cell>
          <cell r="OKY2" t="str">
            <v/>
          </cell>
          <cell r="OKZ2" t="str">
            <v/>
          </cell>
          <cell r="OLA2" t="str">
            <v/>
          </cell>
          <cell r="OLB2" t="str">
            <v/>
          </cell>
          <cell r="OLC2" t="str">
            <v/>
          </cell>
          <cell r="OLD2" t="str">
            <v/>
          </cell>
          <cell r="OLE2" t="str">
            <v/>
          </cell>
          <cell r="OLF2" t="str">
            <v/>
          </cell>
          <cell r="OLG2" t="str">
            <v/>
          </cell>
          <cell r="OLH2" t="str">
            <v/>
          </cell>
          <cell r="OLI2" t="str">
            <v/>
          </cell>
          <cell r="OLJ2" t="str">
            <v/>
          </cell>
          <cell r="OLK2" t="str">
            <v/>
          </cell>
          <cell r="OLL2" t="str">
            <v/>
          </cell>
          <cell r="OLM2" t="str">
            <v/>
          </cell>
          <cell r="OLN2" t="str">
            <v/>
          </cell>
          <cell r="OLO2" t="str">
            <v/>
          </cell>
          <cell r="OLP2" t="str">
            <v/>
          </cell>
          <cell r="OLQ2" t="str">
            <v/>
          </cell>
          <cell r="OLR2" t="str">
            <v/>
          </cell>
          <cell r="OLS2" t="str">
            <v/>
          </cell>
          <cell r="OLT2" t="str">
            <v/>
          </cell>
          <cell r="OLU2" t="str">
            <v/>
          </cell>
          <cell r="OLV2" t="str">
            <v/>
          </cell>
          <cell r="OLW2" t="str">
            <v/>
          </cell>
          <cell r="OLX2" t="str">
            <v/>
          </cell>
          <cell r="OLY2" t="str">
            <v/>
          </cell>
          <cell r="OLZ2" t="str">
            <v/>
          </cell>
          <cell r="OMA2" t="str">
            <v/>
          </cell>
          <cell r="OMB2" t="str">
            <v/>
          </cell>
          <cell r="OMC2" t="str">
            <v/>
          </cell>
          <cell r="OMD2" t="str">
            <v/>
          </cell>
          <cell r="OME2" t="str">
            <v/>
          </cell>
          <cell r="OMF2" t="str">
            <v/>
          </cell>
          <cell r="OMG2" t="str">
            <v/>
          </cell>
          <cell r="OMH2" t="str">
            <v/>
          </cell>
          <cell r="OMI2" t="str">
            <v/>
          </cell>
          <cell r="OMJ2" t="str">
            <v/>
          </cell>
          <cell r="OMK2" t="str">
            <v/>
          </cell>
          <cell r="OML2" t="str">
            <v/>
          </cell>
          <cell r="OMM2" t="str">
            <v/>
          </cell>
          <cell r="OMN2" t="str">
            <v/>
          </cell>
          <cell r="OMO2" t="str">
            <v/>
          </cell>
          <cell r="OMP2" t="str">
            <v/>
          </cell>
          <cell r="OMQ2" t="str">
            <v/>
          </cell>
          <cell r="OMR2" t="str">
            <v/>
          </cell>
          <cell r="OMS2" t="str">
            <v/>
          </cell>
          <cell r="OMT2" t="str">
            <v/>
          </cell>
          <cell r="OMU2" t="str">
            <v/>
          </cell>
          <cell r="OMV2" t="str">
            <v/>
          </cell>
          <cell r="OMW2" t="str">
            <v/>
          </cell>
          <cell r="OMX2" t="str">
            <v/>
          </cell>
          <cell r="OMY2" t="str">
            <v/>
          </cell>
          <cell r="OMZ2" t="str">
            <v/>
          </cell>
          <cell r="ONA2" t="str">
            <v/>
          </cell>
          <cell r="ONB2" t="str">
            <v/>
          </cell>
          <cell r="ONC2" t="str">
            <v/>
          </cell>
          <cell r="OND2" t="str">
            <v/>
          </cell>
          <cell r="ONE2" t="str">
            <v/>
          </cell>
          <cell r="ONF2" t="str">
            <v/>
          </cell>
          <cell r="ONG2" t="str">
            <v/>
          </cell>
          <cell r="ONH2" t="str">
            <v/>
          </cell>
          <cell r="ONI2" t="str">
            <v/>
          </cell>
          <cell r="ONJ2" t="str">
            <v/>
          </cell>
          <cell r="ONK2" t="str">
            <v/>
          </cell>
          <cell r="ONL2" t="str">
            <v/>
          </cell>
          <cell r="ONM2" t="str">
            <v/>
          </cell>
          <cell r="ONN2" t="str">
            <v/>
          </cell>
          <cell r="ONO2" t="str">
            <v/>
          </cell>
          <cell r="ONP2" t="str">
            <v/>
          </cell>
          <cell r="ONQ2" t="str">
            <v/>
          </cell>
          <cell r="ONR2" t="str">
            <v/>
          </cell>
          <cell r="ONS2" t="str">
            <v/>
          </cell>
          <cell r="ONT2" t="str">
            <v/>
          </cell>
          <cell r="ONU2" t="str">
            <v/>
          </cell>
          <cell r="ONV2" t="str">
            <v/>
          </cell>
          <cell r="ONW2" t="str">
            <v/>
          </cell>
          <cell r="ONX2" t="str">
            <v/>
          </cell>
          <cell r="ONY2" t="str">
            <v/>
          </cell>
          <cell r="ONZ2" t="str">
            <v/>
          </cell>
          <cell r="OOA2" t="str">
            <v/>
          </cell>
          <cell r="OOB2" t="str">
            <v/>
          </cell>
          <cell r="OOC2" t="str">
            <v/>
          </cell>
          <cell r="OOD2" t="str">
            <v/>
          </cell>
          <cell r="OOE2" t="str">
            <v/>
          </cell>
          <cell r="OOF2" t="str">
            <v/>
          </cell>
          <cell r="OOG2" t="str">
            <v/>
          </cell>
          <cell r="OOH2" t="str">
            <v/>
          </cell>
          <cell r="OOI2" t="str">
            <v/>
          </cell>
          <cell r="OOJ2" t="str">
            <v/>
          </cell>
          <cell r="OOK2" t="str">
            <v/>
          </cell>
          <cell r="OOL2" t="str">
            <v/>
          </cell>
          <cell r="OOM2" t="str">
            <v/>
          </cell>
          <cell r="OON2" t="str">
            <v/>
          </cell>
          <cell r="OOO2" t="str">
            <v/>
          </cell>
          <cell r="OOP2" t="str">
            <v/>
          </cell>
          <cell r="OOQ2" t="str">
            <v/>
          </cell>
          <cell r="OOR2" t="str">
            <v/>
          </cell>
          <cell r="OOS2" t="str">
            <v/>
          </cell>
          <cell r="OOT2" t="str">
            <v/>
          </cell>
          <cell r="OOU2" t="str">
            <v/>
          </cell>
          <cell r="OOV2" t="str">
            <v/>
          </cell>
          <cell r="OOW2" t="str">
            <v/>
          </cell>
          <cell r="OOX2" t="str">
            <v/>
          </cell>
          <cell r="OOY2" t="str">
            <v/>
          </cell>
          <cell r="OOZ2" t="str">
            <v/>
          </cell>
          <cell r="OPA2" t="str">
            <v/>
          </cell>
          <cell r="OPB2" t="str">
            <v/>
          </cell>
          <cell r="OPC2" t="str">
            <v/>
          </cell>
          <cell r="OPD2" t="str">
            <v/>
          </cell>
          <cell r="OPE2" t="str">
            <v/>
          </cell>
          <cell r="OPF2" t="str">
            <v/>
          </cell>
          <cell r="OPG2" t="str">
            <v/>
          </cell>
          <cell r="OPH2" t="str">
            <v/>
          </cell>
          <cell r="OPI2" t="str">
            <v/>
          </cell>
          <cell r="OPJ2" t="str">
            <v/>
          </cell>
          <cell r="OPK2" t="str">
            <v/>
          </cell>
          <cell r="OPL2" t="str">
            <v/>
          </cell>
          <cell r="OPM2" t="str">
            <v/>
          </cell>
          <cell r="OPN2" t="str">
            <v/>
          </cell>
          <cell r="OPO2" t="str">
            <v/>
          </cell>
          <cell r="OPP2" t="str">
            <v/>
          </cell>
          <cell r="OPQ2" t="str">
            <v/>
          </cell>
          <cell r="OPR2" t="str">
            <v/>
          </cell>
          <cell r="OPS2" t="str">
            <v/>
          </cell>
          <cell r="OPT2" t="str">
            <v/>
          </cell>
          <cell r="OPU2" t="str">
            <v/>
          </cell>
          <cell r="OPV2" t="str">
            <v/>
          </cell>
          <cell r="OPW2" t="str">
            <v/>
          </cell>
          <cell r="OPX2" t="str">
            <v/>
          </cell>
          <cell r="OPY2" t="str">
            <v/>
          </cell>
          <cell r="OPZ2" t="str">
            <v/>
          </cell>
          <cell r="OQA2" t="str">
            <v/>
          </cell>
          <cell r="OQB2" t="str">
            <v/>
          </cell>
          <cell r="OQC2" t="str">
            <v/>
          </cell>
          <cell r="OQD2" t="str">
            <v/>
          </cell>
          <cell r="OQE2" t="str">
            <v/>
          </cell>
          <cell r="OQF2" t="str">
            <v/>
          </cell>
          <cell r="OQG2" t="str">
            <v/>
          </cell>
          <cell r="OQH2" t="str">
            <v/>
          </cell>
          <cell r="OQI2" t="str">
            <v/>
          </cell>
          <cell r="OQJ2" t="str">
            <v/>
          </cell>
          <cell r="OQK2" t="str">
            <v/>
          </cell>
          <cell r="OQL2" t="str">
            <v/>
          </cell>
          <cell r="OQM2" t="str">
            <v/>
          </cell>
          <cell r="OQN2" t="str">
            <v/>
          </cell>
          <cell r="OQO2" t="str">
            <v/>
          </cell>
          <cell r="OQP2" t="str">
            <v/>
          </cell>
          <cell r="OQQ2" t="str">
            <v/>
          </cell>
          <cell r="OQR2" t="str">
            <v/>
          </cell>
          <cell r="OQS2" t="str">
            <v/>
          </cell>
          <cell r="OQT2" t="str">
            <v/>
          </cell>
          <cell r="OQU2" t="str">
            <v/>
          </cell>
          <cell r="OQV2" t="str">
            <v/>
          </cell>
          <cell r="OQW2" t="str">
            <v/>
          </cell>
          <cell r="OQX2" t="str">
            <v/>
          </cell>
          <cell r="OQY2" t="str">
            <v/>
          </cell>
          <cell r="OQZ2" t="str">
            <v/>
          </cell>
          <cell r="ORA2" t="str">
            <v/>
          </cell>
          <cell r="ORB2" t="str">
            <v/>
          </cell>
          <cell r="ORC2" t="str">
            <v/>
          </cell>
          <cell r="ORD2" t="str">
            <v/>
          </cell>
          <cell r="ORE2" t="str">
            <v/>
          </cell>
          <cell r="ORF2" t="str">
            <v/>
          </cell>
          <cell r="ORG2" t="str">
            <v/>
          </cell>
          <cell r="ORH2" t="str">
            <v/>
          </cell>
          <cell r="ORI2" t="str">
            <v/>
          </cell>
          <cell r="ORJ2" t="str">
            <v/>
          </cell>
          <cell r="ORK2" t="str">
            <v/>
          </cell>
          <cell r="ORL2" t="str">
            <v/>
          </cell>
          <cell r="ORM2" t="str">
            <v/>
          </cell>
          <cell r="ORN2" t="str">
            <v/>
          </cell>
          <cell r="ORO2" t="str">
            <v/>
          </cell>
          <cell r="ORP2" t="str">
            <v/>
          </cell>
          <cell r="ORQ2" t="str">
            <v/>
          </cell>
          <cell r="ORR2" t="str">
            <v/>
          </cell>
          <cell r="ORS2" t="str">
            <v/>
          </cell>
          <cell r="ORT2" t="str">
            <v/>
          </cell>
          <cell r="ORU2" t="str">
            <v/>
          </cell>
          <cell r="ORV2" t="str">
            <v/>
          </cell>
          <cell r="ORW2" t="str">
            <v/>
          </cell>
          <cell r="ORX2" t="str">
            <v/>
          </cell>
          <cell r="ORY2" t="str">
            <v/>
          </cell>
          <cell r="ORZ2" t="str">
            <v/>
          </cell>
          <cell r="OSA2" t="str">
            <v/>
          </cell>
          <cell r="OSB2" t="str">
            <v/>
          </cell>
          <cell r="OSC2" t="str">
            <v/>
          </cell>
          <cell r="OSD2" t="str">
            <v/>
          </cell>
          <cell r="OSE2" t="str">
            <v/>
          </cell>
          <cell r="OSF2" t="str">
            <v/>
          </cell>
          <cell r="OSG2" t="str">
            <v/>
          </cell>
          <cell r="OSH2" t="str">
            <v/>
          </cell>
          <cell r="OSI2" t="str">
            <v/>
          </cell>
          <cell r="OSJ2" t="str">
            <v/>
          </cell>
          <cell r="OSK2" t="str">
            <v/>
          </cell>
          <cell r="OSL2" t="str">
            <v/>
          </cell>
          <cell r="OSM2" t="str">
            <v/>
          </cell>
          <cell r="OSN2" t="str">
            <v/>
          </cell>
          <cell r="OSO2" t="str">
            <v/>
          </cell>
          <cell r="OSP2" t="str">
            <v/>
          </cell>
          <cell r="OSQ2" t="str">
            <v/>
          </cell>
          <cell r="OSR2" t="str">
            <v/>
          </cell>
          <cell r="OSS2" t="str">
            <v/>
          </cell>
          <cell r="OST2" t="str">
            <v/>
          </cell>
          <cell r="OSU2" t="str">
            <v/>
          </cell>
          <cell r="OSV2" t="str">
            <v/>
          </cell>
          <cell r="OSW2" t="str">
            <v/>
          </cell>
          <cell r="OSX2" t="str">
            <v/>
          </cell>
          <cell r="OSY2" t="str">
            <v/>
          </cell>
          <cell r="OSZ2" t="str">
            <v/>
          </cell>
          <cell r="OTA2" t="str">
            <v/>
          </cell>
          <cell r="OTB2" t="str">
            <v/>
          </cell>
          <cell r="OTC2" t="str">
            <v/>
          </cell>
          <cell r="OTD2" t="str">
            <v/>
          </cell>
          <cell r="OTE2" t="str">
            <v/>
          </cell>
          <cell r="OTF2" t="str">
            <v/>
          </cell>
          <cell r="OTG2" t="str">
            <v/>
          </cell>
          <cell r="OTH2" t="str">
            <v/>
          </cell>
          <cell r="OTI2" t="str">
            <v/>
          </cell>
          <cell r="OTJ2" t="str">
            <v/>
          </cell>
          <cell r="OTK2" t="str">
            <v/>
          </cell>
          <cell r="OTL2" t="str">
            <v/>
          </cell>
          <cell r="OTM2" t="str">
            <v/>
          </cell>
          <cell r="OTN2" t="str">
            <v/>
          </cell>
          <cell r="OTO2" t="str">
            <v/>
          </cell>
          <cell r="OTP2" t="str">
            <v/>
          </cell>
          <cell r="OTQ2" t="str">
            <v/>
          </cell>
          <cell r="OTR2" t="str">
            <v/>
          </cell>
          <cell r="OTS2" t="str">
            <v/>
          </cell>
          <cell r="OTT2" t="str">
            <v/>
          </cell>
          <cell r="OTU2" t="str">
            <v/>
          </cell>
          <cell r="OTV2" t="str">
            <v/>
          </cell>
          <cell r="OTW2" t="str">
            <v/>
          </cell>
          <cell r="OTX2" t="str">
            <v/>
          </cell>
          <cell r="OTY2" t="str">
            <v/>
          </cell>
          <cell r="OTZ2" t="str">
            <v/>
          </cell>
          <cell r="OUA2" t="str">
            <v/>
          </cell>
          <cell r="OUB2" t="str">
            <v/>
          </cell>
          <cell r="OUC2" t="str">
            <v/>
          </cell>
          <cell r="OUD2" t="str">
            <v/>
          </cell>
          <cell r="OUE2" t="str">
            <v/>
          </cell>
          <cell r="OUF2" t="str">
            <v/>
          </cell>
          <cell r="OUG2" t="str">
            <v/>
          </cell>
          <cell r="OUH2" t="str">
            <v/>
          </cell>
          <cell r="OUI2" t="str">
            <v/>
          </cell>
          <cell r="OUJ2" t="str">
            <v/>
          </cell>
          <cell r="OUK2" t="str">
            <v/>
          </cell>
          <cell r="OUL2" t="str">
            <v/>
          </cell>
          <cell r="OUM2" t="str">
            <v/>
          </cell>
          <cell r="OUN2" t="str">
            <v/>
          </cell>
          <cell r="OUO2" t="str">
            <v/>
          </cell>
          <cell r="OUP2" t="str">
            <v/>
          </cell>
          <cell r="OUQ2" t="str">
            <v/>
          </cell>
          <cell r="OUR2" t="str">
            <v/>
          </cell>
          <cell r="OUS2" t="str">
            <v/>
          </cell>
          <cell r="OUT2" t="str">
            <v/>
          </cell>
          <cell r="OUU2" t="str">
            <v/>
          </cell>
          <cell r="OUV2" t="str">
            <v/>
          </cell>
          <cell r="OUW2" t="str">
            <v/>
          </cell>
          <cell r="OUX2" t="str">
            <v/>
          </cell>
          <cell r="OUY2" t="str">
            <v/>
          </cell>
          <cell r="OUZ2" t="str">
            <v/>
          </cell>
          <cell r="OVA2" t="str">
            <v/>
          </cell>
          <cell r="OVB2" t="str">
            <v/>
          </cell>
          <cell r="OVC2" t="str">
            <v/>
          </cell>
          <cell r="OVD2" t="str">
            <v/>
          </cell>
          <cell r="OVE2" t="str">
            <v/>
          </cell>
          <cell r="OVF2" t="str">
            <v/>
          </cell>
          <cell r="OVG2" t="str">
            <v/>
          </cell>
          <cell r="OVH2" t="str">
            <v/>
          </cell>
          <cell r="OVI2" t="str">
            <v/>
          </cell>
          <cell r="OVJ2" t="str">
            <v/>
          </cell>
          <cell r="OVK2" t="str">
            <v/>
          </cell>
          <cell r="OVL2" t="str">
            <v/>
          </cell>
          <cell r="OVM2" t="str">
            <v/>
          </cell>
          <cell r="OVN2" t="str">
            <v/>
          </cell>
          <cell r="OVO2" t="str">
            <v/>
          </cell>
          <cell r="OVP2" t="str">
            <v/>
          </cell>
          <cell r="OVQ2" t="str">
            <v/>
          </cell>
          <cell r="OVR2" t="str">
            <v/>
          </cell>
          <cell r="OVS2" t="str">
            <v/>
          </cell>
          <cell r="OVT2" t="str">
            <v/>
          </cell>
          <cell r="OVU2" t="str">
            <v/>
          </cell>
          <cell r="OVV2" t="str">
            <v/>
          </cell>
          <cell r="OVW2" t="str">
            <v/>
          </cell>
          <cell r="OVX2" t="str">
            <v/>
          </cell>
          <cell r="OVY2" t="str">
            <v/>
          </cell>
          <cell r="OVZ2" t="str">
            <v/>
          </cell>
          <cell r="OWA2" t="str">
            <v/>
          </cell>
          <cell r="OWB2" t="str">
            <v/>
          </cell>
          <cell r="OWC2" t="str">
            <v/>
          </cell>
          <cell r="OWD2" t="str">
            <v/>
          </cell>
          <cell r="OWE2" t="str">
            <v/>
          </cell>
          <cell r="OWF2" t="str">
            <v/>
          </cell>
          <cell r="OWG2" t="str">
            <v/>
          </cell>
          <cell r="OWH2" t="str">
            <v/>
          </cell>
          <cell r="OWI2" t="str">
            <v/>
          </cell>
          <cell r="OWJ2" t="str">
            <v/>
          </cell>
          <cell r="OWK2" t="str">
            <v/>
          </cell>
          <cell r="OWL2" t="str">
            <v/>
          </cell>
          <cell r="OWM2" t="str">
            <v/>
          </cell>
          <cell r="OWN2" t="str">
            <v/>
          </cell>
          <cell r="OWO2" t="str">
            <v/>
          </cell>
          <cell r="OWP2" t="str">
            <v/>
          </cell>
          <cell r="OWQ2" t="str">
            <v/>
          </cell>
          <cell r="OWR2" t="str">
            <v/>
          </cell>
          <cell r="OWS2" t="str">
            <v/>
          </cell>
          <cell r="OWT2" t="str">
            <v/>
          </cell>
          <cell r="OWU2" t="str">
            <v/>
          </cell>
          <cell r="OWV2" t="str">
            <v/>
          </cell>
          <cell r="OWW2" t="str">
            <v/>
          </cell>
          <cell r="OWX2" t="str">
            <v/>
          </cell>
          <cell r="OWY2" t="str">
            <v/>
          </cell>
          <cell r="OWZ2" t="str">
            <v/>
          </cell>
          <cell r="OXA2" t="str">
            <v/>
          </cell>
          <cell r="OXB2" t="str">
            <v/>
          </cell>
          <cell r="OXC2" t="str">
            <v/>
          </cell>
          <cell r="OXD2" t="str">
            <v/>
          </cell>
          <cell r="OXE2" t="str">
            <v/>
          </cell>
          <cell r="OXF2" t="str">
            <v/>
          </cell>
          <cell r="OXG2" t="str">
            <v/>
          </cell>
          <cell r="OXH2" t="str">
            <v/>
          </cell>
          <cell r="OXI2" t="str">
            <v/>
          </cell>
          <cell r="OXJ2" t="str">
            <v/>
          </cell>
          <cell r="OXK2" t="str">
            <v/>
          </cell>
          <cell r="OXL2" t="str">
            <v/>
          </cell>
          <cell r="OXM2" t="str">
            <v/>
          </cell>
          <cell r="OXN2" t="str">
            <v/>
          </cell>
          <cell r="OXO2" t="str">
            <v/>
          </cell>
          <cell r="OXP2" t="str">
            <v/>
          </cell>
          <cell r="OXQ2" t="str">
            <v/>
          </cell>
          <cell r="OXR2" t="str">
            <v/>
          </cell>
          <cell r="OXS2" t="str">
            <v/>
          </cell>
          <cell r="OXT2" t="str">
            <v/>
          </cell>
          <cell r="OXU2" t="str">
            <v/>
          </cell>
          <cell r="OXV2" t="str">
            <v/>
          </cell>
          <cell r="OXW2" t="str">
            <v/>
          </cell>
          <cell r="OXX2" t="str">
            <v/>
          </cell>
          <cell r="OXY2" t="str">
            <v/>
          </cell>
          <cell r="OXZ2" t="str">
            <v/>
          </cell>
          <cell r="OYA2" t="str">
            <v/>
          </cell>
          <cell r="OYB2" t="str">
            <v/>
          </cell>
          <cell r="OYC2" t="str">
            <v/>
          </cell>
          <cell r="OYD2" t="str">
            <v/>
          </cell>
          <cell r="OYE2" t="str">
            <v/>
          </cell>
          <cell r="OYF2" t="str">
            <v/>
          </cell>
          <cell r="OYG2" t="str">
            <v/>
          </cell>
          <cell r="OYH2" t="str">
            <v/>
          </cell>
          <cell r="OYI2" t="str">
            <v/>
          </cell>
          <cell r="OYJ2" t="str">
            <v/>
          </cell>
          <cell r="OYK2" t="str">
            <v/>
          </cell>
          <cell r="OYL2" t="str">
            <v/>
          </cell>
          <cell r="OYM2" t="str">
            <v/>
          </cell>
          <cell r="OYN2" t="str">
            <v/>
          </cell>
          <cell r="OYO2" t="str">
            <v/>
          </cell>
          <cell r="OYP2" t="str">
            <v/>
          </cell>
          <cell r="OYQ2" t="str">
            <v/>
          </cell>
          <cell r="OYR2" t="str">
            <v/>
          </cell>
          <cell r="OYS2" t="str">
            <v/>
          </cell>
          <cell r="OYT2" t="str">
            <v/>
          </cell>
          <cell r="OYU2" t="str">
            <v/>
          </cell>
          <cell r="OYV2" t="str">
            <v/>
          </cell>
          <cell r="OYW2" t="str">
            <v/>
          </cell>
          <cell r="OYX2" t="str">
            <v/>
          </cell>
          <cell r="OYY2" t="str">
            <v/>
          </cell>
          <cell r="OYZ2" t="str">
            <v/>
          </cell>
          <cell r="OZA2" t="str">
            <v/>
          </cell>
          <cell r="OZB2" t="str">
            <v/>
          </cell>
          <cell r="OZC2" t="str">
            <v/>
          </cell>
          <cell r="OZD2" t="str">
            <v/>
          </cell>
          <cell r="OZE2" t="str">
            <v/>
          </cell>
          <cell r="OZF2" t="str">
            <v/>
          </cell>
          <cell r="OZG2" t="str">
            <v/>
          </cell>
          <cell r="OZH2" t="str">
            <v/>
          </cell>
          <cell r="OZI2" t="str">
            <v/>
          </cell>
          <cell r="OZJ2" t="str">
            <v/>
          </cell>
          <cell r="OZK2" t="str">
            <v/>
          </cell>
          <cell r="OZL2" t="str">
            <v/>
          </cell>
          <cell r="OZM2" t="str">
            <v/>
          </cell>
          <cell r="OZN2" t="str">
            <v/>
          </cell>
          <cell r="OZO2" t="str">
            <v/>
          </cell>
          <cell r="OZP2" t="str">
            <v/>
          </cell>
          <cell r="OZQ2" t="str">
            <v/>
          </cell>
          <cell r="OZR2" t="str">
            <v/>
          </cell>
          <cell r="OZS2" t="str">
            <v/>
          </cell>
          <cell r="OZT2" t="str">
            <v/>
          </cell>
          <cell r="OZU2" t="str">
            <v/>
          </cell>
          <cell r="OZV2" t="str">
            <v/>
          </cell>
          <cell r="OZW2" t="str">
            <v/>
          </cell>
          <cell r="OZX2" t="str">
            <v/>
          </cell>
          <cell r="OZY2" t="str">
            <v/>
          </cell>
          <cell r="OZZ2" t="str">
            <v/>
          </cell>
          <cell r="PAA2" t="str">
            <v/>
          </cell>
          <cell r="PAB2" t="str">
            <v/>
          </cell>
          <cell r="PAC2" t="str">
            <v/>
          </cell>
          <cell r="PAD2" t="str">
            <v/>
          </cell>
          <cell r="PAE2" t="str">
            <v/>
          </cell>
          <cell r="PAF2" t="str">
            <v/>
          </cell>
          <cell r="PAG2" t="str">
            <v/>
          </cell>
          <cell r="PAH2" t="str">
            <v/>
          </cell>
          <cell r="PAI2" t="str">
            <v/>
          </cell>
          <cell r="PAJ2" t="str">
            <v/>
          </cell>
          <cell r="PAK2" t="str">
            <v/>
          </cell>
          <cell r="PAL2" t="str">
            <v/>
          </cell>
          <cell r="PAM2" t="str">
            <v/>
          </cell>
          <cell r="PAN2" t="str">
            <v/>
          </cell>
          <cell r="PAO2" t="str">
            <v/>
          </cell>
          <cell r="PAP2" t="str">
            <v/>
          </cell>
          <cell r="PAQ2" t="str">
            <v/>
          </cell>
          <cell r="PAR2" t="str">
            <v/>
          </cell>
          <cell r="PAS2" t="str">
            <v/>
          </cell>
          <cell r="PAT2" t="str">
            <v/>
          </cell>
          <cell r="PAU2" t="str">
            <v/>
          </cell>
          <cell r="PAV2" t="str">
            <v/>
          </cell>
          <cell r="PAW2" t="str">
            <v/>
          </cell>
          <cell r="PAX2" t="str">
            <v/>
          </cell>
          <cell r="PAY2" t="str">
            <v/>
          </cell>
          <cell r="PAZ2" t="str">
            <v/>
          </cell>
          <cell r="PBA2" t="str">
            <v/>
          </cell>
          <cell r="PBB2" t="str">
            <v/>
          </cell>
          <cell r="PBC2" t="str">
            <v/>
          </cell>
          <cell r="PBD2" t="str">
            <v/>
          </cell>
          <cell r="PBE2" t="str">
            <v/>
          </cell>
          <cell r="PBF2" t="str">
            <v/>
          </cell>
          <cell r="PBG2" t="str">
            <v/>
          </cell>
          <cell r="PBH2" t="str">
            <v/>
          </cell>
          <cell r="PBI2" t="str">
            <v/>
          </cell>
          <cell r="PBJ2" t="str">
            <v/>
          </cell>
          <cell r="PBK2" t="str">
            <v/>
          </cell>
          <cell r="PBL2" t="str">
            <v/>
          </cell>
          <cell r="PBM2" t="str">
            <v/>
          </cell>
          <cell r="PBN2" t="str">
            <v/>
          </cell>
          <cell r="PBO2" t="str">
            <v/>
          </cell>
          <cell r="PBP2" t="str">
            <v/>
          </cell>
          <cell r="PBQ2" t="str">
            <v/>
          </cell>
          <cell r="PBR2" t="str">
            <v/>
          </cell>
          <cell r="PBS2" t="str">
            <v/>
          </cell>
          <cell r="PBT2" t="str">
            <v/>
          </cell>
          <cell r="PBU2" t="str">
            <v/>
          </cell>
          <cell r="PBV2" t="str">
            <v/>
          </cell>
          <cell r="PBW2" t="str">
            <v/>
          </cell>
          <cell r="PBX2" t="str">
            <v/>
          </cell>
          <cell r="PBY2" t="str">
            <v/>
          </cell>
          <cell r="PBZ2" t="str">
            <v/>
          </cell>
          <cell r="PCA2" t="str">
            <v/>
          </cell>
          <cell r="PCB2" t="str">
            <v/>
          </cell>
          <cell r="PCC2" t="str">
            <v/>
          </cell>
          <cell r="PCD2" t="str">
            <v/>
          </cell>
          <cell r="PCE2" t="str">
            <v/>
          </cell>
          <cell r="PCF2" t="str">
            <v/>
          </cell>
          <cell r="PCG2" t="str">
            <v/>
          </cell>
          <cell r="PCH2" t="str">
            <v/>
          </cell>
          <cell r="PCI2" t="str">
            <v/>
          </cell>
          <cell r="PCJ2" t="str">
            <v/>
          </cell>
          <cell r="PCK2" t="str">
            <v/>
          </cell>
          <cell r="PCL2" t="str">
            <v/>
          </cell>
          <cell r="PCM2" t="str">
            <v/>
          </cell>
          <cell r="PCN2" t="str">
            <v/>
          </cell>
          <cell r="PCO2" t="str">
            <v/>
          </cell>
          <cell r="PCP2" t="str">
            <v/>
          </cell>
          <cell r="PCQ2" t="str">
            <v/>
          </cell>
          <cell r="PCR2" t="str">
            <v/>
          </cell>
          <cell r="PCS2" t="str">
            <v/>
          </cell>
          <cell r="PCT2" t="str">
            <v/>
          </cell>
          <cell r="PCU2" t="str">
            <v/>
          </cell>
          <cell r="PCV2" t="str">
            <v/>
          </cell>
          <cell r="PCW2" t="str">
            <v/>
          </cell>
          <cell r="PCX2" t="str">
            <v/>
          </cell>
          <cell r="PCY2" t="str">
            <v/>
          </cell>
          <cell r="PCZ2" t="str">
            <v/>
          </cell>
          <cell r="PDA2" t="str">
            <v/>
          </cell>
          <cell r="PDB2" t="str">
            <v/>
          </cell>
          <cell r="PDC2" t="str">
            <v/>
          </cell>
          <cell r="PDD2" t="str">
            <v/>
          </cell>
          <cell r="PDE2" t="str">
            <v/>
          </cell>
          <cell r="PDF2" t="str">
            <v/>
          </cell>
          <cell r="PDG2" t="str">
            <v/>
          </cell>
          <cell r="PDH2" t="str">
            <v/>
          </cell>
          <cell r="PDI2" t="str">
            <v/>
          </cell>
          <cell r="PDJ2" t="str">
            <v/>
          </cell>
          <cell r="PDK2" t="str">
            <v/>
          </cell>
          <cell r="PDL2" t="str">
            <v/>
          </cell>
          <cell r="PDM2" t="str">
            <v/>
          </cell>
          <cell r="PDN2" t="str">
            <v/>
          </cell>
          <cell r="PDO2" t="str">
            <v/>
          </cell>
          <cell r="PDP2" t="str">
            <v/>
          </cell>
          <cell r="PDQ2" t="str">
            <v/>
          </cell>
          <cell r="PDR2" t="str">
            <v/>
          </cell>
          <cell r="PDS2" t="str">
            <v/>
          </cell>
          <cell r="PDT2" t="str">
            <v/>
          </cell>
          <cell r="PDU2" t="str">
            <v/>
          </cell>
          <cell r="PDV2" t="str">
            <v/>
          </cell>
          <cell r="PDW2" t="str">
            <v/>
          </cell>
          <cell r="PDX2" t="str">
            <v/>
          </cell>
          <cell r="PDY2" t="str">
            <v/>
          </cell>
          <cell r="PDZ2" t="str">
            <v/>
          </cell>
          <cell r="PEA2" t="str">
            <v/>
          </cell>
          <cell r="PEB2" t="str">
            <v/>
          </cell>
          <cell r="PEC2" t="str">
            <v/>
          </cell>
          <cell r="PED2" t="str">
            <v/>
          </cell>
          <cell r="PEE2" t="str">
            <v/>
          </cell>
          <cell r="PEF2" t="str">
            <v/>
          </cell>
          <cell r="PEG2" t="str">
            <v/>
          </cell>
          <cell r="PEH2" t="str">
            <v/>
          </cell>
          <cell r="PEI2" t="str">
            <v/>
          </cell>
          <cell r="PEJ2" t="str">
            <v/>
          </cell>
          <cell r="PEK2" t="str">
            <v/>
          </cell>
          <cell r="PEL2" t="str">
            <v/>
          </cell>
          <cell r="PEM2" t="str">
            <v/>
          </cell>
          <cell r="PEN2" t="str">
            <v/>
          </cell>
          <cell r="PEO2" t="str">
            <v/>
          </cell>
          <cell r="PEP2" t="str">
            <v/>
          </cell>
          <cell r="PEQ2" t="str">
            <v/>
          </cell>
          <cell r="PER2" t="str">
            <v/>
          </cell>
          <cell r="PES2" t="str">
            <v/>
          </cell>
          <cell r="PET2" t="str">
            <v/>
          </cell>
          <cell r="PEU2" t="str">
            <v/>
          </cell>
          <cell r="PEV2" t="str">
            <v/>
          </cell>
          <cell r="PEW2" t="str">
            <v/>
          </cell>
          <cell r="PEX2" t="str">
            <v/>
          </cell>
          <cell r="PEY2" t="str">
            <v/>
          </cell>
          <cell r="PEZ2" t="str">
            <v/>
          </cell>
          <cell r="PFA2" t="str">
            <v/>
          </cell>
          <cell r="PFB2" t="str">
            <v/>
          </cell>
          <cell r="PFC2" t="str">
            <v/>
          </cell>
          <cell r="PFD2" t="str">
            <v/>
          </cell>
          <cell r="PFE2" t="str">
            <v/>
          </cell>
          <cell r="PFF2" t="str">
            <v/>
          </cell>
          <cell r="PFG2" t="str">
            <v/>
          </cell>
          <cell r="PFH2" t="str">
            <v/>
          </cell>
          <cell r="PFI2" t="str">
            <v/>
          </cell>
          <cell r="PFJ2" t="str">
            <v/>
          </cell>
          <cell r="PFK2" t="str">
            <v/>
          </cell>
          <cell r="PFL2" t="str">
            <v/>
          </cell>
          <cell r="PFM2" t="str">
            <v/>
          </cell>
          <cell r="PFN2" t="str">
            <v/>
          </cell>
          <cell r="PFO2" t="str">
            <v/>
          </cell>
          <cell r="PFP2" t="str">
            <v/>
          </cell>
          <cell r="PFQ2" t="str">
            <v/>
          </cell>
          <cell r="PFR2" t="str">
            <v/>
          </cell>
          <cell r="PFS2" t="str">
            <v/>
          </cell>
          <cell r="PFT2" t="str">
            <v/>
          </cell>
          <cell r="PFU2" t="str">
            <v/>
          </cell>
          <cell r="PFV2" t="str">
            <v/>
          </cell>
          <cell r="PFW2" t="str">
            <v/>
          </cell>
          <cell r="PFX2" t="str">
            <v/>
          </cell>
          <cell r="PFY2" t="str">
            <v/>
          </cell>
          <cell r="PFZ2" t="str">
            <v/>
          </cell>
          <cell r="PGA2" t="str">
            <v/>
          </cell>
          <cell r="PGB2" t="str">
            <v/>
          </cell>
          <cell r="PGC2" t="str">
            <v/>
          </cell>
          <cell r="PGD2" t="str">
            <v/>
          </cell>
          <cell r="PGE2" t="str">
            <v/>
          </cell>
          <cell r="PGF2" t="str">
            <v/>
          </cell>
          <cell r="PGG2" t="str">
            <v/>
          </cell>
          <cell r="PGH2" t="str">
            <v/>
          </cell>
          <cell r="PGI2" t="str">
            <v/>
          </cell>
          <cell r="PGJ2" t="str">
            <v/>
          </cell>
          <cell r="PGK2" t="str">
            <v/>
          </cell>
          <cell r="PGL2" t="str">
            <v/>
          </cell>
          <cell r="PGM2" t="str">
            <v/>
          </cell>
          <cell r="PGN2" t="str">
            <v/>
          </cell>
          <cell r="PGO2" t="str">
            <v/>
          </cell>
          <cell r="PGP2" t="str">
            <v/>
          </cell>
          <cell r="PGQ2" t="str">
            <v/>
          </cell>
          <cell r="PGR2" t="str">
            <v/>
          </cell>
          <cell r="PGS2" t="str">
            <v/>
          </cell>
          <cell r="PGT2" t="str">
            <v/>
          </cell>
          <cell r="PGU2" t="str">
            <v/>
          </cell>
          <cell r="PGV2" t="str">
            <v/>
          </cell>
          <cell r="PGW2" t="str">
            <v/>
          </cell>
          <cell r="PGX2" t="str">
            <v/>
          </cell>
          <cell r="PGY2" t="str">
            <v/>
          </cell>
          <cell r="PGZ2" t="str">
            <v/>
          </cell>
          <cell r="PHA2" t="str">
            <v/>
          </cell>
          <cell r="PHB2" t="str">
            <v/>
          </cell>
          <cell r="PHC2" t="str">
            <v/>
          </cell>
          <cell r="PHD2" t="str">
            <v/>
          </cell>
          <cell r="PHE2" t="str">
            <v/>
          </cell>
          <cell r="PHF2" t="str">
            <v/>
          </cell>
          <cell r="PHG2" t="str">
            <v/>
          </cell>
          <cell r="PHH2" t="str">
            <v/>
          </cell>
          <cell r="PHI2" t="str">
            <v/>
          </cell>
          <cell r="PHJ2" t="str">
            <v/>
          </cell>
          <cell r="PHK2" t="str">
            <v/>
          </cell>
          <cell r="PHL2" t="str">
            <v/>
          </cell>
          <cell r="PHM2" t="str">
            <v/>
          </cell>
          <cell r="PHN2" t="str">
            <v/>
          </cell>
          <cell r="PHO2" t="str">
            <v/>
          </cell>
          <cell r="PHP2" t="str">
            <v/>
          </cell>
          <cell r="PHQ2" t="str">
            <v/>
          </cell>
          <cell r="PHR2" t="str">
            <v/>
          </cell>
          <cell r="PHS2" t="str">
            <v/>
          </cell>
          <cell r="PHT2" t="str">
            <v/>
          </cell>
          <cell r="PHU2" t="str">
            <v/>
          </cell>
          <cell r="PHV2" t="str">
            <v/>
          </cell>
          <cell r="PHW2" t="str">
            <v/>
          </cell>
          <cell r="PHX2" t="str">
            <v/>
          </cell>
          <cell r="PHY2" t="str">
            <v/>
          </cell>
          <cell r="PHZ2" t="str">
            <v/>
          </cell>
          <cell r="PIA2" t="str">
            <v/>
          </cell>
          <cell r="PIB2" t="str">
            <v/>
          </cell>
          <cell r="PIC2" t="str">
            <v/>
          </cell>
          <cell r="PID2" t="str">
            <v/>
          </cell>
          <cell r="PIE2" t="str">
            <v/>
          </cell>
          <cell r="PIF2" t="str">
            <v/>
          </cell>
          <cell r="PIG2" t="str">
            <v/>
          </cell>
          <cell r="PIH2" t="str">
            <v/>
          </cell>
          <cell r="PII2" t="str">
            <v/>
          </cell>
          <cell r="PIJ2" t="str">
            <v/>
          </cell>
          <cell r="PIK2" t="str">
            <v/>
          </cell>
          <cell r="PIL2" t="str">
            <v/>
          </cell>
          <cell r="PIM2" t="str">
            <v/>
          </cell>
          <cell r="PIN2" t="str">
            <v/>
          </cell>
          <cell r="PIO2" t="str">
            <v/>
          </cell>
          <cell r="PIP2" t="str">
            <v/>
          </cell>
          <cell r="PIQ2" t="str">
            <v/>
          </cell>
          <cell r="PIR2" t="str">
            <v/>
          </cell>
          <cell r="PIS2" t="str">
            <v/>
          </cell>
          <cell r="PIT2" t="str">
            <v/>
          </cell>
          <cell r="PIU2" t="str">
            <v/>
          </cell>
          <cell r="PIV2" t="str">
            <v/>
          </cell>
          <cell r="PIW2" t="str">
            <v/>
          </cell>
          <cell r="PIX2" t="str">
            <v/>
          </cell>
          <cell r="PIY2" t="str">
            <v/>
          </cell>
          <cell r="PIZ2" t="str">
            <v/>
          </cell>
          <cell r="PJA2" t="str">
            <v/>
          </cell>
          <cell r="PJB2" t="str">
            <v/>
          </cell>
          <cell r="PJC2" t="str">
            <v/>
          </cell>
          <cell r="PJD2" t="str">
            <v/>
          </cell>
          <cell r="PJE2" t="str">
            <v/>
          </cell>
          <cell r="PJF2" t="str">
            <v/>
          </cell>
          <cell r="PJG2" t="str">
            <v/>
          </cell>
          <cell r="PJH2" t="str">
            <v/>
          </cell>
          <cell r="PJI2" t="str">
            <v/>
          </cell>
          <cell r="PJJ2" t="str">
            <v/>
          </cell>
          <cell r="PJK2" t="str">
            <v/>
          </cell>
          <cell r="PJL2" t="str">
            <v/>
          </cell>
          <cell r="PJM2" t="str">
            <v/>
          </cell>
          <cell r="PJN2" t="str">
            <v/>
          </cell>
          <cell r="PJO2" t="str">
            <v/>
          </cell>
          <cell r="PJP2" t="str">
            <v/>
          </cell>
          <cell r="PJQ2" t="str">
            <v/>
          </cell>
          <cell r="PJR2" t="str">
            <v/>
          </cell>
          <cell r="PJS2" t="str">
            <v/>
          </cell>
          <cell r="PJT2" t="str">
            <v/>
          </cell>
          <cell r="PJU2" t="str">
            <v/>
          </cell>
          <cell r="PJV2" t="str">
            <v/>
          </cell>
          <cell r="PJW2" t="str">
            <v/>
          </cell>
          <cell r="PJX2" t="str">
            <v/>
          </cell>
          <cell r="PJY2" t="str">
            <v/>
          </cell>
          <cell r="PJZ2" t="str">
            <v/>
          </cell>
          <cell r="PKA2" t="str">
            <v/>
          </cell>
          <cell r="PKB2" t="str">
            <v/>
          </cell>
          <cell r="PKC2" t="str">
            <v/>
          </cell>
          <cell r="PKD2" t="str">
            <v/>
          </cell>
          <cell r="PKE2" t="str">
            <v/>
          </cell>
          <cell r="PKF2" t="str">
            <v/>
          </cell>
          <cell r="PKG2" t="str">
            <v/>
          </cell>
          <cell r="PKH2" t="str">
            <v/>
          </cell>
          <cell r="PKI2" t="str">
            <v/>
          </cell>
          <cell r="PKJ2" t="str">
            <v/>
          </cell>
          <cell r="PKK2" t="str">
            <v/>
          </cell>
          <cell r="PKL2" t="str">
            <v/>
          </cell>
          <cell r="PKM2" t="str">
            <v/>
          </cell>
          <cell r="PKN2" t="str">
            <v/>
          </cell>
          <cell r="PKO2" t="str">
            <v/>
          </cell>
          <cell r="PKP2" t="str">
            <v/>
          </cell>
          <cell r="PKQ2" t="str">
            <v/>
          </cell>
          <cell r="PKR2" t="str">
            <v/>
          </cell>
          <cell r="PKS2" t="str">
            <v/>
          </cell>
          <cell r="PKT2" t="str">
            <v/>
          </cell>
          <cell r="PKU2" t="str">
            <v/>
          </cell>
          <cell r="PKV2" t="str">
            <v/>
          </cell>
          <cell r="PKW2" t="str">
            <v/>
          </cell>
          <cell r="PKX2" t="str">
            <v/>
          </cell>
          <cell r="PKY2" t="str">
            <v/>
          </cell>
          <cell r="PKZ2" t="str">
            <v/>
          </cell>
          <cell r="PLA2" t="str">
            <v/>
          </cell>
          <cell r="PLB2" t="str">
            <v/>
          </cell>
          <cell r="PLC2" t="str">
            <v/>
          </cell>
          <cell r="PLD2" t="str">
            <v/>
          </cell>
          <cell r="PLE2" t="str">
            <v/>
          </cell>
          <cell r="PLF2" t="str">
            <v/>
          </cell>
          <cell r="PLG2" t="str">
            <v/>
          </cell>
          <cell r="PLH2" t="str">
            <v/>
          </cell>
          <cell r="PLI2" t="str">
            <v/>
          </cell>
          <cell r="PLJ2" t="str">
            <v/>
          </cell>
          <cell r="PLK2" t="str">
            <v/>
          </cell>
          <cell r="PLL2" t="str">
            <v/>
          </cell>
          <cell r="PLM2" t="str">
            <v/>
          </cell>
          <cell r="PLN2" t="str">
            <v/>
          </cell>
          <cell r="PLO2" t="str">
            <v/>
          </cell>
          <cell r="PLP2" t="str">
            <v/>
          </cell>
          <cell r="PLQ2" t="str">
            <v/>
          </cell>
          <cell r="PLR2" t="str">
            <v/>
          </cell>
          <cell r="PLS2" t="str">
            <v/>
          </cell>
          <cell r="PLT2" t="str">
            <v/>
          </cell>
          <cell r="PLU2" t="str">
            <v/>
          </cell>
          <cell r="PLV2" t="str">
            <v/>
          </cell>
          <cell r="PLW2" t="str">
            <v/>
          </cell>
          <cell r="PLX2" t="str">
            <v/>
          </cell>
          <cell r="PLY2" t="str">
            <v/>
          </cell>
          <cell r="PLZ2" t="str">
            <v/>
          </cell>
          <cell r="PMA2" t="str">
            <v/>
          </cell>
          <cell r="PMB2" t="str">
            <v/>
          </cell>
          <cell r="PMC2" t="str">
            <v/>
          </cell>
          <cell r="PMD2" t="str">
            <v/>
          </cell>
          <cell r="PME2" t="str">
            <v/>
          </cell>
          <cell r="PMF2" t="str">
            <v/>
          </cell>
          <cell r="PMG2" t="str">
            <v/>
          </cell>
          <cell r="PMH2" t="str">
            <v/>
          </cell>
          <cell r="PMI2" t="str">
            <v/>
          </cell>
          <cell r="PMJ2" t="str">
            <v/>
          </cell>
          <cell r="PMK2" t="str">
            <v/>
          </cell>
          <cell r="PML2" t="str">
            <v/>
          </cell>
          <cell r="PMM2" t="str">
            <v/>
          </cell>
          <cell r="PMN2" t="str">
            <v/>
          </cell>
          <cell r="PMO2" t="str">
            <v/>
          </cell>
          <cell r="PMP2" t="str">
            <v/>
          </cell>
          <cell r="PMQ2" t="str">
            <v/>
          </cell>
          <cell r="PMR2" t="str">
            <v/>
          </cell>
          <cell r="PMS2" t="str">
            <v/>
          </cell>
          <cell r="PMT2" t="str">
            <v/>
          </cell>
          <cell r="PMU2" t="str">
            <v/>
          </cell>
          <cell r="PMV2" t="str">
            <v/>
          </cell>
          <cell r="PMW2" t="str">
            <v/>
          </cell>
          <cell r="PMX2" t="str">
            <v/>
          </cell>
          <cell r="PMY2" t="str">
            <v/>
          </cell>
          <cell r="PMZ2" t="str">
            <v/>
          </cell>
          <cell r="PNA2" t="str">
            <v/>
          </cell>
          <cell r="PNB2" t="str">
            <v/>
          </cell>
          <cell r="PNC2" t="str">
            <v/>
          </cell>
          <cell r="PND2" t="str">
            <v/>
          </cell>
          <cell r="PNE2" t="str">
            <v/>
          </cell>
          <cell r="PNF2" t="str">
            <v/>
          </cell>
          <cell r="PNG2" t="str">
            <v/>
          </cell>
          <cell r="PNH2" t="str">
            <v/>
          </cell>
          <cell r="PNI2" t="str">
            <v/>
          </cell>
          <cell r="PNJ2" t="str">
            <v/>
          </cell>
          <cell r="PNK2" t="str">
            <v/>
          </cell>
          <cell r="PNL2" t="str">
            <v/>
          </cell>
          <cell r="PNM2" t="str">
            <v/>
          </cell>
          <cell r="PNN2" t="str">
            <v/>
          </cell>
          <cell r="PNO2" t="str">
            <v/>
          </cell>
          <cell r="PNP2" t="str">
            <v/>
          </cell>
          <cell r="PNQ2" t="str">
            <v/>
          </cell>
          <cell r="PNR2" t="str">
            <v/>
          </cell>
          <cell r="PNS2" t="str">
            <v/>
          </cell>
          <cell r="PNT2" t="str">
            <v/>
          </cell>
          <cell r="PNU2" t="str">
            <v/>
          </cell>
          <cell r="PNV2" t="str">
            <v/>
          </cell>
          <cell r="PNW2" t="str">
            <v/>
          </cell>
          <cell r="PNX2" t="str">
            <v/>
          </cell>
          <cell r="PNY2" t="str">
            <v/>
          </cell>
          <cell r="PNZ2" t="str">
            <v/>
          </cell>
          <cell r="POA2" t="str">
            <v/>
          </cell>
          <cell r="POB2" t="str">
            <v/>
          </cell>
          <cell r="POC2" t="str">
            <v/>
          </cell>
          <cell r="POD2" t="str">
            <v/>
          </cell>
          <cell r="POE2" t="str">
            <v/>
          </cell>
          <cell r="POF2" t="str">
            <v/>
          </cell>
          <cell r="POG2" t="str">
            <v/>
          </cell>
          <cell r="POH2" t="str">
            <v/>
          </cell>
          <cell r="POI2" t="str">
            <v/>
          </cell>
          <cell r="POJ2" t="str">
            <v/>
          </cell>
          <cell r="POK2" t="str">
            <v/>
          </cell>
          <cell r="POL2" t="str">
            <v/>
          </cell>
          <cell r="POM2" t="str">
            <v/>
          </cell>
          <cell r="PON2" t="str">
            <v/>
          </cell>
          <cell r="POO2" t="str">
            <v/>
          </cell>
          <cell r="POP2" t="str">
            <v/>
          </cell>
          <cell r="POQ2" t="str">
            <v/>
          </cell>
          <cell r="POR2" t="str">
            <v/>
          </cell>
          <cell r="POS2" t="str">
            <v/>
          </cell>
          <cell r="POT2" t="str">
            <v/>
          </cell>
          <cell r="POU2" t="str">
            <v/>
          </cell>
          <cell r="POV2" t="str">
            <v/>
          </cell>
          <cell r="POW2" t="str">
            <v/>
          </cell>
          <cell r="POX2" t="str">
            <v/>
          </cell>
          <cell r="POY2" t="str">
            <v/>
          </cell>
          <cell r="POZ2" t="str">
            <v/>
          </cell>
          <cell r="PPA2" t="str">
            <v/>
          </cell>
          <cell r="PPB2" t="str">
            <v/>
          </cell>
          <cell r="PPC2" t="str">
            <v/>
          </cell>
          <cell r="PPD2" t="str">
            <v/>
          </cell>
          <cell r="PPE2" t="str">
            <v/>
          </cell>
          <cell r="PPF2" t="str">
            <v/>
          </cell>
          <cell r="PPG2" t="str">
            <v/>
          </cell>
          <cell r="PPH2" t="str">
            <v/>
          </cell>
          <cell r="PPI2" t="str">
            <v/>
          </cell>
          <cell r="PPJ2" t="str">
            <v/>
          </cell>
          <cell r="PPK2" t="str">
            <v/>
          </cell>
          <cell r="PPL2" t="str">
            <v/>
          </cell>
          <cell r="PPM2" t="str">
            <v/>
          </cell>
          <cell r="PPN2" t="str">
            <v/>
          </cell>
          <cell r="PPO2" t="str">
            <v/>
          </cell>
          <cell r="PPP2" t="str">
            <v/>
          </cell>
          <cell r="PPQ2" t="str">
            <v/>
          </cell>
          <cell r="PPR2" t="str">
            <v/>
          </cell>
          <cell r="PPS2" t="str">
            <v/>
          </cell>
          <cell r="PPT2" t="str">
            <v/>
          </cell>
          <cell r="PPU2" t="str">
            <v/>
          </cell>
          <cell r="PPV2" t="str">
            <v/>
          </cell>
          <cell r="PPW2" t="str">
            <v/>
          </cell>
          <cell r="PPX2" t="str">
            <v/>
          </cell>
          <cell r="PPY2" t="str">
            <v/>
          </cell>
          <cell r="PPZ2" t="str">
            <v/>
          </cell>
          <cell r="PQA2" t="str">
            <v/>
          </cell>
          <cell r="PQB2" t="str">
            <v/>
          </cell>
          <cell r="PQC2" t="str">
            <v/>
          </cell>
          <cell r="PQD2" t="str">
            <v/>
          </cell>
          <cell r="PQE2" t="str">
            <v/>
          </cell>
          <cell r="PQF2" t="str">
            <v/>
          </cell>
          <cell r="PQG2" t="str">
            <v/>
          </cell>
          <cell r="PQH2" t="str">
            <v/>
          </cell>
          <cell r="PQI2" t="str">
            <v/>
          </cell>
          <cell r="PQJ2" t="str">
            <v/>
          </cell>
          <cell r="PQK2" t="str">
            <v/>
          </cell>
          <cell r="PQL2" t="str">
            <v/>
          </cell>
          <cell r="PQM2" t="str">
            <v/>
          </cell>
          <cell r="PQN2" t="str">
            <v/>
          </cell>
          <cell r="PQO2" t="str">
            <v/>
          </cell>
          <cell r="PQP2" t="str">
            <v/>
          </cell>
          <cell r="PQQ2" t="str">
            <v/>
          </cell>
          <cell r="PQR2" t="str">
            <v/>
          </cell>
          <cell r="PQS2" t="str">
            <v/>
          </cell>
          <cell r="PQT2" t="str">
            <v/>
          </cell>
          <cell r="PQU2" t="str">
            <v/>
          </cell>
          <cell r="PQV2" t="str">
            <v/>
          </cell>
          <cell r="PQW2" t="str">
            <v/>
          </cell>
          <cell r="PQX2" t="str">
            <v/>
          </cell>
          <cell r="PQY2" t="str">
            <v/>
          </cell>
          <cell r="PQZ2" t="str">
            <v/>
          </cell>
          <cell r="PRA2" t="str">
            <v/>
          </cell>
          <cell r="PRB2" t="str">
            <v/>
          </cell>
          <cell r="PRC2" t="str">
            <v/>
          </cell>
          <cell r="PRD2" t="str">
            <v/>
          </cell>
          <cell r="PRE2" t="str">
            <v/>
          </cell>
          <cell r="PRF2" t="str">
            <v/>
          </cell>
          <cell r="PRG2" t="str">
            <v/>
          </cell>
          <cell r="PRH2" t="str">
            <v/>
          </cell>
          <cell r="PRI2" t="str">
            <v/>
          </cell>
          <cell r="PRJ2" t="str">
            <v/>
          </cell>
          <cell r="PRK2" t="str">
            <v/>
          </cell>
          <cell r="PRL2" t="str">
            <v/>
          </cell>
          <cell r="PRM2" t="str">
            <v/>
          </cell>
          <cell r="PRN2" t="str">
            <v/>
          </cell>
          <cell r="PRO2" t="str">
            <v/>
          </cell>
          <cell r="PRP2" t="str">
            <v/>
          </cell>
          <cell r="PRQ2" t="str">
            <v/>
          </cell>
          <cell r="PRR2" t="str">
            <v/>
          </cell>
          <cell r="PRS2" t="str">
            <v/>
          </cell>
          <cell r="PRT2" t="str">
            <v/>
          </cell>
          <cell r="PRU2" t="str">
            <v/>
          </cell>
          <cell r="PRV2" t="str">
            <v/>
          </cell>
          <cell r="PRW2" t="str">
            <v/>
          </cell>
          <cell r="PRX2" t="str">
            <v/>
          </cell>
          <cell r="PRY2" t="str">
            <v/>
          </cell>
          <cell r="PRZ2" t="str">
            <v/>
          </cell>
          <cell r="PSA2" t="str">
            <v/>
          </cell>
          <cell r="PSB2" t="str">
            <v/>
          </cell>
          <cell r="PSC2" t="str">
            <v/>
          </cell>
          <cell r="PSD2" t="str">
            <v/>
          </cell>
          <cell r="PSE2" t="str">
            <v/>
          </cell>
          <cell r="PSF2" t="str">
            <v/>
          </cell>
          <cell r="PSG2" t="str">
            <v/>
          </cell>
          <cell r="PSH2" t="str">
            <v/>
          </cell>
          <cell r="PSI2" t="str">
            <v/>
          </cell>
          <cell r="PSJ2" t="str">
            <v/>
          </cell>
          <cell r="PSK2" t="str">
            <v/>
          </cell>
          <cell r="PSL2" t="str">
            <v/>
          </cell>
          <cell r="PSM2" t="str">
            <v/>
          </cell>
          <cell r="PSN2" t="str">
            <v/>
          </cell>
          <cell r="PSO2" t="str">
            <v/>
          </cell>
          <cell r="PSP2" t="str">
            <v/>
          </cell>
          <cell r="PSQ2" t="str">
            <v/>
          </cell>
          <cell r="PSR2" t="str">
            <v/>
          </cell>
          <cell r="PSS2" t="str">
            <v/>
          </cell>
          <cell r="PST2" t="str">
            <v/>
          </cell>
          <cell r="PSU2" t="str">
            <v/>
          </cell>
          <cell r="PSV2" t="str">
            <v/>
          </cell>
          <cell r="PSW2" t="str">
            <v/>
          </cell>
          <cell r="PSX2" t="str">
            <v/>
          </cell>
          <cell r="PSY2" t="str">
            <v/>
          </cell>
          <cell r="PSZ2" t="str">
            <v/>
          </cell>
          <cell r="PTA2" t="str">
            <v/>
          </cell>
          <cell r="PTB2" t="str">
            <v/>
          </cell>
          <cell r="PTC2" t="str">
            <v/>
          </cell>
          <cell r="PTD2" t="str">
            <v/>
          </cell>
          <cell r="PTE2" t="str">
            <v/>
          </cell>
          <cell r="PTF2" t="str">
            <v/>
          </cell>
          <cell r="PTG2" t="str">
            <v/>
          </cell>
          <cell r="PTH2" t="str">
            <v/>
          </cell>
          <cell r="PTI2" t="str">
            <v/>
          </cell>
          <cell r="PTJ2" t="str">
            <v/>
          </cell>
          <cell r="PTK2" t="str">
            <v/>
          </cell>
          <cell r="PTL2" t="str">
            <v/>
          </cell>
          <cell r="PTM2" t="str">
            <v/>
          </cell>
          <cell r="PTN2" t="str">
            <v/>
          </cell>
          <cell r="PTO2" t="str">
            <v/>
          </cell>
          <cell r="PTP2" t="str">
            <v/>
          </cell>
          <cell r="PTQ2" t="str">
            <v/>
          </cell>
          <cell r="PTR2" t="str">
            <v/>
          </cell>
          <cell r="PTS2" t="str">
            <v/>
          </cell>
          <cell r="PTT2" t="str">
            <v/>
          </cell>
          <cell r="PTU2" t="str">
            <v/>
          </cell>
          <cell r="PTV2" t="str">
            <v/>
          </cell>
          <cell r="PTW2" t="str">
            <v/>
          </cell>
          <cell r="PTX2" t="str">
            <v/>
          </cell>
          <cell r="PTY2" t="str">
            <v/>
          </cell>
          <cell r="PTZ2" t="str">
            <v/>
          </cell>
          <cell r="PUA2" t="str">
            <v/>
          </cell>
          <cell r="PUB2" t="str">
            <v/>
          </cell>
          <cell r="PUC2" t="str">
            <v/>
          </cell>
          <cell r="PUD2" t="str">
            <v/>
          </cell>
          <cell r="PUE2" t="str">
            <v/>
          </cell>
          <cell r="PUF2" t="str">
            <v/>
          </cell>
          <cell r="PUG2" t="str">
            <v/>
          </cell>
          <cell r="PUH2" t="str">
            <v/>
          </cell>
          <cell r="PUI2" t="str">
            <v/>
          </cell>
          <cell r="PUJ2" t="str">
            <v/>
          </cell>
          <cell r="PUK2" t="str">
            <v/>
          </cell>
          <cell r="PUL2" t="str">
            <v/>
          </cell>
          <cell r="PUM2" t="str">
            <v/>
          </cell>
          <cell r="PUN2" t="str">
            <v/>
          </cell>
          <cell r="PUO2" t="str">
            <v/>
          </cell>
          <cell r="PUP2" t="str">
            <v/>
          </cell>
          <cell r="PUQ2" t="str">
            <v/>
          </cell>
          <cell r="PUR2" t="str">
            <v/>
          </cell>
          <cell r="PUS2" t="str">
            <v/>
          </cell>
          <cell r="PUT2" t="str">
            <v/>
          </cell>
          <cell r="PUU2" t="str">
            <v/>
          </cell>
          <cell r="PUV2" t="str">
            <v/>
          </cell>
          <cell r="PUW2" t="str">
            <v/>
          </cell>
          <cell r="PUX2" t="str">
            <v/>
          </cell>
          <cell r="PUY2" t="str">
            <v/>
          </cell>
          <cell r="PUZ2" t="str">
            <v/>
          </cell>
          <cell r="PVA2" t="str">
            <v/>
          </cell>
          <cell r="PVB2" t="str">
            <v/>
          </cell>
          <cell r="PVC2" t="str">
            <v/>
          </cell>
          <cell r="PVD2" t="str">
            <v/>
          </cell>
          <cell r="PVE2" t="str">
            <v/>
          </cell>
          <cell r="PVF2" t="str">
            <v/>
          </cell>
          <cell r="PVG2" t="str">
            <v/>
          </cell>
          <cell r="PVH2" t="str">
            <v/>
          </cell>
          <cell r="PVI2" t="str">
            <v/>
          </cell>
          <cell r="PVJ2" t="str">
            <v/>
          </cell>
          <cell r="PVK2" t="str">
            <v/>
          </cell>
          <cell r="PVL2" t="str">
            <v/>
          </cell>
          <cell r="PVM2" t="str">
            <v/>
          </cell>
          <cell r="PVN2" t="str">
            <v/>
          </cell>
          <cell r="PVO2" t="str">
            <v/>
          </cell>
          <cell r="PVP2" t="str">
            <v/>
          </cell>
          <cell r="PVQ2" t="str">
            <v/>
          </cell>
          <cell r="PVR2" t="str">
            <v/>
          </cell>
          <cell r="PVS2" t="str">
            <v/>
          </cell>
          <cell r="PVT2" t="str">
            <v/>
          </cell>
          <cell r="PVU2" t="str">
            <v/>
          </cell>
          <cell r="PVV2" t="str">
            <v/>
          </cell>
          <cell r="PVW2" t="str">
            <v/>
          </cell>
          <cell r="PVX2" t="str">
            <v/>
          </cell>
          <cell r="PVY2" t="str">
            <v/>
          </cell>
          <cell r="PVZ2" t="str">
            <v/>
          </cell>
          <cell r="PWA2" t="str">
            <v/>
          </cell>
          <cell r="PWB2" t="str">
            <v/>
          </cell>
          <cell r="PWC2" t="str">
            <v/>
          </cell>
          <cell r="PWD2" t="str">
            <v/>
          </cell>
          <cell r="PWE2" t="str">
            <v/>
          </cell>
          <cell r="PWF2" t="str">
            <v/>
          </cell>
          <cell r="PWG2" t="str">
            <v/>
          </cell>
          <cell r="PWH2" t="str">
            <v/>
          </cell>
          <cell r="PWI2" t="str">
            <v/>
          </cell>
          <cell r="PWJ2" t="str">
            <v/>
          </cell>
          <cell r="PWK2" t="str">
            <v/>
          </cell>
          <cell r="PWL2" t="str">
            <v/>
          </cell>
          <cell r="PWM2" t="str">
            <v/>
          </cell>
          <cell r="PWN2" t="str">
            <v/>
          </cell>
          <cell r="PWO2" t="str">
            <v/>
          </cell>
          <cell r="PWP2" t="str">
            <v/>
          </cell>
          <cell r="PWQ2" t="str">
            <v/>
          </cell>
          <cell r="PWR2" t="str">
            <v/>
          </cell>
          <cell r="PWS2" t="str">
            <v/>
          </cell>
          <cell r="PWT2" t="str">
            <v/>
          </cell>
          <cell r="PWU2" t="str">
            <v/>
          </cell>
          <cell r="PWV2" t="str">
            <v/>
          </cell>
          <cell r="PWW2" t="str">
            <v/>
          </cell>
          <cell r="PWX2" t="str">
            <v/>
          </cell>
          <cell r="PWY2" t="str">
            <v/>
          </cell>
          <cell r="PWZ2" t="str">
            <v/>
          </cell>
          <cell r="PXA2" t="str">
            <v/>
          </cell>
          <cell r="PXB2" t="str">
            <v/>
          </cell>
          <cell r="PXC2" t="str">
            <v/>
          </cell>
          <cell r="PXD2" t="str">
            <v/>
          </cell>
          <cell r="PXE2" t="str">
            <v/>
          </cell>
          <cell r="PXF2" t="str">
            <v/>
          </cell>
          <cell r="PXG2" t="str">
            <v/>
          </cell>
          <cell r="PXH2" t="str">
            <v/>
          </cell>
          <cell r="PXI2" t="str">
            <v/>
          </cell>
          <cell r="PXJ2" t="str">
            <v/>
          </cell>
          <cell r="PXK2" t="str">
            <v/>
          </cell>
          <cell r="PXL2" t="str">
            <v/>
          </cell>
          <cell r="PXM2" t="str">
            <v/>
          </cell>
          <cell r="PXN2" t="str">
            <v/>
          </cell>
          <cell r="PXO2" t="str">
            <v/>
          </cell>
          <cell r="PXP2" t="str">
            <v/>
          </cell>
          <cell r="PXQ2" t="str">
            <v/>
          </cell>
          <cell r="PXR2" t="str">
            <v/>
          </cell>
          <cell r="PXS2" t="str">
            <v/>
          </cell>
          <cell r="PXT2" t="str">
            <v/>
          </cell>
          <cell r="PXU2" t="str">
            <v/>
          </cell>
          <cell r="PXV2" t="str">
            <v/>
          </cell>
          <cell r="PXW2" t="str">
            <v/>
          </cell>
          <cell r="PXX2" t="str">
            <v/>
          </cell>
          <cell r="PXY2" t="str">
            <v/>
          </cell>
          <cell r="PXZ2" t="str">
            <v/>
          </cell>
          <cell r="PYA2" t="str">
            <v/>
          </cell>
          <cell r="PYB2" t="str">
            <v/>
          </cell>
          <cell r="PYC2" t="str">
            <v/>
          </cell>
          <cell r="PYD2" t="str">
            <v/>
          </cell>
          <cell r="PYE2" t="str">
            <v/>
          </cell>
          <cell r="PYF2" t="str">
            <v/>
          </cell>
          <cell r="PYG2" t="str">
            <v/>
          </cell>
          <cell r="PYH2" t="str">
            <v/>
          </cell>
          <cell r="PYI2" t="str">
            <v/>
          </cell>
          <cell r="PYJ2" t="str">
            <v/>
          </cell>
          <cell r="PYK2" t="str">
            <v/>
          </cell>
          <cell r="PYL2" t="str">
            <v/>
          </cell>
          <cell r="PYM2" t="str">
            <v/>
          </cell>
          <cell r="PYN2" t="str">
            <v/>
          </cell>
          <cell r="PYO2" t="str">
            <v/>
          </cell>
          <cell r="PYP2" t="str">
            <v/>
          </cell>
          <cell r="PYQ2" t="str">
            <v/>
          </cell>
          <cell r="PYR2" t="str">
            <v/>
          </cell>
          <cell r="PYS2" t="str">
            <v/>
          </cell>
          <cell r="PYT2" t="str">
            <v/>
          </cell>
          <cell r="PYU2" t="str">
            <v/>
          </cell>
          <cell r="PYV2" t="str">
            <v/>
          </cell>
          <cell r="PYW2" t="str">
            <v/>
          </cell>
          <cell r="PYX2" t="str">
            <v/>
          </cell>
          <cell r="PYY2" t="str">
            <v/>
          </cell>
          <cell r="PYZ2" t="str">
            <v/>
          </cell>
          <cell r="PZA2" t="str">
            <v/>
          </cell>
          <cell r="PZB2" t="str">
            <v/>
          </cell>
          <cell r="PZC2" t="str">
            <v/>
          </cell>
          <cell r="PZD2" t="str">
            <v/>
          </cell>
          <cell r="PZE2" t="str">
            <v/>
          </cell>
          <cell r="PZF2" t="str">
            <v/>
          </cell>
          <cell r="PZG2" t="str">
            <v/>
          </cell>
          <cell r="PZH2" t="str">
            <v/>
          </cell>
          <cell r="PZI2" t="str">
            <v/>
          </cell>
          <cell r="PZJ2" t="str">
            <v/>
          </cell>
          <cell r="PZK2" t="str">
            <v/>
          </cell>
          <cell r="PZL2" t="str">
            <v/>
          </cell>
          <cell r="PZM2" t="str">
            <v/>
          </cell>
          <cell r="PZN2" t="str">
            <v/>
          </cell>
          <cell r="PZO2" t="str">
            <v/>
          </cell>
          <cell r="PZP2" t="str">
            <v/>
          </cell>
          <cell r="PZQ2" t="str">
            <v/>
          </cell>
          <cell r="PZR2" t="str">
            <v/>
          </cell>
          <cell r="PZS2" t="str">
            <v/>
          </cell>
          <cell r="PZT2" t="str">
            <v/>
          </cell>
          <cell r="PZU2" t="str">
            <v/>
          </cell>
          <cell r="PZV2" t="str">
            <v/>
          </cell>
          <cell r="PZW2" t="str">
            <v/>
          </cell>
          <cell r="PZX2" t="str">
            <v/>
          </cell>
          <cell r="PZY2" t="str">
            <v/>
          </cell>
          <cell r="PZZ2" t="str">
            <v/>
          </cell>
          <cell r="QAA2" t="str">
            <v/>
          </cell>
          <cell r="QAB2" t="str">
            <v/>
          </cell>
          <cell r="QAC2" t="str">
            <v/>
          </cell>
          <cell r="QAD2" t="str">
            <v/>
          </cell>
          <cell r="QAE2" t="str">
            <v/>
          </cell>
          <cell r="QAF2" t="str">
            <v/>
          </cell>
          <cell r="QAG2" t="str">
            <v/>
          </cell>
          <cell r="QAH2" t="str">
            <v/>
          </cell>
          <cell r="QAI2" t="str">
            <v/>
          </cell>
          <cell r="QAJ2" t="str">
            <v/>
          </cell>
          <cell r="QAK2" t="str">
            <v/>
          </cell>
          <cell r="QAL2" t="str">
            <v/>
          </cell>
          <cell r="QAM2" t="str">
            <v/>
          </cell>
          <cell r="QAN2" t="str">
            <v/>
          </cell>
          <cell r="QAO2" t="str">
            <v/>
          </cell>
          <cell r="QAP2" t="str">
            <v/>
          </cell>
          <cell r="QAQ2" t="str">
            <v/>
          </cell>
          <cell r="QAR2" t="str">
            <v/>
          </cell>
          <cell r="QAS2" t="str">
            <v/>
          </cell>
          <cell r="QAT2" t="str">
            <v/>
          </cell>
          <cell r="QAU2" t="str">
            <v/>
          </cell>
          <cell r="QAV2" t="str">
            <v/>
          </cell>
          <cell r="QAW2" t="str">
            <v/>
          </cell>
          <cell r="QAX2" t="str">
            <v/>
          </cell>
          <cell r="QAY2" t="str">
            <v/>
          </cell>
          <cell r="QAZ2" t="str">
            <v/>
          </cell>
          <cell r="QBA2" t="str">
            <v/>
          </cell>
          <cell r="QBB2" t="str">
            <v/>
          </cell>
          <cell r="QBC2" t="str">
            <v/>
          </cell>
          <cell r="QBD2" t="str">
            <v/>
          </cell>
          <cell r="QBE2" t="str">
            <v/>
          </cell>
          <cell r="QBF2" t="str">
            <v/>
          </cell>
          <cell r="QBG2" t="str">
            <v/>
          </cell>
          <cell r="QBH2" t="str">
            <v/>
          </cell>
          <cell r="QBI2" t="str">
            <v/>
          </cell>
          <cell r="QBJ2" t="str">
            <v/>
          </cell>
          <cell r="QBK2" t="str">
            <v/>
          </cell>
          <cell r="QBL2" t="str">
            <v/>
          </cell>
          <cell r="QBM2" t="str">
            <v/>
          </cell>
          <cell r="QBN2" t="str">
            <v/>
          </cell>
          <cell r="QBO2" t="str">
            <v/>
          </cell>
          <cell r="QBP2" t="str">
            <v/>
          </cell>
          <cell r="QBQ2" t="str">
            <v/>
          </cell>
          <cell r="QBR2" t="str">
            <v/>
          </cell>
          <cell r="QBS2" t="str">
            <v/>
          </cell>
          <cell r="QBT2" t="str">
            <v/>
          </cell>
          <cell r="QBU2" t="str">
            <v/>
          </cell>
          <cell r="QBV2" t="str">
            <v/>
          </cell>
          <cell r="QBW2" t="str">
            <v/>
          </cell>
          <cell r="QBX2" t="str">
            <v/>
          </cell>
          <cell r="QBY2" t="str">
            <v/>
          </cell>
          <cell r="QBZ2" t="str">
            <v/>
          </cell>
          <cell r="QCA2" t="str">
            <v/>
          </cell>
          <cell r="QCB2" t="str">
            <v/>
          </cell>
          <cell r="QCC2" t="str">
            <v/>
          </cell>
          <cell r="QCD2" t="str">
            <v/>
          </cell>
          <cell r="QCE2" t="str">
            <v/>
          </cell>
          <cell r="QCF2" t="str">
            <v/>
          </cell>
          <cell r="QCG2" t="str">
            <v/>
          </cell>
          <cell r="QCH2" t="str">
            <v/>
          </cell>
          <cell r="QCI2" t="str">
            <v/>
          </cell>
          <cell r="QCJ2" t="str">
            <v/>
          </cell>
          <cell r="QCK2" t="str">
            <v/>
          </cell>
          <cell r="QCL2" t="str">
            <v/>
          </cell>
          <cell r="QCM2" t="str">
            <v/>
          </cell>
          <cell r="QCN2" t="str">
            <v/>
          </cell>
          <cell r="QCO2" t="str">
            <v/>
          </cell>
          <cell r="QCP2" t="str">
            <v/>
          </cell>
          <cell r="QCQ2" t="str">
            <v/>
          </cell>
          <cell r="QCR2" t="str">
            <v/>
          </cell>
          <cell r="QCS2" t="str">
            <v/>
          </cell>
          <cell r="QCT2" t="str">
            <v/>
          </cell>
          <cell r="QCU2" t="str">
            <v/>
          </cell>
          <cell r="QCV2" t="str">
            <v/>
          </cell>
          <cell r="QCW2" t="str">
            <v/>
          </cell>
          <cell r="QCX2" t="str">
            <v/>
          </cell>
          <cell r="QCY2" t="str">
            <v/>
          </cell>
          <cell r="QCZ2" t="str">
            <v/>
          </cell>
          <cell r="QDA2" t="str">
            <v/>
          </cell>
          <cell r="QDB2" t="str">
            <v/>
          </cell>
          <cell r="QDC2" t="str">
            <v/>
          </cell>
          <cell r="QDD2" t="str">
            <v/>
          </cell>
          <cell r="QDE2" t="str">
            <v/>
          </cell>
          <cell r="QDF2" t="str">
            <v/>
          </cell>
          <cell r="QDG2" t="str">
            <v/>
          </cell>
          <cell r="QDH2" t="str">
            <v/>
          </cell>
          <cell r="QDI2" t="str">
            <v/>
          </cell>
          <cell r="QDJ2" t="str">
            <v/>
          </cell>
          <cell r="QDK2" t="str">
            <v/>
          </cell>
          <cell r="QDL2" t="str">
            <v/>
          </cell>
          <cell r="QDM2" t="str">
            <v/>
          </cell>
          <cell r="QDN2" t="str">
            <v/>
          </cell>
          <cell r="QDO2" t="str">
            <v/>
          </cell>
          <cell r="QDP2" t="str">
            <v/>
          </cell>
          <cell r="QDQ2" t="str">
            <v/>
          </cell>
          <cell r="QDR2" t="str">
            <v/>
          </cell>
          <cell r="QDS2" t="str">
            <v/>
          </cell>
          <cell r="QDT2" t="str">
            <v/>
          </cell>
          <cell r="QDU2" t="str">
            <v/>
          </cell>
          <cell r="QDV2" t="str">
            <v/>
          </cell>
          <cell r="QDW2" t="str">
            <v/>
          </cell>
          <cell r="QDX2" t="str">
            <v/>
          </cell>
          <cell r="QDY2" t="str">
            <v/>
          </cell>
          <cell r="QDZ2" t="str">
            <v/>
          </cell>
          <cell r="QEA2" t="str">
            <v/>
          </cell>
          <cell r="QEB2" t="str">
            <v/>
          </cell>
          <cell r="QEC2" t="str">
            <v/>
          </cell>
          <cell r="QED2" t="str">
            <v/>
          </cell>
          <cell r="QEE2" t="str">
            <v/>
          </cell>
          <cell r="QEF2" t="str">
            <v/>
          </cell>
          <cell r="QEG2" t="str">
            <v/>
          </cell>
          <cell r="QEH2" t="str">
            <v/>
          </cell>
          <cell r="QEI2" t="str">
            <v/>
          </cell>
          <cell r="QEJ2" t="str">
            <v/>
          </cell>
          <cell r="QEK2" t="str">
            <v/>
          </cell>
          <cell r="QEL2" t="str">
            <v/>
          </cell>
          <cell r="QEM2" t="str">
            <v/>
          </cell>
          <cell r="QEN2" t="str">
            <v/>
          </cell>
          <cell r="QEO2" t="str">
            <v/>
          </cell>
          <cell r="QEP2" t="str">
            <v/>
          </cell>
          <cell r="QEQ2" t="str">
            <v/>
          </cell>
          <cell r="QER2" t="str">
            <v/>
          </cell>
          <cell r="QES2" t="str">
            <v/>
          </cell>
          <cell r="QET2" t="str">
            <v/>
          </cell>
          <cell r="QEU2" t="str">
            <v/>
          </cell>
          <cell r="QEV2" t="str">
            <v/>
          </cell>
          <cell r="QEW2" t="str">
            <v/>
          </cell>
          <cell r="QEX2" t="str">
            <v/>
          </cell>
          <cell r="QEY2" t="str">
            <v/>
          </cell>
          <cell r="QEZ2" t="str">
            <v/>
          </cell>
          <cell r="QFA2" t="str">
            <v/>
          </cell>
          <cell r="QFB2" t="str">
            <v/>
          </cell>
          <cell r="QFC2" t="str">
            <v/>
          </cell>
          <cell r="QFD2" t="str">
            <v/>
          </cell>
          <cell r="QFE2" t="str">
            <v/>
          </cell>
          <cell r="QFF2" t="str">
            <v/>
          </cell>
          <cell r="QFG2" t="str">
            <v/>
          </cell>
          <cell r="QFH2" t="str">
            <v/>
          </cell>
          <cell r="QFI2" t="str">
            <v/>
          </cell>
          <cell r="QFJ2" t="str">
            <v/>
          </cell>
          <cell r="QFK2" t="str">
            <v/>
          </cell>
          <cell r="QFL2" t="str">
            <v/>
          </cell>
          <cell r="QFM2" t="str">
            <v/>
          </cell>
          <cell r="QFN2" t="str">
            <v/>
          </cell>
          <cell r="QFO2" t="str">
            <v/>
          </cell>
          <cell r="QFP2" t="str">
            <v/>
          </cell>
          <cell r="QFQ2" t="str">
            <v/>
          </cell>
          <cell r="QFR2" t="str">
            <v/>
          </cell>
          <cell r="QFS2" t="str">
            <v/>
          </cell>
          <cell r="QFT2" t="str">
            <v/>
          </cell>
          <cell r="QFU2" t="str">
            <v/>
          </cell>
          <cell r="QFV2" t="str">
            <v/>
          </cell>
          <cell r="QFW2" t="str">
            <v/>
          </cell>
          <cell r="QFX2" t="str">
            <v/>
          </cell>
          <cell r="QFY2" t="str">
            <v/>
          </cell>
          <cell r="QFZ2" t="str">
            <v/>
          </cell>
          <cell r="QGA2" t="str">
            <v/>
          </cell>
          <cell r="QGB2" t="str">
            <v/>
          </cell>
          <cell r="QGC2" t="str">
            <v/>
          </cell>
          <cell r="QGD2" t="str">
            <v/>
          </cell>
          <cell r="QGE2" t="str">
            <v/>
          </cell>
          <cell r="QGF2" t="str">
            <v/>
          </cell>
          <cell r="QGG2" t="str">
            <v/>
          </cell>
          <cell r="QGH2" t="str">
            <v/>
          </cell>
          <cell r="QGI2" t="str">
            <v/>
          </cell>
          <cell r="QGJ2" t="str">
            <v/>
          </cell>
          <cell r="QGK2" t="str">
            <v/>
          </cell>
          <cell r="QGL2" t="str">
            <v/>
          </cell>
          <cell r="QGM2" t="str">
            <v/>
          </cell>
          <cell r="QGN2" t="str">
            <v/>
          </cell>
          <cell r="QGO2" t="str">
            <v/>
          </cell>
          <cell r="QGP2" t="str">
            <v/>
          </cell>
          <cell r="QGQ2" t="str">
            <v/>
          </cell>
          <cell r="QGR2" t="str">
            <v/>
          </cell>
          <cell r="QGS2" t="str">
            <v/>
          </cell>
          <cell r="QGT2" t="str">
            <v/>
          </cell>
          <cell r="QGU2" t="str">
            <v/>
          </cell>
          <cell r="QGV2" t="str">
            <v/>
          </cell>
          <cell r="QGW2" t="str">
            <v/>
          </cell>
          <cell r="QGX2" t="str">
            <v/>
          </cell>
          <cell r="QGY2" t="str">
            <v/>
          </cell>
          <cell r="QGZ2" t="str">
            <v/>
          </cell>
          <cell r="QHA2" t="str">
            <v/>
          </cell>
          <cell r="QHB2" t="str">
            <v/>
          </cell>
          <cell r="QHC2" t="str">
            <v/>
          </cell>
          <cell r="QHD2" t="str">
            <v/>
          </cell>
          <cell r="QHE2" t="str">
            <v/>
          </cell>
          <cell r="QHF2" t="str">
            <v/>
          </cell>
          <cell r="QHG2" t="str">
            <v/>
          </cell>
          <cell r="QHH2" t="str">
            <v/>
          </cell>
          <cell r="QHI2" t="str">
            <v/>
          </cell>
          <cell r="QHJ2" t="str">
            <v/>
          </cell>
          <cell r="QHK2" t="str">
            <v/>
          </cell>
          <cell r="QHL2" t="str">
            <v/>
          </cell>
          <cell r="QHM2" t="str">
            <v/>
          </cell>
          <cell r="QHN2" t="str">
            <v/>
          </cell>
          <cell r="QHO2" t="str">
            <v/>
          </cell>
          <cell r="QHP2" t="str">
            <v/>
          </cell>
          <cell r="QHQ2" t="str">
            <v/>
          </cell>
          <cell r="QHR2" t="str">
            <v/>
          </cell>
          <cell r="QHS2" t="str">
            <v/>
          </cell>
          <cell r="QHT2" t="str">
            <v/>
          </cell>
          <cell r="QHU2" t="str">
            <v/>
          </cell>
          <cell r="QHV2" t="str">
            <v/>
          </cell>
          <cell r="QHW2" t="str">
            <v/>
          </cell>
          <cell r="QHX2" t="str">
            <v/>
          </cell>
          <cell r="QHY2" t="str">
            <v/>
          </cell>
          <cell r="QHZ2" t="str">
            <v/>
          </cell>
          <cell r="QIA2" t="str">
            <v/>
          </cell>
          <cell r="QIB2" t="str">
            <v/>
          </cell>
          <cell r="QIC2" t="str">
            <v/>
          </cell>
          <cell r="QID2" t="str">
            <v/>
          </cell>
          <cell r="QIE2" t="str">
            <v/>
          </cell>
          <cell r="QIF2" t="str">
            <v/>
          </cell>
          <cell r="QIG2" t="str">
            <v/>
          </cell>
          <cell r="QIH2" t="str">
            <v/>
          </cell>
          <cell r="QII2" t="str">
            <v/>
          </cell>
          <cell r="QIJ2" t="str">
            <v/>
          </cell>
          <cell r="QIK2" t="str">
            <v/>
          </cell>
          <cell r="QIL2" t="str">
            <v/>
          </cell>
          <cell r="QIM2" t="str">
            <v/>
          </cell>
          <cell r="QIN2" t="str">
            <v/>
          </cell>
          <cell r="QIO2" t="str">
            <v/>
          </cell>
          <cell r="QIP2" t="str">
            <v/>
          </cell>
          <cell r="QIQ2" t="str">
            <v/>
          </cell>
          <cell r="QIR2" t="str">
            <v/>
          </cell>
          <cell r="QIS2" t="str">
            <v/>
          </cell>
          <cell r="QIT2" t="str">
            <v/>
          </cell>
          <cell r="QIU2" t="str">
            <v/>
          </cell>
          <cell r="QIV2" t="str">
            <v/>
          </cell>
          <cell r="QIW2" t="str">
            <v/>
          </cell>
          <cell r="QIX2" t="str">
            <v/>
          </cell>
          <cell r="QIY2" t="str">
            <v/>
          </cell>
          <cell r="QIZ2" t="str">
            <v/>
          </cell>
          <cell r="QJA2" t="str">
            <v/>
          </cell>
          <cell r="QJB2" t="str">
            <v/>
          </cell>
          <cell r="QJC2" t="str">
            <v/>
          </cell>
          <cell r="QJD2" t="str">
            <v/>
          </cell>
          <cell r="QJE2" t="str">
            <v/>
          </cell>
          <cell r="QJF2" t="str">
            <v/>
          </cell>
          <cell r="QJG2" t="str">
            <v/>
          </cell>
          <cell r="QJH2" t="str">
            <v/>
          </cell>
          <cell r="QJI2" t="str">
            <v/>
          </cell>
          <cell r="QJJ2" t="str">
            <v/>
          </cell>
          <cell r="QJK2" t="str">
            <v/>
          </cell>
          <cell r="QJL2" t="str">
            <v/>
          </cell>
          <cell r="QJM2" t="str">
            <v/>
          </cell>
          <cell r="QJN2" t="str">
            <v/>
          </cell>
          <cell r="QJO2" t="str">
            <v/>
          </cell>
          <cell r="QJP2" t="str">
            <v/>
          </cell>
          <cell r="QJQ2" t="str">
            <v/>
          </cell>
          <cell r="QJR2" t="str">
            <v/>
          </cell>
          <cell r="QJS2" t="str">
            <v/>
          </cell>
          <cell r="QJT2" t="str">
            <v/>
          </cell>
          <cell r="QJU2" t="str">
            <v/>
          </cell>
          <cell r="QJV2" t="str">
            <v/>
          </cell>
          <cell r="QJW2" t="str">
            <v/>
          </cell>
          <cell r="QJX2" t="str">
            <v/>
          </cell>
          <cell r="QJY2" t="str">
            <v/>
          </cell>
          <cell r="QJZ2" t="str">
            <v/>
          </cell>
          <cell r="QKA2" t="str">
            <v/>
          </cell>
          <cell r="QKB2" t="str">
            <v/>
          </cell>
          <cell r="QKC2" t="str">
            <v/>
          </cell>
          <cell r="QKD2" t="str">
            <v/>
          </cell>
          <cell r="QKE2" t="str">
            <v/>
          </cell>
          <cell r="QKF2" t="str">
            <v/>
          </cell>
          <cell r="QKG2" t="str">
            <v/>
          </cell>
          <cell r="QKH2" t="str">
            <v/>
          </cell>
          <cell r="QKI2" t="str">
            <v/>
          </cell>
          <cell r="QKJ2" t="str">
            <v/>
          </cell>
          <cell r="QKK2" t="str">
            <v/>
          </cell>
          <cell r="QKL2" t="str">
            <v/>
          </cell>
          <cell r="QKM2" t="str">
            <v/>
          </cell>
          <cell r="QKN2" t="str">
            <v/>
          </cell>
          <cell r="QKO2" t="str">
            <v/>
          </cell>
          <cell r="QKP2" t="str">
            <v/>
          </cell>
          <cell r="QKQ2" t="str">
            <v/>
          </cell>
          <cell r="QKR2" t="str">
            <v/>
          </cell>
          <cell r="QKS2" t="str">
            <v/>
          </cell>
          <cell r="QKT2" t="str">
            <v/>
          </cell>
          <cell r="QKU2" t="str">
            <v/>
          </cell>
          <cell r="QKV2" t="str">
            <v/>
          </cell>
          <cell r="QKW2" t="str">
            <v/>
          </cell>
          <cell r="QKX2" t="str">
            <v/>
          </cell>
          <cell r="QKY2" t="str">
            <v/>
          </cell>
          <cell r="QKZ2" t="str">
            <v/>
          </cell>
          <cell r="QLA2" t="str">
            <v/>
          </cell>
          <cell r="QLB2" t="str">
            <v/>
          </cell>
          <cell r="QLC2" t="str">
            <v/>
          </cell>
          <cell r="QLD2" t="str">
            <v/>
          </cell>
          <cell r="QLE2" t="str">
            <v/>
          </cell>
          <cell r="QLF2" t="str">
            <v/>
          </cell>
          <cell r="QLG2" t="str">
            <v/>
          </cell>
          <cell r="QLH2" t="str">
            <v/>
          </cell>
          <cell r="QLI2" t="str">
            <v/>
          </cell>
          <cell r="QLJ2" t="str">
            <v/>
          </cell>
          <cell r="QLK2" t="str">
            <v/>
          </cell>
          <cell r="QLL2" t="str">
            <v/>
          </cell>
          <cell r="QLM2" t="str">
            <v/>
          </cell>
          <cell r="QLN2" t="str">
            <v/>
          </cell>
          <cell r="QLO2" t="str">
            <v/>
          </cell>
          <cell r="QLP2" t="str">
            <v/>
          </cell>
          <cell r="QLQ2" t="str">
            <v/>
          </cell>
          <cell r="QLR2" t="str">
            <v/>
          </cell>
          <cell r="QLS2" t="str">
            <v/>
          </cell>
          <cell r="QLT2" t="str">
            <v/>
          </cell>
          <cell r="QLU2" t="str">
            <v/>
          </cell>
          <cell r="QLV2" t="str">
            <v/>
          </cell>
          <cell r="QLW2" t="str">
            <v/>
          </cell>
          <cell r="QLX2" t="str">
            <v/>
          </cell>
          <cell r="QLY2" t="str">
            <v/>
          </cell>
          <cell r="QLZ2" t="str">
            <v/>
          </cell>
          <cell r="QMA2" t="str">
            <v/>
          </cell>
          <cell r="QMB2" t="str">
            <v/>
          </cell>
          <cell r="QMC2" t="str">
            <v/>
          </cell>
          <cell r="QMD2" t="str">
            <v/>
          </cell>
          <cell r="QME2" t="str">
            <v/>
          </cell>
          <cell r="QMF2" t="str">
            <v/>
          </cell>
          <cell r="QMG2" t="str">
            <v/>
          </cell>
          <cell r="QMH2" t="str">
            <v/>
          </cell>
          <cell r="QMI2" t="str">
            <v/>
          </cell>
          <cell r="QMJ2" t="str">
            <v/>
          </cell>
          <cell r="QMK2" t="str">
            <v/>
          </cell>
          <cell r="QML2" t="str">
            <v/>
          </cell>
          <cell r="QMM2" t="str">
            <v/>
          </cell>
          <cell r="QMN2" t="str">
            <v/>
          </cell>
          <cell r="QMO2" t="str">
            <v/>
          </cell>
          <cell r="QMP2" t="str">
            <v/>
          </cell>
          <cell r="QMQ2" t="str">
            <v/>
          </cell>
          <cell r="QMR2" t="str">
            <v/>
          </cell>
          <cell r="QMS2" t="str">
            <v/>
          </cell>
          <cell r="QMT2" t="str">
            <v/>
          </cell>
          <cell r="QMU2" t="str">
            <v/>
          </cell>
          <cell r="QMV2" t="str">
            <v/>
          </cell>
          <cell r="QMW2" t="str">
            <v/>
          </cell>
          <cell r="QMX2" t="str">
            <v/>
          </cell>
          <cell r="QMY2" t="str">
            <v/>
          </cell>
          <cell r="QMZ2" t="str">
            <v/>
          </cell>
          <cell r="QNA2" t="str">
            <v/>
          </cell>
          <cell r="QNB2" t="str">
            <v/>
          </cell>
          <cell r="QNC2" t="str">
            <v/>
          </cell>
          <cell r="QND2" t="str">
            <v/>
          </cell>
          <cell r="QNE2" t="str">
            <v/>
          </cell>
          <cell r="QNF2" t="str">
            <v/>
          </cell>
          <cell r="QNG2" t="str">
            <v/>
          </cell>
          <cell r="QNH2" t="str">
            <v/>
          </cell>
          <cell r="QNI2" t="str">
            <v/>
          </cell>
          <cell r="QNJ2" t="str">
            <v/>
          </cell>
          <cell r="QNK2" t="str">
            <v/>
          </cell>
          <cell r="QNL2" t="str">
            <v/>
          </cell>
          <cell r="QNM2" t="str">
            <v/>
          </cell>
          <cell r="QNN2" t="str">
            <v/>
          </cell>
          <cell r="QNO2" t="str">
            <v/>
          </cell>
          <cell r="QNP2" t="str">
            <v/>
          </cell>
          <cell r="QNQ2" t="str">
            <v/>
          </cell>
          <cell r="QNR2" t="str">
            <v/>
          </cell>
          <cell r="QNS2" t="str">
            <v/>
          </cell>
          <cell r="QNT2" t="str">
            <v/>
          </cell>
          <cell r="QNU2" t="str">
            <v/>
          </cell>
          <cell r="QNV2" t="str">
            <v/>
          </cell>
          <cell r="QNW2" t="str">
            <v/>
          </cell>
          <cell r="QNX2" t="str">
            <v/>
          </cell>
          <cell r="QNY2" t="str">
            <v/>
          </cell>
          <cell r="QNZ2" t="str">
            <v/>
          </cell>
          <cell r="QOA2" t="str">
            <v/>
          </cell>
          <cell r="QOB2" t="str">
            <v/>
          </cell>
          <cell r="QOC2" t="str">
            <v/>
          </cell>
          <cell r="QOD2" t="str">
            <v/>
          </cell>
          <cell r="QOE2" t="str">
            <v/>
          </cell>
          <cell r="QOF2" t="str">
            <v/>
          </cell>
          <cell r="QOG2" t="str">
            <v/>
          </cell>
          <cell r="QOH2" t="str">
            <v/>
          </cell>
          <cell r="QOI2" t="str">
            <v/>
          </cell>
          <cell r="QOJ2" t="str">
            <v/>
          </cell>
          <cell r="QOK2" t="str">
            <v/>
          </cell>
          <cell r="QOL2" t="str">
            <v/>
          </cell>
          <cell r="QOM2" t="str">
            <v/>
          </cell>
          <cell r="QON2" t="str">
            <v/>
          </cell>
          <cell r="QOO2" t="str">
            <v/>
          </cell>
          <cell r="QOP2" t="str">
            <v/>
          </cell>
          <cell r="QOQ2" t="str">
            <v/>
          </cell>
          <cell r="QOR2" t="str">
            <v/>
          </cell>
          <cell r="QOS2" t="str">
            <v/>
          </cell>
          <cell r="QOT2" t="str">
            <v/>
          </cell>
          <cell r="QOU2" t="str">
            <v/>
          </cell>
          <cell r="QOV2" t="str">
            <v/>
          </cell>
          <cell r="QOW2" t="str">
            <v/>
          </cell>
          <cell r="QOX2" t="str">
            <v/>
          </cell>
          <cell r="QOY2" t="str">
            <v/>
          </cell>
          <cell r="QOZ2" t="str">
            <v/>
          </cell>
          <cell r="QPA2" t="str">
            <v/>
          </cell>
          <cell r="QPB2" t="str">
            <v/>
          </cell>
          <cell r="QPC2" t="str">
            <v/>
          </cell>
          <cell r="QPD2" t="str">
            <v/>
          </cell>
          <cell r="QPE2" t="str">
            <v/>
          </cell>
          <cell r="QPF2" t="str">
            <v/>
          </cell>
          <cell r="QPG2" t="str">
            <v/>
          </cell>
          <cell r="QPH2" t="str">
            <v/>
          </cell>
          <cell r="QPI2" t="str">
            <v/>
          </cell>
          <cell r="QPJ2" t="str">
            <v/>
          </cell>
          <cell r="QPK2" t="str">
            <v/>
          </cell>
          <cell r="QPL2" t="str">
            <v/>
          </cell>
          <cell r="QPM2" t="str">
            <v/>
          </cell>
          <cell r="QPN2" t="str">
            <v/>
          </cell>
          <cell r="QPO2" t="str">
            <v/>
          </cell>
          <cell r="QPP2" t="str">
            <v/>
          </cell>
          <cell r="QPQ2" t="str">
            <v/>
          </cell>
          <cell r="QPR2" t="str">
            <v/>
          </cell>
          <cell r="QPS2" t="str">
            <v/>
          </cell>
          <cell r="QPT2" t="str">
            <v/>
          </cell>
          <cell r="QPU2" t="str">
            <v/>
          </cell>
          <cell r="QPV2" t="str">
            <v/>
          </cell>
          <cell r="QPW2" t="str">
            <v/>
          </cell>
          <cell r="QPX2" t="str">
            <v/>
          </cell>
          <cell r="QPY2" t="str">
            <v/>
          </cell>
          <cell r="QPZ2" t="str">
            <v/>
          </cell>
          <cell r="QQA2" t="str">
            <v/>
          </cell>
          <cell r="QQB2" t="str">
            <v/>
          </cell>
          <cell r="QQC2" t="str">
            <v/>
          </cell>
          <cell r="QQD2" t="str">
            <v/>
          </cell>
          <cell r="QQE2" t="str">
            <v/>
          </cell>
          <cell r="QQF2" t="str">
            <v/>
          </cell>
          <cell r="QQG2" t="str">
            <v/>
          </cell>
          <cell r="QQH2" t="str">
            <v/>
          </cell>
          <cell r="QQI2" t="str">
            <v/>
          </cell>
          <cell r="QQJ2" t="str">
            <v/>
          </cell>
          <cell r="QQK2" t="str">
            <v/>
          </cell>
          <cell r="QQL2" t="str">
            <v/>
          </cell>
          <cell r="QQM2" t="str">
            <v/>
          </cell>
          <cell r="QQN2" t="str">
            <v/>
          </cell>
          <cell r="QQO2" t="str">
            <v/>
          </cell>
          <cell r="QQP2" t="str">
            <v/>
          </cell>
          <cell r="QQQ2" t="str">
            <v/>
          </cell>
          <cell r="QQR2" t="str">
            <v/>
          </cell>
          <cell r="QQS2" t="str">
            <v/>
          </cell>
          <cell r="QQT2" t="str">
            <v/>
          </cell>
          <cell r="QQU2" t="str">
            <v/>
          </cell>
          <cell r="QQV2" t="str">
            <v/>
          </cell>
          <cell r="QQW2" t="str">
            <v/>
          </cell>
          <cell r="QQX2" t="str">
            <v/>
          </cell>
          <cell r="QQY2" t="str">
            <v/>
          </cell>
          <cell r="QQZ2" t="str">
            <v/>
          </cell>
          <cell r="QRA2" t="str">
            <v/>
          </cell>
          <cell r="QRB2" t="str">
            <v/>
          </cell>
          <cell r="QRC2" t="str">
            <v/>
          </cell>
          <cell r="QRD2" t="str">
            <v/>
          </cell>
          <cell r="QRE2" t="str">
            <v/>
          </cell>
          <cell r="QRF2" t="str">
            <v/>
          </cell>
          <cell r="QRG2" t="str">
            <v/>
          </cell>
          <cell r="QRH2" t="str">
            <v/>
          </cell>
          <cell r="QRI2" t="str">
            <v/>
          </cell>
          <cell r="QRJ2" t="str">
            <v/>
          </cell>
          <cell r="QRK2" t="str">
            <v/>
          </cell>
          <cell r="QRL2" t="str">
            <v/>
          </cell>
          <cell r="QRM2" t="str">
            <v/>
          </cell>
          <cell r="QRN2" t="str">
            <v/>
          </cell>
          <cell r="QRO2" t="str">
            <v/>
          </cell>
          <cell r="QRP2" t="str">
            <v/>
          </cell>
          <cell r="QRQ2" t="str">
            <v/>
          </cell>
          <cell r="QRR2" t="str">
            <v/>
          </cell>
          <cell r="QRS2" t="str">
            <v/>
          </cell>
          <cell r="QRT2" t="str">
            <v/>
          </cell>
          <cell r="QRU2" t="str">
            <v/>
          </cell>
          <cell r="QRV2" t="str">
            <v/>
          </cell>
          <cell r="QRW2" t="str">
            <v/>
          </cell>
          <cell r="QRX2" t="str">
            <v/>
          </cell>
          <cell r="QRY2" t="str">
            <v/>
          </cell>
          <cell r="QRZ2" t="str">
            <v/>
          </cell>
          <cell r="QSA2" t="str">
            <v/>
          </cell>
          <cell r="QSB2" t="str">
            <v/>
          </cell>
          <cell r="QSC2" t="str">
            <v/>
          </cell>
          <cell r="QSD2" t="str">
            <v/>
          </cell>
          <cell r="QSE2" t="str">
            <v/>
          </cell>
          <cell r="QSF2" t="str">
            <v/>
          </cell>
          <cell r="QSG2" t="str">
            <v/>
          </cell>
          <cell r="QSH2" t="str">
            <v/>
          </cell>
          <cell r="QSI2" t="str">
            <v/>
          </cell>
          <cell r="QSJ2" t="str">
            <v/>
          </cell>
          <cell r="QSK2" t="str">
            <v/>
          </cell>
          <cell r="QSL2" t="str">
            <v/>
          </cell>
          <cell r="QSM2" t="str">
            <v/>
          </cell>
          <cell r="QSN2" t="str">
            <v/>
          </cell>
          <cell r="QSO2" t="str">
            <v/>
          </cell>
          <cell r="QSP2" t="str">
            <v/>
          </cell>
          <cell r="QSQ2" t="str">
            <v/>
          </cell>
          <cell r="QSR2" t="str">
            <v/>
          </cell>
          <cell r="QSS2" t="str">
            <v/>
          </cell>
          <cell r="QST2" t="str">
            <v/>
          </cell>
          <cell r="QSU2" t="str">
            <v/>
          </cell>
          <cell r="QSV2" t="str">
            <v/>
          </cell>
          <cell r="QSW2" t="str">
            <v/>
          </cell>
          <cell r="QSX2" t="str">
            <v/>
          </cell>
          <cell r="QSY2" t="str">
            <v/>
          </cell>
          <cell r="QSZ2" t="str">
            <v/>
          </cell>
          <cell r="QTA2" t="str">
            <v/>
          </cell>
          <cell r="QTB2" t="str">
            <v/>
          </cell>
          <cell r="QTC2" t="str">
            <v/>
          </cell>
          <cell r="QTD2" t="str">
            <v/>
          </cell>
          <cell r="QTE2" t="str">
            <v/>
          </cell>
          <cell r="QTF2" t="str">
            <v/>
          </cell>
          <cell r="QTG2" t="str">
            <v/>
          </cell>
          <cell r="QTH2" t="str">
            <v/>
          </cell>
          <cell r="QTI2" t="str">
            <v/>
          </cell>
          <cell r="QTJ2" t="str">
            <v/>
          </cell>
          <cell r="QTK2" t="str">
            <v/>
          </cell>
          <cell r="QTL2" t="str">
            <v/>
          </cell>
          <cell r="QTM2" t="str">
            <v/>
          </cell>
          <cell r="QTN2" t="str">
            <v/>
          </cell>
          <cell r="QTO2" t="str">
            <v/>
          </cell>
          <cell r="QTP2" t="str">
            <v/>
          </cell>
          <cell r="QTQ2" t="str">
            <v/>
          </cell>
          <cell r="QTR2" t="str">
            <v/>
          </cell>
          <cell r="QTS2" t="str">
            <v/>
          </cell>
          <cell r="QTT2" t="str">
            <v/>
          </cell>
          <cell r="QTU2" t="str">
            <v/>
          </cell>
          <cell r="QTV2" t="str">
            <v/>
          </cell>
          <cell r="QTW2" t="str">
            <v/>
          </cell>
          <cell r="QTX2" t="str">
            <v/>
          </cell>
          <cell r="QTY2" t="str">
            <v/>
          </cell>
          <cell r="QTZ2" t="str">
            <v/>
          </cell>
          <cell r="QUA2" t="str">
            <v/>
          </cell>
          <cell r="QUB2" t="str">
            <v/>
          </cell>
          <cell r="QUC2" t="str">
            <v/>
          </cell>
          <cell r="QUD2" t="str">
            <v/>
          </cell>
          <cell r="QUE2" t="str">
            <v/>
          </cell>
          <cell r="QUF2" t="str">
            <v/>
          </cell>
          <cell r="QUG2" t="str">
            <v/>
          </cell>
          <cell r="QUH2" t="str">
            <v/>
          </cell>
          <cell r="QUI2" t="str">
            <v/>
          </cell>
          <cell r="QUJ2" t="str">
            <v/>
          </cell>
          <cell r="QUK2" t="str">
            <v/>
          </cell>
          <cell r="QUL2" t="str">
            <v/>
          </cell>
          <cell r="QUM2" t="str">
            <v/>
          </cell>
          <cell r="QUN2" t="str">
            <v/>
          </cell>
          <cell r="QUO2" t="str">
            <v/>
          </cell>
          <cell r="QUP2" t="str">
            <v/>
          </cell>
          <cell r="QUQ2" t="str">
            <v/>
          </cell>
          <cell r="QUR2" t="str">
            <v/>
          </cell>
          <cell r="QUS2" t="str">
            <v/>
          </cell>
          <cell r="QUT2" t="str">
            <v/>
          </cell>
          <cell r="QUU2" t="str">
            <v/>
          </cell>
          <cell r="QUV2" t="str">
            <v/>
          </cell>
          <cell r="QUW2" t="str">
            <v/>
          </cell>
          <cell r="QUX2" t="str">
            <v/>
          </cell>
          <cell r="QUY2" t="str">
            <v/>
          </cell>
          <cell r="QUZ2" t="str">
            <v/>
          </cell>
          <cell r="QVA2" t="str">
            <v/>
          </cell>
          <cell r="QVB2" t="str">
            <v/>
          </cell>
          <cell r="QVC2" t="str">
            <v/>
          </cell>
          <cell r="QVD2" t="str">
            <v/>
          </cell>
          <cell r="QVE2" t="str">
            <v/>
          </cell>
          <cell r="QVF2" t="str">
            <v/>
          </cell>
          <cell r="QVG2" t="str">
            <v/>
          </cell>
          <cell r="QVH2" t="str">
            <v/>
          </cell>
          <cell r="QVI2" t="str">
            <v/>
          </cell>
          <cell r="QVJ2" t="str">
            <v/>
          </cell>
          <cell r="QVK2" t="str">
            <v/>
          </cell>
          <cell r="QVL2" t="str">
            <v/>
          </cell>
          <cell r="QVM2" t="str">
            <v/>
          </cell>
          <cell r="QVN2" t="str">
            <v/>
          </cell>
          <cell r="QVO2" t="str">
            <v/>
          </cell>
          <cell r="QVP2" t="str">
            <v/>
          </cell>
          <cell r="QVQ2" t="str">
            <v/>
          </cell>
          <cell r="QVR2" t="str">
            <v/>
          </cell>
          <cell r="QVS2" t="str">
            <v/>
          </cell>
          <cell r="QVT2" t="str">
            <v/>
          </cell>
          <cell r="QVU2" t="str">
            <v/>
          </cell>
          <cell r="QVV2" t="str">
            <v/>
          </cell>
          <cell r="QVW2" t="str">
            <v/>
          </cell>
          <cell r="QVX2" t="str">
            <v/>
          </cell>
          <cell r="QVY2" t="str">
            <v/>
          </cell>
          <cell r="QVZ2" t="str">
            <v/>
          </cell>
          <cell r="QWA2" t="str">
            <v/>
          </cell>
          <cell r="QWB2" t="str">
            <v/>
          </cell>
          <cell r="QWC2" t="str">
            <v/>
          </cell>
          <cell r="QWD2" t="str">
            <v/>
          </cell>
          <cell r="QWE2" t="str">
            <v/>
          </cell>
          <cell r="QWF2" t="str">
            <v/>
          </cell>
          <cell r="QWG2" t="str">
            <v/>
          </cell>
          <cell r="QWH2" t="str">
            <v/>
          </cell>
          <cell r="QWI2" t="str">
            <v/>
          </cell>
          <cell r="QWJ2" t="str">
            <v/>
          </cell>
          <cell r="QWK2" t="str">
            <v/>
          </cell>
          <cell r="QWL2" t="str">
            <v/>
          </cell>
          <cell r="QWM2" t="str">
            <v/>
          </cell>
          <cell r="QWN2" t="str">
            <v/>
          </cell>
          <cell r="QWO2" t="str">
            <v/>
          </cell>
          <cell r="QWP2" t="str">
            <v/>
          </cell>
          <cell r="QWQ2" t="str">
            <v/>
          </cell>
          <cell r="QWR2" t="str">
            <v/>
          </cell>
          <cell r="QWS2" t="str">
            <v/>
          </cell>
          <cell r="QWT2" t="str">
            <v/>
          </cell>
          <cell r="QWU2" t="str">
            <v/>
          </cell>
          <cell r="QWV2" t="str">
            <v/>
          </cell>
          <cell r="QWW2" t="str">
            <v/>
          </cell>
          <cell r="QWX2" t="str">
            <v/>
          </cell>
          <cell r="QWY2" t="str">
            <v/>
          </cell>
          <cell r="QWZ2" t="str">
            <v/>
          </cell>
          <cell r="QXA2" t="str">
            <v/>
          </cell>
          <cell r="QXB2" t="str">
            <v/>
          </cell>
          <cell r="QXC2" t="str">
            <v/>
          </cell>
          <cell r="QXD2" t="str">
            <v/>
          </cell>
          <cell r="QXE2" t="str">
            <v/>
          </cell>
          <cell r="QXF2" t="str">
            <v/>
          </cell>
          <cell r="QXG2" t="str">
            <v/>
          </cell>
          <cell r="QXH2" t="str">
            <v/>
          </cell>
          <cell r="QXI2" t="str">
            <v/>
          </cell>
          <cell r="QXJ2" t="str">
            <v/>
          </cell>
          <cell r="QXK2" t="str">
            <v/>
          </cell>
          <cell r="QXL2" t="str">
            <v/>
          </cell>
          <cell r="QXM2" t="str">
            <v/>
          </cell>
          <cell r="QXN2" t="str">
            <v/>
          </cell>
          <cell r="QXO2" t="str">
            <v/>
          </cell>
          <cell r="QXP2" t="str">
            <v/>
          </cell>
          <cell r="QXQ2" t="str">
            <v/>
          </cell>
          <cell r="QXR2" t="str">
            <v/>
          </cell>
          <cell r="QXS2" t="str">
            <v/>
          </cell>
          <cell r="QXT2" t="str">
            <v/>
          </cell>
          <cell r="QXU2" t="str">
            <v/>
          </cell>
          <cell r="QXV2" t="str">
            <v/>
          </cell>
          <cell r="QXW2" t="str">
            <v/>
          </cell>
          <cell r="QXX2" t="str">
            <v/>
          </cell>
          <cell r="QXY2" t="str">
            <v/>
          </cell>
          <cell r="QXZ2" t="str">
            <v/>
          </cell>
          <cell r="QYA2" t="str">
            <v/>
          </cell>
          <cell r="QYB2" t="str">
            <v/>
          </cell>
          <cell r="QYC2" t="str">
            <v/>
          </cell>
          <cell r="QYD2" t="str">
            <v/>
          </cell>
          <cell r="QYE2" t="str">
            <v/>
          </cell>
          <cell r="QYF2" t="str">
            <v/>
          </cell>
          <cell r="QYG2" t="str">
            <v/>
          </cell>
          <cell r="QYH2" t="str">
            <v/>
          </cell>
          <cell r="QYI2" t="str">
            <v/>
          </cell>
          <cell r="QYJ2" t="str">
            <v/>
          </cell>
          <cell r="QYK2" t="str">
            <v/>
          </cell>
          <cell r="QYL2" t="str">
            <v/>
          </cell>
          <cell r="QYM2" t="str">
            <v/>
          </cell>
          <cell r="QYN2" t="str">
            <v/>
          </cell>
          <cell r="QYO2" t="str">
            <v/>
          </cell>
          <cell r="QYP2" t="str">
            <v/>
          </cell>
          <cell r="QYQ2" t="str">
            <v/>
          </cell>
          <cell r="QYR2" t="str">
            <v/>
          </cell>
          <cell r="QYS2" t="str">
            <v/>
          </cell>
          <cell r="QYT2" t="str">
            <v/>
          </cell>
          <cell r="QYU2" t="str">
            <v/>
          </cell>
          <cell r="QYV2" t="str">
            <v/>
          </cell>
          <cell r="QYW2" t="str">
            <v/>
          </cell>
          <cell r="QYX2" t="str">
            <v/>
          </cell>
          <cell r="QYY2" t="str">
            <v/>
          </cell>
          <cell r="QYZ2" t="str">
            <v/>
          </cell>
          <cell r="QZA2" t="str">
            <v/>
          </cell>
          <cell r="QZB2" t="str">
            <v/>
          </cell>
          <cell r="QZC2" t="str">
            <v/>
          </cell>
          <cell r="QZD2" t="str">
            <v/>
          </cell>
          <cell r="QZE2" t="str">
            <v/>
          </cell>
          <cell r="QZF2" t="str">
            <v/>
          </cell>
          <cell r="QZG2" t="str">
            <v/>
          </cell>
          <cell r="QZH2" t="str">
            <v/>
          </cell>
          <cell r="QZI2" t="str">
            <v/>
          </cell>
          <cell r="QZJ2" t="str">
            <v/>
          </cell>
          <cell r="QZK2" t="str">
            <v/>
          </cell>
          <cell r="QZL2" t="str">
            <v/>
          </cell>
          <cell r="QZM2" t="str">
            <v/>
          </cell>
          <cell r="QZN2" t="str">
            <v/>
          </cell>
          <cell r="QZO2" t="str">
            <v/>
          </cell>
          <cell r="QZP2" t="str">
            <v/>
          </cell>
          <cell r="QZQ2" t="str">
            <v/>
          </cell>
          <cell r="QZR2" t="str">
            <v/>
          </cell>
          <cell r="QZS2" t="str">
            <v/>
          </cell>
          <cell r="QZT2" t="str">
            <v/>
          </cell>
          <cell r="QZU2" t="str">
            <v/>
          </cell>
          <cell r="QZV2" t="str">
            <v/>
          </cell>
          <cell r="QZW2" t="str">
            <v/>
          </cell>
          <cell r="QZX2" t="str">
            <v/>
          </cell>
          <cell r="QZY2" t="str">
            <v/>
          </cell>
          <cell r="QZZ2" t="str">
            <v/>
          </cell>
          <cell r="RAA2" t="str">
            <v/>
          </cell>
          <cell r="RAB2" t="str">
            <v/>
          </cell>
          <cell r="RAC2" t="str">
            <v/>
          </cell>
          <cell r="RAD2" t="str">
            <v/>
          </cell>
          <cell r="RAE2" t="str">
            <v/>
          </cell>
          <cell r="RAF2" t="str">
            <v/>
          </cell>
          <cell r="RAG2" t="str">
            <v/>
          </cell>
          <cell r="RAH2" t="str">
            <v/>
          </cell>
          <cell r="RAI2" t="str">
            <v/>
          </cell>
          <cell r="RAJ2" t="str">
            <v/>
          </cell>
          <cell r="RAK2" t="str">
            <v/>
          </cell>
          <cell r="RAL2" t="str">
            <v/>
          </cell>
          <cell r="RAM2" t="str">
            <v/>
          </cell>
          <cell r="RAN2" t="str">
            <v/>
          </cell>
          <cell r="RAO2" t="str">
            <v/>
          </cell>
          <cell r="RAP2" t="str">
            <v/>
          </cell>
          <cell r="RAQ2" t="str">
            <v/>
          </cell>
          <cell r="RAR2" t="str">
            <v/>
          </cell>
          <cell r="RAS2" t="str">
            <v/>
          </cell>
          <cell r="RAT2" t="str">
            <v/>
          </cell>
          <cell r="RAU2" t="str">
            <v/>
          </cell>
          <cell r="RAV2" t="str">
            <v/>
          </cell>
          <cell r="RAW2" t="str">
            <v/>
          </cell>
          <cell r="RAX2" t="str">
            <v/>
          </cell>
          <cell r="RAY2" t="str">
            <v/>
          </cell>
          <cell r="RAZ2" t="str">
            <v/>
          </cell>
          <cell r="RBA2" t="str">
            <v/>
          </cell>
          <cell r="RBB2" t="str">
            <v/>
          </cell>
          <cell r="RBC2" t="str">
            <v/>
          </cell>
          <cell r="RBD2" t="str">
            <v/>
          </cell>
          <cell r="RBE2" t="str">
            <v/>
          </cell>
          <cell r="RBF2" t="str">
            <v/>
          </cell>
          <cell r="RBG2" t="str">
            <v/>
          </cell>
          <cell r="RBH2" t="str">
            <v/>
          </cell>
          <cell r="RBI2" t="str">
            <v/>
          </cell>
          <cell r="RBJ2" t="str">
            <v/>
          </cell>
          <cell r="RBK2" t="str">
            <v/>
          </cell>
          <cell r="RBL2" t="str">
            <v/>
          </cell>
          <cell r="RBM2" t="str">
            <v/>
          </cell>
          <cell r="RBN2" t="str">
            <v/>
          </cell>
          <cell r="RBO2" t="str">
            <v/>
          </cell>
          <cell r="RBP2" t="str">
            <v/>
          </cell>
          <cell r="RBQ2" t="str">
            <v/>
          </cell>
          <cell r="RBR2" t="str">
            <v/>
          </cell>
          <cell r="RBS2" t="str">
            <v/>
          </cell>
          <cell r="RBT2" t="str">
            <v/>
          </cell>
          <cell r="RBU2" t="str">
            <v/>
          </cell>
          <cell r="RBV2" t="str">
            <v/>
          </cell>
          <cell r="RBW2" t="str">
            <v/>
          </cell>
          <cell r="RBX2" t="str">
            <v/>
          </cell>
          <cell r="RBY2" t="str">
            <v/>
          </cell>
          <cell r="RBZ2" t="str">
            <v/>
          </cell>
          <cell r="RCA2" t="str">
            <v/>
          </cell>
          <cell r="RCB2" t="str">
            <v/>
          </cell>
          <cell r="RCC2" t="str">
            <v/>
          </cell>
          <cell r="RCD2" t="str">
            <v/>
          </cell>
          <cell r="RCE2" t="str">
            <v/>
          </cell>
          <cell r="RCF2" t="str">
            <v/>
          </cell>
          <cell r="RCG2" t="str">
            <v/>
          </cell>
          <cell r="RCH2" t="str">
            <v/>
          </cell>
          <cell r="RCI2" t="str">
            <v/>
          </cell>
          <cell r="RCJ2" t="str">
            <v/>
          </cell>
          <cell r="RCK2" t="str">
            <v/>
          </cell>
          <cell r="RCL2" t="str">
            <v/>
          </cell>
          <cell r="RCM2" t="str">
            <v/>
          </cell>
          <cell r="RCN2" t="str">
            <v/>
          </cell>
          <cell r="RCO2" t="str">
            <v/>
          </cell>
          <cell r="RCP2" t="str">
            <v/>
          </cell>
          <cell r="RCQ2" t="str">
            <v/>
          </cell>
          <cell r="RCR2" t="str">
            <v/>
          </cell>
          <cell r="RCS2" t="str">
            <v/>
          </cell>
          <cell r="RCT2" t="str">
            <v/>
          </cell>
          <cell r="RCU2" t="str">
            <v/>
          </cell>
          <cell r="RCV2" t="str">
            <v/>
          </cell>
          <cell r="RCW2" t="str">
            <v/>
          </cell>
          <cell r="RCX2" t="str">
            <v/>
          </cell>
          <cell r="RCY2" t="str">
            <v/>
          </cell>
          <cell r="RCZ2" t="str">
            <v/>
          </cell>
          <cell r="RDA2" t="str">
            <v/>
          </cell>
          <cell r="RDB2" t="str">
            <v/>
          </cell>
          <cell r="RDC2" t="str">
            <v/>
          </cell>
          <cell r="RDD2" t="str">
            <v/>
          </cell>
          <cell r="RDE2" t="str">
            <v/>
          </cell>
          <cell r="RDF2" t="str">
            <v/>
          </cell>
          <cell r="RDG2" t="str">
            <v/>
          </cell>
          <cell r="RDH2" t="str">
            <v/>
          </cell>
          <cell r="RDI2" t="str">
            <v/>
          </cell>
          <cell r="RDJ2" t="str">
            <v/>
          </cell>
          <cell r="RDK2" t="str">
            <v/>
          </cell>
          <cell r="RDL2" t="str">
            <v/>
          </cell>
          <cell r="RDM2" t="str">
            <v/>
          </cell>
          <cell r="RDN2" t="str">
            <v/>
          </cell>
          <cell r="RDO2" t="str">
            <v/>
          </cell>
          <cell r="RDP2" t="str">
            <v/>
          </cell>
          <cell r="RDQ2" t="str">
            <v/>
          </cell>
          <cell r="RDR2" t="str">
            <v/>
          </cell>
          <cell r="RDS2" t="str">
            <v/>
          </cell>
          <cell r="RDT2" t="str">
            <v/>
          </cell>
          <cell r="RDU2" t="str">
            <v/>
          </cell>
          <cell r="RDV2" t="str">
            <v/>
          </cell>
          <cell r="RDW2" t="str">
            <v/>
          </cell>
          <cell r="RDX2" t="str">
            <v/>
          </cell>
          <cell r="RDY2" t="str">
            <v/>
          </cell>
          <cell r="RDZ2" t="str">
            <v/>
          </cell>
          <cell r="REA2" t="str">
            <v/>
          </cell>
          <cell r="REB2" t="str">
            <v/>
          </cell>
          <cell r="REC2" t="str">
            <v/>
          </cell>
          <cell r="RED2" t="str">
            <v/>
          </cell>
          <cell r="REE2" t="str">
            <v/>
          </cell>
          <cell r="REF2" t="str">
            <v/>
          </cell>
          <cell r="REG2" t="str">
            <v/>
          </cell>
          <cell r="REH2" t="str">
            <v/>
          </cell>
          <cell r="REI2" t="str">
            <v/>
          </cell>
          <cell r="REJ2" t="str">
            <v/>
          </cell>
          <cell r="REK2" t="str">
            <v/>
          </cell>
          <cell r="REL2" t="str">
            <v/>
          </cell>
          <cell r="REM2" t="str">
            <v/>
          </cell>
          <cell r="REN2" t="str">
            <v/>
          </cell>
          <cell r="REO2" t="str">
            <v/>
          </cell>
          <cell r="REP2" t="str">
            <v/>
          </cell>
          <cell r="REQ2" t="str">
            <v/>
          </cell>
          <cell r="RER2" t="str">
            <v/>
          </cell>
          <cell r="RES2" t="str">
            <v/>
          </cell>
          <cell r="RET2" t="str">
            <v/>
          </cell>
          <cell r="REU2" t="str">
            <v/>
          </cell>
          <cell r="REV2" t="str">
            <v/>
          </cell>
          <cell r="REW2" t="str">
            <v/>
          </cell>
          <cell r="REX2" t="str">
            <v/>
          </cell>
          <cell r="REY2" t="str">
            <v/>
          </cell>
          <cell r="REZ2" t="str">
            <v/>
          </cell>
          <cell r="RFA2" t="str">
            <v/>
          </cell>
          <cell r="RFB2" t="str">
            <v/>
          </cell>
          <cell r="RFC2" t="str">
            <v/>
          </cell>
          <cell r="RFD2" t="str">
            <v/>
          </cell>
          <cell r="RFE2" t="str">
            <v/>
          </cell>
          <cell r="RFF2" t="str">
            <v/>
          </cell>
          <cell r="RFG2" t="str">
            <v/>
          </cell>
          <cell r="RFH2" t="str">
            <v/>
          </cell>
          <cell r="RFI2" t="str">
            <v/>
          </cell>
          <cell r="RFJ2" t="str">
            <v/>
          </cell>
          <cell r="RFK2" t="str">
            <v/>
          </cell>
          <cell r="RFL2" t="str">
            <v/>
          </cell>
          <cell r="RFM2" t="str">
            <v/>
          </cell>
          <cell r="RFN2" t="str">
            <v/>
          </cell>
          <cell r="RFO2" t="str">
            <v/>
          </cell>
          <cell r="RFP2" t="str">
            <v/>
          </cell>
          <cell r="RFQ2" t="str">
            <v/>
          </cell>
          <cell r="RFR2" t="str">
            <v/>
          </cell>
          <cell r="RFS2" t="str">
            <v/>
          </cell>
          <cell r="RFT2" t="str">
            <v/>
          </cell>
          <cell r="RFU2" t="str">
            <v/>
          </cell>
          <cell r="RFV2" t="str">
            <v/>
          </cell>
          <cell r="RFW2" t="str">
            <v/>
          </cell>
          <cell r="RFX2" t="str">
            <v/>
          </cell>
          <cell r="RFY2" t="str">
            <v/>
          </cell>
          <cell r="RFZ2" t="str">
            <v/>
          </cell>
          <cell r="RGA2" t="str">
            <v/>
          </cell>
          <cell r="RGB2" t="str">
            <v/>
          </cell>
          <cell r="RGC2" t="str">
            <v/>
          </cell>
          <cell r="RGD2" t="str">
            <v/>
          </cell>
          <cell r="RGE2" t="str">
            <v/>
          </cell>
          <cell r="RGF2" t="str">
            <v/>
          </cell>
          <cell r="RGG2" t="str">
            <v/>
          </cell>
          <cell r="RGH2" t="str">
            <v/>
          </cell>
          <cell r="RGI2" t="str">
            <v/>
          </cell>
          <cell r="RGJ2" t="str">
            <v/>
          </cell>
          <cell r="RGK2" t="str">
            <v/>
          </cell>
          <cell r="RGL2" t="str">
            <v/>
          </cell>
          <cell r="RGM2" t="str">
            <v/>
          </cell>
          <cell r="RGN2" t="str">
            <v/>
          </cell>
          <cell r="RGO2" t="str">
            <v/>
          </cell>
          <cell r="RGP2" t="str">
            <v/>
          </cell>
          <cell r="RGQ2" t="str">
            <v/>
          </cell>
          <cell r="RGR2" t="str">
            <v/>
          </cell>
          <cell r="RGS2" t="str">
            <v/>
          </cell>
          <cell r="RGT2" t="str">
            <v/>
          </cell>
          <cell r="RGU2" t="str">
            <v/>
          </cell>
          <cell r="RGV2" t="str">
            <v/>
          </cell>
          <cell r="RGW2" t="str">
            <v/>
          </cell>
          <cell r="RGX2" t="str">
            <v/>
          </cell>
          <cell r="RGY2" t="str">
            <v/>
          </cell>
          <cell r="RGZ2" t="str">
            <v/>
          </cell>
          <cell r="RHA2" t="str">
            <v/>
          </cell>
          <cell r="RHB2" t="str">
            <v/>
          </cell>
          <cell r="RHC2" t="str">
            <v/>
          </cell>
          <cell r="RHD2" t="str">
            <v/>
          </cell>
          <cell r="RHE2" t="str">
            <v/>
          </cell>
          <cell r="RHF2" t="str">
            <v/>
          </cell>
          <cell r="RHG2" t="str">
            <v/>
          </cell>
          <cell r="RHH2" t="str">
            <v/>
          </cell>
          <cell r="RHI2" t="str">
            <v/>
          </cell>
          <cell r="RHJ2" t="str">
            <v/>
          </cell>
          <cell r="RHK2" t="str">
            <v/>
          </cell>
          <cell r="RHL2" t="str">
            <v/>
          </cell>
          <cell r="RHM2" t="str">
            <v/>
          </cell>
          <cell r="RHN2" t="str">
            <v/>
          </cell>
          <cell r="RHO2" t="str">
            <v/>
          </cell>
          <cell r="RHP2" t="str">
            <v/>
          </cell>
          <cell r="RHQ2" t="str">
            <v/>
          </cell>
          <cell r="RHR2" t="str">
            <v/>
          </cell>
          <cell r="RHS2" t="str">
            <v/>
          </cell>
          <cell r="RHT2" t="str">
            <v/>
          </cell>
          <cell r="RHU2" t="str">
            <v/>
          </cell>
          <cell r="RHV2" t="str">
            <v/>
          </cell>
          <cell r="RHW2" t="str">
            <v/>
          </cell>
          <cell r="RHX2" t="str">
            <v/>
          </cell>
          <cell r="RHY2" t="str">
            <v/>
          </cell>
          <cell r="RHZ2" t="str">
            <v/>
          </cell>
          <cell r="RIA2" t="str">
            <v/>
          </cell>
          <cell r="RIB2" t="str">
            <v/>
          </cell>
          <cell r="RIC2" t="str">
            <v/>
          </cell>
          <cell r="RID2" t="str">
            <v/>
          </cell>
          <cell r="RIE2" t="str">
            <v/>
          </cell>
          <cell r="RIF2" t="str">
            <v/>
          </cell>
          <cell r="RIG2" t="str">
            <v/>
          </cell>
          <cell r="RIH2" t="str">
            <v/>
          </cell>
          <cell r="RII2" t="str">
            <v/>
          </cell>
          <cell r="RIJ2" t="str">
            <v/>
          </cell>
          <cell r="RIK2" t="str">
            <v/>
          </cell>
          <cell r="RIL2" t="str">
            <v/>
          </cell>
          <cell r="RIM2" t="str">
            <v/>
          </cell>
          <cell r="RIN2" t="str">
            <v/>
          </cell>
          <cell r="RIO2" t="str">
            <v/>
          </cell>
          <cell r="RIP2" t="str">
            <v/>
          </cell>
          <cell r="RIQ2" t="str">
            <v/>
          </cell>
          <cell r="RIR2" t="str">
            <v/>
          </cell>
          <cell r="RIS2" t="str">
            <v/>
          </cell>
          <cell r="RIT2" t="str">
            <v/>
          </cell>
          <cell r="RIU2" t="str">
            <v/>
          </cell>
          <cell r="RIV2" t="str">
            <v/>
          </cell>
          <cell r="RIW2" t="str">
            <v/>
          </cell>
          <cell r="RIX2" t="str">
            <v/>
          </cell>
          <cell r="RIY2" t="str">
            <v/>
          </cell>
          <cell r="RIZ2" t="str">
            <v/>
          </cell>
          <cell r="RJA2" t="str">
            <v/>
          </cell>
          <cell r="RJB2" t="str">
            <v/>
          </cell>
          <cell r="RJC2" t="str">
            <v/>
          </cell>
          <cell r="RJD2" t="str">
            <v/>
          </cell>
          <cell r="RJE2" t="str">
            <v/>
          </cell>
          <cell r="RJF2" t="str">
            <v/>
          </cell>
          <cell r="RJG2" t="str">
            <v/>
          </cell>
          <cell r="RJH2" t="str">
            <v/>
          </cell>
          <cell r="RJI2" t="str">
            <v/>
          </cell>
          <cell r="RJJ2" t="str">
            <v/>
          </cell>
          <cell r="RJK2" t="str">
            <v/>
          </cell>
          <cell r="RJL2" t="str">
            <v/>
          </cell>
          <cell r="RJM2" t="str">
            <v/>
          </cell>
          <cell r="RJN2" t="str">
            <v/>
          </cell>
          <cell r="RJO2" t="str">
            <v/>
          </cell>
          <cell r="RJP2" t="str">
            <v/>
          </cell>
          <cell r="RJQ2" t="str">
            <v/>
          </cell>
          <cell r="RJR2" t="str">
            <v/>
          </cell>
          <cell r="RJS2" t="str">
            <v/>
          </cell>
          <cell r="RJT2" t="str">
            <v/>
          </cell>
          <cell r="RJU2" t="str">
            <v/>
          </cell>
          <cell r="RJV2" t="str">
            <v/>
          </cell>
          <cell r="RJW2" t="str">
            <v/>
          </cell>
          <cell r="RJX2" t="str">
            <v/>
          </cell>
          <cell r="RJY2" t="str">
            <v/>
          </cell>
          <cell r="RJZ2" t="str">
            <v/>
          </cell>
          <cell r="RKA2" t="str">
            <v/>
          </cell>
          <cell r="RKB2" t="str">
            <v/>
          </cell>
          <cell r="RKC2" t="str">
            <v/>
          </cell>
          <cell r="RKD2" t="str">
            <v/>
          </cell>
          <cell r="RKE2" t="str">
            <v/>
          </cell>
          <cell r="RKF2" t="str">
            <v/>
          </cell>
          <cell r="RKG2" t="str">
            <v/>
          </cell>
          <cell r="RKH2" t="str">
            <v/>
          </cell>
          <cell r="RKI2" t="str">
            <v/>
          </cell>
          <cell r="RKJ2" t="str">
            <v/>
          </cell>
          <cell r="RKK2" t="str">
            <v/>
          </cell>
          <cell r="RKL2" t="str">
            <v/>
          </cell>
          <cell r="RKM2" t="str">
            <v/>
          </cell>
          <cell r="RKN2" t="str">
            <v/>
          </cell>
          <cell r="RKO2" t="str">
            <v/>
          </cell>
          <cell r="RKP2" t="str">
            <v/>
          </cell>
          <cell r="RKQ2" t="str">
            <v/>
          </cell>
          <cell r="RKR2" t="str">
            <v/>
          </cell>
          <cell r="RKS2" t="str">
            <v/>
          </cell>
          <cell r="RKT2" t="str">
            <v/>
          </cell>
          <cell r="RKU2" t="str">
            <v/>
          </cell>
          <cell r="RKV2" t="str">
            <v/>
          </cell>
          <cell r="RKW2" t="str">
            <v/>
          </cell>
          <cell r="RKX2" t="str">
            <v/>
          </cell>
          <cell r="RKY2" t="str">
            <v/>
          </cell>
          <cell r="RKZ2" t="str">
            <v/>
          </cell>
          <cell r="RLA2" t="str">
            <v/>
          </cell>
          <cell r="RLB2" t="str">
            <v/>
          </cell>
          <cell r="RLC2" t="str">
            <v/>
          </cell>
          <cell r="RLD2" t="str">
            <v/>
          </cell>
          <cell r="RLE2" t="str">
            <v/>
          </cell>
          <cell r="RLF2" t="str">
            <v/>
          </cell>
          <cell r="RLG2" t="str">
            <v/>
          </cell>
          <cell r="RLH2" t="str">
            <v/>
          </cell>
          <cell r="RLI2" t="str">
            <v/>
          </cell>
          <cell r="RLJ2" t="str">
            <v/>
          </cell>
          <cell r="RLK2" t="str">
            <v/>
          </cell>
          <cell r="RLL2" t="str">
            <v/>
          </cell>
          <cell r="RLM2" t="str">
            <v/>
          </cell>
          <cell r="RLN2" t="str">
            <v/>
          </cell>
          <cell r="RLO2" t="str">
            <v/>
          </cell>
          <cell r="RLP2" t="str">
            <v/>
          </cell>
          <cell r="RLQ2" t="str">
            <v/>
          </cell>
          <cell r="RLR2" t="str">
            <v/>
          </cell>
          <cell r="RLS2" t="str">
            <v/>
          </cell>
          <cell r="RLT2" t="str">
            <v/>
          </cell>
          <cell r="RLU2" t="str">
            <v/>
          </cell>
          <cell r="RLV2" t="str">
            <v/>
          </cell>
          <cell r="RLW2" t="str">
            <v/>
          </cell>
          <cell r="RLX2" t="str">
            <v/>
          </cell>
          <cell r="RLY2" t="str">
            <v/>
          </cell>
          <cell r="RLZ2" t="str">
            <v/>
          </cell>
          <cell r="RMA2" t="str">
            <v/>
          </cell>
          <cell r="RMB2" t="str">
            <v/>
          </cell>
          <cell r="RMC2" t="str">
            <v/>
          </cell>
          <cell r="RMD2" t="str">
            <v/>
          </cell>
          <cell r="RME2" t="str">
            <v/>
          </cell>
          <cell r="RMF2" t="str">
            <v/>
          </cell>
          <cell r="RMG2" t="str">
            <v/>
          </cell>
          <cell r="RMH2" t="str">
            <v/>
          </cell>
          <cell r="RMI2" t="str">
            <v/>
          </cell>
          <cell r="RMJ2" t="str">
            <v/>
          </cell>
          <cell r="RMK2" t="str">
            <v/>
          </cell>
          <cell r="RML2" t="str">
            <v/>
          </cell>
          <cell r="RMM2" t="str">
            <v/>
          </cell>
          <cell r="RMN2" t="str">
            <v/>
          </cell>
          <cell r="RMO2" t="str">
            <v/>
          </cell>
          <cell r="RMP2" t="str">
            <v/>
          </cell>
          <cell r="RMQ2" t="str">
            <v/>
          </cell>
          <cell r="RMR2" t="str">
            <v/>
          </cell>
          <cell r="RMS2" t="str">
            <v/>
          </cell>
          <cell r="RMT2" t="str">
            <v/>
          </cell>
          <cell r="RMU2" t="str">
            <v/>
          </cell>
          <cell r="RMV2" t="str">
            <v/>
          </cell>
          <cell r="RMW2" t="str">
            <v/>
          </cell>
          <cell r="RMX2" t="str">
            <v/>
          </cell>
          <cell r="RMY2" t="str">
            <v/>
          </cell>
          <cell r="RMZ2" t="str">
            <v/>
          </cell>
          <cell r="RNA2" t="str">
            <v/>
          </cell>
          <cell r="RNB2" t="str">
            <v/>
          </cell>
          <cell r="RNC2" t="str">
            <v/>
          </cell>
          <cell r="RND2" t="str">
            <v/>
          </cell>
          <cell r="RNE2" t="str">
            <v/>
          </cell>
          <cell r="RNF2" t="str">
            <v/>
          </cell>
          <cell r="RNG2" t="str">
            <v/>
          </cell>
          <cell r="RNH2" t="str">
            <v/>
          </cell>
          <cell r="RNI2" t="str">
            <v/>
          </cell>
          <cell r="RNJ2" t="str">
            <v/>
          </cell>
          <cell r="RNK2" t="str">
            <v/>
          </cell>
          <cell r="RNL2" t="str">
            <v/>
          </cell>
          <cell r="RNM2" t="str">
            <v/>
          </cell>
          <cell r="RNN2" t="str">
            <v/>
          </cell>
          <cell r="RNO2" t="str">
            <v/>
          </cell>
          <cell r="RNP2" t="str">
            <v/>
          </cell>
          <cell r="RNQ2" t="str">
            <v/>
          </cell>
          <cell r="RNR2" t="str">
            <v/>
          </cell>
          <cell r="RNS2" t="str">
            <v/>
          </cell>
          <cell r="RNT2" t="str">
            <v/>
          </cell>
          <cell r="RNU2" t="str">
            <v/>
          </cell>
          <cell r="RNV2" t="str">
            <v/>
          </cell>
          <cell r="RNW2" t="str">
            <v/>
          </cell>
          <cell r="RNX2" t="str">
            <v/>
          </cell>
          <cell r="RNY2" t="str">
            <v/>
          </cell>
          <cell r="RNZ2" t="str">
            <v/>
          </cell>
          <cell r="ROA2" t="str">
            <v/>
          </cell>
          <cell r="ROB2" t="str">
            <v/>
          </cell>
          <cell r="ROC2" t="str">
            <v/>
          </cell>
          <cell r="ROD2" t="str">
            <v/>
          </cell>
          <cell r="ROE2" t="str">
            <v/>
          </cell>
          <cell r="ROF2" t="str">
            <v/>
          </cell>
          <cell r="ROG2" t="str">
            <v/>
          </cell>
          <cell r="ROH2" t="str">
            <v/>
          </cell>
          <cell r="ROI2" t="str">
            <v/>
          </cell>
          <cell r="ROJ2" t="str">
            <v/>
          </cell>
          <cell r="ROK2" t="str">
            <v/>
          </cell>
          <cell r="ROL2" t="str">
            <v/>
          </cell>
          <cell r="ROM2" t="str">
            <v/>
          </cell>
          <cell r="RON2" t="str">
            <v/>
          </cell>
          <cell r="ROO2" t="str">
            <v/>
          </cell>
          <cell r="ROP2" t="str">
            <v/>
          </cell>
          <cell r="ROQ2" t="str">
            <v/>
          </cell>
          <cell r="ROR2" t="str">
            <v/>
          </cell>
          <cell r="ROS2" t="str">
            <v/>
          </cell>
          <cell r="ROT2" t="str">
            <v/>
          </cell>
          <cell r="ROU2" t="str">
            <v/>
          </cell>
          <cell r="ROV2" t="str">
            <v/>
          </cell>
          <cell r="ROW2" t="str">
            <v/>
          </cell>
          <cell r="ROX2" t="str">
            <v/>
          </cell>
          <cell r="ROY2" t="str">
            <v/>
          </cell>
          <cell r="ROZ2" t="str">
            <v/>
          </cell>
          <cell r="RPA2" t="str">
            <v/>
          </cell>
          <cell r="RPB2" t="str">
            <v/>
          </cell>
          <cell r="RPC2" t="str">
            <v/>
          </cell>
          <cell r="RPD2" t="str">
            <v/>
          </cell>
          <cell r="RPE2" t="str">
            <v/>
          </cell>
          <cell r="RPF2" t="str">
            <v/>
          </cell>
          <cell r="RPG2" t="str">
            <v/>
          </cell>
          <cell r="RPH2" t="str">
            <v/>
          </cell>
          <cell r="RPI2" t="str">
            <v/>
          </cell>
          <cell r="RPJ2" t="str">
            <v/>
          </cell>
          <cell r="RPK2" t="str">
            <v/>
          </cell>
          <cell r="RPL2" t="str">
            <v/>
          </cell>
          <cell r="RPM2" t="str">
            <v/>
          </cell>
          <cell r="RPN2" t="str">
            <v/>
          </cell>
          <cell r="RPO2" t="str">
            <v/>
          </cell>
          <cell r="RPP2" t="str">
            <v/>
          </cell>
          <cell r="RPQ2" t="str">
            <v/>
          </cell>
          <cell r="RPR2" t="str">
            <v/>
          </cell>
          <cell r="RPS2" t="str">
            <v/>
          </cell>
          <cell r="RPT2" t="str">
            <v/>
          </cell>
          <cell r="RPU2" t="str">
            <v/>
          </cell>
          <cell r="RPV2" t="str">
            <v/>
          </cell>
          <cell r="RPW2" t="str">
            <v/>
          </cell>
          <cell r="RPX2" t="str">
            <v/>
          </cell>
          <cell r="RPY2" t="str">
            <v/>
          </cell>
          <cell r="RPZ2" t="str">
            <v/>
          </cell>
          <cell r="RQA2" t="str">
            <v/>
          </cell>
          <cell r="RQB2" t="str">
            <v/>
          </cell>
          <cell r="RQC2" t="str">
            <v/>
          </cell>
          <cell r="RQD2" t="str">
            <v/>
          </cell>
          <cell r="RQE2" t="str">
            <v/>
          </cell>
          <cell r="RQF2" t="str">
            <v/>
          </cell>
          <cell r="RQG2" t="str">
            <v/>
          </cell>
          <cell r="RQH2" t="str">
            <v/>
          </cell>
          <cell r="RQI2" t="str">
            <v/>
          </cell>
          <cell r="RQJ2" t="str">
            <v/>
          </cell>
          <cell r="RQK2" t="str">
            <v/>
          </cell>
          <cell r="RQL2" t="str">
            <v/>
          </cell>
          <cell r="RQM2" t="str">
            <v/>
          </cell>
          <cell r="RQN2" t="str">
            <v/>
          </cell>
          <cell r="RQO2" t="str">
            <v/>
          </cell>
          <cell r="RQP2" t="str">
            <v/>
          </cell>
          <cell r="RQQ2" t="str">
            <v/>
          </cell>
          <cell r="RQR2" t="str">
            <v/>
          </cell>
          <cell r="RQS2" t="str">
            <v/>
          </cell>
          <cell r="RQT2" t="str">
            <v/>
          </cell>
          <cell r="RQU2" t="str">
            <v/>
          </cell>
          <cell r="RQV2" t="str">
            <v/>
          </cell>
          <cell r="RQW2" t="str">
            <v/>
          </cell>
          <cell r="RQX2" t="str">
            <v/>
          </cell>
          <cell r="RQY2" t="str">
            <v/>
          </cell>
          <cell r="RQZ2" t="str">
            <v/>
          </cell>
          <cell r="RRA2" t="str">
            <v/>
          </cell>
          <cell r="RRB2" t="str">
            <v/>
          </cell>
          <cell r="RRC2" t="str">
            <v/>
          </cell>
          <cell r="RRD2" t="str">
            <v/>
          </cell>
          <cell r="RRE2" t="str">
            <v/>
          </cell>
          <cell r="RRF2" t="str">
            <v/>
          </cell>
          <cell r="RRG2" t="str">
            <v/>
          </cell>
          <cell r="RRH2" t="str">
            <v/>
          </cell>
          <cell r="RRI2" t="str">
            <v/>
          </cell>
          <cell r="RRJ2" t="str">
            <v/>
          </cell>
          <cell r="RRK2" t="str">
            <v/>
          </cell>
          <cell r="RRL2" t="str">
            <v/>
          </cell>
          <cell r="RRM2" t="str">
            <v/>
          </cell>
          <cell r="RRN2" t="str">
            <v/>
          </cell>
          <cell r="RRO2" t="str">
            <v/>
          </cell>
          <cell r="RRP2" t="str">
            <v/>
          </cell>
          <cell r="RRQ2" t="str">
            <v/>
          </cell>
          <cell r="RRR2" t="str">
            <v/>
          </cell>
          <cell r="RRS2" t="str">
            <v/>
          </cell>
          <cell r="RRT2" t="str">
            <v/>
          </cell>
          <cell r="RRU2" t="str">
            <v/>
          </cell>
          <cell r="RRV2" t="str">
            <v/>
          </cell>
          <cell r="RRW2" t="str">
            <v/>
          </cell>
          <cell r="RRX2" t="str">
            <v/>
          </cell>
          <cell r="RRY2" t="str">
            <v/>
          </cell>
          <cell r="RRZ2" t="str">
            <v/>
          </cell>
          <cell r="RSA2" t="str">
            <v/>
          </cell>
          <cell r="RSB2" t="str">
            <v/>
          </cell>
          <cell r="RSC2" t="str">
            <v/>
          </cell>
          <cell r="RSD2" t="str">
            <v/>
          </cell>
          <cell r="RSE2" t="str">
            <v/>
          </cell>
          <cell r="RSF2" t="str">
            <v/>
          </cell>
          <cell r="RSG2" t="str">
            <v/>
          </cell>
          <cell r="RSH2" t="str">
            <v/>
          </cell>
          <cell r="RSI2" t="str">
            <v/>
          </cell>
          <cell r="RSJ2" t="str">
            <v/>
          </cell>
          <cell r="RSK2" t="str">
            <v/>
          </cell>
          <cell r="RSL2" t="str">
            <v/>
          </cell>
          <cell r="RSM2" t="str">
            <v/>
          </cell>
          <cell r="RSN2" t="str">
            <v/>
          </cell>
          <cell r="RSO2" t="str">
            <v/>
          </cell>
          <cell r="RSP2" t="str">
            <v/>
          </cell>
          <cell r="RSQ2" t="str">
            <v/>
          </cell>
          <cell r="RSR2" t="str">
            <v/>
          </cell>
          <cell r="RSS2" t="str">
            <v/>
          </cell>
          <cell r="RST2" t="str">
            <v/>
          </cell>
          <cell r="RSU2" t="str">
            <v/>
          </cell>
          <cell r="RSV2" t="str">
            <v/>
          </cell>
          <cell r="RSW2" t="str">
            <v/>
          </cell>
          <cell r="RSX2" t="str">
            <v/>
          </cell>
          <cell r="RSY2" t="str">
            <v/>
          </cell>
          <cell r="RSZ2" t="str">
            <v/>
          </cell>
          <cell r="RTA2" t="str">
            <v/>
          </cell>
          <cell r="RTB2" t="str">
            <v/>
          </cell>
          <cell r="RTC2" t="str">
            <v/>
          </cell>
          <cell r="RTD2" t="str">
            <v/>
          </cell>
          <cell r="RTE2" t="str">
            <v/>
          </cell>
          <cell r="RTF2" t="str">
            <v/>
          </cell>
          <cell r="RTG2" t="str">
            <v/>
          </cell>
          <cell r="RTH2" t="str">
            <v/>
          </cell>
          <cell r="RTI2" t="str">
            <v/>
          </cell>
          <cell r="RTJ2" t="str">
            <v/>
          </cell>
          <cell r="RTK2" t="str">
            <v/>
          </cell>
          <cell r="RTL2" t="str">
            <v/>
          </cell>
          <cell r="RTM2" t="str">
            <v/>
          </cell>
          <cell r="RTN2" t="str">
            <v/>
          </cell>
          <cell r="RTO2" t="str">
            <v/>
          </cell>
          <cell r="RTP2" t="str">
            <v/>
          </cell>
          <cell r="RTQ2" t="str">
            <v/>
          </cell>
          <cell r="RTR2" t="str">
            <v/>
          </cell>
          <cell r="RTS2" t="str">
            <v/>
          </cell>
          <cell r="RTT2" t="str">
            <v/>
          </cell>
          <cell r="RTU2" t="str">
            <v/>
          </cell>
          <cell r="RTV2" t="str">
            <v/>
          </cell>
          <cell r="RTW2" t="str">
            <v/>
          </cell>
          <cell r="RTX2" t="str">
            <v/>
          </cell>
          <cell r="RTY2" t="str">
            <v/>
          </cell>
          <cell r="RTZ2" t="str">
            <v/>
          </cell>
          <cell r="RUA2" t="str">
            <v/>
          </cell>
          <cell r="RUB2" t="str">
            <v/>
          </cell>
          <cell r="RUC2" t="str">
            <v/>
          </cell>
          <cell r="RUD2" t="str">
            <v/>
          </cell>
          <cell r="RUE2" t="str">
            <v/>
          </cell>
          <cell r="RUF2" t="str">
            <v/>
          </cell>
          <cell r="RUG2" t="str">
            <v/>
          </cell>
          <cell r="RUH2" t="str">
            <v/>
          </cell>
          <cell r="RUI2" t="str">
            <v/>
          </cell>
          <cell r="RUJ2" t="str">
            <v/>
          </cell>
          <cell r="RUK2" t="str">
            <v/>
          </cell>
          <cell r="RUL2" t="str">
            <v/>
          </cell>
          <cell r="RUM2" t="str">
            <v/>
          </cell>
          <cell r="RUN2" t="str">
            <v/>
          </cell>
          <cell r="RUO2" t="str">
            <v/>
          </cell>
          <cell r="RUP2" t="str">
            <v/>
          </cell>
          <cell r="RUQ2" t="str">
            <v/>
          </cell>
          <cell r="RUR2" t="str">
            <v/>
          </cell>
          <cell r="RUS2" t="str">
            <v/>
          </cell>
          <cell r="RUT2" t="str">
            <v/>
          </cell>
          <cell r="RUU2" t="str">
            <v/>
          </cell>
          <cell r="RUV2" t="str">
            <v/>
          </cell>
          <cell r="RUW2" t="str">
            <v/>
          </cell>
          <cell r="RUX2" t="str">
            <v/>
          </cell>
          <cell r="RUY2" t="str">
            <v/>
          </cell>
          <cell r="RUZ2" t="str">
            <v/>
          </cell>
          <cell r="RVA2" t="str">
            <v/>
          </cell>
          <cell r="RVB2" t="str">
            <v/>
          </cell>
          <cell r="RVC2" t="str">
            <v/>
          </cell>
          <cell r="RVD2" t="str">
            <v/>
          </cell>
          <cell r="RVE2" t="str">
            <v/>
          </cell>
          <cell r="RVF2" t="str">
            <v/>
          </cell>
          <cell r="RVG2" t="str">
            <v/>
          </cell>
          <cell r="RVH2" t="str">
            <v/>
          </cell>
          <cell r="RVI2" t="str">
            <v/>
          </cell>
          <cell r="RVJ2" t="str">
            <v/>
          </cell>
          <cell r="RVK2" t="str">
            <v/>
          </cell>
          <cell r="RVL2" t="str">
            <v/>
          </cell>
          <cell r="RVM2" t="str">
            <v/>
          </cell>
          <cell r="RVN2" t="str">
            <v/>
          </cell>
          <cell r="RVO2" t="str">
            <v/>
          </cell>
          <cell r="RVP2" t="str">
            <v/>
          </cell>
          <cell r="RVQ2" t="str">
            <v/>
          </cell>
          <cell r="RVR2" t="str">
            <v/>
          </cell>
          <cell r="RVS2" t="str">
            <v/>
          </cell>
          <cell r="RVT2" t="str">
            <v/>
          </cell>
          <cell r="RVU2" t="str">
            <v/>
          </cell>
          <cell r="RVV2" t="str">
            <v/>
          </cell>
          <cell r="RVW2" t="str">
            <v/>
          </cell>
          <cell r="RVX2" t="str">
            <v/>
          </cell>
          <cell r="RVY2" t="str">
            <v/>
          </cell>
          <cell r="RVZ2" t="str">
            <v/>
          </cell>
          <cell r="RWA2" t="str">
            <v/>
          </cell>
          <cell r="RWB2" t="str">
            <v/>
          </cell>
          <cell r="RWC2" t="str">
            <v/>
          </cell>
          <cell r="RWD2" t="str">
            <v/>
          </cell>
          <cell r="RWE2" t="str">
            <v/>
          </cell>
          <cell r="RWF2" t="str">
            <v/>
          </cell>
          <cell r="RWG2" t="str">
            <v/>
          </cell>
          <cell r="RWH2" t="str">
            <v/>
          </cell>
          <cell r="RWI2" t="str">
            <v/>
          </cell>
          <cell r="RWJ2" t="str">
            <v/>
          </cell>
          <cell r="RWK2" t="str">
            <v/>
          </cell>
          <cell r="RWL2" t="str">
            <v/>
          </cell>
          <cell r="RWM2" t="str">
            <v/>
          </cell>
          <cell r="RWN2" t="str">
            <v/>
          </cell>
          <cell r="RWO2" t="str">
            <v/>
          </cell>
          <cell r="RWP2" t="str">
            <v/>
          </cell>
          <cell r="RWQ2" t="str">
            <v/>
          </cell>
          <cell r="RWR2" t="str">
            <v/>
          </cell>
          <cell r="RWS2" t="str">
            <v/>
          </cell>
          <cell r="RWT2" t="str">
            <v/>
          </cell>
          <cell r="RWU2" t="str">
            <v/>
          </cell>
          <cell r="RWV2" t="str">
            <v/>
          </cell>
          <cell r="RWW2" t="str">
            <v/>
          </cell>
          <cell r="RWX2" t="str">
            <v/>
          </cell>
          <cell r="RWY2" t="str">
            <v/>
          </cell>
          <cell r="RWZ2" t="str">
            <v/>
          </cell>
          <cell r="RXA2" t="str">
            <v/>
          </cell>
          <cell r="RXB2" t="str">
            <v/>
          </cell>
          <cell r="RXC2" t="str">
            <v/>
          </cell>
          <cell r="RXD2" t="str">
            <v/>
          </cell>
          <cell r="RXE2" t="str">
            <v/>
          </cell>
          <cell r="RXF2" t="str">
            <v/>
          </cell>
          <cell r="RXG2" t="str">
            <v/>
          </cell>
          <cell r="RXH2" t="str">
            <v/>
          </cell>
          <cell r="RXI2" t="str">
            <v/>
          </cell>
          <cell r="RXJ2" t="str">
            <v/>
          </cell>
          <cell r="RXK2" t="str">
            <v/>
          </cell>
          <cell r="RXL2" t="str">
            <v/>
          </cell>
          <cell r="RXM2" t="str">
            <v/>
          </cell>
          <cell r="RXN2" t="str">
            <v/>
          </cell>
          <cell r="RXO2" t="str">
            <v/>
          </cell>
          <cell r="RXP2" t="str">
            <v/>
          </cell>
          <cell r="RXQ2" t="str">
            <v/>
          </cell>
          <cell r="RXR2" t="str">
            <v/>
          </cell>
          <cell r="RXS2" t="str">
            <v/>
          </cell>
          <cell r="RXT2" t="str">
            <v/>
          </cell>
          <cell r="RXU2" t="str">
            <v/>
          </cell>
          <cell r="RXV2" t="str">
            <v/>
          </cell>
          <cell r="RXW2" t="str">
            <v/>
          </cell>
          <cell r="RXX2" t="str">
            <v/>
          </cell>
          <cell r="RXY2" t="str">
            <v/>
          </cell>
          <cell r="RXZ2" t="str">
            <v/>
          </cell>
          <cell r="RYA2" t="str">
            <v/>
          </cell>
          <cell r="RYB2" t="str">
            <v/>
          </cell>
          <cell r="RYC2" t="str">
            <v/>
          </cell>
          <cell r="RYD2" t="str">
            <v/>
          </cell>
          <cell r="RYE2" t="str">
            <v/>
          </cell>
          <cell r="RYF2" t="str">
            <v/>
          </cell>
          <cell r="RYG2" t="str">
            <v/>
          </cell>
          <cell r="RYH2" t="str">
            <v/>
          </cell>
          <cell r="RYI2" t="str">
            <v/>
          </cell>
          <cell r="RYJ2" t="str">
            <v/>
          </cell>
          <cell r="RYK2" t="str">
            <v/>
          </cell>
          <cell r="RYL2" t="str">
            <v/>
          </cell>
          <cell r="RYM2" t="str">
            <v/>
          </cell>
          <cell r="RYN2" t="str">
            <v/>
          </cell>
          <cell r="RYO2" t="str">
            <v/>
          </cell>
          <cell r="RYP2" t="str">
            <v/>
          </cell>
          <cell r="RYQ2" t="str">
            <v/>
          </cell>
          <cell r="RYR2" t="str">
            <v/>
          </cell>
          <cell r="RYS2" t="str">
            <v/>
          </cell>
          <cell r="RYT2" t="str">
            <v/>
          </cell>
          <cell r="RYU2" t="str">
            <v/>
          </cell>
          <cell r="RYV2" t="str">
            <v/>
          </cell>
          <cell r="RYW2" t="str">
            <v/>
          </cell>
          <cell r="RYX2" t="str">
            <v/>
          </cell>
          <cell r="RYY2" t="str">
            <v/>
          </cell>
          <cell r="RYZ2" t="str">
            <v/>
          </cell>
          <cell r="RZA2" t="str">
            <v/>
          </cell>
          <cell r="RZB2" t="str">
            <v/>
          </cell>
          <cell r="RZC2" t="str">
            <v/>
          </cell>
          <cell r="RZD2" t="str">
            <v/>
          </cell>
          <cell r="RZE2" t="str">
            <v/>
          </cell>
          <cell r="RZF2" t="str">
            <v/>
          </cell>
          <cell r="RZG2" t="str">
            <v/>
          </cell>
          <cell r="RZH2" t="str">
            <v/>
          </cell>
          <cell r="RZI2" t="str">
            <v/>
          </cell>
          <cell r="RZJ2" t="str">
            <v/>
          </cell>
          <cell r="RZK2" t="str">
            <v/>
          </cell>
          <cell r="RZL2" t="str">
            <v/>
          </cell>
          <cell r="RZM2" t="str">
            <v/>
          </cell>
          <cell r="RZN2" t="str">
            <v/>
          </cell>
          <cell r="RZO2" t="str">
            <v/>
          </cell>
          <cell r="RZP2" t="str">
            <v/>
          </cell>
          <cell r="RZQ2" t="str">
            <v/>
          </cell>
          <cell r="RZR2" t="str">
            <v/>
          </cell>
          <cell r="RZS2" t="str">
            <v/>
          </cell>
          <cell r="RZT2" t="str">
            <v/>
          </cell>
          <cell r="RZU2" t="str">
            <v/>
          </cell>
          <cell r="RZV2" t="str">
            <v/>
          </cell>
          <cell r="RZW2" t="str">
            <v/>
          </cell>
          <cell r="RZX2" t="str">
            <v/>
          </cell>
          <cell r="RZY2" t="str">
            <v/>
          </cell>
          <cell r="RZZ2" t="str">
            <v/>
          </cell>
          <cell r="SAA2" t="str">
            <v/>
          </cell>
          <cell r="SAB2" t="str">
            <v/>
          </cell>
          <cell r="SAC2" t="str">
            <v/>
          </cell>
          <cell r="SAD2" t="str">
            <v/>
          </cell>
          <cell r="SAE2" t="str">
            <v/>
          </cell>
          <cell r="SAF2" t="str">
            <v/>
          </cell>
          <cell r="SAG2" t="str">
            <v/>
          </cell>
          <cell r="SAH2" t="str">
            <v/>
          </cell>
          <cell r="SAI2" t="str">
            <v/>
          </cell>
          <cell r="SAJ2" t="str">
            <v/>
          </cell>
          <cell r="SAK2" t="str">
            <v/>
          </cell>
          <cell r="SAL2" t="str">
            <v/>
          </cell>
          <cell r="SAM2" t="str">
            <v/>
          </cell>
          <cell r="SAN2" t="str">
            <v/>
          </cell>
          <cell r="SAO2" t="str">
            <v/>
          </cell>
          <cell r="SAP2" t="str">
            <v/>
          </cell>
          <cell r="SAQ2" t="str">
            <v/>
          </cell>
          <cell r="SAR2" t="str">
            <v/>
          </cell>
          <cell r="SAS2" t="str">
            <v/>
          </cell>
          <cell r="SAT2" t="str">
            <v/>
          </cell>
          <cell r="SAU2" t="str">
            <v/>
          </cell>
          <cell r="SAV2" t="str">
            <v/>
          </cell>
          <cell r="SAW2" t="str">
            <v/>
          </cell>
          <cell r="SAX2" t="str">
            <v/>
          </cell>
          <cell r="SAY2" t="str">
            <v/>
          </cell>
          <cell r="SAZ2" t="str">
            <v/>
          </cell>
          <cell r="SBA2" t="str">
            <v/>
          </cell>
          <cell r="SBB2" t="str">
            <v/>
          </cell>
          <cell r="SBC2" t="str">
            <v/>
          </cell>
          <cell r="SBD2" t="str">
            <v/>
          </cell>
          <cell r="SBE2" t="str">
            <v/>
          </cell>
          <cell r="SBF2" t="str">
            <v/>
          </cell>
          <cell r="SBG2" t="str">
            <v/>
          </cell>
          <cell r="SBH2" t="str">
            <v/>
          </cell>
          <cell r="SBI2" t="str">
            <v/>
          </cell>
          <cell r="SBJ2" t="str">
            <v/>
          </cell>
          <cell r="SBK2" t="str">
            <v/>
          </cell>
          <cell r="SBL2" t="str">
            <v/>
          </cell>
          <cell r="SBM2" t="str">
            <v/>
          </cell>
          <cell r="SBN2" t="str">
            <v/>
          </cell>
          <cell r="SBO2" t="str">
            <v/>
          </cell>
          <cell r="SBP2" t="str">
            <v/>
          </cell>
          <cell r="SBQ2" t="str">
            <v/>
          </cell>
          <cell r="SBR2" t="str">
            <v/>
          </cell>
          <cell r="SBS2" t="str">
            <v/>
          </cell>
          <cell r="SBT2" t="str">
            <v/>
          </cell>
          <cell r="SBU2" t="str">
            <v/>
          </cell>
          <cell r="SBV2" t="str">
            <v/>
          </cell>
          <cell r="SBW2" t="str">
            <v/>
          </cell>
          <cell r="SBX2" t="str">
            <v/>
          </cell>
          <cell r="SBY2" t="str">
            <v/>
          </cell>
          <cell r="SBZ2" t="str">
            <v/>
          </cell>
          <cell r="SCA2" t="str">
            <v/>
          </cell>
          <cell r="SCB2" t="str">
            <v/>
          </cell>
          <cell r="SCC2" t="str">
            <v/>
          </cell>
          <cell r="SCD2" t="str">
            <v/>
          </cell>
          <cell r="SCE2" t="str">
            <v/>
          </cell>
          <cell r="SCF2" t="str">
            <v/>
          </cell>
          <cell r="SCG2" t="str">
            <v/>
          </cell>
          <cell r="SCH2" t="str">
            <v/>
          </cell>
          <cell r="SCI2" t="str">
            <v/>
          </cell>
          <cell r="SCJ2" t="str">
            <v/>
          </cell>
          <cell r="SCK2" t="str">
            <v/>
          </cell>
          <cell r="SCL2" t="str">
            <v/>
          </cell>
          <cell r="SCM2" t="str">
            <v/>
          </cell>
          <cell r="SCN2" t="str">
            <v/>
          </cell>
          <cell r="SCO2" t="str">
            <v/>
          </cell>
          <cell r="SCP2" t="str">
            <v/>
          </cell>
          <cell r="SCQ2" t="str">
            <v/>
          </cell>
          <cell r="SCR2" t="str">
            <v/>
          </cell>
          <cell r="SCS2" t="str">
            <v/>
          </cell>
          <cell r="SCT2" t="str">
            <v/>
          </cell>
          <cell r="SCU2" t="str">
            <v/>
          </cell>
          <cell r="SCV2" t="str">
            <v/>
          </cell>
          <cell r="SCW2" t="str">
            <v/>
          </cell>
          <cell r="SCX2" t="str">
            <v/>
          </cell>
          <cell r="SCY2" t="str">
            <v/>
          </cell>
          <cell r="SCZ2" t="str">
            <v/>
          </cell>
          <cell r="SDA2" t="str">
            <v/>
          </cell>
          <cell r="SDB2" t="str">
            <v/>
          </cell>
          <cell r="SDC2" t="str">
            <v/>
          </cell>
          <cell r="SDD2" t="str">
            <v/>
          </cell>
          <cell r="SDE2" t="str">
            <v/>
          </cell>
          <cell r="SDF2" t="str">
            <v/>
          </cell>
          <cell r="SDG2" t="str">
            <v/>
          </cell>
          <cell r="SDH2" t="str">
            <v/>
          </cell>
          <cell r="SDI2" t="str">
            <v/>
          </cell>
          <cell r="SDJ2" t="str">
            <v/>
          </cell>
          <cell r="SDK2" t="str">
            <v/>
          </cell>
          <cell r="SDL2" t="str">
            <v/>
          </cell>
          <cell r="SDM2" t="str">
            <v/>
          </cell>
          <cell r="SDN2" t="str">
            <v/>
          </cell>
          <cell r="SDO2" t="str">
            <v/>
          </cell>
          <cell r="SDP2" t="str">
            <v/>
          </cell>
          <cell r="SDQ2" t="str">
            <v/>
          </cell>
          <cell r="SDR2" t="str">
            <v/>
          </cell>
          <cell r="SDS2" t="str">
            <v/>
          </cell>
          <cell r="SDT2" t="str">
            <v/>
          </cell>
          <cell r="SDU2" t="str">
            <v/>
          </cell>
          <cell r="SDV2" t="str">
            <v/>
          </cell>
          <cell r="SDW2" t="str">
            <v/>
          </cell>
          <cell r="SDX2" t="str">
            <v/>
          </cell>
          <cell r="SDY2" t="str">
            <v/>
          </cell>
          <cell r="SDZ2" t="str">
            <v/>
          </cell>
          <cell r="SEA2" t="str">
            <v/>
          </cell>
          <cell r="SEB2" t="str">
            <v/>
          </cell>
          <cell r="SEC2" t="str">
            <v/>
          </cell>
          <cell r="SED2" t="str">
            <v/>
          </cell>
          <cell r="SEE2" t="str">
            <v/>
          </cell>
          <cell r="SEF2" t="str">
            <v/>
          </cell>
          <cell r="SEG2" t="str">
            <v/>
          </cell>
          <cell r="SEH2" t="str">
            <v/>
          </cell>
          <cell r="SEI2" t="str">
            <v/>
          </cell>
          <cell r="SEJ2" t="str">
            <v/>
          </cell>
          <cell r="SEK2" t="str">
            <v/>
          </cell>
          <cell r="SEL2" t="str">
            <v/>
          </cell>
          <cell r="SEM2" t="str">
            <v/>
          </cell>
          <cell r="SEN2" t="str">
            <v/>
          </cell>
          <cell r="SEO2" t="str">
            <v/>
          </cell>
          <cell r="SEP2" t="str">
            <v/>
          </cell>
          <cell r="SEQ2" t="str">
            <v/>
          </cell>
          <cell r="SER2" t="str">
            <v/>
          </cell>
          <cell r="SES2" t="str">
            <v/>
          </cell>
          <cell r="SET2" t="str">
            <v/>
          </cell>
          <cell r="SEU2" t="str">
            <v/>
          </cell>
          <cell r="SEV2" t="str">
            <v/>
          </cell>
          <cell r="SEW2" t="str">
            <v/>
          </cell>
          <cell r="SEX2" t="str">
            <v/>
          </cell>
          <cell r="SEY2" t="str">
            <v/>
          </cell>
          <cell r="SEZ2" t="str">
            <v/>
          </cell>
          <cell r="SFA2" t="str">
            <v/>
          </cell>
          <cell r="SFB2" t="str">
            <v/>
          </cell>
          <cell r="SFC2" t="str">
            <v/>
          </cell>
          <cell r="SFD2" t="str">
            <v/>
          </cell>
          <cell r="SFE2" t="str">
            <v/>
          </cell>
          <cell r="SFF2" t="str">
            <v/>
          </cell>
          <cell r="SFG2" t="str">
            <v/>
          </cell>
          <cell r="SFH2" t="str">
            <v/>
          </cell>
          <cell r="SFI2" t="str">
            <v/>
          </cell>
          <cell r="SFJ2" t="str">
            <v/>
          </cell>
          <cell r="SFK2" t="str">
            <v/>
          </cell>
          <cell r="SFL2" t="str">
            <v/>
          </cell>
          <cell r="SFM2" t="str">
            <v/>
          </cell>
          <cell r="SFN2" t="str">
            <v/>
          </cell>
          <cell r="SFO2" t="str">
            <v/>
          </cell>
          <cell r="SFP2" t="str">
            <v/>
          </cell>
          <cell r="SFQ2" t="str">
            <v/>
          </cell>
          <cell r="SFR2" t="str">
            <v/>
          </cell>
          <cell r="SFS2" t="str">
            <v/>
          </cell>
          <cell r="SFT2" t="str">
            <v/>
          </cell>
          <cell r="SFU2" t="str">
            <v/>
          </cell>
          <cell r="SFV2" t="str">
            <v/>
          </cell>
          <cell r="SFW2" t="str">
            <v/>
          </cell>
          <cell r="SFX2" t="str">
            <v/>
          </cell>
          <cell r="SFY2" t="str">
            <v/>
          </cell>
          <cell r="SFZ2" t="str">
            <v/>
          </cell>
          <cell r="SGA2" t="str">
            <v/>
          </cell>
          <cell r="SGB2" t="str">
            <v/>
          </cell>
          <cell r="SGC2" t="str">
            <v/>
          </cell>
          <cell r="SGD2" t="str">
            <v/>
          </cell>
          <cell r="SGE2" t="str">
            <v/>
          </cell>
          <cell r="SGF2" t="str">
            <v/>
          </cell>
          <cell r="SGG2" t="str">
            <v/>
          </cell>
          <cell r="SGH2" t="str">
            <v/>
          </cell>
          <cell r="SGI2" t="str">
            <v/>
          </cell>
          <cell r="SGJ2" t="str">
            <v/>
          </cell>
          <cell r="SGK2" t="str">
            <v/>
          </cell>
          <cell r="SGL2" t="str">
            <v/>
          </cell>
          <cell r="SGM2" t="str">
            <v/>
          </cell>
          <cell r="SGN2" t="str">
            <v/>
          </cell>
          <cell r="SGO2" t="str">
            <v/>
          </cell>
          <cell r="SGP2" t="str">
            <v/>
          </cell>
          <cell r="SGQ2" t="str">
            <v/>
          </cell>
          <cell r="SGR2" t="str">
            <v/>
          </cell>
          <cell r="SGS2" t="str">
            <v/>
          </cell>
          <cell r="SGT2" t="str">
            <v/>
          </cell>
          <cell r="SGU2" t="str">
            <v/>
          </cell>
          <cell r="SGV2" t="str">
            <v/>
          </cell>
          <cell r="SGW2" t="str">
            <v/>
          </cell>
          <cell r="SGX2" t="str">
            <v/>
          </cell>
          <cell r="SGY2" t="str">
            <v/>
          </cell>
          <cell r="SGZ2" t="str">
            <v/>
          </cell>
          <cell r="SHA2" t="str">
            <v/>
          </cell>
          <cell r="SHB2" t="str">
            <v/>
          </cell>
          <cell r="SHC2" t="str">
            <v/>
          </cell>
          <cell r="SHD2" t="str">
            <v/>
          </cell>
          <cell r="SHE2" t="str">
            <v/>
          </cell>
          <cell r="SHF2" t="str">
            <v/>
          </cell>
          <cell r="SHG2" t="str">
            <v/>
          </cell>
          <cell r="SHH2" t="str">
            <v/>
          </cell>
          <cell r="SHI2" t="str">
            <v/>
          </cell>
          <cell r="SHJ2" t="str">
            <v/>
          </cell>
          <cell r="SHK2" t="str">
            <v/>
          </cell>
          <cell r="SHL2" t="str">
            <v/>
          </cell>
          <cell r="SHM2" t="str">
            <v/>
          </cell>
          <cell r="SHN2" t="str">
            <v/>
          </cell>
          <cell r="SHO2" t="str">
            <v/>
          </cell>
          <cell r="SHP2" t="str">
            <v/>
          </cell>
          <cell r="SHQ2" t="str">
            <v/>
          </cell>
          <cell r="SHR2" t="str">
            <v/>
          </cell>
          <cell r="SHS2" t="str">
            <v/>
          </cell>
          <cell r="SHT2" t="str">
            <v/>
          </cell>
          <cell r="SHU2" t="str">
            <v/>
          </cell>
          <cell r="SHV2" t="str">
            <v/>
          </cell>
          <cell r="SHW2" t="str">
            <v/>
          </cell>
          <cell r="SHX2" t="str">
            <v/>
          </cell>
          <cell r="SHY2" t="str">
            <v/>
          </cell>
          <cell r="SHZ2" t="str">
            <v/>
          </cell>
          <cell r="SIA2" t="str">
            <v/>
          </cell>
          <cell r="SIB2" t="str">
            <v/>
          </cell>
          <cell r="SIC2" t="str">
            <v/>
          </cell>
          <cell r="SID2" t="str">
            <v/>
          </cell>
          <cell r="SIE2" t="str">
            <v/>
          </cell>
          <cell r="SIF2" t="str">
            <v/>
          </cell>
          <cell r="SIG2" t="str">
            <v/>
          </cell>
          <cell r="SIH2" t="str">
            <v/>
          </cell>
          <cell r="SII2" t="str">
            <v/>
          </cell>
          <cell r="SIJ2" t="str">
            <v/>
          </cell>
          <cell r="SIK2" t="str">
            <v/>
          </cell>
          <cell r="SIL2" t="str">
            <v/>
          </cell>
          <cell r="SIM2" t="str">
            <v/>
          </cell>
          <cell r="SIN2" t="str">
            <v/>
          </cell>
          <cell r="SIO2" t="str">
            <v/>
          </cell>
          <cell r="SIP2" t="str">
            <v/>
          </cell>
          <cell r="SIQ2" t="str">
            <v/>
          </cell>
          <cell r="SIR2" t="str">
            <v/>
          </cell>
          <cell r="SIS2" t="str">
            <v/>
          </cell>
          <cell r="SIT2" t="str">
            <v/>
          </cell>
          <cell r="SIU2" t="str">
            <v/>
          </cell>
          <cell r="SIV2" t="str">
            <v/>
          </cell>
          <cell r="SIW2" t="str">
            <v/>
          </cell>
          <cell r="SIX2" t="str">
            <v/>
          </cell>
          <cell r="SIY2" t="str">
            <v/>
          </cell>
          <cell r="SIZ2" t="str">
            <v/>
          </cell>
          <cell r="SJA2" t="str">
            <v/>
          </cell>
          <cell r="SJB2" t="str">
            <v/>
          </cell>
          <cell r="SJC2" t="str">
            <v/>
          </cell>
          <cell r="SJD2" t="str">
            <v/>
          </cell>
          <cell r="SJE2" t="str">
            <v/>
          </cell>
          <cell r="SJF2" t="str">
            <v/>
          </cell>
          <cell r="SJG2" t="str">
            <v/>
          </cell>
          <cell r="SJH2" t="str">
            <v/>
          </cell>
          <cell r="SJI2" t="str">
            <v/>
          </cell>
          <cell r="SJJ2" t="str">
            <v/>
          </cell>
          <cell r="SJK2" t="str">
            <v/>
          </cell>
          <cell r="SJL2" t="str">
            <v/>
          </cell>
          <cell r="SJM2" t="str">
            <v/>
          </cell>
          <cell r="SJN2" t="str">
            <v/>
          </cell>
          <cell r="SJO2" t="str">
            <v/>
          </cell>
          <cell r="SJP2" t="str">
            <v/>
          </cell>
          <cell r="SJQ2" t="str">
            <v/>
          </cell>
          <cell r="SJR2" t="str">
            <v/>
          </cell>
          <cell r="SJS2" t="str">
            <v/>
          </cell>
          <cell r="SJT2" t="str">
            <v/>
          </cell>
          <cell r="SJU2" t="str">
            <v/>
          </cell>
          <cell r="SJV2" t="str">
            <v/>
          </cell>
          <cell r="SJW2" t="str">
            <v/>
          </cell>
          <cell r="SJX2" t="str">
            <v/>
          </cell>
          <cell r="SJY2" t="str">
            <v/>
          </cell>
          <cell r="SJZ2" t="str">
            <v/>
          </cell>
          <cell r="SKA2" t="str">
            <v/>
          </cell>
          <cell r="SKB2" t="str">
            <v/>
          </cell>
          <cell r="SKC2" t="str">
            <v/>
          </cell>
          <cell r="SKD2" t="str">
            <v/>
          </cell>
          <cell r="SKE2" t="str">
            <v/>
          </cell>
          <cell r="SKF2" t="str">
            <v/>
          </cell>
          <cell r="SKG2" t="str">
            <v/>
          </cell>
          <cell r="SKH2" t="str">
            <v/>
          </cell>
          <cell r="SKI2" t="str">
            <v/>
          </cell>
          <cell r="SKJ2" t="str">
            <v/>
          </cell>
          <cell r="SKK2" t="str">
            <v/>
          </cell>
          <cell r="SKL2" t="str">
            <v/>
          </cell>
          <cell r="SKM2" t="str">
            <v/>
          </cell>
          <cell r="SKN2" t="str">
            <v/>
          </cell>
          <cell r="SKO2" t="str">
            <v/>
          </cell>
          <cell r="SKP2" t="str">
            <v/>
          </cell>
          <cell r="SKQ2" t="str">
            <v/>
          </cell>
          <cell r="SKR2" t="str">
            <v/>
          </cell>
          <cell r="SKS2" t="str">
            <v/>
          </cell>
          <cell r="SKT2" t="str">
            <v/>
          </cell>
          <cell r="SKU2" t="str">
            <v/>
          </cell>
          <cell r="SKV2" t="str">
            <v/>
          </cell>
          <cell r="SKW2" t="str">
            <v/>
          </cell>
          <cell r="SKX2" t="str">
            <v/>
          </cell>
          <cell r="SKY2" t="str">
            <v/>
          </cell>
          <cell r="SKZ2" t="str">
            <v/>
          </cell>
          <cell r="SLA2" t="str">
            <v/>
          </cell>
          <cell r="SLB2" t="str">
            <v/>
          </cell>
          <cell r="SLC2" t="str">
            <v/>
          </cell>
          <cell r="SLD2" t="str">
            <v/>
          </cell>
          <cell r="SLE2" t="str">
            <v/>
          </cell>
          <cell r="SLF2" t="str">
            <v/>
          </cell>
          <cell r="SLG2" t="str">
            <v/>
          </cell>
          <cell r="SLH2" t="str">
            <v/>
          </cell>
          <cell r="SLI2" t="str">
            <v/>
          </cell>
          <cell r="SLJ2" t="str">
            <v/>
          </cell>
          <cell r="SLK2" t="str">
            <v/>
          </cell>
          <cell r="SLL2" t="str">
            <v/>
          </cell>
          <cell r="SLM2" t="str">
            <v/>
          </cell>
          <cell r="SLN2" t="str">
            <v/>
          </cell>
          <cell r="SLO2" t="str">
            <v/>
          </cell>
          <cell r="SLP2" t="str">
            <v/>
          </cell>
          <cell r="SLQ2" t="str">
            <v/>
          </cell>
          <cell r="SLR2" t="str">
            <v/>
          </cell>
          <cell r="SLS2" t="str">
            <v/>
          </cell>
          <cell r="SLT2" t="str">
            <v/>
          </cell>
          <cell r="SLU2" t="str">
            <v/>
          </cell>
          <cell r="SLV2" t="str">
            <v/>
          </cell>
          <cell r="SLW2" t="str">
            <v/>
          </cell>
          <cell r="SLX2" t="str">
            <v/>
          </cell>
          <cell r="SLY2" t="str">
            <v/>
          </cell>
          <cell r="SLZ2" t="str">
            <v/>
          </cell>
          <cell r="SMA2" t="str">
            <v/>
          </cell>
          <cell r="SMB2" t="str">
            <v/>
          </cell>
          <cell r="SMC2" t="str">
            <v/>
          </cell>
          <cell r="SMD2" t="str">
            <v/>
          </cell>
          <cell r="SME2" t="str">
            <v/>
          </cell>
          <cell r="SMF2" t="str">
            <v/>
          </cell>
          <cell r="SMG2" t="str">
            <v/>
          </cell>
          <cell r="SMH2" t="str">
            <v/>
          </cell>
          <cell r="SMI2" t="str">
            <v/>
          </cell>
          <cell r="SMJ2" t="str">
            <v/>
          </cell>
          <cell r="SMK2" t="str">
            <v/>
          </cell>
          <cell r="SML2" t="str">
            <v/>
          </cell>
          <cell r="SMM2" t="str">
            <v/>
          </cell>
          <cell r="SMN2" t="str">
            <v/>
          </cell>
          <cell r="SMO2" t="str">
            <v/>
          </cell>
          <cell r="SMP2" t="str">
            <v/>
          </cell>
          <cell r="SMQ2" t="str">
            <v/>
          </cell>
          <cell r="SMR2" t="str">
            <v/>
          </cell>
          <cell r="SMS2" t="str">
            <v/>
          </cell>
          <cell r="SMT2" t="str">
            <v/>
          </cell>
          <cell r="SMU2" t="str">
            <v/>
          </cell>
          <cell r="SMV2" t="str">
            <v/>
          </cell>
          <cell r="SMW2" t="str">
            <v/>
          </cell>
          <cell r="SMX2" t="str">
            <v/>
          </cell>
          <cell r="SMY2" t="str">
            <v/>
          </cell>
          <cell r="SMZ2" t="str">
            <v/>
          </cell>
          <cell r="SNA2" t="str">
            <v/>
          </cell>
          <cell r="SNB2" t="str">
            <v/>
          </cell>
          <cell r="SNC2" t="str">
            <v/>
          </cell>
          <cell r="SND2" t="str">
            <v/>
          </cell>
          <cell r="SNE2" t="str">
            <v/>
          </cell>
          <cell r="SNF2" t="str">
            <v/>
          </cell>
          <cell r="SNG2" t="str">
            <v/>
          </cell>
          <cell r="SNH2" t="str">
            <v/>
          </cell>
          <cell r="SNI2" t="str">
            <v/>
          </cell>
          <cell r="SNJ2" t="str">
            <v/>
          </cell>
          <cell r="SNK2" t="str">
            <v/>
          </cell>
          <cell r="SNL2" t="str">
            <v/>
          </cell>
          <cell r="SNM2" t="str">
            <v/>
          </cell>
          <cell r="SNN2" t="str">
            <v/>
          </cell>
          <cell r="SNO2" t="str">
            <v/>
          </cell>
          <cell r="SNP2" t="str">
            <v/>
          </cell>
          <cell r="SNQ2" t="str">
            <v/>
          </cell>
          <cell r="SNR2" t="str">
            <v/>
          </cell>
          <cell r="SNS2" t="str">
            <v/>
          </cell>
          <cell r="SNT2" t="str">
            <v/>
          </cell>
          <cell r="SNU2" t="str">
            <v/>
          </cell>
          <cell r="SNV2" t="str">
            <v/>
          </cell>
          <cell r="SNW2" t="str">
            <v/>
          </cell>
          <cell r="SNX2" t="str">
            <v/>
          </cell>
          <cell r="SNY2" t="str">
            <v/>
          </cell>
          <cell r="SNZ2" t="str">
            <v/>
          </cell>
          <cell r="SOA2" t="str">
            <v/>
          </cell>
          <cell r="SOB2" t="str">
            <v/>
          </cell>
          <cell r="SOC2" t="str">
            <v/>
          </cell>
          <cell r="SOD2" t="str">
            <v/>
          </cell>
          <cell r="SOE2" t="str">
            <v/>
          </cell>
          <cell r="SOF2" t="str">
            <v/>
          </cell>
          <cell r="SOG2" t="str">
            <v/>
          </cell>
          <cell r="SOH2" t="str">
            <v/>
          </cell>
          <cell r="SOI2" t="str">
            <v/>
          </cell>
          <cell r="SOJ2" t="str">
            <v/>
          </cell>
          <cell r="SOK2" t="str">
            <v/>
          </cell>
          <cell r="SOL2" t="str">
            <v/>
          </cell>
          <cell r="SOM2" t="str">
            <v/>
          </cell>
          <cell r="SON2" t="str">
            <v/>
          </cell>
          <cell r="SOO2" t="str">
            <v/>
          </cell>
          <cell r="SOP2" t="str">
            <v/>
          </cell>
          <cell r="SOQ2" t="str">
            <v/>
          </cell>
          <cell r="SOR2" t="str">
            <v/>
          </cell>
          <cell r="SOS2" t="str">
            <v/>
          </cell>
          <cell r="SOT2" t="str">
            <v/>
          </cell>
          <cell r="SOU2" t="str">
            <v/>
          </cell>
          <cell r="SOV2" t="str">
            <v/>
          </cell>
          <cell r="SOW2" t="str">
            <v/>
          </cell>
          <cell r="SOX2" t="str">
            <v/>
          </cell>
          <cell r="SOY2" t="str">
            <v/>
          </cell>
          <cell r="SOZ2" t="str">
            <v/>
          </cell>
          <cell r="SPA2" t="str">
            <v/>
          </cell>
          <cell r="SPB2" t="str">
            <v/>
          </cell>
          <cell r="SPC2" t="str">
            <v/>
          </cell>
          <cell r="SPD2" t="str">
            <v/>
          </cell>
          <cell r="SPE2" t="str">
            <v/>
          </cell>
          <cell r="SPF2" t="str">
            <v/>
          </cell>
          <cell r="SPG2" t="str">
            <v/>
          </cell>
          <cell r="SPH2" t="str">
            <v/>
          </cell>
          <cell r="SPI2" t="str">
            <v/>
          </cell>
          <cell r="SPJ2" t="str">
            <v/>
          </cell>
          <cell r="SPK2" t="str">
            <v/>
          </cell>
          <cell r="SPL2" t="str">
            <v/>
          </cell>
          <cell r="SPM2" t="str">
            <v/>
          </cell>
          <cell r="SPN2" t="str">
            <v/>
          </cell>
          <cell r="SPO2" t="str">
            <v/>
          </cell>
          <cell r="SPP2" t="str">
            <v/>
          </cell>
          <cell r="SPQ2" t="str">
            <v/>
          </cell>
          <cell r="SPR2" t="str">
            <v/>
          </cell>
          <cell r="SPS2" t="str">
            <v/>
          </cell>
          <cell r="SPT2" t="str">
            <v/>
          </cell>
          <cell r="SPU2" t="str">
            <v/>
          </cell>
          <cell r="SPV2" t="str">
            <v/>
          </cell>
          <cell r="SPW2" t="str">
            <v/>
          </cell>
          <cell r="SPX2" t="str">
            <v/>
          </cell>
          <cell r="SPY2" t="str">
            <v/>
          </cell>
          <cell r="SPZ2" t="str">
            <v/>
          </cell>
          <cell r="SQA2" t="str">
            <v/>
          </cell>
          <cell r="SQB2" t="str">
            <v/>
          </cell>
          <cell r="SQC2" t="str">
            <v/>
          </cell>
          <cell r="SQD2" t="str">
            <v/>
          </cell>
          <cell r="SQE2" t="str">
            <v/>
          </cell>
          <cell r="SQF2" t="str">
            <v/>
          </cell>
          <cell r="SQG2" t="str">
            <v/>
          </cell>
          <cell r="SQH2" t="str">
            <v/>
          </cell>
          <cell r="SQI2" t="str">
            <v/>
          </cell>
          <cell r="SQJ2" t="str">
            <v/>
          </cell>
          <cell r="SQK2" t="str">
            <v/>
          </cell>
          <cell r="SQL2" t="str">
            <v/>
          </cell>
          <cell r="SQM2" t="str">
            <v/>
          </cell>
          <cell r="SQN2" t="str">
            <v/>
          </cell>
          <cell r="SQO2" t="str">
            <v/>
          </cell>
          <cell r="SQP2" t="str">
            <v/>
          </cell>
          <cell r="SQQ2" t="str">
            <v/>
          </cell>
          <cell r="SQR2" t="str">
            <v/>
          </cell>
          <cell r="SQS2" t="str">
            <v/>
          </cell>
          <cell r="SQT2" t="str">
            <v/>
          </cell>
          <cell r="SQU2" t="str">
            <v/>
          </cell>
          <cell r="SQV2" t="str">
            <v/>
          </cell>
          <cell r="SQW2" t="str">
            <v/>
          </cell>
          <cell r="SQX2" t="str">
            <v/>
          </cell>
          <cell r="SQY2" t="str">
            <v/>
          </cell>
          <cell r="SQZ2" t="str">
            <v/>
          </cell>
          <cell r="SRA2" t="str">
            <v/>
          </cell>
          <cell r="SRB2" t="str">
            <v/>
          </cell>
          <cell r="SRC2" t="str">
            <v/>
          </cell>
          <cell r="SRD2" t="str">
            <v/>
          </cell>
          <cell r="SRE2" t="str">
            <v/>
          </cell>
          <cell r="SRF2" t="str">
            <v/>
          </cell>
          <cell r="SRG2" t="str">
            <v/>
          </cell>
          <cell r="SRH2" t="str">
            <v/>
          </cell>
          <cell r="SRI2" t="str">
            <v/>
          </cell>
          <cell r="SRJ2" t="str">
            <v/>
          </cell>
          <cell r="SRK2" t="str">
            <v/>
          </cell>
          <cell r="SRL2" t="str">
            <v/>
          </cell>
          <cell r="SRM2" t="str">
            <v/>
          </cell>
          <cell r="SRN2" t="str">
            <v/>
          </cell>
          <cell r="SRO2" t="str">
            <v/>
          </cell>
          <cell r="SRP2" t="str">
            <v/>
          </cell>
          <cell r="SRQ2" t="str">
            <v/>
          </cell>
          <cell r="SRR2" t="str">
            <v/>
          </cell>
          <cell r="SRS2" t="str">
            <v/>
          </cell>
          <cell r="SRT2" t="str">
            <v/>
          </cell>
          <cell r="SRU2" t="str">
            <v/>
          </cell>
          <cell r="SRV2" t="str">
            <v/>
          </cell>
          <cell r="SRW2" t="str">
            <v/>
          </cell>
          <cell r="SRX2" t="str">
            <v/>
          </cell>
          <cell r="SRY2" t="str">
            <v/>
          </cell>
          <cell r="SRZ2" t="str">
            <v/>
          </cell>
          <cell r="SSA2" t="str">
            <v/>
          </cell>
          <cell r="SSB2" t="str">
            <v/>
          </cell>
          <cell r="SSC2" t="str">
            <v/>
          </cell>
          <cell r="SSD2" t="str">
            <v/>
          </cell>
          <cell r="SSE2" t="str">
            <v/>
          </cell>
          <cell r="SSF2" t="str">
            <v/>
          </cell>
          <cell r="SSG2" t="str">
            <v/>
          </cell>
          <cell r="SSH2" t="str">
            <v/>
          </cell>
          <cell r="SSI2" t="str">
            <v/>
          </cell>
          <cell r="SSJ2" t="str">
            <v/>
          </cell>
          <cell r="SSK2" t="str">
            <v/>
          </cell>
          <cell r="SSL2" t="str">
            <v/>
          </cell>
          <cell r="SSM2" t="str">
            <v/>
          </cell>
          <cell r="SSN2" t="str">
            <v/>
          </cell>
          <cell r="SSO2" t="str">
            <v/>
          </cell>
          <cell r="SSP2" t="str">
            <v/>
          </cell>
          <cell r="SSQ2" t="str">
            <v/>
          </cell>
          <cell r="SSR2" t="str">
            <v/>
          </cell>
          <cell r="SSS2" t="str">
            <v/>
          </cell>
          <cell r="SST2" t="str">
            <v/>
          </cell>
          <cell r="SSU2" t="str">
            <v/>
          </cell>
          <cell r="SSV2" t="str">
            <v/>
          </cell>
          <cell r="SSW2" t="str">
            <v/>
          </cell>
          <cell r="SSX2" t="str">
            <v/>
          </cell>
          <cell r="SSY2" t="str">
            <v/>
          </cell>
          <cell r="SSZ2" t="str">
            <v/>
          </cell>
          <cell r="STA2" t="str">
            <v/>
          </cell>
          <cell r="STB2" t="str">
            <v/>
          </cell>
          <cell r="STC2" t="str">
            <v/>
          </cell>
          <cell r="STD2" t="str">
            <v/>
          </cell>
          <cell r="STE2" t="str">
            <v/>
          </cell>
          <cell r="STF2" t="str">
            <v/>
          </cell>
          <cell r="STG2" t="str">
            <v/>
          </cell>
          <cell r="STH2" t="str">
            <v/>
          </cell>
          <cell r="STI2" t="str">
            <v/>
          </cell>
          <cell r="STJ2" t="str">
            <v/>
          </cell>
          <cell r="STK2" t="str">
            <v/>
          </cell>
          <cell r="STL2" t="str">
            <v/>
          </cell>
          <cell r="STM2" t="str">
            <v/>
          </cell>
          <cell r="STN2" t="str">
            <v/>
          </cell>
          <cell r="STO2" t="str">
            <v/>
          </cell>
          <cell r="STP2" t="str">
            <v/>
          </cell>
          <cell r="STQ2" t="str">
            <v/>
          </cell>
          <cell r="STR2" t="str">
            <v/>
          </cell>
          <cell r="STS2" t="str">
            <v/>
          </cell>
          <cell r="STT2" t="str">
            <v/>
          </cell>
          <cell r="STU2" t="str">
            <v/>
          </cell>
          <cell r="STV2" t="str">
            <v/>
          </cell>
          <cell r="STW2" t="str">
            <v/>
          </cell>
          <cell r="STX2" t="str">
            <v/>
          </cell>
          <cell r="STY2" t="str">
            <v/>
          </cell>
          <cell r="STZ2" t="str">
            <v/>
          </cell>
          <cell r="SUA2" t="str">
            <v/>
          </cell>
          <cell r="SUB2" t="str">
            <v/>
          </cell>
          <cell r="SUC2" t="str">
            <v/>
          </cell>
          <cell r="SUD2" t="str">
            <v/>
          </cell>
          <cell r="SUE2" t="str">
            <v/>
          </cell>
          <cell r="SUF2" t="str">
            <v/>
          </cell>
          <cell r="SUG2" t="str">
            <v/>
          </cell>
          <cell r="SUH2" t="str">
            <v/>
          </cell>
          <cell r="SUI2" t="str">
            <v/>
          </cell>
          <cell r="SUJ2" t="str">
            <v/>
          </cell>
          <cell r="SUK2" t="str">
            <v/>
          </cell>
          <cell r="SUL2" t="str">
            <v/>
          </cell>
          <cell r="SUM2" t="str">
            <v/>
          </cell>
          <cell r="SUN2" t="str">
            <v/>
          </cell>
          <cell r="SUO2" t="str">
            <v/>
          </cell>
          <cell r="SUP2" t="str">
            <v/>
          </cell>
          <cell r="SUQ2" t="str">
            <v/>
          </cell>
          <cell r="SUR2" t="str">
            <v/>
          </cell>
          <cell r="SUS2" t="str">
            <v/>
          </cell>
          <cell r="SUT2" t="str">
            <v/>
          </cell>
          <cell r="SUU2" t="str">
            <v/>
          </cell>
          <cell r="SUV2" t="str">
            <v/>
          </cell>
          <cell r="SUW2" t="str">
            <v/>
          </cell>
          <cell r="SUX2" t="str">
            <v/>
          </cell>
          <cell r="SUY2" t="str">
            <v/>
          </cell>
          <cell r="SUZ2" t="str">
            <v/>
          </cell>
          <cell r="SVA2" t="str">
            <v/>
          </cell>
          <cell r="SVB2" t="str">
            <v/>
          </cell>
          <cell r="SVC2" t="str">
            <v/>
          </cell>
          <cell r="SVD2" t="str">
            <v/>
          </cell>
          <cell r="SVE2" t="str">
            <v/>
          </cell>
          <cell r="SVF2" t="str">
            <v/>
          </cell>
          <cell r="SVG2" t="str">
            <v/>
          </cell>
          <cell r="SVH2" t="str">
            <v/>
          </cell>
          <cell r="SVI2" t="str">
            <v/>
          </cell>
          <cell r="SVJ2" t="str">
            <v/>
          </cell>
          <cell r="SVK2" t="str">
            <v/>
          </cell>
          <cell r="SVL2" t="str">
            <v/>
          </cell>
          <cell r="SVM2" t="str">
            <v/>
          </cell>
          <cell r="SVN2" t="str">
            <v/>
          </cell>
          <cell r="SVO2" t="str">
            <v/>
          </cell>
          <cell r="SVP2" t="str">
            <v/>
          </cell>
          <cell r="SVQ2" t="str">
            <v/>
          </cell>
          <cell r="SVR2" t="str">
            <v/>
          </cell>
          <cell r="SVS2" t="str">
            <v/>
          </cell>
          <cell r="SVT2" t="str">
            <v/>
          </cell>
          <cell r="SVU2" t="str">
            <v/>
          </cell>
          <cell r="SVV2" t="str">
            <v/>
          </cell>
          <cell r="SVW2" t="str">
            <v/>
          </cell>
          <cell r="SVX2" t="str">
            <v/>
          </cell>
          <cell r="SVY2" t="str">
            <v/>
          </cell>
          <cell r="SVZ2" t="str">
            <v/>
          </cell>
          <cell r="SWA2" t="str">
            <v/>
          </cell>
          <cell r="SWB2" t="str">
            <v/>
          </cell>
          <cell r="SWC2" t="str">
            <v/>
          </cell>
          <cell r="SWD2" t="str">
            <v/>
          </cell>
          <cell r="SWE2" t="str">
            <v/>
          </cell>
          <cell r="SWF2" t="str">
            <v/>
          </cell>
          <cell r="SWG2" t="str">
            <v/>
          </cell>
          <cell r="SWH2" t="str">
            <v/>
          </cell>
          <cell r="SWI2" t="str">
            <v/>
          </cell>
          <cell r="SWJ2" t="str">
            <v/>
          </cell>
          <cell r="SWK2" t="str">
            <v/>
          </cell>
          <cell r="SWL2" t="str">
            <v/>
          </cell>
          <cell r="SWM2" t="str">
            <v/>
          </cell>
          <cell r="SWN2" t="str">
            <v/>
          </cell>
          <cell r="SWO2" t="str">
            <v/>
          </cell>
          <cell r="SWP2" t="str">
            <v/>
          </cell>
          <cell r="SWQ2" t="str">
            <v/>
          </cell>
          <cell r="SWR2" t="str">
            <v/>
          </cell>
          <cell r="SWS2" t="str">
            <v/>
          </cell>
          <cell r="SWT2" t="str">
            <v/>
          </cell>
          <cell r="SWU2" t="str">
            <v/>
          </cell>
          <cell r="SWV2" t="str">
            <v/>
          </cell>
          <cell r="SWW2" t="str">
            <v/>
          </cell>
          <cell r="SWX2" t="str">
            <v/>
          </cell>
          <cell r="SWY2" t="str">
            <v/>
          </cell>
          <cell r="SWZ2" t="str">
            <v/>
          </cell>
          <cell r="SXA2" t="str">
            <v/>
          </cell>
          <cell r="SXB2" t="str">
            <v/>
          </cell>
          <cell r="SXC2" t="str">
            <v/>
          </cell>
          <cell r="SXD2" t="str">
            <v/>
          </cell>
          <cell r="SXE2" t="str">
            <v/>
          </cell>
          <cell r="SXF2" t="str">
            <v/>
          </cell>
          <cell r="SXG2" t="str">
            <v/>
          </cell>
          <cell r="SXH2" t="str">
            <v/>
          </cell>
          <cell r="SXI2" t="str">
            <v/>
          </cell>
          <cell r="SXJ2" t="str">
            <v/>
          </cell>
          <cell r="SXK2" t="str">
            <v/>
          </cell>
          <cell r="SXL2" t="str">
            <v/>
          </cell>
          <cell r="SXM2" t="str">
            <v/>
          </cell>
          <cell r="SXN2" t="str">
            <v/>
          </cell>
          <cell r="SXO2" t="str">
            <v/>
          </cell>
          <cell r="SXP2" t="str">
            <v/>
          </cell>
          <cell r="SXQ2" t="str">
            <v/>
          </cell>
          <cell r="SXR2" t="str">
            <v/>
          </cell>
          <cell r="SXS2" t="str">
            <v/>
          </cell>
          <cell r="SXT2" t="str">
            <v/>
          </cell>
          <cell r="SXU2" t="str">
            <v/>
          </cell>
          <cell r="SXV2" t="str">
            <v/>
          </cell>
          <cell r="SXW2" t="str">
            <v/>
          </cell>
          <cell r="SXX2" t="str">
            <v/>
          </cell>
          <cell r="SXY2" t="str">
            <v/>
          </cell>
          <cell r="SXZ2" t="str">
            <v/>
          </cell>
          <cell r="SYA2" t="str">
            <v/>
          </cell>
          <cell r="SYB2" t="str">
            <v/>
          </cell>
          <cell r="SYC2" t="str">
            <v/>
          </cell>
          <cell r="SYD2" t="str">
            <v/>
          </cell>
          <cell r="SYE2" t="str">
            <v/>
          </cell>
          <cell r="SYF2" t="str">
            <v/>
          </cell>
          <cell r="SYG2" t="str">
            <v/>
          </cell>
          <cell r="SYH2" t="str">
            <v/>
          </cell>
          <cell r="SYI2" t="str">
            <v/>
          </cell>
          <cell r="SYJ2" t="str">
            <v/>
          </cell>
          <cell r="SYK2" t="str">
            <v/>
          </cell>
          <cell r="SYL2" t="str">
            <v/>
          </cell>
          <cell r="SYM2" t="str">
            <v/>
          </cell>
          <cell r="SYN2" t="str">
            <v/>
          </cell>
          <cell r="SYO2" t="str">
            <v/>
          </cell>
          <cell r="SYP2" t="str">
            <v/>
          </cell>
          <cell r="SYQ2" t="str">
            <v/>
          </cell>
          <cell r="SYR2" t="str">
            <v/>
          </cell>
          <cell r="SYS2" t="str">
            <v/>
          </cell>
          <cell r="SYT2" t="str">
            <v/>
          </cell>
          <cell r="SYU2" t="str">
            <v/>
          </cell>
          <cell r="SYV2" t="str">
            <v/>
          </cell>
          <cell r="SYW2" t="str">
            <v/>
          </cell>
          <cell r="SYX2" t="str">
            <v/>
          </cell>
          <cell r="SYY2" t="str">
            <v/>
          </cell>
          <cell r="SYZ2" t="str">
            <v/>
          </cell>
          <cell r="SZA2" t="str">
            <v/>
          </cell>
          <cell r="SZB2" t="str">
            <v/>
          </cell>
          <cell r="SZC2" t="str">
            <v/>
          </cell>
          <cell r="SZD2" t="str">
            <v/>
          </cell>
          <cell r="SZE2" t="str">
            <v/>
          </cell>
          <cell r="SZF2" t="str">
            <v/>
          </cell>
          <cell r="SZG2" t="str">
            <v/>
          </cell>
          <cell r="SZH2" t="str">
            <v/>
          </cell>
          <cell r="SZI2" t="str">
            <v/>
          </cell>
          <cell r="SZJ2" t="str">
            <v/>
          </cell>
          <cell r="SZK2" t="str">
            <v/>
          </cell>
          <cell r="SZL2" t="str">
            <v/>
          </cell>
          <cell r="SZM2" t="str">
            <v/>
          </cell>
          <cell r="SZN2" t="str">
            <v/>
          </cell>
          <cell r="SZO2" t="str">
            <v/>
          </cell>
          <cell r="SZP2" t="str">
            <v/>
          </cell>
          <cell r="SZQ2" t="str">
            <v/>
          </cell>
          <cell r="SZR2" t="str">
            <v/>
          </cell>
          <cell r="SZS2" t="str">
            <v/>
          </cell>
          <cell r="SZT2" t="str">
            <v/>
          </cell>
          <cell r="SZU2" t="str">
            <v/>
          </cell>
          <cell r="SZV2" t="str">
            <v/>
          </cell>
          <cell r="SZW2" t="str">
            <v/>
          </cell>
          <cell r="SZX2" t="str">
            <v/>
          </cell>
          <cell r="SZY2" t="str">
            <v/>
          </cell>
          <cell r="SZZ2" t="str">
            <v/>
          </cell>
          <cell r="TAA2" t="str">
            <v/>
          </cell>
          <cell r="TAB2" t="str">
            <v/>
          </cell>
          <cell r="TAC2" t="str">
            <v/>
          </cell>
          <cell r="TAD2" t="str">
            <v/>
          </cell>
          <cell r="TAE2" t="str">
            <v/>
          </cell>
          <cell r="TAF2" t="str">
            <v/>
          </cell>
          <cell r="TAG2" t="str">
            <v/>
          </cell>
          <cell r="TAH2" t="str">
            <v/>
          </cell>
          <cell r="TAI2" t="str">
            <v/>
          </cell>
          <cell r="TAJ2" t="str">
            <v/>
          </cell>
          <cell r="TAK2" t="str">
            <v/>
          </cell>
          <cell r="TAL2" t="str">
            <v/>
          </cell>
          <cell r="TAM2" t="str">
            <v/>
          </cell>
          <cell r="TAN2" t="str">
            <v/>
          </cell>
          <cell r="TAO2" t="str">
            <v/>
          </cell>
          <cell r="TAP2" t="str">
            <v/>
          </cell>
          <cell r="TAQ2" t="str">
            <v/>
          </cell>
          <cell r="TAR2" t="str">
            <v/>
          </cell>
          <cell r="TAS2" t="str">
            <v/>
          </cell>
          <cell r="TAT2" t="str">
            <v/>
          </cell>
          <cell r="TAU2" t="str">
            <v/>
          </cell>
          <cell r="TAV2" t="str">
            <v/>
          </cell>
          <cell r="TAW2" t="str">
            <v/>
          </cell>
          <cell r="TAX2" t="str">
            <v/>
          </cell>
          <cell r="TAY2" t="str">
            <v/>
          </cell>
          <cell r="TAZ2" t="str">
            <v/>
          </cell>
          <cell r="TBA2" t="str">
            <v/>
          </cell>
          <cell r="TBB2" t="str">
            <v/>
          </cell>
          <cell r="TBC2" t="str">
            <v/>
          </cell>
          <cell r="TBD2" t="str">
            <v/>
          </cell>
          <cell r="TBE2" t="str">
            <v/>
          </cell>
          <cell r="TBF2" t="str">
            <v/>
          </cell>
          <cell r="TBG2" t="str">
            <v/>
          </cell>
          <cell r="TBH2" t="str">
            <v/>
          </cell>
          <cell r="TBI2" t="str">
            <v/>
          </cell>
          <cell r="TBJ2" t="str">
            <v/>
          </cell>
          <cell r="TBK2" t="str">
            <v/>
          </cell>
          <cell r="TBL2" t="str">
            <v/>
          </cell>
          <cell r="TBM2" t="str">
            <v/>
          </cell>
          <cell r="TBN2" t="str">
            <v/>
          </cell>
          <cell r="TBO2" t="str">
            <v/>
          </cell>
          <cell r="TBP2" t="str">
            <v/>
          </cell>
          <cell r="TBQ2" t="str">
            <v/>
          </cell>
          <cell r="TBR2" t="str">
            <v/>
          </cell>
          <cell r="TBS2" t="str">
            <v/>
          </cell>
          <cell r="TBT2" t="str">
            <v/>
          </cell>
          <cell r="TBU2" t="str">
            <v/>
          </cell>
          <cell r="TBV2" t="str">
            <v/>
          </cell>
          <cell r="TBW2" t="str">
            <v/>
          </cell>
          <cell r="TBX2" t="str">
            <v/>
          </cell>
          <cell r="TBY2" t="str">
            <v/>
          </cell>
          <cell r="TBZ2" t="str">
            <v/>
          </cell>
          <cell r="TCA2" t="str">
            <v/>
          </cell>
          <cell r="TCB2" t="str">
            <v/>
          </cell>
          <cell r="TCC2" t="str">
            <v/>
          </cell>
          <cell r="TCD2" t="str">
            <v/>
          </cell>
          <cell r="TCE2" t="str">
            <v/>
          </cell>
          <cell r="TCF2" t="str">
            <v/>
          </cell>
          <cell r="TCG2" t="str">
            <v/>
          </cell>
          <cell r="TCH2" t="str">
            <v/>
          </cell>
          <cell r="TCI2" t="str">
            <v/>
          </cell>
          <cell r="TCJ2" t="str">
            <v/>
          </cell>
          <cell r="TCK2" t="str">
            <v/>
          </cell>
          <cell r="TCL2" t="str">
            <v/>
          </cell>
          <cell r="TCM2" t="str">
            <v/>
          </cell>
          <cell r="TCN2" t="str">
            <v/>
          </cell>
          <cell r="TCO2" t="str">
            <v/>
          </cell>
          <cell r="TCP2" t="str">
            <v/>
          </cell>
          <cell r="TCQ2" t="str">
            <v/>
          </cell>
          <cell r="TCR2" t="str">
            <v/>
          </cell>
          <cell r="TCS2" t="str">
            <v/>
          </cell>
          <cell r="TCT2" t="str">
            <v/>
          </cell>
          <cell r="TCU2" t="str">
            <v/>
          </cell>
          <cell r="TCV2" t="str">
            <v/>
          </cell>
          <cell r="TCW2" t="str">
            <v/>
          </cell>
          <cell r="TCX2" t="str">
            <v/>
          </cell>
          <cell r="TCY2" t="str">
            <v/>
          </cell>
          <cell r="TCZ2" t="str">
            <v/>
          </cell>
          <cell r="TDA2" t="str">
            <v/>
          </cell>
          <cell r="TDB2" t="str">
            <v/>
          </cell>
          <cell r="TDC2" t="str">
            <v/>
          </cell>
          <cell r="TDD2" t="str">
            <v/>
          </cell>
          <cell r="TDE2" t="str">
            <v/>
          </cell>
          <cell r="TDF2" t="str">
            <v/>
          </cell>
          <cell r="TDG2" t="str">
            <v/>
          </cell>
          <cell r="TDH2" t="str">
            <v/>
          </cell>
          <cell r="TDI2" t="str">
            <v/>
          </cell>
          <cell r="TDJ2" t="str">
            <v/>
          </cell>
          <cell r="TDK2" t="str">
            <v/>
          </cell>
          <cell r="TDL2" t="str">
            <v/>
          </cell>
          <cell r="TDM2" t="str">
            <v/>
          </cell>
          <cell r="TDN2" t="str">
            <v/>
          </cell>
          <cell r="TDO2" t="str">
            <v/>
          </cell>
          <cell r="TDP2" t="str">
            <v/>
          </cell>
          <cell r="TDQ2" t="str">
            <v/>
          </cell>
          <cell r="TDR2" t="str">
            <v/>
          </cell>
          <cell r="TDS2" t="str">
            <v/>
          </cell>
          <cell r="TDT2" t="str">
            <v/>
          </cell>
          <cell r="TDU2" t="str">
            <v/>
          </cell>
          <cell r="TDV2" t="str">
            <v/>
          </cell>
          <cell r="TDW2" t="str">
            <v/>
          </cell>
          <cell r="TDX2" t="str">
            <v/>
          </cell>
          <cell r="TDY2" t="str">
            <v/>
          </cell>
          <cell r="TDZ2" t="str">
            <v/>
          </cell>
          <cell r="TEA2" t="str">
            <v/>
          </cell>
          <cell r="TEB2" t="str">
            <v/>
          </cell>
          <cell r="TEC2" t="str">
            <v/>
          </cell>
          <cell r="TED2" t="str">
            <v/>
          </cell>
          <cell r="TEE2" t="str">
            <v/>
          </cell>
          <cell r="TEF2" t="str">
            <v/>
          </cell>
          <cell r="TEG2" t="str">
            <v/>
          </cell>
          <cell r="TEH2" t="str">
            <v/>
          </cell>
          <cell r="TEI2" t="str">
            <v/>
          </cell>
          <cell r="TEJ2" t="str">
            <v/>
          </cell>
          <cell r="TEK2" t="str">
            <v/>
          </cell>
          <cell r="TEL2" t="str">
            <v/>
          </cell>
          <cell r="TEM2" t="str">
            <v/>
          </cell>
          <cell r="TEN2" t="str">
            <v/>
          </cell>
          <cell r="TEO2" t="str">
            <v/>
          </cell>
          <cell r="TEP2" t="str">
            <v/>
          </cell>
          <cell r="TEQ2" t="str">
            <v/>
          </cell>
          <cell r="TER2" t="str">
            <v/>
          </cell>
          <cell r="TES2" t="str">
            <v/>
          </cell>
          <cell r="TET2" t="str">
            <v/>
          </cell>
          <cell r="TEU2" t="str">
            <v/>
          </cell>
          <cell r="TEV2" t="str">
            <v/>
          </cell>
          <cell r="TEW2" t="str">
            <v/>
          </cell>
          <cell r="TEX2" t="str">
            <v/>
          </cell>
          <cell r="TEY2" t="str">
            <v/>
          </cell>
          <cell r="TEZ2" t="str">
            <v/>
          </cell>
          <cell r="TFA2" t="str">
            <v/>
          </cell>
          <cell r="TFB2" t="str">
            <v/>
          </cell>
          <cell r="TFC2" t="str">
            <v/>
          </cell>
          <cell r="TFD2" t="str">
            <v/>
          </cell>
          <cell r="TFE2" t="str">
            <v/>
          </cell>
          <cell r="TFF2" t="str">
            <v/>
          </cell>
          <cell r="TFG2" t="str">
            <v/>
          </cell>
          <cell r="TFH2" t="str">
            <v/>
          </cell>
          <cell r="TFI2" t="str">
            <v/>
          </cell>
          <cell r="TFJ2" t="str">
            <v/>
          </cell>
          <cell r="TFK2" t="str">
            <v/>
          </cell>
          <cell r="TFL2" t="str">
            <v/>
          </cell>
          <cell r="TFM2" t="str">
            <v/>
          </cell>
          <cell r="TFN2" t="str">
            <v/>
          </cell>
          <cell r="TFO2" t="str">
            <v/>
          </cell>
          <cell r="TFP2" t="str">
            <v/>
          </cell>
          <cell r="TFQ2" t="str">
            <v/>
          </cell>
          <cell r="TFR2" t="str">
            <v/>
          </cell>
          <cell r="TFS2" t="str">
            <v/>
          </cell>
          <cell r="TFT2" t="str">
            <v/>
          </cell>
          <cell r="TFU2" t="str">
            <v/>
          </cell>
          <cell r="TFV2" t="str">
            <v/>
          </cell>
          <cell r="TFW2" t="str">
            <v/>
          </cell>
          <cell r="TFX2" t="str">
            <v/>
          </cell>
          <cell r="TFY2" t="str">
            <v/>
          </cell>
          <cell r="TFZ2" t="str">
            <v/>
          </cell>
          <cell r="TGA2" t="str">
            <v/>
          </cell>
          <cell r="TGB2" t="str">
            <v/>
          </cell>
          <cell r="TGC2" t="str">
            <v/>
          </cell>
          <cell r="TGD2" t="str">
            <v/>
          </cell>
          <cell r="TGE2" t="str">
            <v/>
          </cell>
          <cell r="TGF2" t="str">
            <v/>
          </cell>
          <cell r="TGG2" t="str">
            <v/>
          </cell>
          <cell r="TGH2" t="str">
            <v/>
          </cell>
          <cell r="TGI2" t="str">
            <v/>
          </cell>
          <cell r="TGJ2" t="str">
            <v/>
          </cell>
          <cell r="TGK2" t="str">
            <v/>
          </cell>
          <cell r="TGL2" t="str">
            <v/>
          </cell>
          <cell r="TGM2" t="str">
            <v/>
          </cell>
          <cell r="TGN2" t="str">
            <v/>
          </cell>
          <cell r="TGO2" t="str">
            <v/>
          </cell>
          <cell r="TGP2" t="str">
            <v/>
          </cell>
          <cell r="TGQ2" t="str">
            <v/>
          </cell>
          <cell r="TGR2" t="str">
            <v/>
          </cell>
          <cell r="TGS2" t="str">
            <v/>
          </cell>
          <cell r="TGT2" t="str">
            <v/>
          </cell>
          <cell r="TGU2" t="str">
            <v/>
          </cell>
          <cell r="TGV2" t="str">
            <v/>
          </cell>
          <cell r="TGW2" t="str">
            <v/>
          </cell>
          <cell r="TGX2" t="str">
            <v/>
          </cell>
          <cell r="TGY2" t="str">
            <v/>
          </cell>
          <cell r="TGZ2" t="str">
            <v/>
          </cell>
          <cell r="THA2" t="str">
            <v/>
          </cell>
          <cell r="THB2" t="str">
            <v/>
          </cell>
          <cell r="THC2" t="str">
            <v/>
          </cell>
          <cell r="THD2" t="str">
            <v/>
          </cell>
          <cell r="THE2" t="str">
            <v/>
          </cell>
          <cell r="THF2" t="str">
            <v/>
          </cell>
          <cell r="THG2" t="str">
            <v/>
          </cell>
          <cell r="THH2" t="str">
            <v/>
          </cell>
          <cell r="THI2" t="str">
            <v/>
          </cell>
          <cell r="THJ2" t="str">
            <v/>
          </cell>
          <cell r="THK2" t="str">
            <v/>
          </cell>
          <cell r="THL2" t="str">
            <v/>
          </cell>
          <cell r="THM2" t="str">
            <v/>
          </cell>
          <cell r="THN2" t="str">
            <v/>
          </cell>
          <cell r="THO2" t="str">
            <v/>
          </cell>
          <cell r="THP2" t="str">
            <v/>
          </cell>
          <cell r="THQ2" t="str">
            <v/>
          </cell>
          <cell r="THR2" t="str">
            <v/>
          </cell>
          <cell r="THS2" t="str">
            <v/>
          </cell>
          <cell r="THT2" t="str">
            <v/>
          </cell>
          <cell r="THU2" t="str">
            <v/>
          </cell>
          <cell r="THV2" t="str">
            <v/>
          </cell>
          <cell r="THW2" t="str">
            <v/>
          </cell>
          <cell r="THX2" t="str">
            <v/>
          </cell>
          <cell r="THY2" t="str">
            <v/>
          </cell>
          <cell r="THZ2" t="str">
            <v/>
          </cell>
          <cell r="TIA2" t="str">
            <v/>
          </cell>
          <cell r="TIB2" t="str">
            <v/>
          </cell>
          <cell r="TIC2" t="str">
            <v/>
          </cell>
          <cell r="TID2" t="str">
            <v/>
          </cell>
          <cell r="TIE2" t="str">
            <v/>
          </cell>
          <cell r="TIF2" t="str">
            <v/>
          </cell>
          <cell r="TIG2" t="str">
            <v/>
          </cell>
          <cell r="TIH2" t="str">
            <v/>
          </cell>
          <cell r="TII2" t="str">
            <v/>
          </cell>
          <cell r="TIJ2" t="str">
            <v/>
          </cell>
          <cell r="TIK2" t="str">
            <v/>
          </cell>
          <cell r="TIL2" t="str">
            <v/>
          </cell>
          <cell r="TIM2" t="str">
            <v/>
          </cell>
          <cell r="TIN2" t="str">
            <v/>
          </cell>
          <cell r="TIO2" t="str">
            <v/>
          </cell>
          <cell r="TIP2" t="str">
            <v/>
          </cell>
          <cell r="TIQ2" t="str">
            <v/>
          </cell>
          <cell r="TIR2" t="str">
            <v/>
          </cell>
          <cell r="TIS2" t="str">
            <v/>
          </cell>
          <cell r="TIT2" t="str">
            <v/>
          </cell>
          <cell r="TIU2" t="str">
            <v/>
          </cell>
          <cell r="TIV2" t="str">
            <v/>
          </cell>
          <cell r="TIW2" t="str">
            <v/>
          </cell>
          <cell r="TIX2" t="str">
            <v/>
          </cell>
          <cell r="TIY2" t="str">
            <v/>
          </cell>
          <cell r="TIZ2" t="str">
            <v/>
          </cell>
          <cell r="TJA2" t="str">
            <v/>
          </cell>
          <cell r="TJB2" t="str">
            <v/>
          </cell>
          <cell r="TJC2" t="str">
            <v/>
          </cell>
          <cell r="TJD2" t="str">
            <v/>
          </cell>
          <cell r="TJE2" t="str">
            <v/>
          </cell>
          <cell r="TJF2" t="str">
            <v/>
          </cell>
          <cell r="TJG2" t="str">
            <v/>
          </cell>
          <cell r="TJH2" t="str">
            <v/>
          </cell>
          <cell r="TJI2" t="str">
            <v/>
          </cell>
          <cell r="TJJ2" t="str">
            <v/>
          </cell>
          <cell r="TJK2" t="str">
            <v/>
          </cell>
          <cell r="TJL2" t="str">
            <v/>
          </cell>
          <cell r="TJM2" t="str">
            <v/>
          </cell>
          <cell r="TJN2" t="str">
            <v/>
          </cell>
          <cell r="TJO2" t="str">
            <v/>
          </cell>
          <cell r="TJP2" t="str">
            <v/>
          </cell>
          <cell r="TJQ2" t="str">
            <v/>
          </cell>
          <cell r="TJR2" t="str">
            <v/>
          </cell>
          <cell r="TJS2" t="str">
            <v/>
          </cell>
          <cell r="TJT2" t="str">
            <v/>
          </cell>
          <cell r="TJU2" t="str">
            <v/>
          </cell>
          <cell r="TJV2" t="str">
            <v/>
          </cell>
          <cell r="TJW2" t="str">
            <v/>
          </cell>
          <cell r="TJX2" t="str">
            <v/>
          </cell>
          <cell r="TJY2" t="str">
            <v/>
          </cell>
          <cell r="TJZ2" t="str">
            <v/>
          </cell>
          <cell r="TKA2" t="str">
            <v/>
          </cell>
          <cell r="TKB2" t="str">
            <v/>
          </cell>
          <cell r="TKC2" t="str">
            <v/>
          </cell>
          <cell r="TKD2" t="str">
            <v/>
          </cell>
          <cell r="TKE2" t="str">
            <v/>
          </cell>
          <cell r="TKF2" t="str">
            <v/>
          </cell>
          <cell r="TKG2" t="str">
            <v/>
          </cell>
          <cell r="TKH2" t="str">
            <v/>
          </cell>
          <cell r="TKI2" t="str">
            <v/>
          </cell>
          <cell r="TKJ2" t="str">
            <v/>
          </cell>
          <cell r="TKK2" t="str">
            <v/>
          </cell>
          <cell r="TKL2" t="str">
            <v/>
          </cell>
          <cell r="TKM2" t="str">
            <v/>
          </cell>
          <cell r="TKN2" t="str">
            <v/>
          </cell>
          <cell r="TKO2" t="str">
            <v/>
          </cell>
          <cell r="TKP2" t="str">
            <v/>
          </cell>
          <cell r="TKQ2" t="str">
            <v/>
          </cell>
          <cell r="TKR2" t="str">
            <v/>
          </cell>
          <cell r="TKS2" t="str">
            <v/>
          </cell>
          <cell r="TKT2" t="str">
            <v/>
          </cell>
          <cell r="TKU2" t="str">
            <v/>
          </cell>
          <cell r="TKV2" t="str">
            <v/>
          </cell>
          <cell r="TKW2" t="str">
            <v/>
          </cell>
          <cell r="TKX2" t="str">
            <v/>
          </cell>
          <cell r="TKY2" t="str">
            <v/>
          </cell>
          <cell r="TKZ2" t="str">
            <v/>
          </cell>
          <cell r="TLA2" t="str">
            <v/>
          </cell>
          <cell r="TLB2" t="str">
            <v/>
          </cell>
          <cell r="TLC2" t="str">
            <v/>
          </cell>
          <cell r="TLD2" t="str">
            <v/>
          </cell>
          <cell r="TLE2" t="str">
            <v/>
          </cell>
          <cell r="TLF2" t="str">
            <v/>
          </cell>
          <cell r="TLG2" t="str">
            <v/>
          </cell>
          <cell r="TLH2" t="str">
            <v/>
          </cell>
          <cell r="TLI2" t="str">
            <v/>
          </cell>
          <cell r="TLJ2" t="str">
            <v/>
          </cell>
          <cell r="TLK2" t="str">
            <v/>
          </cell>
          <cell r="TLL2" t="str">
            <v/>
          </cell>
          <cell r="TLM2" t="str">
            <v/>
          </cell>
          <cell r="TLN2" t="str">
            <v/>
          </cell>
          <cell r="TLO2" t="str">
            <v/>
          </cell>
          <cell r="TLP2" t="str">
            <v/>
          </cell>
          <cell r="TLQ2" t="str">
            <v/>
          </cell>
          <cell r="TLR2" t="str">
            <v/>
          </cell>
          <cell r="TLS2" t="str">
            <v/>
          </cell>
          <cell r="TLT2" t="str">
            <v/>
          </cell>
          <cell r="TLU2" t="str">
            <v/>
          </cell>
          <cell r="TLV2" t="str">
            <v/>
          </cell>
          <cell r="TLW2" t="str">
            <v/>
          </cell>
          <cell r="TLX2" t="str">
            <v/>
          </cell>
          <cell r="TLY2" t="str">
            <v/>
          </cell>
          <cell r="TLZ2" t="str">
            <v/>
          </cell>
          <cell r="TMA2" t="str">
            <v/>
          </cell>
          <cell r="TMB2" t="str">
            <v/>
          </cell>
          <cell r="TMC2" t="str">
            <v/>
          </cell>
          <cell r="TMD2" t="str">
            <v/>
          </cell>
          <cell r="TME2" t="str">
            <v/>
          </cell>
          <cell r="TMF2" t="str">
            <v/>
          </cell>
          <cell r="TMG2" t="str">
            <v/>
          </cell>
          <cell r="TMH2" t="str">
            <v/>
          </cell>
          <cell r="TMI2" t="str">
            <v/>
          </cell>
          <cell r="TMJ2" t="str">
            <v/>
          </cell>
          <cell r="TMK2" t="str">
            <v/>
          </cell>
          <cell r="TML2" t="str">
            <v/>
          </cell>
          <cell r="TMM2" t="str">
            <v/>
          </cell>
          <cell r="TMN2" t="str">
            <v/>
          </cell>
          <cell r="TMO2" t="str">
            <v/>
          </cell>
          <cell r="TMP2" t="str">
            <v/>
          </cell>
          <cell r="TMQ2" t="str">
            <v/>
          </cell>
          <cell r="TMR2" t="str">
            <v/>
          </cell>
          <cell r="TMS2" t="str">
            <v/>
          </cell>
          <cell r="TMT2" t="str">
            <v/>
          </cell>
          <cell r="TMU2" t="str">
            <v/>
          </cell>
          <cell r="TMV2" t="str">
            <v/>
          </cell>
          <cell r="TMW2" t="str">
            <v/>
          </cell>
          <cell r="TMX2" t="str">
            <v/>
          </cell>
          <cell r="TMY2" t="str">
            <v/>
          </cell>
          <cell r="TMZ2" t="str">
            <v/>
          </cell>
          <cell r="TNA2" t="str">
            <v/>
          </cell>
          <cell r="TNB2" t="str">
            <v/>
          </cell>
          <cell r="TNC2" t="str">
            <v/>
          </cell>
          <cell r="TND2" t="str">
            <v/>
          </cell>
          <cell r="TNE2" t="str">
            <v/>
          </cell>
          <cell r="TNF2" t="str">
            <v/>
          </cell>
          <cell r="TNG2" t="str">
            <v/>
          </cell>
          <cell r="TNH2" t="str">
            <v/>
          </cell>
          <cell r="TNI2" t="str">
            <v/>
          </cell>
          <cell r="TNJ2" t="str">
            <v/>
          </cell>
          <cell r="TNK2" t="str">
            <v/>
          </cell>
          <cell r="TNL2" t="str">
            <v/>
          </cell>
          <cell r="TNM2" t="str">
            <v/>
          </cell>
          <cell r="TNN2" t="str">
            <v/>
          </cell>
          <cell r="TNO2" t="str">
            <v/>
          </cell>
          <cell r="TNP2" t="str">
            <v/>
          </cell>
          <cell r="TNQ2" t="str">
            <v/>
          </cell>
          <cell r="TNR2" t="str">
            <v/>
          </cell>
          <cell r="TNS2" t="str">
            <v/>
          </cell>
          <cell r="TNT2" t="str">
            <v/>
          </cell>
          <cell r="TNU2" t="str">
            <v/>
          </cell>
          <cell r="TNV2" t="str">
            <v/>
          </cell>
          <cell r="TNW2" t="str">
            <v/>
          </cell>
          <cell r="TNX2" t="str">
            <v/>
          </cell>
          <cell r="TNY2" t="str">
            <v/>
          </cell>
          <cell r="TNZ2" t="str">
            <v/>
          </cell>
          <cell r="TOA2" t="str">
            <v/>
          </cell>
          <cell r="TOB2" t="str">
            <v/>
          </cell>
          <cell r="TOC2" t="str">
            <v/>
          </cell>
          <cell r="TOD2" t="str">
            <v/>
          </cell>
          <cell r="TOE2" t="str">
            <v/>
          </cell>
          <cell r="TOF2" t="str">
            <v/>
          </cell>
          <cell r="TOG2" t="str">
            <v/>
          </cell>
          <cell r="TOH2" t="str">
            <v/>
          </cell>
          <cell r="TOI2" t="str">
            <v/>
          </cell>
          <cell r="TOJ2" t="str">
            <v/>
          </cell>
          <cell r="TOK2" t="str">
            <v/>
          </cell>
          <cell r="TOL2" t="str">
            <v/>
          </cell>
          <cell r="TOM2" t="str">
            <v/>
          </cell>
          <cell r="TON2" t="str">
            <v/>
          </cell>
          <cell r="TOO2" t="str">
            <v/>
          </cell>
          <cell r="TOP2" t="str">
            <v/>
          </cell>
          <cell r="TOQ2" t="str">
            <v/>
          </cell>
          <cell r="TOR2" t="str">
            <v/>
          </cell>
          <cell r="TOS2" t="str">
            <v/>
          </cell>
          <cell r="TOT2" t="str">
            <v/>
          </cell>
          <cell r="TOU2" t="str">
            <v/>
          </cell>
          <cell r="TOV2" t="str">
            <v/>
          </cell>
          <cell r="TOW2" t="str">
            <v/>
          </cell>
          <cell r="TOX2" t="str">
            <v/>
          </cell>
          <cell r="TOY2" t="str">
            <v/>
          </cell>
          <cell r="TOZ2" t="str">
            <v/>
          </cell>
          <cell r="TPA2" t="str">
            <v/>
          </cell>
          <cell r="TPB2" t="str">
            <v/>
          </cell>
          <cell r="TPC2" t="str">
            <v/>
          </cell>
          <cell r="TPD2" t="str">
            <v/>
          </cell>
          <cell r="TPE2" t="str">
            <v/>
          </cell>
          <cell r="TPF2" t="str">
            <v/>
          </cell>
          <cell r="TPG2" t="str">
            <v/>
          </cell>
          <cell r="TPH2" t="str">
            <v/>
          </cell>
          <cell r="TPI2" t="str">
            <v/>
          </cell>
          <cell r="TPJ2" t="str">
            <v/>
          </cell>
          <cell r="TPK2" t="str">
            <v/>
          </cell>
          <cell r="TPL2" t="str">
            <v/>
          </cell>
          <cell r="TPM2" t="str">
            <v/>
          </cell>
          <cell r="TPN2" t="str">
            <v/>
          </cell>
          <cell r="TPO2" t="str">
            <v/>
          </cell>
          <cell r="TPP2" t="str">
            <v/>
          </cell>
          <cell r="TPQ2" t="str">
            <v/>
          </cell>
          <cell r="TPR2" t="str">
            <v/>
          </cell>
          <cell r="TPS2" t="str">
            <v/>
          </cell>
          <cell r="TPT2" t="str">
            <v/>
          </cell>
          <cell r="TPU2" t="str">
            <v/>
          </cell>
          <cell r="TPV2" t="str">
            <v/>
          </cell>
          <cell r="TPW2" t="str">
            <v/>
          </cell>
          <cell r="TPX2" t="str">
            <v/>
          </cell>
          <cell r="TPY2" t="str">
            <v/>
          </cell>
          <cell r="TPZ2" t="str">
            <v/>
          </cell>
          <cell r="TQA2" t="str">
            <v/>
          </cell>
          <cell r="TQB2" t="str">
            <v/>
          </cell>
          <cell r="TQC2" t="str">
            <v/>
          </cell>
          <cell r="TQD2" t="str">
            <v/>
          </cell>
          <cell r="TQE2" t="str">
            <v/>
          </cell>
          <cell r="TQF2" t="str">
            <v/>
          </cell>
          <cell r="TQG2" t="str">
            <v/>
          </cell>
          <cell r="TQH2" t="str">
            <v/>
          </cell>
          <cell r="TQI2" t="str">
            <v/>
          </cell>
          <cell r="TQJ2" t="str">
            <v/>
          </cell>
          <cell r="TQK2" t="str">
            <v/>
          </cell>
          <cell r="TQL2" t="str">
            <v/>
          </cell>
          <cell r="TQM2" t="str">
            <v/>
          </cell>
          <cell r="TQN2" t="str">
            <v/>
          </cell>
          <cell r="TQO2" t="str">
            <v/>
          </cell>
          <cell r="TQP2" t="str">
            <v/>
          </cell>
          <cell r="TQQ2" t="str">
            <v/>
          </cell>
          <cell r="TQR2" t="str">
            <v/>
          </cell>
          <cell r="TQS2" t="str">
            <v/>
          </cell>
          <cell r="TQT2" t="str">
            <v/>
          </cell>
          <cell r="TQU2" t="str">
            <v/>
          </cell>
          <cell r="TQV2" t="str">
            <v/>
          </cell>
          <cell r="TQW2" t="str">
            <v/>
          </cell>
          <cell r="TQX2" t="str">
            <v/>
          </cell>
          <cell r="TQY2" t="str">
            <v/>
          </cell>
          <cell r="TQZ2" t="str">
            <v/>
          </cell>
          <cell r="TRA2" t="str">
            <v/>
          </cell>
          <cell r="TRB2" t="str">
            <v/>
          </cell>
          <cell r="TRC2" t="str">
            <v/>
          </cell>
          <cell r="TRD2" t="str">
            <v/>
          </cell>
          <cell r="TRE2" t="str">
            <v/>
          </cell>
          <cell r="TRF2" t="str">
            <v/>
          </cell>
          <cell r="TRG2" t="str">
            <v/>
          </cell>
          <cell r="TRH2" t="str">
            <v/>
          </cell>
          <cell r="TRI2" t="str">
            <v/>
          </cell>
          <cell r="TRJ2" t="str">
            <v/>
          </cell>
          <cell r="TRK2" t="str">
            <v/>
          </cell>
          <cell r="TRL2" t="str">
            <v/>
          </cell>
          <cell r="TRM2" t="str">
            <v/>
          </cell>
          <cell r="TRN2" t="str">
            <v/>
          </cell>
          <cell r="TRO2" t="str">
            <v/>
          </cell>
          <cell r="TRP2" t="str">
            <v/>
          </cell>
          <cell r="TRQ2" t="str">
            <v/>
          </cell>
          <cell r="TRR2" t="str">
            <v/>
          </cell>
          <cell r="TRS2" t="str">
            <v/>
          </cell>
          <cell r="TRT2" t="str">
            <v/>
          </cell>
          <cell r="TRU2" t="str">
            <v/>
          </cell>
          <cell r="TRV2" t="str">
            <v/>
          </cell>
          <cell r="TRW2" t="str">
            <v/>
          </cell>
          <cell r="TRX2" t="str">
            <v/>
          </cell>
          <cell r="TRY2" t="str">
            <v/>
          </cell>
          <cell r="TRZ2" t="str">
            <v/>
          </cell>
          <cell r="TSA2" t="str">
            <v/>
          </cell>
          <cell r="TSB2" t="str">
            <v/>
          </cell>
          <cell r="TSC2" t="str">
            <v/>
          </cell>
          <cell r="TSD2" t="str">
            <v/>
          </cell>
          <cell r="TSE2" t="str">
            <v/>
          </cell>
          <cell r="TSF2" t="str">
            <v/>
          </cell>
          <cell r="TSG2" t="str">
            <v/>
          </cell>
          <cell r="TSH2" t="str">
            <v/>
          </cell>
          <cell r="TSI2" t="str">
            <v/>
          </cell>
          <cell r="TSJ2" t="str">
            <v/>
          </cell>
          <cell r="TSK2" t="str">
            <v/>
          </cell>
          <cell r="TSL2" t="str">
            <v/>
          </cell>
          <cell r="TSM2" t="str">
            <v/>
          </cell>
          <cell r="TSN2" t="str">
            <v/>
          </cell>
          <cell r="TSO2" t="str">
            <v/>
          </cell>
          <cell r="TSP2" t="str">
            <v/>
          </cell>
          <cell r="TSQ2" t="str">
            <v/>
          </cell>
          <cell r="TSR2" t="str">
            <v/>
          </cell>
          <cell r="TSS2" t="str">
            <v/>
          </cell>
          <cell r="TST2" t="str">
            <v/>
          </cell>
          <cell r="TSU2" t="str">
            <v/>
          </cell>
          <cell r="TSV2" t="str">
            <v/>
          </cell>
          <cell r="TSW2" t="str">
            <v/>
          </cell>
          <cell r="TSX2" t="str">
            <v/>
          </cell>
          <cell r="TSY2" t="str">
            <v/>
          </cell>
          <cell r="TSZ2" t="str">
            <v/>
          </cell>
          <cell r="TTA2" t="str">
            <v/>
          </cell>
          <cell r="TTB2" t="str">
            <v/>
          </cell>
          <cell r="TTC2" t="str">
            <v/>
          </cell>
          <cell r="TTD2" t="str">
            <v/>
          </cell>
          <cell r="TTE2" t="str">
            <v/>
          </cell>
          <cell r="TTF2" t="str">
            <v/>
          </cell>
          <cell r="TTG2" t="str">
            <v/>
          </cell>
          <cell r="TTH2" t="str">
            <v/>
          </cell>
          <cell r="TTI2" t="str">
            <v/>
          </cell>
          <cell r="TTJ2" t="str">
            <v/>
          </cell>
          <cell r="TTK2" t="str">
            <v/>
          </cell>
          <cell r="TTL2" t="str">
            <v/>
          </cell>
          <cell r="TTM2" t="str">
            <v/>
          </cell>
          <cell r="TTN2" t="str">
            <v/>
          </cell>
          <cell r="TTO2" t="str">
            <v/>
          </cell>
          <cell r="TTP2" t="str">
            <v/>
          </cell>
          <cell r="TTQ2" t="str">
            <v/>
          </cell>
          <cell r="TTR2" t="str">
            <v/>
          </cell>
          <cell r="TTS2" t="str">
            <v/>
          </cell>
          <cell r="TTT2" t="str">
            <v/>
          </cell>
          <cell r="TTU2" t="str">
            <v/>
          </cell>
          <cell r="TTV2" t="str">
            <v/>
          </cell>
          <cell r="TTW2" t="str">
            <v/>
          </cell>
          <cell r="TTX2" t="str">
            <v/>
          </cell>
          <cell r="TTY2" t="str">
            <v/>
          </cell>
          <cell r="TTZ2" t="str">
            <v/>
          </cell>
          <cell r="TUA2" t="str">
            <v/>
          </cell>
          <cell r="TUB2" t="str">
            <v/>
          </cell>
          <cell r="TUC2" t="str">
            <v/>
          </cell>
          <cell r="TUD2" t="str">
            <v/>
          </cell>
          <cell r="TUE2" t="str">
            <v/>
          </cell>
          <cell r="TUF2" t="str">
            <v/>
          </cell>
          <cell r="TUG2" t="str">
            <v/>
          </cell>
          <cell r="TUH2" t="str">
            <v/>
          </cell>
          <cell r="TUI2" t="str">
            <v/>
          </cell>
          <cell r="TUJ2" t="str">
            <v/>
          </cell>
          <cell r="TUK2" t="str">
            <v/>
          </cell>
          <cell r="TUL2" t="str">
            <v/>
          </cell>
          <cell r="TUM2" t="str">
            <v/>
          </cell>
          <cell r="TUN2" t="str">
            <v/>
          </cell>
          <cell r="TUO2" t="str">
            <v/>
          </cell>
          <cell r="TUP2" t="str">
            <v/>
          </cell>
          <cell r="TUQ2" t="str">
            <v/>
          </cell>
          <cell r="TUR2" t="str">
            <v/>
          </cell>
          <cell r="TUS2" t="str">
            <v/>
          </cell>
          <cell r="TUT2" t="str">
            <v/>
          </cell>
          <cell r="TUU2" t="str">
            <v/>
          </cell>
          <cell r="TUV2" t="str">
            <v/>
          </cell>
          <cell r="TUW2" t="str">
            <v/>
          </cell>
          <cell r="TUX2" t="str">
            <v/>
          </cell>
          <cell r="TUY2" t="str">
            <v/>
          </cell>
          <cell r="TUZ2" t="str">
            <v/>
          </cell>
          <cell r="TVA2" t="str">
            <v/>
          </cell>
          <cell r="TVB2" t="str">
            <v/>
          </cell>
          <cell r="TVC2" t="str">
            <v/>
          </cell>
          <cell r="TVD2" t="str">
            <v/>
          </cell>
          <cell r="TVE2" t="str">
            <v/>
          </cell>
          <cell r="TVF2" t="str">
            <v/>
          </cell>
          <cell r="TVG2" t="str">
            <v/>
          </cell>
          <cell r="TVH2" t="str">
            <v/>
          </cell>
          <cell r="TVI2" t="str">
            <v/>
          </cell>
          <cell r="TVJ2" t="str">
            <v/>
          </cell>
          <cell r="TVK2" t="str">
            <v/>
          </cell>
          <cell r="TVL2" t="str">
            <v/>
          </cell>
          <cell r="TVM2" t="str">
            <v/>
          </cell>
          <cell r="TVN2" t="str">
            <v/>
          </cell>
          <cell r="TVO2" t="str">
            <v/>
          </cell>
          <cell r="TVP2" t="str">
            <v/>
          </cell>
          <cell r="TVQ2" t="str">
            <v/>
          </cell>
          <cell r="TVR2" t="str">
            <v/>
          </cell>
          <cell r="TVS2" t="str">
            <v/>
          </cell>
          <cell r="TVT2" t="str">
            <v/>
          </cell>
          <cell r="TVU2" t="str">
            <v/>
          </cell>
          <cell r="TVV2" t="str">
            <v/>
          </cell>
          <cell r="TVW2" t="str">
            <v/>
          </cell>
          <cell r="TVX2" t="str">
            <v/>
          </cell>
          <cell r="TVY2" t="str">
            <v/>
          </cell>
          <cell r="TVZ2" t="str">
            <v/>
          </cell>
          <cell r="TWA2" t="str">
            <v/>
          </cell>
          <cell r="TWB2" t="str">
            <v/>
          </cell>
          <cell r="TWC2" t="str">
            <v/>
          </cell>
          <cell r="TWD2" t="str">
            <v/>
          </cell>
          <cell r="TWE2" t="str">
            <v/>
          </cell>
          <cell r="TWF2" t="str">
            <v/>
          </cell>
          <cell r="TWG2" t="str">
            <v/>
          </cell>
          <cell r="TWH2" t="str">
            <v/>
          </cell>
          <cell r="TWI2" t="str">
            <v/>
          </cell>
          <cell r="TWJ2" t="str">
            <v/>
          </cell>
          <cell r="TWK2" t="str">
            <v/>
          </cell>
          <cell r="TWL2" t="str">
            <v/>
          </cell>
          <cell r="TWM2" t="str">
            <v/>
          </cell>
          <cell r="TWN2" t="str">
            <v/>
          </cell>
          <cell r="TWO2" t="str">
            <v/>
          </cell>
          <cell r="TWP2" t="str">
            <v/>
          </cell>
          <cell r="TWQ2" t="str">
            <v/>
          </cell>
          <cell r="TWR2" t="str">
            <v/>
          </cell>
          <cell r="TWS2" t="str">
            <v/>
          </cell>
          <cell r="TWT2" t="str">
            <v/>
          </cell>
          <cell r="TWU2" t="str">
            <v/>
          </cell>
          <cell r="TWV2" t="str">
            <v/>
          </cell>
          <cell r="TWW2" t="str">
            <v/>
          </cell>
          <cell r="TWX2" t="str">
            <v/>
          </cell>
          <cell r="TWY2" t="str">
            <v/>
          </cell>
          <cell r="TWZ2" t="str">
            <v/>
          </cell>
          <cell r="TXA2" t="str">
            <v/>
          </cell>
          <cell r="TXB2" t="str">
            <v/>
          </cell>
          <cell r="TXC2" t="str">
            <v/>
          </cell>
          <cell r="TXD2" t="str">
            <v/>
          </cell>
          <cell r="TXE2" t="str">
            <v/>
          </cell>
          <cell r="TXF2" t="str">
            <v/>
          </cell>
          <cell r="TXG2" t="str">
            <v/>
          </cell>
          <cell r="TXH2" t="str">
            <v/>
          </cell>
          <cell r="TXI2" t="str">
            <v/>
          </cell>
          <cell r="TXJ2" t="str">
            <v/>
          </cell>
          <cell r="TXK2" t="str">
            <v/>
          </cell>
          <cell r="TXL2" t="str">
            <v/>
          </cell>
          <cell r="TXM2" t="str">
            <v/>
          </cell>
          <cell r="TXN2" t="str">
            <v/>
          </cell>
          <cell r="TXO2" t="str">
            <v/>
          </cell>
          <cell r="TXP2" t="str">
            <v/>
          </cell>
          <cell r="TXQ2" t="str">
            <v/>
          </cell>
          <cell r="TXR2" t="str">
            <v/>
          </cell>
          <cell r="TXS2" t="str">
            <v/>
          </cell>
          <cell r="TXT2" t="str">
            <v/>
          </cell>
          <cell r="TXU2" t="str">
            <v/>
          </cell>
          <cell r="TXV2" t="str">
            <v/>
          </cell>
          <cell r="TXW2" t="str">
            <v/>
          </cell>
          <cell r="TXX2" t="str">
            <v/>
          </cell>
          <cell r="TXY2" t="str">
            <v/>
          </cell>
          <cell r="TXZ2" t="str">
            <v/>
          </cell>
          <cell r="TYA2" t="str">
            <v/>
          </cell>
          <cell r="TYB2" t="str">
            <v/>
          </cell>
          <cell r="TYC2" t="str">
            <v/>
          </cell>
          <cell r="TYD2" t="str">
            <v/>
          </cell>
          <cell r="TYE2" t="str">
            <v/>
          </cell>
          <cell r="TYF2" t="str">
            <v/>
          </cell>
          <cell r="TYG2" t="str">
            <v/>
          </cell>
          <cell r="TYH2" t="str">
            <v/>
          </cell>
          <cell r="TYI2" t="str">
            <v/>
          </cell>
          <cell r="TYJ2" t="str">
            <v/>
          </cell>
          <cell r="TYK2" t="str">
            <v/>
          </cell>
          <cell r="TYL2" t="str">
            <v/>
          </cell>
          <cell r="TYM2" t="str">
            <v/>
          </cell>
          <cell r="TYN2" t="str">
            <v/>
          </cell>
          <cell r="TYO2" t="str">
            <v/>
          </cell>
          <cell r="TYP2" t="str">
            <v/>
          </cell>
          <cell r="TYQ2" t="str">
            <v/>
          </cell>
          <cell r="TYR2" t="str">
            <v/>
          </cell>
          <cell r="TYS2" t="str">
            <v/>
          </cell>
          <cell r="TYT2" t="str">
            <v/>
          </cell>
          <cell r="TYU2" t="str">
            <v/>
          </cell>
          <cell r="TYV2" t="str">
            <v/>
          </cell>
          <cell r="TYW2" t="str">
            <v/>
          </cell>
          <cell r="TYX2" t="str">
            <v/>
          </cell>
          <cell r="TYY2" t="str">
            <v/>
          </cell>
          <cell r="TYZ2" t="str">
            <v/>
          </cell>
          <cell r="TZA2" t="str">
            <v/>
          </cell>
          <cell r="TZB2" t="str">
            <v/>
          </cell>
          <cell r="TZC2" t="str">
            <v/>
          </cell>
          <cell r="TZD2" t="str">
            <v/>
          </cell>
          <cell r="TZE2" t="str">
            <v/>
          </cell>
          <cell r="TZF2" t="str">
            <v/>
          </cell>
          <cell r="TZG2" t="str">
            <v/>
          </cell>
          <cell r="TZH2" t="str">
            <v/>
          </cell>
          <cell r="TZI2" t="str">
            <v/>
          </cell>
          <cell r="TZJ2" t="str">
            <v/>
          </cell>
          <cell r="TZK2" t="str">
            <v/>
          </cell>
          <cell r="TZL2" t="str">
            <v/>
          </cell>
          <cell r="TZM2" t="str">
            <v/>
          </cell>
          <cell r="TZN2" t="str">
            <v/>
          </cell>
          <cell r="TZO2" t="str">
            <v/>
          </cell>
          <cell r="TZP2" t="str">
            <v/>
          </cell>
          <cell r="TZQ2" t="str">
            <v/>
          </cell>
          <cell r="TZR2" t="str">
            <v/>
          </cell>
          <cell r="TZS2" t="str">
            <v/>
          </cell>
          <cell r="TZT2" t="str">
            <v/>
          </cell>
          <cell r="TZU2" t="str">
            <v/>
          </cell>
          <cell r="TZV2" t="str">
            <v/>
          </cell>
          <cell r="TZW2" t="str">
            <v/>
          </cell>
          <cell r="TZX2" t="str">
            <v/>
          </cell>
          <cell r="TZY2" t="str">
            <v/>
          </cell>
          <cell r="TZZ2" t="str">
            <v/>
          </cell>
          <cell r="UAA2" t="str">
            <v/>
          </cell>
          <cell r="UAB2" t="str">
            <v/>
          </cell>
          <cell r="UAC2" t="str">
            <v/>
          </cell>
          <cell r="UAD2" t="str">
            <v/>
          </cell>
          <cell r="UAE2" t="str">
            <v/>
          </cell>
          <cell r="UAF2" t="str">
            <v/>
          </cell>
          <cell r="UAG2" t="str">
            <v/>
          </cell>
          <cell r="UAH2" t="str">
            <v/>
          </cell>
          <cell r="UAI2" t="str">
            <v/>
          </cell>
          <cell r="UAJ2" t="str">
            <v/>
          </cell>
          <cell r="UAK2" t="str">
            <v/>
          </cell>
          <cell r="UAL2" t="str">
            <v/>
          </cell>
          <cell r="UAM2" t="str">
            <v/>
          </cell>
          <cell r="UAN2" t="str">
            <v/>
          </cell>
          <cell r="UAO2" t="str">
            <v/>
          </cell>
          <cell r="UAP2" t="str">
            <v/>
          </cell>
          <cell r="UAQ2" t="str">
            <v/>
          </cell>
          <cell r="UAR2" t="str">
            <v/>
          </cell>
          <cell r="UAS2" t="str">
            <v/>
          </cell>
          <cell r="UAT2" t="str">
            <v/>
          </cell>
          <cell r="UAU2" t="str">
            <v/>
          </cell>
          <cell r="UAV2" t="str">
            <v/>
          </cell>
          <cell r="UAW2" t="str">
            <v/>
          </cell>
          <cell r="UAX2" t="str">
            <v/>
          </cell>
          <cell r="UAY2" t="str">
            <v/>
          </cell>
          <cell r="UAZ2" t="str">
            <v/>
          </cell>
          <cell r="UBA2" t="str">
            <v/>
          </cell>
          <cell r="UBB2" t="str">
            <v/>
          </cell>
          <cell r="UBC2" t="str">
            <v/>
          </cell>
          <cell r="UBD2" t="str">
            <v/>
          </cell>
          <cell r="UBE2" t="str">
            <v/>
          </cell>
          <cell r="UBF2" t="str">
            <v/>
          </cell>
          <cell r="UBG2" t="str">
            <v/>
          </cell>
          <cell r="UBH2" t="str">
            <v/>
          </cell>
          <cell r="UBI2" t="str">
            <v/>
          </cell>
          <cell r="UBJ2" t="str">
            <v/>
          </cell>
          <cell r="UBK2" t="str">
            <v/>
          </cell>
          <cell r="UBL2" t="str">
            <v/>
          </cell>
          <cell r="UBM2" t="str">
            <v/>
          </cell>
          <cell r="UBN2" t="str">
            <v/>
          </cell>
          <cell r="UBO2" t="str">
            <v/>
          </cell>
          <cell r="UBP2" t="str">
            <v/>
          </cell>
          <cell r="UBQ2" t="str">
            <v/>
          </cell>
          <cell r="UBR2" t="str">
            <v/>
          </cell>
          <cell r="UBS2" t="str">
            <v/>
          </cell>
          <cell r="UBT2" t="str">
            <v/>
          </cell>
          <cell r="UBU2" t="str">
            <v/>
          </cell>
          <cell r="UBV2" t="str">
            <v/>
          </cell>
          <cell r="UBW2" t="str">
            <v/>
          </cell>
          <cell r="UBX2" t="str">
            <v/>
          </cell>
          <cell r="UBY2" t="str">
            <v/>
          </cell>
          <cell r="UBZ2" t="str">
            <v/>
          </cell>
          <cell r="UCA2" t="str">
            <v/>
          </cell>
          <cell r="UCB2" t="str">
            <v/>
          </cell>
          <cell r="UCC2" t="str">
            <v/>
          </cell>
          <cell r="UCD2" t="str">
            <v/>
          </cell>
          <cell r="UCE2" t="str">
            <v/>
          </cell>
          <cell r="UCF2" t="str">
            <v/>
          </cell>
          <cell r="UCG2" t="str">
            <v/>
          </cell>
          <cell r="UCH2" t="str">
            <v/>
          </cell>
          <cell r="UCI2" t="str">
            <v/>
          </cell>
          <cell r="UCJ2" t="str">
            <v/>
          </cell>
          <cell r="UCK2" t="str">
            <v/>
          </cell>
          <cell r="UCL2" t="str">
            <v/>
          </cell>
          <cell r="UCM2" t="str">
            <v/>
          </cell>
          <cell r="UCN2" t="str">
            <v/>
          </cell>
          <cell r="UCO2" t="str">
            <v/>
          </cell>
          <cell r="UCP2" t="str">
            <v/>
          </cell>
          <cell r="UCQ2" t="str">
            <v/>
          </cell>
          <cell r="UCR2" t="str">
            <v/>
          </cell>
          <cell r="UCS2" t="str">
            <v/>
          </cell>
          <cell r="UCT2" t="str">
            <v/>
          </cell>
          <cell r="UCU2" t="str">
            <v/>
          </cell>
          <cell r="UCV2" t="str">
            <v/>
          </cell>
          <cell r="UCW2" t="str">
            <v/>
          </cell>
          <cell r="UCX2" t="str">
            <v/>
          </cell>
          <cell r="UCY2" t="str">
            <v/>
          </cell>
          <cell r="UCZ2" t="str">
            <v/>
          </cell>
          <cell r="UDA2" t="str">
            <v/>
          </cell>
          <cell r="UDB2" t="str">
            <v/>
          </cell>
          <cell r="UDC2" t="str">
            <v/>
          </cell>
          <cell r="UDD2" t="str">
            <v/>
          </cell>
          <cell r="UDE2" t="str">
            <v/>
          </cell>
          <cell r="UDF2" t="str">
            <v/>
          </cell>
          <cell r="UDG2" t="str">
            <v/>
          </cell>
          <cell r="UDH2" t="str">
            <v/>
          </cell>
          <cell r="UDI2" t="str">
            <v/>
          </cell>
          <cell r="UDJ2" t="str">
            <v/>
          </cell>
          <cell r="UDK2" t="str">
            <v/>
          </cell>
          <cell r="UDL2" t="str">
            <v/>
          </cell>
          <cell r="UDM2" t="str">
            <v/>
          </cell>
          <cell r="UDN2" t="str">
            <v/>
          </cell>
          <cell r="UDO2" t="str">
            <v/>
          </cell>
          <cell r="UDP2" t="str">
            <v/>
          </cell>
          <cell r="UDQ2" t="str">
            <v/>
          </cell>
          <cell r="UDR2" t="str">
            <v/>
          </cell>
          <cell r="UDS2" t="str">
            <v/>
          </cell>
          <cell r="UDT2" t="str">
            <v/>
          </cell>
          <cell r="UDU2" t="str">
            <v/>
          </cell>
          <cell r="UDV2" t="str">
            <v/>
          </cell>
          <cell r="UDW2" t="str">
            <v/>
          </cell>
          <cell r="UDX2" t="str">
            <v/>
          </cell>
          <cell r="UDY2" t="str">
            <v/>
          </cell>
          <cell r="UDZ2" t="str">
            <v/>
          </cell>
          <cell r="UEA2" t="str">
            <v/>
          </cell>
          <cell r="UEB2" t="str">
            <v/>
          </cell>
          <cell r="UEC2" t="str">
            <v/>
          </cell>
          <cell r="UED2" t="str">
            <v/>
          </cell>
          <cell r="UEE2" t="str">
            <v/>
          </cell>
          <cell r="UEF2" t="str">
            <v/>
          </cell>
          <cell r="UEG2" t="str">
            <v/>
          </cell>
          <cell r="UEH2" t="str">
            <v/>
          </cell>
          <cell r="UEI2" t="str">
            <v/>
          </cell>
          <cell r="UEJ2" t="str">
            <v/>
          </cell>
          <cell r="UEK2" t="str">
            <v/>
          </cell>
          <cell r="UEL2" t="str">
            <v/>
          </cell>
          <cell r="UEM2" t="str">
            <v/>
          </cell>
          <cell r="UEN2" t="str">
            <v/>
          </cell>
          <cell r="UEO2" t="str">
            <v/>
          </cell>
          <cell r="UEP2" t="str">
            <v/>
          </cell>
          <cell r="UEQ2" t="str">
            <v/>
          </cell>
          <cell r="UER2" t="str">
            <v/>
          </cell>
          <cell r="UES2" t="str">
            <v/>
          </cell>
          <cell r="UET2" t="str">
            <v/>
          </cell>
          <cell r="UEU2" t="str">
            <v/>
          </cell>
          <cell r="UEV2" t="str">
            <v/>
          </cell>
          <cell r="UEW2" t="str">
            <v/>
          </cell>
          <cell r="UEX2" t="str">
            <v/>
          </cell>
          <cell r="UEY2" t="str">
            <v/>
          </cell>
          <cell r="UEZ2" t="str">
            <v/>
          </cell>
          <cell r="UFA2" t="str">
            <v/>
          </cell>
          <cell r="UFB2" t="str">
            <v/>
          </cell>
          <cell r="UFC2" t="str">
            <v/>
          </cell>
          <cell r="UFD2" t="str">
            <v/>
          </cell>
          <cell r="UFE2" t="str">
            <v/>
          </cell>
          <cell r="UFF2" t="str">
            <v/>
          </cell>
          <cell r="UFG2" t="str">
            <v/>
          </cell>
          <cell r="UFH2" t="str">
            <v/>
          </cell>
          <cell r="UFI2" t="str">
            <v/>
          </cell>
          <cell r="UFJ2" t="str">
            <v/>
          </cell>
          <cell r="UFK2" t="str">
            <v/>
          </cell>
          <cell r="UFL2" t="str">
            <v/>
          </cell>
          <cell r="UFM2" t="str">
            <v/>
          </cell>
          <cell r="UFN2" t="str">
            <v/>
          </cell>
          <cell r="UFO2" t="str">
            <v/>
          </cell>
          <cell r="UFP2" t="str">
            <v/>
          </cell>
          <cell r="UFQ2" t="str">
            <v/>
          </cell>
          <cell r="UFR2" t="str">
            <v/>
          </cell>
          <cell r="UFS2" t="str">
            <v/>
          </cell>
          <cell r="UFT2" t="str">
            <v/>
          </cell>
          <cell r="UFU2" t="str">
            <v/>
          </cell>
          <cell r="UFV2" t="str">
            <v/>
          </cell>
          <cell r="UFW2" t="str">
            <v/>
          </cell>
          <cell r="UFX2" t="str">
            <v/>
          </cell>
          <cell r="UFY2" t="str">
            <v/>
          </cell>
          <cell r="UFZ2" t="str">
            <v/>
          </cell>
          <cell r="UGA2" t="str">
            <v/>
          </cell>
          <cell r="UGB2" t="str">
            <v/>
          </cell>
          <cell r="UGC2" t="str">
            <v/>
          </cell>
          <cell r="UGD2" t="str">
            <v/>
          </cell>
          <cell r="UGE2" t="str">
            <v/>
          </cell>
          <cell r="UGF2" t="str">
            <v/>
          </cell>
          <cell r="UGG2" t="str">
            <v/>
          </cell>
          <cell r="UGH2" t="str">
            <v/>
          </cell>
          <cell r="UGI2" t="str">
            <v/>
          </cell>
          <cell r="UGJ2" t="str">
            <v/>
          </cell>
          <cell r="UGK2" t="str">
            <v/>
          </cell>
          <cell r="UGL2" t="str">
            <v/>
          </cell>
          <cell r="UGM2" t="str">
            <v/>
          </cell>
          <cell r="UGN2" t="str">
            <v/>
          </cell>
          <cell r="UGO2" t="str">
            <v/>
          </cell>
          <cell r="UGP2" t="str">
            <v/>
          </cell>
          <cell r="UGQ2" t="str">
            <v/>
          </cell>
          <cell r="UGR2" t="str">
            <v/>
          </cell>
          <cell r="UGS2" t="str">
            <v/>
          </cell>
          <cell r="UGT2" t="str">
            <v/>
          </cell>
          <cell r="UGU2" t="str">
            <v/>
          </cell>
          <cell r="UGV2" t="str">
            <v/>
          </cell>
          <cell r="UGW2" t="str">
            <v/>
          </cell>
          <cell r="UGX2" t="str">
            <v/>
          </cell>
          <cell r="UGY2" t="str">
            <v/>
          </cell>
          <cell r="UGZ2" t="str">
            <v/>
          </cell>
          <cell r="UHA2" t="str">
            <v/>
          </cell>
          <cell r="UHB2" t="str">
            <v/>
          </cell>
          <cell r="UHC2" t="str">
            <v/>
          </cell>
          <cell r="UHD2" t="str">
            <v/>
          </cell>
          <cell r="UHE2" t="str">
            <v/>
          </cell>
          <cell r="UHF2" t="str">
            <v/>
          </cell>
          <cell r="UHG2" t="str">
            <v/>
          </cell>
          <cell r="UHH2" t="str">
            <v/>
          </cell>
          <cell r="UHI2" t="str">
            <v/>
          </cell>
          <cell r="UHJ2" t="str">
            <v/>
          </cell>
          <cell r="UHK2" t="str">
            <v/>
          </cell>
          <cell r="UHL2" t="str">
            <v/>
          </cell>
          <cell r="UHM2" t="str">
            <v/>
          </cell>
          <cell r="UHN2" t="str">
            <v/>
          </cell>
          <cell r="UHO2" t="str">
            <v/>
          </cell>
          <cell r="UHP2" t="str">
            <v/>
          </cell>
          <cell r="UHQ2" t="str">
            <v/>
          </cell>
          <cell r="UHR2" t="str">
            <v/>
          </cell>
          <cell r="UHS2" t="str">
            <v/>
          </cell>
          <cell r="UHT2" t="str">
            <v/>
          </cell>
          <cell r="UHU2" t="str">
            <v/>
          </cell>
          <cell r="UHV2" t="str">
            <v/>
          </cell>
          <cell r="UHW2" t="str">
            <v/>
          </cell>
          <cell r="UHX2" t="str">
            <v/>
          </cell>
          <cell r="UHY2" t="str">
            <v/>
          </cell>
          <cell r="UHZ2" t="str">
            <v/>
          </cell>
          <cell r="UIA2" t="str">
            <v/>
          </cell>
          <cell r="UIB2" t="str">
            <v/>
          </cell>
          <cell r="UIC2" t="str">
            <v/>
          </cell>
          <cell r="UID2" t="str">
            <v/>
          </cell>
          <cell r="UIE2" t="str">
            <v/>
          </cell>
          <cell r="UIF2" t="str">
            <v/>
          </cell>
          <cell r="UIG2" t="str">
            <v/>
          </cell>
          <cell r="UIH2" t="str">
            <v/>
          </cell>
          <cell r="UII2" t="str">
            <v/>
          </cell>
          <cell r="UIJ2" t="str">
            <v/>
          </cell>
          <cell r="UIK2" t="str">
            <v/>
          </cell>
          <cell r="UIL2" t="str">
            <v/>
          </cell>
          <cell r="UIM2" t="str">
            <v/>
          </cell>
          <cell r="UIN2" t="str">
            <v/>
          </cell>
          <cell r="UIO2" t="str">
            <v/>
          </cell>
          <cell r="UIP2" t="str">
            <v/>
          </cell>
          <cell r="UIQ2" t="str">
            <v/>
          </cell>
          <cell r="UIR2" t="str">
            <v/>
          </cell>
          <cell r="UIS2" t="str">
            <v/>
          </cell>
          <cell r="UIT2" t="str">
            <v/>
          </cell>
          <cell r="UIU2" t="str">
            <v/>
          </cell>
          <cell r="UIV2" t="str">
            <v/>
          </cell>
          <cell r="UIW2" t="str">
            <v/>
          </cell>
          <cell r="UIX2" t="str">
            <v/>
          </cell>
          <cell r="UIY2" t="str">
            <v/>
          </cell>
          <cell r="UIZ2" t="str">
            <v/>
          </cell>
          <cell r="UJA2" t="str">
            <v/>
          </cell>
          <cell r="UJB2" t="str">
            <v/>
          </cell>
          <cell r="UJC2" t="str">
            <v/>
          </cell>
          <cell r="UJD2" t="str">
            <v/>
          </cell>
          <cell r="UJE2" t="str">
            <v/>
          </cell>
          <cell r="UJF2" t="str">
            <v/>
          </cell>
          <cell r="UJG2" t="str">
            <v/>
          </cell>
          <cell r="UJH2" t="str">
            <v/>
          </cell>
          <cell r="UJI2" t="str">
            <v/>
          </cell>
          <cell r="UJJ2" t="str">
            <v/>
          </cell>
          <cell r="UJK2" t="str">
            <v/>
          </cell>
          <cell r="UJL2" t="str">
            <v/>
          </cell>
          <cell r="UJM2" t="str">
            <v/>
          </cell>
          <cell r="UJN2" t="str">
            <v/>
          </cell>
          <cell r="UJO2" t="str">
            <v/>
          </cell>
          <cell r="UJP2" t="str">
            <v/>
          </cell>
          <cell r="UJQ2" t="str">
            <v/>
          </cell>
          <cell r="UJR2" t="str">
            <v/>
          </cell>
          <cell r="UJS2" t="str">
            <v/>
          </cell>
          <cell r="UJT2" t="str">
            <v/>
          </cell>
          <cell r="UJU2" t="str">
            <v/>
          </cell>
          <cell r="UJV2" t="str">
            <v/>
          </cell>
          <cell r="UJW2" t="str">
            <v/>
          </cell>
          <cell r="UJX2" t="str">
            <v/>
          </cell>
          <cell r="UJY2" t="str">
            <v/>
          </cell>
          <cell r="UJZ2" t="str">
            <v/>
          </cell>
          <cell r="UKA2" t="str">
            <v/>
          </cell>
          <cell r="UKB2" t="str">
            <v/>
          </cell>
          <cell r="UKC2" t="str">
            <v/>
          </cell>
          <cell r="UKD2" t="str">
            <v/>
          </cell>
          <cell r="UKE2" t="str">
            <v/>
          </cell>
          <cell r="UKF2" t="str">
            <v/>
          </cell>
          <cell r="UKG2" t="str">
            <v/>
          </cell>
          <cell r="UKH2" t="str">
            <v/>
          </cell>
          <cell r="UKI2" t="str">
            <v/>
          </cell>
          <cell r="UKJ2" t="str">
            <v/>
          </cell>
          <cell r="UKK2" t="str">
            <v/>
          </cell>
          <cell r="UKL2" t="str">
            <v/>
          </cell>
          <cell r="UKM2" t="str">
            <v/>
          </cell>
          <cell r="UKN2" t="str">
            <v/>
          </cell>
          <cell r="UKO2" t="str">
            <v/>
          </cell>
          <cell r="UKP2" t="str">
            <v/>
          </cell>
          <cell r="UKQ2" t="str">
            <v/>
          </cell>
          <cell r="UKR2" t="str">
            <v/>
          </cell>
          <cell r="UKS2" t="str">
            <v/>
          </cell>
          <cell r="UKT2" t="str">
            <v/>
          </cell>
          <cell r="UKU2" t="str">
            <v/>
          </cell>
          <cell r="UKV2" t="str">
            <v/>
          </cell>
          <cell r="UKW2" t="str">
            <v/>
          </cell>
          <cell r="UKX2" t="str">
            <v/>
          </cell>
          <cell r="UKY2" t="str">
            <v/>
          </cell>
          <cell r="UKZ2" t="str">
            <v/>
          </cell>
          <cell r="ULA2" t="str">
            <v/>
          </cell>
          <cell r="ULB2" t="str">
            <v/>
          </cell>
          <cell r="ULC2" t="str">
            <v/>
          </cell>
          <cell r="ULD2" t="str">
            <v/>
          </cell>
          <cell r="ULE2" t="str">
            <v/>
          </cell>
          <cell r="ULF2" t="str">
            <v/>
          </cell>
          <cell r="ULG2" t="str">
            <v/>
          </cell>
          <cell r="ULH2" t="str">
            <v/>
          </cell>
          <cell r="ULI2" t="str">
            <v/>
          </cell>
          <cell r="ULJ2" t="str">
            <v/>
          </cell>
          <cell r="ULK2" t="str">
            <v/>
          </cell>
          <cell r="ULL2" t="str">
            <v/>
          </cell>
          <cell r="ULM2" t="str">
            <v/>
          </cell>
          <cell r="ULN2" t="str">
            <v/>
          </cell>
          <cell r="ULO2" t="str">
            <v/>
          </cell>
          <cell r="ULP2" t="str">
            <v/>
          </cell>
          <cell r="ULQ2" t="str">
            <v/>
          </cell>
          <cell r="ULR2" t="str">
            <v/>
          </cell>
          <cell r="ULS2" t="str">
            <v/>
          </cell>
          <cell r="ULT2" t="str">
            <v/>
          </cell>
          <cell r="ULU2" t="str">
            <v/>
          </cell>
          <cell r="ULV2" t="str">
            <v/>
          </cell>
          <cell r="ULW2" t="str">
            <v/>
          </cell>
          <cell r="ULX2" t="str">
            <v/>
          </cell>
          <cell r="ULY2" t="str">
            <v/>
          </cell>
          <cell r="ULZ2" t="str">
            <v/>
          </cell>
          <cell r="UMA2" t="str">
            <v/>
          </cell>
          <cell r="UMB2" t="str">
            <v/>
          </cell>
          <cell r="UMC2" t="str">
            <v/>
          </cell>
          <cell r="UMD2" t="str">
            <v/>
          </cell>
          <cell r="UME2" t="str">
            <v/>
          </cell>
          <cell r="UMF2" t="str">
            <v/>
          </cell>
          <cell r="UMG2" t="str">
            <v/>
          </cell>
          <cell r="UMH2" t="str">
            <v/>
          </cell>
          <cell r="UMI2" t="str">
            <v/>
          </cell>
          <cell r="UMJ2" t="str">
            <v/>
          </cell>
          <cell r="UMK2" t="str">
            <v/>
          </cell>
          <cell r="UML2" t="str">
            <v/>
          </cell>
          <cell r="UMM2" t="str">
            <v/>
          </cell>
          <cell r="UMN2" t="str">
            <v/>
          </cell>
          <cell r="UMO2" t="str">
            <v/>
          </cell>
          <cell r="UMP2" t="str">
            <v/>
          </cell>
          <cell r="UMQ2" t="str">
            <v/>
          </cell>
          <cell r="UMR2" t="str">
            <v/>
          </cell>
          <cell r="UMS2" t="str">
            <v/>
          </cell>
          <cell r="UMT2" t="str">
            <v/>
          </cell>
          <cell r="UMU2" t="str">
            <v/>
          </cell>
          <cell r="UMV2" t="str">
            <v/>
          </cell>
          <cell r="UMW2" t="str">
            <v/>
          </cell>
          <cell r="UMX2" t="str">
            <v/>
          </cell>
          <cell r="UMY2" t="str">
            <v/>
          </cell>
          <cell r="UMZ2" t="str">
            <v/>
          </cell>
          <cell r="UNA2" t="str">
            <v/>
          </cell>
          <cell r="UNB2" t="str">
            <v/>
          </cell>
          <cell r="UNC2" t="str">
            <v/>
          </cell>
          <cell r="UND2" t="str">
            <v/>
          </cell>
          <cell r="UNE2" t="str">
            <v/>
          </cell>
          <cell r="UNF2" t="str">
            <v/>
          </cell>
          <cell r="UNG2" t="str">
            <v/>
          </cell>
          <cell r="UNH2" t="str">
            <v/>
          </cell>
          <cell r="UNI2" t="str">
            <v/>
          </cell>
          <cell r="UNJ2" t="str">
            <v/>
          </cell>
          <cell r="UNK2" t="str">
            <v/>
          </cell>
          <cell r="UNL2" t="str">
            <v/>
          </cell>
          <cell r="UNM2" t="str">
            <v/>
          </cell>
          <cell r="UNN2" t="str">
            <v/>
          </cell>
          <cell r="UNO2" t="str">
            <v/>
          </cell>
          <cell r="UNP2" t="str">
            <v/>
          </cell>
          <cell r="UNQ2" t="str">
            <v/>
          </cell>
          <cell r="UNR2" t="str">
            <v/>
          </cell>
          <cell r="UNS2" t="str">
            <v/>
          </cell>
          <cell r="UNT2" t="str">
            <v/>
          </cell>
          <cell r="UNU2" t="str">
            <v/>
          </cell>
          <cell r="UNV2" t="str">
            <v/>
          </cell>
          <cell r="UNW2" t="str">
            <v/>
          </cell>
          <cell r="UNX2" t="str">
            <v/>
          </cell>
          <cell r="UNY2" t="str">
            <v/>
          </cell>
          <cell r="UNZ2" t="str">
            <v/>
          </cell>
          <cell r="UOA2" t="str">
            <v/>
          </cell>
          <cell r="UOB2" t="str">
            <v/>
          </cell>
          <cell r="UOC2" t="str">
            <v/>
          </cell>
          <cell r="UOD2" t="str">
            <v/>
          </cell>
          <cell r="UOE2" t="str">
            <v/>
          </cell>
          <cell r="UOF2" t="str">
            <v/>
          </cell>
          <cell r="UOG2" t="str">
            <v/>
          </cell>
          <cell r="UOH2" t="str">
            <v/>
          </cell>
          <cell r="UOI2" t="str">
            <v/>
          </cell>
          <cell r="UOJ2" t="str">
            <v/>
          </cell>
          <cell r="UOK2" t="str">
            <v/>
          </cell>
          <cell r="UOL2" t="str">
            <v/>
          </cell>
          <cell r="UOM2" t="str">
            <v/>
          </cell>
          <cell r="UON2" t="str">
            <v/>
          </cell>
          <cell r="UOO2" t="str">
            <v/>
          </cell>
          <cell r="UOP2" t="str">
            <v/>
          </cell>
          <cell r="UOQ2" t="str">
            <v/>
          </cell>
          <cell r="UOR2" t="str">
            <v/>
          </cell>
          <cell r="UOS2" t="str">
            <v/>
          </cell>
          <cell r="UOT2" t="str">
            <v/>
          </cell>
          <cell r="UOU2" t="str">
            <v/>
          </cell>
          <cell r="UOV2" t="str">
            <v/>
          </cell>
          <cell r="UOW2" t="str">
            <v/>
          </cell>
          <cell r="UOX2" t="str">
            <v/>
          </cell>
          <cell r="UOY2" t="str">
            <v/>
          </cell>
          <cell r="UOZ2" t="str">
            <v/>
          </cell>
          <cell r="UPA2" t="str">
            <v/>
          </cell>
          <cell r="UPB2" t="str">
            <v/>
          </cell>
          <cell r="UPC2" t="str">
            <v/>
          </cell>
          <cell r="UPD2" t="str">
            <v/>
          </cell>
          <cell r="UPE2" t="str">
            <v/>
          </cell>
          <cell r="UPF2" t="str">
            <v/>
          </cell>
          <cell r="UPG2" t="str">
            <v/>
          </cell>
          <cell r="UPH2" t="str">
            <v/>
          </cell>
          <cell r="UPI2" t="str">
            <v/>
          </cell>
          <cell r="UPJ2" t="str">
            <v/>
          </cell>
          <cell r="UPK2" t="str">
            <v/>
          </cell>
          <cell r="UPL2" t="str">
            <v/>
          </cell>
          <cell r="UPM2" t="str">
            <v/>
          </cell>
          <cell r="UPN2" t="str">
            <v/>
          </cell>
          <cell r="UPO2" t="str">
            <v/>
          </cell>
          <cell r="UPP2" t="str">
            <v/>
          </cell>
          <cell r="UPQ2" t="str">
            <v/>
          </cell>
          <cell r="UPR2" t="str">
            <v/>
          </cell>
          <cell r="UPS2" t="str">
            <v/>
          </cell>
          <cell r="UPT2" t="str">
            <v/>
          </cell>
          <cell r="UPU2" t="str">
            <v/>
          </cell>
          <cell r="UPV2" t="str">
            <v/>
          </cell>
          <cell r="UPW2" t="str">
            <v/>
          </cell>
          <cell r="UPX2" t="str">
            <v/>
          </cell>
          <cell r="UPY2" t="str">
            <v/>
          </cell>
          <cell r="UPZ2" t="str">
            <v/>
          </cell>
          <cell r="UQA2" t="str">
            <v/>
          </cell>
          <cell r="UQB2" t="str">
            <v/>
          </cell>
          <cell r="UQC2" t="str">
            <v/>
          </cell>
          <cell r="UQD2" t="str">
            <v/>
          </cell>
          <cell r="UQE2" t="str">
            <v/>
          </cell>
          <cell r="UQF2" t="str">
            <v/>
          </cell>
          <cell r="UQG2" t="str">
            <v/>
          </cell>
          <cell r="UQH2" t="str">
            <v/>
          </cell>
          <cell r="UQI2" t="str">
            <v/>
          </cell>
          <cell r="UQJ2" t="str">
            <v/>
          </cell>
          <cell r="UQK2" t="str">
            <v/>
          </cell>
          <cell r="UQL2" t="str">
            <v/>
          </cell>
          <cell r="UQM2" t="str">
            <v/>
          </cell>
          <cell r="UQN2" t="str">
            <v/>
          </cell>
          <cell r="UQO2" t="str">
            <v/>
          </cell>
          <cell r="UQP2" t="str">
            <v/>
          </cell>
          <cell r="UQQ2" t="str">
            <v/>
          </cell>
          <cell r="UQR2" t="str">
            <v/>
          </cell>
          <cell r="UQS2" t="str">
            <v/>
          </cell>
          <cell r="UQT2" t="str">
            <v/>
          </cell>
          <cell r="UQU2" t="str">
            <v/>
          </cell>
          <cell r="UQV2" t="str">
            <v/>
          </cell>
          <cell r="UQW2" t="str">
            <v/>
          </cell>
          <cell r="UQX2" t="str">
            <v/>
          </cell>
          <cell r="UQY2" t="str">
            <v/>
          </cell>
          <cell r="UQZ2" t="str">
            <v/>
          </cell>
          <cell r="URA2" t="str">
            <v/>
          </cell>
          <cell r="URB2" t="str">
            <v/>
          </cell>
          <cell r="URC2" t="str">
            <v/>
          </cell>
          <cell r="URD2" t="str">
            <v/>
          </cell>
          <cell r="URE2" t="str">
            <v/>
          </cell>
          <cell r="URF2" t="str">
            <v/>
          </cell>
          <cell r="URG2" t="str">
            <v/>
          </cell>
          <cell r="URH2" t="str">
            <v/>
          </cell>
          <cell r="URI2" t="str">
            <v/>
          </cell>
          <cell r="URJ2" t="str">
            <v/>
          </cell>
          <cell r="URK2" t="str">
            <v/>
          </cell>
          <cell r="URL2" t="str">
            <v/>
          </cell>
          <cell r="URM2" t="str">
            <v/>
          </cell>
          <cell r="URN2" t="str">
            <v/>
          </cell>
          <cell r="URO2" t="str">
            <v/>
          </cell>
          <cell r="URP2" t="str">
            <v/>
          </cell>
          <cell r="URQ2" t="str">
            <v/>
          </cell>
          <cell r="URR2" t="str">
            <v/>
          </cell>
          <cell r="URS2" t="str">
            <v/>
          </cell>
          <cell r="URT2" t="str">
            <v/>
          </cell>
          <cell r="URU2" t="str">
            <v/>
          </cell>
          <cell r="URV2" t="str">
            <v/>
          </cell>
          <cell r="URW2" t="str">
            <v/>
          </cell>
          <cell r="URX2" t="str">
            <v/>
          </cell>
          <cell r="URY2" t="str">
            <v/>
          </cell>
          <cell r="URZ2" t="str">
            <v/>
          </cell>
          <cell r="USA2" t="str">
            <v/>
          </cell>
          <cell r="USB2" t="str">
            <v/>
          </cell>
          <cell r="USC2" t="str">
            <v/>
          </cell>
          <cell r="USD2" t="str">
            <v/>
          </cell>
          <cell r="USE2" t="str">
            <v/>
          </cell>
          <cell r="USF2" t="str">
            <v/>
          </cell>
          <cell r="USG2" t="str">
            <v/>
          </cell>
          <cell r="USH2" t="str">
            <v/>
          </cell>
          <cell r="USI2" t="str">
            <v/>
          </cell>
          <cell r="USJ2" t="str">
            <v/>
          </cell>
          <cell r="USK2" t="str">
            <v/>
          </cell>
          <cell r="USL2" t="str">
            <v/>
          </cell>
          <cell r="USM2" t="str">
            <v/>
          </cell>
          <cell r="USN2" t="str">
            <v/>
          </cell>
          <cell r="USO2" t="str">
            <v/>
          </cell>
          <cell r="USP2" t="str">
            <v/>
          </cell>
          <cell r="USQ2" t="str">
            <v/>
          </cell>
          <cell r="USR2" t="str">
            <v/>
          </cell>
          <cell r="USS2" t="str">
            <v/>
          </cell>
          <cell r="UST2" t="str">
            <v/>
          </cell>
          <cell r="USU2" t="str">
            <v/>
          </cell>
          <cell r="USV2" t="str">
            <v/>
          </cell>
          <cell r="USW2" t="str">
            <v/>
          </cell>
          <cell r="USX2" t="str">
            <v/>
          </cell>
          <cell r="USY2" t="str">
            <v/>
          </cell>
          <cell r="USZ2" t="str">
            <v/>
          </cell>
          <cell r="UTA2" t="str">
            <v/>
          </cell>
          <cell r="UTB2" t="str">
            <v/>
          </cell>
          <cell r="UTC2" t="str">
            <v/>
          </cell>
          <cell r="UTD2" t="str">
            <v/>
          </cell>
          <cell r="UTE2" t="str">
            <v/>
          </cell>
          <cell r="UTF2" t="str">
            <v/>
          </cell>
          <cell r="UTG2" t="str">
            <v/>
          </cell>
          <cell r="UTH2" t="str">
            <v/>
          </cell>
          <cell r="UTI2" t="str">
            <v/>
          </cell>
          <cell r="UTJ2" t="str">
            <v/>
          </cell>
          <cell r="UTK2" t="str">
            <v/>
          </cell>
          <cell r="UTL2" t="str">
            <v/>
          </cell>
          <cell r="UTM2" t="str">
            <v/>
          </cell>
          <cell r="UTN2" t="str">
            <v/>
          </cell>
          <cell r="UTO2" t="str">
            <v/>
          </cell>
          <cell r="UTP2" t="str">
            <v/>
          </cell>
          <cell r="UTQ2" t="str">
            <v/>
          </cell>
          <cell r="UTR2" t="str">
            <v/>
          </cell>
          <cell r="UTS2" t="str">
            <v/>
          </cell>
          <cell r="UTT2" t="str">
            <v/>
          </cell>
          <cell r="UTU2" t="str">
            <v/>
          </cell>
          <cell r="UTV2" t="str">
            <v/>
          </cell>
          <cell r="UTW2" t="str">
            <v/>
          </cell>
          <cell r="UTX2" t="str">
            <v/>
          </cell>
          <cell r="UTY2" t="str">
            <v/>
          </cell>
          <cell r="UTZ2" t="str">
            <v/>
          </cell>
          <cell r="UUA2" t="str">
            <v/>
          </cell>
          <cell r="UUB2" t="str">
            <v/>
          </cell>
          <cell r="UUC2" t="str">
            <v/>
          </cell>
          <cell r="UUD2" t="str">
            <v/>
          </cell>
          <cell r="UUE2" t="str">
            <v/>
          </cell>
          <cell r="UUF2" t="str">
            <v/>
          </cell>
          <cell r="UUG2" t="str">
            <v/>
          </cell>
          <cell r="UUH2" t="str">
            <v/>
          </cell>
          <cell r="UUI2" t="str">
            <v/>
          </cell>
          <cell r="UUJ2" t="str">
            <v/>
          </cell>
          <cell r="UUK2" t="str">
            <v/>
          </cell>
          <cell r="UUL2" t="str">
            <v/>
          </cell>
          <cell r="UUM2" t="str">
            <v/>
          </cell>
          <cell r="UUN2" t="str">
            <v/>
          </cell>
          <cell r="UUO2" t="str">
            <v/>
          </cell>
          <cell r="UUP2" t="str">
            <v/>
          </cell>
          <cell r="UUQ2" t="str">
            <v/>
          </cell>
          <cell r="UUR2" t="str">
            <v/>
          </cell>
          <cell r="UUS2" t="str">
            <v/>
          </cell>
          <cell r="UUT2" t="str">
            <v/>
          </cell>
          <cell r="UUU2" t="str">
            <v/>
          </cell>
          <cell r="UUV2" t="str">
            <v/>
          </cell>
          <cell r="UUW2" t="str">
            <v/>
          </cell>
          <cell r="UUX2" t="str">
            <v/>
          </cell>
          <cell r="UUY2" t="str">
            <v/>
          </cell>
          <cell r="UUZ2" t="str">
            <v/>
          </cell>
          <cell r="UVA2" t="str">
            <v/>
          </cell>
          <cell r="UVB2" t="str">
            <v/>
          </cell>
          <cell r="UVC2" t="str">
            <v/>
          </cell>
          <cell r="UVD2" t="str">
            <v/>
          </cell>
          <cell r="UVE2" t="str">
            <v/>
          </cell>
          <cell r="UVF2" t="str">
            <v/>
          </cell>
          <cell r="UVG2" t="str">
            <v/>
          </cell>
          <cell r="UVH2" t="str">
            <v/>
          </cell>
          <cell r="UVI2" t="str">
            <v/>
          </cell>
          <cell r="UVJ2" t="str">
            <v/>
          </cell>
          <cell r="UVK2" t="str">
            <v/>
          </cell>
          <cell r="UVL2" t="str">
            <v/>
          </cell>
          <cell r="UVM2" t="str">
            <v/>
          </cell>
          <cell r="UVN2" t="str">
            <v/>
          </cell>
          <cell r="UVO2" t="str">
            <v/>
          </cell>
          <cell r="UVP2" t="str">
            <v/>
          </cell>
          <cell r="UVQ2" t="str">
            <v/>
          </cell>
          <cell r="UVR2" t="str">
            <v/>
          </cell>
          <cell r="UVS2" t="str">
            <v/>
          </cell>
          <cell r="UVT2" t="str">
            <v/>
          </cell>
          <cell r="UVU2" t="str">
            <v/>
          </cell>
          <cell r="UVV2" t="str">
            <v/>
          </cell>
          <cell r="UVW2" t="str">
            <v/>
          </cell>
          <cell r="UVX2" t="str">
            <v/>
          </cell>
          <cell r="UVY2" t="str">
            <v/>
          </cell>
          <cell r="UVZ2" t="str">
            <v/>
          </cell>
          <cell r="UWA2" t="str">
            <v/>
          </cell>
          <cell r="UWB2" t="str">
            <v/>
          </cell>
          <cell r="UWC2" t="str">
            <v/>
          </cell>
          <cell r="UWD2" t="str">
            <v/>
          </cell>
          <cell r="UWE2" t="str">
            <v/>
          </cell>
          <cell r="UWF2" t="str">
            <v/>
          </cell>
          <cell r="UWG2" t="str">
            <v/>
          </cell>
          <cell r="UWH2" t="str">
            <v/>
          </cell>
          <cell r="UWI2" t="str">
            <v/>
          </cell>
          <cell r="UWJ2" t="str">
            <v/>
          </cell>
          <cell r="UWK2" t="str">
            <v/>
          </cell>
          <cell r="UWL2" t="str">
            <v/>
          </cell>
          <cell r="UWM2" t="str">
            <v/>
          </cell>
          <cell r="UWN2" t="str">
            <v/>
          </cell>
          <cell r="UWO2" t="str">
            <v/>
          </cell>
          <cell r="UWP2" t="str">
            <v/>
          </cell>
          <cell r="UWQ2" t="str">
            <v/>
          </cell>
          <cell r="UWR2" t="str">
            <v/>
          </cell>
          <cell r="UWS2" t="str">
            <v/>
          </cell>
          <cell r="UWT2" t="str">
            <v/>
          </cell>
          <cell r="UWU2" t="str">
            <v/>
          </cell>
          <cell r="UWV2" t="str">
            <v/>
          </cell>
          <cell r="UWW2" t="str">
            <v/>
          </cell>
          <cell r="UWX2" t="str">
            <v/>
          </cell>
          <cell r="UWY2" t="str">
            <v/>
          </cell>
          <cell r="UWZ2" t="str">
            <v/>
          </cell>
          <cell r="UXA2" t="str">
            <v/>
          </cell>
          <cell r="UXB2" t="str">
            <v/>
          </cell>
          <cell r="UXC2" t="str">
            <v/>
          </cell>
          <cell r="UXD2" t="str">
            <v/>
          </cell>
          <cell r="UXE2" t="str">
            <v/>
          </cell>
          <cell r="UXF2" t="str">
            <v/>
          </cell>
          <cell r="UXG2" t="str">
            <v/>
          </cell>
          <cell r="UXH2" t="str">
            <v/>
          </cell>
          <cell r="UXI2" t="str">
            <v/>
          </cell>
          <cell r="UXJ2" t="str">
            <v/>
          </cell>
          <cell r="UXK2" t="str">
            <v/>
          </cell>
          <cell r="UXL2" t="str">
            <v/>
          </cell>
          <cell r="UXM2" t="str">
            <v/>
          </cell>
          <cell r="UXN2" t="str">
            <v/>
          </cell>
          <cell r="UXO2" t="str">
            <v/>
          </cell>
          <cell r="UXP2" t="str">
            <v/>
          </cell>
          <cell r="UXQ2" t="str">
            <v/>
          </cell>
          <cell r="UXR2" t="str">
            <v/>
          </cell>
          <cell r="UXS2" t="str">
            <v/>
          </cell>
          <cell r="UXT2" t="str">
            <v/>
          </cell>
          <cell r="UXU2" t="str">
            <v/>
          </cell>
          <cell r="UXV2" t="str">
            <v/>
          </cell>
          <cell r="UXW2" t="str">
            <v/>
          </cell>
          <cell r="UXX2" t="str">
            <v/>
          </cell>
          <cell r="UXY2" t="str">
            <v/>
          </cell>
          <cell r="UXZ2" t="str">
            <v/>
          </cell>
          <cell r="UYA2" t="str">
            <v/>
          </cell>
          <cell r="UYB2" t="str">
            <v/>
          </cell>
          <cell r="UYC2" t="str">
            <v/>
          </cell>
          <cell r="UYD2" t="str">
            <v/>
          </cell>
          <cell r="UYE2" t="str">
            <v/>
          </cell>
          <cell r="UYF2" t="str">
            <v/>
          </cell>
          <cell r="UYG2" t="str">
            <v/>
          </cell>
          <cell r="UYH2" t="str">
            <v/>
          </cell>
          <cell r="UYI2" t="str">
            <v/>
          </cell>
          <cell r="UYJ2" t="str">
            <v/>
          </cell>
          <cell r="UYK2" t="str">
            <v/>
          </cell>
          <cell r="UYL2" t="str">
            <v/>
          </cell>
          <cell r="UYM2" t="str">
            <v/>
          </cell>
          <cell r="UYN2" t="str">
            <v/>
          </cell>
          <cell r="UYO2" t="str">
            <v/>
          </cell>
          <cell r="UYP2" t="str">
            <v/>
          </cell>
          <cell r="UYQ2" t="str">
            <v/>
          </cell>
          <cell r="UYR2" t="str">
            <v/>
          </cell>
          <cell r="UYS2" t="str">
            <v/>
          </cell>
          <cell r="UYT2" t="str">
            <v/>
          </cell>
          <cell r="UYU2" t="str">
            <v/>
          </cell>
          <cell r="UYV2" t="str">
            <v/>
          </cell>
          <cell r="UYW2" t="str">
            <v/>
          </cell>
          <cell r="UYX2" t="str">
            <v/>
          </cell>
          <cell r="UYY2" t="str">
            <v/>
          </cell>
          <cell r="UYZ2" t="str">
            <v/>
          </cell>
          <cell r="UZA2" t="str">
            <v/>
          </cell>
          <cell r="UZB2" t="str">
            <v/>
          </cell>
          <cell r="UZC2" t="str">
            <v/>
          </cell>
          <cell r="UZD2" t="str">
            <v/>
          </cell>
          <cell r="UZE2" t="str">
            <v/>
          </cell>
          <cell r="UZF2" t="str">
            <v/>
          </cell>
          <cell r="UZG2" t="str">
            <v/>
          </cell>
          <cell r="UZH2" t="str">
            <v/>
          </cell>
          <cell r="UZI2" t="str">
            <v/>
          </cell>
          <cell r="UZJ2" t="str">
            <v/>
          </cell>
          <cell r="UZK2" t="str">
            <v/>
          </cell>
          <cell r="UZL2" t="str">
            <v/>
          </cell>
          <cell r="UZM2" t="str">
            <v/>
          </cell>
          <cell r="UZN2" t="str">
            <v/>
          </cell>
          <cell r="UZO2" t="str">
            <v/>
          </cell>
          <cell r="UZP2" t="str">
            <v/>
          </cell>
          <cell r="UZQ2" t="str">
            <v/>
          </cell>
          <cell r="UZR2" t="str">
            <v/>
          </cell>
          <cell r="UZS2" t="str">
            <v/>
          </cell>
          <cell r="UZT2" t="str">
            <v/>
          </cell>
          <cell r="UZU2" t="str">
            <v/>
          </cell>
          <cell r="UZV2" t="str">
            <v/>
          </cell>
          <cell r="UZW2" t="str">
            <v/>
          </cell>
          <cell r="UZX2" t="str">
            <v/>
          </cell>
          <cell r="UZY2" t="str">
            <v/>
          </cell>
          <cell r="UZZ2" t="str">
            <v/>
          </cell>
          <cell r="VAA2" t="str">
            <v/>
          </cell>
          <cell r="VAB2" t="str">
            <v/>
          </cell>
          <cell r="VAC2" t="str">
            <v/>
          </cell>
          <cell r="VAD2" t="str">
            <v/>
          </cell>
          <cell r="VAE2" t="str">
            <v/>
          </cell>
          <cell r="VAF2" t="str">
            <v/>
          </cell>
          <cell r="VAG2" t="str">
            <v/>
          </cell>
          <cell r="VAH2" t="str">
            <v/>
          </cell>
          <cell r="VAI2" t="str">
            <v/>
          </cell>
          <cell r="VAJ2" t="str">
            <v/>
          </cell>
          <cell r="VAK2" t="str">
            <v/>
          </cell>
          <cell r="VAL2" t="str">
            <v/>
          </cell>
          <cell r="VAM2" t="str">
            <v/>
          </cell>
          <cell r="VAN2" t="str">
            <v/>
          </cell>
          <cell r="VAO2" t="str">
            <v/>
          </cell>
          <cell r="VAP2" t="str">
            <v/>
          </cell>
          <cell r="VAQ2" t="str">
            <v/>
          </cell>
          <cell r="VAR2" t="str">
            <v/>
          </cell>
          <cell r="VAS2" t="str">
            <v/>
          </cell>
          <cell r="VAT2" t="str">
            <v/>
          </cell>
          <cell r="VAU2" t="str">
            <v/>
          </cell>
          <cell r="VAV2" t="str">
            <v/>
          </cell>
          <cell r="VAW2" t="str">
            <v/>
          </cell>
          <cell r="VAX2" t="str">
            <v/>
          </cell>
          <cell r="VAY2" t="str">
            <v/>
          </cell>
          <cell r="VAZ2" t="str">
            <v/>
          </cell>
          <cell r="VBA2" t="str">
            <v/>
          </cell>
          <cell r="VBB2" t="str">
            <v/>
          </cell>
          <cell r="VBC2" t="str">
            <v/>
          </cell>
          <cell r="VBD2" t="str">
            <v/>
          </cell>
          <cell r="VBE2" t="str">
            <v/>
          </cell>
          <cell r="VBF2" t="str">
            <v/>
          </cell>
          <cell r="VBG2" t="str">
            <v/>
          </cell>
          <cell r="VBH2" t="str">
            <v/>
          </cell>
          <cell r="VBI2" t="str">
            <v/>
          </cell>
          <cell r="VBJ2" t="str">
            <v/>
          </cell>
          <cell r="VBK2" t="str">
            <v/>
          </cell>
          <cell r="VBL2" t="str">
            <v/>
          </cell>
          <cell r="VBM2" t="str">
            <v/>
          </cell>
          <cell r="VBN2" t="str">
            <v/>
          </cell>
          <cell r="VBO2" t="str">
            <v/>
          </cell>
          <cell r="VBP2" t="str">
            <v/>
          </cell>
          <cell r="VBQ2" t="str">
            <v/>
          </cell>
          <cell r="VBR2" t="str">
            <v/>
          </cell>
          <cell r="VBS2" t="str">
            <v/>
          </cell>
          <cell r="VBT2" t="str">
            <v/>
          </cell>
          <cell r="VBU2" t="str">
            <v/>
          </cell>
          <cell r="VBV2" t="str">
            <v/>
          </cell>
          <cell r="VBW2" t="str">
            <v/>
          </cell>
          <cell r="VBX2" t="str">
            <v/>
          </cell>
          <cell r="VBY2" t="str">
            <v/>
          </cell>
          <cell r="VBZ2" t="str">
            <v/>
          </cell>
          <cell r="VCA2" t="str">
            <v/>
          </cell>
          <cell r="VCB2" t="str">
            <v/>
          </cell>
          <cell r="VCC2" t="str">
            <v/>
          </cell>
          <cell r="VCD2" t="str">
            <v/>
          </cell>
          <cell r="VCE2" t="str">
            <v/>
          </cell>
          <cell r="VCF2" t="str">
            <v/>
          </cell>
          <cell r="VCG2" t="str">
            <v/>
          </cell>
          <cell r="VCH2" t="str">
            <v/>
          </cell>
          <cell r="VCI2" t="str">
            <v/>
          </cell>
          <cell r="VCJ2" t="str">
            <v/>
          </cell>
          <cell r="VCK2" t="str">
            <v/>
          </cell>
          <cell r="VCL2" t="str">
            <v/>
          </cell>
          <cell r="VCM2" t="str">
            <v/>
          </cell>
          <cell r="VCN2" t="str">
            <v/>
          </cell>
          <cell r="VCO2" t="str">
            <v/>
          </cell>
          <cell r="VCP2" t="str">
            <v/>
          </cell>
          <cell r="VCQ2" t="str">
            <v/>
          </cell>
          <cell r="VCR2" t="str">
            <v/>
          </cell>
          <cell r="VCS2" t="str">
            <v/>
          </cell>
          <cell r="VCT2" t="str">
            <v/>
          </cell>
          <cell r="VCU2" t="str">
            <v/>
          </cell>
          <cell r="VCV2" t="str">
            <v/>
          </cell>
          <cell r="VCW2" t="str">
            <v/>
          </cell>
          <cell r="VCX2" t="str">
            <v/>
          </cell>
          <cell r="VCY2" t="str">
            <v/>
          </cell>
          <cell r="VCZ2" t="str">
            <v/>
          </cell>
          <cell r="VDA2" t="str">
            <v/>
          </cell>
          <cell r="VDB2" t="str">
            <v/>
          </cell>
          <cell r="VDC2" t="str">
            <v/>
          </cell>
          <cell r="VDD2" t="str">
            <v/>
          </cell>
          <cell r="VDE2" t="str">
            <v/>
          </cell>
          <cell r="VDF2" t="str">
            <v/>
          </cell>
          <cell r="VDG2" t="str">
            <v/>
          </cell>
          <cell r="VDH2" t="str">
            <v/>
          </cell>
          <cell r="VDI2" t="str">
            <v/>
          </cell>
          <cell r="VDJ2" t="str">
            <v/>
          </cell>
          <cell r="VDK2" t="str">
            <v/>
          </cell>
          <cell r="VDL2" t="str">
            <v/>
          </cell>
          <cell r="VDM2" t="str">
            <v/>
          </cell>
          <cell r="VDN2" t="str">
            <v/>
          </cell>
          <cell r="VDO2" t="str">
            <v/>
          </cell>
          <cell r="VDP2" t="str">
            <v/>
          </cell>
          <cell r="VDQ2" t="str">
            <v/>
          </cell>
          <cell r="VDR2" t="str">
            <v/>
          </cell>
          <cell r="VDS2" t="str">
            <v/>
          </cell>
          <cell r="VDT2" t="str">
            <v/>
          </cell>
          <cell r="VDU2" t="str">
            <v/>
          </cell>
          <cell r="VDV2" t="str">
            <v/>
          </cell>
          <cell r="VDW2" t="str">
            <v/>
          </cell>
          <cell r="VDX2" t="str">
            <v/>
          </cell>
          <cell r="VDY2" t="str">
            <v/>
          </cell>
          <cell r="VDZ2" t="str">
            <v/>
          </cell>
          <cell r="VEA2" t="str">
            <v/>
          </cell>
          <cell r="VEB2" t="str">
            <v/>
          </cell>
          <cell r="VEC2" t="str">
            <v/>
          </cell>
          <cell r="VED2" t="str">
            <v/>
          </cell>
          <cell r="VEE2" t="str">
            <v/>
          </cell>
          <cell r="VEF2" t="str">
            <v/>
          </cell>
          <cell r="VEG2" t="str">
            <v/>
          </cell>
          <cell r="VEH2" t="str">
            <v/>
          </cell>
          <cell r="VEI2" t="str">
            <v/>
          </cell>
          <cell r="VEJ2" t="str">
            <v/>
          </cell>
          <cell r="VEK2" t="str">
            <v/>
          </cell>
          <cell r="VEL2" t="str">
            <v/>
          </cell>
          <cell r="VEM2" t="str">
            <v/>
          </cell>
          <cell r="VEN2" t="str">
            <v/>
          </cell>
          <cell r="VEO2" t="str">
            <v/>
          </cell>
          <cell r="VEP2" t="str">
            <v/>
          </cell>
          <cell r="VEQ2" t="str">
            <v/>
          </cell>
          <cell r="VER2" t="str">
            <v/>
          </cell>
          <cell r="VES2" t="str">
            <v/>
          </cell>
          <cell r="VET2" t="str">
            <v/>
          </cell>
          <cell r="VEU2" t="str">
            <v/>
          </cell>
          <cell r="VEV2" t="str">
            <v/>
          </cell>
          <cell r="VEW2" t="str">
            <v/>
          </cell>
          <cell r="VEX2" t="str">
            <v/>
          </cell>
          <cell r="VEY2" t="str">
            <v/>
          </cell>
          <cell r="VEZ2" t="str">
            <v/>
          </cell>
          <cell r="VFA2" t="str">
            <v/>
          </cell>
          <cell r="VFB2" t="str">
            <v/>
          </cell>
          <cell r="VFC2" t="str">
            <v/>
          </cell>
          <cell r="VFD2" t="str">
            <v/>
          </cell>
          <cell r="VFE2" t="str">
            <v/>
          </cell>
          <cell r="VFF2" t="str">
            <v/>
          </cell>
          <cell r="VFG2" t="str">
            <v/>
          </cell>
          <cell r="VFH2" t="str">
            <v/>
          </cell>
          <cell r="VFI2" t="str">
            <v/>
          </cell>
          <cell r="VFJ2" t="str">
            <v/>
          </cell>
          <cell r="VFK2" t="str">
            <v/>
          </cell>
          <cell r="VFL2" t="str">
            <v/>
          </cell>
          <cell r="VFM2" t="str">
            <v/>
          </cell>
          <cell r="VFN2" t="str">
            <v/>
          </cell>
          <cell r="VFO2" t="str">
            <v/>
          </cell>
          <cell r="VFP2" t="str">
            <v/>
          </cell>
          <cell r="VFQ2" t="str">
            <v/>
          </cell>
          <cell r="VFR2" t="str">
            <v/>
          </cell>
          <cell r="VFS2" t="str">
            <v/>
          </cell>
          <cell r="VFT2" t="str">
            <v/>
          </cell>
          <cell r="VFU2" t="str">
            <v/>
          </cell>
          <cell r="VFV2" t="str">
            <v/>
          </cell>
          <cell r="VFW2" t="str">
            <v/>
          </cell>
          <cell r="VFX2" t="str">
            <v/>
          </cell>
          <cell r="VFY2" t="str">
            <v/>
          </cell>
          <cell r="VFZ2" t="str">
            <v/>
          </cell>
          <cell r="VGA2" t="str">
            <v/>
          </cell>
          <cell r="VGB2" t="str">
            <v/>
          </cell>
          <cell r="VGC2" t="str">
            <v/>
          </cell>
          <cell r="VGD2" t="str">
            <v/>
          </cell>
          <cell r="VGE2" t="str">
            <v/>
          </cell>
          <cell r="VGF2" t="str">
            <v/>
          </cell>
          <cell r="VGG2" t="str">
            <v/>
          </cell>
          <cell r="VGH2" t="str">
            <v/>
          </cell>
          <cell r="VGI2" t="str">
            <v/>
          </cell>
          <cell r="VGJ2" t="str">
            <v/>
          </cell>
          <cell r="VGK2" t="str">
            <v/>
          </cell>
          <cell r="VGL2" t="str">
            <v/>
          </cell>
          <cell r="VGM2" t="str">
            <v/>
          </cell>
          <cell r="VGN2" t="str">
            <v/>
          </cell>
          <cell r="VGO2" t="str">
            <v/>
          </cell>
          <cell r="VGP2" t="str">
            <v/>
          </cell>
          <cell r="VGQ2" t="str">
            <v/>
          </cell>
          <cell r="VGR2" t="str">
            <v/>
          </cell>
          <cell r="VGS2" t="str">
            <v/>
          </cell>
          <cell r="VGT2" t="str">
            <v/>
          </cell>
          <cell r="VGU2" t="str">
            <v/>
          </cell>
          <cell r="VGV2" t="str">
            <v/>
          </cell>
          <cell r="VGW2" t="str">
            <v/>
          </cell>
          <cell r="VGX2" t="str">
            <v/>
          </cell>
          <cell r="VGY2" t="str">
            <v/>
          </cell>
          <cell r="VGZ2" t="str">
            <v/>
          </cell>
          <cell r="VHA2" t="str">
            <v/>
          </cell>
          <cell r="VHB2" t="str">
            <v/>
          </cell>
          <cell r="VHC2" t="str">
            <v/>
          </cell>
          <cell r="VHD2" t="str">
            <v/>
          </cell>
          <cell r="VHE2" t="str">
            <v/>
          </cell>
          <cell r="VHF2" t="str">
            <v/>
          </cell>
          <cell r="VHG2" t="str">
            <v/>
          </cell>
          <cell r="VHH2" t="str">
            <v/>
          </cell>
          <cell r="VHI2" t="str">
            <v/>
          </cell>
          <cell r="VHJ2" t="str">
            <v/>
          </cell>
          <cell r="VHK2" t="str">
            <v/>
          </cell>
          <cell r="VHL2" t="str">
            <v/>
          </cell>
          <cell r="VHM2" t="str">
            <v/>
          </cell>
          <cell r="VHN2" t="str">
            <v/>
          </cell>
          <cell r="VHO2" t="str">
            <v/>
          </cell>
          <cell r="VHP2" t="str">
            <v/>
          </cell>
          <cell r="VHQ2" t="str">
            <v/>
          </cell>
          <cell r="VHR2" t="str">
            <v/>
          </cell>
          <cell r="VHS2" t="str">
            <v/>
          </cell>
          <cell r="VHT2" t="str">
            <v/>
          </cell>
          <cell r="VHU2" t="str">
            <v/>
          </cell>
          <cell r="VHV2" t="str">
            <v/>
          </cell>
          <cell r="VHW2" t="str">
            <v/>
          </cell>
          <cell r="VHX2" t="str">
            <v/>
          </cell>
          <cell r="VHY2" t="str">
            <v/>
          </cell>
          <cell r="VHZ2" t="str">
            <v/>
          </cell>
          <cell r="VIA2" t="str">
            <v/>
          </cell>
          <cell r="VIB2" t="str">
            <v/>
          </cell>
          <cell r="VIC2" t="str">
            <v/>
          </cell>
          <cell r="VID2" t="str">
            <v/>
          </cell>
          <cell r="VIE2" t="str">
            <v/>
          </cell>
          <cell r="VIF2" t="str">
            <v/>
          </cell>
          <cell r="VIG2" t="str">
            <v/>
          </cell>
          <cell r="VIH2" t="str">
            <v/>
          </cell>
          <cell r="VII2" t="str">
            <v/>
          </cell>
          <cell r="VIJ2" t="str">
            <v/>
          </cell>
          <cell r="VIK2" t="str">
            <v/>
          </cell>
          <cell r="VIL2" t="str">
            <v/>
          </cell>
          <cell r="VIM2" t="str">
            <v/>
          </cell>
          <cell r="VIN2" t="str">
            <v/>
          </cell>
          <cell r="VIO2" t="str">
            <v/>
          </cell>
          <cell r="VIP2" t="str">
            <v/>
          </cell>
          <cell r="VIQ2" t="str">
            <v/>
          </cell>
          <cell r="VIR2" t="str">
            <v/>
          </cell>
          <cell r="VIS2" t="str">
            <v/>
          </cell>
          <cell r="VIT2" t="str">
            <v/>
          </cell>
          <cell r="VIU2" t="str">
            <v/>
          </cell>
          <cell r="VIV2" t="str">
            <v/>
          </cell>
          <cell r="VIW2" t="str">
            <v/>
          </cell>
          <cell r="VIX2" t="str">
            <v/>
          </cell>
          <cell r="VIY2" t="str">
            <v/>
          </cell>
          <cell r="VIZ2" t="str">
            <v/>
          </cell>
          <cell r="VJA2" t="str">
            <v/>
          </cell>
          <cell r="VJB2" t="str">
            <v/>
          </cell>
          <cell r="VJC2" t="str">
            <v/>
          </cell>
          <cell r="VJD2" t="str">
            <v/>
          </cell>
          <cell r="VJE2" t="str">
            <v/>
          </cell>
          <cell r="VJF2" t="str">
            <v/>
          </cell>
          <cell r="VJG2" t="str">
            <v/>
          </cell>
          <cell r="VJH2" t="str">
            <v/>
          </cell>
          <cell r="VJI2" t="str">
            <v/>
          </cell>
          <cell r="VJJ2" t="str">
            <v/>
          </cell>
          <cell r="VJK2" t="str">
            <v/>
          </cell>
          <cell r="VJL2" t="str">
            <v/>
          </cell>
          <cell r="VJM2" t="str">
            <v/>
          </cell>
          <cell r="VJN2" t="str">
            <v/>
          </cell>
          <cell r="VJO2" t="str">
            <v/>
          </cell>
          <cell r="VJP2" t="str">
            <v/>
          </cell>
          <cell r="VJQ2" t="str">
            <v/>
          </cell>
          <cell r="VJR2" t="str">
            <v/>
          </cell>
          <cell r="VJS2" t="str">
            <v/>
          </cell>
          <cell r="VJT2" t="str">
            <v/>
          </cell>
          <cell r="VJU2" t="str">
            <v/>
          </cell>
          <cell r="VJV2" t="str">
            <v/>
          </cell>
          <cell r="VJW2" t="str">
            <v/>
          </cell>
          <cell r="VJX2" t="str">
            <v/>
          </cell>
          <cell r="VJY2" t="str">
            <v/>
          </cell>
          <cell r="VJZ2" t="str">
            <v/>
          </cell>
          <cell r="VKA2" t="str">
            <v/>
          </cell>
          <cell r="VKB2" t="str">
            <v/>
          </cell>
          <cell r="VKC2" t="str">
            <v/>
          </cell>
          <cell r="VKD2" t="str">
            <v/>
          </cell>
          <cell r="VKE2" t="str">
            <v/>
          </cell>
          <cell r="VKF2" t="str">
            <v/>
          </cell>
          <cell r="VKG2" t="str">
            <v/>
          </cell>
          <cell r="VKH2" t="str">
            <v/>
          </cell>
          <cell r="VKI2" t="str">
            <v/>
          </cell>
          <cell r="VKJ2" t="str">
            <v/>
          </cell>
          <cell r="VKK2" t="str">
            <v/>
          </cell>
          <cell r="VKL2" t="str">
            <v/>
          </cell>
          <cell r="VKM2" t="str">
            <v/>
          </cell>
          <cell r="VKN2" t="str">
            <v/>
          </cell>
          <cell r="VKO2" t="str">
            <v/>
          </cell>
          <cell r="VKP2" t="str">
            <v/>
          </cell>
          <cell r="VKQ2" t="str">
            <v/>
          </cell>
          <cell r="VKR2" t="str">
            <v/>
          </cell>
          <cell r="VKS2" t="str">
            <v/>
          </cell>
          <cell r="VKT2" t="str">
            <v/>
          </cell>
          <cell r="VKU2" t="str">
            <v/>
          </cell>
          <cell r="VKV2" t="str">
            <v/>
          </cell>
          <cell r="VKW2" t="str">
            <v/>
          </cell>
          <cell r="VKX2" t="str">
            <v/>
          </cell>
          <cell r="VKY2" t="str">
            <v/>
          </cell>
          <cell r="VKZ2" t="str">
            <v/>
          </cell>
          <cell r="VLA2" t="str">
            <v/>
          </cell>
          <cell r="VLB2" t="str">
            <v/>
          </cell>
          <cell r="VLC2" t="str">
            <v/>
          </cell>
          <cell r="VLD2" t="str">
            <v/>
          </cell>
          <cell r="VLE2" t="str">
            <v/>
          </cell>
          <cell r="VLF2" t="str">
            <v/>
          </cell>
          <cell r="VLG2" t="str">
            <v/>
          </cell>
          <cell r="VLH2" t="str">
            <v/>
          </cell>
          <cell r="VLI2" t="str">
            <v/>
          </cell>
          <cell r="VLJ2" t="str">
            <v/>
          </cell>
          <cell r="VLK2" t="str">
            <v/>
          </cell>
          <cell r="VLL2" t="str">
            <v/>
          </cell>
          <cell r="VLM2" t="str">
            <v/>
          </cell>
          <cell r="VLN2" t="str">
            <v/>
          </cell>
          <cell r="VLO2" t="str">
            <v/>
          </cell>
          <cell r="VLP2" t="str">
            <v/>
          </cell>
          <cell r="VLQ2" t="str">
            <v/>
          </cell>
          <cell r="VLR2" t="str">
            <v/>
          </cell>
          <cell r="VLS2" t="str">
            <v/>
          </cell>
          <cell r="VLT2" t="str">
            <v/>
          </cell>
          <cell r="VLU2" t="str">
            <v/>
          </cell>
          <cell r="VLV2" t="str">
            <v/>
          </cell>
          <cell r="VLW2" t="str">
            <v/>
          </cell>
          <cell r="VLX2" t="str">
            <v/>
          </cell>
          <cell r="VLY2" t="str">
            <v/>
          </cell>
          <cell r="VLZ2" t="str">
            <v/>
          </cell>
          <cell r="VMA2" t="str">
            <v/>
          </cell>
          <cell r="VMB2" t="str">
            <v/>
          </cell>
          <cell r="VMC2" t="str">
            <v/>
          </cell>
          <cell r="VMD2" t="str">
            <v/>
          </cell>
          <cell r="VME2" t="str">
            <v/>
          </cell>
          <cell r="VMF2" t="str">
            <v/>
          </cell>
          <cell r="VMG2" t="str">
            <v/>
          </cell>
          <cell r="VMH2" t="str">
            <v/>
          </cell>
          <cell r="VMI2" t="str">
            <v/>
          </cell>
          <cell r="VMJ2" t="str">
            <v/>
          </cell>
          <cell r="VMK2" t="str">
            <v/>
          </cell>
          <cell r="VML2" t="str">
            <v/>
          </cell>
          <cell r="VMM2" t="str">
            <v/>
          </cell>
          <cell r="VMN2" t="str">
            <v/>
          </cell>
          <cell r="VMO2" t="str">
            <v/>
          </cell>
          <cell r="VMP2" t="str">
            <v/>
          </cell>
          <cell r="VMQ2" t="str">
            <v/>
          </cell>
          <cell r="VMR2" t="str">
            <v/>
          </cell>
          <cell r="VMS2" t="str">
            <v/>
          </cell>
          <cell r="VMT2" t="str">
            <v/>
          </cell>
          <cell r="VMU2" t="str">
            <v/>
          </cell>
          <cell r="VMV2" t="str">
            <v/>
          </cell>
          <cell r="VMW2" t="str">
            <v/>
          </cell>
          <cell r="VMX2" t="str">
            <v/>
          </cell>
          <cell r="VMY2" t="str">
            <v/>
          </cell>
          <cell r="VMZ2" t="str">
            <v/>
          </cell>
          <cell r="VNA2" t="str">
            <v/>
          </cell>
          <cell r="VNB2" t="str">
            <v/>
          </cell>
          <cell r="VNC2" t="str">
            <v/>
          </cell>
          <cell r="VND2" t="str">
            <v/>
          </cell>
          <cell r="VNE2" t="str">
            <v/>
          </cell>
          <cell r="VNF2" t="str">
            <v/>
          </cell>
          <cell r="VNG2" t="str">
            <v/>
          </cell>
          <cell r="VNH2" t="str">
            <v/>
          </cell>
          <cell r="VNI2" t="str">
            <v/>
          </cell>
          <cell r="VNJ2" t="str">
            <v/>
          </cell>
          <cell r="VNK2" t="str">
            <v/>
          </cell>
          <cell r="VNL2" t="str">
            <v/>
          </cell>
          <cell r="VNM2" t="str">
            <v/>
          </cell>
          <cell r="VNN2" t="str">
            <v/>
          </cell>
          <cell r="VNO2" t="str">
            <v/>
          </cell>
          <cell r="VNP2" t="str">
            <v/>
          </cell>
          <cell r="VNQ2" t="str">
            <v/>
          </cell>
          <cell r="VNR2" t="str">
            <v/>
          </cell>
          <cell r="VNS2" t="str">
            <v/>
          </cell>
          <cell r="VNT2" t="str">
            <v/>
          </cell>
          <cell r="VNU2" t="str">
            <v/>
          </cell>
          <cell r="VNV2" t="str">
            <v/>
          </cell>
          <cell r="VNW2" t="str">
            <v/>
          </cell>
          <cell r="VNX2" t="str">
            <v/>
          </cell>
          <cell r="VNY2" t="str">
            <v/>
          </cell>
          <cell r="VNZ2" t="str">
            <v/>
          </cell>
          <cell r="VOA2" t="str">
            <v/>
          </cell>
          <cell r="VOB2" t="str">
            <v/>
          </cell>
          <cell r="VOC2" t="str">
            <v/>
          </cell>
          <cell r="VOD2" t="str">
            <v/>
          </cell>
          <cell r="VOE2" t="str">
            <v/>
          </cell>
          <cell r="VOF2" t="str">
            <v/>
          </cell>
          <cell r="VOG2" t="str">
            <v/>
          </cell>
          <cell r="VOH2" t="str">
            <v/>
          </cell>
          <cell r="VOI2" t="str">
            <v/>
          </cell>
          <cell r="VOJ2" t="str">
            <v/>
          </cell>
          <cell r="VOK2" t="str">
            <v/>
          </cell>
          <cell r="VOL2" t="str">
            <v/>
          </cell>
          <cell r="VOM2" t="str">
            <v/>
          </cell>
          <cell r="VON2" t="str">
            <v/>
          </cell>
          <cell r="VOO2" t="str">
            <v/>
          </cell>
          <cell r="VOP2" t="str">
            <v/>
          </cell>
          <cell r="VOQ2" t="str">
            <v/>
          </cell>
          <cell r="VOR2" t="str">
            <v/>
          </cell>
          <cell r="VOS2" t="str">
            <v/>
          </cell>
          <cell r="VOT2" t="str">
            <v/>
          </cell>
          <cell r="VOU2" t="str">
            <v/>
          </cell>
          <cell r="VOV2" t="str">
            <v/>
          </cell>
          <cell r="VOW2" t="str">
            <v/>
          </cell>
          <cell r="VOX2" t="str">
            <v/>
          </cell>
          <cell r="VOY2" t="str">
            <v/>
          </cell>
          <cell r="VOZ2" t="str">
            <v/>
          </cell>
          <cell r="VPA2" t="str">
            <v/>
          </cell>
          <cell r="VPB2" t="str">
            <v/>
          </cell>
          <cell r="VPC2" t="str">
            <v/>
          </cell>
          <cell r="VPD2" t="str">
            <v/>
          </cell>
          <cell r="VPE2" t="str">
            <v/>
          </cell>
          <cell r="VPF2" t="str">
            <v/>
          </cell>
          <cell r="VPG2" t="str">
            <v/>
          </cell>
          <cell r="VPH2" t="str">
            <v/>
          </cell>
          <cell r="VPI2" t="str">
            <v/>
          </cell>
          <cell r="VPJ2" t="str">
            <v/>
          </cell>
          <cell r="VPK2" t="str">
            <v/>
          </cell>
          <cell r="VPL2" t="str">
            <v/>
          </cell>
          <cell r="VPM2" t="str">
            <v/>
          </cell>
          <cell r="VPN2" t="str">
            <v/>
          </cell>
          <cell r="VPO2" t="str">
            <v/>
          </cell>
          <cell r="VPP2" t="str">
            <v/>
          </cell>
          <cell r="VPQ2" t="str">
            <v/>
          </cell>
          <cell r="VPR2" t="str">
            <v/>
          </cell>
          <cell r="VPS2" t="str">
            <v/>
          </cell>
          <cell r="VPT2" t="str">
            <v/>
          </cell>
          <cell r="VPU2" t="str">
            <v/>
          </cell>
          <cell r="VPV2" t="str">
            <v/>
          </cell>
          <cell r="VPW2" t="str">
            <v/>
          </cell>
          <cell r="VPX2" t="str">
            <v/>
          </cell>
          <cell r="VPY2" t="str">
            <v/>
          </cell>
          <cell r="VPZ2" t="str">
            <v/>
          </cell>
          <cell r="VQA2" t="str">
            <v/>
          </cell>
          <cell r="VQB2" t="str">
            <v/>
          </cell>
          <cell r="VQC2" t="str">
            <v/>
          </cell>
          <cell r="VQD2" t="str">
            <v/>
          </cell>
          <cell r="VQE2" t="str">
            <v/>
          </cell>
          <cell r="VQF2" t="str">
            <v/>
          </cell>
          <cell r="VQG2" t="str">
            <v/>
          </cell>
          <cell r="VQH2" t="str">
            <v/>
          </cell>
          <cell r="VQI2" t="str">
            <v/>
          </cell>
          <cell r="VQJ2" t="str">
            <v/>
          </cell>
          <cell r="VQK2" t="str">
            <v/>
          </cell>
          <cell r="VQL2" t="str">
            <v/>
          </cell>
          <cell r="VQM2" t="str">
            <v/>
          </cell>
          <cell r="VQN2" t="str">
            <v/>
          </cell>
          <cell r="VQO2" t="str">
            <v/>
          </cell>
          <cell r="VQP2" t="str">
            <v/>
          </cell>
          <cell r="VQQ2" t="str">
            <v/>
          </cell>
          <cell r="VQR2" t="str">
            <v/>
          </cell>
          <cell r="VQS2" t="str">
            <v/>
          </cell>
          <cell r="VQT2" t="str">
            <v/>
          </cell>
          <cell r="VQU2" t="str">
            <v/>
          </cell>
          <cell r="VQV2" t="str">
            <v/>
          </cell>
          <cell r="VQW2" t="str">
            <v/>
          </cell>
          <cell r="VQX2" t="str">
            <v/>
          </cell>
          <cell r="VQY2" t="str">
            <v/>
          </cell>
          <cell r="VQZ2" t="str">
            <v/>
          </cell>
          <cell r="VRA2" t="str">
            <v/>
          </cell>
          <cell r="VRB2" t="str">
            <v/>
          </cell>
          <cell r="VRC2" t="str">
            <v/>
          </cell>
          <cell r="VRD2" t="str">
            <v/>
          </cell>
          <cell r="VRE2" t="str">
            <v/>
          </cell>
          <cell r="VRF2" t="str">
            <v/>
          </cell>
          <cell r="VRG2" t="str">
            <v/>
          </cell>
          <cell r="VRH2" t="str">
            <v/>
          </cell>
          <cell r="VRI2" t="str">
            <v/>
          </cell>
          <cell r="VRJ2" t="str">
            <v/>
          </cell>
          <cell r="VRK2" t="str">
            <v/>
          </cell>
          <cell r="VRL2" t="str">
            <v/>
          </cell>
          <cell r="VRM2" t="str">
            <v/>
          </cell>
          <cell r="VRN2" t="str">
            <v/>
          </cell>
          <cell r="VRO2" t="str">
            <v/>
          </cell>
          <cell r="VRP2" t="str">
            <v/>
          </cell>
          <cell r="VRQ2" t="str">
            <v/>
          </cell>
          <cell r="VRR2" t="str">
            <v/>
          </cell>
          <cell r="VRS2" t="str">
            <v/>
          </cell>
          <cell r="VRT2" t="str">
            <v/>
          </cell>
          <cell r="VRU2" t="str">
            <v/>
          </cell>
          <cell r="VRV2" t="str">
            <v/>
          </cell>
          <cell r="VRW2" t="str">
            <v/>
          </cell>
          <cell r="VRX2" t="str">
            <v/>
          </cell>
          <cell r="VRY2" t="str">
            <v/>
          </cell>
          <cell r="VRZ2" t="str">
            <v/>
          </cell>
          <cell r="VSA2" t="str">
            <v/>
          </cell>
          <cell r="VSB2" t="str">
            <v/>
          </cell>
          <cell r="VSC2" t="str">
            <v/>
          </cell>
          <cell r="VSD2" t="str">
            <v/>
          </cell>
          <cell r="VSE2" t="str">
            <v/>
          </cell>
          <cell r="VSF2" t="str">
            <v/>
          </cell>
          <cell r="VSG2" t="str">
            <v/>
          </cell>
          <cell r="VSH2" t="str">
            <v/>
          </cell>
          <cell r="VSI2" t="str">
            <v/>
          </cell>
          <cell r="VSJ2" t="str">
            <v/>
          </cell>
          <cell r="VSK2" t="str">
            <v/>
          </cell>
          <cell r="VSL2" t="str">
            <v/>
          </cell>
          <cell r="VSM2" t="str">
            <v/>
          </cell>
          <cell r="VSN2" t="str">
            <v/>
          </cell>
          <cell r="VSO2" t="str">
            <v/>
          </cell>
          <cell r="VSP2" t="str">
            <v/>
          </cell>
          <cell r="VSQ2" t="str">
            <v/>
          </cell>
          <cell r="VSR2" t="str">
            <v/>
          </cell>
          <cell r="VSS2" t="str">
            <v/>
          </cell>
          <cell r="VST2" t="str">
            <v/>
          </cell>
          <cell r="VSU2" t="str">
            <v/>
          </cell>
          <cell r="VSV2" t="str">
            <v/>
          </cell>
          <cell r="VSW2" t="str">
            <v/>
          </cell>
          <cell r="VSX2" t="str">
            <v/>
          </cell>
          <cell r="VSY2" t="str">
            <v/>
          </cell>
          <cell r="VSZ2" t="str">
            <v/>
          </cell>
          <cell r="VTA2" t="str">
            <v/>
          </cell>
          <cell r="VTB2" t="str">
            <v/>
          </cell>
          <cell r="VTC2" t="str">
            <v/>
          </cell>
          <cell r="VTD2" t="str">
            <v/>
          </cell>
          <cell r="VTE2" t="str">
            <v/>
          </cell>
          <cell r="VTF2" t="str">
            <v/>
          </cell>
          <cell r="VTG2" t="str">
            <v/>
          </cell>
          <cell r="VTH2" t="str">
            <v/>
          </cell>
          <cell r="VTI2" t="str">
            <v/>
          </cell>
          <cell r="VTJ2" t="str">
            <v/>
          </cell>
          <cell r="VTK2" t="str">
            <v/>
          </cell>
          <cell r="VTL2" t="str">
            <v/>
          </cell>
          <cell r="VTM2" t="str">
            <v/>
          </cell>
          <cell r="VTN2" t="str">
            <v/>
          </cell>
          <cell r="VTO2" t="str">
            <v/>
          </cell>
          <cell r="VTP2" t="str">
            <v/>
          </cell>
          <cell r="VTQ2" t="str">
            <v/>
          </cell>
          <cell r="VTR2" t="str">
            <v/>
          </cell>
          <cell r="VTS2" t="str">
            <v/>
          </cell>
          <cell r="VTT2" t="str">
            <v/>
          </cell>
          <cell r="VTU2" t="str">
            <v/>
          </cell>
          <cell r="VTV2" t="str">
            <v/>
          </cell>
          <cell r="VTW2" t="str">
            <v/>
          </cell>
          <cell r="VTX2" t="str">
            <v/>
          </cell>
          <cell r="VTY2" t="str">
            <v/>
          </cell>
          <cell r="VTZ2" t="str">
            <v/>
          </cell>
          <cell r="VUA2" t="str">
            <v/>
          </cell>
          <cell r="VUB2" t="str">
            <v/>
          </cell>
          <cell r="VUC2" t="str">
            <v/>
          </cell>
          <cell r="VUD2" t="str">
            <v/>
          </cell>
          <cell r="VUE2" t="str">
            <v/>
          </cell>
          <cell r="VUF2" t="str">
            <v/>
          </cell>
          <cell r="VUG2" t="str">
            <v/>
          </cell>
          <cell r="VUH2" t="str">
            <v/>
          </cell>
          <cell r="VUI2" t="str">
            <v/>
          </cell>
          <cell r="VUJ2" t="str">
            <v/>
          </cell>
          <cell r="VUK2" t="str">
            <v/>
          </cell>
          <cell r="VUL2" t="str">
            <v/>
          </cell>
          <cell r="VUM2" t="str">
            <v/>
          </cell>
          <cell r="VUN2" t="str">
            <v/>
          </cell>
          <cell r="VUO2" t="str">
            <v/>
          </cell>
          <cell r="VUP2" t="str">
            <v/>
          </cell>
          <cell r="VUQ2" t="str">
            <v/>
          </cell>
          <cell r="VUR2" t="str">
            <v/>
          </cell>
          <cell r="VUS2" t="str">
            <v/>
          </cell>
          <cell r="VUT2" t="str">
            <v/>
          </cell>
          <cell r="VUU2" t="str">
            <v/>
          </cell>
          <cell r="VUV2" t="str">
            <v/>
          </cell>
          <cell r="VUW2" t="str">
            <v/>
          </cell>
          <cell r="VUX2" t="str">
            <v/>
          </cell>
          <cell r="VUY2" t="str">
            <v/>
          </cell>
          <cell r="VUZ2" t="str">
            <v/>
          </cell>
          <cell r="VVA2" t="str">
            <v/>
          </cell>
          <cell r="VVB2" t="str">
            <v/>
          </cell>
          <cell r="VVC2" t="str">
            <v/>
          </cell>
          <cell r="VVD2" t="str">
            <v/>
          </cell>
          <cell r="VVE2" t="str">
            <v/>
          </cell>
          <cell r="VVF2" t="str">
            <v/>
          </cell>
          <cell r="VVG2" t="str">
            <v/>
          </cell>
          <cell r="VVH2" t="str">
            <v/>
          </cell>
          <cell r="VVI2" t="str">
            <v/>
          </cell>
          <cell r="VVJ2" t="str">
            <v/>
          </cell>
          <cell r="VVK2" t="str">
            <v/>
          </cell>
          <cell r="VVL2" t="str">
            <v/>
          </cell>
          <cell r="VVM2" t="str">
            <v/>
          </cell>
          <cell r="VVN2" t="str">
            <v/>
          </cell>
          <cell r="VVO2" t="str">
            <v/>
          </cell>
          <cell r="VVP2" t="str">
            <v/>
          </cell>
          <cell r="VVQ2" t="str">
            <v/>
          </cell>
          <cell r="VVR2" t="str">
            <v/>
          </cell>
          <cell r="VVS2" t="str">
            <v/>
          </cell>
          <cell r="VVT2" t="str">
            <v/>
          </cell>
          <cell r="VVU2" t="str">
            <v/>
          </cell>
          <cell r="VVV2" t="str">
            <v/>
          </cell>
          <cell r="VVW2" t="str">
            <v/>
          </cell>
          <cell r="VVX2" t="str">
            <v/>
          </cell>
          <cell r="VVY2" t="str">
            <v/>
          </cell>
          <cell r="VVZ2" t="str">
            <v/>
          </cell>
          <cell r="VWA2" t="str">
            <v/>
          </cell>
          <cell r="VWB2" t="str">
            <v/>
          </cell>
          <cell r="VWC2" t="str">
            <v/>
          </cell>
          <cell r="VWD2" t="str">
            <v/>
          </cell>
          <cell r="VWE2" t="str">
            <v/>
          </cell>
          <cell r="VWF2" t="str">
            <v/>
          </cell>
          <cell r="VWG2" t="str">
            <v/>
          </cell>
          <cell r="VWH2" t="str">
            <v/>
          </cell>
          <cell r="VWI2" t="str">
            <v/>
          </cell>
          <cell r="VWJ2" t="str">
            <v/>
          </cell>
          <cell r="VWK2" t="str">
            <v/>
          </cell>
          <cell r="VWL2" t="str">
            <v/>
          </cell>
          <cell r="VWM2" t="str">
            <v/>
          </cell>
          <cell r="VWN2" t="str">
            <v/>
          </cell>
          <cell r="VWO2" t="str">
            <v/>
          </cell>
          <cell r="VWP2" t="str">
            <v/>
          </cell>
          <cell r="VWQ2" t="str">
            <v/>
          </cell>
          <cell r="VWR2" t="str">
            <v/>
          </cell>
          <cell r="VWS2" t="str">
            <v/>
          </cell>
          <cell r="VWT2" t="str">
            <v/>
          </cell>
          <cell r="VWU2" t="str">
            <v/>
          </cell>
          <cell r="VWV2" t="str">
            <v/>
          </cell>
          <cell r="VWW2" t="str">
            <v/>
          </cell>
          <cell r="VWX2" t="str">
            <v/>
          </cell>
          <cell r="VWY2" t="str">
            <v/>
          </cell>
          <cell r="VWZ2" t="str">
            <v/>
          </cell>
          <cell r="VXA2" t="str">
            <v/>
          </cell>
          <cell r="VXB2" t="str">
            <v/>
          </cell>
          <cell r="VXC2" t="str">
            <v/>
          </cell>
          <cell r="VXD2" t="str">
            <v/>
          </cell>
          <cell r="VXE2" t="str">
            <v/>
          </cell>
          <cell r="VXF2" t="str">
            <v/>
          </cell>
          <cell r="VXG2" t="str">
            <v/>
          </cell>
          <cell r="VXH2" t="str">
            <v/>
          </cell>
          <cell r="VXI2" t="str">
            <v/>
          </cell>
          <cell r="VXJ2" t="str">
            <v/>
          </cell>
          <cell r="VXK2" t="str">
            <v/>
          </cell>
          <cell r="VXL2" t="str">
            <v/>
          </cell>
          <cell r="VXM2" t="str">
            <v/>
          </cell>
          <cell r="VXN2" t="str">
            <v/>
          </cell>
          <cell r="VXO2" t="str">
            <v/>
          </cell>
          <cell r="VXP2" t="str">
            <v/>
          </cell>
          <cell r="VXQ2" t="str">
            <v/>
          </cell>
          <cell r="VXR2" t="str">
            <v/>
          </cell>
          <cell r="VXS2" t="str">
            <v/>
          </cell>
          <cell r="VXT2" t="str">
            <v/>
          </cell>
          <cell r="VXU2" t="str">
            <v/>
          </cell>
          <cell r="VXV2" t="str">
            <v/>
          </cell>
          <cell r="VXW2" t="str">
            <v/>
          </cell>
          <cell r="VXX2" t="str">
            <v/>
          </cell>
          <cell r="VXY2" t="str">
            <v/>
          </cell>
          <cell r="VXZ2" t="str">
            <v/>
          </cell>
          <cell r="VYA2" t="str">
            <v/>
          </cell>
          <cell r="VYB2" t="str">
            <v/>
          </cell>
          <cell r="VYC2" t="str">
            <v/>
          </cell>
          <cell r="VYD2" t="str">
            <v/>
          </cell>
          <cell r="VYE2" t="str">
            <v/>
          </cell>
          <cell r="VYF2" t="str">
            <v/>
          </cell>
          <cell r="VYG2" t="str">
            <v/>
          </cell>
          <cell r="VYH2" t="str">
            <v/>
          </cell>
          <cell r="VYI2" t="str">
            <v/>
          </cell>
          <cell r="VYJ2" t="str">
            <v/>
          </cell>
          <cell r="VYK2" t="str">
            <v/>
          </cell>
          <cell r="VYL2" t="str">
            <v/>
          </cell>
          <cell r="VYM2" t="str">
            <v/>
          </cell>
          <cell r="VYN2" t="str">
            <v/>
          </cell>
          <cell r="VYO2" t="str">
            <v/>
          </cell>
          <cell r="VYP2" t="str">
            <v/>
          </cell>
          <cell r="VYQ2" t="str">
            <v/>
          </cell>
          <cell r="VYR2" t="str">
            <v/>
          </cell>
          <cell r="VYS2" t="str">
            <v/>
          </cell>
          <cell r="VYT2" t="str">
            <v/>
          </cell>
          <cell r="VYU2" t="str">
            <v/>
          </cell>
          <cell r="VYV2" t="str">
            <v/>
          </cell>
          <cell r="VYW2" t="str">
            <v/>
          </cell>
          <cell r="VYX2" t="str">
            <v/>
          </cell>
          <cell r="VYY2" t="str">
            <v/>
          </cell>
          <cell r="VYZ2" t="str">
            <v/>
          </cell>
          <cell r="VZA2" t="str">
            <v/>
          </cell>
          <cell r="VZB2" t="str">
            <v/>
          </cell>
          <cell r="VZC2" t="str">
            <v/>
          </cell>
          <cell r="VZD2" t="str">
            <v/>
          </cell>
          <cell r="VZE2" t="str">
            <v/>
          </cell>
          <cell r="VZF2" t="str">
            <v/>
          </cell>
          <cell r="VZG2" t="str">
            <v/>
          </cell>
          <cell r="VZH2" t="str">
            <v/>
          </cell>
          <cell r="VZI2" t="str">
            <v/>
          </cell>
          <cell r="VZJ2" t="str">
            <v/>
          </cell>
          <cell r="VZK2" t="str">
            <v/>
          </cell>
          <cell r="VZL2" t="str">
            <v/>
          </cell>
          <cell r="VZM2" t="str">
            <v/>
          </cell>
          <cell r="VZN2" t="str">
            <v/>
          </cell>
          <cell r="VZO2" t="str">
            <v/>
          </cell>
          <cell r="VZP2" t="str">
            <v/>
          </cell>
          <cell r="VZQ2" t="str">
            <v/>
          </cell>
          <cell r="VZR2" t="str">
            <v/>
          </cell>
          <cell r="VZS2" t="str">
            <v/>
          </cell>
          <cell r="VZT2" t="str">
            <v/>
          </cell>
          <cell r="VZU2" t="str">
            <v/>
          </cell>
          <cell r="VZV2" t="str">
            <v/>
          </cell>
          <cell r="VZW2" t="str">
            <v/>
          </cell>
          <cell r="VZX2" t="str">
            <v/>
          </cell>
          <cell r="VZY2" t="str">
            <v/>
          </cell>
          <cell r="VZZ2" t="str">
            <v/>
          </cell>
          <cell r="WAA2" t="str">
            <v/>
          </cell>
          <cell r="WAB2" t="str">
            <v/>
          </cell>
          <cell r="WAC2" t="str">
            <v/>
          </cell>
          <cell r="WAD2" t="str">
            <v/>
          </cell>
          <cell r="WAE2" t="str">
            <v/>
          </cell>
          <cell r="WAF2" t="str">
            <v/>
          </cell>
          <cell r="WAG2" t="str">
            <v/>
          </cell>
          <cell r="WAH2" t="str">
            <v/>
          </cell>
          <cell r="WAI2" t="str">
            <v/>
          </cell>
          <cell r="WAJ2" t="str">
            <v/>
          </cell>
          <cell r="WAK2" t="str">
            <v/>
          </cell>
          <cell r="WAL2" t="str">
            <v/>
          </cell>
          <cell r="WAM2" t="str">
            <v/>
          </cell>
          <cell r="WAN2" t="str">
            <v/>
          </cell>
          <cell r="WAO2" t="str">
            <v/>
          </cell>
          <cell r="WAP2" t="str">
            <v/>
          </cell>
          <cell r="WAQ2" t="str">
            <v/>
          </cell>
          <cell r="WAR2" t="str">
            <v/>
          </cell>
          <cell r="WAS2" t="str">
            <v/>
          </cell>
          <cell r="WAT2" t="str">
            <v/>
          </cell>
          <cell r="WAU2" t="str">
            <v/>
          </cell>
          <cell r="WAV2" t="str">
            <v/>
          </cell>
          <cell r="WAW2" t="str">
            <v/>
          </cell>
          <cell r="WAX2" t="str">
            <v/>
          </cell>
          <cell r="WAY2" t="str">
            <v/>
          </cell>
          <cell r="WAZ2" t="str">
            <v/>
          </cell>
          <cell r="WBA2" t="str">
            <v/>
          </cell>
          <cell r="WBB2" t="str">
            <v/>
          </cell>
          <cell r="WBC2" t="str">
            <v/>
          </cell>
          <cell r="WBD2" t="str">
            <v/>
          </cell>
          <cell r="WBE2" t="str">
            <v/>
          </cell>
          <cell r="WBF2" t="str">
            <v/>
          </cell>
          <cell r="WBG2" t="str">
            <v/>
          </cell>
          <cell r="WBH2" t="str">
            <v/>
          </cell>
          <cell r="WBI2" t="str">
            <v/>
          </cell>
          <cell r="WBJ2" t="str">
            <v/>
          </cell>
          <cell r="WBK2" t="str">
            <v/>
          </cell>
          <cell r="WBL2" t="str">
            <v/>
          </cell>
          <cell r="WBM2" t="str">
            <v/>
          </cell>
          <cell r="WBN2" t="str">
            <v/>
          </cell>
          <cell r="WBO2" t="str">
            <v/>
          </cell>
          <cell r="WBP2" t="str">
            <v/>
          </cell>
          <cell r="WBQ2" t="str">
            <v/>
          </cell>
          <cell r="WBR2" t="str">
            <v/>
          </cell>
          <cell r="WBS2" t="str">
            <v/>
          </cell>
          <cell r="WBT2" t="str">
            <v/>
          </cell>
          <cell r="WBU2" t="str">
            <v/>
          </cell>
          <cell r="WBV2" t="str">
            <v/>
          </cell>
          <cell r="WBW2" t="str">
            <v/>
          </cell>
          <cell r="WBX2" t="str">
            <v/>
          </cell>
          <cell r="WBY2" t="str">
            <v/>
          </cell>
          <cell r="WBZ2" t="str">
            <v/>
          </cell>
          <cell r="WCA2" t="str">
            <v/>
          </cell>
          <cell r="WCB2" t="str">
            <v/>
          </cell>
          <cell r="WCC2" t="str">
            <v/>
          </cell>
          <cell r="WCD2" t="str">
            <v/>
          </cell>
          <cell r="WCE2" t="str">
            <v/>
          </cell>
          <cell r="WCF2" t="str">
            <v/>
          </cell>
          <cell r="WCG2" t="str">
            <v/>
          </cell>
          <cell r="WCH2" t="str">
            <v/>
          </cell>
          <cell r="WCI2" t="str">
            <v/>
          </cell>
          <cell r="WCJ2" t="str">
            <v/>
          </cell>
          <cell r="WCK2" t="str">
            <v/>
          </cell>
          <cell r="WCL2" t="str">
            <v/>
          </cell>
          <cell r="WCM2" t="str">
            <v/>
          </cell>
          <cell r="WCN2" t="str">
            <v/>
          </cell>
          <cell r="WCO2" t="str">
            <v/>
          </cell>
          <cell r="WCP2" t="str">
            <v/>
          </cell>
          <cell r="WCQ2" t="str">
            <v/>
          </cell>
          <cell r="WCR2" t="str">
            <v/>
          </cell>
          <cell r="WCS2" t="str">
            <v/>
          </cell>
          <cell r="WCT2" t="str">
            <v/>
          </cell>
          <cell r="WCU2" t="str">
            <v/>
          </cell>
          <cell r="WCV2" t="str">
            <v/>
          </cell>
          <cell r="WCW2" t="str">
            <v/>
          </cell>
          <cell r="WCX2" t="str">
            <v/>
          </cell>
          <cell r="WCY2" t="str">
            <v/>
          </cell>
          <cell r="WCZ2" t="str">
            <v/>
          </cell>
          <cell r="WDA2" t="str">
            <v/>
          </cell>
          <cell r="WDB2" t="str">
            <v/>
          </cell>
          <cell r="WDC2" t="str">
            <v/>
          </cell>
          <cell r="WDD2" t="str">
            <v/>
          </cell>
          <cell r="WDE2" t="str">
            <v/>
          </cell>
          <cell r="WDF2" t="str">
            <v/>
          </cell>
          <cell r="WDG2" t="str">
            <v/>
          </cell>
          <cell r="WDH2" t="str">
            <v/>
          </cell>
          <cell r="WDI2" t="str">
            <v/>
          </cell>
          <cell r="WDJ2" t="str">
            <v/>
          </cell>
          <cell r="WDK2" t="str">
            <v/>
          </cell>
          <cell r="WDL2" t="str">
            <v/>
          </cell>
          <cell r="WDM2" t="str">
            <v/>
          </cell>
          <cell r="WDN2" t="str">
            <v/>
          </cell>
          <cell r="WDO2" t="str">
            <v/>
          </cell>
          <cell r="WDP2" t="str">
            <v/>
          </cell>
          <cell r="WDQ2" t="str">
            <v/>
          </cell>
          <cell r="WDR2" t="str">
            <v/>
          </cell>
          <cell r="WDS2" t="str">
            <v/>
          </cell>
          <cell r="WDT2" t="str">
            <v/>
          </cell>
          <cell r="WDU2" t="str">
            <v/>
          </cell>
          <cell r="WDV2" t="str">
            <v/>
          </cell>
          <cell r="WDW2" t="str">
            <v/>
          </cell>
          <cell r="WDX2" t="str">
            <v/>
          </cell>
          <cell r="WDY2" t="str">
            <v/>
          </cell>
          <cell r="WDZ2" t="str">
            <v/>
          </cell>
          <cell r="WEA2" t="str">
            <v/>
          </cell>
          <cell r="WEB2" t="str">
            <v/>
          </cell>
          <cell r="WEC2" t="str">
            <v/>
          </cell>
          <cell r="WED2" t="str">
            <v/>
          </cell>
          <cell r="WEE2" t="str">
            <v/>
          </cell>
          <cell r="WEF2" t="str">
            <v/>
          </cell>
          <cell r="WEG2" t="str">
            <v/>
          </cell>
          <cell r="WEH2" t="str">
            <v/>
          </cell>
          <cell r="WEI2" t="str">
            <v/>
          </cell>
          <cell r="WEJ2" t="str">
            <v/>
          </cell>
          <cell r="WEK2" t="str">
            <v/>
          </cell>
          <cell r="WEL2" t="str">
            <v/>
          </cell>
          <cell r="WEM2" t="str">
            <v/>
          </cell>
          <cell r="WEN2" t="str">
            <v/>
          </cell>
          <cell r="WEO2" t="str">
            <v/>
          </cell>
          <cell r="WEP2" t="str">
            <v/>
          </cell>
          <cell r="WEQ2" t="str">
            <v/>
          </cell>
          <cell r="WER2" t="str">
            <v/>
          </cell>
          <cell r="WES2" t="str">
            <v/>
          </cell>
          <cell r="WET2" t="str">
            <v/>
          </cell>
          <cell r="WEU2" t="str">
            <v/>
          </cell>
          <cell r="WEV2" t="str">
            <v/>
          </cell>
          <cell r="WEW2" t="str">
            <v/>
          </cell>
          <cell r="WEX2" t="str">
            <v/>
          </cell>
          <cell r="WEY2" t="str">
            <v/>
          </cell>
          <cell r="WEZ2" t="str">
            <v/>
          </cell>
          <cell r="WFA2" t="str">
            <v/>
          </cell>
          <cell r="WFB2" t="str">
            <v/>
          </cell>
          <cell r="WFC2" t="str">
            <v/>
          </cell>
          <cell r="WFD2" t="str">
            <v/>
          </cell>
          <cell r="WFE2" t="str">
            <v/>
          </cell>
          <cell r="WFF2" t="str">
            <v/>
          </cell>
          <cell r="WFG2" t="str">
            <v/>
          </cell>
          <cell r="WFH2" t="str">
            <v/>
          </cell>
          <cell r="WFI2" t="str">
            <v/>
          </cell>
          <cell r="WFJ2" t="str">
            <v/>
          </cell>
          <cell r="WFK2" t="str">
            <v/>
          </cell>
          <cell r="WFL2" t="str">
            <v/>
          </cell>
          <cell r="WFM2" t="str">
            <v/>
          </cell>
          <cell r="WFN2" t="str">
            <v/>
          </cell>
          <cell r="WFO2" t="str">
            <v/>
          </cell>
          <cell r="WFP2" t="str">
            <v/>
          </cell>
          <cell r="WFQ2" t="str">
            <v/>
          </cell>
          <cell r="WFR2" t="str">
            <v/>
          </cell>
          <cell r="WFS2" t="str">
            <v/>
          </cell>
          <cell r="WFT2" t="str">
            <v/>
          </cell>
          <cell r="WFU2" t="str">
            <v/>
          </cell>
          <cell r="WFV2" t="str">
            <v/>
          </cell>
          <cell r="WFW2" t="str">
            <v/>
          </cell>
          <cell r="WFX2" t="str">
            <v/>
          </cell>
          <cell r="WFY2" t="str">
            <v/>
          </cell>
          <cell r="WFZ2" t="str">
            <v/>
          </cell>
          <cell r="WGA2" t="str">
            <v/>
          </cell>
          <cell r="WGB2" t="str">
            <v/>
          </cell>
          <cell r="WGC2" t="str">
            <v/>
          </cell>
          <cell r="WGD2" t="str">
            <v/>
          </cell>
          <cell r="WGE2" t="str">
            <v/>
          </cell>
          <cell r="WGF2" t="str">
            <v/>
          </cell>
          <cell r="WGG2" t="str">
            <v/>
          </cell>
          <cell r="WGH2" t="str">
            <v/>
          </cell>
          <cell r="WGI2" t="str">
            <v/>
          </cell>
          <cell r="WGJ2" t="str">
            <v/>
          </cell>
          <cell r="WGK2" t="str">
            <v/>
          </cell>
          <cell r="WGL2" t="str">
            <v/>
          </cell>
          <cell r="WGM2" t="str">
            <v/>
          </cell>
          <cell r="WGN2" t="str">
            <v/>
          </cell>
          <cell r="WGO2" t="str">
            <v/>
          </cell>
          <cell r="WGP2" t="str">
            <v/>
          </cell>
          <cell r="WGQ2" t="str">
            <v/>
          </cell>
          <cell r="WGR2" t="str">
            <v/>
          </cell>
          <cell r="WGS2" t="str">
            <v/>
          </cell>
          <cell r="WGT2" t="str">
            <v/>
          </cell>
          <cell r="WGU2" t="str">
            <v/>
          </cell>
          <cell r="WGV2" t="str">
            <v/>
          </cell>
          <cell r="WGW2" t="str">
            <v/>
          </cell>
          <cell r="WGX2" t="str">
            <v/>
          </cell>
          <cell r="WGY2" t="str">
            <v/>
          </cell>
          <cell r="WGZ2" t="str">
            <v/>
          </cell>
          <cell r="WHA2" t="str">
            <v/>
          </cell>
          <cell r="WHB2" t="str">
            <v/>
          </cell>
          <cell r="WHC2" t="str">
            <v/>
          </cell>
          <cell r="WHD2" t="str">
            <v/>
          </cell>
          <cell r="WHE2" t="str">
            <v/>
          </cell>
          <cell r="WHF2" t="str">
            <v/>
          </cell>
          <cell r="WHG2" t="str">
            <v/>
          </cell>
          <cell r="WHH2" t="str">
            <v/>
          </cell>
          <cell r="WHI2" t="str">
            <v/>
          </cell>
          <cell r="WHJ2" t="str">
            <v/>
          </cell>
          <cell r="WHK2" t="str">
            <v/>
          </cell>
          <cell r="WHL2" t="str">
            <v/>
          </cell>
          <cell r="WHM2" t="str">
            <v/>
          </cell>
          <cell r="WHN2" t="str">
            <v/>
          </cell>
          <cell r="WHO2" t="str">
            <v/>
          </cell>
          <cell r="WHP2" t="str">
            <v/>
          </cell>
          <cell r="WHQ2" t="str">
            <v/>
          </cell>
          <cell r="WHR2" t="str">
            <v/>
          </cell>
          <cell r="WHS2" t="str">
            <v/>
          </cell>
          <cell r="WHT2" t="str">
            <v/>
          </cell>
          <cell r="WHU2" t="str">
            <v/>
          </cell>
          <cell r="WHV2" t="str">
            <v/>
          </cell>
          <cell r="WHW2" t="str">
            <v/>
          </cell>
          <cell r="WHX2" t="str">
            <v/>
          </cell>
          <cell r="WHY2" t="str">
            <v/>
          </cell>
          <cell r="WHZ2" t="str">
            <v/>
          </cell>
          <cell r="WIA2" t="str">
            <v/>
          </cell>
          <cell r="WIB2" t="str">
            <v/>
          </cell>
          <cell r="WIC2" t="str">
            <v/>
          </cell>
          <cell r="WID2" t="str">
            <v/>
          </cell>
          <cell r="WIE2" t="str">
            <v/>
          </cell>
          <cell r="WIF2" t="str">
            <v/>
          </cell>
          <cell r="WIG2" t="str">
            <v/>
          </cell>
          <cell r="WIH2" t="str">
            <v/>
          </cell>
          <cell r="WII2" t="str">
            <v/>
          </cell>
          <cell r="WIJ2" t="str">
            <v/>
          </cell>
          <cell r="WIK2" t="str">
            <v/>
          </cell>
          <cell r="WIL2" t="str">
            <v/>
          </cell>
          <cell r="WIM2" t="str">
            <v/>
          </cell>
          <cell r="WIN2" t="str">
            <v/>
          </cell>
          <cell r="WIO2" t="str">
            <v/>
          </cell>
          <cell r="WIP2" t="str">
            <v/>
          </cell>
          <cell r="WIQ2" t="str">
            <v/>
          </cell>
          <cell r="WIR2" t="str">
            <v/>
          </cell>
          <cell r="WIS2" t="str">
            <v/>
          </cell>
          <cell r="WIT2" t="str">
            <v/>
          </cell>
          <cell r="WIU2" t="str">
            <v/>
          </cell>
          <cell r="WIV2" t="str">
            <v/>
          </cell>
          <cell r="WIW2" t="str">
            <v/>
          </cell>
          <cell r="WIX2" t="str">
            <v/>
          </cell>
          <cell r="WIY2" t="str">
            <v/>
          </cell>
          <cell r="WIZ2" t="str">
            <v/>
          </cell>
          <cell r="WJA2" t="str">
            <v/>
          </cell>
          <cell r="WJB2" t="str">
            <v/>
          </cell>
          <cell r="WJC2" t="str">
            <v/>
          </cell>
          <cell r="WJD2" t="str">
            <v/>
          </cell>
          <cell r="WJE2" t="str">
            <v/>
          </cell>
          <cell r="WJF2" t="str">
            <v/>
          </cell>
          <cell r="WJG2" t="str">
            <v/>
          </cell>
          <cell r="WJH2" t="str">
            <v/>
          </cell>
          <cell r="WJI2" t="str">
            <v/>
          </cell>
          <cell r="WJJ2" t="str">
            <v/>
          </cell>
          <cell r="WJK2" t="str">
            <v/>
          </cell>
          <cell r="WJL2" t="str">
            <v/>
          </cell>
          <cell r="WJM2" t="str">
            <v/>
          </cell>
          <cell r="WJN2" t="str">
            <v/>
          </cell>
          <cell r="WJO2" t="str">
            <v/>
          </cell>
          <cell r="WJP2" t="str">
            <v/>
          </cell>
          <cell r="WJQ2" t="str">
            <v/>
          </cell>
          <cell r="WJR2" t="str">
            <v/>
          </cell>
          <cell r="WJS2" t="str">
            <v/>
          </cell>
          <cell r="WJT2" t="str">
            <v/>
          </cell>
          <cell r="WJU2" t="str">
            <v/>
          </cell>
          <cell r="WJV2" t="str">
            <v/>
          </cell>
          <cell r="WJW2" t="str">
            <v/>
          </cell>
          <cell r="WJX2" t="str">
            <v/>
          </cell>
          <cell r="WJY2" t="str">
            <v/>
          </cell>
          <cell r="WJZ2" t="str">
            <v/>
          </cell>
          <cell r="WKA2" t="str">
            <v/>
          </cell>
          <cell r="WKB2" t="str">
            <v/>
          </cell>
          <cell r="WKC2" t="str">
            <v/>
          </cell>
          <cell r="WKD2" t="str">
            <v/>
          </cell>
          <cell r="WKE2" t="str">
            <v/>
          </cell>
          <cell r="WKF2" t="str">
            <v/>
          </cell>
          <cell r="WKG2" t="str">
            <v/>
          </cell>
          <cell r="WKH2" t="str">
            <v/>
          </cell>
          <cell r="WKI2" t="str">
            <v/>
          </cell>
          <cell r="WKJ2" t="str">
            <v/>
          </cell>
          <cell r="WKK2" t="str">
            <v/>
          </cell>
          <cell r="WKL2" t="str">
            <v/>
          </cell>
          <cell r="WKM2" t="str">
            <v/>
          </cell>
          <cell r="WKN2" t="str">
            <v/>
          </cell>
          <cell r="WKO2" t="str">
            <v/>
          </cell>
          <cell r="WKP2" t="str">
            <v/>
          </cell>
          <cell r="WKQ2" t="str">
            <v/>
          </cell>
          <cell r="WKR2" t="str">
            <v/>
          </cell>
          <cell r="WKS2" t="str">
            <v/>
          </cell>
          <cell r="WKT2" t="str">
            <v/>
          </cell>
          <cell r="WKU2" t="str">
            <v/>
          </cell>
          <cell r="WKV2" t="str">
            <v/>
          </cell>
          <cell r="WKW2" t="str">
            <v/>
          </cell>
          <cell r="WKX2" t="str">
            <v/>
          </cell>
          <cell r="WKY2" t="str">
            <v/>
          </cell>
          <cell r="WKZ2" t="str">
            <v/>
          </cell>
          <cell r="WLA2" t="str">
            <v/>
          </cell>
          <cell r="WLB2" t="str">
            <v/>
          </cell>
          <cell r="WLC2" t="str">
            <v/>
          </cell>
          <cell r="WLD2" t="str">
            <v/>
          </cell>
          <cell r="WLE2" t="str">
            <v/>
          </cell>
          <cell r="WLF2" t="str">
            <v/>
          </cell>
          <cell r="WLG2" t="str">
            <v/>
          </cell>
          <cell r="WLH2" t="str">
            <v/>
          </cell>
          <cell r="WLI2" t="str">
            <v/>
          </cell>
          <cell r="WLJ2" t="str">
            <v/>
          </cell>
          <cell r="WLK2" t="str">
            <v/>
          </cell>
          <cell r="WLL2" t="str">
            <v/>
          </cell>
          <cell r="WLM2" t="str">
            <v/>
          </cell>
          <cell r="WLN2" t="str">
            <v/>
          </cell>
          <cell r="WLO2" t="str">
            <v/>
          </cell>
          <cell r="WLP2" t="str">
            <v/>
          </cell>
          <cell r="WLQ2" t="str">
            <v/>
          </cell>
          <cell r="WLR2" t="str">
            <v/>
          </cell>
          <cell r="WLS2" t="str">
            <v/>
          </cell>
          <cell r="WLT2" t="str">
            <v/>
          </cell>
          <cell r="WLU2" t="str">
            <v/>
          </cell>
          <cell r="WLV2" t="str">
            <v/>
          </cell>
          <cell r="WLW2" t="str">
            <v/>
          </cell>
          <cell r="WLX2" t="str">
            <v/>
          </cell>
          <cell r="WLY2" t="str">
            <v/>
          </cell>
          <cell r="WLZ2" t="str">
            <v/>
          </cell>
          <cell r="WMA2" t="str">
            <v/>
          </cell>
          <cell r="WMB2" t="str">
            <v/>
          </cell>
          <cell r="WMC2" t="str">
            <v/>
          </cell>
          <cell r="WMD2" t="str">
            <v/>
          </cell>
          <cell r="WME2" t="str">
            <v/>
          </cell>
          <cell r="WMF2" t="str">
            <v/>
          </cell>
          <cell r="WMG2" t="str">
            <v/>
          </cell>
          <cell r="WMH2" t="str">
            <v/>
          </cell>
          <cell r="WMI2" t="str">
            <v/>
          </cell>
          <cell r="WMJ2" t="str">
            <v/>
          </cell>
          <cell r="WMK2" t="str">
            <v/>
          </cell>
          <cell r="WML2" t="str">
            <v/>
          </cell>
          <cell r="WMM2" t="str">
            <v/>
          </cell>
          <cell r="WMN2" t="str">
            <v/>
          </cell>
          <cell r="WMO2" t="str">
            <v/>
          </cell>
          <cell r="WMP2" t="str">
            <v/>
          </cell>
          <cell r="WMQ2" t="str">
            <v/>
          </cell>
          <cell r="WMR2" t="str">
            <v/>
          </cell>
          <cell r="WMS2" t="str">
            <v/>
          </cell>
          <cell r="WMT2" t="str">
            <v/>
          </cell>
          <cell r="WMU2" t="str">
            <v/>
          </cell>
          <cell r="WMV2" t="str">
            <v/>
          </cell>
          <cell r="WMW2" t="str">
            <v/>
          </cell>
          <cell r="WMX2" t="str">
            <v/>
          </cell>
          <cell r="WMY2" t="str">
            <v/>
          </cell>
          <cell r="WMZ2" t="str">
            <v/>
          </cell>
          <cell r="WNA2" t="str">
            <v/>
          </cell>
          <cell r="WNB2" t="str">
            <v/>
          </cell>
          <cell r="WNC2" t="str">
            <v/>
          </cell>
          <cell r="WND2" t="str">
            <v/>
          </cell>
          <cell r="WNE2" t="str">
            <v/>
          </cell>
          <cell r="WNF2" t="str">
            <v/>
          </cell>
          <cell r="WNG2" t="str">
            <v/>
          </cell>
          <cell r="WNH2" t="str">
            <v/>
          </cell>
          <cell r="WNI2" t="str">
            <v/>
          </cell>
          <cell r="WNJ2" t="str">
            <v/>
          </cell>
          <cell r="WNK2" t="str">
            <v/>
          </cell>
          <cell r="WNL2" t="str">
            <v/>
          </cell>
          <cell r="WNM2" t="str">
            <v/>
          </cell>
          <cell r="WNN2" t="str">
            <v/>
          </cell>
          <cell r="WNO2" t="str">
            <v/>
          </cell>
          <cell r="WNP2" t="str">
            <v/>
          </cell>
          <cell r="WNQ2" t="str">
            <v/>
          </cell>
          <cell r="WNR2" t="str">
            <v/>
          </cell>
          <cell r="WNS2" t="str">
            <v/>
          </cell>
          <cell r="WNT2" t="str">
            <v/>
          </cell>
          <cell r="WNU2" t="str">
            <v/>
          </cell>
          <cell r="WNV2" t="str">
            <v/>
          </cell>
          <cell r="WNW2" t="str">
            <v/>
          </cell>
          <cell r="WNX2" t="str">
            <v/>
          </cell>
          <cell r="WNY2" t="str">
            <v/>
          </cell>
          <cell r="WNZ2" t="str">
            <v/>
          </cell>
          <cell r="WOA2" t="str">
            <v/>
          </cell>
          <cell r="WOB2" t="str">
            <v/>
          </cell>
          <cell r="WOC2" t="str">
            <v/>
          </cell>
          <cell r="WOD2" t="str">
            <v/>
          </cell>
          <cell r="WOE2" t="str">
            <v/>
          </cell>
          <cell r="WOF2" t="str">
            <v/>
          </cell>
          <cell r="WOG2" t="str">
            <v/>
          </cell>
          <cell r="WOH2" t="str">
            <v/>
          </cell>
          <cell r="WOI2" t="str">
            <v/>
          </cell>
          <cell r="WOJ2" t="str">
            <v/>
          </cell>
          <cell r="WOK2" t="str">
            <v/>
          </cell>
          <cell r="WOL2" t="str">
            <v/>
          </cell>
          <cell r="WOM2" t="str">
            <v/>
          </cell>
          <cell r="WON2" t="str">
            <v/>
          </cell>
          <cell r="WOO2" t="str">
            <v/>
          </cell>
          <cell r="WOP2" t="str">
            <v/>
          </cell>
          <cell r="WOQ2" t="str">
            <v/>
          </cell>
          <cell r="WOR2" t="str">
            <v/>
          </cell>
          <cell r="WOS2" t="str">
            <v/>
          </cell>
          <cell r="WOT2" t="str">
            <v/>
          </cell>
          <cell r="WOU2" t="str">
            <v/>
          </cell>
          <cell r="WOV2" t="str">
            <v/>
          </cell>
          <cell r="WOW2" t="str">
            <v/>
          </cell>
          <cell r="WOX2" t="str">
            <v/>
          </cell>
          <cell r="WOY2" t="str">
            <v/>
          </cell>
          <cell r="WOZ2" t="str">
            <v/>
          </cell>
          <cell r="WPA2" t="str">
            <v/>
          </cell>
          <cell r="WPB2" t="str">
            <v/>
          </cell>
          <cell r="WPC2" t="str">
            <v/>
          </cell>
          <cell r="WPD2" t="str">
            <v/>
          </cell>
          <cell r="WPE2" t="str">
            <v/>
          </cell>
          <cell r="WPF2" t="str">
            <v/>
          </cell>
          <cell r="WPG2" t="str">
            <v/>
          </cell>
          <cell r="WPH2" t="str">
            <v/>
          </cell>
          <cell r="WPI2" t="str">
            <v/>
          </cell>
          <cell r="WPJ2" t="str">
            <v/>
          </cell>
          <cell r="WPK2" t="str">
            <v/>
          </cell>
          <cell r="WPL2" t="str">
            <v/>
          </cell>
          <cell r="WPM2" t="str">
            <v/>
          </cell>
          <cell r="WPN2" t="str">
            <v/>
          </cell>
          <cell r="WPO2" t="str">
            <v/>
          </cell>
          <cell r="WPP2" t="str">
            <v/>
          </cell>
          <cell r="WPQ2" t="str">
            <v/>
          </cell>
          <cell r="WPR2" t="str">
            <v/>
          </cell>
          <cell r="WPS2" t="str">
            <v/>
          </cell>
          <cell r="WPT2" t="str">
            <v/>
          </cell>
          <cell r="WPU2" t="str">
            <v/>
          </cell>
          <cell r="WPV2" t="str">
            <v/>
          </cell>
          <cell r="WPW2" t="str">
            <v/>
          </cell>
          <cell r="WPX2" t="str">
            <v/>
          </cell>
          <cell r="WPY2" t="str">
            <v/>
          </cell>
          <cell r="WPZ2" t="str">
            <v/>
          </cell>
          <cell r="WQA2" t="str">
            <v/>
          </cell>
          <cell r="WQB2" t="str">
            <v/>
          </cell>
          <cell r="WQC2" t="str">
            <v/>
          </cell>
          <cell r="WQD2" t="str">
            <v/>
          </cell>
          <cell r="WQE2" t="str">
            <v/>
          </cell>
          <cell r="WQF2" t="str">
            <v/>
          </cell>
          <cell r="WQG2" t="str">
            <v/>
          </cell>
          <cell r="WQH2" t="str">
            <v/>
          </cell>
          <cell r="WQI2" t="str">
            <v/>
          </cell>
          <cell r="WQJ2" t="str">
            <v/>
          </cell>
          <cell r="WQK2" t="str">
            <v/>
          </cell>
          <cell r="WQL2" t="str">
            <v/>
          </cell>
          <cell r="WQM2" t="str">
            <v/>
          </cell>
          <cell r="WQN2" t="str">
            <v/>
          </cell>
          <cell r="WQO2" t="str">
            <v/>
          </cell>
          <cell r="WQP2" t="str">
            <v/>
          </cell>
          <cell r="WQQ2" t="str">
            <v/>
          </cell>
          <cell r="WQR2" t="str">
            <v/>
          </cell>
          <cell r="WQS2" t="str">
            <v/>
          </cell>
          <cell r="WQT2" t="str">
            <v/>
          </cell>
          <cell r="WQU2" t="str">
            <v/>
          </cell>
          <cell r="WQV2" t="str">
            <v/>
          </cell>
          <cell r="WQW2" t="str">
            <v/>
          </cell>
          <cell r="WQX2" t="str">
            <v/>
          </cell>
          <cell r="WQY2" t="str">
            <v/>
          </cell>
          <cell r="WQZ2" t="str">
            <v/>
          </cell>
          <cell r="WRA2" t="str">
            <v/>
          </cell>
          <cell r="WRB2" t="str">
            <v/>
          </cell>
          <cell r="WRC2" t="str">
            <v/>
          </cell>
          <cell r="WRD2" t="str">
            <v/>
          </cell>
          <cell r="WRE2" t="str">
            <v/>
          </cell>
          <cell r="WRF2" t="str">
            <v/>
          </cell>
          <cell r="WRG2" t="str">
            <v/>
          </cell>
          <cell r="WRH2" t="str">
            <v/>
          </cell>
          <cell r="WRI2" t="str">
            <v/>
          </cell>
          <cell r="WRJ2" t="str">
            <v/>
          </cell>
          <cell r="WRK2" t="str">
            <v/>
          </cell>
          <cell r="WRL2" t="str">
            <v/>
          </cell>
          <cell r="WRM2" t="str">
            <v/>
          </cell>
          <cell r="WRN2" t="str">
            <v/>
          </cell>
          <cell r="WRO2" t="str">
            <v/>
          </cell>
          <cell r="WRP2" t="str">
            <v/>
          </cell>
          <cell r="WRQ2" t="str">
            <v/>
          </cell>
          <cell r="WRR2" t="str">
            <v/>
          </cell>
          <cell r="WRS2" t="str">
            <v/>
          </cell>
          <cell r="WRT2" t="str">
            <v/>
          </cell>
          <cell r="WRU2" t="str">
            <v/>
          </cell>
          <cell r="WRV2" t="str">
            <v/>
          </cell>
          <cell r="WRW2" t="str">
            <v/>
          </cell>
          <cell r="WRX2" t="str">
            <v/>
          </cell>
          <cell r="WRY2" t="str">
            <v/>
          </cell>
          <cell r="WRZ2" t="str">
            <v/>
          </cell>
          <cell r="WSA2" t="str">
            <v/>
          </cell>
          <cell r="WSB2" t="str">
            <v/>
          </cell>
          <cell r="WSC2" t="str">
            <v/>
          </cell>
          <cell r="WSD2" t="str">
            <v/>
          </cell>
          <cell r="WSE2" t="str">
            <v/>
          </cell>
          <cell r="WSF2" t="str">
            <v/>
          </cell>
          <cell r="WSG2" t="str">
            <v/>
          </cell>
          <cell r="WSH2" t="str">
            <v/>
          </cell>
          <cell r="WSI2" t="str">
            <v/>
          </cell>
          <cell r="WSJ2" t="str">
            <v/>
          </cell>
          <cell r="WSK2" t="str">
            <v/>
          </cell>
          <cell r="WSL2" t="str">
            <v/>
          </cell>
          <cell r="WSM2" t="str">
            <v/>
          </cell>
          <cell r="WSN2" t="str">
            <v/>
          </cell>
          <cell r="WSO2" t="str">
            <v/>
          </cell>
          <cell r="WSP2" t="str">
            <v/>
          </cell>
          <cell r="WSQ2" t="str">
            <v/>
          </cell>
          <cell r="WSR2" t="str">
            <v/>
          </cell>
          <cell r="WSS2" t="str">
            <v/>
          </cell>
          <cell r="WST2" t="str">
            <v/>
          </cell>
          <cell r="WSU2" t="str">
            <v/>
          </cell>
          <cell r="WSV2" t="str">
            <v/>
          </cell>
          <cell r="WSW2" t="str">
            <v/>
          </cell>
          <cell r="WSX2" t="str">
            <v/>
          </cell>
          <cell r="WSY2" t="str">
            <v/>
          </cell>
          <cell r="WSZ2" t="str">
            <v/>
          </cell>
          <cell r="WTA2" t="str">
            <v/>
          </cell>
          <cell r="WTB2" t="str">
            <v/>
          </cell>
          <cell r="WTC2" t="str">
            <v/>
          </cell>
          <cell r="WTD2" t="str">
            <v/>
          </cell>
          <cell r="WTE2" t="str">
            <v/>
          </cell>
          <cell r="WTF2" t="str">
            <v/>
          </cell>
          <cell r="WTG2" t="str">
            <v/>
          </cell>
          <cell r="WTH2" t="str">
            <v/>
          </cell>
          <cell r="WTI2" t="str">
            <v/>
          </cell>
          <cell r="WTJ2" t="str">
            <v/>
          </cell>
          <cell r="WTK2" t="str">
            <v/>
          </cell>
          <cell r="WTL2" t="str">
            <v/>
          </cell>
          <cell r="WTM2" t="str">
            <v/>
          </cell>
          <cell r="WTN2" t="str">
            <v/>
          </cell>
          <cell r="WTO2" t="str">
            <v/>
          </cell>
          <cell r="WTP2" t="str">
            <v/>
          </cell>
          <cell r="WTQ2" t="str">
            <v/>
          </cell>
          <cell r="WTR2" t="str">
            <v/>
          </cell>
          <cell r="WTS2" t="str">
            <v/>
          </cell>
          <cell r="WTT2" t="str">
            <v/>
          </cell>
          <cell r="WTU2" t="str">
            <v/>
          </cell>
          <cell r="WTV2" t="str">
            <v/>
          </cell>
          <cell r="WTW2" t="str">
            <v/>
          </cell>
          <cell r="WTX2" t="str">
            <v/>
          </cell>
          <cell r="WTY2" t="str">
            <v/>
          </cell>
          <cell r="WTZ2" t="str">
            <v/>
          </cell>
          <cell r="WUA2" t="str">
            <v/>
          </cell>
          <cell r="WUB2" t="str">
            <v/>
          </cell>
          <cell r="WUC2" t="str">
            <v/>
          </cell>
          <cell r="WUD2" t="str">
            <v/>
          </cell>
          <cell r="WUE2" t="str">
            <v/>
          </cell>
          <cell r="WUF2" t="str">
            <v/>
          </cell>
          <cell r="WUG2" t="str">
            <v/>
          </cell>
          <cell r="WUH2" t="str">
            <v/>
          </cell>
          <cell r="WUI2" t="str">
            <v/>
          </cell>
          <cell r="WUJ2" t="str">
            <v/>
          </cell>
          <cell r="WUK2" t="str">
            <v/>
          </cell>
          <cell r="WUL2" t="str">
            <v/>
          </cell>
          <cell r="WUM2" t="str">
            <v/>
          </cell>
          <cell r="WUN2" t="str">
            <v/>
          </cell>
          <cell r="WUO2" t="str">
            <v/>
          </cell>
          <cell r="WUP2" t="str">
            <v/>
          </cell>
          <cell r="WUQ2" t="str">
            <v/>
          </cell>
          <cell r="WUR2" t="str">
            <v/>
          </cell>
          <cell r="WUS2" t="str">
            <v/>
          </cell>
          <cell r="WUT2" t="str">
            <v/>
          </cell>
          <cell r="WUU2" t="str">
            <v/>
          </cell>
          <cell r="WUV2" t="str">
            <v/>
          </cell>
          <cell r="WUW2" t="str">
            <v/>
          </cell>
          <cell r="WUX2" t="str">
            <v/>
          </cell>
          <cell r="WUY2" t="str">
            <v/>
          </cell>
          <cell r="WUZ2" t="str">
            <v/>
          </cell>
          <cell r="WVA2" t="str">
            <v/>
          </cell>
          <cell r="WVB2" t="str">
            <v/>
          </cell>
          <cell r="WVC2" t="str">
            <v/>
          </cell>
          <cell r="WVD2" t="str">
            <v/>
          </cell>
          <cell r="WVE2" t="str">
            <v/>
          </cell>
          <cell r="WVF2" t="str">
            <v/>
          </cell>
          <cell r="WVG2" t="str">
            <v/>
          </cell>
          <cell r="WVH2" t="str">
            <v/>
          </cell>
          <cell r="WVI2" t="str">
            <v/>
          </cell>
          <cell r="WVJ2" t="str">
            <v/>
          </cell>
          <cell r="WVK2" t="str">
            <v/>
          </cell>
          <cell r="WVL2" t="str">
            <v/>
          </cell>
          <cell r="WVM2" t="str">
            <v/>
          </cell>
          <cell r="WVN2" t="str">
            <v/>
          </cell>
          <cell r="WVO2" t="str">
            <v/>
          </cell>
          <cell r="WVP2" t="str">
            <v/>
          </cell>
          <cell r="WVQ2" t="str">
            <v/>
          </cell>
          <cell r="WVR2" t="str">
            <v/>
          </cell>
          <cell r="WVS2" t="str">
            <v/>
          </cell>
          <cell r="WVT2" t="str">
            <v/>
          </cell>
          <cell r="WVU2" t="str">
            <v/>
          </cell>
          <cell r="WVV2" t="str">
            <v/>
          </cell>
          <cell r="WVW2" t="str">
            <v/>
          </cell>
          <cell r="WVX2" t="str">
            <v/>
          </cell>
          <cell r="WVY2" t="str">
            <v/>
          </cell>
          <cell r="WVZ2" t="str">
            <v/>
          </cell>
          <cell r="WWA2" t="str">
            <v/>
          </cell>
          <cell r="WWB2" t="str">
            <v/>
          </cell>
          <cell r="WWC2" t="str">
            <v/>
          </cell>
          <cell r="WWD2" t="str">
            <v/>
          </cell>
          <cell r="WWE2" t="str">
            <v/>
          </cell>
          <cell r="WWF2" t="str">
            <v/>
          </cell>
          <cell r="WWG2" t="str">
            <v/>
          </cell>
          <cell r="WWH2" t="str">
            <v/>
          </cell>
          <cell r="WWI2" t="str">
            <v/>
          </cell>
          <cell r="WWJ2" t="str">
            <v/>
          </cell>
          <cell r="WWK2" t="str">
            <v/>
          </cell>
          <cell r="WWL2" t="str">
            <v/>
          </cell>
          <cell r="WWM2" t="str">
            <v/>
          </cell>
          <cell r="WWN2" t="str">
            <v/>
          </cell>
          <cell r="WWO2" t="str">
            <v/>
          </cell>
          <cell r="WWP2" t="str">
            <v/>
          </cell>
          <cell r="WWQ2" t="str">
            <v/>
          </cell>
          <cell r="WWR2" t="str">
            <v/>
          </cell>
          <cell r="WWS2" t="str">
            <v/>
          </cell>
          <cell r="WWT2" t="str">
            <v/>
          </cell>
          <cell r="WWU2" t="str">
            <v/>
          </cell>
          <cell r="WWV2" t="str">
            <v/>
          </cell>
          <cell r="WWW2" t="str">
            <v/>
          </cell>
          <cell r="WWX2" t="str">
            <v/>
          </cell>
          <cell r="WWY2" t="str">
            <v/>
          </cell>
          <cell r="WWZ2" t="str">
            <v/>
          </cell>
          <cell r="WXA2" t="str">
            <v/>
          </cell>
          <cell r="WXB2" t="str">
            <v/>
          </cell>
          <cell r="WXC2" t="str">
            <v/>
          </cell>
          <cell r="WXD2" t="str">
            <v/>
          </cell>
          <cell r="WXE2" t="str">
            <v/>
          </cell>
          <cell r="WXF2" t="str">
            <v/>
          </cell>
          <cell r="WXG2" t="str">
            <v/>
          </cell>
          <cell r="WXH2" t="str">
            <v/>
          </cell>
          <cell r="WXI2" t="str">
            <v/>
          </cell>
          <cell r="WXJ2" t="str">
            <v/>
          </cell>
          <cell r="WXK2" t="str">
            <v/>
          </cell>
          <cell r="WXL2" t="str">
            <v/>
          </cell>
          <cell r="WXM2" t="str">
            <v/>
          </cell>
          <cell r="WXN2" t="str">
            <v/>
          </cell>
          <cell r="WXO2" t="str">
            <v/>
          </cell>
          <cell r="WXP2" t="str">
            <v/>
          </cell>
          <cell r="WXQ2" t="str">
            <v/>
          </cell>
          <cell r="WXR2" t="str">
            <v/>
          </cell>
          <cell r="WXS2" t="str">
            <v/>
          </cell>
          <cell r="WXT2" t="str">
            <v/>
          </cell>
          <cell r="WXU2" t="str">
            <v/>
          </cell>
          <cell r="WXV2" t="str">
            <v/>
          </cell>
          <cell r="WXW2" t="str">
            <v/>
          </cell>
          <cell r="WXX2" t="str">
            <v/>
          </cell>
          <cell r="WXY2" t="str">
            <v/>
          </cell>
          <cell r="WXZ2" t="str">
            <v/>
          </cell>
          <cell r="WYA2" t="str">
            <v/>
          </cell>
          <cell r="WYB2" t="str">
            <v/>
          </cell>
          <cell r="WYC2" t="str">
            <v/>
          </cell>
          <cell r="WYD2" t="str">
            <v/>
          </cell>
          <cell r="WYE2" t="str">
            <v/>
          </cell>
          <cell r="WYF2" t="str">
            <v/>
          </cell>
          <cell r="WYG2" t="str">
            <v/>
          </cell>
          <cell r="WYH2" t="str">
            <v/>
          </cell>
          <cell r="WYI2" t="str">
            <v/>
          </cell>
          <cell r="WYJ2" t="str">
            <v/>
          </cell>
          <cell r="WYK2" t="str">
            <v/>
          </cell>
          <cell r="WYL2" t="str">
            <v/>
          </cell>
          <cell r="WYM2" t="str">
            <v/>
          </cell>
          <cell r="WYN2" t="str">
            <v/>
          </cell>
          <cell r="WYO2" t="str">
            <v/>
          </cell>
          <cell r="WYP2" t="str">
            <v/>
          </cell>
          <cell r="WYQ2" t="str">
            <v/>
          </cell>
          <cell r="WYR2" t="str">
            <v/>
          </cell>
          <cell r="WYS2" t="str">
            <v/>
          </cell>
          <cell r="WYT2" t="str">
            <v/>
          </cell>
          <cell r="WYU2" t="str">
            <v/>
          </cell>
          <cell r="WYV2" t="str">
            <v/>
          </cell>
          <cell r="WYW2" t="str">
            <v/>
          </cell>
          <cell r="WYX2" t="str">
            <v/>
          </cell>
          <cell r="WYY2" t="str">
            <v/>
          </cell>
          <cell r="WYZ2" t="str">
            <v/>
          </cell>
          <cell r="WZA2" t="str">
            <v/>
          </cell>
          <cell r="WZB2" t="str">
            <v/>
          </cell>
          <cell r="WZC2" t="str">
            <v/>
          </cell>
          <cell r="WZD2" t="str">
            <v/>
          </cell>
          <cell r="WZE2" t="str">
            <v/>
          </cell>
          <cell r="WZF2" t="str">
            <v/>
          </cell>
          <cell r="WZG2" t="str">
            <v/>
          </cell>
          <cell r="WZH2" t="str">
            <v/>
          </cell>
          <cell r="WZI2" t="str">
            <v/>
          </cell>
          <cell r="WZJ2" t="str">
            <v/>
          </cell>
          <cell r="WZK2" t="str">
            <v/>
          </cell>
          <cell r="WZL2" t="str">
            <v/>
          </cell>
          <cell r="WZM2" t="str">
            <v/>
          </cell>
          <cell r="WZN2" t="str">
            <v/>
          </cell>
          <cell r="WZO2" t="str">
            <v/>
          </cell>
          <cell r="WZP2" t="str">
            <v/>
          </cell>
          <cell r="WZQ2" t="str">
            <v/>
          </cell>
          <cell r="WZR2" t="str">
            <v/>
          </cell>
          <cell r="WZS2" t="str">
            <v/>
          </cell>
          <cell r="WZT2" t="str">
            <v/>
          </cell>
          <cell r="WZU2" t="str">
            <v/>
          </cell>
          <cell r="WZV2" t="str">
            <v/>
          </cell>
          <cell r="WZW2" t="str">
            <v/>
          </cell>
          <cell r="WZX2" t="str">
            <v/>
          </cell>
          <cell r="WZY2" t="str">
            <v/>
          </cell>
          <cell r="WZZ2" t="str">
            <v/>
          </cell>
          <cell r="XAA2" t="str">
            <v/>
          </cell>
          <cell r="XAB2" t="str">
            <v/>
          </cell>
          <cell r="XAC2" t="str">
            <v/>
          </cell>
          <cell r="XAD2" t="str">
            <v/>
          </cell>
          <cell r="XAE2" t="str">
            <v/>
          </cell>
          <cell r="XAF2" t="str">
            <v/>
          </cell>
          <cell r="XAG2" t="str">
            <v/>
          </cell>
          <cell r="XAH2" t="str">
            <v/>
          </cell>
          <cell r="XAI2" t="str">
            <v/>
          </cell>
          <cell r="XAJ2" t="str">
            <v/>
          </cell>
          <cell r="XAK2" t="str">
            <v/>
          </cell>
          <cell r="XAL2" t="str">
            <v/>
          </cell>
          <cell r="XAM2" t="str">
            <v/>
          </cell>
          <cell r="XAN2" t="str">
            <v/>
          </cell>
          <cell r="XAO2" t="str">
            <v/>
          </cell>
          <cell r="XAP2" t="str">
            <v/>
          </cell>
          <cell r="XAQ2" t="str">
            <v/>
          </cell>
          <cell r="XAR2" t="str">
            <v/>
          </cell>
          <cell r="XAS2" t="str">
            <v/>
          </cell>
          <cell r="XAT2" t="str">
            <v/>
          </cell>
          <cell r="XAU2" t="str">
            <v/>
          </cell>
          <cell r="XAV2" t="str">
            <v/>
          </cell>
          <cell r="XAW2" t="str">
            <v/>
          </cell>
          <cell r="XAX2" t="str">
            <v/>
          </cell>
          <cell r="XAY2" t="str">
            <v/>
          </cell>
          <cell r="XAZ2" t="str">
            <v/>
          </cell>
          <cell r="XBA2" t="str">
            <v/>
          </cell>
          <cell r="XBB2" t="str">
            <v/>
          </cell>
          <cell r="XBC2" t="str">
            <v/>
          </cell>
          <cell r="XBD2" t="str">
            <v/>
          </cell>
          <cell r="XBE2" t="str">
            <v/>
          </cell>
          <cell r="XBF2" t="str">
            <v/>
          </cell>
          <cell r="XBG2" t="str">
            <v/>
          </cell>
          <cell r="XBH2" t="str">
            <v/>
          </cell>
          <cell r="XBI2" t="str">
            <v/>
          </cell>
          <cell r="XBJ2" t="str">
            <v/>
          </cell>
          <cell r="XBK2" t="str">
            <v/>
          </cell>
          <cell r="XBL2" t="str">
            <v/>
          </cell>
          <cell r="XBM2" t="str">
            <v/>
          </cell>
          <cell r="XBN2" t="str">
            <v/>
          </cell>
          <cell r="XBO2" t="str">
            <v/>
          </cell>
          <cell r="XBP2" t="str">
            <v/>
          </cell>
          <cell r="XBQ2" t="str">
            <v/>
          </cell>
          <cell r="XBR2" t="str">
            <v/>
          </cell>
          <cell r="XBS2" t="str">
            <v/>
          </cell>
          <cell r="XBT2" t="str">
            <v/>
          </cell>
          <cell r="XBU2" t="str">
            <v/>
          </cell>
          <cell r="XBV2" t="str">
            <v/>
          </cell>
          <cell r="XBW2" t="str">
            <v/>
          </cell>
          <cell r="XBX2" t="str">
            <v/>
          </cell>
          <cell r="XBY2" t="str">
            <v/>
          </cell>
          <cell r="XBZ2" t="str">
            <v/>
          </cell>
          <cell r="XCA2" t="str">
            <v/>
          </cell>
          <cell r="XCB2" t="str">
            <v/>
          </cell>
          <cell r="XCC2" t="str">
            <v/>
          </cell>
          <cell r="XCD2" t="str">
            <v/>
          </cell>
          <cell r="XCE2" t="str">
            <v/>
          </cell>
          <cell r="XCF2" t="str">
            <v/>
          </cell>
          <cell r="XCG2" t="str">
            <v/>
          </cell>
        </row>
        <row r="3">
          <cell r="B3" t="str">
            <v>2 degree (excluding Foresty Fund)</v>
          </cell>
          <cell r="C3" t="str">
            <v>2 degree (excluding Foresty Fund)</v>
          </cell>
          <cell r="D3" t="str">
            <v>2 degree (excluding Foresty Fund)</v>
          </cell>
          <cell r="E3" t="str">
            <v>2 degree (excluding Foresty Fund)</v>
          </cell>
          <cell r="F3" t="str">
            <v>2.5 degree (excluding Foresty Fund)</v>
          </cell>
          <cell r="G3" t="str">
            <v>2.5 degree (excluding Foresty Fund)</v>
          </cell>
          <cell r="H3" t="str">
            <v>2.5 degree (excluding Foresty Fund)</v>
          </cell>
          <cell r="I3" t="str">
            <v>2.5 degree (excluding Foresty Fund)</v>
          </cell>
          <cell r="J3" t="str">
            <v>Realistic low (excluding Foresty Fund)</v>
          </cell>
          <cell r="K3" t="str">
            <v>Realistic low (excluding Foresty Fund)</v>
          </cell>
          <cell r="L3" t="str">
            <v>Realistic low (excluding Foresty Fund)</v>
          </cell>
          <cell r="M3" t="str">
            <v>Realistic low (excluding Foresty Fund)</v>
          </cell>
          <cell r="N3" t="str">
            <v>Expected offer (excluding Foresty Fund)</v>
          </cell>
          <cell r="O3" t="str">
            <v>Expected offer (excluding Foresty Fund)</v>
          </cell>
          <cell r="P3" t="str">
            <v>Expected offer (excluding Foresty Fund)</v>
          </cell>
          <cell r="Q3" t="str">
            <v>Expected offer (excluding Foresty Fund)</v>
          </cell>
          <cell r="R3" t="str">
            <v>Realistic high (excluding Foresty Fund)</v>
          </cell>
          <cell r="S3" t="str">
            <v>Realistic high (excluding Foresty Fund)</v>
          </cell>
          <cell r="T3" t="str">
            <v>Realistic high (excluding Foresty Fund)</v>
          </cell>
          <cell r="U3" t="str">
            <v>Realistic high (excluding Foresty Fund)</v>
          </cell>
          <cell r="V3" t="str">
            <v>Ambitious ask (excluding Foresty Fund)</v>
          </cell>
          <cell r="W3" t="str">
            <v>Ambitious ask (excluding Foresty Fund)</v>
          </cell>
          <cell r="X3" t="str">
            <v>Ambitious ask (excluding Foresty Fund)</v>
          </cell>
          <cell r="Y3" t="str">
            <v>Ambitious ask (excluding Foresty Fund)</v>
          </cell>
          <cell r="Z3" t="str">
            <v>2 degree (including Foresty Fund)</v>
          </cell>
          <cell r="AA3" t="str">
            <v>2 degree (including Foresty Fund)</v>
          </cell>
          <cell r="AB3" t="str">
            <v>2 degree (including Foresty Fund)</v>
          </cell>
          <cell r="AC3" t="str">
            <v>2 degree (including Foresty Fund)</v>
          </cell>
          <cell r="AD3" t="str">
            <v>2.5 degree (including Foresty Fund)</v>
          </cell>
          <cell r="AE3" t="str">
            <v>2.5 degree (including Foresty Fund)</v>
          </cell>
          <cell r="AF3" t="str">
            <v>2.5 degree (including Foresty Fund)</v>
          </cell>
          <cell r="AG3" t="str">
            <v>2.5 degree (including Foresty Fund)</v>
          </cell>
          <cell r="AH3" t="str">
            <v>Realistic low (including Foresty Fund)</v>
          </cell>
          <cell r="AI3" t="str">
            <v>Realistic low (including Foresty Fund)</v>
          </cell>
          <cell r="AJ3" t="str">
            <v>Realistic low (including Foresty Fund)</v>
          </cell>
          <cell r="AK3" t="str">
            <v>Realistic low (including Foresty Fund)</v>
          </cell>
          <cell r="AL3" t="str">
            <v>Expected offer (including Foresty Fund)</v>
          </cell>
          <cell r="AM3" t="str">
            <v>Expected offer (including Foresty Fund)</v>
          </cell>
          <cell r="AN3" t="str">
            <v>Expected offer (including Foresty Fund)</v>
          </cell>
          <cell r="AO3" t="str">
            <v>Expected offer (including Foresty Fund)</v>
          </cell>
          <cell r="AP3" t="str">
            <v>Realistic high (including Foresty Fund)</v>
          </cell>
          <cell r="AQ3" t="str">
            <v>Realistic high (including Foresty Fund)</v>
          </cell>
          <cell r="AR3" t="str">
            <v>Realistic high (including Foresty Fund)</v>
          </cell>
          <cell r="AS3" t="str">
            <v>Realistic high (including Foresty Fund)</v>
          </cell>
          <cell r="AT3" t="str">
            <v>Ambitious ask (including Foresty Fund)</v>
          </cell>
          <cell r="AU3" t="str">
            <v>Ambitious ask (including Foresty Fund)</v>
          </cell>
          <cell r="AV3" t="str">
            <v>Ambitious ask (including Foresty Fund)</v>
          </cell>
          <cell r="AW3" t="str">
            <v>Ambitious ask (including Foresty Fund)</v>
          </cell>
          <cell r="AX3" t="str">
            <v>BAU</v>
          </cell>
          <cell r="AY3" t="str">
            <v>BAU</v>
          </cell>
          <cell r="AZ3" t="str">
            <v>BAU</v>
          </cell>
          <cell r="BA3" t="str">
            <v>BAU</v>
          </cell>
          <cell r="BB3" t="str">
            <v>INDC_high_ambition_0319</v>
          </cell>
          <cell r="BC3" t="str">
            <v>INDC_high_ambition_0319</v>
          </cell>
          <cell r="BD3" t="str">
            <v>INDC_high_ambition_0319</v>
          </cell>
          <cell r="BE3" t="str">
            <v>INDC_high_ambition_0319</v>
          </cell>
          <cell r="BF3" t="str">
            <v>INDC_low_ambition_0319</v>
          </cell>
          <cell r="BG3" t="str">
            <v>INDC_low_ambition_0319</v>
          </cell>
          <cell r="BH3" t="str">
            <v>INDC_low_ambition_0319</v>
          </cell>
          <cell r="BI3" t="str">
            <v>INDC_low_ambition_0319</v>
          </cell>
          <cell r="BJ3" t="str">
            <v>INDC_high_ambition_0320</v>
          </cell>
          <cell r="BK3" t="str">
            <v>INDC_high_ambition_0320</v>
          </cell>
          <cell r="BL3" t="str">
            <v>INDC_high_ambition_0320</v>
          </cell>
          <cell r="BM3" t="str">
            <v>INDC_high_ambition_0320</v>
          </cell>
          <cell r="BN3" t="str">
            <v>INDC_low_ambition_0320</v>
          </cell>
          <cell r="BO3" t="str">
            <v>INDC_low_ambition_0320</v>
          </cell>
          <cell r="BP3" t="str">
            <v>INDC_low_ambition_0320</v>
          </cell>
          <cell r="BQ3" t="str">
            <v>INDC_low_ambition_0320</v>
          </cell>
          <cell r="BR3" t="str">
            <v>Expected offer 0324</v>
          </cell>
          <cell r="BS3" t="str">
            <v>Expected offer 0324</v>
          </cell>
          <cell r="BT3" t="str">
            <v>Expected offer 0324</v>
          </cell>
          <cell r="BU3" t="str">
            <v>Expected offer 0324</v>
          </cell>
          <cell r="BV3" t="str">
            <v>Realistic high 0324</v>
          </cell>
          <cell r="BW3" t="str">
            <v>Realistic high 0324</v>
          </cell>
          <cell r="BX3" t="str">
            <v>Realistic high 0324</v>
          </cell>
          <cell r="BY3" t="str">
            <v>Realistic high 0324</v>
          </cell>
          <cell r="BZ3" t="str">
            <v>INDC High ambition 0324 (excluding FF)</v>
          </cell>
          <cell r="CA3" t="str">
            <v>INDC High ambition 0324 (excluding FF)</v>
          </cell>
          <cell r="CB3" t="str">
            <v>INDC High ambition 0324 (excluding FF)</v>
          </cell>
          <cell r="CC3" t="str">
            <v>INDC High ambition 0324 (excluding FF)</v>
          </cell>
          <cell r="CD3" t="str">
            <v>INDC Low ambition 0324 (excluding FF)</v>
          </cell>
          <cell r="CE3" t="str">
            <v>INDC Low ambition 0324 (excluding FF)</v>
          </cell>
          <cell r="CF3" t="str">
            <v>INDC Low ambition 0324 (excluding FF)</v>
          </cell>
          <cell r="CG3" t="str">
            <v>INDC Low ambition 0324 (excluding FF)</v>
          </cell>
          <cell r="CH3" t="str">
            <v>Expected Offer 0324 (exclude FF)</v>
          </cell>
          <cell r="CI3" t="str">
            <v>Expected Offer 0324 (exclude FF)</v>
          </cell>
          <cell r="CJ3" t="str">
            <v>Expected Offer 0324 (exclude FF)</v>
          </cell>
          <cell r="CK3" t="str">
            <v>Expected Offer 0324 (exclude FF)</v>
          </cell>
          <cell r="CL3" t="str">
            <v>Realistic high 0320 (exclude FF)</v>
          </cell>
          <cell r="CM3" t="str">
            <v>Realistic high 0320 (exclude FF)</v>
          </cell>
          <cell r="CN3" t="str">
            <v>Realistic high 0320 (exclude FF)</v>
          </cell>
          <cell r="CO3" t="str">
            <v>Realistic high 0320 (exclude FF)</v>
          </cell>
          <cell r="CP3" t="str">
            <v>Reaslistic high 0324 (exclude FF)</v>
          </cell>
          <cell r="CQ3" t="str">
            <v>Reaslistic high 0324 (exclude FF)</v>
          </cell>
          <cell r="CR3" t="str">
            <v>Reaslistic high 0324 (exclude FF)</v>
          </cell>
          <cell r="CS3" t="str">
            <v>Reaslistic high 0324 (exclude FF)</v>
          </cell>
          <cell r="CT3" t="str">
            <v>Expected offer 0324b (exclude FF)</v>
          </cell>
          <cell r="CU3" t="str">
            <v>Expected offer 0324b (exclude FF)</v>
          </cell>
          <cell r="CV3" t="str">
            <v>Expected offer 0324b (exclude FF)</v>
          </cell>
          <cell r="CW3" t="str">
            <v>Expected offer 0324b (exclude FF)</v>
          </cell>
          <cell r="CX3" t="str">
            <v>Reaslitic high 0324b (exclude FF)</v>
          </cell>
          <cell r="CY3" t="str">
            <v>Reaslitic high 0324b (exclude FF)</v>
          </cell>
          <cell r="CZ3" t="str">
            <v>Reaslitic high 0324b (exclude FF)</v>
          </cell>
          <cell r="DA3" t="str">
            <v>Reaslitic high 0324b (exclude FF)</v>
          </cell>
          <cell r="DB3" t="str">
            <v>Reaslitic high 0324c (exclude FF)</v>
          </cell>
          <cell r="DC3" t="str">
            <v>Reaslitic high 0324c (exclude FF)</v>
          </cell>
          <cell r="DD3" t="str">
            <v>Reaslitic high 0324c (exclude FF)</v>
          </cell>
          <cell r="DE3" t="str">
            <v>Reaslitic high 0324c (exclude FF)</v>
          </cell>
          <cell r="DF3" t="str">
            <v>Expected offer 0324c (exclude FF)</v>
          </cell>
          <cell r="DG3" t="str">
            <v>Expected offer 0324c (exclude FF)</v>
          </cell>
          <cell r="DH3" t="str">
            <v>Expected offer 0324c (exclude FF)</v>
          </cell>
          <cell r="DI3" t="str">
            <v>Expected offer 0324c (exclude FF)</v>
          </cell>
          <cell r="DJ3" t="str">
            <v>INDC low ambition 0325 (exclude FF)</v>
          </cell>
          <cell r="DK3" t="str">
            <v>INDC low ambition 0325 (exclude FF)</v>
          </cell>
          <cell r="DL3" t="str">
            <v>INDC low ambition 0325 (exclude FF)</v>
          </cell>
          <cell r="DM3" t="str">
            <v>INDC low ambition 0325 (exclude FF)</v>
          </cell>
          <cell r="DN3" t="str">
            <v>INDC high ambition 0325 (exclude FF)</v>
          </cell>
          <cell r="DO3" t="str">
            <v>INDC high ambition 0325 (exclude FF)</v>
          </cell>
          <cell r="DP3" t="str">
            <v>INDC high ambition 0325 (exclude FF)</v>
          </cell>
          <cell r="DQ3" t="str">
            <v>INDC high ambition 0325 (exclude FF)</v>
          </cell>
          <cell r="DR3" t="str">
            <v>INDC Low Ambition 0412 (exclude FF)</v>
          </cell>
          <cell r="DS3" t="str">
            <v>INDC Low Ambition 0412 (exclude FF)</v>
          </cell>
          <cell r="DT3" t="str">
            <v>INDC Low Ambition 0412 (exclude FF)</v>
          </cell>
          <cell r="DU3" t="str">
            <v>INDC Low Ambition 0412 (exclude FF)</v>
          </cell>
          <cell r="DV3" t="str">
            <v>INDC high ambition 0412 (exclude FF)</v>
          </cell>
          <cell r="DW3" t="str">
            <v>INDC high ambition 0412 (exclude FF)</v>
          </cell>
          <cell r="DX3" t="str">
            <v>INDC high ambition 0412 (exclude FF)</v>
          </cell>
          <cell r="DY3" t="str">
            <v>INDC high ambition 0412 (exclude FF)</v>
          </cell>
          <cell r="DZ3" t="str">
            <v>Expected offer 0412 (exclude FF)</v>
          </cell>
          <cell r="EA3" t="str">
            <v>Expected offer 0412 (exclude FF)</v>
          </cell>
          <cell r="EB3" t="str">
            <v>Expected offer 0412 (exclude FF)</v>
          </cell>
          <cell r="EC3" t="str">
            <v>Expected offer 0412 (exclude FF)</v>
          </cell>
          <cell r="ED3" t="str">
            <v>Realistic high 0412 (exclude FF)</v>
          </cell>
          <cell r="EE3" t="str">
            <v>Realistic high 0412 (exclude FF)</v>
          </cell>
          <cell r="EF3" t="str">
            <v>Realistic high 0412 (exclude FF)</v>
          </cell>
          <cell r="EG3" t="str">
            <v>Realistic high 0412 (exclude FF)</v>
          </cell>
          <cell r="EH3" t="str">
            <v>BAU_core32_previous year PBL data</v>
          </cell>
          <cell r="EI3" t="str">
            <v>BAU_core32_previous year PBL data</v>
          </cell>
          <cell r="EJ3" t="str">
            <v>BAU_core32_previous year PBL data</v>
          </cell>
          <cell r="EK3" t="str">
            <v>BAU_core32_previous year PBL data</v>
          </cell>
          <cell r="EL3" t="str">
            <v xml:space="preserve">150507 INDC low ambition (exclude FF) </v>
          </cell>
          <cell r="EM3" t="str">
            <v xml:space="preserve">150507 INDC low ambition (exclude FF) </v>
          </cell>
          <cell r="EN3" t="str">
            <v xml:space="preserve">150507 INDC low ambition (exclude FF) </v>
          </cell>
          <cell r="EO3" t="str">
            <v xml:space="preserve">150507 INDC low ambition (exclude FF) </v>
          </cell>
          <cell r="EP3" t="str">
            <v>150507 INDC high ambition (exclude FF)</v>
          </cell>
          <cell r="EQ3" t="str">
            <v>150507 INDC high ambition (exclude FF)</v>
          </cell>
          <cell r="ER3" t="str">
            <v>150507 INDC high ambition (exclude FF)</v>
          </cell>
          <cell r="ES3" t="str">
            <v>150507 INDC high ambition (exclude FF)</v>
          </cell>
          <cell r="ET3" t="str">
            <v>2015 2 degrees (exclude forestry fund)</v>
          </cell>
          <cell r="EU3" t="str">
            <v>2015 2 degrees (exclude forestry fund)</v>
          </cell>
          <cell r="EV3" t="str">
            <v>2015 2 degrees (exclude forestry fund)</v>
          </cell>
          <cell r="EW3" t="str">
            <v>2015 2 degrees (exclude forestry fund)</v>
          </cell>
          <cell r="EX3" t="str">
            <v>2015 Late action 2 degrees (exclude forestry fund)</v>
          </cell>
          <cell r="EY3" t="str">
            <v>2015 Late action 2 degrees (exclude forestry fund)</v>
          </cell>
          <cell r="EZ3" t="str">
            <v>2015 Late action 2 degrees (exclude forestry fund)</v>
          </cell>
          <cell r="FA3" t="str">
            <v>2015 Late action 2 degrees (exclude forestry fund)</v>
          </cell>
          <cell r="FB3" t="str">
            <v>2015 2.5 degrees (exclude forestry fund)</v>
          </cell>
          <cell r="FC3" t="str">
            <v>2015 2.5 degrees (exclude forestry fund)</v>
          </cell>
          <cell r="FD3" t="str">
            <v>2015 2.5 degrees (exclude forestry fund)</v>
          </cell>
          <cell r="FE3" t="str">
            <v>2015 2.5 degrees (exclude forestry fund)</v>
          </cell>
          <cell r="FF3" t="str">
            <v>150622 Current expected low ambition (Exclude FF)</v>
          </cell>
          <cell r="FG3" t="str">
            <v>150622 Current expected low ambition (Exclude FF)</v>
          </cell>
          <cell r="FH3" t="str">
            <v>150622 Current expected low ambition (Exclude FF)</v>
          </cell>
          <cell r="FI3" t="str">
            <v>150622 Current expected low ambition (Exclude FF)</v>
          </cell>
          <cell r="FJ3" t="str">
            <v>150622 Current expected high ambition (Exclude FF)</v>
          </cell>
          <cell r="FK3" t="str">
            <v>150622 Current expected high ambition (Exclude FF)</v>
          </cell>
          <cell r="FL3" t="str">
            <v>150622 Current expected high ambition (Exclude FF)</v>
          </cell>
          <cell r="FM3" t="str">
            <v>150622 Current expected high ambition (Exclude FF)</v>
          </cell>
          <cell r="FN3" t="str">
            <v>150622 INDC low ambition (exclude FF) plus Japan and China</v>
          </cell>
          <cell r="FO3" t="str">
            <v>150622 INDC low ambition (exclude FF) plus Japan and China</v>
          </cell>
          <cell r="FP3" t="str">
            <v>150622 INDC low ambition (exclude FF) plus Japan and China</v>
          </cell>
          <cell r="FQ3" t="str">
            <v>150622 INDC low ambition (exclude FF) plus Japan and China</v>
          </cell>
          <cell r="FR3" t="str">
            <v>150622 INDC high ambition (exculde FF) plus China and Japan</v>
          </cell>
          <cell r="FS3" t="str">
            <v>150622 INDC high ambition (exculde FF) plus China and Japan</v>
          </cell>
          <cell r="FT3" t="str">
            <v>150622 INDC high ambition (exculde FF) plus China and Japan</v>
          </cell>
          <cell r="FU3" t="str">
            <v>150622 INDC high ambition (exculde FF) plus China and Japan</v>
          </cell>
          <cell r="FV3" t="str">
            <v>2015 low ambition current expected (exclude forestry fund)</v>
          </cell>
          <cell r="FW3" t="str">
            <v>2015 low ambition current expected (exclude forestry fund)</v>
          </cell>
          <cell r="FX3" t="str">
            <v>2015 low ambition current expected (exclude forestry fund)</v>
          </cell>
          <cell r="FY3" t="str">
            <v>2015 low ambition current expected (exclude forestry fund)</v>
          </cell>
          <cell r="FZ3" t="str">
            <v>2015 high ambition current expected (exclude forestry fund)</v>
          </cell>
          <cell r="GA3" t="str">
            <v>2015 high ambition current expected (exclude forestry fund)</v>
          </cell>
          <cell r="GB3" t="str">
            <v>2015 high ambition current expected (exclude forestry fund)</v>
          </cell>
          <cell r="GC3" t="str">
            <v>2015 high ambition current expected (exclude forestry fund)</v>
          </cell>
          <cell r="GD3" t="str">
            <v>2015 Stretch scenario (exclude forestry fund)</v>
          </cell>
          <cell r="GE3" t="str">
            <v>2015 Stretch scenario (exclude forestry fund)</v>
          </cell>
          <cell r="GF3" t="str">
            <v>2015 Stretch scenario (exclude forestry fund)</v>
          </cell>
          <cell r="GG3" t="str">
            <v>2015 Stretch scenario (exclude forestry fund)</v>
          </cell>
          <cell r="GH3" t="str">
            <v>2015 Credible ask (exclude forestry fund)</v>
          </cell>
          <cell r="GI3" t="str">
            <v>2015 Credible ask (exclude forestry fund)</v>
          </cell>
          <cell r="GJ3" t="str">
            <v>2015 Credible ask (exclude forestry fund)</v>
          </cell>
          <cell r="GK3" t="str">
            <v>2015 Credible ask (exclude forestry fund)</v>
          </cell>
          <cell r="GL3" t="str">
            <v xml:space="preserve">2015 2C unadjusted (exclude FF) </v>
          </cell>
          <cell r="GM3" t="str">
            <v xml:space="preserve">2015 2C unadjusted (exclude FF) </v>
          </cell>
          <cell r="GN3" t="str">
            <v xml:space="preserve">2015 2C unadjusted (exclude FF) </v>
          </cell>
          <cell r="GO3" t="str">
            <v xml:space="preserve">2015 2C unadjusted (exclude FF) </v>
          </cell>
          <cell r="GP3" t="str">
            <v>2015 2.5C unadjusted (exclude FF)</v>
          </cell>
          <cell r="GQ3" t="str">
            <v>2015 2.5C unadjusted (exclude FF)</v>
          </cell>
          <cell r="GR3" t="str">
            <v>2015 2.5C unadjusted (exclude FF)</v>
          </cell>
          <cell r="GS3" t="str">
            <v>2015 2.5C unadjusted (exclude FF)</v>
          </cell>
          <cell r="GT3" t="str">
            <v>2015 Late action 2C unadjusted (exclude FF)</v>
          </cell>
          <cell r="GU3" t="str">
            <v>2015 Late action 2C unadjusted (exclude FF)</v>
          </cell>
          <cell r="GV3" t="str">
            <v>2015 Late action 2C unadjusted (exclude FF)</v>
          </cell>
          <cell r="GW3" t="str">
            <v>2015 Late action 2C unadjusted (exclude FF)</v>
          </cell>
          <cell r="GX3" t="str">
            <v>150708b Announced INDCs low ambition plus Japan</v>
          </cell>
          <cell r="GY3" t="str">
            <v>150708b Announced INDCs low ambition plus Japan</v>
          </cell>
          <cell r="GZ3" t="str">
            <v>150708b Announced INDCs low ambition plus Japan</v>
          </cell>
          <cell r="HA3" t="str">
            <v>150708b Announced INDCs low ambition plus Japan</v>
          </cell>
          <cell r="HB3" t="str">
            <v>150708b Announced INDCs high ambition plus Japan</v>
          </cell>
          <cell r="HC3" t="str">
            <v>150708b Announced INDCs high ambition plus Japan</v>
          </cell>
          <cell r="HD3" t="str">
            <v>150708b Announced INDCs high ambition plus Japan</v>
          </cell>
          <cell r="HE3" t="str">
            <v>150708b Announced INDCs high ambition plus Japan</v>
          </cell>
          <cell r="HF3" t="str">
            <v>150708b Announced INDCs low ambition excl Japan</v>
          </cell>
          <cell r="HG3" t="str">
            <v>150708b Announced INDCs low ambition excl Japan</v>
          </cell>
          <cell r="HH3" t="str">
            <v>150708b Announced INDCs low ambition excl Japan</v>
          </cell>
          <cell r="HI3" t="str">
            <v>150708b Announced INDCs low ambition excl Japan</v>
          </cell>
          <cell r="HJ3" t="str">
            <v>150708b Announced INDCs high ambition excl Japan</v>
          </cell>
          <cell r="HK3" t="str">
            <v>150708b Announced INDCs high ambition excl Japan</v>
          </cell>
          <cell r="HL3" t="str">
            <v>150708b Announced INDCs high ambition excl Japan</v>
          </cell>
          <cell r="HM3" t="str">
            <v>150708b Announced INDCs high ambition excl Japan</v>
          </cell>
          <cell r="HN3" t="str">
            <v>150709 Current expected high ambition</v>
          </cell>
          <cell r="HO3" t="str">
            <v>150709 Current expected high ambition</v>
          </cell>
          <cell r="HP3" t="str">
            <v>150709 Current expected high ambition</v>
          </cell>
          <cell r="HQ3" t="str">
            <v>150709 Current expected high ambition</v>
          </cell>
          <cell r="HR3" t="str">
            <v>150709 Current expected low ambition</v>
          </cell>
          <cell r="HS3" t="str">
            <v>150709 Current expected low ambition</v>
          </cell>
          <cell r="HT3" t="str">
            <v>150709 Current expected low ambition</v>
          </cell>
          <cell r="HU3" t="str">
            <v>150709 Current expected low ambition</v>
          </cell>
          <cell r="HV3" t="str">
            <v>150709 Current expected low ambition_with comment TEST</v>
          </cell>
          <cell r="HW3" t="str">
            <v>150709 Current expected low ambition_with comment TEST</v>
          </cell>
          <cell r="HX3" t="str">
            <v>150709 Current expected low ambition_with comment TEST</v>
          </cell>
          <cell r="HY3" t="str">
            <v>150709 Current expected low ambition_with comment TEST</v>
          </cell>
          <cell r="HZ3" t="str">
            <v>150728 Announced INDCs low ambition GRANTHAM</v>
          </cell>
          <cell r="IA3" t="str">
            <v>150728 Announced INDCs low ambition GRANTHAM</v>
          </cell>
          <cell r="IB3" t="str">
            <v>150728 Announced INDCs low ambition GRANTHAM</v>
          </cell>
          <cell r="IC3" t="str">
            <v>150728 Announced INDCs low ambition GRANTHAM</v>
          </cell>
          <cell r="ID3" t="str">
            <v>150728 Announced INDCs high ambition GRANTHAM</v>
          </cell>
          <cell r="IE3" t="str">
            <v>150728 Announced INDCs high ambition GRANTHAM</v>
          </cell>
          <cell r="IF3" t="str">
            <v>150728 Announced INDCs high ambition GRANTHAM</v>
          </cell>
          <cell r="IG3" t="str">
            <v>150728 Announced INDCs high ambition GRANTHAM</v>
          </cell>
          <cell r="IH3" t="str">
            <v>150825b Current expected high ambition</v>
          </cell>
          <cell r="II3" t="str">
            <v>150825b Current expected high ambition</v>
          </cell>
          <cell r="IJ3" t="str">
            <v>150825b Current expected high ambition</v>
          </cell>
          <cell r="IK3" t="str">
            <v>150825b Current expected high ambition</v>
          </cell>
          <cell r="IL3" t="str">
            <v>150825b Announced INDCs low ambition</v>
          </cell>
          <cell r="IM3" t="str">
            <v>150825b Announced INDCs low ambition</v>
          </cell>
          <cell r="IN3" t="str">
            <v>150825b Announced INDCs low ambition</v>
          </cell>
          <cell r="IO3" t="str">
            <v>150825b Announced INDCs low ambition</v>
          </cell>
          <cell r="IP3" t="str">
            <v>150825b Announced INDCs high ambition</v>
          </cell>
          <cell r="IQ3" t="str">
            <v>150825b Announced INDCs high ambition</v>
          </cell>
          <cell r="IR3" t="str">
            <v>150825b Announced INDCs high ambition</v>
          </cell>
          <cell r="IS3" t="str">
            <v>150825b Announced INDCs high ambition</v>
          </cell>
          <cell r="IT3" t="str">
            <v xml:space="preserve">150918 Current expected low ambition </v>
          </cell>
          <cell r="IU3" t="str">
            <v xml:space="preserve">150918 Current expected low ambition </v>
          </cell>
          <cell r="IV3" t="str">
            <v xml:space="preserve">150918 Current expected low ambition </v>
          </cell>
          <cell r="IW3" t="str">
            <v xml:space="preserve">150918 Current expected low ambition </v>
          </cell>
          <cell r="IX3" t="str">
            <v>150918c Current expected high ambition</v>
          </cell>
          <cell r="IY3" t="str">
            <v>150918c Current expected high ambition</v>
          </cell>
          <cell r="IZ3" t="str">
            <v>150918c Current expected high ambition</v>
          </cell>
          <cell r="JA3" t="str">
            <v>150918c Current expected high ambition</v>
          </cell>
          <cell r="JB3" t="str">
            <v>150924 Announced INDCs low ambition GRANTHAM</v>
          </cell>
          <cell r="JC3" t="str">
            <v>150924 Announced INDCs low ambition GRANTHAM</v>
          </cell>
          <cell r="JD3" t="str">
            <v>150924 Announced INDCs low ambition GRANTHAM</v>
          </cell>
          <cell r="JE3" t="str">
            <v>150924 Announced INDCs low ambition GRANTHAM</v>
          </cell>
          <cell r="JF3" t="str">
            <v>150924 Announced INDCs high ambition GRANTHAM</v>
          </cell>
          <cell r="JG3" t="str">
            <v>150924 Announced INDCs high ambition GRANTHAM</v>
          </cell>
          <cell r="JH3" t="str">
            <v>150924 Announced INDCs high ambition GRANTHAM</v>
          </cell>
          <cell r="JI3" t="str">
            <v>150924 Announced INDCs high ambition GRANTHAM</v>
          </cell>
          <cell r="JJ3" t="str">
            <v>150924 Announced INDCs high ambition GRANTHAM China low GDP growth</v>
          </cell>
          <cell r="JK3" t="str">
            <v>150924 Announced INDCs high ambition GRANTHAM China low GDP growth</v>
          </cell>
          <cell r="JL3" t="str">
            <v>150924 Announced INDCs high ambition GRANTHAM China low GDP growth</v>
          </cell>
          <cell r="JM3" t="str">
            <v>150924 Announced INDCs high ambition GRANTHAM China low GDP growth</v>
          </cell>
          <cell r="JN3" t="str">
            <v>150925 Current expected low ambition</v>
          </cell>
          <cell r="JO3" t="str">
            <v>150925 Current expected low ambition</v>
          </cell>
          <cell r="JP3" t="str">
            <v>150925 Current expected low ambition</v>
          </cell>
          <cell r="JQ3" t="str">
            <v>150925 Current expected low ambition</v>
          </cell>
          <cell r="JR3" t="str">
            <v xml:space="preserve">150925 Current expected high ambition </v>
          </cell>
          <cell r="JS3" t="str">
            <v xml:space="preserve">150925 Current expected high ambition </v>
          </cell>
          <cell r="JT3" t="str">
            <v xml:space="preserve">150925 Current expected high ambition </v>
          </cell>
          <cell r="JU3" t="str">
            <v xml:space="preserve">150925 Current expected high ambition </v>
          </cell>
          <cell r="JV3" t="str">
            <v>150925 Announced INDC low ambition</v>
          </cell>
          <cell r="JW3" t="str">
            <v>150925 Announced INDC low ambition</v>
          </cell>
          <cell r="JX3" t="str">
            <v>150925 Announced INDC low ambition</v>
          </cell>
          <cell r="JY3" t="str">
            <v>150925 Announced INDC low ambition</v>
          </cell>
          <cell r="JZ3" t="str">
            <v>150925 Announced INDCs high ambition</v>
          </cell>
          <cell r="KA3" t="str">
            <v>150925 Announced INDCs high ambition</v>
          </cell>
          <cell r="KB3" t="str">
            <v>150925 Announced INDCs high ambition</v>
          </cell>
          <cell r="KC3" t="str">
            <v>150925 Announced INDCs high ambition</v>
          </cell>
          <cell r="KD3" t="str">
            <v xml:space="preserve">150925 Announced INDCs low ambition GRANTHAM </v>
          </cell>
          <cell r="KE3" t="str">
            <v xml:space="preserve">150925 Announced INDCs low ambition GRANTHAM </v>
          </cell>
          <cell r="KF3" t="str">
            <v xml:space="preserve">150925 Announced INDCs low ambition GRANTHAM </v>
          </cell>
          <cell r="KG3" t="str">
            <v xml:space="preserve">150925 Announced INDCs low ambition GRANTHAM </v>
          </cell>
          <cell r="KH3" t="str">
            <v>150925 Announced INDCs high ambition GRANTHAM</v>
          </cell>
          <cell r="KI3" t="str">
            <v>150925 Announced INDCs high ambition GRANTHAM</v>
          </cell>
          <cell r="KJ3" t="str">
            <v>150925 Announced INDCs high ambition GRANTHAM</v>
          </cell>
          <cell r="KK3" t="str">
            <v>150925 Announced INDCs high ambition GRANTHAM</v>
          </cell>
          <cell r="KL3" t="str">
            <v>150925 Announced INDCs high ambition GRANTHAM China low GDP</v>
          </cell>
          <cell r="KM3" t="str">
            <v>150925 Announced INDCs high ambition GRANTHAM China low GDP</v>
          </cell>
          <cell r="KN3" t="str">
            <v>150925 Announced INDCs high ambition GRANTHAM China low GDP</v>
          </cell>
          <cell r="KO3" t="str">
            <v>150925 Announced INDCs high ambition GRANTHAM China low GDP</v>
          </cell>
          <cell r="KP3" t="str">
            <v>150928 Announced INDCs high ambition</v>
          </cell>
          <cell r="KQ3" t="str">
            <v>150928 Announced INDCs high ambition</v>
          </cell>
          <cell r="KR3" t="str">
            <v>150928 Announced INDCs high ambition</v>
          </cell>
          <cell r="KS3" t="str">
            <v>150928 Announced INDCs high ambition</v>
          </cell>
          <cell r="KT3" t="str">
            <v>150928 Current expected low ambition</v>
          </cell>
          <cell r="KU3" t="str">
            <v>150928 Current expected low ambition</v>
          </cell>
          <cell r="KV3" t="str">
            <v>150928 Current expected low ambition</v>
          </cell>
          <cell r="KW3" t="str">
            <v>150928 Current expected low ambition</v>
          </cell>
          <cell r="KX3" t="str">
            <v>150928 Current expected high ambition</v>
          </cell>
          <cell r="KY3" t="str">
            <v>150928 Current expected high ambition</v>
          </cell>
          <cell r="KZ3" t="str">
            <v>150928 Current expected high ambition</v>
          </cell>
          <cell r="LA3" t="str">
            <v>150928 Current expected high ambition</v>
          </cell>
          <cell r="LB3" t="str">
            <v>150928c Announced INDCs low ambition</v>
          </cell>
          <cell r="LC3" t="str">
            <v>150928c Announced INDCs low ambition</v>
          </cell>
          <cell r="LD3" t="str">
            <v>150928c Announced INDCs low ambition</v>
          </cell>
          <cell r="LE3" t="str">
            <v>150928c Announced INDCs low ambition</v>
          </cell>
          <cell r="LF3" t="str">
            <v>150902 Announced INDCs low ambition GRANTHAM_prelim</v>
          </cell>
          <cell r="LG3" t="str">
            <v>150902 Announced INDCs low ambition GRANTHAM_prelim</v>
          </cell>
          <cell r="LH3" t="str">
            <v>150902 Announced INDCs low ambition GRANTHAM_prelim</v>
          </cell>
          <cell r="LI3" t="str">
            <v>150902 Announced INDCs low ambition GRANTHAM_prelim</v>
          </cell>
          <cell r="LJ3" t="str">
            <v>151002 Grantham Announced INDCs low ambition prelim</v>
          </cell>
          <cell r="LK3" t="str">
            <v>151002 Grantham Announced INDCs low ambition prelim</v>
          </cell>
          <cell r="LL3" t="str">
            <v>151002 Grantham Announced INDCs low ambition prelim</v>
          </cell>
          <cell r="LM3" t="str">
            <v>151002 Grantham Announced INDCs low ambition prelim</v>
          </cell>
          <cell r="LN3" t="str">
            <v>prelim GRANTHAM low ambition</v>
          </cell>
          <cell r="LO3" t="str">
            <v>prelim GRANTHAM low ambition</v>
          </cell>
          <cell r="LP3" t="str">
            <v>prelim GRANTHAM low ambition</v>
          </cell>
          <cell r="LQ3" t="str">
            <v>prelim GRANTHAM low ambition</v>
          </cell>
          <cell r="LR3" t="str">
            <v>GRANTHAM PRELIM high ambition imf india and china</v>
          </cell>
          <cell r="LS3" t="str">
            <v>GRANTHAM PRELIM high ambition imf india and china</v>
          </cell>
          <cell r="LT3" t="str">
            <v>GRANTHAM PRELIM high ambition imf india and china</v>
          </cell>
          <cell r="LU3" t="str">
            <v>GRANTHAM PRELIM high ambition imf india and china</v>
          </cell>
          <cell r="LV3" t="str">
            <v>PRELIM GRANTHAM high ambition conditional + IMF india +china</v>
          </cell>
          <cell r="LW3" t="str">
            <v>PRELIM GRANTHAM high ambition conditional + IMF india +china</v>
          </cell>
          <cell r="LX3" t="str">
            <v>PRELIM GRANTHAM high ambition conditional + IMF india +china</v>
          </cell>
          <cell r="LY3" t="str">
            <v>PRELIM GRANTHAM high ambition conditional + IMF india +china</v>
          </cell>
          <cell r="LZ3" t="str">
            <v>151002 Unconditional Announced INDCs low ambition GRANTHAM</v>
          </cell>
          <cell r="MA3" t="str">
            <v>151002 Unconditional Announced INDCs low ambition GRANTHAM</v>
          </cell>
          <cell r="MB3" t="str">
            <v>151002 Unconditional Announced INDCs low ambition GRANTHAM</v>
          </cell>
          <cell r="MC3" t="str">
            <v>151002 Unconditional Announced INDCs low ambition GRANTHAM</v>
          </cell>
          <cell r="MD3" t="str">
            <v>151002 Unconditional Announced INDCs high ambition GRANTHAM</v>
          </cell>
          <cell r="ME3" t="str">
            <v>151002 Unconditional Announced INDCs high ambition GRANTHAM</v>
          </cell>
          <cell r="MF3" t="str">
            <v>151002 Unconditional Announced INDCs high ambition GRANTHAM</v>
          </cell>
          <cell r="MG3" t="str">
            <v>151002 Unconditional Announced INDCs high ambition GRANTHAM</v>
          </cell>
          <cell r="MH3" t="str">
            <v xml:space="preserve">151002 Conditional Announced INDCs high ambition GRANTHAM </v>
          </cell>
          <cell r="MI3" t="str">
            <v xml:space="preserve">151002 Conditional Announced INDCs high ambition GRANTHAM </v>
          </cell>
          <cell r="MJ3" t="str">
            <v xml:space="preserve">151002 Conditional Announced INDCs high ambition GRANTHAM </v>
          </cell>
          <cell r="MK3" t="str">
            <v xml:space="preserve">151002 Conditional Announced INDCs high ambition GRANTHAM </v>
          </cell>
          <cell r="ML3" t="str">
            <v>151002 GHG target approach GRANTHAM low ambition</v>
          </cell>
          <cell r="MM3" t="str">
            <v>151002 GHG target approach GRANTHAM low ambition</v>
          </cell>
          <cell r="MN3" t="str">
            <v>151002 GHG target approach GRANTHAM low ambition</v>
          </cell>
          <cell r="MO3" t="str">
            <v>151002 GHG target approach GRANTHAM low ambition</v>
          </cell>
          <cell r="MP3" t="str">
            <v>151002 GHG target approach high ambition GRANTHAM</v>
          </cell>
          <cell r="MQ3" t="str">
            <v>151002 GHG target approach high ambition GRANTHAM</v>
          </cell>
          <cell r="MR3" t="str">
            <v>151002 GHG target approach high ambition GRANTHAM</v>
          </cell>
          <cell r="MS3" t="str">
            <v>151002 GHG target approach high ambition GRANTHAM</v>
          </cell>
          <cell r="MT3" t="str">
            <v>151002 GHG target approach conditioinal high ambition, GRANTHAM</v>
          </cell>
          <cell r="MU3" t="str">
            <v>151002 GHG target approach conditioinal high ambition, GRANTHAM</v>
          </cell>
          <cell r="MV3" t="str">
            <v>151002 GHG target approach conditioinal high ambition, GRANTHAM</v>
          </cell>
          <cell r="MW3" t="str">
            <v>151002 GHG target approach conditioinal high ambition, GRANTHAM</v>
          </cell>
          <cell r="MX3" t="str">
            <v>151002 Unconditional low ambition GRANTHAM, India not included</v>
          </cell>
          <cell r="MY3" t="str">
            <v>151002 Unconditional low ambition GRANTHAM, India not included</v>
          </cell>
          <cell r="MZ3" t="str">
            <v>151002 Unconditional low ambition GRANTHAM, India not included</v>
          </cell>
          <cell r="NA3" t="str">
            <v>151002 Unconditional low ambition GRANTHAM, India not included</v>
          </cell>
          <cell r="NB3" t="str">
            <v>151002 Unconditional high ambition GRANTHAM, India not included</v>
          </cell>
          <cell r="NC3" t="str">
            <v>151002 Unconditional high ambition GRANTHAM, India not included</v>
          </cell>
          <cell r="ND3" t="str">
            <v>151002 Unconditional high ambition GRANTHAM, India not included</v>
          </cell>
          <cell r="NE3" t="str">
            <v>151002 Unconditional high ambition GRANTHAM, India not included</v>
          </cell>
          <cell r="NF3" t="str">
            <v>151005b Unconditional Announced INDCs low ambition GRANTHAM IMF GDP</v>
          </cell>
          <cell r="NG3" t="str">
            <v>151005b Unconditional Announced INDCs low ambition GRANTHAM IMF GDP</v>
          </cell>
          <cell r="NH3" t="str">
            <v>151005b Unconditional Announced INDCs low ambition GRANTHAM IMF GDP</v>
          </cell>
          <cell r="NI3" t="str">
            <v>151005b Unconditional Announced INDCs low ambition GRANTHAM IMF GDP</v>
          </cell>
          <cell r="NJ3" t="str">
            <v>151005b GHG target approach GRANTHAM low ambition IMF GDP</v>
          </cell>
          <cell r="NK3" t="str">
            <v>151005b GHG target approach GRANTHAM low ambition IMF GDP</v>
          </cell>
          <cell r="NL3" t="str">
            <v>151005b GHG target approach GRANTHAM low ambition IMF GDP</v>
          </cell>
          <cell r="NM3" t="str">
            <v>151005b GHG target approach GRANTHAM low ambition IMF GDP</v>
          </cell>
          <cell r="NN3" t="str">
            <v>151006 Grantham core scenario 1, announced INDCs low ambition IMF GDP, GHG appraoch</v>
          </cell>
          <cell r="NO3" t="str">
            <v>151006 Grantham core scenario 1, announced INDCs low ambition IMF GDP, GHG appraoch</v>
          </cell>
          <cell r="NP3" t="str">
            <v>151006 Grantham core scenario 1, announced INDCs low ambition IMF GDP, GHG appraoch</v>
          </cell>
          <cell r="NQ3" t="str">
            <v>151006 Grantham core scenario 1, announced INDCs low ambition IMF GDP, GHG appraoch</v>
          </cell>
          <cell r="NR3" t="str">
            <v>151006 Grantham core scenario 2, announced INDCs high ambition IMF GDP, GHG target approach</v>
          </cell>
          <cell r="NS3" t="str">
            <v>151006 Grantham core scenario 2, announced INDCs high ambition IMF GDP, GHG target approach</v>
          </cell>
          <cell r="NT3" t="str">
            <v>151006 Grantham core scenario 2, announced INDCs high ambition IMF GDP, GHG target approach</v>
          </cell>
          <cell r="NU3" t="str">
            <v>151006 Grantham core scenario 2, announced INDCs high ambition IMF GDP, GHG target approach</v>
          </cell>
          <cell r="NV3" t="str">
            <v>151006 Grantham sensitivity scenario 3, announced INDCs low ambition NCSC and INDC GDP, GHG target approach</v>
          </cell>
          <cell r="NW3" t="str">
            <v>151006 Grantham sensitivity scenario 3, announced INDCs low ambition NCSC and INDC GDP, GHG target approach</v>
          </cell>
          <cell r="NX3" t="str">
            <v>151006 Grantham sensitivity scenario 3, announced INDCs low ambition NCSC and INDC GDP, GHG target approach</v>
          </cell>
          <cell r="NY3" t="str">
            <v>151006 Grantham sensitivity scenario 3, announced INDCs low ambition NCSC and INDC GDP, GHG target approach</v>
          </cell>
          <cell r="NZ3" t="str">
            <v xml:space="preserve">151006 Grantham sensitivity scenario 4, announced INDCs high ambition NCSC and INDC GDP, GHG target approach			</v>
          </cell>
          <cell r="OA3" t="str">
            <v xml:space="preserve">151006 Grantham sensitivity scenario 4, announced INDCs high ambition NCSC and INDC GDP, GHG target approach			</v>
          </cell>
          <cell r="OB3" t="str">
            <v xml:space="preserve">151006 Grantham sensitivity scenario 4, announced INDCs high ambition NCSC and INDC GDP, GHG target approach			</v>
          </cell>
          <cell r="OC3" t="str">
            <v xml:space="preserve">151006 Grantham sensitivity scenario 4, announced INDCs high ambition NCSC and INDC GDP, GHG target approach			</v>
          </cell>
          <cell r="OD3" t="str">
            <v xml:space="preserve">151006 Grantham scenario 5, conditional high ambition, IMF GDP, GHG target approach </v>
          </cell>
          <cell r="OE3" t="str">
            <v xml:space="preserve">151006 Grantham scenario 5, conditional high ambition, IMF GDP, GHG target approach </v>
          </cell>
          <cell r="OF3" t="str">
            <v xml:space="preserve">151006 Grantham scenario 5, conditional high ambition, IMF GDP, GHG target approach </v>
          </cell>
          <cell r="OG3" t="str">
            <v xml:space="preserve">151006 Grantham scenario 5, conditional high ambition, IMF GDP, GHG target approach </v>
          </cell>
          <cell r="OH3" t="str">
            <v>151006 Internal scenario 1, announced INDCs low ambition, IMF and INDC GDP, GHG target approach, binding at BAU</v>
          </cell>
          <cell r="OI3" t="str">
            <v>151006 Internal scenario 1, announced INDCs low ambition, IMF and INDC GDP, GHG target approach, binding at BAU</v>
          </cell>
          <cell r="OJ3" t="str">
            <v>151006 Internal scenario 1, announced INDCs low ambition, IMF and INDC GDP, GHG target approach, binding at BAU</v>
          </cell>
          <cell r="OK3" t="str">
            <v>151006 Internal scenario 1, announced INDCs low ambition, IMF and INDC GDP, GHG target approach, binding at BAU</v>
          </cell>
          <cell r="OL3" t="str">
            <v xml:space="preserve">151006 Internal scenario 2, Announced INDCs high ambition, IMF + INDC GDP, binding at BAU, GHG target approach </v>
          </cell>
          <cell r="OM3" t="str">
            <v xml:space="preserve">151006 Internal scenario 2, Announced INDCs high ambition, IMF + INDC GDP, binding at BAU, GHG target approach </v>
          </cell>
          <cell r="ON3" t="str">
            <v xml:space="preserve">151006 Internal scenario 2, Announced INDCs high ambition, IMF + INDC GDP, binding at BAU, GHG target approach </v>
          </cell>
          <cell r="OO3" t="str">
            <v xml:space="preserve">151006 Internal scenario 2, Announced INDCs high ambition, IMF + INDC GDP, binding at BAU, GHG target approach </v>
          </cell>
          <cell r="OP3" t="str">
            <v>151006 Internal scenario 3 sensitivity test, announced INDCs low ambition, NCSC + INDC GDP, binding at BAU, GHG target appraoch</v>
          </cell>
          <cell r="OQ3" t="str">
            <v>151006 Internal scenario 3 sensitivity test, announced INDCs low ambition, NCSC + INDC GDP, binding at BAU, GHG target appraoch</v>
          </cell>
          <cell r="OR3" t="str">
            <v>151006 Internal scenario 3 sensitivity test, announced INDCs low ambition, NCSC + INDC GDP, binding at BAU, GHG target appraoch</v>
          </cell>
          <cell r="OS3" t="str">
            <v>151006 Internal scenario 3 sensitivity test, announced INDCs low ambition, NCSC + INDC GDP, binding at BAU, GHG target appraoch</v>
          </cell>
          <cell r="OT3" t="str">
            <v>151007 Grantham core scenario 2, announced INDCs high ambition IMF GDP, GHG target approach</v>
          </cell>
          <cell r="OU3" t="str">
            <v>151007 Grantham core scenario 2, announced INDCs high ambition IMF GDP, GHG target approach</v>
          </cell>
          <cell r="OV3" t="str">
            <v>151007 Grantham core scenario 2, announced INDCs high ambition IMF GDP, GHG target approach</v>
          </cell>
          <cell r="OW3" t="str">
            <v>151007 Grantham core scenario 2, announced INDCs high ambition IMF GDP, GHG target approach</v>
          </cell>
          <cell r="OX3" t="str">
            <v>151007b Grantham core scenario 1, announced INDCs low ambition IMF GDP, GHG appraoch</v>
          </cell>
          <cell r="OY3" t="str">
            <v>151007b Grantham core scenario 1, announced INDCs low ambition IMF GDP, GHG appraoch</v>
          </cell>
          <cell r="OZ3" t="str">
            <v>151007b Grantham core scenario 1, announced INDCs low ambition IMF GDP, GHG appraoch</v>
          </cell>
          <cell r="PA3" t="str">
            <v>151007b Grantham core scenario 1, announced INDCs low ambition IMF GDP, GHG appraoch</v>
          </cell>
          <cell r="PB3" t="str">
            <v>151007 Grantham sensitivity scenario 3, announced INDCs low ambition NCSC and INDC GDP, GHG target approach</v>
          </cell>
          <cell r="PC3" t="str">
            <v>151007 Grantham sensitivity scenario 3, announced INDCs low ambition NCSC and INDC GDP, GHG target approach</v>
          </cell>
          <cell r="PD3" t="str">
            <v>151007 Grantham sensitivity scenario 3, announced INDCs low ambition NCSC and INDC GDP, GHG target approach</v>
          </cell>
          <cell r="PE3" t="str">
            <v>151007 Grantham sensitivity scenario 3, announced INDCs low ambition NCSC and INDC GDP, GHG target approach</v>
          </cell>
          <cell r="PF3" t="str">
            <v xml:space="preserve">151007 Grantham sensitivity scenario 4, announced INDCs high ambition NCSC and INDC GDP, GHG target approach			</v>
          </cell>
          <cell r="PG3" t="str">
            <v xml:space="preserve">151007 Grantham sensitivity scenario 4, announced INDCs high ambition NCSC and INDC GDP, GHG target approach			</v>
          </cell>
          <cell r="PH3" t="str">
            <v xml:space="preserve">151007 Grantham sensitivity scenario 4, announced INDCs high ambition NCSC and INDC GDP, GHG target approach			</v>
          </cell>
          <cell r="PI3" t="str">
            <v xml:space="preserve">151007 Grantham sensitivity scenario 4, announced INDCs high ambition NCSC and INDC GDP, GHG target approach			</v>
          </cell>
          <cell r="PJ3" t="str">
            <v xml:space="preserve">151007 Grantham scenario 5, conditional high ambition, IMF GDP, GHG target approach </v>
          </cell>
          <cell r="PK3" t="str">
            <v xml:space="preserve">151007 Grantham scenario 5, conditional high ambition, IMF GDP, GHG target approach </v>
          </cell>
          <cell r="PL3" t="str">
            <v xml:space="preserve">151007 Grantham scenario 5, conditional high ambition, IMF GDP, GHG target approach </v>
          </cell>
          <cell r="PM3" t="str">
            <v xml:space="preserve">151007 Grantham scenario 5, conditional high ambition, IMF GDP, GHG target approach </v>
          </cell>
          <cell r="PN3" t="str">
            <v>151007c Grantham core scenario 1, announced INDCs low ambition IMF GDP, GHG appraoch</v>
          </cell>
          <cell r="PO3" t="str">
            <v>151007c Grantham core scenario 1, announced INDCs low ambition IMF GDP, GHG appraoch</v>
          </cell>
          <cell r="PP3" t="str">
            <v>151007c Grantham core scenario 1, announced INDCs low ambition IMF GDP, GHG appraoch</v>
          </cell>
          <cell r="PQ3" t="str">
            <v>151007c Grantham core scenario 1, announced INDCs low ambition IMF GDP, GHG appraoch</v>
          </cell>
          <cell r="PR3" t="str">
            <v>151007b Grantham core scenario 2, announced INDCs high ambition IMF GDP, GHG target approach</v>
          </cell>
          <cell r="PS3" t="str">
            <v>151007b Grantham core scenario 2, announced INDCs high ambition IMF GDP, GHG target approach</v>
          </cell>
          <cell r="PT3" t="str">
            <v>151007b Grantham core scenario 2, announced INDCs high ambition IMF GDP, GHG target approach</v>
          </cell>
          <cell r="PU3" t="str">
            <v>151007b Grantham core scenario 2, announced INDCs high ambition IMF GDP, GHG target approach</v>
          </cell>
          <cell r="PV3" t="str">
            <v>151007b Grantham sensitivity scenario 3, announced INDCs low ambition NCSC and INDC GDP, GHG target approach</v>
          </cell>
          <cell r="PW3" t="str">
            <v>151007b Grantham sensitivity scenario 3, announced INDCs low ambition NCSC and INDC GDP, GHG target approach</v>
          </cell>
          <cell r="PX3" t="str">
            <v>151007b Grantham sensitivity scenario 3, announced INDCs low ambition NCSC and INDC GDP, GHG target approach</v>
          </cell>
          <cell r="PY3" t="str">
            <v>151007b Grantham sensitivity scenario 3, announced INDCs low ambition NCSC and INDC GDP, GHG target approach</v>
          </cell>
          <cell r="PZ3" t="str">
            <v xml:space="preserve">151007b Grantham sensitivity scenario 4, announced INDCs high ambition NCSC and INDC GDP, GHG target approach			</v>
          </cell>
          <cell r="QA3" t="str">
            <v xml:space="preserve">151007b Grantham sensitivity scenario 4, announced INDCs high ambition NCSC and INDC GDP, GHG target approach			</v>
          </cell>
          <cell r="QB3" t="str">
            <v xml:space="preserve">151007b Grantham sensitivity scenario 4, announced INDCs high ambition NCSC and INDC GDP, GHG target approach			</v>
          </cell>
          <cell r="QC3" t="str">
            <v xml:space="preserve">151007b Grantham sensitivity scenario 4, announced INDCs high ambition NCSC and INDC GDP, GHG target approach			</v>
          </cell>
          <cell r="QD3" t="str">
            <v xml:space="preserve">151007b Grantham scenario 5, conditional high ambition, IMF GDP, GHG target approach </v>
          </cell>
          <cell r="QE3" t="str">
            <v xml:space="preserve">151007b Grantham scenario 5, conditional high ambition, IMF GDP, GHG target approach </v>
          </cell>
          <cell r="QF3" t="str">
            <v xml:space="preserve">151007b Grantham scenario 5, conditional high ambition, IMF GDP, GHG target approach </v>
          </cell>
          <cell r="QG3" t="str">
            <v xml:space="preserve">151007b Grantham scenario 5, conditional high ambition, IMF GDP, GHG target approach </v>
          </cell>
          <cell r="QH3" t="str">
            <v>151007c Grantham core scenario 2, announced INDCs high ambition IMF GDP, GHG target approach</v>
          </cell>
          <cell r="QI3" t="str">
            <v>151007c Grantham core scenario 2, announced INDCs high ambition IMF GDP, GHG target approach</v>
          </cell>
          <cell r="QJ3" t="str">
            <v>151007c Grantham core scenario 2, announced INDCs high ambition IMF GDP, GHG target approach</v>
          </cell>
          <cell r="QK3" t="str">
            <v>151007c Grantham core scenario 2, announced INDCs high ambition IMF GDP, GHG target approach</v>
          </cell>
          <cell r="QL3" t="str">
            <v xml:space="preserve">151007c Grantham sensitivity scenario 4, announced INDCs high ambition NCSC and INDC GDP, GHG target approach			</v>
          </cell>
          <cell r="QM3" t="str">
            <v xml:space="preserve">151007c Grantham sensitivity scenario 4, announced INDCs high ambition NCSC and INDC GDP, GHG target approach			</v>
          </cell>
          <cell r="QN3" t="str">
            <v xml:space="preserve">151007c Grantham sensitivity scenario 4, announced INDCs high ambition NCSC and INDC GDP, GHG target approach			</v>
          </cell>
          <cell r="QO3" t="str">
            <v xml:space="preserve">151007c Grantham sensitivity scenario 4, announced INDCs high ambition NCSC and INDC GDP, GHG target approach			</v>
          </cell>
          <cell r="QP3" t="str">
            <v>151008 Internal core scenario 1, announced INDCs low ambition IMF GDP, GHG appraoch</v>
          </cell>
          <cell r="QQ3" t="str">
            <v>151008 Internal core scenario 1, announced INDCs low ambition IMF GDP, GHG appraoch</v>
          </cell>
          <cell r="QR3" t="str">
            <v>151008 Internal core scenario 1, announced INDCs low ambition IMF GDP, GHG appraoch</v>
          </cell>
          <cell r="QS3" t="str">
            <v>151008 Internal core scenario 1, announced INDCs low ambition IMF GDP, GHG appraoch</v>
          </cell>
          <cell r="QT3" t="str">
            <v>151008 Internal core scenario 2, announced INDCs high ambition IMF GDP, GHG target approach</v>
          </cell>
          <cell r="QU3" t="str">
            <v>151008 Internal core scenario 2, announced INDCs high ambition IMF GDP, GHG target approach</v>
          </cell>
          <cell r="QV3" t="str">
            <v>151008 Internal core scenario 2, announced INDCs high ambition IMF GDP, GHG target approach</v>
          </cell>
          <cell r="QW3" t="str">
            <v>151008 Internal core scenario 2, announced INDCs high ambition IMF GDP, GHG target approach</v>
          </cell>
          <cell r="QX3" t="str">
            <v xml:space="preserve">151008 Internal scenario 5, conditional high ambition, IMF GDP, GHG target approach </v>
          </cell>
          <cell r="QY3" t="str">
            <v xml:space="preserve">151008 Internal scenario 5, conditional high ambition, IMF GDP, GHG target approach </v>
          </cell>
          <cell r="QZ3" t="str">
            <v xml:space="preserve">151008 Internal scenario 5, conditional high ambition, IMF GDP, GHG target approach </v>
          </cell>
          <cell r="RA3" t="str">
            <v xml:space="preserve">151008 Internal scenario 5, conditional high ambition, IMF GDP, GHG target approach </v>
          </cell>
          <cell r="RB3" t="str">
            <v>151012 Grantham scenario 1, announced INDCs low ambition IMF GDP, GHG appraoch</v>
          </cell>
          <cell r="RC3" t="str">
            <v>151012 Grantham scenario 1, announced INDCs low ambition IMF GDP, GHG appraoch</v>
          </cell>
          <cell r="RD3" t="str">
            <v>151012 Grantham scenario 1, announced INDCs low ambition IMF GDP, GHG appraoch</v>
          </cell>
          <cell r="RE3" t="str">
            <v>151012 Grantham scenario 1, announced INDCs low ambition IMF GDP, GHG appraoch</v>
          </cell>
          <cell r="RF3" t="str">
            <v>151012 Grantham scenario 2, announced INDCs high ambition IMF GDP, GHG target approach</v>
          </cell>
          <cell r="RG3" t="str">
            <v>151012 Grantham scenario 2, announced INDCs high ambition IMF GDP, GHG target approach</v>
          </cell>
          <cell r="RH3" t="str">
            <v>151012 Grantham scenario 2, announced INDCs high ambition IMF GDP, GHG target approach</v>
          </cell>
          <cell r="RI3" t="str">
            <v>151012 Grantham scenario 2, announced INDCs high ambition IMF GDP, GHG target approach</v>
          </cell>
          <cell r="RJ3" t="str">
            <v>151012 Grantham sensitivity scenario 3, announced INDCs low ambition NCSC and INDC GDP, GHG target approach</v>
          </cell>
          <cell r="RK3" t="str">
            <v>151012 Grantham sensitivity scenario 3, announced INDCs low ambition NCSC and INDC GDP, GHG target approach</v>
          </cell>
          <cell r="RL3" t="str">
            <v>151012 Grantham sensitivity scenario 3, announced INDCs low ambition NCSC and INDC GDP, GHG target approach</v>
          </cell>
          <cell r="RM3" t="str">
            <v>151012 Grantham sensitivity scenario 3, announced INDCs low ambition NCSC and INDC GDP, GHG target approach</v>
          </cell>
          <cell r="RN3" t="str">
            <v xml:space="preserve">151012 Grantham sensitivity scenario 4, announced INDCs high ambition NCSC and INDC GDP, GHG target approach			</v>
          </cell>
          <cell r="RO3" t="str">
            <v xml:space="preserve">151012 Grantham sensitivity scenario 4, announced INDCs high ambition NCSC and INDC GDP, GHG target approach			</v>
          </cell>
          <cell r="RP3" t="str">
            <v xml:space="preserve">151012 Grantham sensitivity scenario 4, announced INDCs high ambition NCSC and INDC GDP, GHG target approach			</v>
          </cell>
          <cell r="RQ3" t="str">
            <v xml:space="preserve">151012 Grantham sensitivity scenario 4, announced INDCs high ambition NCSC and INDC GDP, GHG target approach			</v>
          </cell>
          <cell r="RR3" t="str">
            <v xml:space="preserve">151012 Grantham scenario 5, conditional high ambition, IMF GDP, GHG target approach </v>
          </cell>
          <cell r="RS3" t="str">
            <v xml:space="preserve">151012 Grantham scenario 5, conditional high ambition, IMF GDP, GHG target approach </v>
          </cell>
          <cell r="RT3" t="str">
            <v xml:space="preserve">151012 Grantham scenario 5, conditional high ambition, IMF GDP, GHG target approach </v>
          </cell>
          <cell r="RU3" t="str">
            <v xml:space="preserve">151012 Grantham scenario 5, conditional high ambition, IMF GDP, GHG target approach </v>
          </cell>
        </row>
        <row r="4">
          <cell r="B4" t="str">
            <v>Target method</v>
          </cell>
          <cell r="C4" t="str">
            <v>Target amount</v>
          </cell>
          <cell r="D4" t="str">
            <v>comments</v>
          </cell>
          <cell r="E4" t="str">
            <v>Allowed emissions</v>
          </cell>
          <cell r="F4" t="str">
            <v>Target method</v>
          </cell>
          <cell r="G4" t="str">
            <v>Target amount</v>
          </cell>
          <cell r="H4" t="str">
            <v>comments</v>
          </cell>
          <cell r="I4" t="str">
            <v>Allowed emissions</v>
          </cell>
          <cell r="J4" t="str">
            <v>Target method</v>
          </cell>
          <cell r="K4" t="str">
            <v>Target amount</v>
          </cell>
          <cell r="L4" t="str">
            <v>comments</v>
          </cell>
          <cell r="M4" t="str">
            <v>Allowed emissions</v>
          </cell>
          <cell r="N4" t="str">
            <v>Target method</v>
          </cell>
          <cell r="O4" t="str">
            <v>Target amount</v>
          </cell>
          <cell r="P4" t="str">
            <v>comments</v>
          </cell>
          <cell r="Q4" t="str">
            <v>Allowed emissions</v>
          </cell>
          <cell r="R4" t="str">
            <v>Target method</v>
          </cell>
          <cell r="S4" t="str">
            <v>Target amount</v>
          </cell>
          <cell r="T4" t="str">
            <v>comments</v>
          </cell>
          <cell r="U4" t="str">
            <v>Allowed emissions</v>
          </cell>
          <cell r="V4" t="str">
            <v>Target method</v>
          </cell>
          <cell r="W4" t="str">
            <v>Target amount</v>
          </cell>
          <cell r="X4" t="str">
            <v>comments</v>
          </cell>
          <cell r="Y4" t="str">
            <v>Allowed emissions</v>
          </cell>
          <cell r="Z4" t="str">
            <v>Target method</v>
          </cell>
          <cell r="AA4" t="str">
            <v>Target amount</v>
          </cell>
          <cell r="AB4" t="str">
            <v>comments</v>
          </cell>
          <cell r="AC4" t="str">
            <v>Allowed emissions</v>
          </cell>
          <cell r="AD4" t="str">
            <v>Target method</v>
          </cell>
          <cell r="AE4" t="str">
            <v>Target amount</v>
          </cell>
          <cell r="AF4" t="str">
            <v>comments</v>
          </cell>
          <cell r="AG4" t="str">
            <v>Allowed emissions</v>
          </cell>
          <cell r="AH4" t="str">
            <v>Target method</v>
          </cell>
          <cell r="AI4" t="str">
            <v>Target amount</v>
          </cell>
          <cell r="AJ4" t="str">
            <v>comments</v>
          </cell>
          <cell r="AK4" t="str">
            <v>Allowed emissions</v>
          </cell>
          <cell r="AL4" t="str">
            <v>Target method</v>
          </cell>
          <cell r="AM4" t="str">
            <v>Target amount</v>
          </cell>
          <cell r="AN4" t="str">
            <v>comments</v>
          </cell>
          <cell r="AO4" t="str">
            <v>Allowed emissions</v>
          </cell>
          <cell r="AP4" t="str">
            <v>Target method</v>
          </cell>
          <cell r="AQ4" t="str">
            <v>Target amount</v>
          </cell>
          <cell r="AR4" t="str">
            <v>comments</v>
          </cell>
          <cell r="AS4" t="str">
            <v>Allowed emissions</v>
          </cell>
          <cell r="AT4" t="str">
            <v>Target method</v>
          </cell>
          <cell r="AU4" t="str">
            <v>Target amount</v>
          </cell>
          <cell r="AV4" t="str">
            <v>comments</v>
          </cell>
          <cell r="AW4" t="str">
            <v>Allowed emissions</v>
          </cell>
          <cell r="AX4" t="str">
            <v>Target method</v>
          </cell>
          <cell r="AY4" t="str">
            <v>Target amount</v>
          </cell>
          <cell r="AZ4" t="str">
            <v>comments</v>
          </cell>
          <cell r="BA4" t="str">
            <v>Allowed emissions</v>
          </cell>
          <cell r="BB4" t="str">
            <v>Target method</v>
          </cell>
          <cell r="BC4" t="str">
            <v>Target amount</v>
          </cell>
          <cell r="BD4" t="str">
            <v>comments</v>
          </cell>
          <cell r="BE4" t="str">
            <v>Allowed emissions</v>
          </cell>
          <cell r="BF4" t="str">
            <v>Target method</v>
          </cell>
          <cell r="BG4" t="str">
            <v>Target amount</v>
          </cell>
          <cell r="BH4" t="str">
            <v>comments</v>
          </cell>
          <cell r="BI4" t="str">
            <v>Allowed emissions</v>
          </cell>
          <cell r="BJ4" t="str">
            <v>Target method</v>
          </cell>
          <cell r="BK4" t="str">
            <v>Target amount</v>
          </cell>
          <cell r="BL4" t="str">
            <v>comments</v>
          </cell>
          <cell r="BM4" t="str">
            <v>Allowed emissions</v>
          </cell>
          <cell r="BN4" t="str">
            <v>Target method</v>
          </cell>
          <cell r="BO4" t="str">
            <v>Target amount</v>
          </cell>
          <cell r="BP4" t="str">
            <v>comments</v>
          </cell>
          <cell r="BQ4" t="str">
            <v>Allowed emissions</v>
          </cell>
          <cell r="BR4" t="str">
            <v>Target method</v>
          </cell>
          <cell r="BS4" t="str">
            <v>Target amount</v>
          </cell>
          <cell r="BT4" t="str">
            <v>comments</v>
          </cell>
          <cell r="BU4" t="str">
            <v>Allowed emissions</v>
          </cell>
          <cell r="BV4" t="str">
            <v>Target method</v>
          </cell>
          <cell r="BW4" t="str">
            <v>Target amount</v>
          </cell>
          <cell r="BX4" t="str">
            <v>comments</v>
          </cell>
          <cell r="BY4" t="str">
            <v>Allowed emissions</v>
          </cell>
          <cell r="BZ4" t="str">
            <v>Target method</v>
          </cell>
          <cell r="CA4" t="str">
            <v>Target amount</v>
          </cell>
          <cell r="CB4" t="str">
            <v>comments</v>
          </cell>
          <cell r="CC4" t="str">
            <v>Allowed emissions</v>
          </cell>
          <cell r="CD4" t="str">
            <v>Target method</v>
          </cell>
          <cell r="CE4" t="str">
            <v>Target amount</v>
          </cell>
          <cell r="CF4" t="str">
            <v>comments</v>
          </cell>
          <cell r="CG4" t="str">
            <v>Allowed emissions</v>
          </cell>
          <cell r="CH4" t="str">
            <v>Target method</v>
          </cell>
          <cell r="CI4" t="str">
            <v>Target amount</v>
          </cell>
          <cell r="CJ4" t="str">
            <v>comments</v>
          </cell>
          <cell r="CK4" t="str">
            <v>Allowed emissions</v>
          </cell>
          <cell r="CL4" t="str">
            <v>Target method</v>
          </cell>
          <cell r="CM4" t="str">
            <v>Target amount</v>
          </cell>
          <cell r="CN4" t="str">
            <v>comments</v>
          </cell>
          <cell r="CO4" t="str">
            <v>Allowed emissions</v>
          </cell>
          <cell r="CP4" t="str">
            <v>Target method</v>
          </cell>
          <cell r="CQ4" t="str">
            <v>Target amount</v>
          </cell>
          <cell r="CR4" t="str">
            <v>comments</v>
          </cell>
          <cell r="CS4" t="str">
            <v>Allowed emissions</v>
          </cell>
          <cell r="CT4" t="str">
            <v>Target method</v>
          </cell>
          <cell r="CU4" t="str">
            <v>Target amount</v>
          </cell>
          <cell r="CV4" t="str">
            <v>comments</v>
          </cell>
          <cell r="CW4" t="str">
            <v>Allowed emissions</v>
          </cell>
          <cell r="CX4" t="str">
            <v>Target method</v>
          </cell>
          <cell r="CY4" t="str">
            <v>Target amount</v>
          </cell>
          <cell r="CZ4" t="str">
            <v>comments</v>
          </cell>
          <cell r="DA4" t="str">
            <v>Allowed emissions</v>
          </cell>
          <cell r="DB4" t="str">
            <v>Target method</v>
          </cell>
          <cell r="DC4" t="str">
            <v>Target amount</v>
          </cell>
          <cell r="DD4" t="str">
            <v>comments</v>
          </cell>
          <cell r="DE4" t="str">
            <v>Allowed emissions</v>
          </cell>
          <cell r="DF4" t="str">
            <v>Target method</v>
          </cell>
          <cell r="DG4" t="str">
            <v>Target amount</v>
          </cell>
          <cell r="DH4" t="str">
            <v>comments</v>
          </cell>
          <cell r="DI4" t="str">
            <v>Allowed emissions</v>
          </cell>
          <cell r="DJ4" t="str">
            <v>Target method</v>
          </cell>
          <cell r="DK4" t="str">
            <v>Target amount</v>
          </cell>
          <cell r="DL4" t="str">
            <v>comments</v>
          </cell>
          <cell r="DM4" t="str">
            <v>Allowed emissions</v>
          </cell>
          <cell r="DN4" t="str">
            <v>Target method</v>
          </cell>
          <cell r="DO4" t="str">
            <v>Target amount</v>
          </cell>
          <cell r="DP4" t="str">
            <v>comments</v>
          </cell>
          <cell r="DQ4" t="str">
            <v>Allowed emissions</v>
          </cell>
          <cell r="DR4" t="str">
            <v>Target method</v>
          </cell>
          <cell r="DS4" t="str">
            <v>Target amount</v>
          </cell>
          <cell r="DT4" t="str">
            <v>comments</v>
          </cell>
          <cell r="DU4" t="str">
            <v>Allowed emissions</v>
          </cell>
          <cell r="DV4" t="str">
            <v>Target method</v>
          </cell>
          <cell r="DW4" t="str">
            <v>Target amount</v>
          </cell>
          <cell r="DX4" t="str">
            <v>comments</v>
          </cell>
          <cell r="DY4" t="str">
            <v>Allowed emissions</v>
          </cell>
          <cell r="DZ4" t="str">
            <v>Target method</v>
          </cell>
          <cell r="EA4" t="str">
            <v>Target amount</v>
          </cell>
          <cell r="EB4" t="str">
            <v>comments</v>
          </cell>
          <cell r="EC4" t="str">
            <v>Allowed emissions</v>
          </cell>
          <cell r="ED4" t="str">
            <v>Target method</v>
          </cell>
          <cell r="EE4" t="str">
            <v>Target amount</v>
          </cell>
          <cell r="EF4" t="str">
            <v>comments</v>
          </cell>
          <cell r="EG4" t="str">
            <v>Allowed emissions</v>
          </cell>
          <cell r="EH4" t="str">
            <v>Target method</v>
          </cell>
          <cell r="EI4" t="str">
            <v>Target amount</v>
          </cell>
          <cell r="EJ4" t="str">
            <v>comments</v>
          </cell>
          <cell r="EK4" t="str">
            <v>Allowed emissions</v>
          </cell>
          <cell r="EL4" t="str">
            <v>Target method</v>
          </cell>
          <cell r="EM4" t="str">
            <v>Target amount</v>
          </cell>
          <cell r="EN4" t="str">
            <v>comments</v>
          </cell>
          <cell r="EO4" t="str">
            <v>Allowed emissions</v>
          </cell>
          <cell r="EP4" t="str">
            <v>Target method</v>
          </cell>
          <cell r="EQ4" t="str">
            <v>Target amount</v>
          </cell>
          <cell r="ER4" t="str">
            <v>comments</v>
          </cell>
          <cell r="ES4" t="str">
            <v>Allowed emissions</v>
          </cell>
          <cell r="ET4" t="str">
            <v>Target method</v>
          </cell>
          <cell r="EU4" t="str">
            <v>Target amount</v>
          </cell>
          <cell r="EV4" t="str">
            <v>comments</v>
          </cell>
          <cell r="EW4" t="str">
            <v>Allowed emissions</v>
          </cell>
          <cell r="EX4" t="str">
            <v>Target method</v>
          </cell>
          <cell r="EY4" t="str">
            <v>Target amount</v>
          </cell>
          <cell r="EZ4" t="str">
            <v>comments</v>
          </cell>
          <cell r="FA4" t="str">
            <v>Allowed emissions</v>
          </cell>
          <cell r="FB4" t="str">
            <v>Target method</v>
          </cell>
          <cell r="FC4" t="str">
            <v>Target amount</v>
          </cell>
          <cell r="FD4" t="str">
            <v>comments</v>
          </cell>
          <cell r="FE4" t="str">
            <v>Allowed emissions</v>
          </cell>
          <cell r="FF4" t="str">
            <v>Target method</v>
          </cell>
          <cell r="FG4" t="str">
            <v>Target amount</v>
          </cell>
          <cell r="FH4" t="str">
            <v>comments</v>
          </cell>
          <cell r="FI4" t="str">
            <v>Allowed emissions</v>
          </cell>
          <cell r="FJ4" t="str">
            <v>Target method</v>
          </cell>
          <cell r="FK4" t="str">
            <v>Target amount</v>
          </cell>
          <cell r="FL4" t="str">
            <v>comments</v>
          </cell>
          <cell r="FM4" t="str">
            <v>Allowed emissions</v>
          </cell>
          <cell r="FN4" t="str">
            <v>Target method</v>
          </cell>
          <cell r="FO4" t="str">
            <v>Target amount</v>
          </cell>
          <cell r="FP4" t="str">
            <v>comments</v>
          </cell>
          <cell r="FQ4" t="str">
            <v>Allowed emissions</v>
          </cell>
          <cell r="FR4" t="str">
            <v>Target method</v>
          </cell>
          <cell r="FS4" t="str">
            <v>Target amount</v>
          </cell>
          <cell r="FT4" t="str">
            <v>comments</v>
          </cell>
          <cell r="FU4" t="str">
            <v>Allowed emissions</v>
          </cell>
          <cell r="FV4" t="str">
            <v>Target method</v>
          </cell>
          <cell r="FW4" t="str">
            <v>Target amount</v>
          </cell>
          <cell r="FX4" t="str">
            <v>comments</v>
          </cell>
          <cell r="FY4" t="str">
            <v>Allowed emissions</v>
          </cell>
          <cell r="FZ4" t="str">
            <v>Target method</v>
          </cell>
          <cell r="GA4" t="str">
            <v>Target amount</v>
          </cell>
          <cell r="GB4" t="str">
            <v>comments</v>
          </cell>
          <cell r="GC4" t="str">
            <v>Allowed emissions</v>
          </cell>
          <cell r="GD4" t="str">
            <v>Target method</v>
          </cell>
          <cell r="GE4" t="str">
            <v>Target amount</v>
          </cell>
          <cell r="GF4" t="str">
            <v>comments</v>
          </cell>
          <cell r="GG4" t="str">
            <v>Allowed emissions</v>
          </cell>
          <cell r="GH4" t="str">
            <v>Target method</v>
          </cell>
          <cell r="GI4" t="str">
            <v>Target amount</v>
          </cell>
          <cell r="GJ4" t="str">
            <v>comments</v>
          </cell>
          <cell r="GK4" t="str">
            <v>Allowed emissions</v>
          </cell>
          <cell r="GL4" t="str">
            <v>Target method</v>
          </cell>
          <cell r="GM4" t="str">
            <v>Target amount</v>
          </cell>
          <cell r="GN4" t="str">
            <v>comments</v>
          </cell>
          <cell r="GO4" t="str">
            <v>Allowed emissions</v>
          </cell>
          <cell r="GP4" t="str">
            <v>Target method</v>
          </cell>
          <cell r="GQ4" t="str">
            <v>Target amount</v>
          </cell>
          <cell r="GR4" t="str">
            <v>comments</v>
          </cell>
          <cell r="GS4" t="str">
            <v>Allowed emissions</v>
          </cell>
          <cell r="GT4" t="str">
            <v>Target method</v>
          </cell>
          <cell r="GU4" t="str">
            <v>Target amount</v>
          </cell>
          <cell r="GV4" t="str">
            <v>comments</v>
          </cell>
          <cell r="GW4" t="str">
            <v>Allowed emissions</v>
          </cell>
          <cell r="GX4" t="str">
            <v>Target method</v>
          </cell>
          <cell r="GY4" t="str">
            <v>Target amount</v>
          </cell>
          <cell r="GZ4" t="str">
            <v>comments</v>
          </cell>
          <cell r="HA4" t="str">
            <v>Allowed emissions</v>
          </cell>
          <cell r="HB4" t="str">
            <v>Target method</v>
          </cell>
          <cell r="HC4" t="str">
            <v>Target amount</v>
          </cell>
          <cell r="HD4" t="str">
            <v>comments</v>
          </cell>
          <cell r="HE4" t="str">
            <v>Allowed emissions</v>
          </cell>
          <cell r="HF4" t="str">
            <v>Target method</v>
          </cell>
          <cell r="HG4" t="str">
            <v>Target amount</v>
          </cell>
          <cell r="HH4" t="str">
            <v>comments</v>
          </cell>
          <cell r="HI4" t="str">
            <v>Allowed emissions</v>
          </cell>
          <cell r="HJ4" t="str">
            <v>Target method</v>
          </cell>
          <cell r="HK4" t="str">
            <v>Target amount</v>
          </cell>
          <cell r="HL4" t="str">
            <v>comments</v>
          </cell>
          <cell r="HM4" t="str">
            <v>Allowed emissions</v>
          </cell>
          <cell r="HN4" t="str">
            <v>Target method</v>
          </cell>
          <cell r="HO4" t="str">
            <v>Target amount</v>
          </cell>
          <cell r="HP4" t="str">
            <v>comments</v>
          </cell>
          <cell r="HQ4" t="str">
            <v>Allowed emissions</v>
          </cell>
          <cell r="HR4" t="str">
            <v>Target method</v>
          </cell>
          <cell r="HS4" t="str">
            <v>Target amount</v>
          </cell>
          <cell r="HT4" t="str">
            <v>comments</v>
          </cell>
          <cell r="HU4" t="str">
            <v>Allowed emissions</v>
          </cell>
          <cell r="HV4" t="str">
            <v>Target method</v>
          </cell>
          <cell r="HW4" t="str">
            <v>Target amount</v>
          </cell>
          <cell r="HX4" t="str">
            <v>Comments</v>
          </cell>
          <cell r="HY4" t="str">
            <v>Allowed emissions</v>
          </cell>
          <cell r="HZ4" t="str">
            <v>Target method</v>
          </cell>
          <cell r="IA4" t="str">
            <v>Target amount</v>
          </cell>
          <cell r="IB4" t="str">
            <v>Comments</v>
          </cell>
          <cell r="IC4" t="str">
            <v>Allowed emissions</v>
          </cell>
          <cell r="ID4" t="str">
            <v>Target method</v>
          </cell>
          <cell r="IE4" t="str">
            <v>Target amount</v>
          </cell>
          <cell r="IF4" t="str">
            <v>Comments</v>
          </cell>
          <cell r="IG4" t="str">
            <v>Allowed emissions</v>
          </cell>
          <cell r="IH4" t="str">
            <v>Target method</v>
          </cell>
          <cell r="II4" t="str">
            <v>Target amount</v>
          </cell>
          <cell r="IJ4" t="str">
            <v>Comments</v>
          </cell>
          <cell r="IK4" t="str">
            <v>Allowed emissions</v>
          </cell>
          <cell r="IL4" t="str">
            <v>Target method</v>
          </cell>
          <cell r="IM4" t="str">
            <v>Target amount</v>
          </cell>
          <cell r="IN4" t="str">
            <v>Comments</v>
          </cell>
          <cell r="IO4" t="str">
            <v>Allowed emissions</v>
          </cell>
          <cell r="IP4" t="str">
            <v>Target method</v>
          </cell>
          <cell r="IQ4" t="str">
            <v>Target amount</v>
          </cell>
          <cell r="IR4" t="str">
            <v>Comments</v>
          </cell>
          <cell r="IS4" t="str">
            <v>Allowed emissions</v>
          </cell>
          <cell r="IT4" t="str">
            <v>Target method</v>
          </cell>
          <cell r="IU4" t="str">
            <v>Target amount</v>
          </cell>
          <cell r="IV4" t="str">
            <v>Comments</v>
          </cell>
          <cell r="IW4" t="str">
            <v>Allowed emissions</v>
          </cell>
          <cell r="IX4" t="str">
            <v>Target method</v>
          </cell>
          <cell r="IY4" t="str">
            <v>Target amount</v>
          </cell>
          <cell r="IZ4" t="str">
            <v>Comments</v>
          </cell>
          <cell r="JA4" t="str">
            <v>Allowed emissions</v>
          </cell>
          <cell r="JB4" t="str">
            <v>Target method</v>
          </cell>
          <cell r="JC4" t="str">
            <v>Target amount</v>
          </cell>
          <cell r="JD4" t="str">
            <v>Comments</v>
          </cell>
          <cell r="JE4" t="str">
            <v>Allowed emissions</v>
          </cell>
          <cell r="JF4" t="str">
            <v>Target method</v>
          </cell>
          <cell r="JG4" t="str">
            <v>Target amount</v>
          </cell>
          <cell r="JH4" t="str">
            <v>Comments</v>
          </cell>
          <cell r="JI4" t="str">
            <v>Allowed emissions</v>
          </cell>
          <cell r="JJ4" t="str">
            <v>Target method</v>
          </cell>
          <cell r="JK4" t="str">
            <v>Target amount</v>
          </cell>
          <cell r="JL4" t="str">
            <v>Comments</v>
          </cell>
          <cell r="JM4" t="str">
            <v>Allowed emissions</v>
          </cell>
          <cell r="JN4" t="str">
            <v>Target method</v>
          </cell>
          <cell r="JO4" t="str">
            <v>Target amount</v>
          </cell>
          <cell r="JP4" t="str">
            <v>Comments</v>
          </cell>
          <cell r="JQ4" t="str">
            <v>Allowed emissions</v>
          </cell>
          <cell r="JR4" t="str">
            <v>Target method</v>
          </cell>
          <cell r="JS4" t="str">
            <v>Target amount</v>
          </cell>
          <cell r="JT4" t="str">
            <v>Comments</v>
          </cell>
          <cell r="JU4" t="str">
            <v>Allowed emissions</v>
          </cell>
          <cell r="JV4" t="str">
            <v>Target method</v>
          </cell>
          <cell r="JW4" t="str">
            <v>Target amount</v>
          </cell>
          <cell r="JX4" t="str">
            <v>Comments</v>
          </cell>
          <cell r="JY4" t="str">
            <v>Allowed emissions</v>
          </cell>
          <cell r="JZ4" t="str">
            <v>Target method</v>
          </cell>
          <cell r="KA4" t="str">
            <v>Target amount</v>
          </cell>
          <cell r="KB4" t="str">
            <v>Comments</v>
          </cell>
          <cell r="KC4" t="str">
            <v>Allowed emissions</v>
          </cell>
          <cell r="KD4" t="str">
            <v>Target method</v>
          </cell>
          <cell r="KE4" t="str">
            <v>Target amount</v>
          </cell>
          <cell r="KF4" t="str">
            <v>Comments</v>
          </cell>
          <cell r="KG4" t="str">
            <v>Allowed emissions</v>
          </cell>
          <cell r="KH4" t="str">
            <v>Target method</v>
          </cell>
          <cell r="KI4" t="str">
            <v>Target amount</v>
          </cell>
          <cell r="KJ4" t="str">
            <v>Comments</v>
          </cell>
          <cell r="KK4" t="str">
            <v>Allowed emissions</v>
          </cell>
          <cell r="KL4" t="str">
            <v>Target method</v>
          </cell>
          <cell r="KM4" t="str">
            <v>Target amount</v>
          </cell>
          <cell r="KN4" t="str">
            <v>Comments</v>
          </cell>
          <cell r="KO4" t="str">
            <v>Allowed emissions</v>
          </cell>
          <cell r="KP4" t="str">
            <v>Target method</v>
          </cell>
          <cell r="KQ4" t="str">
            <v>Target amount</v>
          </cell>
          <cell r="KR4" t="str">
            <v>Comments</v>
          </cell>
          <cell r="KS4" t="str">
            <v>Allowed emissions</v>
          </cell>
          <cell r="KT4" t="str">
            <v>Target method</v>
          </cell>
          <cell r="KU4" t="str">
            <v>Target amount</v>
          </cell>
          <cell r="KV4" t="str">
            <v>Comments</v>
          </cell>
          <cell r="KW4" t="str">
            <v>Allowed emissions</v>
          </cell>
          <cell r="KX4" t="str">
            <v>Target method</v>
          </cell>
          <cell r="KY4" t="str">
            <v>Target amount</v>
          </cell>
          <cell r="KZ4" t="str">
            <v>Comments</v>
          </cell>
          <cell r="LA4" t="str">
            <v>Allowed emissions</v>
          </cell>
          <cell r="LB4" t="str">
            <v>Target method</v>
          </cell>
          <cell r="LC4" t="str">
            <v>Target amount</v>
          </cell>
          <cell r="LD4" t="str">
            <v>Comments</v>
          </cell>
          <cell r="LE4" t="str">
            <v>Allowed emissions</v>
          </cell>
          <cell r="LF4" t="str">
            <v>Target method</v>
          </cell>
          <cell r="LG4" t="str">
            <v>Target amount</v>
          </cell>
          <cell r="LH4" t="str">
            <v>Comments</v>
          </cell>
          <cell r="LI4" t="str">
            <v>Allowed emissions</v>
          </cell>
          <cell r="LJ4" t="str">
            <v>Target method</v>
          </cell>
          <cell r="LK4" t="str">
            <v>Target amount</v>
          </cell>
          <cell r="LL4" t="str">
            <v>Comments</v>
          </cell>
          <cell r="LM4" t="str">
            <v>Allowed emissions</v>
          </cell>
          <cell r="LN4" t="str">
            <v>Target method</v>
          </cell>
          <cell r="LO4" t="str">
            <v>Target amount</v>
          </cell>
          <cell r="LP4" t="str">
            <v>Comments</v>
          </cell>
          <cell r="LQ4" t="str">
            <v>Allowed emissions</v>
          </cell>
          <cell r="LR4" t="str">
            <v>Target method</v>
          </cell>
          <cell r="LS4" t="str">
            <v>Target amount</v>
          </cell>
          <cell r="LT4" t="str">
            <v>Comments</v>
          </cell>
          <cell r="LU4" t="str">
            <v>Allowed emissions</v>
          </cell>
          <cell r="LV4" t="str">
            <v>Target method</v>
          </cell>
          <cell r="LW4" t="str">
            <v>Target amount</v>
          </cell>
          <cell r="LX4" t="str">
            <v>Comments</v>
          </cell>
          <cell r="LY4" t="str">
            <v>Allowed emissions</v>
          </cell>
          <cell r="LZ4" t="str">
            <v>Target method</v>
          </cell>
          <cell r="MA4" t="str">
            <v>Target amount</v>
          </cell>
          <cell r="MB4" t="str">
            <v>Comments</v>
          </cell>
          <cell r="MC4" t="str">
            <v>Allowed emissions</v>
          </cell>
          <cell r="MD4" t="str">
            <v>Target method</v>
          </cell>
          <cell r="ME4" t="str">
            <v>Target amount</v>
          </cell>
          <cell r="MF4" t="str">
            <v>Comments</v>
          </cell>
          <cell r="MG4" t="str">
            <v>Allowed emissions</v>
          </cell>
          <cell r="MH4" t="str">
            <v>Target method</v>
          </cell>
          <cell r="MI4" t="str">
            <v>Target amount</v>
          </cell>
          <cell r="MJ4" t="str">
            <v>Comments</v>
          </cell>
          <cell r="MK4" t="str">
            <v>Allowed emissions</v>
          </cell>
          <cell r="ML4" t="str">
            <v>Target method</v>
          </cell>
          <cell r="MM4" t="str">
            <v>Target amount</v>
          </cell>
          <cell r="MN4" t="str">
            <v>Comments</v>
          </cell>
          <cell r="MO4" t="str">
            <v>Allowed emissions</v>
          </cell>
          <cell r="MP4" t="str">
            <v>Target method</v>
          </cell>
          <cell r="MQ4" t="str">
            <v>Target amount</v>
          </cell>
          <cell r="MR4" t="str">
            <v>Comments</v>
          </cell>
          <cell r="MS4" t="str">
            <v>Allowed emissions</v>
          </cell>
          <cell r="MT4" t="str">
            <v>Target method</v>
          </cell>
          <cell r="MU4" t="str">
            <v>Target amount</v>
          </cell>
          <cell r="MV4" t="str">
            <v>Comments</v>
          </cell>
          <cell r="MW4" t="str">
            <v>Allowed emissions</v>
          </cell>
          <cell r="MX4" t="str">
            <v>Target method</v>
          </cell>
          <cell r="MY4" t="str">
            <v>Target amount</v>
          </cell>
          <cell r="MZ4" t="str">
            <v>Comments</v>
          </cell>
          <cell r="NA4" t="str">
            <v>Allowed emissions</v>
          </cell>
          <cell r="NB4" t="str">
            <v>Target method</v>
          </cell>
          <cell r="NC4" t="str">
            <v>Target amount</v>
          </cell>
          <cell r="ND4" t="str">
            <v>Comments</v>
          </cell>
          <cell r="NE4" t="str">
            <v>Allowed emissions</v>
          </cell>
          <cell r="NF4" t="str">
            <v>Target method</v>
          </cell>
          <cell r="NG4" t="str">
            <v>Target amount</v>
          </cell>
          <cell r="NH4" t="str">
            <v>Comments</v>
          </cell>
          <cell r="NI4" t="str">
            <v>Allowed emissions</v>
          </cell>
          <cell r="NJ4" t="str">
            <v>Target method</v>
          </cell>
          <cell r="NK4" t="str">
            <v>Target amount</v>
          </cell>
          <cell r="NL4" t="str">
            <v>Comments</v>
          </cell>
          <cell r="NM4" t="str">
            <v>Allowed emissions</v>
          </cell>
          <cell r="NN4" t="str">
            <v>Target method</v>
          </cell>
          <cell r="NO4" t="str">
            <v>Target amount</v>
          </cell>
          <cell r="NP4" t="str">
            <v>Comments</v>
          </cell>
          <cell r="NQ4" t="str">
            <v>Allowed emissions</v>
          </cell>
          <cell r="NR4" t="str">
            <v>Target method</v>
          </cell>
          <cell r="NS4" t="str">
            <v>Target amount</v>
          </cell>
          <cell r="NT4" t="str">
            <v>Comments</v>
          </cell>
          <cell r="NU4" t="str">
            <v>Allowed emissions</v>
          </cell>
          <cell r="NV4" t="str">
            <v>Target method</v>
          </cell>
          <cell r="NW4" t="str">
            <v>Target amount</v>
          </cell>
          <cell r="NX4" t="str">
            <v>Comments</v>
          </cell>
          <cell r="NY4" t="str">
            <v>Allowed emissions</v>
          </cell>
          <cell r="NZ4" t="str">
            <v>Target method</v>
          </cell>
          <cell r="OA4" t="str">
            <v>Target amount</v>
          </cell>
          <cell r="OB4" t="str">
            <v>Comments</v>
          </cell>
          <cell r="OC4" t="str">
            <v>Allowed emissions</v>
          </cell>
          <cell r="OD4" t="str">
            <v>Target method</v>
          </cell>
          <cell r="OE4" t="str">
            <v>Target amount</v>
          </cell>
          <cell r="OF4" t="str">
            <v>Comments</v>
          </cell>
          <cell r="OG4" t="str">
            <v>Allowed emissions</v>
          </cell>
          <cell r="OH4" t="str">
            <v>Target method</v>
          </cell>
          <cell r="OI4" t="str">
            <v>Target amount</v>
          </cell>
          <cell r="OJ4" t="str">
            <v>Comments</v>
          </cell>
          <cell r="OK4" t="str">
            <v>Allowed emissions</v>
          </cell>
          <cell r="OL4" t="str">
            <v>Target method</v>
          </cell>
          <cell r="OM4" t="str">
            <v>Target amount</v>
          </cell>
          <cell r="ON4" t="str">
            <v>Comments</v>
          </cell>
          <cell r="OO4" t="str">
            <v>Allowed emissions</v>
          </cell>
          <cell r="OP4" t="str">
            <v>Target method</v>
          </cell>
          <cell r="OQ4" t="str">
            <v>Target amount</v>
          </cell>
          <cell r="OR4" t="str">
            <v>Comments</v>
          </cell>
          <cell r="OS4" t="str">
            <v>Allowed emissions</v>
          </cell>
          <cell r="OT4" t="str">
            <v>Target method</v>
          </cell>
          <cell r="OU4" t="str">
            <v>Target amount</v>
          </cell>
          <cell r="OV4" t="str">
            <v>Comments</v>
          </cell>
          <cell r="OW4" t="str">
            <v>Allowed emissions</v>
          </cell>
          <cell r="OX4" t="str">
            <v>Target method</v>
          </cell>
          <cell r="OY4" t="str">
            <v>Target amount</v>
          </cell>
          <cell r="OZ4" t="str">
            <v>Comments</v>
          </cell>
          <cell r="PA4" t="str">
            <v>Allowed emissions</v>
          </cell>
          <cell r="PB4" t="str">
            <v>Target method</v>
          </cell>
          <cell r="PC4" t="str">
            <v>Target amount</v>
          </cell>
          <cell r="PD4" t="str">
            <v>Comments</v>
          </cell>
          <cell r="PE4" t="str">
            <v>Allowed emissions</v>
          </cell>
          <cell r="PF4" t="str">
            <v>Target method</v>
          </cell>
          <cell r="PG4" t="str">
            <v>Target amount</v>
          </cell>
          <cell r="PH4" t="str">
            <v>Comments</v>
          </cell>
          <cell r="PI4" t="str">
            <v>Allowed emissions</v>
          </cell>
          <cell r="PJ4" t="str">
            <v>Target method</v>
          </cell>
          <cell r="PK4" t="str">
            <v>Target amount</v>
          </cell>
          <cell r="PL4" t="str">
            <v>Comments</v>
          </cell>
          <cell r="PM4" t="str">
            <v>Allowed emissions</v>
          </cell>
          <cell r="PN4" t="str">
            <v>Target method</v>
          </cell>
          <cell r="PO4" t="str">
            <v>Target amount</v>
          </cell>
          <cell r="PP4" t="str">
            <v>Comments</v>
          </cell>
          <cell r="PQ4" t="str">
            <v>Allowed emissions</v>
          </cell>
          <cell r="PR4" t="str">
            <v>Target method</v>
          </cell>
          <cell r="PS4" t="str">
            <v>Target amount</v>
          </cell>
          <cell r="PT4" t="str">
            <v>Comments</v>
          </cell>
          <cell r="PU4" t="str">
            <v>Allowed emissions</v>
          </cell>
          <cell r="PV4" t="str">
            <v>Target method</v>
          </cell>
          <cell r="PW4" t="str">
            <v>Target amount</v>
          </cell>
          <cell r="PX4" t="str">
            <v>Comments</v>
          </cell>
          <cell r="PY4" t="str">
            <v>Allowed emissions</v>
          </cell>
          <cell r="PZ4" t="str">
            <v>Target method</v>
          </cell>
          <cell r="QA4" t="str">
            <v>Target amount</v>
          </cell>
          <cell r="QB4" t="str">
            <v>Comments</v>
          </cell>
          <cell r="QC4" t="str">
            <v>Allowed emissions</v>
          </cell>
          <cell r="QD4" t="str">
            <v>Target method</v>
          </cell>
          <cell r="QE4" t="str">
            <v>Target amount</v>
          </cell>
          <cell r="QF4" t="str">
            <v>Comments</v>
          </cell>
          <cell r="QG4" t="str">
            <v>Allowed emissions</v>
          </cell>
          <cell r="QH4" t="str">
            <v>Target method</v>
          </cell>
          <cell r="QI4" t="str">
            <v>Target amount</v>
          </cell>
          <cell r="QJ4" t="str">
            <v>Comments</v>
          </cell>
          <cell r="QK4" t="str">
            <v>Allowed emissions</v>
          </cell>
          <cell r="QL4" t="str">
            <v>Target method</v>
          </cell>
          <cell r="QM4" t="str">
            <v>Target amount</v>
          </cell>
          <cell r="QN4" t="str">
            <v>Comments</v>
          </cell>
          <cell r="QO4" t="str">
            <v>Allowed emissions</v>
          </cell>
          <cell r="QP4" t="str">
            <v>Target method</v>
          </cell>
          <cell r="QQ4" t="str">
            <v>Target amount</v>
          </cell>
          <cell r="QR4" t="str">
            <v>Comments</v>
          </cell>
          <cell r="QS4" t="str">
            <v>Allowed emissions</v>
          </cell>
          <cell r="QT4" t="str">
            <v>Target method</v>
          </cell>
          <cell r="QU4" t="str">
            <v>Target amount</v>
          </cell>
          <cell r="QV4" t="str">
            <v>Comments</v>
          </cell>
          <cell r="QW4" t="str">
            <v>Allowed emissions</v>
          </cell>
          <cell r="QX4" t="str">
            <v>Target method</v>
          </cell>
          <cell r="QY4" t="str">
            <v>Target amount</v>
          </cell>
          <cell r="QZ4" t="str">
            <v>Comments</v>
          </cell>
          <cell r="RA4" t="str">
            <v>Allowed emissions</v>
          </cell>
          <cell r="RB4" t="str">
            <v>Target method</v>
          </cell>
          <cell r="RC4" t="str">
            <v>Target amount</v>
          </cell>
          <cell r="RD4" t="str">
            <v>Comments</v>
          </cell>
          <cell r="RE4" t="str">
            <v>Allowed emissions</v>
          </cell>
          <cell r="RF4" t="str">
            <v>Target method</v>
          </cell>
          <cell r="RG4" t="str">
            <v>Target amount</v>
          </cell>
          <cell r="RH4" t="str">
            <v>Comments</v>
          </cell>
          <cell r="RI4" t="str">
            <v>Allowed emissions</v>
          </cell>
          <cell r="RJ4" t="str">
            <v>Target method</v>
          </cell>
          <cell r="RK4" t="str">
            <v>Target amount</v>
          </cell>
          <cell r="RL4" t="str">
            <v>Comments</v>
          </cell>
          <cell r="RM4" t="str">
            <v>Allowed emissions</v>
          </cell>
          <cell r="RN4" t="str">
            <v>Target method</v>
          </cell>
          <cell r="RO4" t="str">
            <v>Target amount</v>
          </cell>
          <cell r="RP4" t="str">
            <v>Comments</v>
          </cell>
          <cell r="RQ4" t="str">
            <v>Allowed emissions</v>
          </cell>
          <cell r="RR4" t="str">
            <v>Target method</v>
          </cell>
          <cell r="RS4" t="str">
            <v>Target amount</v>
          </cell>
          <cell r="RT4" t="str">
            <v>Comments</v>
          </cell>
          <cell r="RU4" t="str">
            <v>Allowed emissions</v>
          </cell>
        </row>
        <row r="5">
          <cell r="A5" t="str">
            <v>Total emissions</v>
          </cell>
          <cell r="D5">
            <v>0</v>
          </cell>
          <cell r="E5">
            <v>40006.109346457626</v>
          </cell>
          <cell r="H5">
            <v>0</v>
          </cell>
          <cell r="I5">
            <v>51530.383976094476</v>
          </cell>
          <cell r="L5">
            <v>0</v>
          </cell>
          <cell r="M5">
            <v>57151.429452109209</v>
          </cell>
          <cell r="P5">
            <v>0</v>
          </cell>
          <cell r="Q5">
            <v>56318.522683310381</v>
          </cell>
          <cell r="T5">
            <v>0</v>
          </cell>
          <cell r="U5">
            <v>50268.011294531694</v>
          </cell>
          <cell r="X5">
            <v>0</v>
          </cell>
          <cell r="Y5">
            <v>45859.840823340288</v>
          </cell>
          <cell r="AB5">
            <v>0</v>
          </cell>
          <cell r="AC5">
            <v>40999.999728369585</v>
          </cell>
          <cell r="AF5">
            <v>0</v>
          </cell>
          <cell r="AG5">
            <v>52000.000096487871</v>
          </cell>
          <cell r="AJ5">
            <v>0</v>
          </cell>
          <cell r="AK5">
            <v>56289.631104636064</v>
          </cell>
          <cell r="AN5">
            <v>0</v>
          </cell>
          <cell r="AO5">
            <v>55456.724335837236</v>
          </cell>
          <cell r="AR5">
            <v>0</v>
          </cell>
          <cell r="AS5">
            <v>49643.011305975786</v>
          </cell>
          <cell r="AV5">
            <v>0</v>
          </cell>
          <cell r="AW5">
            <v>45249.871630835405</v>
          </cell>
          <cell r="BA5">
            <v>63151.637438940888</v>
          </cell>
          <cell r="BE5">
            <v>58986.435221340587</v>
          </cell>
          <cell r="BI5">
            <v>59519.435221340587</v>
          </cell>
          <cell r="BM5">
            <v>55292.030003012638</v>
          </cell>
          <cell r="BQ5">
            <v>57696.030003012638</v>
          </cell>
          <cell r="BU5">
            <v>55476.132050326341</v>
          </cell>
          <cell r="BY5">
            <v>50439.713234794894</v>
          </cell>
          <cell r="CC5">
            <v>62090.049824840593</v>
          </cell>
          <cell r="CG5">
            <v>62090.049824840593</v>
          </cell>
          <cell r="CK5">
            <v>56454.52190355194</v>
          </cell>
          <cell r="CO5">
            <v>50404.01052262116</v>
          </cell>
          <cell r="CS5">
            <v>50404.01052262116</v>
          </cell>
          <cell r="CW5">
            <v>55752.580849120692</v>
          </cell>
          <cell r="DA5">
            <v>50147.943247486779</v>
          </cell>
          <cell r="DE5">
            <v>50698.67551864039</v>
          </cell>
          <cell r="DI5">
            <v>55718.957071690318</v>
          </cell>
          <cell r="DM5">
            <v>57647.030003012638</v>
          </cell>
          <cell r="DQ5">
            <v>56943.030003012638</v>
          </cell>
          <cell r="DU5">
            <v>58939.349791170025</v>
          </cell>
          <cell r="DY5">
            <v>58380.349791170025</v>
          </cell>
          <cell r="EC5">
            <v>55572.731750108331</v>
          </cell>
          <cell r="EG5">
            <v>52068.727954900634</v>
          </cell>
          <cell r="EK5">
            <v>64652.203048243857</v>
          </cell>
          <cell r="EO5">
            <v>60610.202647349375</v>
          </cell>
          <cell r="ES5">
            <v>60051.202647349375</v>
          </cell>
          <cell r="EW5">
            <v>42000</v>
          </cell>
          <cell r="FA5">
            <v>47000</v>
          </cell>
          <cell r="FE5">
            <v>52000</v>
          </cell>
          <cell r="FI5">
            <v>56157.459906687938</v>
          </cell>
          <cell r="FM5">
            <v>52492.70427525686</v>
          </cell>
          <cell r="FQ5">
            <v>58106.337053963056</v>
          </cell>
          <cell r="FU5">
            <v>57377.341258089378</v>
          </cell>
          <cell r="FY5">
            <v>57052.733723507525</v>
          </cell>
          <cell r="GC5">
            <v>53240.36868082107</v>
          </cell>
          <cell r="GG5">
            <v>50587.667859898218</v>
          </cell>
          <cell r="GK5">
            <v>43992.768617497095</v>
          </cell>
          <cell r="GO5">
            <v>40911.420320286372</v>
          </cell>
          <cell r="GS5">
            <v>51548.052484481501</v>
          </cell>
          <cell r="GW5">
            <v>46153.219544093736</v>
          </cell>
          <cell r="HA5">
            <v>59457.671475169846</v>
          </cell>
          <cell r="HE5">
            <v>56789.830639081214</v>
          </cell>
          <cell r="HI5">
            <v>59693.181785568835</v>
          </cell>
          <cell r="HM5">
            <v>57025.340949480211</v>
          </cell>
          <cell r="HQ5">
            <v>53268.206450039754</v>
          </cell>
          <cell r="HU5">
            <v>58375.293198634252</v>
          </cell>
          <cell r="HY5">
            <v>58375.293198634252</v>
          </cell>
          <cell r="IC5">
            <v>59137.830639081214</v>
          </cell>
          <cell r="IG5">
            <v>56888.830639081214</v>
          </cell>
          <cell r="IK5">
            <v>51943.718101639402</v>
          </cell>
          <cell r="IO5">
            <v>59245.408294962574</v>
          </cell>
          <cell r="IS5">
            <v>54983.567458873942</v>
          </cell>
          <cell r="IW5">
            <v>56830.106432072243</v>
          </cell>
          <cell r="JA5">
            <v>51601.175199575628</v>
          </cell>
          <cell r="JE5">
            <v>58886.011042991508</v>
          </cell>
          <cell r="JI5">
            <v>56642.011042991508</v>
          </cell>
          <cell r="JM5">
            <v>54892.011042991508</v>
          </cell>
          <cell r="JQ5">
            <v>58285.106432072243</v>
          </cell>
          <cell r="JU5">
            <v>51546.175199575628</v>
          </cell>
          <cell r="JY5">
            <v>59135.123261352033</v>
          </cell>
          <cell r="KC5">
            <v>54748.282425263402</v>
          </cell>
          <cell r="KG5">
            <v>58935.011042991508</v>
          </cell>
          <cell r="KK5">
            <v>56673.011042991508</v>
          </cell>
          <cell r="KO5">
            <v>54923.011042991508</v>
          </cell>
          <cell r="KS5">
            <v>53446.275152795002</v>
          </cell>
          <cell r="KW5">
            <v>57511.280881493985</v>
          </cell>
          <cell r="LA5">
            <v>51029.952798411439</v>
          </cell>
          <cell r="LE5">
            <v>57833.115988883634</v>
          </cell>
          <cell r="LI5">
            <v>61020.456124999997</v>
          </cell>
          <cell r="LM5">
            <v>61050.456124999997</v>
          </cell>
          <cell r="LQ5">
            <v>60836.456124999997</v>
          </cell>
          <cell r="LU5">
            <v>53990.456124999997</v>
          </cell>
          <cell r="LY5">
            <v>53342.456124999997</v>
          </cell>
          <cell r="MC5">
            <v>60705.456124999997</v>
          </cell>
          <cell r="MG5">
            <v>53708.456124999997</v>
          </cell>
          <cell r="MK5">
            <v>51584.456124999997</v>
          </cell>
          <cell r="MO5">
            <v>59882.456124999997</v>
          </cell>
          <cell r="MS5">
            <v>52221.456124999997</v>
          </cell>
          <cell r="MW5">
            <v>51584.456124999997</v>
          </cell>
          <cell r="NA5">
            <v>56899.305087657805</v>
          </cell>
          <cell r="NE5">
            <v>52678.305087657805</v>
          </cell>
          <cell r="NI5">
            <v>56167.456124999997</v>
          </cell>
          <cell r="NM5">
            <v>55344.456124999997</v>
          </cell>
          <cell r="NQ5">
            <v>56157.966124999999</v>
          </cell>
          <cell r="NU5">
            <v>52790.456124999997</v>
          </cell>
          <cell r="NY5">
            <v>60696.966124999999</v>
          </cell>
          <cell r="OC5">
            <v>57008.456124999997</v>
          </cell>
          <cell r="OG5">
            <v>52153.456124999997</v>
          </cell>
          <cell r="OK5">
            <v>53350.831798873922</v>
          </cell>
          <cell r="OO5">
            <v>51433.326003000249</v>
          </cell>
          <cell r="OS5">
            <v>56209.831798873922</v>
          </cell>
          <cell r="OW5">
            <v>53416.456124999997</v>
          </cell>
          <cell r="PA5">
            <v>56151.966124999999</v>
          </cell>
          <cell r="PE5">
            <v>60689.966124999999</v>
          </cell>
          <cell r="PI5">
            <v>57642.456124999997</v>
          </cell>
          <cell r="PM5">
            <v>52521.456124999997</v>
          </cell>
          <cell r="PQ5">
            <v>56629.966124999999</v>
          </cell>
          <cell r="PU5">
            <v>53882.456124999997</v>
          </cell>
          <cell r="PY5">
            <v>61167.966124999999</v>
          </cell>
          <cell r="QC5">
            <v>58127.456124999997</v>
          </cell>
          <cell r="QG5">
            <v>53015.456124999997</v>
          </cell>
          <cell r="QK5">
            <v>54228.456124999997</v>
          </cell>
          <cell r="QO5">
            <v>58473.456124999997</v>
          </cell>
          <cell r="QS5">
            <v>56246.829454953746</v>
          </cell>
          <cell r="QW5">
            <v>52966.269556670639</v>
          </cell>
          <cell r="RA5">
            <v>51804.326003000249</v>
          </cell>
          <cell r="RE5">
            <v>56630.456124999997</v>
          </cell>
          <cell r="RI5">
            <v>54257.456124999997</v>
          </cell>
          <cell r="RM5">
            <v>61168.456124999997</v>
          </cell>
          <cell r="RQ5">
            <v>58473.456124999997</v>
          </cell>
          <cell r="RU5">
            <v>53015.456124999997</v>
          </cell>
        </row>
        <row r="6">
          <cell r="A6" t="str">
            <v>OECD</v>
          </cell>
          <cell r="BA6">
            <v>16780.982145809823</v>
          </cell>
          <cell r="BE6">
            <v>12584.246934309524</v>
          </cell>
          <cell r="BI6">
            <v>13104.246934309524</v>
          </cell>
          <cell r="BM6">
            <v>12584.246934309524</v>
          </cell>
          <cell r="BQ6">
            <v>13104.246934309524</v>
          </cell>
          <cell r="BU6">
            <v>12026.832912210988</v>
          </cell>
          <cell r="BY6">
            <v>11209.176704391164</v>
          </cell>
          <cell r="CC6">
            <v>15719.394531709528</v>
          </cell>
          <cell r="CG6">
            <v>15719.394531709528</v>
          </cell>
          <cell r="CK6">
            <v>12864.397744072612</v>
          </cell>
          <cell r="CO6">
            <v>11026.511708371931</v>
          </cell>
          <cell r="CS6">
            <v>11026.511708371931</v>
          </cell>
          <cell r="CW6">
            <v>12162.456689641362</v>
          </cell>
          <cell r="DA6">
            <v>10770.444433237553</v>
          </cell>
          <cell r="DE6">
            <v>11321.176704391164</v>
          </cell>
          <cell r="DI6">
            <v>12128.832912210988</v>
          </cell>
          <cell r="DM6">
            <v>13104.246934309524</v>
          </cell>
          <cell r="DQ6">
            <v>12584.246934309524</v>
          </cell>
          <cell r="DU6">
            <v>12703.643102277858</v>
          </cell>
          <cell r="DY6">
            <v>12315.643102277858</v>
          </cell>
          <cell r="EC6">
            <v>12067.549850442992</v>
          </cell>
          <cell r="EG6">
            <v>11154.993711630859</v>
          </cell>
          <cell r="EK6">
            <v>16705.982193979697</v>
          </cell>
          <cell r="EO6">
            <v>12729.027720226019</v>
          </cell>
          <cell r="ES6">
            <v>12341.027720226</v>
          </cell>
          <cell r="EW6">
            <v>10038.407735753088</v>
          </cell>
          <cell r="FA6">
            <v>11358.373687684594</v>
          </cell>
          <cell r="FE6">
            <v>12730.93590147087</v>
          </cell>
          <cell r="FI6">
            <v>12059.475347301322</v>
          </cell>
          <cell r="FM6">
            <v>10897.580383098946</v>
          </cell>
          <cell r="FQ6">
            <v>11979.002962928329</v>
          </cell>
          <cell r="FU6">
            <v>11487.002962928329</v>
          </cell>
          <cell r="FY6">
            <v>11927.511152629599</v>
          </cell>
          <cell r="GC6">
            <v>10717.430792217001</v>
          </cell>
          <cell r="GG6">
            <v>9697.5707916066494</v>
          </cell>
          <cell r="GK6">
            <v>9580.6500381276455</v>
          </cell>
          <cell r="GO6">
            <v>9717.3529937209751</v>
          </cell>
          <cell r="GS6">
            <v>12591.362194837446</v>
          </cell>
          <cell r="GW6">
            <v>11102.953436203357</v>
          </cell>
          <cell r="HA6">
            <v>11651.725135327428</v>
          </cell>
          <cell r="HE6">
            <v>11263.725135327428</v>
          </cell>
          <cell r="HI6">
            <v>11887.235445726419</v>
          </cell>
          <cell r="HM6">
            <v>11499.235445726419</v>
          </cell>
          <cell r="HQ6">
            <v>10875.527520347387</v>
          </cell>
          <cell r="HU6">
            <v>11407.733989273413</v>
          </cell>
          <cell r="HY6">
            <v>11407.733989273413</v>
          </cell>
          <cell r="IC6">
            <v>11652.725135327428</v>
          </cell>
          <cell r="IG6">
            <v>11402.725135327428</v>
          </cell>
          <cell r="IK6">
            <v>10865.613609775191</v>
          </cell>
          <cell r="IO6">
            <v>11444.725135327428</v>
          </cell>
          <cell r="IS6">
            <v>11046.725135327428</v>
          </cell>
          <cell r="IW6">
            <v>11372.689214694528</v>
          </cell>
          <cell r="JA6">
            <v>10856.613609775191</v>
          </cell>
          <cell r="JE6">
            <v>11442.725135327428</v>
          </cell>
          <cell r="JI6">
            <v>11179.725135327428</v>
          </cell>
          <cell r="JM6">
            <v>11179.725135327428</v>
          </cell>
          <cell r="JQ6">
            <v>11373.689214694528</v>
          </cell>
          <cell r="JU6">
            <v>10858.613609775191</v>
          </cell>
          <cell r="JY6">
            <v>11442.725135327428</v>
          </cell>
          <cell r="KC6">
            <v>11043.725135327428</v>
          </cell>
          <cell r="KG6">
            <v>11442.725135327428</v>
          </cell>
          <cell r="KK6">
            <v>11179.725135327428</v>
          </cell>
          <cell r="KO6">
            <v>11179.725135327428</v>
          </cell>
          <cell r="KS6">
            <v>11043.725135327428</v>
          </cell>
          <cell r="KW6">
            <v>11373.689214694528</v>
          </cell>
          <cell r="LA6">
            <v>10858.613609775191</v>
          </cell>
          <cell r="LE6">
            <v>11442.725135327428</v>
          </cell>
          <cell r="LI6">
            <v>11709</v>
          </cell>
          <cell r="LM6">
            <v>11711</v>
          </cell>
          <cell r="LQ6">
            <v>11710</v>
          </cell>
          <cell r="LU6">
            <v>11458</v>
          </cell>
          <cell r="LY6">
            <v>11458</v>
          </cell>
          <cell r="MC6">
            <v>11699</v>
          </cell>
          <cell r="MG6">
            <v>11447</v>
          </cell>
          <cell r="MK6">
            <v>11311</v>
          </cell>
          <cell r="MO6">
            <v>11699</v>
          </cell>
          <cell r="MS6">
            <v>11311</v>
          </cell>
          <cell r="MW6">
            <v>11311</v>
          </cell>
          <cell r="NA6">
            <v>11699</v>
          </cell>
          <cell r="NE6">
            <v>11447</v>
          </cell>
          <cell r="NI6">
            <v>11699</v>
          </cell>
          <cell r="NM6">
            <v>11699</v>
          </cell>
          <cell r="NQ6">
            <v>11699</v>
          </cell>
          <cell r="NU6">
            <v>11311</v>
          </cell>
          <cell r="NY6">
            <v>11699</v>
          </cell>
          <cell r="OC6">
            <v>11311</v>
          </cell>
          <cell r="OG6">
            <v>11311</v>
          </cell>
          <cell r="OK6">
            <v>11426.725135327428</v>
          </cell>
          <cell r="OO6">
            <v>11038.725135327428</v>
          </cell>
          <cell r="OS6">
            <v>11426.725135327428</v>
          </cell>
          <cell r="OW6">
            <v>11440</v>
          </cell>
          <cell r="PA6">
            <v>11701</v>
          </cell>
          <cell r="PE6">
            <v>11701</v>
          </cell>
          <cell r="PI6">
            <v>11450</v>
          </cell>
          <cell r="PM6">
            <v>11304</v>
          </cell>
          <cell r="PQ6">
            <v>11725</v>
          </cell>
          <cell r="PU6">
            <v>11464</v>
          </cell>
          <cell r="PY6">
            <v>11725</v>
          </cell>
          <cell r="QC6">
            <v>11464</v>
          </cell>
          <cell r="QG6">
            <v>11328</v>
          </cell>
          <cell r="QK6">
            <v>11464</v>
          </cell>
          <cell r="QO6">
            <v>11464</v>
          </cell>
          <cell r="QS6">
            <v>11725</v>
          </cell>
          <cell r="QW6">
            <v>11191.725135327428</v>
          </cell>
          <cell r="RA6">
            <v>11055.725135327428</v>
          </cell>
          <cell r="RE6">
            <v>11725</v>
          </cell>
          <cell r="RI6">
            <v>11464</v>
          </cell>
          <cell r="RM6">
            <v>11725</v>
          </cell>
          <cell r="RQ6">
            <v>11464</v>
          </cell>
          <cell r="RU6">
            <v>11328</v>
          </cell>
        </row>
        <row r="7">
          <cell r="A7" t="str">
            <v>EU</v>
          </cell>
          <cell r="B7" t="str">
            <v>Abatement amount</v>
          </cell>
          <cell r="C7">
            <v>1581.9725341796875</v>
          </cell>
          <cell r="D7">
            <v>0</v>
          </cell>
          <cell r="E7">
            <v>2614.5034957682965</v>
          </cell>
          <cell r="F7" t="str">
            <v>Abatement amount</v>
          </cell>
          <cell r="G7">
            <v>912.273193359375</v>
          </cell>
          <cell r="I7">
            <v>3284.202836588609</v>
          </cell>
          <cell r="J7" t="str">
            <v>Abatement amount</v>
          </cell>
          <cell r="K7">
            <v>458.03262329101563</v>
          </cell>
          <cell r="M7">
            <v>3738.4434066569684</v>
          </cell>
          <cell r="N7" t="str">
            <v>Abatement amount</v>
          </cell>
          <cell r="O7">
            <v>873.41522216796875</v>
          </cell>
          <cell r="Q7">
            <v>3323.0608077800152</v>
          </cell>
          <cell r="R7" t="str">
            <v>Abatement amount</v>
          </cell>
          <cell r="S7">
            <v>1427.2586669921875</v>
          </cell>
          <cell r="U7">
            <v>2769.2173629557965</v>
          </cell>
          <cell r="V7" t="str">
            <v>Abatement amount</v>
          </cell>
          <cell r="W7">
            <v>1427.2586669921875</v>
          </cell>
          <cell r="Y7">
            <v>2769.2173629557965</v>
          </cell>
          <cell r="Z7" t="str">
            <v>Abatement amount</v>
          </cell>
          <cell r="AA7">
            <v>1791.62060546875</v>
          </cell>
          <cell r="AC7">
            <v>2404.855424479234</v>
          </cell>
          <cell r="AD7" t="str">
            <v>Abatement amount</v>
          </cell>
          <cell r="AE7">
            <v>875.40814208984375</v>
          </cell>
          <cell r="AG7">
            <v>3321.0678878581402</v>
          </cell>
          <cell r="AH7" t="str">
            <v>Abatement amount</v>
          </cell>
          <cell r="AI7">
            <v>695.86967184843888</v>
          </cell>
          <cell r="AK7">
            <v>3500.6063580995451</v>
          </cell>
          <cell r="AL7" t="str">
            <v>Abatement amount</v>
          </cell>
          <cell r="AM7">
            <v>1111.252270725392</v>
          </cell>
          <cell r="AO7">
            <v>3085.223759222592</v>
          </cell>
          <cell r="AP7" t="str">
            <v>Abatement amount</v>
          </cell>
          <cell r="AQ7">
            <v>1665.0957155496108</v>
          </cell>
          <cell r="AS7">
            <v>2531.3803143983732</v>
          </cell>
          <cell r="AT7" t="str">
            <v>Abatement amount</v>
          </cell>
          <cell r="AU7">
            <v>1665.0957155496108</v>
          </cell>
          <cell r="AW7">
            <v>2531.3803143983732</v>
          </cell>
          <cell r="AX7" t="str">
            <v>Emissions amount</v>
          </cell>
          <cell r="AY7">
            <v>4196.476029947984</v>
          </cell>
          <cell r="BA7">
            <v>4196.476029947984</v>
          </cell>
          <cell r="BB7" t="str">
            <v>Emissions amount</v>
          </cell>
          <cell r="BC7">
            <v>3241</v>
          </cell>
          <cell r="BE7">
            <v>3241</v>
          </cell>
          <cell r="BF7" t="str">
            <v>Emissions amount</v>
          </cell>
          <cell r="BG7">
            <v>3241</v>
          </cell>
          <cell r="BI7">
            <v>3241</v>
          </cell>
          <cell r="BJ7" t="str">
            <v>Emissions amount</v>
          </cell>
          <cell r="BK7">
            <v>3241</v>
          </cell>
          <cell r="BM7">
            <v>3241</v>
          </cell>
          <cell r="BN7" t="str">
            <v>Emissions amount</v>
          </cell>
          <cell r="BO7">
            <v>3241</v>
          </cell>
          <cell r="BQ7">
            <v>3241</v>
          </cell>
          <cell r="BR7" t="str">
            <v>Emissions amount</v>
          </cell>
          <cell r="BS7">
            <v>3240</v>
          </cell>
          <cell r="BU7">
            <v>3240</v>
          </cell>
          <cell r="BV7" t="str">
            <v>Emissions amount</v>
          </cell>
          <cell r="BW7">
            <v>3240</v>
          </cell>
          <cell r="BY7">
            <v>3240</v>
          </cell>
          <cell r="BZ7" t="str">
            <v>Emissions amount</v>
          </cell>
          <cell r="CA7">
            <v>3240</v>
          </cell>
          <cell r="CC7">
            <v>3240</v>
          </cell>
          <cell r="CD7" t="str">
            <v>Emissions amount</v>
          </cell>
          <cell r="CE7">
            <v>3240</v>
          </cell>
          <cell r="CG7">
            <v>3240</v>
          </cell>
          <cell r="CH7" t="str">
            <v>Abatement amount</v>
          </cell>
          <cell r="CI7">
            <v>873.41522216796875</v>
          </cell>
          <cell r="CK7">
            <v>3323.0608077800152</v>
          </cell>
          <cell r="CL7" t="str">
            <v>Abatement amount</v>
          </cell>
          <cell r="CM7">
            <v>1427.2586669921875</v>
          </cell>
          <cell r="CO7">
            <v>2769.2173629557965</v>
          </cell>
          <cell r="CP7" t="str">
            <v>Abatement amount</v>
          </cell>
          <cell r="CQ7">
            <v>1427.2586669921875</v>
          </cell>
          <cell r="CS7">
            <v>2769.2173629557965</v>
          </cell>
          <cell r="CT7" t="str">
            <v>Abatement amount</v>
          </cell>
          <cell r="CU7">
            <v>873.41522216796875</v>
          </cell>
          <cell r="CW7">
            <v>3323.0608077800152</v>
          </cell>
          <cell r="CX7" t="str">
            <v>Abatement amount</v>
          </cell>
          <cell r="CY7">
            <v>1427.2586669921875</v>
          </cell>
          <cell r="DA7">
            <v>2769.2173629557965</v>
          </cell>
          <cell r="DB7" t="str">
            <v>Emissions amount</v>
          </cell>
          <cell r="DC7">
            <v>3240</v>
          </cell>
          <cell r="DE7">
            <v>3240</v>
          </cell>
          <cell r="DF7" t="str">
            <v>Emissions amount</v>
          </cell>
          <cell r="DG7">
            <v>3240</v>
          </cell>
          <cell r="DI7">
            <v>3240</v>
          </cell>
          <cell r="DJ7" t="str">
            <v>Emissions amount</v>
          </cell>
          <cell r="DK7">
            <v>3241</v>
          </cell>
          <cell r="DM7">
            <v>3241</v>
          </cell>
          <cell r="DN7" t="str">
            <v>Emissions amount</v>
          </cell>
          <cell r="DO7">
            <v>3241</v>
          </cell>
          <cell r="DQ7">
            <v>3241</v>
          </cell>
          <cell r="DR7" t="str">
            <v>Emissions amount</v>
          </cell>
          <cell r="DS7">
            <v>3192</v>
          </cell>
          <cell r="DU7">
            <v>3192</v>
          </cell>
          <cell r="DV7" t="str">
            <v>Emissions amount</v>
          </cell>
          <cell r="DW7">
            <v>3192</v>
          </cell>
          <cell r="DY7">
            <v>3192</v>
          </cell>
          <cell r="DZ7" t="str">
            <v>Emissions amount</v>
          </cell>
          <cell r="EA7">
            <v>3192</v>
          </cell>
          <cell r="EC7">
            <v>3192</v>
          </cell>
          <cell r="ED7" t="str">
            <v>Emissions amount</v>
          </cell>
          <cell r="EE7">
            <v>3192</v>
          </cell>
          <cell r="EG7">
            <v>3192</v>
          </cell>
          <cell r="EH7" t="str">
            <v>Abatement amount</v>
          </cell>
          <cell r="EI7">
            <v>0</v>
          </cell>
          <cell r="EK7">
            <v>4007.1569046844825</v>
          </cell>
          <cell r="EL7" t="str">
            <v>Emissions amount</v>
          </cell>
          <cell r="EM7">
            <v>3126</v>
          </cell>
          <cell r="EO7">
            <v>3126</v>
          </cell>
          <cell r="EP7" t="str">
            <v>Emissions amount</v>
          </cell>
          <cell r="EQ7">
            <v>3126</v>
          </cell>
          <cell r="ES7">
            <v>3126</v>
          </cell>
          <cell r="ET7" t="str">
            <v>Abatement amount</v>
          </cell>
          <cell r="EU7">
            <v>1417.4935402207805</v>
          </cell>
          <cell r="EW7">
            <v>2589.6633644637022</v>
          </cell>
          <cell r="EX7" t="str">
            <v>Abatement amount</v>
          </cell>
          <cell r="EY7">
            <v>1207.5059985470741</v>
          </cell>
          <cell r="FA7">
            <v>2799.6509061374081</v>
          </cell>
          <cell r="FB7" t="str">
            <v>Abatement amount</v>
          </cell>
          <cell r="FC7">
            <v>902.14085037530094</v>
          </cell>
          <cell r="FE7">
            <v>3105.0160543091815</v>
          </cell>
          <cell r="FF7" t="str">
            <v>Abatement amount</v>
          </cell>
          <cell r="FG7">
            <v>881.3565673828125</v>
          </cell>
          <cell r="FI7">
            <v>3125.80033730167</v>
          </cell>
          <cell r="FJ7" t="str">
            <v>Abatement amount</v>
          </cell>
          <cell r="FK7">
            <v>881.3565673828125</v>
          </cell>
          <cell r="FM7">
            <v>3125.80033730167</v>
          </cell>
          <cell r="FN7" t="str">
            <v>Emissions amount</v>
          </cell>
          <cell r="FO7">
            <v>3126</v>
          </cell>
          <cell r="FQ7">
            <v>3126</v>
          </cell>
          <cell r="FR7" t="str">
            <v>Emissions amount</v>
          </cell>
          <cell r="FS7">
            <v>3126</v>
          </cell>
          <cell r="FU7">
            <v>3126</v>
          </cell>
          <cell r="FV7" t="str">
            <v>Abatement amount</v>
          </cell>
          <cell r="FW7">
            <v>881.3565673828125</v>
          </cell>
          <cell r="FY7">
            <v>3125.80033730167</v>
          </cell>
          <cell r="FZ7" t="str">
            <v>Abatement amount</v>
          </cell>
          <cell r="GA7">
            <v>881.3565673828125</v>
          </cell>
          <cell r="GC7">
            <v>3125.80033730167</v>
          </cell>
          <cell r="GD7" t="str">
            <v>Abatement amount</v>
          </cell>
          <cell r="GE7">
            <v>1438.799072265625</v>
          </cell>
          <cell r="GG7">
            <v>2568.3578324188575</v>
          </cell>
          <cell r="GH7" t="str">
            <v>Abatement amount</v>
          </cell>
          <cell r="GI7">
            <v>1347.38671875</v>
          </cell>
          <cell r="GK7">
            <v>2659.7701859344825</v>
          </cell>
          <cell r="GL7" t="str">
            <v>Abatement amount</v>
          </cell>
          <cell r="GM7">
            <v>1488.0763827853639</v>
          </cell>
          <cell r="GO7">
            <v>2519.0805218991186</v>
          </cell>
          <cell r="GP7" t="str">
            <v>Abatement amount</v>
          </cell>
          <cell r="GQ7">
            <v>935.67247941866117</v>
          </cell>
          <cell r="GS7">
            <v>3071.4844252658213</v>
          </cell>
          <cell r="GT7" t="str">
            <v>Abatement amount</v>
          </cell>
          <cell r="GU7">
            <v>1267.6543734387892</v>
          </cell>
          <cell r="GW7">
            <v>2739.5025312456933</v>
          </cell>
          <cell r="GX7" t="str">
            <v>Emissions amount</v>
          </cell>
          <cell r="GY7">
            <v>3126</v>
          </cell>
          <cell r="HA7">
            <v>3126</v>
          </cell>
          <cell r="HB7" t="str">
            <v>Emissions amount</v>
          </cell>
          <cell r="HC7">
            <v>3126</v>
          </cell>
          <cell r="HE7">
            <v>3126</v>
          </cell>
          <cell r="HF7" t="str">
            <v>Emissions amount</v>
          </cell>
          <cell r="HG7">
            <v>3126</v>
          </cell>
          <cell r="HI7">
            <v>3126</v>
          </cell>
          <cell r="HJ7" t="str">
            <v>Emissions amount</v>
          </cell>
          <cell r="HK7">
            <v>3126</v>
          </cell>
          <cell r="HM7">
            <v>3126</v>
          </cell>
          <cell r="HN7" t="str">
            <v>Abatement amount</v>
          </cell>
          <cell r="HO7">
            <v>881.3565673828125</v>
          </cell>
          <cell r="HQ7">
            <v>3125.80033730167</v>
          </cell>
          <cell r="HR7" t="str">
            <v>Abatement amount</v>
          </cell>
          <cell r="HS7">
            <v>881.3565673828125</v>
          </cell>
          <cell r="HU7">
            <v>3125.80033730167</v>
          </cell>
          <cell r="HV7" t="str">
            <v>Abatement amount</v>
          </cell>
          <cell r="HW7">
            <v>881.3565673828125</v>
          </cell>
          <cell r="HX7" t="str">
            <v>EU’s headline -40% on 1990 translates to -41% including LULUCF.</v>
          </cell>
          <cell r="HY7">
            <v>3125.80033730167</v>
          </cell>
          <cell r="HZ7" t="str">
            <v>Emissions amount</v>
          </cell>
          <cell r="IA7">
            <v>3126</v>
          </cell>
          <cell r="IB7" t="str">
            <v xml:space="preserve">EU: Headline 40% reduction on 1990 figure translate to 41% incl. LULUCF
Calculated by 40% on 1990 UNFCCC excl LULUCF baseline, plus GLOCAF BAU LULUCF emissions in 2030 (-219Mt)
</v>
          </cell>
          <cell r="IC7">
            <v>3126</v>
          </cell>
          <cell r="ID7" t="str">
            <v>Emissions amount</v>
          </cell>
          <cell r="IE7">
            <v>3126</v>
          </cell>
          <cell r="IF7" t="str">
            <v>Headline 40% reduction on 1990 figure translate to 41% incl. LULUCF. Calculated by 40% on 1990 UNFCCC excl LULUCF baseline, plus GLOCAF BAU LULUCF emissions in 2030 (-219Mt)</v>
          </cell>
          <cell r="IG7">
            <v>3126</v>
          </cell>
          <cell r="IH7" t="str">
            <v>Abatement amount</v>
          </cell>
          <cell r="II7">
            <v>881.3565673828125</v>
          </cell>
          <cell r="IJ7" t="str">
            <v>Headline 40% reduction on 1990 figure translate to 41% incl. LULUCF. Calculated by 40% on 1990 UNFCCC excl LULUCF baseline, plus GLOCAF BAU LULUCF emissions in 2030 (-219Mt)</v>
          </cell>
          <cell r="IK7">
            <v>3125.80033730167</v>
          </cell>
          <cell r="IL7" t="str">
            <v>Emissions amount</v>
          </cell>
          <cell r="IM7">
            <v>3126</v>
          </cell>
          <cell r="IN7" t="str">
            <v xml:space="preserve">EU: Headline 40% reduction on 1990 figure translate to 41% incl. LULUCF
Calculated by 40% on 1990 UNFCCC excl LULUCF baseline, plus GLOCAF BAU LULUCF emissions in 2030 (-219Mt)
</v>
          </cell>
          <cell r="IO7">
            <v>3126</v>
          </cell>
          <cell r="IP7" t="str">
            <v>Emissions amount</v>
          </cell>
          <cell r="IQ7">
            <v>3126</v>
          </cell>
          <cell r="IR7" t="str">
            <v>Headline 40% reduction on 1990 figure translate to 41% incl. LULUCF. Calculated by 40% on 1990 UNFCCC excl LULUCF baseline, plus GLOCAF BAU LULUCF emissions in 2030 (-219Mt)</v>
          </cell>
          <cell r="IS7">
            <v>3126</v>
          </cell>
          <cell r="IT7" t="str">
            <v>Abatement amount</v>
          </cell>
          <cell r="IU7">
            <v>881.3565673828125</v>
          </cell>
          <cell r="IV7" t="str">
            <v xml:space="preserve">EU: Headline 40% reduction on 1990 figure translate to 41% incl. LULUCF
Calculated by 40% on 1990 UNFCCC excl LULUCF baseline, plus GLOCAF BAU LULUCF emissions in 2030 (-219Mt)
</v>
          </cell>
          <cell r="IW7">
            <v>3125.80033730167</v>
          </cell>
          <cell r="IX7" t="str">
            <v>Abatement amount</v>
          </cell>
          <cell r="IY7">
            <v>881.3565673828125</v>
          </cell>
          <cell r="IZ7" t="str">
            <v>Headline 40% reduction on 1990 figure translate to 41% incl. LULUCF. Calculated by 40% on 1990 UNFCCC excl LULUCF baseline, plus GLOCAF BAU LULUCF emissions in 2030 (-219Mt)</v>
          </cell>
          <cell r="JA7">
            <v>3125.80033730167</v>
          </cell>
          <cell r="JB7" t="str">
            <v>Emissions amount</v>
          </cell>
          <cell r="JC7">
            <v>3126</v>
          </cell>
          <cell r="JD7" t="str">
            <v xml:space="preserve">EU: Headline 40% reduction on 1990 figure translate to 41% incl. LULUCF
Calculated by 40% on 1990 UNFCCC excl LULUCF baseline, plus GLOCAF BAU LULUCF emissions in 2030 (-219Mt)
</v>
          </cell>
          <cell r="JE7">
            <v>3126</v>
          </cell>
          <cell r="JF7" t="str">
            <v>Emissions amount</v>
          </cell>
          <cell r="JG7">
            <v>3126</v>
          </cell>
          <cell r="JH7" t="str">
            <v>Headline 40% reduction on 1990 figure translate to 41% incl. LULUCF. Calculated by 40% on 1990 UNFCCC excl LULUCF baseline, plus GLOCAF BAU LULUCF emissions in 2030 (-219Mt)</v>
          </cell>
          <cell r="JI7">
            <v>3126</v>
          </cell>
          <cell r="JJ7" t="str">
            <v>Emissions amount</v>
          </cell>
          <cell r="JK7">
            <v>3126</v>
          </cell>
          <cell r="JL7" t="str">
            <v>Headline 40% reduction on 1990 figure translate to 41% incl. LULUCF. Calculated by 40% on 1990 UNFCCC excl LULUCF baseline, plus GLOCAF BAU LULUCF emissions in 2030 (-219Mt)</v>
          </cell>
          <cell r="JM7">
            <v>3126</v>
          </cell>
          <cell r="JN7" t="str">
            <v>Abatement amount</v>
          </cell>
          <cell r="JO7">
            <v>881.3565673828125</v>
          </cell>
          <cell r="JP7" t="str">
            <v xml:space="preserve">EU: Headline 40% reduction on 1990 figure translate to 41% incl. LULUCF
Calculated by 40% on 1990 UNFCCC excl LULUCF baseline, plus GLOCAF BAU LULUCF emissions in 2030 (-219Mt)
</v>
          </cell>
          <cell r="JQ7">
            <v>3125.80033730167</v>
          </cell>
          <cell r="JR7" t="str">
            <v>Abatement amount</v>
          </cell>
          <cell r="JS7">
            <v>881.3565673828125</v>
          </cell>
          <cell r="JT7" t="str">
            <v>Headline 40% reduction on 1990 figure translate to 41% incl. LULUCF. Calculated by 40% on 1990 UNFCCC excl LULUCF baseline, plus GLOCAF BAU LULUCF emissions in 2030 (-219Mt)</v>
          </cell>
          <cell r="JU7">
            <v>3125.80033730167</v>
          </cell>
          <cell r="JV7" t="str">
            <v>Emissions amount</v>
          </cell>
          <cell r="JW7">
            <v>3126</v>
          </cell>
          <cell r="JX7" t="str">
            <v xml:space="preserve">EU: Headline 40% reduction on 1990 figure translate to 41% incl. LULUCF
Calculated by 40% on 1990 UNFCCC excl LULUCF baseline, plus GLOCAF BAU LULUCF emissions in 2030 (-219Mt)
</v>
          </cell>
          <cell r="JY7">
            <v>3126</v>
          </cell>
          <cell r="JZ7" t="str">
            <v>Emissions amount</v>
          </cell>
          <cell r="KA7">
            <v>3126</v>
          </cell>
          <cell r="KB7" t="str">
            <v>Headline 40% reduction on 1990 figure translate to 41% incl. LULUCF. Calculated by 40% on 1990 UNFCCC excl LULUCF baseline, plus GLOCAF BAU LULUCF emissions in 2030 (-219Mt)</v>
          </cell>
          <cell r="KC7">
            <v>3126</v>
          </cell>
          <cell r="KD7" t="str">
            <v>Emissions amount</v>
          </cell>
          <cell r="KE7">
            <v>3126</v>
          </cell>
          <cell r="KF7" t="str">
            <v xml:space="preserve">EU: Headline 40% reduction on 1990 figure translate to 41% incl. LULUCF
Calculated by 40% on 1990 UNFCCC excl LULUCF baseline, plus GLOCAF BAU LULUCF emissions in 2030 (-219Mt)
</v>
          </cell>
          <cell r="KG7">
            <v>3126</v>
          </cell>
          <cell r="KH7" t="str">
            <v>Emissions amount</v>
          </cell>
          <cell r="KI7">
            <v>3126</v>
          </cell>
          <cell r="KJ7" t="str">
            <v>Headline 40% reduction on 1990 figure translate to 41% incl. LULUCF. Calculated by 40% on 1990 UNFCCC excl LULUCF baseline, plus GLOCAF BAU LULUCF emissions in 2030 (-219Mt)</v>
          </cell>
          <cell r="KK7">
            <v>3126</v>
          </cell>
          <cell r="KL7" t="str">
            <v>Emissions amount</v>
          </cell>
          <cell r="KM7">
            <v>3126</v>
          </cell>
          <cell r="KN7" t="str">
            <v>Headline 40% reduction on 1990 figure translate to 41% incl. LULUCF. Calculated by 40% on 1990 UNFCCC excl LULUCF baseline, plus GLOCAF BAU LULUCF emissions in 2030 (-219Mt)</v>
          </cell>
          <cell r="KO7">
            <v>3126</v>
          </cell>
          <cell r="KP7" t="str">
            <v>Emissions amount</v>
          </cell>
          <cell r="KQ7">
            <v>3126</v>
          </cell>
          <cell r="KR7" t="str">
            <v>Headline 40% reduction on 1990 figure translate to 41% incl. LULUCF. Calculated by 40% on 1990 UNFCCC excl LULUCF baseline, plus GLOCAF BAU LULUCF emissions in 2030 (-219Mt)</v>
          </cell>
          <cell r="KS7">
            <v>3126</v>
          </cell>
          <cell r="KT7" t="str">
            <v>Abatement amount</v>
          </cell>
          <cell r="KU7">
            <v>881.3565673828125</v>
          </cell>
          <cell r="KV7" t="str">
            <v xml:space="preserve">EU: Headline 40% reduction on 1990 figure translate to 41% incl. LULUCF
Calculated by 40% on 1990 UNFCCC excl LULUCF baseline, plus GLOCAF BAU LULUCF emissions in 2030 (-219Mt)
</v>
          </cell>
          <cell r="KW7">
            <v>3125.80033730167</v>
          </cell>
          <cell r="KX7" t="str">
            <v>Abatement amount</v>
          </cell>
          <cell r="KY7">
            <v>881.3565673828125</v>
          </cell>
          <cell r="KZ7" t="str">
            <v>Headline 40% reduction on 1990 figure translate to 41% incl. LULUCF. Calculated by 40% on 1990 UNFCCC excl LULUCF baseline, plus GLOCAF BAU LULUCF emissions in 2030 (-219Mt)</v>
          </cell>
          <cell r="LA7">
            <v>3125.80033730167</v>
          </cell>
          <cell r="LB7" t="str">
            <v>Emissions amount</v>
          </cell>
          <cell r="LC7">
            <v>3126</v>
          </cell>
          <cell r="LD7" t="str">
            <v xml:space="preserve">EU: Headline 40% reduction on 1990 figure translate to 41% incl. LULUCF
Calculated by 40% on 1990 UNFCCC excl LULUCF baseline, plus GLOCAF BAU LULUCF emissions in 2030 (-219Mt)
</v>
          </cell>
          <cell r="LE7">
            <v>3126</v>
          </cell>
          <cell r="LF7" t="str">
            <v>Emissions amount</v>
          </cell>
          <cell r="LG7">
            <v>3126</v>
          </cell>
          <cell r="LH7" t="str">
            <v xml:space="preserve">EU: Headline 40% reduction on 1990 figure translate to 41% incl. LULUCF
Calculated by 40% on 1990 UNFCCC excl LULUCF baseline, plus GLOCAF BAU LULUCF emissions in 2030 (-219Mt)
</v>
          </cell>
          <cell r="LI7">
            <v>3126</v>
          </cell>
          <cell r="LJ7" t="str">
            <v>Emissions amount</v>
          </cell>
          <cell r="LK7">
            <v>3126</v>
          </cell>
          <cell r="LL7" t="str">
            <v xml:space="preserve">EU: Headline 40% reduction on 1990 figure translate to 41% incl. LULUCF
Calculated by 40% on 1990 UNFCCC excl LULUCF baseline, plus GLOCAF BAU LULUCF emissions in 2030 (-219Mt)
</v>
          </cell>
          <cell r="LM7">
            <v>3126</v>
          </cell>
          <cell r="LN7" t="str">
            <v>Emissions amount</v>
          </cell>
          <cell r="LO7">
            <v>3126</v>
          </cell>
          <cell r="LP7" t="str">
            <v xml:space="preserve">EU: Headline 40% reduction on 1990 figure translate to 41% incl. LULUCF
Calculated by 40% on 1990 UNFCCC excl LULUCF baseline, plus GLOCAF BAU LULUCF emissions in 2030 (-219Mt)
</v>
          </cell>
          <cell r="LQ7">
            <v>3126</v>
          </cell>
          <cell r="LR7" t="str">
            <v>Emissions amount</v>
          </cell>
          <cell r="LS7">
            <v>3126</v>
          </cell>
          <cell r="LT7" t="str">
            <v>Headline 40% reduction on 1990 figure translate to 41% incl. LULUCF. Calculated by 40% on 1990 UNFCCC excl LULUCF baseline, plus GLOCAF BAU LULUCF emissions in 2030 (-219Mt)</v>
          </cell>
          <cell r="LU7">
            <v>3126</v>
          </cell>
          <cell r="LV7" t="str">
            <v>Emissions amount</v>
          </cell>
          <cell r="LW7">
            <v>3126</v>
          </cell>
          <cell r="LX7" t="str">
            <v>Headline 40% reduction on 1990 figure translate to 41% incl. LULUCF. Calculated by 40% on 1990 UNFCCC excl LULUCF baseline, plus GLOCAF BAU LULUCF emissions in 2030 (-219Mt)</v>
          </cell>
          <cell r="LY7">
            <v>3126</v>
          </cell>
          <cell r="LZ7" t="str">
            <v>Emissions amount</v>
          </cell>
          <cell r="MA7">
            <v>3126</v>
          </cell>
          <cell r="MB7" t="str">
            <v xml:space="preserve">EU: Headline 40% reduction on 1990 figure translate to 41% incl. LULUCF
Calculated by 40% on 1990 UNFCCC excl LULUCF baseline, plus GLOCAF BAU LULUCF emissions in 2030 (-219Mt)
</v>
          </cell>
          <cell r="MC7">
            <v>3126</v>
          </cell>
          <cell r="MD7" t="str">
            <v>Emissions amount</v>
          </cell>
          <cell r="ME7">
            <v>3126</v>
          </cell>
          <cell r="MF7" t="str">
            <v>Headline 40% reduction on 1990 figure translate to 41% incl. LULUCF. Calculated by 40% on 1990 UNFCCC excl LULUCF baseline, plus GLOCAF BAU LULUCF emissions in 2030 (-219Mt)</v>
          </cell>
          <cell r="MG7">
            <v>3126</v>
          </cell>
          <cell r="MH7" t="str">
            <v>Emissions amount</v>
          </cell>
          <cell r="MI7">
            <v>3126</v>
          </cell>
          <cell r="MJ7" t="str">
            <v>Headline 40% reduction on 1990 figure translate to 41% incl. LULUCF. Calculated by 40% on 1990 UNFCCC excl LULUCF baseline, plus GLOCAF BAU LULUCF emissions in 2030 (-219Mt)</v>
          </cell>
          <cell r="MK7">
            <v>3126</v>
          </cell>
          <cell r="ML7" t="str">
            <v>Emissions amount</v>
          </cell>
          <cell r="MM7">
            <v>3126</v>
          </cell>
          <cell r="MN7" t="str">
            <v xml:space="preserve">EU: Headline 40% reduction on 1990 figure translate to 41% incl. LULUCF
Calculated by 40% on 1990 UNFCCC excl LULUCF baseline, plus GLOCAF BAU LULUCF emissions in 2030 (-219Mt)
</v>
          </cell>
          <cell r="MO7">
            <v>3126</v>
          </cell>
          <cell r="MP7" t="str">
            <v>Emissions amount</v>
          </cell>
          <cell r="MQ7">
            <v>3126</v>
          </cell>
          <cell r="MR7" t="str">
            <v>Headline 40% reduction on 1990 figure translate to 41% incl. LULUCF. Calculated by 40% on 1990 UNFCCC excl LULUCF baseline, plus GLOCAF BAU LULUCF emissions in 2030 (-219Mt)</v>
          </cell>
          <cell r="MS7">
            <v>3126</v>
          </cell>
          <cell r="MT7" t="str">
            <v>Emissions amount</v>
          </cell>
          <cell r="MU7">
            <v>3126</v>
          </cell>
          <cell r="MV7" t="str">
            <v>Headline 40% reduction on 1990 figure translate to 41% incl. LULUCF. Calculated by 40% on 1990 UNFCCC excl LULUCF baseline, plus GLOCAF BAU LULUCF emissions in 2030 (-219Mt)</v>
          </cell>
          <cell r="MW7">
            <v>3126</v>
          </cell>
          <cell r="MX7" t="str">
            <v>Emissions amount</v>
          </cell>
          <cell r="MY7">
            <v>3126</v>
          </cell>
          <cell r="MZ7" t="str">
            <v xml:space="preserve">EU: Headline 40% reduction on 1990 figure translate to 41% incl. LULUCF
Calculated by 40% on 1990 UNFCCC excl LULUCF baseline, plus GLOCAF BAU LULUCF emissions in 2030 (-219Mt)
</v>
          </cell>
          <cell r="NA7">
            <v>3126</v>
          </cell>
          <cell r="NB7" t="str">
            <v>Emissions amount</v>
          </cell>
          <cell r="NC7">
            <v>3126</v>
          </cell>
          <cell r="ND7" t="str">
            <v>Headline 40% reduction on 1990 figure translate to 41% incl. LULUCF. Calculated by 40% on 1990 UNFCCC excl LULUCF baseline, plus GLOCAF BAU LULUCF emissions in 2030 (-219Mt)</v>
          </cell>
          <cell r="NE7">
            <v>3126</v>
          </cell>
          <cell r="NF7" t="str">
            <v>Emissions amount</v>
          </cell>
          <cell r="NG7">
            <v>3126</v>
          </cell>
          <cell r="NH7" t="str">
            <v xml:space="preserve">EU: Headline 40% reduction on 1990 figure translate to 41% incl. LULUCF
Calculated by 40% on 1990 UNFCCC excl LULUCF baseline, plus GLOCAF BAU LULUCF emissions in 2030 (-219Mt)
</v>
          </cell>
          <cell r="NI7">
            <v>3126</v>
          </cell>
          <cell r="NJ7" t="str">
            <v>Emissions amount</v>
          </cell>
          <cell r="NK7">
            <v>3126</v>
          </cell>
          <cell r="NL7" t="str">
            <v xml:space="preserve">EU: Headline 40% reduction on 1990 figure translate to 41% incl. LULUCF
Calculated by 40% on 1990 UNFCCC excl LULUCF baseline, plus GLOCAF BAU LULUCF emissions in 2030 (-219Mt)
</v>
          </cell>
          <cell r="NM7">
            <v>3126</v>
          </cell>
          <cell r="NN7" t="str">
            <v>Emissions amount</v>
          </cell>
          <cell r="NO7">
            <v>3126</v>
          </cell>
          <cell r="NP7" t="str">
            <v xml:space="preserve">EU: Headline 40% reduction on 1990 figure translate to 41% incl. LULUCF
Calculated by 40% on 1990 UNFCCC excl LULUCF baseline, plus GLOCAF BAU LULUCF emissions in 2030 (-219Mt)
</v>
          </cell>
          <cell r="NQ7">
            <v>3126</v>
          </cell>
          <cell r="NR7" t="str">
            <v>Emissions amount</v>
          </cell>
          <cell r="NS7">
            <v>3126</v>
          </cell>
          <cell r="NT7" t="str">
            <v>Headline 40% reduction on 1990 figure translate to 41% incl. LULUCF. Calculated by 40% on 1990 UNFCCC excl LULUCF baseline, plus GLOCAF BAU LULUCF emissions in 2030 (-219Mt)</v>
          </cell>
          <cell r="NU7">
            <v>3126</v>
          </cell>
          <cell r="NV7" t="str">
            <v>Emissions amount</v>
          </cell>
          <cell r="NW7">
            <v>3126</v>
          </cell>
          <cell r="NX7" t="str">
            <v xml:space="preserve">EU: Headline 40% reduction on 1990 figure translate to 41% incl. LULUCF
Calculated by 40% on 1990 UNFCCC excl LULUCF baseline, plus GLOCAF BAU LULUCF emissions in 2030 (-219Mt)
</v>
          </cell>
          <cell r="NY7">
            <v>3126</v>
          </cell>
          <cell r="NZ7" t="str">
            <v>Emissions amount</v>
          </cell>
          <cell r="OA7">
            <v>3126</v>
          </cell>
          <cell r="OB7" t="str">
            <v>Headline 40% reduction on 1990 figure translate to 41% incl. LULUCF. Calculated by 40% on 1990 UNFCCC excl LULUCF baseline, plus GLOCAF BAU LULUCF emissions in 2030 (-219Mt)</v>
          </cell>
          <cell r="OC7">
            <v>3126</v>
          </cell>
          <cell r="OD7" t="str">
            <v>Emissions amount</v>
          </cell>
          <cell r="OE7">
            <v>3126</v>
          </cell>
          <cell r="OF7" t="str">
            <v>Headline 40% reduction on 1990 figure translate to 41% incl. LULUCF. Calculated by 40% on 1990 UNFCCC excl LULUCF baseline, plus GLOCAF BAU LULUCF emissions in 2030 (-219Mt)</v>
          </cell>
          <cell r="OG7">
            <v>3126</v>
          </cell>
          <cell r="OH7" t="str">
            <v>Emissions amount</v>
          </cell>
          <cell r="OI7">
            <v>3126</v>
          </cell>
          <cell r="OJ7" t="str">
            <v xml:space="preserve">EU: Headline 40% reduction on 1990 figure translate to 41% incl. LULUCF
Calculated by 40% on 1990 UNFCCC excl LULUCF baseline, plus GLOCAF BAU LULUCF emissions in 2030 (-219Mt)
</v>
          </cell>
          <cell r="OK7">
            <v>3126</v>
          </cell>
          <cell r="OL7" t="str">
            <v>Emissions amount</v>
          </cell>
          <cell r="OM7">
            <v>3126</v>
          </cell>
          <cell r="ON7" t="str">
            <v>Headline 40% reduction on 1990 figure translate to 41% incl. LULUCF. Calculated by 40% on 1990 UNFCCC excl LULUCF baseline, plus GLOCAF BAU LULUCF emissions in 2030 (-219Mt)</v>
          </cell>
          <cell r="OO7">
            <v>3126</v>
          </cell>
          <cell r="OP7" t="str">
            <v>Emissions amount</v>
          </cell>
          <cell r="OQ7">
            <v>3126</v>
          </cell>
          <cell r="OR7" t="str">
            <v xml:space="preserve">EU: Headline 40% reduction on 1990 figure translate to 41% incl. LULUCF
Calculated by 40% on 1990 UNFCCC excl LULUCF baseline, plus GLOCAF BAU LULUCF emissions in 2030 (-219Mt)
</v>
          </cell>
          <cell r="OS7">
            <v>3126</v>
          </cell>
          <cell r="OT7" t="str">
            <v>Emissions amount</v>
          </cell>
          <cell r="OU7">
            <v>3126</v>
          </cell>
          <cell r="OV7" t="str">
            <v>Headline 40% reduction on 1990 figure translate to 41% incl. LULUCF. Calculated by 40% on 1990 UNFCCC excl LULUCF baseline, plus GLOCAF BAU LULUCF emissions in 2030 (-219Mt)</v>
          </cell>
          <cell r="OW7">
            <v>3126</v>
          </cell>
          <cell r="OX7" t="str">
            <v>Emissions amount</v>
          </cell>
          <cell r="OY7">
            <v>3126</v>
          </cell>
          <cell r="OZ7" t="str">
            <v xml:space="preserve">EU: Headline 40% reduction on 1990 figure translate to 41% incl. LULUCF
Calculated by 40% on 1990 UNFCCC excl LULUCF baseline, plus GLOCAF BAU LULUCF emissions in 2030 (-219Mt)
</v>
          </cell>
          <cell r="PA7">
            <v>3126</v>
          </cell>
          <cell r="PB7" t="str">
            <v>Emissions amount</v>
          </cell>
          <cell r="PC7">
            <v>3126</v>
          </cell>
          <cell r="PD7" t="str">
            <v xml:space="preserve">EU: Headline 40% reduction on 1990 figure translate to 41% incl. LULUCF
Calculated by 40% on 1990 UNFCCC excl LULUCF baseline, plus GLOCAF BAU LULUCF emissions in 2030 (-219Mt)
</v>
          </cell>
          <cell r="PE7">
            <v>3126</v>
          </cell>
          <cell r="PF7" t="str">
            <v>Emissions amount</v>
          </cell>
          <cell r="PG7">
            <v>3126</v>
          </cell>
          <cell r="PH7" t="str">
            <v>Headline 40% reduction on 1990 figure translate to 41% incl. LULUCF. Calculated by 40% on 1990 UNFCCC excl LULUCF baseline, plus GLOCAF BAU LULUCF emissions in 2030 (-219Mt)</v>
          </cell>
          <cell r="PI7">
            <v>3126</v>
          </cell>
          <cell r="PJ7" t="str">
            <v>Emissions amount</v>
          </cell>
          <cell r="PK7">
            <v>3126</v>
          </cell>
          <cell r="PL7" t="str">
            <v>Headline 40% reduction on 1990 figure translate to 41% incl. LULUCF. Calculated by 40% on 1990 UNFCCC excl LULUCF baseline, plus GLOCAF BAU LULUCF emissions in 2030 (-219Mt)</v>
          </cell>
          <cell r="PM7">
            <v>3126</v>
          </cell>
          <cell r="PN7" t="str">
            <v>Emissions amount</v>
          </cell>
          <cell r="PO7">
            <v>3126</v>
          </cell>
          <cell r="PP7" t="str">
            <v xml:space="preserve">EU: Headline 40% reduction on 1990 figure translate to 41% incl. LULUCF
Calculated by 40% on 1990 UNFCCC excl LULUCF baseline, plus GLOCAF BAU LULUCF emissions in 2030 (-219Mt)
</v>
          </cell>
          <cell r="PQ7">
            <v>3126</v>
          </cell>
          <cell r="PR7" t="str">
            <v>Emissions amount</v>
          </cell>
          <cell r="PS7">
            <v>3126</v>
          </cell>
          <cell r="PT7" t="str">
            <v>Headline 40% reduction on 1990 figure translate to 41% incl. LULUCF. Calculated by 40% on 1990 UNFCCC excl LULUCF baseline, plus GLOCAF BAU LULUCF emissions in 2030 (-219Mt)</v>
          </cell>
          <cell r="PU7">
            <v>3126</v>
          </cell>
          <cell r="PV7" t="str">
            <v>Emissions amount</v>
          </cell>
          <cell r="PW7">
            <v>3126</v>
          </cell>
          <cell r="PX7" t="str">
            <v xml:space="preserve">EU: Headline 40% reduction on 1990 figure translate to 41% incl. LULUCF
Calculated by 40% on 1990 UNFCCC excl LULUCF baseline, plus GLOCAF BAU LULUCF emissions in 2030 (-219Mt)
</v>
          </cell>
          <cell r="PY7">
            <v>3126</v>
          </cell>
          <cell r="PZ7" t="str">
            <v>Emissions amount</v>
          </cell>
          <cell r="QA7">
            <v>3126</v>
          </cell>
          <cell r="QB7" t="str">
            <v>Headline 40% reduction on 1990 figure translate to 41% incl. LULUCF. Calculated by 40% on 1990 UNFCCC excl LULUCF baseline, plus GLOCAF BAU LULUCF emissions in 2030 (-219Mt)</v>
          </cell>
          <cell r="QC7">
            <v>3126</v>
          </cell>
          <cell r="QD7" t="str">
            <v>Emissions amount</v>
          </cell>
          <cell r="QE7">
            <v>3126</v>
          </cell>
          <cell r="QF7" t="str">
            <v>Headline 40% reduction on 1990 figure translate to 41% incl. LULUCF. Calculated by 40% on 1990 UNFCCC excl LULUCF baseline, plus GLOCAF BAU LULUCF emissions in 2030 (-219Mt)</v>
          </cell>
          <cell r="QG7">
            <v>3126</v>
          </cell>
          <cell r="QH7" t="str">
            <v>Emissions amount</v>
          </cell>
          <cell r="QI7">
            <v>3126</v>
          </cell>
          <cell r="QJ7" t="str">
            <v>Headline 40% reduction on 1990 figure translate to 41% incl. LULUCF. Calculated by 40% on 1990 UNFCCC excl LULUCF baseline, plus GLOCAF BAU LULUCF emissions in 2030 (-219Mt)</v>
          </cell>
          <cell r="QK7">
            <v>3126</v>
          </cell>
          <cell r="QL7" t="str">
            <v>Emissions amount</v>
          </cell>
          <cell r="QM7">
            <v>3126</v>
          </cell>
          <cell r="QN7" t="str">
            <v>Headline 40% reduction on 1990 figure translate to 41% incl. LULUCF. Calculated by 40% on 1990 UNFCCC excl LULUCF baseline, plus GLOCAF BAU LULUCF emissions in 2030 (-219Mt)</v>
          </cell>
          <cell r="QO7">
            <v>3126</v>
          </cell>
          <cell r="QP7" t="str">
            <v>Emissions amount</v>
          </cell>
          <cell r="QQ7">
            <v>3126</v>
          </cell>
          <cell r="QR7" t="str">
            <v xml:space="preserve">EU: Headline 40% reduction on 1990 figure translate to 41% incl. LULUCF
Calculated by 40% on 1990 UNFCCC excl LULUCF baseline, plus GLOCAF BAU LULUCF emissions in 2030 (-219Mt)
</v>
          </cell>
          <cell r="QS7">
            <v>3126</v>
          </cell>
          <cell r="QT7" t="str">
            <v>Emissions amount</v>
          </cell>
          <cell r="QU7">
            <v>3126</v>
          </cell>
          <cell r="QV7" t="str">
            <v>Headline 40% reduction on 1990 figure translate to 41% incl. LULUCF. Calculated by 40% on 1990 UNFCCC excl LULUCF baseline, plus GLOCAF BAU LULUCF emissions in 2030 (-219Mt)</v>
          </cell>
          <cell r="QW7">
            <v>3126</v>
          </cell>
          <cell r="QX7" t="str">
            <v>Emissions amount</v>
          </cell>
          <cell r="QY7">
            <v>3126</v>
          </cell>
          <cell r="QZ7" t="str">
            <v>Headline 40% reduction on 1990 figure translate to 41% incl. LULUCF. Calculated by 40% on 1990 UNFCCC excl LULUCF baseline, plus GLOCAF BAU LULUCF emissions in 2030 (-219Mt)</v>
          </cell>
          <cell r="RA7">
            <v>3126</v>
          </cell>
          <cell r="RB7" t="str">
            <v>Emissions amount</v>
          </cell>
          <cell r="RC7">
            <v>3126</v>
          </cell>
          <cell r="RD7" t="str">
            <v xml:space="preserve">EU: Headline 40% reduction on 1990 figure translate to 41% incl. LULUCF
Calculated by 40% on 1990 UNFCCC excl LULUCF baseline, plus GLOCAF BAU LULUCF emissions in 2030 (-219Mt)
</v>
          </cell>
          <cell r="RE7">
            <v>3126</v>
          </cell>
          <cell r="RF7" t="str">
            <v>Emissions amount</v>
          </cell>
          <cell r="RG7">
            <v>3126</v>
          </cell>
          <cell r="RH7" t="str">
            <v>Headline 40% reduction on 1990 figure translate to 41% incl. LULUCF. Calculated by 40% on 1990 UNFCCC excl LULUCF baseline, plus GLOCAF BAU LULUCF emissions in 2030 (-219Mt)</v>
          </cell>
          <cell r="RI7">
            <v>3126</v>
          </cell>
          <cell r="RJ7" t="str">
            <v>Emissions amount</v>
          </cell>
          <cell r="RK7">
            <v>3126</v>
          </cell>
          <cell r="RL7" t="str">
            <v xml:space="preserve">EU: Headline 40% reduction on 1990 figure translate to 41% incl. LULUCF
Calculated by 40% on 1990 UNFCCC excl LULUCF baseline, plus GLOCAF BAU LULUCF emissions in 2030 (-219Mt)
</v>
          </cell>
          <cell r="RM7">
            <v>3126</v>
          </cell>
          <cell r="RN7" t="str">
            <v>Emissions amount</v>
          </cell>
          <cell r="RO7">
            <v>3126</v>
          </cell>
          <cell r="RP7" t="str">
            <v>Headline 40% reduction on 1990 figure translate to 41% incl. LULUCF. Calculated by 40% on 1990 UNFCCC excl LULUCF baseline, plus GLOCAF BAU LULUCF emissions in 2030 (-219Mt)</v>
          </cell>
          <cell r="RQ7">
            <v>3126</v>
          </cell>
          <cell r="RR7" t="str">
            <v>Emissions amount</v>
          </cell>
          <cell r="RS7">
            <v>3126</v>
          </cell>
          <cell r="RT7" t="str">
            <v>Headline 40% reduction on 1990 figure translate to 41% incl. LULUCF. Calculated by 40% on 1990 UNFCCC excl LULUCF baseline, plus GLOCAF BAU LULUCF emissions in 2030 (-219Mt)</v>
          </cell>
          <cell r="RU7">
            <v>3126</v>
          </cell>
        </row>
        <row r="8">
          <cell r="A8" t="str">
            <v>Canada</v>
          </cell>
          <cell r="B8" t="str">
            <v>Abatement amount</v>
          </cell>
          <cell r="C8">
            <v>409.54246599224018</v>
          </cell>
          <cell r="D8">
            <v>0</v>
          </cell>
          <cell r="E8">
            <v>531.75189224109306</v>
          </cell>
          <cell r="F8" t="str">
            <v>Abatement amount</v>
          </cell>
          <cell r="G8">
            <v>239.30708008707256</v>
          </cell>
          <cell r="I8">
            <v>701.98727814626068</v>
          </cell>
          <cell r="J8" t="str">
            <v>Abatement amount</v>
          </cell>
          <cell r="K8">
            <v>0</v>
          </cell>
          <cell r="M8">
            <v>941.29435823333324</v>
          </cell>
          <cell r="N8" t="str">
            <v>Abatement amount</v>
          </cell>
          <cell r="O8">
            <v>0</v>
          </cell>
          <cell r="Q8">
            <v>941.29435823333324</v>
          </cell>
          <cell r="R8" t="str">
            <v>Abatement amount</v>
          </cell>
          <cell r="S8">
            <v>98.321319580078125</v>
          </cell>
          <cell r="U8">
            <v>842.97303865325512</v>
          </cell>
          <cell r="V8" t="str">
            <v>Abatement amount</v>
          </cell>
          <cell r="W8">
            <v>351.21322631835938</v>
          </cell>
          <cell r="Y8">
            <v>590.08113191497387</v>
          </cell>
          <cell r="Z8" t="str">
            <v>Abatement amount</v>
          </cell>
          <cell r="AA8">
            <v>418.44259643554688</v>
          </cell>
          <cell r="AC8">
            <v>522.85176179778637</v>
          </cell>
          <cell r="AD8" t="str">
            <v>Abatement amount</v>
          </cell>
          <cell r="AE8">
            <v>229.63665771484375</v>
          </cell>
          <cell r="AG8">
            <v>711.65770051848949</v>
          </cell>
          <cell r="AH8" t="str">
            <v>Abatement amount</v>
          </cell>
          <cell r="AI8">
            <v>21.571841153895093</v>
          </cell>
          <cell r="AK8">
            <v>919.72251707943815</v>
          </cell>
          <cell r="AL8" t="str">
            <v>Abatement amount</v>
          </cell>
          <cell r="AM8">
            <v>21.571841153895093</v>
          </cell>
          <cell r="AO8">
            <v>919.72251707943815</v>
          </cell>
          <cell r="AP8" t="str">
            <v>Abatement amount</v>
          </cell>
          <cell r="AQ8">
            <v>119.89316073397333</v>
          </cell>
          <cell r="AS8">
            <v>821.40119749935991</v>
          </cell>
          <cell r="AT8" t="str">
            <v>Abatement amount</v>
          </cell>
          <cell r="AU8">
            <v>372.78506747225447</v>
          </cell>
          <cell r="AW8">
            <v>568.50929076107877</v>
          </cell>
          <cell r="AX8" t="str">
            <v>Emissions amount</v>
          </cell>
          <cell r="AY8">
            <v>941.29435823333324</v>
          </cell>
          <cell r="BA8">
            <v>941.29435823333324</v>
          </cell>
          <cell r="BB8" t="str">
            <v>Emissions amount</v>
          </cell>
          <cell r="BC8">
            <v>941.29435823333324</v>
          </cell>
          <cell r="BE8">
            <v>941.29435823333324</v>
          </cell>
          <cell r="BF8" t="str">
            <v>Emissions amount</v>
          </cell>
          <cell r="BG8">
            <v>941.29435823333324</v>
          </cell>
          <cell r="BI8">
            <v>941.29435823333324</v>
          </cell>
          <cell r="BJ8" t="str">
            <v>Emissions amount</v>
          </cell>
          <cell r="BK8">
            <v>941.29435823333324</v>
          </cell>
          <cell r="BM8">
            <v>941.29435823333324</v>
          </cell>
          <cell r="BN8" t="str">
            <v>Emissions amount</v>
          </cell>
          <cell r="BO8">
            <v>941.29435823333324</v>
          </cell>
          <cell r="BQ8">
            <v>941.29435823333324</v>
          </cell>
          <cell r="BR8" t="str">
            <v>Emissions amount</v>
          </cell>
          <cell r="BS8">
            <v>941.29435823333324</v>
          </cell>
          <cell r="BU8">
            <v>941.29435823333324</v>
          </cell>
          <cell r="BV8" t="str">
            <v>Emissions amount</v>
          </cell>
          <cell r="BW8">
            <v>842.97303865325512</v>
          </cell>
          <cell r="BY8">
            <v>842.97303865325512</v>
          </cell>
          <cell r="BZ8" t="str">
            <v>Emissions amount</v>
          </cell>
          <cell r="CA8">
            <v>941.29435823333324</v>
          </cell>
          <cell r="CC8">
            <v>941.29435823333324</v>
          </cell>
          <cell r="CD8" t="str">
            <v>Emissions amount</v>
          </cell>
          <cell r="CE8">
            <v>941.29435823333324</v>
          </cell>
          <cell r="CG8">
            <v>941.29435823333324</v>
          </cell>
          <cell r="CH8" t="str">
            <v>Abatement amount</v>
          </cell>
          <cell r="CI8">
            <v>0</v>
          </cell>
          <cell r="CK8">
            <v>941.29435823333324</v>
          </cell>
          <cell r="CL8" t="str">
            <v>Abatement amount</v>
          </cell>
          <cell r="CM8">
            <v>98.321319580078125</v>
          </cell>
          <cell r="CO8">
            <v>842.97303865325512</v>
          </cell>
          <cell r="CP8" t="str">
            <v>Abatement amount</v>
          </cell>
          <cell r="CQ8">
            <v>98.321319580078125</v>
          </cell>
          <cell r="CS8">
            <v>842.97303865325512</v>
          </cell>
          <cell r="CT8" t="str">
            <v>Abatement amount</v>
          </cell>
          <cell r="CU8">
            <v>0</v>
          </cell>
          <cell r="CW8">
            <v>941.29435823333324</v>
          </cell>
          <cell r="CX8" t="str">
            <v>Abatement amount</v>
          </cell>
          <cell r="CY8">
            <v>98.321319580078125</v>
          </cell>
          <cell r="DA8">
            <v>842.97303865325512</v>
          </cell>
          <cell r="DB8" t="str">
            <v>Abatement amount</v>
          </cell>
          <cell r="DC8">
            <v>98.321319580078125</v>
          </cell>
          <cell r="DE8">
            <v>842.97303865325512</v>
          </cell>
          <cell r="DF8" t="str">
            <v>Abatement amount</v>
          </cell>
          <cell r="DG8">
            <v>0</v>
          </cell>
          <cell r="DI8">
            <v>941.29435823333324</v>
          </cell>
          <cell r="DJ8" t="str">
            <v>Emissions amount</v>
          </cell>
          <cell r="DK8">
            <v>941.29435823333324</v>
          </cell>
          <cell r="DM8">
            <v>941.29435823333324</v>
          </cell>
          <cell r="DN8" t="str">
            <v>Emissions amount</v>
          </cell>
          <cell r="DO8">
            <v>941.29435823333324</v>
          </cell>
          <cell r="DQ8">
            <v>941.29435823333324</v>
          </cell>
          <cell r="DR8" t="str">
            <v>Emissions amount</v>
          </cell>
          <cell r="DS8">
            <v>941.29435823333324</v>
          </cell>
          <cell r="DU8">
            <v>941.29435823333324</v>
          </cell>
          <cell r="DV8" t="str">
            <v>Emissions amount</v>
          </cell>
          <cell r="DW8">
            <v>941.29435823333324</v>
          </cell>
          <cell r="DY8">
            <v>941.29435823333324</v>
          </cell>
          <cell r="DZ8" t="str">
            <v>Abatement amount</v>
          </cell>
          <cell r="EA8">
            <v>0</v>
          </cell>
          <cell r="EC8">
            <v>941.29435823333324</v>
          </cell>
          <cell r="ED8" t="str">
            <v>Emissions amount</v>
          </cell>
          <cell r="EE8">
            <v>843</v>
          </cell>
          <cell r="EG8">
            <v>843</v>
          </cell>
          <cell r="EH8" t="str">
            <v>Abatement amount</v>
          </cell>
          <cell r="EI8">
            <v>0</v>
          </cell>
          <cell r="EK8">
            <v>958.58372689869805</v>
          </cell>
          <cell r="EL8" t="str">
            <v>Abatement amount</v>
          </cell>
          <cell r="EM8">
            <v>0</v>
          </cell>
          <cell r="EO8">
            <v>958.58372689869805</v>
          </cell>
          <cell r="EP8" t="str">
            <v>Abatement amount</v>
          </cell>
          <cell r="EQ8">
            <v>0</v>
          </cell>
          <cell r="ES8">
            <v>958.58372689869805</v>
          </cell>
          <cell r="ET8" t="str">
            <v>Abatement amount</v>
          </cell>
          <cell r="EU8">
            <v>354.99806333528596</v>
          </cell>
          <cell r="EW8">
            <v>603.58566356341203</v>
          </cell>
          <cell r="EX8" t="str">
            <v>Abatement amount</v>
          </cell>
          <cell r="EY8">
            <v>287.99847859319465</v>
          </cell>
          <cell r="FA8">
            <v>670.58524830550346</v>
          </cell>
          <cell r="FB8" t="str">
            <v>Abatement amount</v>
          </cell>
          <cell r="FC8">
            <v>213.4609658527888</v>
          </cell>
          <cell r="FE8">
            <v>745.12276104590921</v>
          </cell>
          <cell r="FF8" t="str">
            <v>Emissions amount</v>
          </cell>
          <cell r="FG8">
            <v>664</v>
          </cell>
          <cell r="FI8">
            <v>664</v>
          </cell>
          <cell r="FJ8" t="str">
            <v>Abatement amount</v>
          </cell>
          <cell r="FK8">
            <v>398.48410034179688</v>
          </cell>
          <cell r="FM8">
            <v>560.09962655690117</v>
          </cell>
          <cell r="FN8" t="str">
            <v>Emissions amount</v>
          </cell>
          <cell r="FO8">
            <v>664</v>
          </cell>
          <cell r="FQ8">
            <v>664</v>
          </cell>
          <cell r="FR8" t="str">
            <v>Emissions amount</v>
          </cell>
          <cell r="FS8">
            <v>560</v>
          </cell>
          <cell r="FU8">
            <v>560</v>
          </cell>
          <cell r="FV8" t="str">
            <v>Abatement amount</v>
          </cell>
          <cell r="FW8">
            <v>294</v>
          </cell>
          <cell r="FY8">
            <v>664.58372689869805</v>
          </cell>
          <cell r="FZ8" t="str">
            <v>Abatement amount</v>
          </cell>
          <cell r="GA8">
            <v>398.48410034179688</v>
          </cell>
          <cell r="GC8">
            <v>560.09962655690117</v>
          </cell>
          <cell r="GD8" t="str">
            <v>Abatement amount</v>
          </cell>
          <cell r="GE8">
            <v>438.4912109375</v>
          </cell>
          <cell r="GG8">
            <v>520.09251596119805</v>
          </cell>
          <cell r="GH8" t="str">
            <v>Abatement amount</v>
          </cell>
          <cell r="GI8">
            <v>398.48410034179688</v>
          </cell>
          <cell r="GK8">
            <v>560.09962655690117</v>
          </cell>
          <cell r="GL8" t="str">
            <v>Abatement amount</v>
          </cell>
          <cell r="GM8">
            <v>372.67487928128571</v>
          </cell>
          <cell r="GO8">
            <v>585.90884761741233</v>
          </cell>
          <cell r="GP8" t="str">
            <v>Abatement amount</v>
          </cell>
          <cell r="GQ8">
            <v>221.39508602840817</v>
          </cell>
          <cell r="GS8">
            <v>737.18864087028987</v>
          </cell>
          <cell r="GT8" t="str">
            <v>Abatement amount</v>
          </cell>
          <cell r="GU8">
            <v>302.34427934243354</v>
          </cell>
          <cell r="GW8">
            <v>656.23944755626451</v>
          </cell>
          <cell r="GX8" t="str">
            <v>Emissions amount</v>
          </cell>
          <cell r="GY8">
            <v>579</v>
          </cell>
          <cell r="HA8">
            <v>579</v>
          </cell>
          <cell r="HB8" t="str">
            <v>Emissions amount</v>
          </cell>
          <cell r="HC8">
            <v>579</v>
          </cell>
          <cell r="HE8">
            <v>579</v>
          </cell>
          <cell r="HF8" t="str">
            <v>Emissions amount</v>
          </cell>
          <cell r="HG8">
            <v>579</v>
          </cell>
          <cell r="HI8">
            <v>579</v>
          </cell>
          <cell r="HJ8" t="str">
            <v>Emissions amount</v>
          </cell>
          <cell r="HK8">
            <v>579</v>
          </cell>
          <cell r="HM8">
            <v>579</v>
          </cell>
          <cell r="HN8" t="str">
            <v>Emissions amount</v>
          </cell>
          <cell r="HO8">
            <v>579</v>
          </cell>
          <cell r="HQ8">
            <v>579</v>
          </cell>
          <cell r="HR8" t="str">
            <v>Emissions amount</v>
          </cell>
          <cell r="HS8">
            <v>579</v>
          </cell>
          <cell r="HU8">
            <v>579</v>
          </cell>
          <cell r="HV8" t="str">
            <v>Emissions amount</v>
          </cell>
          <cell r="HW8">
            <v>579</v>
          </cell>
          <cell r="HX8" t="str">
            <v>Canada’s headline -30% target on 2005 translates to -28% incl. LULUCF.</v>
          </cell>
          <cell r="HY8">
            <v>579</v>
          </cell>
          <cell r="HZ8" t="str">
            <v>Emissions amount</v>
          </cell>
          <cell r="IA8">
            <v>579</v>
          </cell>
          <cell r="IB8" t="str">
            <v>Headline -30% reduction on 2005 target (on an excluding LULUCF baseline, UNFCCC) translates to -28% incl. LULUCF (UNFCCC) with net-net accounting rules.</v>
          </cell>
          <cell r="IC8">
            <v>579</v>
          </cell>
          <cell r="ID8" t="str">
            <v>Emissions amount</v>
          </cell>
          <cell r="IE8">
            <v>579</v>
          </cell>
          <cell r="IF8" t="str">
            <v>Headline -30% reduction on 2005 target (on an excluding LULUCF baseline, UNFCCC) translates to -28% incl. LULUCF (UNFCCC) with net-net accounting rules</v>
          </cell>
          <cell r="IG8">
            <v>579</v>
          </cell>
          <cell r="IH8" t="str">
            <v>Emissions amount</v>
          </cell>
          <cell r="II8">
            <v>579</v>
          </cell>
          <cell r="IJ8" t="str">
            <v>Headline -30% reduction on 2005 target (on an excluding LULUCF baseline, UNFCCC) translates to -28% incl. LULUCF (UNFCCC) with net-net accounting rules</v>
          </cell>
          <cell r="IK8">
            <v>579</v>
          </cell>
          <cell r="IL8" t="str">
            <v>Emissions amount</v>
          </cell>
          <cell r="IM8">
            <v>579</v>
          </cell>
          <cell r="IN8" t="str">
            <v>Headline -30% reduction on 2005 target (on an excluding LULUCF baseline, UNFCCC) translates to -28% incl. LULUCF (UNFCCC) with net-net accounting rules.</v>
          </cell>
          <cell r="IO8">
            <v>579</v>
          </cell>
          <cell r="IP8" t="str">
            <v>Emissions amount</v>
          </cell>
          <cell r="IQ8">
            <v>579</v>
          </cell>
          <cell r="IR8" t="str">
            <v>Headline -30% reduction on 2005 target (on an excluding LULUCF baseline, UNFCCC) translates to -28% incl. LULUCF (UNFCCC) with net-net accounting rules</v>
          </cell>
          <cell r="IS8">
            <v>579</v>
          </cell>
          <cell r="IT8" t="str">
            <v>Emissions amount</v>
          </cell>
          <cell r="IU8">
            <v>579</v>
          </cell>
          <cell r="IV8" t="str">
            <v>Headline -30% reduction on 2005 target (on an excluding LULUCF baseline, UNFCCC) translates to -28% incl. LULUCF (UNFCCC) with net-net accounting rules.</v>
          </cell>
          <cell r="IW8">
            <v>579</v>
          </cell>
          <cell r="IX8" t="str">
            <v>Emissions amount</v>
          </cell>
          <cell r="IY8">
            <v>579</v>
          </cell>
          <cell r="IZ8" t="str">
            <v>Headline -30% reduction on 2005 target (on an excluding LULUCF baseline, UNFCCC) translates to -28% incl. LULUCF (UNFCCC) with net-net accounting rules</v>
          </cell>
          <cell r="JA8">
            <v>579</v>
          </cell>
          <cell r="JB8" t="str">
            <v>Emissions amount</v>
          </cell>
          <cell r="JC8">
            <v>579</v>
          </cell>
          <cell r="JD8" t="str">
            <v>Headline -30% reduction on 2005 target (on an excluding LULUCF baseline, UNFCCC) translates to -28% incl. LULUCF (UNFCCC) with net-net accounting rules.</v>
          </cell>
          <cell r="JE8">
            <v>579</v>
          </cell>
          <cell r="JF8" t="str">
            <v>Emissions amount</v>
          </cell>
          <cell r="JG8">
            <v>579</v>
          </cell>
          <cell r="JH8" t="str">
            <v>Headline -30% reduction on 2005 target (on an excluding LULUCF baseline, UNFCCC) translates to -28% incl. LULUCF (UNFCCC) with net-net accounting rules</v>
          </cell>
          <cell r="JI8">
            <v>579</v>
          </cell>
          <cell r="JJ8" t="str">
            <v>Emissions amount</v>
          </cell>
          <cell r="JK8">
            <v>579</v>
          </cell>
          <cell r="JL8" t="str">
            <v>Headline -30% reduction on 2005 target (on an excluding LULUCF baseline, UNFCCC) translates to -28% incl. LULUCF (UNFCCC) with net-net accounting rules</v>
          </cell>
          <cell r="JM8">
            <v>579</v>
          </cell>
          <cell r="JN8" t="str">
            <v>Emissions amount</v>
          </cell>
          <cell r="JO8">
            <v>579</v>
          </cell>
          <cell r="JP8" t="str">
            <v>Headline -30% reduction on 2005 target (on an excluding LULUCF baseline, UNFCCC) translates to -28% incl. LULUCF (UNFCCC) with net-net accounting rules.</v>
          </cell>
          <cell r="JQ8">
            <v>579</v>
          </cell>
          <cell r="JR8" t="str">
            <v>Emissions amount</v>
          </cell>
          <cell r="JS8">
            <v>579</v>
          </cell>
          <cell r="JT8" t="str">
            <v>Headline -30% reduction on 2005 target (on an excluding LULUCF baseline, UNFCCC) translates to -28% incl. LULUCF (UNFCCC) with net-net accounting rules</v>
          </cell>
          <cell r="JU8">
            <v>579</v>
          </cell>
          <cell r="JV8" t="str">
            <v>Emissions amount</v>
          </cell>
          <cell r="JW8">
            <v>579</v>
          </cell>
          <cell r="JX8" t="str">
            <v>Headline -30% reduction on 2005 target (on an excluding LULUCF baseline, UNFCCC) translates to -28% incl. LULUCF (UNFCCC) with net-net accounting rules.</v>
          </cell>
          <cell r="JY8">
            <v>579</v>
          </cell>
          <cell r="JZ8" t="str">
            <v>Emissions amount</v>
          </cell>
          <cell r="KA8">
            <v>579</v>
          </cell>
          <cell r="KB8" t="str">
            <v>Headline -30% reduction on 2005 target (on an excluding LULUCF baseline, UNFCCC) translates to -28% incl. LULUCF (UNFCCC) with net-net accounting rules</v>
          </cell>
          <cell r="KC8">
            <v>579</v>
          </cell>
          <cell r="KD8" t="str">
            <v>Emissions amount</v>
          </cell>
          <cell r="KE8">
            <v>579</v>
          </cell>
          <cell r="KF8" t="str">
            <v>Headline -30% reduction on 2005 target (on an excluding LULUCF baseline, UNFCCC) translates to -28% incl. LULUCF (UNFCCC) with net-net accounting rules.</v>
          </cell>
          <cell r="KG8">
            <v>579</v>
          </cell>
          <cell r="KH8" t="str">
            <v>Emissions amount</v>
          </cell>
          <cell r="KI8">
            <v>579</v>
          </cell>
          <cell r="KJ8" t="str">
            <v>Headline -30% reduction on 2005 target (on an excluding LULUCF baseline, UNFCCC) translates to -28% incl. LULUCF (UNFCCC) with net-net accounting rules</v>
          </cell>
          <cell r="KK8">
            <v>579</v>
          </cell>
          <cell r="KL8" t="str">
            <v>Emissions amount</v>
          </cell>
          <cell r="KM8">
            <v>579</v>
          </cell>
          <cell r="KN8" t="str">
            <v>Headline -30% reduction on 2005 target (on an excluding LULUCF baseline, UNFCCC) translates to -28% incl. LULUCF (UNFCCC) with net-net accounting rules</v>
          </cell>
          <cell r="KO8">
            <v>579</v>
          </cell>
          <cell r="KP8" t="str">
            <v>Emissions amount</v>
          </cell>
          <cell r="KQ8">
            <v>579</v>
          </cell>
          <cell r="KR8" t="str">
            <v>Headline -30% reduction on 2005 target (on an excluding LULUCF baseline, UNFCCC) translates to -28% incl. LULUCF (UNFCCC) with net-net accounting rules</v>
          </cell>
          <cell r="KS8">
            <v>579</v>
          </cell>
          <cell r="KT8" t="str">
            <v>Emissions amount</v>
          </cell>
          <cell r="KU8">
            <v>579</v>
          </cell>
          <cell r="KV8" t="str">
            <v>Headline -30% reduction on 2005 target (on an excluding LULUCF baseline, UNFCCC) translates to -28% incl. LULUCF (UNFCCC) with net-net accounting rules.</v>
          </cell>
          <cell r="KW8">
            <v>579</v>
          </cell>
          <cell r="KX8" t="str">
            <v>Emissions amount</v>
          </cell>
          <cell r="KY8">
            <v>579</v>
          </cell>
          <cell r="KZ8" t="str">
            <v>Headline -30% reduction on 2005 target (on an excluding LULUCF baseline, UNFCCC) translates to -28% incl. LULUCF (UNFCCC) with net-net accounting rules</v>
          </cell>
          <cell r="LA8">
            <v>579</v>
          </cell>
          <cell r="LB8" t="str">
            <v>Emissions amount</v>
          </cell>
          <cell r="LC8">
            <v>579</v>
          </cell>
          <cell r="LD8" t="str">
            <v>Headline -30% reduction on 2005 target (on an excluding LULUCF baseline, UNFCCC) translates to -28% incl. LULUCF (UNFCCC) with net-net accounting rules.</v>
          </cell>
          <cell r="LE8">
            <v>579</v>
          </cell>
          <cell r="LF8" t="str">
            <v>Emissions amount</v>
          </cell>
          <cell r="LG8">
            <v>579</v>
          </cell>
          <cell r="LH8" t="str">
            <v>Headline -30% reduction on 2005 target (on an excluding LULUCF baseline, UNFCCC) translates to -28% incl. LULUCF (UNFCCC) with net-net accounting rules.</v>
          </cell>
          <cell r="LI8">
            <v>579</v>
          </cell>
          <cell r="LJ8" t="str">
            <v>Emissions amount</v>
          </cell>
          <cell r="LK8">
            <v>579</v>
          </cell>
          <cell r="LL8" t="str">
            <v>Headline -30% reduction on 2005 target (on an excluding LULUCF baseline, UNFCCC) translates to -28% incl. LULUCF (UNFCCC) with net-net accounting rules.</v>
          </cell>
          <cell r="LM8">
            <v>579</v>
          </cell>
          <cell r="LN8" t="str">
            <v>Emissions amount</v>
          </cell>
          <cell r="LO8">
            <v>579</v>
          </cell>
          <cell r="LP8" t="str">
            <v>Headline -30% reduction on 2005 target (on an excluding LULUCF baseline, UNFCCC) translates to -28% incl. LULUCF (UNFCCC) with net-net accounting rules.</v>
          </cell>
          <cell r="LQ8">
            <v>579</v>
          </cell>
          <cell r="LR8" t="str">
            <v>Emissions amount</v>
          </cell>
          <cell r="LS8">
            <v>579</v>
          </cell>
          <cell r="LT8" t="str">
            <v>Headline -30% reduction on 2005 target (on an excluding LULUCF baseline, UNFCCC) translates to -28% incl. LULUCF (UNFCCC) with net-net accounting rules</v>
          </cell>
          <cell r="LU8">
            <v>579</v>
          </cell>
          <cell r="LV8" t="str">
            <v>Emissions amount</v>
          </cell>
          <cell r="LW8">
            <v>579</v>
          </cell>
          <cell r="LX8" t="str">
            <v>Headline -30% reduction on 2005 target (on an excluding LULUCF baseline, UNFCCC) translates to -28% incl. LULUCF (UNFCCC) with net-net accounting rules</v>
          </cell>
          <cell r="LY8">
            <v>579</v>
          </cell>
          <cell r="LZ8" t="str">
            <v>Emissions amount</v>
          </cell>
          <cell r="MA8">
            <v>579</v>
          </cell>
          <cell r="MB8" t="str">
            <v>Headline -30% reduction on 2005 target (on an excluding LULUCF baseline, UNFCCC) translates to -28% incl. LULUCF (UNFCCC) with net-net accounting rules.</v>
          </cell>
          <cell r="MC8">
            <v>579</v>
          </cell>
          <cell r="MD8" t="str">
            <v>Emissions amount</v>
          </cell>
          <cell r="ME8">
            <v>579</v>
          </cell>
          <cell r="MF8" t="str">
            <v>Headline -30% reduction on 2005 target (on an excluding LULUCF baseline, UNFCCC) translates to -28% incl. LULUCF (UNFCCC) with net-net accounting rules</v>
          </cell>
          <cell r="MG8">
            <v>579</v>
          </cell>
          <cell r="MH8" t="str">
            <v>Emissions amount</v>
          </cell>
          <cell r="MI8">
            <v>579</v>
          </cell>
          <cell r="MJ8" t="str">
            <v>Headline -30% reduction on 2005 target (on an excluding LULUCF baseline, UNFCCC) translates to -28% incl. LULUCF (UNFCCC) with net-net accounting rules</v>
          </cell>
          <cell r="MK8">
            <v>579</v>
          </cell>
          <cell r="ML8" t="str">
            <v>Emissions amount</v>
          </cell>
          <cell r="MM8">
            <v>579</v>
          </cell>
          <cell r="MN8" t="str">
            <v>Headline -30% reduction on 2005 target (on an excluding LULUCF baseline, UNFCCC) translates to -28% incl. LULUCF (UNFCCC) with net-net accounting rules.</v>
          </cell>
          <cell r="MO8">
            <v>579</v>
          </cell>
          <cell r="MP8" t="str">
            <v>Emissions amount</v>
          </cell>
          <cell r="MQ8">
            <v>579</v>
          </cell>
          <cell r="MR8" t="str">
            <v>Headline -30% reduction on 2005 target (on an excluding LULUCF baseline, UNFCCC) translates to -28% incl. LULUCF (UNFCCC) with net-net accounting rules</v>
          </cell>
          <cell r="MS8">
            <v>579</v>
          </cell>
          <cell r="MT8" t="str">
            <v>Emissions amount</v>
          </cell>
          <cell r="MU8">
            <v>579</v>
          </cell>
          <cell r="MV8" t="str">
            <v>Headline -30% reduction on 2005 target (on an excluding LULUCF baseline, UNFCCC) translates to -28% incl. LULUCF (UNFCCC) with net-net accounting rules</v>
          </cell>
          <cell r="MW8">
            <v>579</v>
          </cell>
          <cell r="MX8" t="str">
            <v>Emissions amount</v>
          </cell>
          <cell r="MY8">
            <v>579</v>
          </cell>
          <cell r="MZ8" t="str">
            <v>Headline -30% reduction on 2005 target (on an excluding LULUCF baseline, UNFCCC) translates to -28% incl. LULUCF (UNFCCC) with net-net accounting rules.</v>
          </cell>
          <cell r="NA8">
            <v>579</v>
          </cell>
          <cell r="NB8" t="str">
            <v>Emissions amount</v>
          </cell>
          <cell r="NC8">
            <v>579</v>
          </cell>
          <cell r="ND8" t="str">
            <v>Headline -30% reduction on 2005 target (on an excluding LULUCF baseline, UNFCCC) translates to -28% incl. LULUCF (UNFCCC) with net-net accounting rules</v>
          </cell>
          <cell r="NE8">
            <v>579</v>
          </cell>
          <cell r="NF8" t="str">
            <v>Emissions amount</v>
          </cell>
          <cell r="NG8">
            <v>579</v>
          </cell>
          <cell r="NH8" t="str">
            <v>Headline -30% reduction on 2005 target (on an excluding LULUCF baseline, UNFCCC) translates to -28% incl. LULUCF (UNFCCC) with net-net accounting rules.</v>
          </cell>
          <cell r="NI8">
            <v>579</v>
          </cell>
          <cell r="NJ8" t="str">
            <v>Emissions amount</v>
          </cell>
          <cell r="NK8">
            <v>579</v>
          </cell>
          <cell r="NL8" t="str">
            <v>Headline -30% reduction on 2005 target (on an excluding LULUCF baseline, UNFCCC) translates to -28% incl. LULUCF (UNFCCC) with net-net accounting rules.</v>
          </cell>
          <cell r="NM8">
            <v>579</v>
          </cell>
          <cell r="NN8" t="str">
            <v>Emissions amount</v>
          </cell>
          <cell r="NO8">
            <v>579</v>
          </cell>
          <cell r="NP8" t="str">
            <v>Headline -30% reduction on 2005 target (on an excluding LULUCF baseline, UNFCCC) translates to -28% incl. LULUCF (UNFCCC) with net-net accounting rules.</v>
          </cell>
          <cell r="NQ8">
            <v>579</v>
          </cell>
          <cell r="NR8" t="str">
            <v>Emissions amount</v>
          </cell>
          <cell r="NS8">
            <v>579</v>
          </cell>
          <cell r="NT8" t="str">
            <v>Headline -30% reduction on 2005 target (on an excluding LULUCF baseline, UNFCCC) translates to -28% incl. LULUCF (UNFCCC) with net-net accounting rules</v>
          </cell>
          <cell r="NU8">
            <v>579</v>
          </cell>
          <cell r="NV8" t="str">
            <v>Emissions amount</v>
          </cell>
          <cell r="NW8">
            <v>579</v>
          </cell>
          <cell r="NX8" t="str">
            <v>Headline -30% reduction on 2005 target (on an excluding LULUCF baseline, UNFCCC) translates to -28% incl. LULUCF (UNFCCC) with net-net accounting rules.</v>
          </cell>
          <cell r="NY8">
            <v>579</v>
          </cell>
          <cell r="NZ8" t="str">
            <v>Emissions amount</v>
          </cell>
          <cell r="OA8">
            <v>579</v>
          </cell>
          <cell r="OB8" t="str">
            <v>Headline -30% reduction on 2005 target (on an excluding LULUCF baseline, UNFCCC) translates to -28% incl. LULUCF (UNFCCC) with net-net accounting rules</v>
          </cell>
          <cell r="OC8">
            <v>579</v>
          </cell>
          <cell r="OD8" t="str">
            <v>Emissions amount</v>
          </cell>
          <cell r="OE8">
            <v>579</v>
          </cell>
          <cell r="OF8" t="str">
            <v>Headline -30% reduction on 2005 target (on an excluding LULUCF baseline, UNFCCC) translates to -28% incl. LULUCF (UNFCCC) with net-net accounting rules</v>
          </cell>
          <cell r="OG8">
            <v>579</v>
          </cell>
          <cell r="OH8" t="str">
            <v>Emissions amount</v>
          </cell>
          <cell r="OI8">
            <v>579</v>
          </cell>
          <cell r="OJ8" t="str">
            <v>Headline -30% reduction on 2005 target (on an excluding LULUCF baseline, UNFCCC) translates to -28% incl. LULUCF (UNFCCC) with net-net accounting rules.</v>
          </cell>
          <cell r="OK8">
            <v>579</v>
          </cell>
          <cell r="OL8" t="str">
            <v>Emissions amount</v>
          </cell>
          <cell r="OM8">
            <v>579</v>
          </cell>
          <cell r="ON8" t="str">
            <v>Headline -30% reduction on 2005 target (on an excluding LULUCF baseline, UNFCCC) translates to -28% incl. LULUCF (UNFCCC) with net-net accounting rules</v>
          </cell>
          <cell r="OO8">
            <v>579</v>
          </cell>
          <cell r="OP8" t="str">
            <v>Emissions amount</v>
          </cell>
          <cell r="OQ8">
            <v>579</v>
          </cell>
          <cell r="OR8" t="str">
            <v>Headline -30% reduction on 2005 target (on an excluding LULUCF baseline, UNFCCC) translates to -28% incl. LULUCF (UNFCCC) with net-net accounting rules.</v>
          </cell>
          <cell r="OS8">
            <v>579</v>
          </cell>
          <cell r="OT8" t="str">
            <v>Emissions amount</v>
          </cell>
          <cell r="OU8">
            <v>579</v>
          </cell>
          <cell r="OV8" t="str">
            <v>Headline -30% reduction on 2005 target (on an excluding LULUCF baseline, UNFCCC) translates to -28% incl. LULUCF (UNFCCC) with net-net accounting rules</v>
          </cell>
          <cell r="OW8">
            <v>579</v>
          </cell>
          <cell r="OX8" t="str">
            <v>Emissions amount</v>
          </cell>
          <cell r="OY8">
            <v>579</v>
          </cell>
          <cell r="OZ8" t="str">
            <v>Headline -30% reduction on 2005 target (on an excluding LULUCF baseline, UNFCCC) translates to -28% incl. LULUCF (UNFCCC) with net-net accounting rules.</v>
          </cell>
          <cell r="PA8">
            <v>579</v>
          </cell>
          <cell r="PB8" t="str">
            <v>Emissions amount</v>
          </cell>
          <cell r="PC8">
            <v>579</v>
          </cell>
          <cell r="PD8" t="str">
            <v>Headline -30% reduction on 2005 target (on an excluding LULUCF baseline, UNFCCC) translates to -28% incl. LULUCF (UNFCCC) with net-net accounting rules.</v>
          </cell>
          <cell r="PE8">
            <v>579</v>
          </cell>
          <cell r="PF8" t="str">
            <v>Emissions amount</v>
          </cell>
          <cell r="PG8">
            <v>579</v>
          </cell>
          <cell r="PH8" t="str">
            <v>Headline -30% reduction on 2005 target (on an excluding LULUCF baseline, UNFCCC) translates to -28% incl. LULUCF (UNFCCC) with net-net accounting rules</v>
          </cell>
          <cell r="PI8">
            <v>579</v>
          </cell>
          <cell r="PJ8" t="str">
            <v>Emissions amount</v>
          </cell>
          <cell r="PK8">
            <v>579</v>
          </cell>
          <cell r="PL8" t="str">
            <v>Headline -30% reduction on 2005 target (on an excluding LULUCF baseline, UNFCCC) translates to -28% incl. LULUCF (UNFCCC) with net-net accounting rules</v>
          </cell>
          <cell r="PM8">
            <v>579</v>
          </cell>
          <cell r="PN8" t="str">
            <v>Emissions amount</v>
          </cell>
          <cell r="PO8">
            <v>579</v>
          </cell>
          <cell r="PP8" t="str">
            <v>Headline -30% reduction on 2005 target (on an excluding LULUCF baseline, UNFCCC) translates to -28% incl. LULUCF (UNFCCC) with net-net accounting rules.</v>
          </cell>
          <cell r="PQ8">
            <v>579</v>
          </cell>
          <cell r="PR8" t="str">
            <v>Emissions amount</v>
          </cell>
          <cell r="PS8">
            <v>579</v>
          </cell>
          <cell r="PT8" t="str">
            <v>Headline -30% reduction on 2005 target (on an excluding LULUCF baseline, UNFCCC) translates to -28% incl. LULUCF (UNFCCC) with net-net accounting rules</v>
          </cell>
          <cell r="PU8">
            <v>579</v>
          </cell>
          <cell r="PV8" t="str">
            <v>Emissions amount</v>
          </cell>
          <cell r="PW8">
            <v>579</v>
          </cell>
          <cell r="PX8" t="str">
            <v>Headline -30% reduction on 2005 target (on an excluding LULUCF baseline, UNFCCC) translates to -28% incl. LULUCF (UNFCCC) with net-net accounting rules.</v>
          </cell>
          <cell r="PY8">
            <v>579</v>
          </cell>
          <cell r="PZ8" t="str">
            <v>Emissions amount</v>
          </cell>
          <cell r="QA8">
            <v>579</v>
          </cell>
          <cell r="QB8" t="str">
            <v>Headline -30% reduction on 2005 target (on an excluding LULUCF baseline, UNFCCC) translates to -28% incl. LULUCF (UNFCCC) with net-net accounting rules</v>
          </cell>
          <cell r="QC8">
            <v>579</v>
          </cell>
          <cell r="QD8" t="str">
            <v>Emissions amount</v>
          </cell>
          <cell r="QE8">
            <v>579</v>
          </cell>
          <cell r="QF8" t="str">
            <v>Headline -30% reduction on 2005 target (on an excluding LULUCF baseline, UNFCCC) translates to -28% incl. LULUCF (UNFCCC) with net-net accounting rules</v>
          </cell>
          <cell r="QG8">
            <v>579</v>
          </cell>
          <cell r="QH8" t="str">
            <v>Emissions amount</v>
          </cell>
          <cell r="QI8">
            <v>579</v>
          </cell>
          <cell r="QJ8" t="str">
            <v>Headline -30% reduction on 2005 target (on an excluding LULUCF baseline, UNFCCC) translates to -28% incl. LULUCF (UNFCCC) with net-net accounting rules</v>
          </cell>
          <cell r="QK8">
            <v>579</v>
          </cell>
          <cell r="QL8" t="str">
            <v>Emissions amount</v>
          </cell>
          <cell r="QM8">
            <v>579</v>
          </cell>
          <cell r="QN8" t="str">
            <v>Headline -30% reduction on 2005 target (on an excluding LULUCF baseline, UNFCCC) translates to -28% incl. LULUCF (UNFCCC) with net-net accounting rules</v>
          </cell>
          <cell r="QO8">
            <v>579</v>
          </cell>
          <cell r="QP8" t="str">
            <v>Emissions amount</v>
          </cell>
          <cell r="QQ8">
            <v>579</v>
          </cell>
          <cell r="QR8" t="str">
            <v>Headline -30% reduction on 2005 target (on an excluding LULUCF baseline, UNFCCC) translates to -28% incl. LULUCF (UNFCCC) with net-net accounting rules.</v>
          </cell>
          <cell r="QS8">
            <v>579</v>
          </cell>
          <cell r="QT8" t="str">
            <v>Emissions amount</v>
          </cell>
          <cell r="QU8">
            <v>579</v>
          </cell>
          <cell r="QV8" t="str">
            <v>Headline -30% reduction on 2005 target (on an excluding LULUCF baseline, UNFCCC) translates to -28% incl. LULUCF (UNFCCC) with net-net accounting rules</v>
          </cell>
          <cell r="QW8">
            <v>579</v>
          </cell>
          <cell r="QX8" t="str">
            <v>Emissions amount</v>
          </cell>
          <cell r="QY8">
            <v>579</v>
          </cell>
          <cell r="QZ8" t="str">
            <v>Headline -30% reduction on 2005 target (on an excluding LULUCF baseline, UNFCCC) translates to -28% incl. LULUCF (UNFCCC) with net-net accounting rules</v>
          </cell>
          <cell r="RA8">
            <v>579</v>
          </cell>
          <cell r="RB8" t="str">
            <v>Emissions amount</v>
          </cell>
          <cell r="RC8">
            <v>579</v>
          </cell>
          <cell r="RD8" t="str">
            <v>Headline -30% reduction on 2005 target (on an excluding LULUCF baseline, UNFCCC) translates to -28% incl. LULUCF (UNFCCC) with net-net accounting rules.</v>
          </cell>
          <cell r="RE8">
            <v>579</v>
          </cell>
          <cell r="RF8" t="str">
            <v>Emissions amount</v>
          </cell>
          <cell r="RG8">
            <v>579</v>
          </cell>
          <cell r="RH8" t="str">
            <v>Headline -30% reduction on 2005 target (on an excluding LULUCF baseline, UNFCCC) translates to -28% incl. LULUCF (UNFCCC) with net-net accounting rules</v>
          </cell>
          <cell r="RI8">
            <v>579</v>
          </cell>
          <cell r="RJ8" t="str">
            <v>Emissions amount</v>
          </cell>
          <cell r="RK8">
            <v>579</v>
          </cell>
          <cell r="RL8" t="str">
            <v>Headline -30% reduction on 2005 target (on an excluding LULUCF baseline, UNFCCC) translates to -28% incl. LULUCF (UNFCCC) with net-net accounting rules.</v>
          </cell>
          <cell r="RM8">
            <v>579</v>
          </cell>
          <cell r="RN8" t="str">
            <v>Emissions amount</v>
          </cell>
          <cell r="RO8">
            <v>579</v>
          </cell>
          <cell r="RP8" t="str">
            <v>Headline -30% reduction on 2005 target (on an excluding LULUCF baseline, UNFCCC) translates to -28% incl. LULUCF (UNFCCC) with net-net accounting rules</v>
          </cell>
          <cell r="RQ8">
            <v>579</v>
          </cell>
          <cell r="RR8" t="str">
            <v>Emissions amount</v>
          </cell>
          <cell r="RS8">
            <v>579</v>
          </cell>
          <cell r="RT8" t="str">
            <v>Headline -30% reduction on 2005 target (on an excluding LULUCF baseline, UNFCCC) translates to -28% incl. LULUCF (UNFCCC) with net-net accounting rules</v>
          </cell>
          <cell r="RU8">
            <v>579</v>
          </cell>
        </row>
        <row r="9">
          <cell r="A9" t="str">
            <v>Japan</v>
          </cell>
          <cell r="B9" t="str">
            <v>Abatement amount</v>
          </cell>
          <cell r="C9">
            <v>582.77233886718761</v>
          </cell>
          <cell r="D9">
            <v>0</v>
          </cell>
          <cell r="E9">
            <v>747.76456410781236</v>
          </cell>
          <cell r="F9" t="str">
            <v>Abatement amount</v>
          </cell>
          <cell r="G9">
            <v>290.16778564453125</v>
          </cell>
          <cell r="I9">
            <v>1040.3691173304687</v>
          </cell>
          <cell r="J9" t="str">
            <v>Abatement amount</v>
          </cell>
          <cell r="K9">
            <v>242.54319763183594</v>
          </cell>
          <cell r="M9">
            <v>1087.993705343164</v>
          </cell>
          <cell r="N9" t="str">
            <v>Abatement amount</v>
          </cell>
          <cell r="O9">
            <v>242.54319763183594</v>
          </cell>
          <cell r="Q9">
            <v>1087.993705343164</v>
          </cell>
          <cell r="R9" t="str">
            <v>Abatement amount</v>
          </cell>
          <cell r="S9">
            <v>378.54241943359375</v>
          </cell>
          <cell r="U9">
            <v>951.99448354140623</v>
          </cell>
          <cell r="V9" t="str">
            <v>Abatement amount</v>
          </cell>
          <cell r="W9">
            <v>514.5416259765625</v>
          </cell>
          <cell r="Y9">
            <v>815.99527699843748</v>
          </cell>
          <cell r="Z9" t="str">
            <v>Abatement amount</v>
          </cell>
          <cell r="AA9">
            <v>641.4547119140625</v>
          </cell>
          <cell r="AC9">
            <v>689.08219106093748</v>
          </cell>
          <cell r="AD9" t="str">
            <v>Abatement amount</v>
          </cell>
          <cell r="AE9">
            <v>278.44207763671875</v>
          </cell>
          <cell r="AG9">
            <v>1052.0948253382812</v>
          </cell>
          <cell r="AH9" t="str">
            <v>Abatement amount</v>
          </cell>
          <cell r="AI9">
            <v>318.73341453919784</v>
          </cell>
          <cell r="AK9">
            <v>1011.8034884358021</v>
          </cell>
          <cell r="AL9" t="str">
            <v>Abatement amount</v>
          </cell>
          <cell r="AM9">
            <v>318.73341453919784</v>
          </cell>
          <cell r="AO9">
            <v>1011.8034884358021</v>
          </cell>
          <cell r="AP9" t="str">
            <v>Abatement amount</v>
          </cell>
          <cell r="AQ9">
            <v>454.73263634095576</v>
          </cell>
          <cell r="AS9">
            <v>875.80426663404421</v>
          </cell>
          <cell r="AT9" t="str">
            <v>Abatement amount</v>
          </cell>
          <cell r="AU9">
            <v>590.73184288392451</v>
          </cell>
          <cell r="AW9">
            <v>739.80506009107546</v>
          </cell>
          <cell r="AX9" t="str">
            <v>Emissions amount</v>
          </cell>
          <cell r="AY9">
            <v>1330.536902975</v>
          </cell>
          <cell r="BA9">
            <v>1330.536902975</v>
          </cell>
          <cell r="BB9" t="str">
            <v>Emissions amount</v>
          </cell>
          <cell r="BC9">
            <v>1330.536902975</v>
          </cell>
          <cell r="BE9">
            <v>1330.536902975</v>
          </cell>
          <cell r="BF9" t="str">
            <v>Emissions amount</v>
          </cell>
          <cell r="BG9">
            <v>1330.536902975</v>
          </cell>
          <cell r="BI9">
            <v>1330.536902975</v>
          </cell>
          <cell r="BJ9" t="str">
            <v>Emissions amount</v>
          </cell>
          <cell r="BK9">
            <v>1330.536902975</v>
          </cell>
          <cell r="BM9">
            <v>1330.536902975</v>
          </cell>
          <cell r="BN9" t="str">
            <v>Emissions amount</v>
          </cell>
          <cell r="BO9">
            <v>1330.536902975</v>
          </cell>
          <cell r="BQ9">
            <v>1330.536902975</v>
          </cell>
          <cell r="BR9" t="str">
            <v>Reduction on 2005</v>
          </cell>
          <cell r="BS9">
            <v>0.1</v>
          </cell>
          <cell r="BU9">
            <v>1223.9929255847169</v>
          </cell>
          <cell r="BV9" t="str">
            <v>Reduction on 2005</v>
          </cell>
          <cell r="BW9">
            <v>0.2</v>
          </cell>
          <cell r="BY9">
            <v>1087.9937116308595</v>
          </cell>
          <cell r="BZ9" t="str">
            <v>Emissions amount</v>
          </cell>
          <cell r="CA9">
            <v>1330.536902975</v>
          </cell>
          <cell r="CC9">
            <v>1330.536902975</v>
          </cell>
          <cell r="CD9" t="str">
            <v>Emissions amount</v>
          </cell>
          <cell r="CE9">
            <v>1330.536902975</v>
          </cell>
          <cell r="CG9">
            <v>1330.536902975</v>
          </cell>
          <cell r="CH9" t="str">
            <v>Reduction on 2005</v>
          </cell>
          <cell r="CI9">
            <v>0.1</v>
          </cell>
          <cell r="CK9">
            <v>1223.9929255847169</v>
          </cell>
          <cell r="CL9" t="str">
            <v>Reduction on 2005</v>
          </cell>
          <cell r="CM9">
            <v>0.2</v>
          </cell>
          <cell r="CO9">
            <v>1087.9937116308595</v>
          </cell>
          <cell r="CP9" t="str">
            <v>Reduction on 2005</v>
          </cell>
          <cell r="CQ9">
            <v>0.2</v>
          </cell>
          <cell r="CS9">
            <v>1087.9937116308595</v>
          </cell>
          <cell r="CT9" t="str">
            <v>Reduction on 2005</v>
          </cell>
          <cell r="CU9">
            <v>0.1</v>
          </cell>
          <cell r="CW9">
            <v>1223.9929255847169</v>
          </cell>
          <cell r="CX9" t="str">
            <v>Reduction on 2005</v>
          </cell>
          <cell r="CY9">
            <v>0.2</v>
          </cell>
          <cell r="DA9">
            <v>1087.9937116308595</v>
          </cell>
          <cell r="DB9" t="str">
            <v>Reduction on 2005</v>
          </cell>
          <cell r="DC9">
            <v>0.2</v>
          </cell>
          <cell r="DE9">
            <v>1087.9937116308595</v>
          </cell>
          <cell r="DF9" t="str">
            <v>Reduction on 2005</v>
          </cell>
          <cell r="DG9">
            <v>0.1</v>
          </cell>
          <cell r="DI9">
            <v>1223.9929255847169</v>
          </cell>
          <cell r="DJ9" t="str">
            <v>Emissions amount</v>
          </cell>
          <cell r="DK9">
            <v>1330.536902975</v>
          </cell>
          <cell r="DM9">
            <v>1330.536902975</v>
          </cell>
          <cell r="DN9" t="str">
            <v>Emissions amount</v>
          </cell>
          <cell r="DO9">
            <v>1330.536902975</v>
          </cell>
          <cell r="DQ9">
            <v>1330.536902975</v>
          </cell>
          <cell r="DR9" t="str">
            <v>Emissions amount</v>
          </cell>
          <cell r="DS9">
            <v>1330.536902975</v>
          </cell>
          <cell r="DU9">
            <v>1330.536902975</v>
          </cell>
          <cell r="DV9" t="str">
            <v>Emissions amount</v>
          </cell>
          <cell r="DW9">
            <v>1330.536902975</v>
          </cell>
          <cell r="DY9">
            <v>1330.536902975</v>
          </cell>
          <cell r="DZ9" t="str">
            <v>Reduction on 2005</v>
          </cell>
          <cell r="EA9">
            <v>0.1</v>
          </cell>
          <cell r="EC9">
            <v>1223.9929255847169</v>
          </cell>
          <cell r="ED9" t="str">
            <v>Reduction on 2005</v>
          </cell>
          <cell r="EE9">
            <v>0.2</v>
          </cell>
          <cell r="EG9">
            <v>1087.9937116308595</v>
          </cell>
          <cell r="EH9" t="str">
            <v>Abatement amount</v>
          </cell>
          <cell r="EI9">
            <v>0</v>
          </cell>
          <cell r="EK9">
            <v>1241.5103103989911</v>
          </cell>
          <cell r="EL9" t="str">
            <v>Abatement amount</v>
          </cell>
          <cell r="EM9">
            <v>0</v>
          </cell>
          <cell r="EO9">
            <v>1241.5103103989911</v>
          </cell>
          <cell r="EP9" t="str">
            <v>Abatement amount</v>
          </cell>
          <cell r="EQ9">
            <v>0</v>
          </cell>
          <cell r="ES9">
            <v>1241.5103103989911</v>
          </cell>
          <cell r="ET9" t="str">
            <v>Abatement amount</v>
          </cell>
          <cell r="EU9">
            <v>405.88513711192189</v>
          </cell>
          <cell r="EW9">
            <v>835.62517328706917</v>
          </cell>
          <cell r="EX9" t="str">
            <v>Abatement amount</v>
          </cell>
          <cell r="EY9">
            <v>284.18935106746682</v>
          </cell>
          <cell r="FA9">
            <v>957.32095933152436</v>
          </cell>
          <cell r="FB9" t="str">
            <v>Abatement amount</v>
          </cell>
          <cell r="FC9">
            <v>200.15698544147403</v>
          </cell>
          <cell r="FE9">
            <v>1041.3533249575171</v>
          </cell>
          <cell r="FF9" t="str">
            <v>Emissions amount</v>
          </cell>
          <cell r="FG9">
            <v>1006</v>
          </cell>
          <cell r="FI9">
            <v>1006</v>
          </cell>
          <cell r="FJ9" t="str">
            <v>Emissions amount</v>
          </cell>
          <cell r="FK9">
            <v>1006</v>
          </cell>
          <cell r="FM9">
            <v>1006</v>
          </cell>
          <cell r="FN9" t="str">
            <v>Emissions amount</v>
          </cell>
          <cell r="FO9">
            <v>1006</v>
          </cell>
          <cell r="FQ9">
            <v>1006</v>
          </cell>
          <cell r="FR9" t="str">
            <v>Emissions amount</v>
          </cell>
          <cell r="FS9">
            <v>1006</v>
          </cell>
          <cell r="FU9">
            <v>1006</v>
          </cell>
          <cell r="FV9" t="str">
            <v>Abatement amount</v>
          </cell>
          <cell r="FW9">
            <v>231.44717407226563</v>
          </cell>
          <cell r="FY9">
            <v>1010.0631363267255</v>
          </cell>
          <cell r="FZ9" t="str">
            <v>Abatement amount</v>
          </cell>
          <cell r="GA9">
            <v>294.57611083984375</v>
          </cell>
          <cell r="GC9">
            <v>946.93419955914737</v>
          </cell>
          <cell r="GD9" t="str">
            <v>Abatement amount</v>
          </cell>
          <cell r="GE9">
            <v>357.70504760742188</v>
          </cell>
          <cell r="GG9">
            <v>883.80526279156925</v>
          </cell>
          <cell r="GH9" t="str">
            <v>Abatement amount</v>
          </cell>
          <cell r="GI9">
            <v>483.96295166015625</v>
          </cell>
          <cell r="GK9">
            <v>757.54735873883487</v>
          </cell>
          <cell r="GL9" t="str">
            <v>Abatement amount</v>
          </cell>
          <cell r="GM9">
            <v>426.0958300845424</v>
          </cell>
          <cell r="GO9">
            <v>815.41448031444872</v>
          </cell>
          <cell r="GP9" t="str">
            <v>Abatement amount</v>
          </cell>
          <cell r="GQ9">
            <v>207.59661062136547</v>
          </cell>
          <cell r="GS9">
            <v>1033.9136997776257</v>
          </cell>
          <cell r="GT9" t="str">
            <v>Abatement amount</v>
          </cell>
          <cell r="GU9">
            <v>298.34541128481305</v>
          </cell>
          <cell r="GW9">
            <v>943.16489911417807</v>
          </cell>
          <cell r="GX9" t="str">
            <v>Emissions amount</v>
          </cell>
          <cell r="GY9">
            <v>1006</v>
          </cell>
          <cell r="HA9">
            <v>1006</v>
          </cell>
          <cell r="HB9" t="str">
            <v>Emissions amount</v>
          </cell>
          <cell r="HC9">
            <v>1006</v>
          </cell>
          <cell r="HE9">
            <v>1006</v>
          </cell>
          <cell r="HF9" t="str">
            <v>Abatement amount</v>
          </cell>
          <cell r="HG9">
            <v>0</v>
          </cell>
          <cell r="HI9">
            <v>1241.5103103989911</v>
          </cell>
          <cell r="HJ9" t="str">
            <v>Abatement amount</v>
          </cell>
          <cell r="HK9">
            <v>0</v>
          </cell>
          <cell r="HM9">
            <v>1241.5103103989911</v>
          </cell>
          <cell r="HN9" t="str">
            <v>Emissions amount</v>
          </cell>
          <cell r="HO9">
            <v>1006</v>
          </cell>
          <cell r="HQ9">
            <v>1006</v>
          </cell>
          <cell r="HR9" t="str">
            <v>Emissions amount</v>
          </cell>
          <cell r="HS9">
            <v>1006</v>
          </cell>
          <cell r="HU9">
            <v>1006</v>
          </cell>
          <cell r="HV9" t="str">
            <v>Emissions amount</v>
          </cell>
          <cell r="HW9">
            <v>1006</v>
          </cell>
          <cell r="HX9" t="str">
            <v>Japan’s headline -26% on 2013/25% on 2005 target translates to -20% on 2005 incl. LULUCF.</v>
          </cell>
          <cell r="HY9">
            <v>1006</v>
          </cell>
          <cell r="HZ9" t="str">
            <v>Emissions amount</v>
          </cell>
          <cell r="IA9">
            <v>1006</v>
          </cell>
          <cell r="IB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IC9">
            <v>1006</v>
          </cell>
          <cell r="ID9" t="str">
            <v>Emissions amount</v>
          </cell>
          <cell r="IE9">
            <v>1006</v>
          </cell>
          <cell r="IF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IG9">
            <v>1006</v>
          </cell>
          <cell r="IH9" t="str">
            <v>Emissions amount</v>
          </cell>
          <cell r="II9">
            <v>1006</v>
          </cell>
          <cell r="IJ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IK9">
            <v>1006</v>
          </cell>
          <cell r="IL9" t="str">
            <v>Emissions amount</v>
          </cell>
          <cell r="IM9">
            <v>1006</v>
          </cell>
          <cell r="IN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IO9">
            <v>1006</v>
          </cell>
          <cell r="IP9" t="str">
            <v>Emissions amount</v>
          </cell>
          <cell r="IQ9">
            <v>1006</v>
          </cell>
          <cell r="IR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IS9">
            <v>1006</v>
          </cell>
          <cell r="IT9" t="str">
            <v>Emissions amount</v>
          </cell>
          <cell r="IU9">
            <v>1006</v>
          </cell>
          <cell r="IV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IW9">
            <v>1006</v>
          </cell>
          <cell r="IX9" t="str">
            <v>Emissions amount</v>
          </cell>
          <cell r="IY9">
            <v>1006</v>
          </cell>
          <cell r="IZ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JA9">
            <v>1006</v>
          </cell>
          <cell r="JB9" t="str">
            <v>Emissions amount</v>
          </cell>
          <cell r="JC9">
            <v>1006</v>
          </cell>
          <cell r="JD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JE9">
            <v>1006</v>
          </cell>
          <cell r="JF9" t="str">
            <v>Emissions amount</v>
          </cell>
          <cell r="JG9">
            <v>1006</v>
          </cell>
          <cell r="JH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JI9">
            <v>1006</v>
          </cell>
          <cell r="JJ9" t="str">
            <v>Emissions amount</v>
          </cell>
          <cell r="JK9">
            <v>1006</v>
          </cell>
          <cell r="JL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JM9">
            <v>1006</v>
          </cell>
          <cell r="JN9" t="str">
            <v>Emissions amount</v>
          </cell>
          <cell r="JO9">
            <v>1006</v>
          </cell>
          <cell r="JP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JQ9">
            <v>1006</v>
          </cell>
          <cell r="JR9" t="str">
            <v>Emissions amount</v>
          </cell>
          <cell r="JS9">
            <v>1006</v>
          </cell>
          <cell r="JT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JU9">
            <v>1006</v>
          </cell>
          <cell r="JV9" t="str">
            <v>Emissions amount</v>
          </cell>
          <cell r="JW9">
            <v>1006</v>
          </cell>
          <cell r="JX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JY9">
            <v>1006</v>
          </cell>
          <cell r="JZ9" t="str">
            <v>Emissions amount</v>
          </cell>
          <cell r="KA9">
            <v>1006</v>
          </cell>
          <cell r="KB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KC9">
            <v>1006</v>
          </cell>
          <cell r="KD9" t="str">
            <v>Emissions amount</v>
          </cell>
          <cell r="KE9">
            <v>1006</v>
          </cell>
          <cell r="KF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KG9">
            <v>1006</v>
          </cell>
          <cell r="KH9" t="str">
            <v>Emissions amount</v>
          </cell>
          <cell r="KI9">
            <v>1006</v>
          </cell>
          <cell r="KJ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KK9">
            <v>1006</v>
          </cell>
          <cell r="KL9" t="str">
            <v>Emissions amount</v>
          </cell>
          <cell r="KM9">
            <v>1006</v>
          </cell>
          <cell r="KN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KO9">
            <v>1006</v>
          </cell>
          <cell r="KP9" t="str">
            <v>Emissions amount</v>
          </cell>
          <cell r="KQ9">
            <v>1006</v>
          </cell>
          <cell r="KR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KS9">
            <v>1006</v>
          </cell>
          <cell r="KT9" t="str">
            <v>Emissions amount</v>
          </cell>
          <cell r="KU9">
            <v>1006</v>
          </cell>
          <cell r="KV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KW9">
            <v>1006</v>
          </cell>
          <cell r="KX9" t="str">
            <v>Emissions amount</v>
          </cell>
          <cell r="KY9">
            <v>1006</v>
          </cell>
          <cell r="KZ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LA9">
            <v>1006</v>
          </cell>
          <cell r="LB9" t="str">
            <v>Emissions amount</v>
          </cell>
          <cell r="LC9">
            <v>1006</v>
          </cell>
          <cell r="LD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LE9">
            <v>1006</v>
          </cell>
          <cell r="LF9" t="str">
            <v>Emissions amount</v>
          </cell>
          <cell r="LG9">
            <v>1006</v>
          </cell>
          <cell r="LH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LI9">
            <v>1006</v>
          </cell>
          <cell r="LJ9" t="str">
            <v>Emissions amount</v>
          </cell>
          <cell r="LK9">
            <v>1006</v>
          </cell>
          <cell r="LL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LM9">
            <v>1006</v>
          </cell>
          <cell r="LN9" t="str">
            <v>Emissions amount</v>
          </cell>
          <cell r="LO9">
            <v>1006</v>
          </cell>
          <cell r="LP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LQ9">
            <v>1006</v>
          </cell>
          <cell r="LR9" t="str">
            <v>Emissions amount</v>
          </cell>
          <cell r="LS9">
            <v>1006</v>
          </cell>
          <cell r="LT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LU9">
            <v>1006</v>
          </cell>
          <cell r="LV9" t="str">
            <v>Emissions amount</v>
          </cell>
          <cell r="LW9">
            <v>1006</v>
          </cell>
          <cell r="LX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LY9">
            <v>1006</v>
          </cell>
          <cell r="LZ9" t="str">
            <v>Emissions amount</v>
          </cell>
          <cell r="MA9">
            <v>1006</v>
          </cell>
          <cell r="MB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MC9">
            <v>1006</v>
          </cell>
          <cell r="MD9" t="str">
            <v>Emissions amount</v>
          </cell>
          <cell r="ME9">
            <v>1006</v>
          </cell>
          <cell r="MF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MG9">
            <v>1006</v>
          </cell>
          <cell r="MH9" t="str">
            <v>Emissions amount</v>
          </cell>
          <cell r="MI9">
            <v>1006</v>
          </cell>
          <cell r="MJ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MK9">
            <v>1006</v>
          </cell>
          <cell r="ML9" t="str">
            <v>Emissions amount</v>
          </cell>
          <cell r="MM9">
            <v>1006</v>
          </cell>
          <cell r="MN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MO9">
            <v>1006</v>
          </cell>
          <cell r="MP9" t="str">
            <v>Emissions amount</v>
          </cell>
          <cell r="MQ9">
            <v>1006</v>
          </cell>
          <cell r="MR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MS9">
            <v>1006</v>
          </cell>
          <cell r="MT9" t="str">
            <v>Emissions amount</v>
          </cell>
          <cell r="MU9">
            <v>1006</v>
          </cell>
          <cell r="MV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MW9">
            <v>1006</v>
          </cell>
          <cell r="MX9" t="str">
            <v>Emissions amount</v>
          </cell>
          <cell r="MY9">
            <v>1006</v>
          </cell>
          <cell r="MZ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NA9">
            <v>1006</v>
          </cell>
          <cell r="NB9" t="str">
            <v>Emissions amount</v>
          </cell>
          <cell r="NC9">
            <v>1006</v>
          </cell>
          <cell r="ND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NE9">
            <v>1006</v>
          </cell>
          <cell r="NF9" t="str">
            <v>Emissions amount</v>
          </cell>
          <cell r="NG9">
            <v>1006</v>
          </cell>
          <cell r="NH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NI9">
            <v>1006</v>
          </cell>
          <cell r="NJ9" t="str">
            <v>Emissions amount</v>
          </cell>
          <cell r="NK9">
            <v>1006</v>
          </cell>
          <cell r="NL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NM9">
            <v>1006</v>
          </cell>
          <cell r="NN9" t="str">
            <v>Emissions amount</v>
          </cell>
          <cell r="NO9">
            <v>1006</v>
          </cell>
          <cell r="NP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NQ9">
            <v>1006</v>
          </cell>
          <cell r="NR9" t="str">
            <v>Emissions amount</v>
          </cell>
          <cell r="NS9">
            <v>1006</v>
          </cell>
          <cell r="NT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NU9">
            <v>1006</v>
          </cell>
          <cell r="NV9" t="str">
            <v>Emissions amount</v>
          </cell>
          <cell r="NW9">
            <v>1006</v>
          </cell>
          <cell r="NX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NY9">
            <v>1006</v>
          </cell>
          <cell r="NZ9" t="str">
            <v>Emissions amount</v>
          </cell>
          <cell r="OA9">
            <v>1006</v>
          </cell>
          <cell r="OB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OC9">
            <v>1006</v>
          </cell>
          <cell r="OD9" t="str">
            <v>Emissions amount</v>
          </cell>
          <cell r="OE9">
            <v>1006</v>
          </cell>
          <cell r="OF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OG9">
            <v>1006</v>
          </cell>
          <cell r="OH9" t="str">
            <v>Emissions amount</v>
          </cell>
          <cell r="OI9">
            <v>1006</v>
          </cell>
          <cell r="OJ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OK9">
            <v>1006</v>
          </cell>
          <cell r="OL9" t="str">
            <v>Emissions amount</v>
          </cell>
          <cell r="OM9">
            <v>1006</v>
          </cell>
          <cell r="ON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OO9">
            <v>1006</v>
          </cell>
          <cell r="OP9" t="str">
            <v>Emissions amount</v>
          </cell>
          <cell r="OQ9">
            <v>1006</v>
          </cell>
          <cell r="OR9" t="str">
            <v xml:space="preserve">26% reduction on 2013 level excl. LULUCF (UNFCCC), translating to 20.3%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1006Mt of allowed emissions.
</v>
          </cell>
          <cell r="OS9">
            <v>1006</v>
          </cell>
          <cell r="OT9" t="str">
            <v>Emissions amount</v>
          </cell>
          <cell r="OU9">
            <v>1008</v>
          </cell>
          <cell r="OV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OW9">
            <v>1008</v>
          </cell>
          <cell r="OX9" t="str">
            <v>Emissions amount</v>
          </cell>
          <cell r="OY9">
            <v>1008</v>
          </cell>
          <cell r="OZ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PA9">
            <v>1008</v>
          </cell>
          <cell r="PB9" t="str">
            <v>Emissions amount</v>
          </cell>
          <cell r="PC9">
            <v>1008</v>
          </cell>
          <cell r="PD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PE9">
            <v>1008</v>
          </cell>
          <cell r="PF9" t="str">
            <v>Emissions amount</v>
          </cell>
          <cell r="PG9">
            <v>1008</v>
          </cell>
          <cell r="PH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PI9">
            <v>1008</v>
          </cell>
          <cell r="PJ9" t="str">
            <v>Emissions amount</v>
          </cell>
          <cell r="PK9">
            <v>1008</v>
          </cell>
          <cell r="PL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PM9">
            <v>1008</v>
          </cell>
          <cell r="PN9" t="str">
            <v>Emissions amount</v>
          </cell>
          <cell r="PO9">
            <v>1008</v>
          </cell>
          <cell r="PP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PQ9">
            <v>1008</v>
          </cell>
          <cell r="PR9" t="str">
            <v>Emissions amount</v>
          </cell>
          <cell r="PS9">
            <v>1008</v>
          </cell>
          <cell r="PT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PU9">
            <v>1008</v>
          </cell>
          <cell r="PV9" t="str">
            <v>Emissions amount</v>
          </cell>
          <cell r="PW9">
            <v>1008</v>
          </cell>
          <cell r="PX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PY9">
            <v>1008</v>
          </cell>
          <cell r="PZ9" t="str">
            <v>Emissions amount</v>
          </cell>
          <cell r="QA9">
            <v>1008</v>
          </cell>
          <cell r="QB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QC9">
            <v>1008</v>
          </cell>
          <cell r="QD9" t="str">
            <v>Emissions amount</v>
          </cell>
          <cell r="QE9">
            <v>1008</v>
          </cell>
          <cell r="QF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QG9">
            <v>1008</v>
          </cell>
          <cell r="QH9" t="str">
            <v>Emissions amount</v>
          </cell>
          <cell r="QI9">
            <v>1008</v>
          </cell>
          <cell r="QJ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QK9">
            <v>1008</v>
          </cell>
          <cell r="QL9" t="str">
            <v>Emissions amount</v>
          </cell>
          <cell r="QM9">
            <v>1008</v>
          </cell>
          <cell r="QN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QO9">
            <v>1008</v>
          </cell>
          <cell r="QP9" t="str">
            <v>Emissions amount</v>
          </cell>
          <cell r="QQ9">
            <v>1008</v>
          </cell>
          <cell r="QR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QS9">
            <v>1008</v>
          </cell>
          <cell r="QT9" t="str">
            <v>Emissions amount</v>
          </cell>
          <cell r="QU9">
            <v>1008</v>
          </cell>
          <cell r="QV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QW9">
            <v>1008</v>
          </cell>
          <cell r="QX9" t="str">
            <v>Emissions amount</v>
          </cell>
          <cell r="QY9">
            <v>1008</v>
          </cell>
          <cell r="QZ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RA9">
            <v>1008</v>
          </cell>
          <cell r="RB9" t="str">
            <v>Emissions amount</v>
          </cell>
          <cell r="RC9">
            <v>1008</v>
          </cell>
          <cell r="RD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RE9">
            <v>1008</v>
          </cell>
          <cell r="RF9" t="str">
            <v>Emissions amount</v>
          </cell>
          <cell r="RG9">
            <v>1008</v>
          </cell>
          <cell r="RH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RI9">
            <v>1008</v>
          </cell>
          <cell r="RJ9" t="str">
            <v>Emissions amount</v>
          </cell>
          <cell r="RK9">
            <v>1008</v>
          </cell>
          <cell r="RL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RM9">
            <v>1008</v>
          </cell>
          <cell r="RN9" t="str">
            <v>Emissions amount</v>
          </cell>
          <cell r="RO9">
            <v>1008</v>
          </cell>
          <cell r="RP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20.2% on 2005 with an including LULUCF baseline.  (Japan’s stated target emissions in the INDC includes LULUCF; the baseline it uses to express the % excludes LULUCF) 
The allowed 2030 emission for Japan under AR2 is calculated by doing 20.3% reduction on 2005 UNFCCC incl. LULUCF baseline. This gives 1008Mt of allowed emissions.
</v>
          </cell>
          <cell r="RQ9">
            <v>1008</v>
          </cell>
          <cell r="RR9" t="str">
            <v>Emissions amount</v>
          </cell>
          <cell r="RS9">
            <v>1008</v>
          </cell>
          <cell r="RT9" t="str">
            <v xml:space="preserve">26% reduction on 2013 level excl. LULUCF (UNFCCC), translating to 20.2% reduction on 2005 level incl. LULUCF. 
Historical figures published by Japan's ministry are now revised to be under the AR4 Global Warming Potentials methodology, which are not directly comparable with UNFCCC dataset or with emissions published by other countries. (as of May 2015)
Using baselines under the AR4 methodology, a 26% reduction on 2013 excluding LULUCF translates to 20.3% on 2005 with an including LULUCF baseline.  (Japan’s stated target emissions in the INDC includes LULUCF; the baseline it uses to express the % excludes LULUCF) 
The allowed 2030 emission for Japan under AR2 is calculated by doing 20.2% reduction on 2005 UNFCCC incl. LULUCF baseline. This gives 1008Mt of allowed emissions.
</v>
          </cell>
          <cell r="RU9">
            <v>1008</v>
          </cell>
        </row>
        <row r="10">
          <cell r="A10" t="str">
            <v>Mexico</v>
          </cell>
          <cell r="B10" t="str">
            <v>Abatement amount</v>
          </cell>
          <cell r="C10">
            <v>275.48128082229414</v>
          </cell>
          <cell r="D10">
            <v>0</v>
          </cell>
          <cell r="E10">
            <v>576.12255120937266</v>
          </cell>
          <cell r="F10" t="str">
            <v>Abatement amount</v>
          </cell>
          <cell r="G10">
            <v>124.34933048074367</v>
          </cell>
          <cell r="I10">
            <v>727.25450155092312</v>
          </cell>
          <cell r="J10" t="str">
            <v>Abatement amount</v>
          </cell>
          <cell r="K10">
            <v>170.32077026367188</v>
          </cell>
          <cell r="M10">
            <v>681.28306176799492</v>
          </cell>
          <cell r="N10" t="str">
            <v>Abatement amount</v>
          </cell>
          <cell r="O10">
            <v>170.32077026367188</v>
          </cell>
          <cell r="Q10">
            <v>681.28306176799492</v>
          </cell>
          <cell r="R10" t="str">
            <v>Abatement amount</v>
          </cell>
          <cell r="S10">
            <v>212.90095520019531</v>
          </cell>
          <cell r="U10">
            <v>638.70287683147149</v>
          </cell>
          <cell r="V10" t="str">
            <v>Abatement amount</v>
          </cell>
          <cell r="W10">
            <v>278.67974853515625</v>
          </cell>
          <cell r="Y10">
            <v>572.92408349651055</v>
          </cell>
          <cell r="Z10" t="str">
            <v>Abatement amount</v>
          </cell>
          <cell r="AA10">
            <v>275.48126220703125</v>
          </cell>
          <cell r="AC10">
            <v>576.12256982463555</v>
          </cell>
          <cell r="AD10" t="str">
            <v>Abatement amount</v>
          </cell>
          <cell r="AE10">
            <v>119.32436370849609</v>
          </cell>
          <cell r="AG10">
            <v>732.2794683231707</v>
          </cell>
          <cell r="AH10" t="str">
            <v>Abatement amount</v>
          </cell>
          <cell r="AI10">
            <v>170.32077026367188</v>
          </cell>
          <cell r="AK10">
            <v>681.28306176799492</v>
          </cell>
          <cell r="AL10" t="str">
            <v>Abatement amount</v>
          </cell>
          <cell r="AM10">
            <v>170.32077026367188</v>
          </cell>
          <cell r="AO10">
            <v>681.28306176799492</v>
          </cell>
          <cell r="AP10" t="str">
            <v>Abatement amount</v>
          </cell>
          <cell r="AQ10">
            <v>212.90095520019531</v>
          </cell>
          <cell r="AS10">
            <v>638.70287683147149</v>
          </cell>
          <cell r="AT10" t="str">
            <v>Abatement amount</v>
          </cell>
          <cell r="AU10">
            <v>263.64891052246094</v>
          </cell>
          <cell r="AW10">
            <v>587.95492150920586</v>
          </cell>
          <cell r="AX10" t="str">
            <v>Emissions amount</v>
          </cell>
          <cell r="AY10">
            <v>851.6038320316668</v>
          </cell>
          <cell r="BA10">
            <v>851.6038320316668</v>
          </cell>
          <cell r="BB10" t="str">
            <v>Emissions amount</v>
          </cell>
          <cell r="BC10">
            <v>851.6038320316668</v>
          </cell>
          <cell r="BE10">
            <v>851.6038320316668</v>
          </cell>
          <cell r="BF10" t="str">
            <v>Emissions amount</v>
          </cell>
          <cell r="BG10">
            <v>851.6038320316668</v>
          </cell>
          <cell r="BI10">
            <v>851.6038320316668</v>
          </cell>
          <cell r="BJ10" t="str">
            <v>Emissions amount</v>
          </cell>
          <cell r="BK10">
            <v>851.6038320316668</v>
          </cell>
          <cell r="BM10">
            <v>851.6038320316668</v>
          </cell>
          <cell r="BN10" t="str">
            <v>Emissions amount</v>
          </cell>
          <cell r="BO10">
            <v>851.6038320316668</v>
          </cell>
          <cell r="BQ10">
            <v>851.6038320316668</v>
          </cell>
          <cell r="BR10" t="str">
            <v>Emissions amount</v>
          </cell>
          <cell r="BS10">
            <v>681.28306176799492</v>
          </cell>
          <cell r="BU10">
            <v>681.28306176799492</v>
          </cell>
          <cell r="BV10" t="str">
            <v>Emissions amount</v>
          </cell>
          <cell r="BW10">
            <v>638.70287683147149</v>
          </cell>
          <cell r="BY10">
            <v>638.70287683147149</v>
          </cell>
          <cell r="BZ10" t="str">
            <v>Emissions amount</v>
          </cell>
          <cell r="CA10">
            <v>851.6038320316668</v>
          </cell>
          <cell r="CC10">
            <v>851.6038320316668</v>
          </cell>
          <cell r="CD10" t="str">
            <v>Emissions amount</v>
          </cell>
          <cell r="CE10">
            <v>851.6038320316668</v>
          </cell>
          <cell r="CG10">
            <v>851.6038320316668</v>
          </cell>
          <cell r="CH10" t="str">
            <v>Abatement amount</v>
          </cell>
          <cell r="CI10">
            <v>170.32077026367188</v>
          </cell>
          <cell r="CK10">
            <v>681.28306176799492</v>
          </cell>
          <cell r="CL10" t="str">
            <v>Abatement amount</v>
          </cell>
          <cell r="CM10">
            <v>212.90095520019531</v>
          </cell>
          <cell r="CO10">
            <v>638.70287683147149</v>
          </cell>
          <cell r="CP10" t="str">
            <v>Abatement amount</v>
          </cell>
          <cell r="CQ10">
            <v>212.90095520019531</v>
          </cell>
          <cell r="CS10">
            <v>638.70287683147149</v>
          </cell>
          <cell r="CT10" t="str">
            <v>Abatement amount</v>
          </cell>
          <cell r="CU10">
            <v>170.32077026367188</v>
          </cell>
          <cell r="CW10">
            <v>681.28306176799492</v>
          </cell>
          <cell r="CX10" t="str">
            <v>Abatement amount</v>
          </cell>
          <cell r="CY10">
            <v>212.90095520019531</v>
          </cell>
          <cell r="DA10">
            <v>638.70287683147149</v>
          </cell>
          <cell r="DB10" t="str">
            <v>Abatement amount</v>
          </cell>
          <cell r="DC10">
            <v>212.90095520019531</v>
          </cell>
          <cell r="DE10">
            <v>638.70287683147149</v>
          </cell>
          <cell r="DF10" t="str">
            <v>Abatement amount</v>
          </cell>
          <cell r="DG10">
            <v>170.32077026367188</v>
          </cell>
          <cell r="DI10">
            <v>681.28306176799492</v>
          </cell>
          <cell r="DJ10" t="str">
            <v>Emissions amount</v>
          </cell>
          <cell r="DK10">
            <v>851.6038320316668</v>
          </cell>
          <cell r="DM10">
            <v>851.6038320316668</v>
          </cell>
          <cell r="DN10" t="str">
            <v>Emissions amount</v>
          </cell>
          <cell r="DO10">
            <v>851.6038320316668</v>
          </cell>
          <cell r="DQ10">
            <v>851.6038320316668</v>
          </cell>
          <cell r="DR10" t="str">
            <v>Emissions amount</v>
          </cell>
          <cell r="DS10">
            <v>770</v>
          </cell>
          <cell r="DU10">
            <v>770</v>
          </cell>
          <cell r="DV10" t="str">
            <v>Emissions amount</v>
          </cell>
          <cell r="DW10">
            <v>632</v>
          </cell>
          <cell r="DY10">
            <v>632</v>
          </cell>
          <cell r="DZ10" t="str">
            <v>Emissions amount</v>
          </cell>
          <cell r="EA10">
            <v>770</v>
          </cell>
          <cell r="EC10">
            <v>770</v>
          </cell>
          <cell r="ED10" t="str">
            <v>Emissions amount</v>
          </cell>
          <cell r="EE10">
            <v>632</v>
          </cell>
          <cell r="EG10">
            <v>632</v>
          </cell>
          <cell r="EH10" t="str">
            <v>Abatement amount</v>
          </cell>
          <cell r="EI10">
            <v>0</v>
          </cell>
          <cell r="EK10">
            <v>966.49616476969231</v>
          </cell>
          <cell r="EL10" t="str">
            <v>Emissions amount</v>
          </cell>
          <cell r="EM10">
            <v>770</v>
          </cell>
          <cell r="EO10">
            <v>770</v>
          </cell>
          <cell r="EP10" t="str">
            <v>Emissions amount</v>
          </cell>
          <cell r="EQ10">
            <v>632</v>
          </cell>
          <cell r="ES10">
            <v>632</v>
          </cell>
          <cell r="ET10" t="str">
            <v>Abatement amount</v>
          </cell>
          <cell r="EU10">
            <v>295.01229832650102</v>
          </cell>
          <cell r="EW10">
            <v>671.48386644319135</v>
          </cell>
          <cell r="EX10" t="str">
            <v>Abatement amount</v>
          </cell>
          <cell r="EY10">
            <v>206.85132633812123</v>
          </cell>
          <cell r="FA10">
            <v>759.64483843157109</v>
          </cell>
          <cell r="FB10" t="str">
            <v>Abatement amount</v>
          </cell>
          <cell r="FC10">
            <v>134.72969669974239</v>
          </cell>
          <cell r="FE10">
            <v>831.76646806994995</v>
          </cell>
          <cell r="FF10" t="str">
            <v>Abatement amount</v>
          </cell>
          <cell r="FG10">
            <v>196.49617004394531</v>
          </cell>
          <cell r="FI10">
            <v>769.999994725747</v>
          </cell>
          <cell r="FJ10" t="str">
            <v>Abatement amount</v>
          </cell>
          <cell r="FK10">
            <v>334.49615478515625</v>
          </cell>
          <cell r="FM10">
            <v>632.00000998453606</v>
          </cell>
          <cell r="FN10" t="str">
            <v>Emissions amount</v>
          </cell>
          <cell r="FO10">
            <v>770</v>
          </cell>
          <cell r="FQ10">
            <v>770</v>
          </cell>
          <cell r="FR10" t="str">
            <v>Emissions amount</v>
          </cell>
          <cell r="FS10">
            <v>632</v>
          </cell>
          <cell r="FU10">
            <v>632</v>
          </cell>
          <cell r="FV10" t="str">
            <v>Abatement amount</v>
          </cell>
          <cell r="FW10">
            <v>196.49617004394531</v>
          </cell>
          <cell r="FY10">
            <v>769.999994725747</v>
          </cell>
          <cell r="FZ10" t="str">
            <v>Abatement amount</v>
          </cell>
          <cell r="GA10">
            <v>334.49615478515625</v>
          </cell>
          <cell r="GC10">
            <v>632.00000998453606</v>
          </cell>
          <cell r="GD10" t="str">
            <v>Abatement amount</v>
          </cell>
          <cell r="GE10">
            <v>334.49615478515625</v>
          </cell>
          <cell r="GG10">
            <v>632.00000998453606</v>
          </cell>
          <cell r="GH10" t="str">
            <v>Abatement amount</v>
          </cell>
          <cell r="GI10">
            <v>476.32778930664063</v>
          </cell>
          <cell r="GK10">
            <v>490.16837546305169</v>
          </cell>
          <cell r="GL10" t="str">
            <v>Abatement amount</v>
          </cell>
          <cell r="GM10">
            <v>309.70217592844915</v>
          </cell>
          <cell r="GO10">
            <v>656.79398884124316</v>
          </cell>
          <cell r="GP10" t="str">
            <v>Abatement amount</v>
          </cell>
          <cell r="GQ10">
            <v>139.737458191732</v>
          </cell>
          <cell r="GS10">
            <v>826.75870657796031</v>
          </cell>
          <cell r="GT10" t="str">
            <v>Abatement amount</v>
          </cell>
          <cell r="GU10">
            <v>217.15501935364603</v>
          </cell>
          <cell r="GW10">
            <v>749.34114541604629</v>
          </cell>
          <cell r="GX10" t="str">
            <v>Emissions amount</v>
          </cell>
          <cell r="GY10">
            <v>770</v>
          </cell>
          <cell r="HA10">
            <v>770</v>
          </cell>
          <cell r="HB10" t="str">
            <v>Emissions amount</v>
          </cell>
          <cell r="HC10">
            <v>632</v>
          </cell>
          <cell r="HE10">
            <v>632</v>
          </cell>
          <cell r="HF10" t="str">
            <v>Emissions amount</v>
          </cell>
          <cell r="HG10">
            <v>770</v>
          </cell>
          <cell r="HI10">
            <v>770</v>
          </cell>
          <cell r="HJ10" t="str">
            <v>Emissions amount</v>
          </cell>
          <cell r="HK10">
            <v>632</v>
          </cell>
          <cell r="HM10">
            <v>632</v>
          </cell>
          <cell r="HN10" t="str">
            <v>Abatement amount</v>
          </cell>
          <cell r="HO10">
            <v>334.49615478515625</v>
          </cell>
          <cell r="HQ10">
            <v>632.00000998453606</v>
          </cell>
          <cell r="HR10" t="str">
            <v>Abatement amount</v>
          </cell>
          <cell r="HS10">
            <v>196.49617004394531</v>
          </cell>
          <cell r="HU10">
            <v>769.999994725747</v>
          </cell>
          <cell r="HV10" t="str">
            <v>Abatement amount</v>
          </cell>
          <cell r="HW10">
            <v>196.49617004394531</v>
          </cell>
          <cell r="HX10" t="str">
            <v>Unconditional offer as per Mexico INDCs (-22% on Mexico’s BAU)</v>
          </cell>
          <cell r="HY10">
            <v>769.999994725747</v>
          </cell>
          <cell r="HZ10" t="str">
            <v>Emissions amount</v>
          </cell>
          <cell r="IA10">
            <v>770</v>
          </cell>
          <cell r="IB10" t="str">
            <v>Unconditional 22% reduction on 2030 BAU.  Does not count black carbon as GHGs. BAU in INDC for 2030 is 987Mt.</v>
          </cell>
          <cell r="IC10">
            <v>770</v>
          </cell>
          <cell r="ID10" t="str">
            <v>Emissions amount</v>
          </cell>
          <cell r="IE10">
            <v>770</v>
          </cell>
          <cell r="IF10" t="str">
            <v xml:space="preserve">Unconditional 22% reduction on 2030 BAU.  Does not count black carbon as GHGs. BAU in INDC for 2030 is 987Mt. </v>
          </cell>
          <cell r="IG10">
            <v>770</v>
          </cell>
          <cell r="IH10" t="str">
            <v>Emissions amount</v>
          </cell>
          <cell r="II10">
            <v>623</v>
          </cell>
          <cell r="IJ10" t="str">
            <v xml:space="preserve">Unconditional 22% reduction on 2030 BAU.  Does not count black carbon as GHGs. BAU in INDC for 2030 is 973Mt. </v>
          </cell>
          <cell r="IK10">
            <v>623</v>
          </cell>
          <cell r="IL10" t="str">
            <v>Emissions amount</v>
          </cell>
          <cell r="IM10">
            <v>759</v>
          </cell>
          <cell r="IN10" t="str">
            <v>Unconditional 22% reduction on 2030 BAU.  Does not count black carbon as GHGs. BAU in INDC for 2030 is 973Mt.</v>
          </cell>
          <cell r="IO10">
            <v>759</v>
          </cell>
          <cell r="IP10" t="str">
            <v>Emissions amount</v>
          </cell>
          <cell r="IQ10">
            <v>623</v>
          </cell>
          <cell r="IR10" t="str">
            <v xml:space="preserve">Unconditional 22% reduction on 2030 BAU.  Does not count black carbon as GHGs. BAU in INDC for 2030 is 973Mt. </v>
          </cell>
          <cell r="IS10">
            <v>623</v>
          </cell>
          <cell r="IT10" t="str">
            <v>Emissions amount</v>
          </cell>
          <cell r="IU10">
            <v>759</v>
          </cell>
          <cell r="IV10" t="str">
            <v>Unconditional 22% reduction on 2030 BAU.  Does not count black carbon as GHGs. BAU in INDC for 2030 is 973Mt.</v>
          </cell>
          <cell r="IW10">
            <v>759</v>
          </cell>
          <cell r="IX10" t="str">
            <v>Emissions amount</v>
          </cell>
          <cell r="IY10">
            <v>623</v>
          </cell>
          <cell r="IZ10" t="str">
            <v xml:space="preserve">Conditional 36% reduction on 2030 BAU.  Does not count black carbon as GHGs. BAU in INDC for 2030 is 973Mt. </v>
          </cell>
          <cell r="JA10">
            <v>623</v>
          </cell>
          <cell r="JB10" t="str">
            <v>Emissions amount</v>
          </cell>
          <cell r="JC10">
            <v>759</v>
          </cell>
          <cell r="JD10" t="str">
            <v>Unconditional 22% reduction on 2030 BAU.  Does not count black carbon as GHGs. BAU in INDC for 2030 is 973Mt.</v>
          </cell>
          <cell r="JE10">
            <v>759</v>
          </cell>
          <cell r="JF10" t="str">
            <v>Emissions amount</v>
          </cell>
          <cell r="JG10">
            <v>759</v>
          </cell>
          <cell r="JH10" t="str">
            <v>Unconditional 22% reduction on 2030 BAU.  Does not count black carbon as GHGs. BAU in INDC for 2030 is 973Mt.</v>
          </cell>
          <cell r="JI10">
            <v>759</v>
          </cell>
          <cell r="JJ10" t="str">
            <v>Emissions amount</v>
          </cell>
          <cell r="JK10">
            <v>759</v>
          </cell>
          <cell r="JL10" t="str">
            <v>Unconditional 22% reduction on 2030 BAU.  Does not count black carbon as GHGs. BAU in INDC for 2030 is 973Mt.</v>
          </cell>
          <cell r="JM10">
            <v>759</v>
          </cell>
          <cell r="JN10" t="str">
            <v>Emissions amount</v>
          </cell>
          <cell r="JO10">
            <v>759</v>
          </cell>
          <cell r="JP10" t="str">
            <v>Unconditional 22% reduction on 2030 BAU.  Does not count black carbon as GHGs. BAU in INDC for 2030 is 973Mt.</v>
          </cell>
          <cell r="JQ10">
            <v>759</v>
          </cell>
          <cell r="JR10" t="str">
            <v>Emissions amount</v>
          </cell>
          <cell r="JS10">
            <v>623</v>
          </cell>
          <cell r="JT10" t="str">
            <v xml:space="preserve">Conditional 36% reduction on 2030 BAU.  Does not count black carbon as GHGs. BAU in INDC for 2030 is 973Mt. </v>
          </cell>
          <cell r="JU10">
            <v>623</v>
          </cell>
          <cell r="JV10" t="str">
            <v>Emissions amount</v>
          </cell>
          <cell r="JW10">
            <v>759</v>
          </cell>
          <cell r="JX10" t="str">
            <v>Unconditional 22% reduction on 2030 BAU.  Does not count black carbon as GHGs. BAU in INDC for 2030 is 973Mt.</v>
          </cell>
          <cell r="JY10">
            <v>759</v>
          </cell>
          <cell r="JZ10" t="str">
            <v>Emissions amount</v>
          </cell>
          <cell r="KA10">
            <v>623</v>
          </cell>
          <cell r="KB10" t="str">
            <v xml:space="preserve">Unconditional 22% reduction on 2030 BAU.  Does not count black carbon as GHGs. BAU in INDC for 2030 is 973Mt. </v>
          </cell>
          <cell r="KC10">
            <v>623</v>
          </cell>
          <cell r="KD10" t="str">
            <v>Emissions amount</v>
          </cell>
          <cell r="KE10">
            <v>759</v>
          </cell>
          <cell r="KF10" t="str">
            <v>Unconditional 22% reduction on 2030 BAU.  Does not count black carbon as GHGs. BAU in INDC for 2030 is 973Mt.</v>
          </cell>
          <cell r="KG10">
            <v>759</v>
          </cell>
          <cell r="KH10" t="str">
            <v>Emissions amount</v>
          </cell>
          <cell r="KI10">
            <v>759</v>
          </cell>
          <cell r="KJ10" t="str">
            <v>Unconditional 22% reduction on 2030 BAU.  Does not count black carbon as GHGs. BAU in INDC for 2030 is 973Mt.</v>
          </cell>
          <cell r="KK10">
            <v>759</v>
          </cell>
          <cell r="KL10" t="str">
            <v>Emissions amount</v>
          </cell>
          <cell r="KM10">
            <v>759</v>
          </cell>
          <cell r="KN10" t="str">
            <v>Unconditional 22% reduction on 2030 BAU.  Does not count black carbon as GHGs. BAU in INDC for 2030 is 973Mt.</v>
          </cell>
          <cell r="KO10">
            <v>759</v>
          </cell>
          <cell r="KP10" t="str">
            <v>Emissions amount</v>
          </cell>
          <cell r="KQ10">
            <v>623</v>
          </cell>
          <cell r="KR10" t="str">
            <v xml:space="preserve">Unconditional 22% reduction on 2030 BAU.  Does not count black carbon as GHGs. BAU in INDC for 2030 is 973Mt. </v>
          </cell>
          <cell r="KS10">
            <v>623</v>
          </cell>
          <cell r="KT10" t="str">
            <v>Emissions amount</v>
          </cell>
          <cell r="KU10">
            <v>759</v>
          </cell>
          <cell r="KV10" t="str">
            <v>Unconditional 22% reduction on 2030 BAU.  Does not count black carbon as GHGs. BAU in INDC for 2030 is 973Mt.</v>
          </cell>
          <cell r="KW10">
            <v>759</v>
          </cell>
          <cell r="KX10" t="str">
            <v>Emissions amount</v>
          </cell>
          <cell r="KY10">
            <v>623</v>
          </cell>
          <cell r="KZ10" t="str">
            <v xml:space="preserve">Conditional 36% reduction on 2030 BAU.  Does not count black carbon as GHGs. BAU in INDC for 2030 is 973Mt. </v>
          </cell>
          <cell r="LA10">
            <v>623</v>
          </cell>
          <cell r="LB10" t="str">
            <v>Emissions amount</v>
          </cell>
          <cell r="LC10">
            <v>759</v>
          </cell>
          <cell r="LD10" t="str">
            <v>Unconditional 22% reduction on 2030 BAU.  Does not count black carbon as GHGs. BAU in INDC for 2030 is 973Mt.</v>
          </cell>
          <cell r="LE10">
            <v>759</v>
          </cell>
          <cell r="LF10" t="str">
            <v>Emissions amount</v>
          </cell>
          <cell r="LG10">
            <v>759</v>
          </cell>
          <cell r="LH10" t="str">
            <v>Unconditional 22% reduction on 2030 BAU.  Does not count black carbon as GHGs. BAU in INDC for 2030 is 973Mt.</v>
          </cell>
          <cell r="LI10">
            <v>759</v>
          </cell>
          <cell r="LJ10" t="str">
            <v>Emissions amount</v>
          </cell>
          <cell r="LK10">
            <v>759</v>
          </cell>
          <cell r="LL10" t="str">
            <v>Unconditional 22% reduction on 2030 BAU.  Does not count black carbon as GHGs. BAU in INDC for 2030 is 973Mt.</v>
          </cell>
          <cell r="LM10">
            <v>759</v>
          </cell>
          <cell r="LN10" t="str">
            <v>Emissions amount</v>
          </cell>
          <cell r="LO10">
            <v>759</v>
          </cell>
          <cell r="LP10" t="str">
            <v>Unconditional 22% reduction on 2030 BAU.  Does not count black carbon as GHGs. BAU in INDC for 2030 is 973Mt.</v>
          </cell>
          <cell r="LQ10">
            <v>759</v>
          </cell>
          <cell r="LR10" t="str">
            <v>Emissions amount</v>
          </cell>
          <cell r="LS10">
            <v>759</v>
          </cell>
          <cell r="LT10" t="str">
            <v>Unconditional 22% reduction on 2030 BAU.  Does not count black carbon as GHGs. BAU in INDC for 2030 is 973Mt.</v>
          </cell>
          <cell r="LU10">
            <v>759</v>
          </cell>
          <cell r="LV10" t="str">
            <v>Emissions amount</v>
          </cell>
          <cell r="LW10">
            <v>759</v>
          </cell>
          <cell r="LX10" t="str">
            <v>Unconditional 22% reduction on 2030 BAU.  Does not count black carbon as GHGs. BAU in INDC for 2030 is 973Mt.</v>
          </cell>
          <cell r="LY10">
            <v>759</v>
          </cell>
          <cell r="LZ10" t="str">
            <v>Emissions amount</v>
          </cell>
          <cell r="MA10">
            <v>759</v>
          </cell>
          <cell r="MB10" t="str">
            <v>Unconditional 22% reduction on 2030 BAU.  Does not count black carbon as GHGs. BAU in INDC for 2030 is 973Mt.</v>
          </cell>
          <cell r="MC10">
            <v>759</v>
          </cell>
          <cell r="MD10" t="str">
            <v>Emissions amount</v>
          </cell>
          <cell r="ME10">
            <v>759</v>
          </cell>
          <cell r="MF10" t="str">
            <v>Unconditional 22% reduction on 2030 BAU.  Does not count black carbon as GHGs. BAU in INDC for 2030 is 973Mt.</v>
          </cell>
          <cell r="MG10">
            <v>759</v>
          </cell>
          <cell r="MH10" t="str">
            <v>Emissions amount</v>
          </cell>
          <cell r="MI10">
            <v>623</v>
          </cell>
          <cell r="MJ10" t="str">
            <v>Conditional</v>
          </cell>
          <cell r="MK10">
            <v>623</v>
          </cell>
          <cell r="ML10" t="str">
            <v>Emissions amount</v>
          </cell>
          <cell r="MM10">
            <v>759</v>
          </cell>
          <cell r="MN10" t="str">
            <v>Unconditional 22% reduction on 2030 BAU.  Does not count black carbon as GHGs. BAU in INDC for 2030 is 973Mt.</v>
          </cell>
          <cell r="MO10">
            <v>759</v>
          </cell>
          <cell r="MP10" t="str">
            <v>Emissions amount</v>
          </cell>
          <cell r="MQ10">
            <v>623</v>
          </cell>
          <cell r="MS10">
            <v>623</v>
          </cell>
          <cell r="MT10" t="str">
            <v>Emissions amount</v>
          </cell>
          <cell r="MU10">
            <v>623</v>
          </cell>
          <cell r="MV10" t="str">
            <v>Conditional</v>
          </cell>
          <cell r="MW10">
            <v>623</v>
          </cell>
          <cell r="MX10" t="str">
            <v>Emissions amount</v>
          </cell>
          <cell r="MY10">
            <v>759</v>
          </cell>
          <cell r="MZ10" t="str">
            <v>Unconditional 22% reduction on 2030 BAU.  Does not count black carbon as GHGs. BAU in INDC for 2030 is 973Mt.</v>
          </cell>
          <cell r="NA10">
            <v>759</v>
          </cell>
          <cell r="NB10" t="str">
            <v>Emissions amount</v>
          </cell>
          <cell r="NC10">
            <v>759</v>
          </cell>
          <cell r="ND10" t="str">
            <v>Unconditional 22% reduction on 2030 BAU.  Does not count black carbon as GHGs. BAU in INDC for 2030 is 973Mt.</v>
          </cell>
          <cell r="NE10">
            <v>759</v>
          </cell>
          <cell r="NF10" t="str">
            <v>Emissions amount</v>
          </cell>
          <cell r="NG10">
            <v>759</v>
          </cell>
          <cell r="NH10" t="str">
            <v>Unconditional 22% reduction on 2030 BAU.  Does not count black carbon as GHGs. BAU in INDC for 2030 is 973Mt.</v>
          </cell>
          <cell r="NI10">
            <v>759</v>
          </cell>
          <cell r="NJ10" t="str">
            <v>Emissions amount</v>
          </cell>
          <cell r="NK10">
            <v>759</v>
          </cell>
          <cell r="NL10" t="str">
            <v>Unconditional 22% reduction on 2030 BAU.  Does not count black carbon as GHGs. BAU in INDC for 2030 is 973Mt.</v>
          </cell>
          <cell r="NM10">
            <v>759</v>
          </cell>
          <cell r="NN10" t="str">
            <v>Emissions amount</v>
          </cell>
          <cell r="NO10">
            <v>759</v>
          </cell>
          <cell r="NP10" t="str">
            <v>Unconditional 22% reduction on 2030 BAU.  Does not count black carbon as GHGs. BAU in INDC for 2030 is 973Mt.</v>
          </cell>
          <cell r="NQ10">
            <v>759</v>
          </cell>
          <cell r="NR10" t="str">
            <v>Emissions amount</v>
          </cell>
          <cell r="NS10">
            <v>623</v>
          </cell>
          <cell r="NT10" t="str">
            <v>36% reduction on BAU. BAU in 2030 is 973Mt incl LULUCF. Does not count black carbon as GHG</v>
          </cell>
          <cell r="NU10">
            <v>623</v>
          </cell>
          <cell r="NV10" t="str">
            <v>Emissions amount</v>
          </cell>
          <cell r="NW10">
            <v>759</v>
          </cell>
          <cell r="NX10" t="str">
            <v>Unconditional 22% reduction on 2030 BAU.  Does not count black carbon as GHGs. BAU in INDC for 2030 is 973Mt.</v>
          </cell>
          <cell r="NY10">
            <v>759</v>
          </cell>
          <cell r="NZ10" t="str">
            <v>Emissions amount</v>
          </cell>
          <cell r="OA10">
            <v>623</v>
          </cell>
          <cell r="OB10" t="str">
            <v>36% reduction on BAU. BAU in 2030 is 973Mt incl LULUCF. Does not count black carbon as GHG</v>
          </cell>
          <cell r="OC10">
            <v>623</v>
          </cell>
          <cell r="OD10" t="str">
            <v>Emissions amount</v>
          </cell>
          <cell r="OE10">
            <v>623</v>
          </cell>
          <cell r="OF10" t="str">
            <v>Conditional</v>
          </cell>
          <cell r="OG10">
            <v>623</v>
          </cell>
          <cell r="OH10" t="str">
            <v>Emissions amount</v>
          </cell>
          <cell r="OI10">
            <v>759</v>
          </cell>
          <cell r="OJ10" t="str">
            <v>Unconditional 22% reduction on 2030 BAU.  Does not count black carbon as GHGs. BAU in INDC for 2030 is 973Mt.</v>
          </cell>
          <cell r="OK10">
            <v>759</v>
          </cell>
          <cell r="OL10" t="str">
            <v>Emissions amount</v>
          </cell>
          <cell r="OM10">
            <v>623</v>
          </cell>
          <cell r="ON10" t="str">
            <v>36% reduction on BAU. BAU in 2030 is 973Mt incl LULUCF. Does not count black carbon as GHG</v>
          </cell>
          <cell r="OO10">
            <v>623</v>
          </cell>
          <cell r="OP10" t="str">
            <v>Emissions amount</v>
          </cell>
          <cell r="OQ10">
            <v>759</v>
          </cell>
          <cell r="OR10" t="str">
            <v>Unconditional 22% reduction on 2030 BAU.  Does not count black carbon as GHGs. BAU in INDC for 2030 is 973Mt.</v>
          </cell>
          <cell r="OS10">
            <v>759</v>
          </cell>
          <cell r="OT10" t="str">
            <v>Emissions amount</v>
          </cell>
          <cell r="OU10">
            <v>759</v>
          </cell>
          <cell r="OV10" t="str">
            <v>Unconditional 22% reduction on BAU. BAU in 2030 is 973Mt incl LULUCF. Does not count black carbon as GHG</v>
          </cell>
          <cell r="OW10">
            <v>759</v>
          </cell>
          <cell r="OX10" t="str">
            <v>Emissions amount</v>
          </cell>
          <cell r="OY10">
            <v>759</v>
          </cell>
          <cell r="OZ10" t="str">
            <v>Unconditional 22% reduction on 2030 BAU.  Does not count black carbon as GHGs. BAU in INDC for 2030 is 973Mt.</v>
          </cell>
          <cell r="PA10">
            <v>759</v>
          </cell>
          <cell r="PB10" t="str">
            <v>Emissions amount</v>
          </cell>
          <cell r="PC10">
            <v>759</v>
          </cell>
          <cell r="PD10" t="str">
            <v>Unconditional 22% reduction on 2030 BAU.  Does not count black carbon as GHGs. BAU in INDC for 2030 is 973Mt.</v>
          </cell>
          <cell r="PE10">
            <v>759</v>
          </cell>
          <cell r="PF10" t="str">
            <v>Emissions amount</v>
          </cell>
          <cell r="PG10">
            <v>759</v>
          </cell>
          <cell r="PH10" t="str">
            <v>Unconditoinal 22% reduction on BAU. BAU in 2030 is 973Mt incl LULUCF. Does not count black carbon as GHG</v>
          </cell>
          <cell r="PI10">
            <v>759</v>
          </cell>
          <cell r="PJ10" t="str">
            <v>Emissions amount</v>
          </cell>
          <cell r="PK10">
            <v>623</v>
          </cell>
          <cell r="PL10" t="str">
            <v>Conditional 36% reduction on BAU</v>
          </cell>
          <cell r="PM10">
            <v>623</v>
          </cell>
          <cell r="PN10" t="str">
            <v>Emissions amount</v>
          </cell>
          <cell r="PO10">
            <v>759</v>
          </cell>
          <cell r="PP10" t="str">
            <v>Unconditional 22% reduction on 2030 BAU.  Does not count black carbon as GHGs. BAU in INDC for 2030 is 973Mt.</v>
          </cell>
          <cell r="PQ10">
            <v>759</v>
          </cell>
          <cell r="PR10" t="str">
            <v>Emissions amount</v>
          </cell>
          <cell r="PS10">
            <v>759</v>
          </cell>
          <cell r="PT10" t="str">
            <v>Unconditional 22% reduction on BAU. BAU in 2030 is 973Mt incl LULUCF. Does not count black carbon as GHG</v>
          </cell>
          <cell r="PU10">
            <v>759</v>
          </cell>
          <cell r="PV10" t="str">
            <v>Emissions amount</v>
          </cell>
          <cell r="PW10">
            <v>759</v>
          </cell>
          <cell r="PX10" t="str">
            <v>Unconditional 22% reduction on 2030 BAU.  Does not count black carbon as GHGs. BAU in INDC for 2030 is 973Mt.</v>
          </cell>
          <cell r="PY10">
            <v>759</v>
          </cell>
          <cell r="PZ10" t="str">
            <v>Emissions amount</v>
          </cell>
          <cell r="QA10">
            <v>759</v>
          </cell>
          <cell r="QB10" t="str">
            <v>Unconditoinal 22% reduction on BAU. BAU in 2030 is 973Mt incl LULUCF. Does not count black carbon as GHG</v>
          </cell>
          <cell r="QC10">
            <v>759</v>
          </cell>
          <cell r="QD10" t="str">
            <v>Emissions amount</v>
          </cell>
          <cell r="QE10">
            <v>623</v>
          </cell>
          <cell r="QF10" t="str">
            <v>Conditional 36% reduction on BAU</v>
          </cell>
          <cell r="QG10">
            <v>623</v>
          </cell>
          <cell r="QH10" t="str">
            <v>Emissions amount</v>
          </cell>
          <cell r="QI10">
            <v>759</v>
          </cell>
          <cell r="QJ10" t="str">
            <v>Unconditional 22% reduction on BAU. BAU in 2030 is 973Mt incl LULUCF. Does not count black carbon as GHG</v>
          </cell>
          <cell r="QK10">
            <v>759</v>
          </cell>
          <cell r="QL10" t="str">
            <v>Emissions amount</v>
          </cell>
          <cell r="QM10">
            <v>759</v>
          </cell>
          <cell r="QN10" t="str">
            <v>Unconditoinal 22% reduction on BAU. BAU in 2030 is 973Mt incl LULUCF. Does not count black carbon as GHG</v>
          </cell>
          <cell r="QO10">
            <v>759</v>
          </cell>
          <cell r="QP10" t="str">
            <v>Emissions amount</v>
          </cell>
          <cell r="QQ10">
            <v>759</v>
          </cell>
          <cell r="QR10" t="str">
            <v>Unconditional 22% reduction on 2030 BAU.  Does not count black carbon as GHGs. BAU in INDC for 2030 is 973Mt.</v>
          </cell>
          <cell r="QS10">
            <v>759</v>
          </cell>
          <cell r="QT10" t="str">
            <v>Emissions amount</v>
          </cell>
          <cell r="QU10">
            <v>759</v>
          </cell>
          <cell r="QV10" t="str">
            <v>Unconditional 22% reduction on BAU. BAU in 2030 is 973Mt incl LULUCF. Does not count black carbon as GHG</v>
          </cell>
          <cell r="QW10">
            <v>759</v>
          </cell>
          <cell r="QX10" t="str">
            <v>Emissions amount</v>
          </cell>
          <cell r="QY10">
            <v>623</v>
          </cell>
          <cell r="QZ10" t="str">
            <v>Conditional 36% reduction on BAU</v>
          </cell>
          <cell r="RA10">
            <v>623</v>
          </cell>
          <cell r="RB10" t="str">
            <v>Emissions amount</v>
          </cell>
          <cell r="RC10">
            <v>759</v>
          </cell>
          <cell r="RD10" t="str">
            <v>Unconditional 22% reduction on 2030 BAU.  Does not count black carbon as GHGs. BAU in INDC for 2030 is 973Mt.</v>
          </cell>
          <cell r="RE10">
            <v>759</v>
          </cell>
          <cell r="RF10" t="str">
            <v>Emissions amount</v>
          </cell>
          <cell r="RG10">
            <v>759</v>
          </cell>
          <cell r="RH10" t="str">
            <v>Unconditional 22% reduction on BAU. BAU in 2030 is 973Mt incl LULUCF. Does not count black carbon as GHG</v>
          </cell>
          <cell r="RI10">
            <v>759</v>
          </cell>
          <cell r="RJ10" t="str">
            <v>Emissions amount</v>
          </cell>
          <cell r="RK10">
            <v>759</v>
          </cell>
          <cell r="RL10" t="str">
            <v>Unconditional 22% reduction on 2030 BAU.  Does not count black carbon as GHGs. BAU in INDC for 2030 is 973Mt.</v>
          </cell>
          <cell r="RM10">
            <v>759</v>
          </cell>
          <cell r="RN10" t="str">
            <v>Emissions amount</v>
          </cell>
          <cell r="RO10">
            <v>759</v>
          </cell>
          <cell r="RP10" t="str">
            <v>Unconditoinal 22% reduction on BAU. BAU in 2030 is 973Mt incl LULUCF. Does not count black carbon as GHG</v>
          </cell>
          <cell r="RQ10">
            <v>759</v>
          </cell>
          <cell r="RR10" t="str">
            <v>Emissions amount</v>
          </cell>
          <cell r="RS10">
            <v>623</v>
          </cell>
          <cell r="RT10" t="str">
            <v>Conditional 36% reduction on BAU</v>
          </cell>
          <cell r="RU10">
            <v>623</v>
          </cell>
        </row>
        <row r="11">
          <cell r="A11" t="str">
            <v>Oceania</v>
          </cell>
          <cell r="B11" t="str">
            <v>Abatement amount</v>
          </cell>
          <cell r="C11">
            <v>410.93597412109381</v>
          </cell>
          <cell r="D11">
            <v>0</v>
          </cell>
          <cell r="E11">
            <v>408.07808874557287</v>
          </cell>
          <cell r="F11" t="str">
            <v>Abatement amount</v>
          </cell>
          <cell r="G11">
            <v>303.41494309002303</v>
          </cell>
          <cell r="I11">
            <v>515.59911977664365</v>
          </cell>
          <cell r="J11" t="str">
            <v>Abatement amount</v>
          </cell>
          <cell r="K11">
            <v>164.0272216796875</v>
          </cell>
          <cell r="M11">
            <v>654.98684118697918</v>
          </cell>
          <cell r="N11" t="str">
            <v>Abatement amount</v>
          </cell>
          <cell r="O11">
            <v>164.0272216796875</v>
          </cell>
          <cell r="Q11">
            <v>654.98684118697918</v>
          </cell>
          <cell r="R11" t="str">
            <v>Abatement amount</v>
          </cell>
          <cell r="S11">
            <v>257.59677124023438</v>
          </cell>
          <cell r="U11">
            <v>561.4172916264323</v>
          </cell>
          <cell r="V11" t="str">
            <v>Abatement amount</v>
          </cell>
          <cell r="W11">
            <v>369.88021850585938</v>
          </cell>
          <cell r="Y11">
            <v>449.1338443608073</v>
          </cell>
          <cell r="Z11" t="str">
            <v>Abatement amount</v>
          </cell>
          <cell r="AA11">
            <v>439.1685791015625</v>
          </cell>
          <cell r="AC11">
            <v>379.84548376510418</v>
          </cell>
          <cell r="AD11" t="str">
            <v>Abatement amount</v>
          </cell>
          <cell r="AE11">
            <v>291.15390014648438</v>
          </cell>
          <cell r="AG11">
            <v>527.8601627201823</v>
          </cell>
          <cell r="AH11" t="str">
            <v>Abatement amount</v>
          </cell>
          <cell r="AI11">
            <v>182.62022559077968</v>
          </cell>
          <cell r="AK11">
            <v>636.39383727588699</v>
          </cell>
          <cell r="AL11" t="str">
            <v>Abatement amount</v>
          </cell>
          <cell r="AM11">
            <v>182.62022559077968</v>
          </cell>
          <cell r="AO11">
            <v>636.39383727588699</v>
          </cell>
          <cell r="AP11" t="str">
            <v>Abatement amount</v>
          </cell>
          <cell r="AQ11">
            <v>276.18977515132656</v>
          </cell>
          <cell r="AS11">
            <v>542.82428771534012</v>
          </cell>
          <cell r="AT11" t="str">
            <v>Abatement amount</v>
          </cell>
          <cell r="AU11">
            <v>388.47322241695156</v>
          </cell>
          <cell r="AW11">
            <v>430.54084044971512</v>
          </cell>
          <cell r="AX11" t="str">
            <v>Emissions amount</v>
          </cell>
          <cell r="AY11">
            <v>819.01406286666668</v>
          </cell>
          <cell r="BA11">
            <v>819.01406286666668</v>
          </cell>
          <cell r="BB11" t="str">
            <v>Emissions amount</v>
          </cell>
          <cell r="BC11">
            <v>819.01406286666668</v>
          </cell>
          <cell r="BE11">
            <v>819.01406286666668</v>
          </cell>
          <cell r="BF11" t="str">
            <v>Emissions amount</v>
          </cell>
          <cell r="BG11">
            <v>819.01406286666668</v>
          </cell>
          <cell r="BI11">
            <v>819.01406286666668</v>
          </cell>
          <cell r="BJ11" t="str">
            <v>Emissions amount</v>
          </cell>
          <cell r="BK11">
            <v>819.01406286666668</v>
          </cell>
          <cell r="BM11">
            <v>819.01406286666668</v>
          </cell>
          <cell r="BN11" t="str">
            <v>Emissions amount</v>
          </cell>
          <cell r="BO11">
            <v>819.01406286666668</v>
          </cell>
          <cell r="BQ11">
            <v>819.01406286666668</v>
          </cell>
          <cell r="BR11" t="str">
            <v>Emissions amount</v>
          </cell>
          <cell r="BS11">
            <v>654.98684118697918</v>
          </cell>
          <cell r="BU11">
            <v>654.98684118697918</v>
          </cell>
          <cell r="BV11" t="str">
            <v>Emissions amount</v>
          </cell>
          <cell r="BW11">
            <v>561.4172916264323</v>
          </cell>
          <cell r="BY11">
            <v>561.4172916264323</v>
          </cell>
          <cell r="BZ11" t="str">
            <v>Emissions amount</v>
          </cell>
          <cell r="CA11">
            <v>819.01406286666668</v>
          </cell>
          <cell r="CC11">
            <v>819.01406286666668</v>
          </cell>
          <cell r="CD11" t="str">
            <v>Emissions amount</v>
          </cell>
          <cell r="CE11">
            <v>819.01406286666668</v>
          </cell>
          <cell r="CG11">
            <v>819.01406286666668</v>
          </cell>
          <cell r="CH11" t="str">
            <v>Abatement amount</v>
          </cell>
          <cell r="CI11">
            <v>164.0272216796875</v>
          </cell>
          <cell r="CK11">
            <v>654.98684118697918</v>
          </cell>
          <cell r="CL11" t="str">
            <v>Abatement amount</v>
          </cell>
          <cell r="CM11">
            <v>257.59677124023438</v>
          </cell>
          <cell r="CO11">
            <v>561.4172916264323</v>
          </cell>
          <cell r="CP11" t="str">
            <v>Abatement amount</v>
          </cell>
          <cell r="CQ11">
            <v>257.59677124023438</v>
          </cell>
          <cell r="CS11">
            <v>561.4172916264323</v>
          </cell>
          <cell r="CT11" t="str">
            <v>Abatement amount</v>
          </cell>
          <cell r="CU11">
            <v>164.0272216796875</v>
          </cell>
          <cell r="CW11">
            <v>654.98684118697918</v>
          </cell>
          <cell r="CX11" t="str">
            <v>Abatement amount</v>
          </cell>
          <cell r="CY11">
            <v>257.59677124023438</v>
          </cell>
          <cell r="DA11">
            <v>561.4172916264323</v>
          </cell>
          <cell r="DB11" t="str">
            <v>Abatement amount</v>
          </cell>
          <cell r="DC11">
            <v>257.59677124023438</v>
          </cell>
          <cell r="DE11">
            <v>561.4172916264323</v>
          </cell>
          <cell r="DF11" t="str">
            <v>Abatement amount</v>
          </cell>
          <cell r="DG11">
            <v>164.0272216796875</v>
          </cell>
          <cell r="DI11">
            <v>654.98684118697918</v>
          </cell>
          <cell r="DJ11" t="str">
            <v>Emissions amount</v>
          </cell>
          <cell r="DK11">
            <v>819.01406286666668</v>
          </cell>
          <cell r="DM11">
            <v>819.01406286666668</v>
          </cell>
          <cell r="DN11" t="str">
            <v>Emissions amount</v>
          </cell>
          <cell r="DO11">
            <v>819.01406286666668</v>
          </cell>
          <cell r="DQ11">
            <v>819.01406286666668</v>
          </cell>
          <cell r="DR11" t="str">
            <v>Emissions amount</v>
          </cell>
          <cell r="DS11">
            <v>819.01406286666668</v>
          </cell>
          <cell r="DU11">
            <v>819.01406286666668</v>
          </cell>
          <cell r="DV11" t="str">
            <v>Emissions amount</v>
          </cell>
          <cell r="DW11">
            <v>819.01406286666668</v>
          </cell>
          <cell r="DY11">
            <v>819.01406286666668</v>
          </cell>
          <cell r="DZ11" t="str">
            <v>Abatement amount</v>
          </cell>
          <cell r="EA11">
            <v>164.0272216796875</v>
          </cell>
          <cell r="EC11">
            <v>654.98684118697918</v>
          </cell>
          <cell r="ED11" t="str">
            <v>Emissions amount</v>
          </cell>
          <cell r="EE11">
            <v>561</v>
          </cell>
          <cell r="EG11">
            <v>561</v>
          </cell>
          <cell r="EH11" t="str">
            <v>Abatement amount</v>
          </cell>
          <cell r="EI11">
            <v>0</v>
          </cell>
          <cell r="EK11">
            <v>1037.7092787904949</v>
          </cell>
          <cell r="EL11" t="str">
            <v>Abatement amount</v>
          </cell>
          <cell r="EM11">
            <v>0</v>
          </cell>
          <cell r="EO11">
            <v>1037.7092787904949</v>
          </cell>
          <cell r="EP11" t="str">
            <v>Abatement amount</v>
          </cell>
          <cell r="EQ11">
            <v>0</v>
          </cell>
          <cell r="ES11">
            <v>1037.7092787904949</v>
          </cell>
          <cell r="ET11" t="str">
            <v>Abatement amount</v>
          </cell>
          <cell r="EU11">
            <v>372.92183745952605</v>
          </cell>
          <cell r="EW11">
            <v>444.85672133096875</v>
          </cell>
          <cell r="EX11" t="str">
            <v>Abatement amount</v>
          </cell>
          <cell r="EY11">
            <v>332.20939152362922</v>
          </cell>
          <cell r="FA11">
            <v>485.56916726686558</v>
          </cell>
          <cell r="FB11" t="str">
            <v>Abatement amount</v>
          </cell>
          <cell r="FC11">
            <v>277.46532276232819</v>
          </cell>
          <cell r="FE11">
            <v>540.31323602816656</v>
          </cell>
          <cell r="FF11" t="str">
            <v>Emissions amount</v>
          </cell>
          <cell r="FG11">
            <v>665</v>
          </cell>
          <cell r="FI11">
            <v>665</v>
          </cell>
          <cell r="FJ11" t="str">
            <v>Emissions amount</v>
          </cell>
          <cell r="FK11">
            <v>575</v>
          </cell>
          <cell r="FM11">
            <v>575</v>
          </cell>
          <cell r="FN11" t="str">
            <v>Abatement amount</v>
          </cell>
          <cell r="FO11">
            <v>0</v>
          </cell>
          <cell r="FQ11">
            <v>817.7785587904948</v>
          </cell>
          <cell r="FR11" t="str">
            <v>Abatement amount</v>
          </cell>
          <cell r="FS11">
            <v>0</v>
          </cell>
          <cell r="FU11">
            <v>817.7785587904948</v>
          </cell>
          <cell r="FV11" t="str">
            <v>Abatement amount</v>
          </cell>
          <cell r="FW11">
            <v>153</v>
          </cell>
          <cell r="FY11">
            <v>664.7785587904948</v>
          </cell>
          <cell r="FZ11" t="str">
            <v>Abatement amount</v>
          </cell>
          <cell r="GA11">
            <v>242.55931091308594</v>
          </cell>
          <cell r="GB11">
            <v>0</v>
          </cell>
          <cell r="GC11">
            <v>575.21924787740909</v>
          </cell>
          <cell r="GD11" t="str">
            <v>Abatement amount</v>
          </cell>
          <cell r="GE11">
            <v>352.96121215820313</v>
          </cell>
          <cell r="GF11">
            <v>0</v>
          </cell>
          <cell r="GG11">
            <v>464.8173466322919</v>
          </cell>
          <cell r="GH11" t="str">
            <v>Abatement amount</v>
          </cell>
          <cell r="GI11">
            <v>328.94830322265625</v>
          </cell>
          <cell r="GJ11">
            <v>0</v>
          </cell>
          <cell r="GK11">
            <v>488.83025556783878</v>
          </cell>
          <cell r="GL11" t="str">
            <v>Abatement amount</v>
          </cell>
          <cell r="GM11">
            <v>391.49115195403942</v>
          </cell>
          <cell r="GO11">
            <v>426.28740683645538</v>
          </cell>
          <cell r="GP11" t="str">
            <v>Abatement amount</v>
          </cell>
          <cell r="GQ11">
            <v>287.77841774233275</v>
          </cell>
          <cell r="GS11">
            <v>530.00014104816205</v>
          </cell>
          <cell r="GT11" t="str">
            <v>Abatement amount</v>
          </cell>
          <cell r="GU11">
            <v>348.75742941988386</v>
          </cell>
          <cell r="GW11">
            <v>469.02112937061094</v>
          </cell>
          <cell r="GX11" t="str">
            <v>Emissions amount</v>
          </cell>
          <cell r="GY11">
            <v>792</v>
          </cell>
          <cell r="HA11">
            <v>792</v>
          </cell>
          <cell r="HB11" t="str">
            <v>Emissions amount</v>
          </cell>
          <cell r="HC11">
            <v>792</v>
          </cell>
          <cell r="HE11">
            <v>792</v>
          </cell>
          <cell r="HF11" t="str">
            <v>Emissions amount</v>
          </cell>
          <cell r="HG11">
            <v>792</v>
          </cell>
          <cell r="HI11">
            <v>792</v>
          </cell>
          <cell r="HJ11" t="str">
            <v>Emissions amount</v>
          </cell>
          <cell r="HK11">
            <v>792</v>
          </cell>
          <cell r="HM11">
            <v>792</v>
          </cell>
          <cell r="HN11" t="str">
            <v>Emissions amount</v>
          </cell>
          <cell r="HO11">
            <v>566.91390058765751</v>
          </cell>
          <cell r="HQ11">
            <v>566.91390058765751</v>
          </cell>
          <cell r="HR11" t="str">
            <v>Emissions amount</v>
          </cell>
          <cell r="HS11">
            <v>604.04477985313792</v>
          </cell>
          <cell r="HU11">
            <v>604.04477985313792</v>
          </cell>
          <cell r="HV11" t="str">
            <v>Emissions amount</v>
          </cell>
          <cell r="HW11">
            <v>604.04477985313792</v>
          </cell>
          <cell r="HX11" t="str">
            <v xml:space="preserve">-24% on 2005 level </v>
          </cell>
          <cell r="HY11">
            <v>604.04477985313792</v>
          </cell>
          <cell r="HZ11" t="str">
            <v>Emissions amount</v>
          </cell>
          <cell r="IA11">
            <v>792</v>
          </cell>
          <cell r="IB11" t="str">
            <v>Includes New Zealand's INDC.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v>
          </cell>
          <cell r="IC11">
            <v>792</v>
          </cell>
          <cell r="ID11" t="str">
            <v>Emissions amount</v>
          </cell>
          <cell r="IE11">
            <v>792</v>
          </cell>
          <cell r="IF11" t="str">
            <v>Includes New Zealand's INDC.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v>
          </cell>
          <cell r="IG11">
            <v>792</v>
          </cell>
          <cell r="IH11" t="str">
            <v>Emissions amount</v>
          </cell>
          <cell r="II11">
            <v>551</v>
          </cell>
          <cell r="IJ11" t="str">
            <v>Starting assumption for regional emissions: 12% on 2005. New Zealand and Australia's INDC's portion of regional emissions are then replaced by their INDC targets.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IK11">
            <v>551</v>
          </cell>
          <cell r="IL11" t="str">
            <v>Emissions amount</v>
          </cell>
          <cell r="IM11">
            <v>596</v>
          </cell>
          <cell r="IN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IO11">
            <v>596</v>
          </cell>
          <cell r="IP11" t="str">
            <v>Emissions amount</v>
          </cell>
          <cell r="IQ11">
            <v>584</v>
          </cell>
          <cell r="IR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IS11">
            <v>584</v>
          </cell>
          <cell r="IT11" t="str">
            <v>Emissions amount</v>
          </cell>
          <cell r="IU11">
            <v>575</v>
          </cell>
          <cell r="IV11" t="str">
            <v>Starting assumption for regional emissions: 12% on 2005. New Zealand and Australia's INDC's portion of regional emissions are then replaced by their INDC targets.  NZ: 32.1Mt allowed emissions. 30% reduction by 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IW11">
            <v>575</v>
          </cell>
          <cell r="IX11" t="str">
            <v>Emissions amount</v>
          </cell>
          <cell r="IY11">
            <v>551</v>
          </cell>
          <cell r="IZ11" t="str">
            <v>Starting assumption for regional emissions: 12% on 2005. New Zealand and Australia's INDC's portion of regional emissions are then replaced by their INDC targets.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JA11">
            <v>551</v>
          </cell>
          <cell r="JB11" t="str">
            <v>Emissions amount</v>
          </cell>
          <cell r="JC11">
            <v>596</v>
          </cell>
          <cell r="JD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JE11">
            <v>596</v>
          </cell>
          <cell r="JF11" t="str">
            <v>Emissions amount</v>
          </cell>
          <cell r="JG11">
            <v>584</v>
          </cell>
          <cell r="JH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JI11">
            <v>584</v>
          </cell>
          <cell r="JJ11" t="str">
            <v>Emissions amount</v>
          </cell>
          <cell r="JK11">
            <v>584</v>
          </cell>
          <cell r="JL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JM11">
            <v>584</v>
          </cell>
          <cell r="JN11" t="str">
            <v>Emissions amount</v>
          </cell>
          <cell r="JO11">
            <v>575</v>
          </cell>
          <cell r="JP11" t="str">
            <v>Starting assumption for regional emissions: 12% on 2005. New Zealand and Australia's INDC's portion of regional emissions are then replaced by their INDC targets.  NZ: 32.1Mt allowed emissions. 30% reduction by 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JQ11">
            <v>575</v>
          </cell>
          <cell r="JR11" t="str">
            <v>Emissions amount</v>
          </cell>
          <cell r="JS11">
            <v>551</v>
          </cell>
          <cell r="JT11" t="str">
            <v>Starting assumption for regional emissions: 12% on 2005. New Zealand and Australia's INDC's portion of regional emissions are then replaced by their INDC targets.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JU11">
            <v>551</v>
          </cell>
          <cell r="JV11" t="str">
            <v>Emissions amount</v>
          </cell>
          <cell r="JW11">
            <v>596</v>
          </cell>
          <cell r="JX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JY11">
            <v>596</v>
          </cell>
          <cell r="JZ11" t="str">
            <v>Emissions amount</v>
          </cell>
          <cell r="KA11">
            <v>584</v>
          </cell>
          <cell r="KB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KC11">
            <v>584</v>
          </cell>
          <cell r="KD11" t="str">
            <v>Emissions amount</v>
          </cell>
          <cell r="KE11">
            <v>596</v>
          </cell>
          <cell r="KF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KG11">
            <v>596</v>
          </cell>
          <cell r="KH11" t="str">
            <v>Emissions amount</v>
          </cell>
          <cell r="KI11">
            <v>584</v>
          </cell>
          <cell r="KJ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KK11">
            <v>584</v>
          </cell>
          <cell r="KL11" t="str">
            <v>Emissions amount</v>
          </cell>
          <cell r="KM11">
            <v>584</v>
          </cell>
          <cell r="KN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KO11">
            <v>584</v>
          </cell>
          <cell r="KP11" t="str">
            <v>Emissions amount</v>
          </cell>
          <cell r="KQ11">
            <v>584</v>
          </cell>
          <cell r="KR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KS11">
            <v>584</v>
          </cell>
          <cell r="KT11" t="str">
            <v>Emissions amount</v>
          </cell>
          <cell r="KU11">
            <v>575</v>
          </cell>
          <cell r="KV11" t="str">
            <v>Starting assumption for regional emissions: 12% on 2005. New Zealand and Australia's INDC's portion of regional emissions are then replaced by their INDC targets.  NZ: 32.1Mt allowed emissions. 30% reduction by 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KW11">
            <v>575</v>
          </cell>
          <cell r="KX11" t="str">
            <v>Emissions amount</v>
          </cell>
          <cell r="KY11">
            <v>551</v>
          </cell>
          <cell r="KZ11" t="str">
            <v>Starting assumption for regional emissions: 12% on 2005. New Zealand and Australia's INDC's portion of regional emissions are then replaced by their INDC targets.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LA11">
            <v>551</v>
          </cell>
          <cell r="LB11" t="str">
            <v>Emissions amount</v>
          </cell>
          <cell r="LC11">
            <v>596</v>
          </cell>
          <cell r="LD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LE11">
            <v>596</v>
          </cell>
          <cell r="LF11" t="str">
            <v>Emissions amount</v>
          </cell>
          <cell r="LG11">
            <v>591</v>
          </cell>
          <cell r="LH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LI11">
            <v>591</v>
          </cell>
          <cell r="LJ11" t="str">
            <v>Emissions amount</v>
          </cell>
          <cell r="LK11">
            <v>593</v>
          </cell>
          <cell r="LL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LM11">
            <v>593</v>
          </cell>
          <cell r="LN11" t="str">
            <v>Emissions amount</v>
          </cell>
          <cell r="LO11">
            <v>600</v>
          </cell>
          <cell r="LP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LQ11">
            <v>600</v>
          </cell>
          <cell r="LR11" t="str">
            <v>Emissions amount</v>
          </cell>
          <cell r="LS11">
            <v>598</v>
          </cell>
          <cell r="LT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LU11">
            <v>598</v>
          </cell>
          <cell r="LV11" t="str">
            <v>Emissions amount</v>
          </cell>
          <cell r="LW11">
            <v>598</v>
          </cell>
          <cell r="LX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LY11">
            <v>598</v>
          </cell>
          <cell r="LZ11" t="str">
            <v>Emissions amount</v>
          </cell>
          <cell r="MA11">
            <v>600</v>
          </cell>
          <cell r="MB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MC11">
            <v>600</v>
          </cell>
          <cell r="MD11" t="str">
            <v>Emissions amount</v>
          </cell>
          <cell r="ME11">
            <v>598</v>
          </cell>
          <cell r="MF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MG11">
            <v>598</v>
          </cell>
          <cell r="MH11" t="str">
            <v>Emissions amount</v>
          </cell>
          <cell r="MI11">
            <v>598</v>
          </cell>
          <cell r="MJ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MK11">
            <v>598</v>
          </cell>
          <cell r="ML11" t="str">
            <v>Emissions amount</v>
          </cell>
          <cell r="MM11">
            <v>600</v>
          </cell>
          <cell r="MN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MO11">
            <v>600</v>
          </cell>
          <cell r="MP11" t="str">
            <v>Emissions amount</v>
          </cell>
          <cell r="MQ11">
            <v>598</v>
          </cell>
          <cell r="MR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MS11">
            <v>598</v>
          </cell>
          <cell r="MT11" t="str">
            <v>Emissions amount</v>
          </cell>
          <cell r="MU11">
            <v>598</v>
          </cell>
          <cell r="MV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MW11">
            <v>598</v>
          </cell>
          <cell r="MX11" t="str">
            <v>Emissions amount</v>
          </cell>
          <cell r="MY11">
            <v>600</v>
          </cell>
          <cell r="MZ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NA11">
            <v>600</v>
          </cell>
          <cell r="NB11" t="str">
            <v>Emissions amount</v>
          </cell>
          <cell r="NC11">
            <v>598</v>
          </cell>
          <cell r="ND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NE11">
            <v>598</v>
          </cell>
          <cell r="NF11" t="str">
            <v>Emissions amount</v>
          </cell>
          <cell r="NG11">
            <v>600</v>
          </cell>
          <cell r="NH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NI11">
            <v>600</v>
          </cell>
          <cell r="NJ11" t="str">
            <v>Emissions amount</v>
          </cell>
          <cell r="NK11">
            <v>600</v>
          </cell>
          <cell r="NL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NM11">
            <v>600</v>
          </cell>
          <cell r="NN11" t="str">
            <v>Emissions amount</v>
          </cell>
          <cell r="NO11">
            <v>600</v>
          </cell>
          <cell r="NP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NQ11">
            <v>600</v>
          </cell>
          <cell r="NR11" t="str">
            <v>Emissions amount</v>
          </cell>
          <cell r="NS11">
            <v>598</v>
          </cell>
          <cell r="NT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NU11">
            <v>598</v>
          </cell>
          <cell r="NV11" t="str">
            <v>Emissions amount</v>
          </cell>
          <cell r="NW11">
            <v>600</v>
          </cell>
          <cell r="NX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NY11">
            <v>600</v>
          </cell>
          <cell r="NZ11" t="str">
            <v>Emissions amount</v>
          </cell>
          <cell r="OA11">
            <v>598</v>
          </cell>
          <cell r="OB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OC11">
            <v>598</v>
          </cell>
          <cell r="OD11" t="str">
            <v>Emissions amount</v>
          </cell>
          <cell r="OE11">
            <v>598</v>
          </cell>
          <cell r="OF11" t="str">
            <v>Includes New Zealand and Australia's INDC.  NZ: 32.1Mt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OG11">
            <v>598</v>
          </cell>
          <cell r="OH11" t="str">
            <v>Emissions amount</v>
          </cell>
          <cell r="OI11">
            <v>600</v>
          </cell>
          <cell r="OJ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OK11">
            <v>600</v>
          </cell>
          <cell r="OL11" t="str">
            <v>Emissions amount</v>
          </cell>
          <cell r="OM11">
            <v>598</v>
          </cell>
          <cell r="ON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OO11">
            <v>598</v>
          </cell>
          <cell r="OP11" t="str">
            <v>Emissions amount</v>
          </cell>
          <cell r="OQ11">
            <v>600</v>
          </cell>
          <cell r="OR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26% reduction on 2005 incl. LULUCF baseline.  453Mt of allowed emissions in 2030 (taken from Aus Department of Environment's 'Australia’s 2030
Emission Reduction Target' document, 2015)</v>
          </cell>
          <cell r="OS11">
            <v>600</v>
          </cell>
          <cell r="OT11" t="str">
            <v>Emissions amount</v>
          </cell>
          <cell r="OU11">
            <v>588</v>
          </cell>
          <cell r="OW11">
            <v>588</v>
          </cell>
          <cell r="OX11" t="str">
            <v>Emissions amount</v>
          </cell>
          <cell r="OY11">
            <v>600</v>
          </cell>
          <cell r="PA11">
            <v>600</v>
          </cell>
          <cell r="PB11" t="str">
            <v>Emissions amount</v>
          </cell>
          <cell r="PC11">
            <v>600</v>
          </cell>
          <cell r="PE11">
            <v>600</v>
          </cell>
          <cell r="PF11" t="str">
            <v>Emissions amount</v>
          </cell>
          <cell r="PG11">
            <v>598</v>
          </cell>
          <cell r="PH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PI11">
            <v>598</v>
          </cell>
          <cell r="PJ11" t="str">
            <v>Emissions amount</v>
          </cell>
          <cell r="PK11">
            <v>588</v>
          </cell>
          <cell r="PM11">
            <v>588</v>
          </cell>
          <cell r="PN11" t="str">
            <v>Emissions amount</v>
          </cell>
          <cell r="PO11">
            <v>597</v>
          </cell>
          <cell r="PQ11">
            <v>597</v>
          </cell>
          <cell r="PR11" t="str">
            <v>Emissions amount</v>
          </cell>
          <cell r="PS11">
            <v>585</v>
          </cell>
          <cell r="PU11">
            <v>585</v>
          </cell>
          <cell r="PV11" t="str">
            <v>Emissions amount</v>
          </cell>
          <cell r="PW11">
            <v>597</v>
          </cell>
          <cell r="PY11">
            <v>597</v>
          </cell>
          <cell r="PZ11" t="str">
            <v>Emissions amount</v>
          </cell>
          <cell r="QA11">
            <v>585</v>
          </cell>
          <cell r="QB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QC11">
            <v>585</v>
          </cell>
          <cell r="QD11" t="str">
            <v>Emissions amount</v>
          </cell>
          <cell r="QE11">
            <v>585</v>
          </cell>
          <cell r="QG11">
            <v>585</v>
          </cell>
          <cell r="QH11" t="str">
            <v>Emissions amount</v>
          </cell>
          <cell r="QI11">
            <v>585</v>
          </cell>
          <cell r="QK11">
            <v>585</v>
          </cell>
          <cell r="QL11" t="str">
            <v>Emissions amount</v>
          </cell>
          <cell r="QM11">
            <v>585</v>
          </cell>
          <cell r="QN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QO11">
            <v>585</v>
          </cell>
          <cell r="QP11" t="str">
            <v>Emissions amount</v>
          </cell>
          <cell r="QQ11">
            <v>597</v>
          </cell>
          <cell r="QS11">
            <v>597</v>
          </cell>
          <cell r="QT11" t="str">
            <v>Emissions amount</v>
          </cell>
          <cell r="QU11">
            <v>585</v>
          </cell>
          <cell r="QW11">
            <v>585</v>
          </cell>
          <cell r="QX11" t="str">
            <v>Emissions amount</v>
          </cell>
          <cell r="QY11">
            <v>585</v>
          </cell>
          <cell r="RA11">
            <v>585</v>
          </cell>
          <cell r="RB11" t="str">
            <v>Emissions amount</v>
          </cell>
          <cell r="RC11">
            <v>597</v>
          </cell>
          <cell r="RE11">
            <v>597</v>
          </cell>
          <cell r="RF11" t="str">
            <v>Emissions amount</v>
          </cell>
          <cell r="RG11">
            <v>585</v>
          </cell>
          <cell r="RI11">
            <v>585</v>
          </cell>
          <cell r="RJ11" t="str">
            <v>Emissions amount</v>
          </cell>
          <cell r="RK11">
            <v>597</v>
          </cell>
          <cell r="RM11">
            <v>597</v>
          </cell>
          <cell r="RN11" t="str">
            <v>Emissions amount</v>
          </cell>
          <cell r="RO11">
            <v>585</v>
          </cell>
          <cell r="RP11" t="str">
            <v>Includes New Zealand and Australia's INDC.  NZ: 32Mt allowed emissions. 30% reduction by 2030 on a 2005 baseline excl. LULUCF (77Mt, UNFCCC). Net-net approach with excluding LULUCF 2005 baseline. LULUCF 2005 baseline is -22Mt.  Any increase in sink relative to the baseline is off-set by increase allowed emission in the non-LULUCF sector. BAU for rest of the region. 
Australia: 28% reduction on 2005 incl. LULUCF baseline.  441Mt of allowed emissions in 2030 (taken from Aus Department of Environment's 'Australia’s 2030
Emission Reduction Target' document, 2015)</v>
          </cell>
          <cell r="RQ11">
            <v>585</v>
          </cell>
          <cell r="RR11" t="str">
            <v>Emissions amount</v>
          </cell>
          <cell r="RS11">
            <v>585</v>
          </cell>
          <cell r="RU11">
            <v>585</v>
          </cell>
        </row>
        <row r="12">
          <cell r="A12" t="str">
            <v>Rest of Europe</v>
          </cell>
          <cell r="B12" t="str">
            <v>Abatement amount</v>
          </cell>
          <cell r="C12">
            <v>141.46124495502744</v>
          </cell>
          <cell r="D12">
            <v>0</v>
          </cell>
          <cell r="E12">
            <v>165.65033919728421</v>
          </cell>
          <cell r="F12" t="str">
            <v>Abatement amount</v>
          </cell>
          <cell r="G12">
            <v>74.011846737718628</v>
          </cell>
          <cell r="I12">
            <v>233.09973741459302</v>
          </cell>
          <cell r="J12" t="str">
            <v>Abatement amount</v>
          </cell>
          <cell r="K12">
            <v>154.54861450195313</v>
          </cell>
          <cell r="M12">
            <v>152.56296965035853</v>
          </cell>
          <cell r="N12" t="str">
            <v>Abatement amount</v>
          </cell>
          <cell r="O12">
            <v>154.54861450195313</v>
          </cell>
          <cell r="Q12">
            <v>152.56296965035853</v>
          </cell>
          <cell r="R12" t="str">
            <v>Abatement amount</v>
          </cell>
          <cell r="S12">
            <v>185.06121826171875</v>
          </cell>
          <cell r="U12">
            <v>122.0503658905929</v>
          </cell>
          <cell r="V12" t="str">
            <v>Abatement amount</v>
          </cell>
          <cell r="W12">
            <v>185.06121826171875</v>
          </cell>
          <cell r="Y12">
            <v>122.050365890593</v>
          </cell>
          <cell r="Z12" t="str">
            <v>Abatement amount</v>
          </cell>
          <cell r="AA12">
            <v>145.14111328125</v>
          </cell>
          <cell r="AC12">
            <v>161.97047087106165</v>
          </cell>
          <cell r="AD12" t="str">
            <v>Abatement amount</v>
          </cell>
          <cell r="AE12">
            <v>71.021018981933594</v>
          </cell>
          <cell r="AG12">
            <v>236.09056517037806</v>
          </cell>
          <cell r="AH12" t="str">
            <v>Abatement amount</v>
          </cell>
          <cell r="AI12">
            <v>168.2123272503743</v>
          </cell>
          <cell r="AK12">
            <v>138.89925690193735</v>
          </cell>
          <cell r="AL12" t="str">
            <v>Abatement amount</v>
          </cell>
          <cell r="AM12">
            <v>168.2123272503743</v>
          </cell>
          <cell r="AO12">
            <v>138.89925690193735</v>
          </cell>
          <cell r="AP12" t="str">
            <v>Abatement amount</v>
          </cell>
          <cell r="AQ12">
            <v>198.72493101013993</v>
          </cell>
          <cell r="AS12">
            <v>108.38665314217172</v>
          </cell>
          <cell r="AT12" t="str">
            <v>Abatement amount</v>
          </cell>
          <cell r="AU12">
            <v>198.72493101013993</v>
          </cell>
          <cell r="AW12">
            <v>108.38665314217172</v>
          </cell>
          <cell r="AX12" t="str">
            <v>Emissions amount</v>
          </cell>
          <cell r="AY12">
            <v>307.11158415231165</v>
          </cell>
          <cell r="BA12">
            <v>307.11158415231165</v>
          </cell>
          <cell r="BB12" t="str">
            <v>Emissions amount</v>
          </cell>
          <cell r="BC12">
            <v>153</v>
          </cell>
          <cell r="BE12">
            <v>153</v>
          </cell>
          <cell r="BF12" t="str">
            <v>Emissions amount</v>
          </cell>
          <cell r="BG12">
            <v>153</v>
          </cell>
          <cell r="BI12">
            <v>153</v>
          </cell>
          <cell r="BJ12" t="str">
            <v>Emissions amount</v>
          </cell>
          <cell r="BK12">
            <v>153</v>
          </cell>
          <cell r="BM12">
            <v>153</v>
          </cell>
          <cell r="BN12" t="str">
            <v>Emissions amount</v>
          </cell>
          <cell r="BO12">
            <v>153</v>
          </cell>
          <cell r="BQ12">
            <v>153</v>
          </cell>
          <cell r="BR12" t="str">
            <v>Emissions amount</v>
          </cell>
          <cell r="BS12">
            <v>100</v>
          </cell>
          <cell r="BU12">
            <v>100</v>
          </cell>
          <cell r="BV12" t="str">
            <v>Emissions amount</v>
          </cell>
          <cell r="BW12">
            <v>90</v>
          </cell>
          <cell r="BY12">
            <v>90</v>
          </cell>
          <cell r="BZ12" t="str">
            <v>Emissions amount</v>
          </cell>
          <cell r="CA12">
            <v>202</v>
          </cell>
          <cell r="CC12">
            <v>202</v>
          </cell>
          <cell r="CD12" t="str">
            <v>Emissions amount</v>
          </cell>
          <cell r="CE12">
            <v>202</v>
          </cell>
          <cell r="CG12">
            <v>202</v>
          </cell>
          <cell r="CH12" t="str">
            <v>Abatement amount</v>
          </cell>
          <cell r="CI12">
            <v>154.54861450195313</v>
          </cell>
          <cell r="CK12">
            <v>152.56296965035853</v>
          </cell>
          <cell r="CL12" t="str">
            <v>Abatement amount</v>
          </cell>
          <cell r="CM12">
            <v>185.06121826171875</v>
          </cell>
          <cell r="CO12">
            <v>122.0503658905929</v>
          </cell>
          <cell r="CP12" t="str">
            <v>Abatement amount</v>
          </cell>
          <cell r="CQ12">
            <v>185.06121826171875</v>
          </cell>
          <cell r="CS12">
            <v>122.0503658905929</v>
          </cell>
          <cell r="CT12" t="str">
            <v>Abatement amount</v>
          </cell>
          <cell r="CU12">
            <v>154.54861450195313</v>
          </cell>
          <cell r="CW12">
            <v>152.56296965035853</v>
          </cell>
          <cell r="CX12" t="str">
            <v>Abatement amount</v>
          </cell>
          <cell r="CY12">
            <v>185.06121826171875</v>
          </cell>
          <cell r="DA12">
            <v>122.0503658905929</v>
          </cell>
          <cell r="DB12" t="str">
            <v>Emissions amount</v>
          </cell>
          <cell r="DC12">
            <v>202</v>
          </cell>
          <cell r="DE12">
            <v>202</v>
          </cell>
          <cell r="DF12" t="str">
            <v>Emissions amount</v>
          </cell>
          <cell r="DG12">
            <v>202</v>
          </cell>
          <cell r="DI12">
            <v>202</v>
          </cell>
          <cell r="DJ12" t="str">
            <v>Emissions amount</v>
          </cell>
          <cell r="DK12">
            <v>153</v>
          </cell>
          <cell r="DM12">
            <v>153</v>
          </cell>
          <cell r="DN12" t="str">
            <v>Emissions amount</v>
          </cell>
          <cell r="DO12">
            <v>153</v>
          </cell>
          <cell r="DQ12">
            <v>153</v>
          </cell>
          <cell r="DR12" t="str">
            <v>Emissions amount</v>
          </cell>
          <cell r="DS12">
            <v>153</v>
          </cell>
          <cell r="DU12">
            <v>153</v>
          </cell>
          <cell r="DV12" t="str">
            <v>Emissions amount</v>
          </cell>
          <cell r="DW12">
            <v>153</v>
          </cell>
          <cell r="DY12">
            <v>153</v>
          </cell>
          <cell r="DZ12" t="str">
            <v>Emissions amount</v>
          </cell>
          <cell r="EA12">
            <v>100</v>
          </cell>
          <cell r="EC12">
            <v>100</v>
          </cell>
          <cell r="ED12" t="str">
            <v>Emissions amount</v>
          </cell>
          <cell r="EE12">
            <v>90</v>
          </cell>
          <cell r="EG12">
            <v>90</v>
          </cell>
          <cell r="EH12" t="str">
            <v>Abatement amount</v>
          </cell>
          <cell r="EI12">
            <v>0</v>
          </cell>
          <cell r="EK12">
            <v>257.04377252450519</v>
          </cell>
          <cell r="EL12" t="str">
            <v>Emissions amount</v>
          </cell>
          <cell r="EM12">
            <v>136</v>
          </cell>
          <cell r="EO12">
            <v>136</v>
          </cell>
          <cell r="EP12" t="str">
            <v>Emissions amount</v>
          </cell>
          <cell r="EQ12">
            <v>136</v>
          </cell>
          <cell r="ES12">
            <v>136</v>
          </cell>
          <cell r="ET12" t="str">
            <v>Abatement amount</v>
          </cell>
          <cell r="EU12">
            <v>89.928137617833315</v>
          </cell>
          <cell r="EW12">
            <v>167.11563490667186</v>
          </cell>
          <cell r="EX12" t="str">
            <v>Abatement amount</v>
          </cell>
          <cell r="EY12">
            <v>71.421390196108447</v>
          </cell>
          <cell r="FA12">
            <v>185.62238232839672</v>
          </cell>
          <cell r="FB12" t="str">
            <v>Abatement amount</v>
          </cell>
          <cell r="FC12">
            <v>51.708486818906287</v>
          </cell>
          <cell r="FE12">
            <v>205.33528570559889</v>
          </cell>
          <cell r="FF12" t="str">
            <v>Abatement amount</v>
          </cell>
          <cell r="FG12">
            <v>93.459846496582031</v>
          </cell>
          <cell r="FI12">
            <v>163.58392602792316</v>
          </cell>
          <cell r="FJ12" t="str">
            <v>Abatement amount</v>
          </cell>
          <cell r="FK12">
            <v>126.1766357421875</v>
          </cell>
          <cell r="FM12">
            <v>130.86713678231769</v>
          </cell>
          <cell r="FN12" t="str">
            <v>Emissions amount</v>
          </cell>
          <cell r="FO12">
            <v>136</v>
          </cell>
          <cell r="FQ12">
            <v>136</v>
          </cell>
          <cell r="FR12" t="str">
            <v>Emissions amount</v>
          </cell>
          <cell r="FS12">
            <v>136</v>
          </cell>
          <cell r="FU12">
            <v>136</v>
          </cell>
          <cell r="FV12" t="str">
            <v>Abatement amount</v>
          </cell>
          <cell r="FW12">
            <v>93.459846496582031</v>
          </cell>
          <cell r="FY12">
            <v>163.58392602792316</v>
          </cell>
          <cell r="FZ12" t="str">
            <v>Abatement amount</v>
          </cell>
          <cell r="GA12">
            <v>126.1766357421875</v>
          </cell>
          <cell r="GC12">
            <v>130.86713678231769</v>
          </cell>
          <cell r="GD12" t="str">
            <v>Abatement amount</v>
          </cell>
          <cell r="GE12">
            <v>126.1766357421875</v>
          </cell>
          <cell r="GG12">
            <v>130.86713678231769</v>
          </cell>
          <cell r="GH12" t="str">
            <v>Abatement amount</v>
          </cell>
          <cell r="GI12">
            <v>126.17664337158203</v>
          </cell>
          <cell r="GK12">
            <v>130.86712915292316</v>
          </cell>
          <cell r="GL12" t="str">
            <v>Abatement amount</v>
          </cell>
          <cell r="GM12">
            <v>94.406030038152267</v>
          </cell>
          <cell r="GO12">
            <v>162.63774248635292</v>
          </cell>
          <cell r="GP12" t="str">
            <v>Abatement amount</v>
          </cell>
          <cell r="GQ12">
            <v>53.630437030653979</v>
          </cell>
          <cell r="GS12">
            <v>203.41333549385121</v>
          </cell>
          <cell r="GT12" t="str">
            <v>Abatement amount</v>
          </cell>
          <cell r="GU12">
            <v>74.979037576719378</v>
          </cell>
          <cell r="GW12">
            <v>182.06473494778581</v>
          </cell>
          <cell r="GX12" t="str">
            <v>Emissions amount</v>
          </cell>
          <cell r="GY12">
            <v>180</v>
          </cell>
          <cell r="HA12">
            <v>180</v>
          </cell>
          <cell r="HB12" t="str">
            <v>Emissions amount</v>
          </cell>
          <cell r="HC12">
            <v>180</v>
          </cell>
          <cell r="HE12">
            <v>180</v>
          </cell>
          <cell r="HF12" t="str">
            <v>Emissions amount</v>
          </cell>
          <cell r="HG12">
            <v>180</v>
          </cell>
          <cell r="HI12">
            <v>180</v>
          </cell>
          <cell r="HJ12" t="str">
            <v>Emissions amount</v>
          </cell>
          <cell r="HK12">
            <v>180</v>
          </cell>
          <cell r="HM12">
            <v>180</v>
          </cell>
          <cell r="HN12" t="str">
            <v>Emissions amount</v>
          </cell>
          <cell r="HO12">
            <v>147</v>
          </cell>
          <cell r="HQ12">
            <v>147</v>
          </cell>
          <cell r="HR12" t="str">
            <v>Emissions amount</v>
          </cell>
          <cell r="HS12">
            <v>156</v>
          </cell>
          <cell r="HU12">
            <v>156</v>
          </cell>
          <cell r="HV12" t="str">
            <v>Emissions amount</v>
          </cell>
          <cell r="HW12">
            <v>156</v>
          </cell>
          <cell r="HX12" t="str">
            <v>tbc</v>
          </cell>
          <cell r="HY12">
            <v>156</v>
          </cell>
          <cell r="HZ12" t="str">
            <v>Emissions amount</v>
          </cell>
          <cell r="IA12">
            <v>180</v>
          </cell>
          <cell r="IB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v>
          </cell>
          <cell r="IC12">
            <v>180</v>
          </cell>
          <cell r="ID12" t="str">
            <v>Emissions amount</v>
          </cell>
          <cell r="IE12">
            <v>180</v>
          </cell>
          <cell r="IF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v>
          </cell>
          <cell r="IG12">
            <v>180</v>
          </cell>
          <cell r="IH12" t="str">
            <v>Emissions amount</v>
          </cell>
          <cell r="II12">
            <v>153</v>
          </cell>
          <cell r="IJ12" t="str">
            <v xml:space="preserve">Starting assumption for regional emissions: 25% on 1990. Portion of regional emissions are then replaced by submitted INDCs.
Includes INDC from Norway, Iceland, Serbia , Macedonia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15.5Mt.
</v>
          </cell>
          <cell r="IK12">
            <v>153</v>
          </cell>
          <cell r="IL12" t="str">
            <v>Emissions amount</v>
          </cell>
          <cell r="IM12">
            <v>180</v>
          </cell>
          <cell r="IN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v>
          </cell>
          <cell r="IO12">
            <v>180</v>
          </cell>
          <cell r="IP12" t="str">
            <v>Emissions amount</v>
          </cell>
          <cell r="IQ12">
            <v>180</v>
          </cell>
          <cell r="IR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v>
          </cell>
          <cell r="IS12">
            <v>180</v>
          </cell>
          <cell r="IT12" t="str">
            <v>Emissions amount</v>
          </cell>
          <cell r="IU12">
            <v>161</v>
          </cell>
          <cell r="IV12" t="str">
            <v xml:space="preserve">Starting assumption for regional emissions: 25% on 1990. Portion of regional emissions are then replaced by submitted INDCs.
Includes INDC from Norway, Iceland, Serbia, Maedonia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v>
          </cell>
          <cell r="IW12">
            <v>161</v>
          </cell>
          <cell r="IX12" t="str">
            <v>Emissions amount</v>
          </cell>
          <cell r="IY12">
            <v>153</v>
          </cell>
          <cell r="IZ12" t="str">
            <v xml:space="preserve">Starting assumption for regional emissions: 25% on 1990. Portion of regional emissions are then replaced by submitted INDCs.
Includes INDC from Norway, Iceland, Serbia , Macedonia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15.5Mt.
</v>
          </cell>
          <cell r="JA12">
            <v>153</v>
          </cell>
          <cell r="JB12" t="str">
            <v>Emissions amount</v>
          </cell>
          <cell r="JC12">
            <v>178</v>
          </cell>
          <cell r="JD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JE12">
            <v>178</v>
          </cell>
          <cell r="JF12" t="str">
            <v>Emissions amount</v>
          </cell>
          <cell r="JG12">
            <v>177</v>
          </cell>
          <cell r="JH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JI12">
            <v>177</v>
          </cell>
          <cell r="JJ12" t="str">
            <v>Emissions amount</v>
          </cell>
          <cell r="JK12">
            <v>177</v>
          </cell>
          <cell r="JL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JM12">
            <v>177</v>
          </cell>
          <cell r="JN12" t="str">
            <v>Emissions amount</v>
          </cell>
          <cell r="JO12">
            <v>162</v>
          </cell>
          <cell r="JP12" t="str">
            <v xml:space="preserve">Starting assumption for regional emissions: 25% on 1990. Portion of regional emissions are then replaced by submitted INDCs.
Includes INDC from Norway, Iceland, Serbia, Maedonia , Montenegro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15.5Mt.
Montenegro: 30% reduction on 1990. 3.667Mt of target emissions stated in INDC.
</v>
          </cell>
          <cell r="JQ12">
            <v>162</v>
          </cell>
          <cell r="JR12" t="str">
            <v>Emissions amount</v>
          </cell>
          <cell r="JS12">
            <v>155</v>
          </cell>
          <cell r="JT12" t="str">
            <v xml:space="preserve">Starting assumption for regional emissions: 25% on 1990. Portion of regional emissions are then replaced by submitted INDCs.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14.3Mt.
Montenegro: 30% reduction on 1990 by 2030. Target emissions level given in the INDC : 3.667Mt
</v>
          </cell>
          <cell r="JU12">
            <v>155</v>
          </cell>
          <cell r="JV12" t="str">
            <v>Emissions amount</v>
          </cell>
          <cell r="JW12">
            <v>178</v>
          </cell>
          <cell r="JX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15.5Mt.
Montenegro: 30% reduction on 1990. 3.667Mt of target emissions stated in INDC.
</v>
          </cell>
          <cell r="JY12">
            <v>178</v>
          </cell>
          <cell r="JZ12" t="str">
            <v>Emissions amount</v>
          </cell>
          <cell r="KA12">
            <v>177</v>
          </cell>
          <cell r="KB12" t="str">
            <v>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14.3Mt.
Montenegro: 30% reduction on 1990 by 2030. Target emissions level given in the INDC : 3.667Mt
BAU for rest of region</v>
          </cell>
          <cell r="KC12">
            <v>177</v>
          </cell>
          <cell r="KD12" t="str">
            <v>Emissions amount</v>
          </cell>
          <cell r="KE12">
            <v>178</v>
          </cell>
          <cell r="KF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KG12">
            <v>178</v>
          </cell>
          <cell r="KH12" t="str">
            <v>Emissions amount</v>
          </cell>
          <cell r="KI12">
            <v>177</v>
          </cell>
          <cell r="KJ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KK12">
            <v>177</v>
          </cell>
          <cell r="KL12" t="str">
            <v>Emissions amount</v>
          </cell>
          <cell r="KM12">
            <v>177</v>
          </cell>
          <cell r="KN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KO12">
            <v>177</v>
          </cell>
          <cell r="KP12" t="str">
            <v>Emissions amount</v>
          </cell>
          <cell r="KQ12">
            <v>177</v>
          </cell>
          <cell r="KR12" t="str">
            <v>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14.3Mt.
Montenegro: 30% reduction on 1990 by 2030. Target emissions level given in the INDC : 3.667Mt
BAU for rest of region</v>
          </cell>
          <cell r="KS12">
            <v>177</v>
          </cell>
          <cell r="KT12" t="str">
            <v>Emissions amount</v>
          </cell>
          <cell r="KU12">
            <v>162</v>
          </cell>
          <cell r="KV12" t="str">
            <v xml:space="preserve">Starting assumption for regional emissions: 25% on 1990. Portion of regional emissions are then replaced by submitted INDCs.
Includes INDC from Norway, Iceland, Serbia, Maedonia , Montenegro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15.5Mt.
Montenegro: 30% reduction on 1990. 3.667Mt of target emissions stated in INDC.
</v>
          </cell>
          <cell r="KW12">
            <v>162</v>
          </cell>
          <cell r="KX12" t="str">
            <v>Emissions amount</v>
          </cell>
          <cell r="KY12">
            <v>155</v>
          </cell>
          <cell r="KZ12" t="str">
            <v xml:space="preserve">Starting assumption for regional emissions: 25% on 1990. Portion of regional emissions are then replaced by submitted INDCs.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14.3Mt.
Montenegro: 30% reduction on 1990 by 2030. Target emissions level given in the INDC : 3.667Mt
</v>
          </cell>
          <cell r="LA12">
            <v>155</v>
          </cell>
          <cell r="LB12" t="str">
            <v>Emissions amount</v>
          </cell>
          <cell r="LC12">
            <v>178</v>
          </cell>
          <cell r="LD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36% reduction on BAU (12.4Mt target emissions).  These only covered 80% of emissions according to the INDC. GHG is therefore estimated to be 15.5Mt.
Montenegro: 30% reduction on 1990. 3.667Mt of target emissions stated in INDC.
</v>
          </cell>
          <cell r="LE12">
            <v>178</v>
          </cell>
          <cell r="LF12" t="str">
            <v>Emissions amount</v>
          </cell>
          <cell r="LG12">
            <v>177</v>
          </cell>
          <cell r="LH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LI12">
            <v>177</v>
          </cell>
          <cell r="LJ12" t="str">
            <v>Emissions amount</v>
          </cell>
          <cell r="LK12">
            <v>177</v>
          </cell>
          <cell r="LL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LM12">
            <v>177</v>
          </cell>
          <cell r="LN12" t="str">
            <v>Emissions amount</v>
          </cell>
          <cell r="LO12">
            <v>169</v>
          </cell>
          <cell r="LP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LQ12">
            <v>169</v>
          </cell>
          <cell r="LR12" t="str">
            <v>Emissions amount</v>
          </cell>
          <cell r="LS12">
            <v>169</v>
          </cell>
          <cell r="LT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LU12">
            <v>169</v>
          </cell>
          <cell r="LV12" t="str">
            <v>Emissions amount</v>
          </cell>
          <cell r="LW12">
            <v>169</v>
          </cell>
          <cell r="LX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LY12">
            <v>169</v>
          </cell>
          <cell r="LZ12" t="str">
            <v>Emissions amount</v>
          </cell>
          <cell r="MA12">
            <v>158</v>
          </cell>
          <cell r="MB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MC12">
            <v>158</v>
          </cell>
          <cell r="MD12" t="str">
            <v>Emissions amount</v>
          </cell>
          <cell r="ME12">
            <v>158</v>
          </cell>
          <cell r="MF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MG12">
            <v>158</v>
          </cell>
          <cell r="MH12" t="str">
            <v>Emissions amount</v>
          </cell>
          <cell r="MI12">
            <v>158</v>
          </cell>
          <cell r="MJ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MK12">
            <v>158</v>
          </cell>
          <cell r="ML12" t="str">
            <v>Emissions amount</v>
          </cell>
          <cell r="MM12">
            <v>158</v>
          </cell>
          <cell r="MN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MO12">
            <v>158</v>
          </cell>
          <cell r="MP12" t="str">
            <v>Emissions amount</v>
          </cell>
          <cell r="MQ12">
            <v>158</v>
          </cell>
          <cell r="MR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MS12">
            <v>158</v>
          </cell>
          <cell r="MT12" t="str">
            <v>Emissions amount</v>
          </cell>
          <cell r="MU12">
            <v>158</v>
          </cell>
          <cell r="MV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MW12">
            <v>158</v>
          </cell>
          <cell r="MX12" t="str">
            <v>Emissions amount</v>
          </cell>
          <cell r="MY12">
            <v>158</v>
          </cell>
          <cell r="MZ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NA12">
            <v>158</v>
          </cell>
          <cell r="NB12" t="str">
            <v>Emissions amount</v>
          </cell>
          <cell r="NC12">
            <v>158</v>
          </cell>
          <cell r="ND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NE12">
            <v>158</v>
          </cell>
          <cell r="NF12" t="str">
            <v>Emissions amount</v>
          </cell>
          <cell r="NG12">
            <v>158</v>
          </cell>
          <cell r="NH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NI12">
            <v>158</v>
          </cell>
          <cell r="NJ12" t="str">
            <v>Emissions amount</v>
          </cell>
          <cell r="NK12">
            <v>158</v>
          </cell>
          <cell r="NL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NM12">
            <v>158</v>
          </cell>
          <cell r="NN12" t="str">
            <v>Emissions amount</v>
          </cell>
          <cell r="NO12">
            <v>158</v>
          </cell>
          <cell r="NP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NQ12">
            <v>158</v>
          </cell>
          <cell r="NR12" t="str">
            <v>Emissions amount</v>
          </cell>
          <cell r="NS12">
            <v>158</v>
          </cell>
          <cell r="NT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NU12">
            <v>158</v>
          </cell>
          <cell r="NV12" t="str">
            <v>Emissions amount</v>
          </cell>
          <cell r="NW12">
            <v>158</v>
          </cell>
          <cell r="NX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NY12">
            <v>158</v>
          </cell>
          <cell r="NZ12" t="str">
            <v>Emissions amount</v>
          </cell>
          <cell r="OA12">
            <v>158</v>
          </cell>
          <cell r="OB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OC12">
            <v>158</v>
          </cell>
          <cell r="OD12" t="str">
            <v>Emissions amount</v>
          </cell>
          <cell r="OE12">
            <v>158</v>
          </cell>
          <cell r="OF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OG12">
            <v>158</v>
          </cell>
          <cell r="OH12" t="str">
            <v>Emissions amount</v>
          </cell>
          <cell r="OI12">
            <v>158</v>
          </cell>
          <cell r="OJ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OK12">
            <v>158</v>
          </cell>
          <cell r="OL12" t="str">
            <v>Emissions amount</v>
          </cell>
          <cell r="OM12">
            <v>158</v>
          </cell>
          <cell r="ON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Macedonia: 30% reduction on BAU ( 11.4 target emissions).  These only covered 80% of emissions according to the INDC. GHG is therefore estimated to be 14.3.
Montenegro: 30% reduction on 1990 by 2030. Target emissions level given in the INDC : 3.667Mt
</v>
          </cell>
          <cell r="OO12">
            <v>158</v>
          </cell>
          <cell r="OP12" t="str">
            <v>Emissions amount</v>
          </cell>
          <cell r="OQ12">
            <v>158</v>
          </cell>
          <cell r="OR12" t="str">
            <v xml:space="preserve">Includes INDC from Norway, Iceland, Serbia and Switzerland. 
Norway: 40% reduction on 1990 reference level provided in INDC (52Mt, excludes LULUCF). This gives 31.2Mt.  Removals from LULUCF sector under BAU at 21.2Mt in 2030, will bring the net emissions including LULUCF to 10Mt, representing at least 76% reduction on 1990. Only additional removals beyond BAU LULUCF removals will be counted towards the at least 40% reduction commitment. 
Breakdown:
Base year 1990 level emissions, 52 Mt , this excludes LULUCF. 
Projected  2030 LULUCF: 21.2Mt
Switzerland: 50% on 1990 baseline. 1990 baseline provided in INDC (53.3Mt).
Iceland: 3Mt by 2030 , 40% reduction on 1990 
Serbia: 73Mt allowed emissions. 10% reduction by 2030 on a 1990 baseline incl. LULUCF (73Mt, WRI)
Montenegro: 30% reduction on 1990 by 2030. Target emissions level given in the INDC : 3.667Mt
</v>
          </cell>
          <cell r="OS12">
            <v>158</v>
          </cell>
          <cell r="OT12" t="str">
            <v>Emissions amount</v>
          </cell>
          <cell r="OU12">
            <v>159</v>
          </cell>
          <cell r="OW12">
            <v>159</v>
          </cell>
          <cell r="OX12" t="str">
            <v>Emissions amount</v>
          </cell>
          <cell r="OY12">
            <v>160</v>
          </cell>
          <cell r="PA12">
            <v>160</v>
          </cell>
          <cell r="PB12" t="str">
            <v>Emissions amount</v>
          </cell>
          <cell r="PC12">
            <v>160</v>
          </cell>
          <cell r="PE12">
            <v>160</v>
          </cell>
          <cell r="PF12" t="str">
            <v>Emissions amount</v>
          </cell>
          <cell r="PG12">
            <v>159</v>
          </cell>
          <cell r="PI12">
            <v>159</v>
          </cell>
          <cell r="PJ12" t="str">
            <v>Emissions amount</v>
          </cell>
          <cell r="PK12">
            <v>159</v>
          </cell>
          <cell r="PM12">
            <v>159</v>
          </cell>
          <cell r="PN12" t="str">
            <v>Emissions amount</v>
          </cell>
          <cell r="PO12">
            <v>187</v>
          </cell>
          <cell r="PQ12">
            <v>187</v>
          </cell>
          <cell r="PR12" t="str">
            <v>Emissions amount</v>
          </cell>
          <cell r="PS12">
            <v>186</v>
          </cell>
          <cell r="PU12">
            <v>186</v>
          </cell>
          <cell r="PV12" t="str">
            <v>Emissions amount</v>
          </cell>
          <cell r="PW12">
            <v>187</v>
          </cell>
          <cell r="PY12">
            <v>187</v>
          </cell>
          <cell r="PZ12" t="str">
            <v>Emissions amount</v>
          </cell>
          <cell r="QA12">
            <v>186</v>
          </cell>
          <cell r="QC12">
            <v>186</v>
          </cell>
          <cell r="QD12" t="str">
            <v>Emissions amount</v>
          </cell>
          <cell r="QE12">
            <v>186</v>
          </cell>
          <cell r="QG12">
            <v>186</v>
          </cell>
          <cell r="QH12" t="str">
            <v>Emissions amount</v>
          </cell>
          <cell r="QI12">
            <v>186</v>
          </cell>
          <cell r="QK12">
            <v>186</v>
          </cell>
          <cell r="QL12" t="str">
            <v>Emissions amount</v>
          </cell>
          <cell r="QM12">
            <v>186</v>
          </cell>
          <cell r="QO12">
            <v>186</v>
          </cell>
          <cell r="QP12" t="str">
            <v>Emissions amount</v>
          </cell>
          <cell r="QQ12">
            <v>187</v>
          </cell>
          <cell r="QS12">
            <v>187</v>
          </cell>
          <cell r="QT12" t="str">
            <v>Emissions amount</v>
          </cell>
          <cell r="QU12">
            <v>186</v>
          </cell>
          <cell r="QW12">
            <v>186</v>
          </cell>
          <cell r="QX12" t="str">
            <v>Emissions amount</v>
          </cell>
          <cell r="QY12">
            <v>186</v>
          </cell>
          <cell r="RA12">
            <v>186</v>
          </cell>
          <cell r="RB12" t="str">
            <v>Emissions amount</v>
          </cell>
          <cell r="RC12">
            <v>187</v>
          </cell>
          <cell r="RE12">
            <v>187</v>
          </cell>
          <cell r="RF12" t="str">
            <v>Emissions amount</v>
          </cell>
          <cell r="RG12">
            <v>186</v>
          </cell>
          <cell r="RI12">
            <v>186</v>
          </cell>
          <cell r="RJ12" t="str">
            <v>Emissions amount</v>
          </cell>
          <cell r="RK12">
            <v>187</v>
          </cell>
          <cell r="RM12">
            <v>187</v>
          </cell>
          <cell r="RN12" t="str">
            <v>Emissions amount</v>
          </cell>
          <cell r="RO12">
            <v>186</v>
          </cell>
          <cell r="RQ12">
            <v>186</v>
          </cell>
          <cell r="RR12" t="str">
            <v>Emissions amount</v>
          </cell>
          <cell r="RS12">
            <v>186</v>
          </cell>
          <cell r="RU12">
            <v>186</v>
          </cell>
        </row>
        <row r="13">
          <cell r="A13" t="str">
            <v>South Korea</v>
          </cell>
          <cell r="B13" t="str">
            <v>Abatement amount</v>
          </cell>
          <cell r="C13">
            <v>340.50033076740363</v>
          </cell>
          <cell r="D13">
            <v>0</v>
          </cell>
          <cell r="E13">
            <v>484.09334580545328</v>
          </cell>
          <cell r="F13" t="str">
            <v>Abatement amount</v>
          </cell>
          <cell r="G13">
            <v>182.19805398997403</v>
          </cell>
          <cell r="I13">
            <v>642.39562258288288</v>
          </cell>
          <cell r="J13" t="str">
            <v>Abatement amount</v>
          </cell>
          <cell r="K13">
            <v>280.36184692382813</v>
          </cell>
          <cell r="M13">
            <v>544.23182964902878</v>
          </cell>
          <cell r="N13" t="str">
            <v>Abatement amount</v>
          </cell>
          <cell r="O13">
            <v>280.36184692382813</v>
          </cell>
          <cell r="Q13">
            <v>544.23182964902878</v>
          </cell>
          <cell r="R13" t="str">
            <v>Abatement amount</v>
          </cell>
          <cell r="S13">
            <v>371.06716918945313</v>
          </cell>
          <cell r="U13">
            <v>453.52650738340378</v>
          </cell>
          <cell r="V13" t="str">
            <v>Abatement amount</v>
          </cell>
          <cell r="W13">
            <v>318.09637451171875</v>
          </cell>
          <cell r="Y13">
            <v>506.49730206113816</v>
          </cell>
          <cell r="Z13" t="str">
            <v>Abatement amount</v>
          </cell>
          <cell r="AA13">
            <v>340.50033569335938</v>
          </cell>
          <cell r="AC13">
            <v>484.09334087949753</v>
          </cell>
          <cell r="AD13" t="str">
            <v>Abatement amount</v>
          </cell>
          <cell r="AE13">
            <v>174.83541870117188</v>
          </cell>
          <cell r="AG13">
            <v>649.75825787168503</v>
          </cell>
          <cell r="AH13" t="str">
            <v>Abatement amount</v>
          </cell>
          <cell r="AI13">
            <v>280.36184692382824</v>
          </cell>
          <cell r="AK13">
            <v>544.23182964902867</v>
          </cell>
          <cell r="AL13" t="str">
            <v>Abatement amount</v>
          </cell>
          <cell r="AM13">
            <v>280.36184692382824</v>
          </cell>
          <cell r="AO13">
            <v>544.23182964902867</v>
          </cell>
          <cell r="AP13" t="str">
            <v>Abatement amount</v>
          </cell>
          <cell r="AQ13">
            <v>371.06716918945313</v>
          </cell>
          <cell r="AS13">
            <v>453.52650738340378</v>
          </cell>
          <cell r="AT13" t="str">
            <v>Abatement amount</v>
          </cell>
          <cell r="AU13">
            <v>318.09637451171881</v>
          </cell>
          <cell r="AW13">
            <v>506.4973020611381</v>
          </cell>
          <cell r="AX13" t="str">
            <v>Emissions amount</v>
          </cell>
          <cell r="AY13">
            <v>824.59367657285691</v>
          </cell>
          <cell r="BA13">
            <v>824.59367657285691</v>
          </cell>
          <cell r="BB13" t="str">
            <v>Emissions amount</v>
          </cell>
          <cell r="BC13">
            <v>824.59367657285691</v>
          </cell>
          <cell r="BE13">
            <v>824.59367657285691</v>
          </cell>
          <cell r="BF13" t="str">
            <v>Emissions amount</v>
          </cell>
          <cell r="BG13">
            <v>824.59367657285691</v>
          </cell>
          <cell r="BI13">
            <v>824.59367657285691</v>
          </cell>
          <cell r="BJ13" t="str">
            <v>Emissions amount</v>
          </cell>
          <cell r="BK13">
            <v>824.59367657285691</v>
          </cell>
          <cell r="BM13">
            <v>824.59367657285691</v>
          </cell>
          <cell r="BN13" t="str">
            <v>Emissions amount</v>
          </cell>
          <cell r="BO13">
            <v>824.59367657285691</v>
          </cell>
          <cell r="BQ13">
            <v>824.59367657285691</v>
          </cell>
          <cell r="BR13" t="str">
            <v>Emissions amount</v>
          </cell>
          <cell r="BS13">
            <v>544.23182964902878</v>
          </cell>
          <cell r="BU13">
            <v>544.23182964902878</v>
          </cell>
          <cell r="BV13" t="str">
            <v>Emissions amount</v>
          </cell>
          <cell r="BW13">
            <v>453.52650738340378</v>
          </cell>
          <cell r="BY13">
            <v>453.52650738340378</v>
          </cell>
          <cell r="BZ13" t="str">
            <v>Emissions amount</v>
          </cell>
          <cell r="CA13">
            <v>824.59367657285691</v>
          </cell>
          <cell r="CC13">
            <v>824.59367657285691</v>
          </cell>
          <cell r="CD13" t="str">
            <v>Emissions amount</v>
          </cell>
          <cell r="CE13">
            <v>824.59367657285691</v>
          </cell>
          <cell r="CG13">
            <v>824.59367657285691</v>
          </cell>
          <cell r="CH13" t="str">
            <v>Abatement amount</v>
          </cell>
          <cell r="CI13">
            <v>280.36184692382813</v>
          </cell>
          <cell r="CK13">
            <v>544.23182964902878</v>
          </cell>
          <cell r="CL13" t="str">
            <v>Abatement amount</v>
          </cell>
          <cell r="CM13">
            <v>371.06716918945313</v>
          </cell>
          <cell r="CO13">
            <v>453.52650738340378</v>
          </cell>
          <cell r="CP13" t="str">
            <v>Abatement amount</v>
          </cell>
          <cell r="CQ13">
            <v>371.06716918945313</v>
          </cell>
          <cell r="CS13">
            <v>453.52650738340378</v>
          </cell>
          <cell r="CT13" t="str">
            <v>Abatement amount</v>
          </cell>
          <cell r="CU13">
            <v>280.36184692382813</v>
          </cell>
          <cell r="CW13">
            <v>544.23182964902878</v>
          </cell>
          <cell r="CX13" t="str">
            <v>Abatement amount</v>
          </cell>
          <cell r="CY13">
            <v>371.06716918945313</v>
          </cell>
          <cell r="DA13">
            <v>453.52650738340378</v>
          </cell>
          <cell r="DB13" t="str">
            <v>Abatement amount</v>
          </cell>
          <cell r="DC13">
            <v>371.06716918945313</v>
          </cell>
          <cell r="DE13">
            <v>453.52650738340378</v>
          </cell>
          <cell r="DF13" t="str">
            <v>Abatement amount</v>
          </cell>
          <cell r="DG13">
            <v>280.36184692382813</v>
          </cell>
          <cell r="DI13">
            <v>544.23182964902878</v>
          </cell>
          <cell r="DJ13" t="str">
            <v>Emissions amount</v>
          </cell>
          <cell r="DK13">
            <v>824.59367657285691</v>
          </cell>
          <cell r="DM13">
            <v>824.59367657285691</v>
          </cell>
          <cell r="DN13" t="str">
            <v>Emissions amount</v>
          </cell>
          <cell r="DO13">
            <v>824.59367657285691</v>
          </cell>
          <cell r="DQ13">
            <v>824.59367657285691</v>
          </cell>
          <cell r="DR13" t="str">
            <v>Emissions amount</v>
          </cell>
          <cell r="DS13">
            <v>824.59367657285691</v>
          </cell>
          <cell r="DU13">
            <v>824.59367657285691</v>
          </cell>
          <cell r="DV13" t="str">
            <v>Emissions amount</v>
          </cell>
          <cell r="DW13">
            <v>824.59367657285691</v>
          </cell>
          <cell r="DY13">
            <v>824.59367657285691</v>
          </cell>
          <cell r="DZ13" t="str">
            <v>Abatement amount</v>
          </cell>
          <cell r="EA13">
            <v>280.36184692382813</v>
          </cell>
          <cell r="EC13">
            <v>544.23182964902878</v>
          </cell>
          <cell r="ED13" t="str">
            <v>Emissions amount</v>
          </cell>
          <cell r="EE13">
            <v>454</v>
          </cell>
          <cell r="EG13">
            <v>454</v>
          </cell>
          <cell r="EH13" t="str">
            <v>Abatement amount</v>
          </cell>
          <cell r="EI13">
            <v>0</v>
          </cell>
          <cell r="EK13">
            <v>772.49926881040585</v>
          </cell>
          <cell r="EL13" t="str">
            <v>Abatement amount</v>
          </cell>
          <cell r="EM13">
            <v>0</v>
          </cell>
          <cell r="EO13">
            <v>772.49926881040585</v>
          </cell>
          <cell r="EP13" t="str">
            <v>Abatement amount</v>
          </cell>
          <cell r="EQ13">
            <v>0</v>
          </cell>
          <cell r="ES13">
            <v>772.49926881040585</v>
          </cell>
          <cell r="ET13" t="str">
            <v>Abatement amount</v>
          </cell>
          <cell r="EU13">
            <v>278.70906296930099</v>
          </cell>
          <cell r="EW13">
            <v>493.79020584110486</v>
          </cell>
          <cell r="EX13" t="str">
            <v>Abatement amount</v>
          </cell>
          <cell r="EY13">
            <v>234.22097441986583</v>
          </cell>
          <cell r="FA13">
            <v>538.27829439054005</v>
          </cell>
          <cell r="FB13" t="str">
            <v>Abatement amount</v>
          </cell>
          <cell r="FC13">
            <v>175.66891299195919</v>
          </cell>
          <cell r="FE13">
            <v>596.83035581844661</v>
          </cell>
          <cell r="FF13" t="str">
            <v>Emissions amount</v>
          </cell>
          <cell r="FG13">
            <v>703</v>
          </cell>
          <cell r="FI13">
            <v>703</v>
          </cell>
          <cell r="FJ13" t="str">
            <v>Emissions amount</v>
          </cell>
          <cell r="FK13">
            <v>562</v>
          </cell>
          <cell r="FM13">
            <v>562</v>
          </cell>
          <cell r="FN13" t="str">
            <v>Abatement amount</v>
          </cell>
          <cell r="FO13">
            <v>0</v>
          </cell>
          <cell r="FQ13">
            <v>772.49926881040585</v>
          </cell>
          <cell r="FR13" t="str">
            <v>Abatement amount</v>
          </cell>
          <cell r="FS13">
            <v>0</v>
          </cell>
          <cell r="FU13">
            <v>772.49926881040585</v>
          </cell>
          <cell r="FV13" t="str">
            <v>Abatement amount</v>
          </cell>
          <cell r="FW13">
            <v>205.88888549804688</v>
          </cell>
          <cell r="FY13">
            <v>566.61038331235898</v>
          </cell>
          <cell r="FZ13" t="str">
            <v>Abatement amount</v>
          </cell>
          <cell r="GA13">
            <v>331.80230712890625</v>
          </cell>
          <cell r="GC13">
            <v>440.6969616814996</v>
          </cell>
          <cell r="GD13" t="str">
            <v>Abatement amount</v>
          </cell>
          <cell r="GE13">
            <v>394.75900268554688</v>
          </cell>
          <cell r="GG13">
            <v>377.74026612485898</v>
          </cell>
          <cell r="GH13" t="str">
            <v>Abatement amount</v>
          </cell>
          <cell r="GI13">
            <v>363.28067016601563</v>
          </cell>
          <cell r="GK13">
            <v>409.21859864439023</v>
          </cell>
          <cell r="GL13" t="str">
            <v>Abatement amount</v>
          </cell>
          <cell r="GM13">
            <v>292.58713532356421</v>
          </cell>
          <cell r="GO13">
            <v>479.91213348684164</v>
          </cell>
          <cell r="GP13" t="str">
            <v>Abatement amount</v>
          </cell>
          <cell r="GQ13">
            <v>182.19834220741507</v>
          </cell>
          <cell r="GS13">
            <v>590.30092660299078</v>
          </cell>
          <cell r="GT13" t="str">
            <v>Abatement amount</v>
          </cell>
          <cell r="GU13">
            <v>245.88800629702439</v>
          </cell>
          <cell r="GW13">
            <v>526.61126251338146</v>
          </cell>
          <cell r="GX13" t="str">
            <v>Emissions amount</v>
          </cell>
          <cell r="GY13">
            <v>512</v>
          </cell>
          <cell r="HA13">
            <v>512</v>
          </cell>
          <cell r="HB13" t="str">
            <v>Emissions amount</v>
          </cell>
          <cell r="HC13">
            <v>512</v>
          </cell>
          <cell r="HE13">
            <v>512</v>
          </cell>
          <cell r="HF13" t="str">
            <v>Emissions amount</v>
          </cell>
          <cell r="HG13">
            <v>512</v>
          </cell>
          <cell r="HI13">
            <v>512</v>
          </cell>
          <cell r="HJ13" t="str">
            <v>Emissions amount</v>
          </cell>
          <cell r="HK13">
            <v>512</v>
          </cell>
          <cell r="HM13">
            <v>512</v>
          </cell>
          <cell r="HN13" t="str">
            <v>Emissions amount</v>
          </cell>
          <cell r="HO13">
            <v>513</v>
          </cell>
          <cell r="HQ13">
            <v>513</v>
          </cell>
          <cell r="HR13" t="str">
            <v>Emissions amount</v>
          </cell>
          <cell r="HS13">
            <v>513</v>
          </cell>
          <cell r="HU13">
            <v>513</v>
          </cell>
          <cell r="HV13" t="str">
            <v>Emissions amount</v>
          </cell>
          <cell r="HW13">
            <v>513</v>
          </cell>
          <cell r="HX13" t="str">
            <v xml:space="preserve">-37% on S. Korea’s INDC BAU (includes international credits) </v>
          </cell>
          <cell r="HY13">
            <v>513</v>
          </cell>
          <cell r="HZ13" t="str">
            <v>Emissions amount</v>
          </cell>
          <cell r="IA13">
            <v>513</v>
          </cell>
          <cell r="IB13" t="str">
            <v>37% reduction on 2030 BAU. BAU given in INDC is 850.6Mt.  BAU excludes LULUCF. LULUCF emissions at 2030 are estimated to be -23Mt (based on 2020 LULUCF projections from the 3rd National Communications report ).  Total net emissions in 2030 is therefore 535-23=512Mt</v>
          </cell>
          <cell r="IC13">
            <v>513</v>
          </cell>
          <cell r="ID13" t="str">
            <v>Emissions amount</v>
          </cell>
          <cell r="IE13">
            <v>513</v>
          </cell>
          <cell r="IF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IG13">
            <v>513</v>
          </cell>
          <cell r="IH13" t="str">
            <v>Emissions amount</v>
          </cell>
          <cell r="II13">
            <v>513</v>
          </cell>
          <cell r="IJ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IK13">
            <v>513</v>
          </cell>
          <cell r="IL13" t="str">
            <v>Emissions amount</v>
          </cell>
          <cell r="IM13">
            <v>512</v>
          </cell>
          <cell r="IN13" t="str">
            <v>37% reduction on 2030 BAU. BAU given in INDC is 850.6Mt.  BAU excludes LULUCF. LULUCF emissions at 2030 are estimated to be -23Mt (based on 2020 LULUCF projections from the 3rd National Communications report ).  Total net emissions in 2030 is therefore 535-23=512Mt</v>
          </cell>
          <cell r="IO13">
            <v>512</v>
          </cell>
          <cell r="IP13" t="str">
            <v>Emissions amount</v>
          </cell>
          <cell r="IQ13">
            <v>512</v>
          </cell>
          <cell r="IR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IS13">
            <v>512</v>
          </cell>
          <cell r="IT13" t="str">
            <v>Emissions amount</v>
          </cell>
          <cell r="IU13">
            <v>513</v>
          </cell>
          <cell r="IV13" t="str">
            <v>37% reduction on 2030 BAU. BAU given in INDC is 850.6Mt.  BAU excludes LULUCF. LULUCF emissions at 2030 are estimated to be -23Mt (based on 2020 LULUCF projections from the 3rd National Communications report ).  Total net emissions in 2030 is therefore 535-23=512Mt</v>
          </cell>
          <cell r="IW13">
            <v>513</v>
          </cell>
          <cell r="IX13" t="str">
            <v>Emissions amount</v>
          </cell>
          <cell r="IY13">
            <v>513</v>
          </cell>
          <cell r="IZ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JA13">
            <v>513</v>
          </cell>
          <cell r="JB13" t="str">
            <v>Emissions amount</v>
          </cell>
          <cell r="JC13">
            <v>512</v>
          </cell>
          <cell r="JD13" t="str">
            <v>37% reduction on 2030 BAU. BAU given in INDC is 850.6Mt.  BAU excludes LULUCF. LULUCF emissions at 2030 are estimated to be -23Mt (based on 2020 LULUCF projections from the 3rd National Communications report ).  Total net emissions in 2030 is therefore 535-23=512Mt</v>
          </cell>
          <cell r="JE13">
            <v>512</v>
          </cell>
          <cell r="JF13" t="str">
            <v>Emissions amount</v>
          </cell>
          <cell r="JG13">
            <v>512</v>
          </cell>
          <cell r="JH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JI13">
            <v>512</v>
          </cell>
          <cell r="JJ13" t="str">
            <v>Emissions amount</v>
          </cell>
          <cell r="JK13">
            <v>512</v>
          </cell>
          <cell r="JL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JM13">
            <v>512</v>
          </cell>
          <cell r="JN13" t="str">
            <v>Emissions amount</v>
          </cell>
          <cell r="JO13">
            <v>513</v>
          </cell>
          <cell r="JP13" t="str">
            <v>37% reduction on 2030 BAU. BAU given in INDC is 850.6Mt.  BAU excludes LULUCF. LULUCF emissions at 2030 are estimated to be -23Mt (based on 2020 LULUCF projections from the 3rd National Communications report ).  Total net emissions in 2030 is therefore 535-23=512Mt</v>
          </cell>
          <cell r="JQ13">
            <v>513</v>
          </cell>
          <cell r="JR13" t="str">
            <v>Emissions amount</v>
          </cell>
          <cell r="JS13">
            <v>513</v>
          </cell>
          <cell r="JT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JU13">
            <v>513</v>
          </cell>
          <cell r="JV13" t="str">
            <v>Emissions amount</v>
          </cell>
          <cell r="JW13">
            <v>512</v>
          </cell>
          <cell r="JX13" t="str">
            <v>37% reduction on 2030 BAU. BAU given in INDC is 850.6Mt.  BAU excludes LULUCF. LULUCF emissions at 2030 are estimated to be -23Mt (based on 2020 LULUCF projections from the 3rd National Communications report ).  Total net emissions in 2030 is therefore 535-23=512Mt</v>
          </cell>
          <cell r="JY13">
            <v>512</v>
          </cell>
          <cell r="JZ13" t="str">
            <v>Emissions amount</v>
          </cell>
          <cell r="KA13">
            <v>512</v>
          </cell>
          <cell r="KB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KC13">
            <v>512</v>
          </cell>
          <cell r="KD13" t="str">
            <v>Emissions amount</v>
          </cell>
          <cell r="KE13">
            <v>512</v>
          </cell>
          <cell r="KF13" t="str">
            <v>37% reduction on 2030 BAU. BAU given in INDC is 850.6Mt.  BAU excludes LULUCF. LULUCF emissions at 2030 are estimated to be -23Mt (based on 2020 LULUCF projections from the 3rd National Communications report ).  Total net emissions in 2030 is therefore 535-23=512Mt</v>
          </cell>
          <cell r="KG13">
            <v>512</v>
          </cell>
          <cell r="KH13" t="str">
            <v>Emissions amount</v>
          </cell>
          <cell r="KI13">
            <v>512</v>
          </cell>
          <cell r="KJ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KK13">
            <v>512</v>
          </cell>
          <cell r="KL13" t="str">
            <v>Emissions amount</v>
          </cell>
          <cell r="KM13">
            <v>512</v>
          </cell>
          <cell r="KN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KO13">
            <v>512</v>
          </cell>
          <cell r="KP13" t="str">
            <v>Emissions amount</v>
          </cell>
          <cell r="KQ13">
            <v>512</v>
          </cell>
          <cell r="KR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KS13">
            <v>512</v>
          </cell>
          <cell r="KT13" t="str">
            <v>Emissions amount</v>
          </cell>
          <cell r="KU13">
            <v>513</v>
          </cell>
          <cell r="KV13" t="str">
            <v>37% reduction on 2030 BAU. BAU given in INDC is 850.6Mt.  BAU excludes LULUCF. LULUCF emissions at 2030 are estimated to be -23Mt (based on 2020 LULUCF projections from the 3rd National Communications report ).  Total net emissions in 2030 is therefore 535-23=512Mt</v>
          </cell>
          <cell r="KW13">
            <v>513</v>
          </cell>
          <cell r="KX13" t="str">
            <v>Emissions amount</v>
          </cell>
          <cell r="KY13">
            <v>513</v>
          </cell>
          <cell r="KZ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LA13">
            <v>513</v>
          </cell>
          <cell r="LB13" t="str">
            <v>Emissions amount</v>
          </cell>
          <cell r="LC13">
            <v>512</v>
          </cell>
          <cell r="LD13" t="str">
            <v>37% reduction on 2030 BAU. BAU given in INDC is 850.6Mt.  BAU excludes LULUCF. LULUCF emissions at 2030 are estimated to be -23Mt (based on 2020 LULUCF projections from the 3rd National Communications report ).  Total net emissions in 2030 is therefore 535-23=512Mt</v>
          </cell>
          <cell r="LE13">
            <v>512</v>
          </cell>
          <cell r="LF13" t="str">
            <v>Emissions amount</v>
          </cell>
          <cell r="LG13">
            <v>512</v>
          </cell>
          <cell r="LH13" t="str">
            <v>37% reduction on 2030 BAU. BAU given in INDC is 850.6Mt.  BAU excludes LULUCF. LULUCF emissions at 2030 are estimated to be -23Mt (based on 2020 LULUCF projections from the 3rd National Communications report ).  Total net emissions in 2030 is therefore 535-23=512Mt</v>
          </cell>
          <cell r="LI13">
            <v>512</v>
          </cell>
          <cell r="LJ13" t="str">
            <v>Emissions amount</v>
          </cell>
          <cell r="LK13">
            <v>512</v>
          </cell>
          <cell r="LL13" t="str">
            <v>37% reduction on 2030 BAU. BAU given in INDC is 850.6Mt.  BAU excludes LULUCF. LULUCF emissions at 2030 are estimated to be -23Mt (based on 2020 LULUCF projections from the 3rd National Communications report ).  Total net emissions in 2030 is therefore 535-23=512Mt</v>
          </cell>
          <cell r="LM13">
            <v>512</v>
          </cell>
          <cell r="LN13" t="str">
            <v>Emissions amount</v>
          </cell>
          <cell r="LO13">
            <v>512</v>
          </cell>
          <cell r="LP13" t="str">
            <v>37% reduction on 2030 BAU. BAU given in INDC is 850.6Mt.  BAU excludes LULUCF. LULUCF emissions at 2030 are estimated to be -23Mt (based on 2020 LULUCF projections from the 3rd National Communications report ).  Total net emissions in 2030 is therefore 535-23=512Mt</v>
          </cell>
          <cell r="LQ13">
            <v>512</v>
          </cell>
          <cell r="LR13" t="str">
            <v>Emissions amount</v>
          </cell>
          <cell r="LS13">
            <v>512</v>
          </cell>
          <cell r="LT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LU13">
            <v>512</v>
          </cell>
          <cell r="LV13" t="str">
            <v>Emissions amount</v>
          </cell>
          <cell r="LW13">
            <v>512</v>
          </cell>
          <cell r="LX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LY13">
            <v>512</v>
          </cell>
          <cell r="LZ13" t="str">
            <v>Emissions amount</v>
          </cell>
          <cell r="MA13">
            <v>512</v>
          </cell>
          <cell r="MB13" t="str">
            <v>37% reduction on 2030 BAU. BAU given in INDC is 850.6Mt.  BAU excludes LULUCF. LULUCF emissions at 2030 are estimated to be -23Mt (based on 2020 LULUCF projections from the 3rd National Communications report ).  Total net emissions in 2030 is therefore 535-23=512Mt</v>
          </cell>
          <cell r="MC13">
            <v>512</v>
          </cell>
          <cell r="MD13" t="str">
            <v>Emissions amount</v>
          </cell>
          <cell r="ME13">
            <v>512</v>
          </cell>
          <cell r="MF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MG13">
            <v>512</v>
          </cell>
          <cell r="MH13" t="str">
            <v>Emissions amount</v>
          </cell>
          <cell r="MI13">
            <v>512</v>
          </cell>
          <cell r="MJ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MK13">
            <v>512</v>
          </cell>
          <cell r="ML13" t="str">
            <v>Emissions amount</v>
          </cell>
          <cell r="MM13">
            <v>512</v>
          </cell>
          <cell r="MN13" t="str">
            <v>37% reduction on 2030 BAU. BAU given in INDC is 850.6Mt.  BAU excludes LULUCF. LULUCF emissions at 2030 are estimated to be -23Mt (based on 2020 LULUCF projections from the 3rd National Communications report ).  Total net emissions in 2030 is therefore 535-23=512Mt</v>
          </cell>
          <cell r="MO13">
            <v>512</v>
          </cell>
          <cell r="MP13" t="str">
            <v>Emissions amount</v>
          </cell>
          <cell r="MQ13">
            <v>512</v>
          </cell>
          <cell r="MR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MS13">
            <v>512</v>
          </cell>
          <cell r="MT13" t="str">
            <v>Emissions amount</v>
          </cell>
          <cell r="MU13">
            <v>512</v>
          </cell>
          <cell r="MV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MW13">
            <v>512</v>
          </cell>
          <cell r="MX13" t="str">
            <v>Emissions amount</v>
          </cell>
          <cell r="MY13">
            <v>512</v>
          </cell>
          <cell r="MZ13" t="str">
            <v>37% reduction on 2030 BAU. BAU given in INDC is 850.6Mt.  BAU excludes LULUCF. LULUCF emissions at 2030 are estimated to be -23Mt (based on 2020 LULUCF projections from the 3rd National Communications report ).  Total net emissions in 2030 is therefore 535-23=512Mt</v>
          </cell>
          <cell r="NA13">
            <v>512</v>
          </cell>
          <cell r="NB13" t="str">
            <v>Emissions amount</v>
          </cell>
          <cell r="NC13">
            <v>512</v>
          </cell>
          <cell r="ND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NE13">
            <v>512</v>
          </cell>
          <cell r="NF13" t="str">
            <v>Emissions amount</v>
          </cell>
          <cell r="NG13">
            <v>512</v>
          </cell>
          <cell r="NH13" t="str">
            <v>37% reduction on 2030 BAU. BAU given in INDC is 850.6Mt.  BAU excludes LULUCF. LULUCF emissions at 2030 are estimated to be -23Mt (based on 2020 LULUCF projections from the 3rd National Communications report ).  Total net emissions in 2030 is therefore 535-23=512Mt</v>
          </cell>
          <cell r="NI13">
            <v>512</v>
          </cell>
          <cell r="NJ13" t="str">
            <v>Emissions amount</v>
          </cell>
          <cell r="NK13">
            <v>512</v>
          </cell>
          <cell r="NL13" t="str">
            <v>37% reduction on 2030 BAU. BAU given in INDC is 850.6Mt.  BAU excludes LULUCF. LULUCF emissions at 2030 are estimated to be -23Mt (based on 2020 LULUCF projections from the 3rd National Communications report ).  Total net emissions in 2030 is therefore 535-23=512Mt</v>
          </cell>
          <cell r="NM13">
            <v>512</v>
          </cell>
          <cell r="NN13" t="str">
            <v>Emissions amount</v>
          </cell>
          <cell r="NO13">
            <v>512</v>
          </cell>
          <cell r="NP13" t="str">
            <v>37% reduction on 2030 BAU. BAU given in INDC is 850.6Mt.  BAU excludes LULUCF. LULUCF emissions at 2030 are estimated to be -23Mt (based on 2020 LULUCF projections from the 3rd National Communications report ).  Total net emissions in 2030 is therefore 535-23=512Mt</v>
          </cell>
          <cell r="NQ13">
            <v>512</v>
          </cell>
          <cell r="NR13" t="str">
            <v>Emissions amount</v>
          </cell>
          <cell r="NS13">
            <v>512</v>
          </cell>
          <cell r="NT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NU13">
            <v>512</v>
          </cell>
          <cell r="NV13" t="str">
            <v>Emissions amount</v>
          </cell>
          <cell r="NW13">
            <v>512</v>
          </cell>
          <cell r="NX13" t="str">
            <v>37% reduction on 2030 BAU. BAU given in INDC is 850.6Mt.  BAU excludes LULUCF. LULUCF emissions at 2030 are estimated to be -23Mt (based on 2020 LULUCF projections from the 3rd National Communications report ).  Total net emissions in 2030 is therefore 535-23=512Mt</v>
          </cell>
          <cell r="NY13">
            <v>512</v>
          </cell>
          <cell r="NZ13" t="str">
            <v>Emissions amount</v>
          </cell>
          <cell r="OA13">
            <v>512</v>
          </cell>
          <cell r="OB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OC13">
            <v>512</v>
          </cell>
          <cell r="OD13" t="str">
            <v>Emissions amount</v>
          </cell>
          <cell r="OE13">
            <v>512</v>
          </cell>
          <cell r="OF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OG13">
            <v>512</v>
          </cell>
          <cell r="OH13" t="str">
            <v>Emissions amount</v>
          </cell>
          <cell r="OI13">
            <v>512</v>
          </cell>
          <cell r="OJ13" t="str">
            <v>37% reduction on 2030 BAU. BAU given in INDC is 850.6Mt.  BAU excludes LULUCF. LULUCF emissions at 2030 are estimated to be -23Mt (based on 2020 LULUCF projections from the 3rd National Communications report ).  Total net emissions in 2030 is therefore 535-23=512Mt</v>
          </cell>
          <cell r="OK13">
            <v>512</v>
          </cell>
          <cell r="OL13" t="str">
            <v>Emissions amount</v>
          </cell>
          <cell r="OM13">
            <v>512</v>
          </cell>
          <cell r="ON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OO13">
            <v>512</v>
          </cell>
          <cell r="OP13" t="str">
            <v>Emissions amount</v>
          </cell>
          <cell r="OQ13">
            <v>512</v>
          </cell>
          <cell r="OR13" t="str">
            <v>37% reduction on 2030 BAU. BAU given in INDC is 850.6Mt.  BAU excludes LULUCF. LULUCF emissions at 2030 are estimated to be -23Mt (based on 2020 LULUCF projections from the 3rd National Communications report ).  Total net emissions in 2030 is therefore 535-23=512Mt</v>
          </cell>
          <cell r="OS13">
            <v>512</v>
          </cell>
          <cell r="OT13" t="str">
            <v>Emissions amount</v>
          </cell>
          <cell r="OU13">
            <v>512</v>
          </cell>
          <cell r="OV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OW13">
            <v>512</v>
          </cell>
          <cell r="OX13" t="str">
            <v>Emissions amount</v>
          </cell>
          <cell r="OY13">
            <v>512</v>
          </cell>
          <cell r="OZ13" t="str">
            <v>37% reduction on 2030 BAU. BAU given in INDC is 850.6Mt.  BAU excludes LULUCF. LULUCF emissions at 2030 are estimated to be -23Mt (based on 2020 LULUCF projections from the 3rd National Communications report ).  Total net emissions in 2030 is therefore 535-23=512Mt</v>
          </cell>
          <cell r="PA13">
            <v>512</v>
          </cell>
          <cell r="PB13" t="str">
            <v>Emissions amount</v>
          </cell>
          <cell r="PC13">
            <v>512</v>
          </cell>
          <cell r="PD13" t="str">
            <v>37% reduction on 2030 BAU. BAU given in INDC is 850.6Mt.  BAU excludes LULUCF. LULUCF emissions at 2030 are estimated to be -23Mt (based on 2020 LULUCF projections from the 3rd National Communications report ).  Total net emissions in 2030 is therefore 535-23=512Mt</v>
          </cell>
          <cell r="PE13">
            <v>512</v>
          </cell>
          <cell r="PF13" t="str">
            <v>Emissions amount</v>
          </cell>
          <cell r="PG13">
            <v>512</v>
          </cell>
          <cell r="PH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PI13">
            <v>512</v>
          </cell>
          <cell r="PJ13" t="str">
            <v>Emissions amount</v>
          </cell>
          <cell r="PK13">
            <v>512</v>
          </cell>
          <cell r="PL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PM13">
            <v>512</v>
          </cell>
          <cell r="PN13" t="str">
            <v>Emissions amount</v>
          </cell>
          <cell r="PO13">
            <v>512</v>
          </cell>
          <cell r="PP13" t="str">
            <v>37% reduction on 2030 BAU. BAU given in INDC is 850.6Mt.  BAU excludes LULUCF. LULUCF emissions at 2030 are estimated to be -23Mt (based on 2020 LULUCF projections from the 3rd National Communications report ).  Total net emissions in 2030 is therefore 535-23=512Mt</v>
          </cell>
          <cell r="PQ13">
            <v>512</v>
          </cell>
          <cell r="PR13" t="str">
            <v>Emissions amount</v>
          </cell>
          <cell r="PS13">
            <v>512</v>
          </cell>
          <cell r="PT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PU13">
            <v>512</v>
          </cell>
          <cell r="PV13" t="str">
            <v>Emissions amount</v>
          </cell>
          <cell r="PW13">
            <v>512</v>
          </cell>
          <cell r="PX13" t="str">
            <v>37% reduction on 2030 BAU. BAU given in INDC is 850.6Mt.  BAU excludes LULUCF. LULUCF emissions at 2030 are estimated to be -23Mt (based on 2020 LULUCF projections from the 3rd National Communications report ).  Total net emissions in 2030 is therefore 535-23=512Mt</v>
          </cell>
          <cell r="PY13">
            <v>512</v>
          </cell>
          <cell r="PZ13" t="str">
            <v>Emissions amount</v>
          </cell>
          <cell r="QA13">
            <v>512</v>
          </cell>
          <cell r="QB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QC13">
            <v>512</v>
          </cell>
          <cell r="QD13" t="str">
            <v>Emissions amount</v>
          </cell>
          <cell r="QE13">
            <v>512</v>
          </cell>
          <cell r="QF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QG13">
            <v>512</v>
          </cell>
          <cell r="QH13" t="str">
            <v>Emissions amount</v>
          </cell>
          <cell r="QI13">
            <v>512</v>
          </cell>
          <cell r="QJ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QK13">
            <v>512</v>
          </cell>
          <cell r="QL13" t="str">
            <v>Emissions amount</v>
          </cell>
          <cell r="QM13">
            <v>512</v>
          </cell>
          <cell r="QN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QO13">
            <v>512</v>
          </cell>
          <cell r="QP13" t="str">
            <v>Emissions amount</v>
          </cell>
          <cell r="QQ13">
            <v>512</v>
          </cell>
          <cell r="QR13" t="str">
            <v>37% reduction on 2030 BAU. BAU given in INDC is 850.6Mt.  BAU excludes LULUCF. LULUCF emissions at 2030 are estimated to be -23Mt (based on 2020 LULUCF projections from the 3rd National Communications report ).  Total net emissions in 2030 is therefore 535-23=512Mt</v>
          </cell>
          <cell r="QS13">
            <v>512</v>
          </cell>
          <cell r="QT13" t="str">
            <v>Emissions amount</v>
          </cell>
          <cell r="QU13">
            <v>512</v>
          </cell>
          <cell r="QV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QW13">
            <v>512</v>
          </cell>
          <cell r="QX13" t="str">
            <v>Emissions amount</v>
          </cell>
          <cell r="QY13">
            <v>512</v>
          </cell>
          <cell r="QZ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RA13">
            <v>512</v>
          </cell>
          <cell r="RB13" t="str">
            <v>Emissions amount</v>
          </cell>
          <cell r="RC13">
            <v>512</v>
          </cell>
          <cell r="RD13" t="str">
            <v>37% reduction on 2030 BAU. BAU given in INDC is 850.6Mt.  BAU excludes LULUCF. LULUCF emissions at 2030 are estimated to be -23Mt (based on 2020 LULUCF projections from the 3rd National Communications report ).  Total net emissions in 2030 is therefore 535-23=512Mt</v>
          </cell>
          <cell r="RE13">
            <v>512</v>
          </cell>
          <cell r="RF13" t="str">
            <v>Emissions amount</v>
          </cell>
          <cell r="RG13">
            <v>512</v>
          </cell>
          <cell r="RH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RI13">
            <v>512</v>
          </cell>
          <cell r="RJ13" t="str">
            <v>Emissions amount</v>
          </cell>
          <cell r="RK13">
            <v>512</v>
          </cell>
          <cell r="RL13" t="str">
            <v>37% reduction on 2030 BAU. BAU given in INDC is 850.6Mt.  BAU excludes LULUCF. LULUCF emissions at 2030 are estimated to be -23Mt (based on 2020 LULUCF projections from the 3rd National Communications report ).  Total net emissions in 2030 is therefore 535-23=512Mt</v>
          </cell>
          <cell r="RM13">
            <v>512</v>
          </cell>
          <cell r="RN13" t="str">
            <v>Emissions amount</v>
          </cell>
          <cell r="RO13">
            <v>512</v>
          </cell>
          <cell r="RP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RQ13">
            <v>512</v>
          </cell>
          <cell r="RR13" t="str">
            <v>Emissions amount</v>
          </cell>
          <cell r="RS13">
            <v>512</v>
          </cell>
          <cell r="RT13" t="str">
            <v xml:space="preserve">37% reduction on 2030 BAU. BAU given in INDC is 850.6Mt.  BAU excludes LULUCF. LULUCF emissions at 2030 are estimated to be -23Mt (based on 2020 LULUCF projections from the 3rd National Communications report ).  Total net emissions in 2030 is therefore 535-23=512Mt </v>
          </cell>
          <cell r="RU13">
            <v>512</v>
          </cell>
        </row>
        <row r="14">
          <cell r="A14" t="str">
            <v>Turkey</v>
          </cell>
          <cell r="B14" t="str">
            <v>Abatement amount</v>
          </cell>
          <cell r="C14">
            <v>185.76108916813581</v>
          </cell>
          <cell r="D14">
            <v>0</v>
          </cell>
          <cell r="E14">
            <v>457.44301246186427</v>
          </cell>
          <cell r="F14" t="str">
            <v>Abatement amount</v>
          </cell>
          <cell r="G14">
            <v>91.581375081758551</v>
          </cell>
          <cell r="I14">
            <v>551.62272654824153</v>
          </cell>
          <cell r="J14" t="str">
            <v>Abatement amount</v>
          </cell>
          <cell r="K14">
            <v>32.160205841064453</v>
          </cell>
          <cell r="M14">
            <v>611.04389578893563</v>
          </cell>
          <cell r="N14" t="str">
            <v>Abatement amount</v>
          </cell>
          <cell r="O14">
            <v>32.160205841064453</v>
          </cell>
          <cell r="Q14">
            <v>611.04389578893563</v>
          </cell>
          <cell r="R14" t="str">
            <v>Abatement amount</v>
          </cell>
          <cell r="S14">
            <v>128.64082336425781</v>
          </cell>
          <cell r="U14">
            <v>514.56327826574227</v>
          </cell>
          <cell r="V14" t="str">
            <v>Abatement amount</v>
          </cell>
          <cell r="W14">
            <v>128.64082336425781</v>
          </cell>
          <cell r="Y14">
            <v>514.56327826574227</v>
          </cell>
          <cell r="Z14" t="str">
            <v>Abatement amount</v>
          </cell>
          <cell r="AA14">
            <v>220.08992004394531</v>
          </cell>
          <cell r="AC14">
            <v>423.11418158605477</v>
          </cell>
          <cell r="AD14" t="str">
            <v>Abatement amount</v>
          </cell>
          <cell r="AE14">
            <v>87.880561828613281</v>
          </cell>
          <cell r="AG14">
            <v>555.3235398013868</v>
          </cell>
          <cell r="AH14" t="str">
            <v>Abatement amount</v>
          </cell>
          <cell r="AI14">
            <v>32.160205841064453</v>
          </cell>
          <cell r="AK14">
            <v>611.04389578893563</v>
          </cell>
          <cell r="AL14" t="str">
            <v>Abatement amount</v>
          </cell>
          <cell r="AM14">
            <v>32.160205841064453</v>
          </cell>
          <cell r="AO14">
            <v>611.04389578893563</v>
          </cell>
          <cell r="AP14" t="str">
            <v>Abatement amount</v>
          </cell>
          <cell r="AQ14">
            <v>128.64082336425781</v>
          </cell>
          <cell r="AS14">
            <v>514.56327826574227</v>
          </cell>
          <cell r="AT14" t="str">
            <v>Abatement amount</v>
          </cell>
          <cell r="AU14">
            <v>128.64082336425781</v>
          </cell>
          <cell r="AW14">
            <v>514.56327826574227</v>
          </cell>
          <cell r="AX14" t="str">
            <v>Emissions amount</v>
          </cell>
          <cell r="AY14">
            <v>643.20410163000008</v>
          </cell>
          <cell r="BA14">
            <v>643.20410163000008</v>
          </cell>
          <cell r="BB14" t="str">
            <v>Emissions amount</v>
          </cell>
          <cell r="BC14">
            <v>643.20410163000008</v>
          </cell>
          <cell r="BE14">
            <v>643.20410163000008</v>
          </cell>
          <cell r="BF14" t="str">
            <v>Emissions amount</v>
          </cell>
          <cell r="BG14">
            <v>643.20410163000008</v>
          </cell>
          <cell r="BI14">
            <v>643.20410163000008</v>
          </cell>
          <cell r="BJ14" t="str">
            <v>Emissions amount</v>
          </cell>
          <cell r="BK14">
            <v>643.20410163000008</v>
          </cell>
          <cell r="BM14">
            <v>643.20410163000008</v>
          </cell>
          <cell r="BN14" t="str">
            <v>Emissions amount</v>
          </cell>
          <cell r="BO14">
            <v>643.20410163000008</v>
          </cell>
          <cell r="BQ14">
            <v>643.20410163000008</v>
          </cell>
          <cell r="BR14" t="str">
            <v>Emissions amount</v>
          </cell>
          <cell r="BS14">
            <v>611.04389578893563</v>
          </cell>
          <cell r="BU14">
            <v>611.04389578893563</v>
          </cell>
          <cell r="BV14" t="str">
            <v>Emissions amount</v>
          </cell>
          <cell r="BW14">
            <v>514.56327826574227</v>
          </cell>
          <cell r="BY14">
            <v>514.56327826574227</v>
          </cell>
          <cell r="BZ14" t="str">
            <v>Emissions amount</v>
          </cell>
          <cell r="CA14">
            <v>643.20410163000008</v>
          </cell>
          <cell r="CC14">
            <v>643.20410163000008</v>
          </cell>
          <cell r="CD14" t="str">
            <v>Emissions amount</v>
          </cell>
          <cell r="CE14">
            <v>643.20410163000008</v>
          </cell>
          <cell r="CG14">
            <v>643.20410163000008</v>
          </cell>
          <cell r="CH14" t="str">
            <v>Abatement amount</v>
          </cell>
          <cell r="CI14">
            <v>32.160205841064453</v>
          </cell>
          <cell r="CK14">
            <v>611.04389578893563</v>
          </cell>
          <cell r="CL14" t="str">
            <v>Abatement amount</v>
          </cell>
          <cell r="CM14">
            <v>128.64082336425781</v>
          </cell>
          <cell r="CO14">
            <v>514.56327826574227</v>
          </cell>
          <cell r="CP14" t="str">
            <v>Abatement amount</v>
          </cell>
          <cell r="CQ14">
            <v>128.64082336425781</v>
          </cell>
          <cell r="CS14">
            <v>514.56327826574227</v>
          </cell>
          <cell r="CT14" t="str">
            <v>Abatement amount</v>
          </cell>
          <cell r="CU14">
            <v>32.160205841064453</v>
          </cell>
          <cell r="CW14">
            <v>611.04389578893563</v>
          </cell>
          <cell r="CX14" t="str">
            <v>Abatement amount</v>
          </cell>
          <cell r="CY14">
            <v>128.64082336425781</v>
          </cell>
          <cell r="DA14">
            <v>514.56327826574227</v>
          </cell>
          <cell r="DB14" t="str">
            <v>Abatement amount</v>
          </cell>
          <cell r="DC14">
            <v>128.64082336425781</v>
          </cell>
          <cell r="DE14">
            <v>514.56327826574227</v>
          </cell>
          <cell r="DF14" t="str">
            <v>Abatement amount</v>
          </cell>
          <cell r="DG14">
            <v>32.160205841064453</v>
          </cell>
          <cell r="DI14">
            <v>611.04389578893563</v>
          </cell>
          <cell r="DJ14" t="str">
            <v>Emissions amount</v>
          </cell>
          <cell r="DK14">
            <v>643.20410163000008</v>
          </cell>
          <cell r="DM14">
            <v>643.20410163000008</v>
          </cell>
          <cell r="DN14" t="str">
            <v>Emissions amount</v>
          </cell>
          <cell r="DO14">
            <v>643.20410163000008</v>
          </cell>
          <cell r="DQ14">
            <v>643.20410163000008</v>
          </cell>
          <cell r="DR14" t="str">
            <v>Emissions amount</v>
          </cell>
          <cell r="DS14">
            <v>643.20410163000008</v>
          </cell>
          <cell r="DU14">
            <v>643.20410163000008</v>
          </cell>
          <cell r="DV14" t="str">
            <v>Emissions amount</v>
          </cell>
          <cell r="DW14">
            <v>643.20410163000008</v>
          </cell>
          <cell r="DY14">
            <v>643.20410163000008</v>
          </cell>
          <cell r="DZ14" t="str">
            <v>Abatement amount</v>
          </cell>
          <cell r="EA14">
            <v>32.160205841064453</v>
          </cell>
          <cell r="EC14">
            <v>611.04389578893563</v>
          </cell>
          <cell r="ED14" t="str">
            <v>Emissions amount</v>
          </cell>
          <cell r="EE14">
            <v>515</v>
          </cell>
          <cell r="EG14">
            <v>515</v>
          </cell>
          <cell r="EH14" t="str">
            <v>Abatement amount</v>
          </cell>
          <cell r="EI14">
            <v>0</v>
          </cell>
          <cell r="EK14">
            <v>656.72513532742823</v>
          </cell>
          <cell r="EL14" t="str">
            <v>Abatement amount</v>
          </cell>
          <cell r="EM14">
            <v>0</v>
          </cell>
          <cell r="EO14">
            <v>656.72513532742823</v>
          </cell>
          <cell r="EP14" t="str">
            <v>Abatement amount</v>
          </cell>
          <cell r="EQ14">
            <v>0</v>
          </cell>
          <cell r="ES14">
            <v>656.72513532742823</v>
          </cell>
          <cell r="ET14" t="str">
            <v>Abatement amount</v>
          </cell>
          <cell r="EU14">
            <v>209.79461486074987</v>
          </cell>
          <cell r="EW14">
            <v>446.93052046667833</v>
          </cell>
          <cell r="EX14" t="str">
            <v>Abatement amount</v>
          </cell>
          <cell r="EY14">
            <v>152.7250934874439</v>
          </cell>
          <cell r="FA14">
            <v>504.00004183998431</v>
          </cell>
          <cell r="FB14" t="str">
            <v>Abatement amount</v>
          </cell>
          <cell r="FC14">
            <v>98.001701533393515</v>
          </cell>
          <cell r="FE14">
            <v>558.72343379403469</v>
          </cell>
          <cell r="FF14" t="str">
            <v>Abatement amount</v>
          </cell>
          <cell r="FG14">
            <v>32.836257934570313</v>
          </cell>
          <cell r="FI14">
            <v>623.88887739285792</v>
          </cell>
          <cell r="FJ14" t="str">
            <v>Abatement amount</v>
          </cell>
          <cell r="FK14">
            <v>131.34503173828125</v>
          </cell>
          <cell r="FM14">
            <v>525.38010358914698</v>
          </cell>
          <cell r="FN14" t="str">
            <v>Abatement amount</v>
          </cell>
          <cell r="FO14">
            <v>0</v>
          </cell>
          <cell r="FQ14">
            <v>656.72513532742823</v>
          </cell>
          <cell r="FR14" t="str">
            <v>Abatement amount</v>
          </cell>
          <cell r="FS14">
            <v>0</v>
          </cell>
          <cell r="FU14">
            <v>656.72513532742823</v>
          </cell>
          <cell r="FV14" t="str">
            <v>Abatement amount</v>
          </cell>
          <cell r="FW14">
            <v>32.836257934570313</v>
          </cell>
          <cell r="FY14">
            <v>623.88887739285792</v>
          </cell>
          <cell r="FZ14" t="str">
            <v>Abatement amount</v>
          </cell>
          <cell r="GA14">
            <v>131.34503173828125</v>
          </cell>
          <cell r="GC14">
            <v>525.38010358914698</v>
          </cell>
          <cell r="GD14" t="str">
            <v>Abatement amount</v>
          </cell>
          <cell r="GE14">
            <v>131.34503173828125</v>
          </cell>
          <cell r="GG14">
            <v>525.38010358914698</v>
          </cell>
          <cell r="GH14" t="str">
            <v>Abatement amount</v>
          </cell>
          <cell r="GI14">
            <v>167.08694458007813</v>
          </cell>
          <cell r="GK14">
            <v>489.63819074735011</v>
          </cell>
          <cell r="GL14" t="str">
            <v>Abatement amount</v>
          </cell>
          <cell r="GM14">
            <v>220.24115295876993</v>
          </cell>
          <cell r="GO14">
            <v>436.4839823686583</v>
          </cell>
          <cell r="GP14" t="str">
            <v>Abatement amount</v>
          </cell>
          <cell r="GQ14">
            <v>101.64432197350413</v>
          </cell>
          <cell r="GS14">
            <v>555.0808133539241</v>
          </cell>
          <cell r="GT14" t="str">
            <v>Abatement amount</v>
          </cell>
          <cell r="GU14">
            <v>160.33264673314886</v>
          </cell>
          <cell r="GW14">
            <v>496.39248859427937</v>
          </cell>
          <cell r="GX14" t="str">
            <v>Abatement amount</v>
          </cell>
          <cell r="GY14">
            <v>0</v>
          </cell>
          <cell r="HA14">
            <v>656.72513532742823</v>
          </cell>
          <cell r="HB14" t="str">
            <v>Abatement amount</v>
          </cell>
          <cell r="HC14">
            <v>0</v>
          </cell>
          <cell r="HE14">
            <v>656.72513532742823</v>
          </cell>
          <cell r="HF14" t="str">
            <v>Abatement amount</v>
          </cell>
          <cell r="HG14">
            <v>0</v>
          </cell>
          <cell r="HI14">
            <v>656.72513532742823</v>
          </cell>
          <cell r="HJ14" t="str">
            <v>Abatement amount</v>
          </cell>
          <cell r="HK14">
            <v>0</v>
          </cell>
          <cell r="HM14">
            <v>656.72513532742823</v>
          </cell>
          <cell r="HN14" t="str">
            <v>Abatement amount</v>
          </cell>
          <cell r="HO14">
            <v>131.34503173828125</v>
          </cell>
          <cell r="HQ14">
            <v>525.38010358914698</v>
          </cell>
          <cell r="HR14" t="str">
            <v>Abatement amount</v>
          </cell>
          <cell r="HS14">
            <v>32.836257934570313</v>
          </cell>
          <cell r="HU14">
            <v>623.88887739285792</v>
          </cell>
          <cell r="HV14" t="str">
            <v>Abatement amount</v>
          </cell>
          <cell r="HW14">
            <v>32.836257934570313</v>
          </cell>
          <cell r="HX14" t="str">
            <v>GLOCAF BAU</v>
          </cell>
          <cell r="HY14">
            <v>623.88887739285792</v>
          </cell>
          <cell r="HZ14" t="str">
            <v>Abatement amount</v>
          </cell>
          <cell r="IA14">
            <v>0</v>
          </cell>
          <cell r="IB14" t="str">
            <v>GLOCAF BAU</v>
          </cell>
          <cell r="IC14">
            <v>656.72513532742823</v>
          </cell>
          <cell r="ID14" t="str">
            <v>Abatement amount</v>
          </cell>
          <cell r="IE14">
            <v>0</v>
          </cell>
          <cell r="IF14" t="str">
            <v>GLOCAF BAU</v>
          </cell>
          <cell r="IG14">
            <v>656.72513532742823</v>
          </cell>
          <cell r="IH14" t="str">
            <v>Abatement amount</v>
          </cell>
          <cell r="II14">
            <v>131.34503173828125</v>
          </cell>
          <cell r="IJ14" t="str">
            <v>20% on BAU</v>
          </cell>
          <cell r="IK14">
            <v>525.38010358914698</v>
          </cell>
          <cell r="IL14" t="str">
            <v>Abatement amount</v>
          </cell>
          <cell r="IM14">
            <v>0</v>
          </cell>
          <cell r="IN14" t="str">
            <v>GLOCAF BAU</v>
          </cell>
          <cell r="IO14">
            <v>656.72513532742823</v>
          </cell>
          <cell r="IP14" t="str">
            <v>Abatement amount</v>
          </cell>
          <cell r="IQ14">
            <v>0</v>
          </cell>
          <cell r="IR14" t="str">
            <v>GLOCAF BAU</v>
          </cell>
          <cell r="IS14">
            <v>656.72513532742823</v>
          </cell>
          <cell r="IT14" t="str">
            <v>Abatement amount</v>
          </cell>
          <cell r="IU14">
            <v>32.836257934570313</v>
          </cell>
          <cell r="IV14" t="str">
            <v>5% on BAU</v>
          </cell>
          <cell r="IW14">
            <v>623.88887739285792</v>
          </cell>
          <cell r="IX14" t="str">
            <v>Abatement amount</v>
          </cell>
          <cell r="IY14">
            <v>131.34503173828125</v>
          </cell>
          <cell r="IZ14" t="str">
            <v>20% on BAU</v>
          </cell>
          <cell r="JA14">
            <v>525.38010358914698</v>
          </cell>
          <cell r="JB14" t="str">
            <v>Abatement amount</v>
          </cell>
          <cell r="JC14">
            <v>0</v>
          </cell>
          <cell r="JD14" t="str">
            <v>GLOCAF BAU</v>
          </cell>
          <cell r="JE14">
            <v>656.72513532742823</v>
          </cell>
          <cell r="JF14" t="str">
            <v>Abatement amount</v>
          </cell>
          <cell r="JG14">
            <v>0</v>
          </cell>
          <cell r="JH14" t="str">
            <v>GLOCAF BAU</v>
          </cell>
          <cell r="JI14">
            <v>656.72513532742823</v>
          </cell>
          <cell r="JJ14" t="str">
            <v>Abatement amount</v>
          </cell>
          <cell r="JK14">
            <v>0</v>
          </cell>
          <cell r="JL14" t="str">
            <v>GLOCAF BAU</v>
          </cell>
          <cell r="JM14">
            <v>656.72513532742823</v>
          </cell>
          <cell r="JN14" t="str">
            <v>Abatement amount</v>
          </cell>
          <cell r="JO14">
            <v>32.836257934570313</v>
          </cell>
          <cell r="JP14" t="str">
            <v>5% on BAU</v>
          </cell>
          <cell r="JQ14">
            <v>623.88887739285792</v>
          </cell>
          <cell r="JR14" t="str">
            <v>Abatement amount</v>
          </cell>
          <cell r="JS14">
            <v>131.34503173828125</v>
          </cell>
          <cell r="JT14" t="str">
            <v>20% on BAU</v>
          </cell>
          <cell r="JU14">
            <v>525.38010358914698</v>
          </cell>
          <cell r="JV14" t="str">
            <v>Abatement amount</v>
          </cell>
          <cell r="JW14">
            <v>0</v>
          </cell>
          <cell r="JX14" t="str">
            <v>GLOCAF BAU</v>
          </cell>
          <cell r="JY14">
            <v>656.72513532742823</v>
          </cell>
          <cell r="JZ14" t="str">
            <v>Abatement amount</v>
          </cell>
          <cell r="KA14">
            <v>0</v>
          </cell>
          <cell r="KB14" t="str">
            <v>GLOCAF BAU</v>
          </cell>
          <cell r="KC14">
            <v>656.72513532742823</v>
          </cell>
          <cell r="KD14" t="str">
            <v>Abatement amount</v>
          </cell>
          <cell r="KE14">
            <v>0</v>
          </cell>
          <cell r="KF14" t="str">
            <v>GLOCAF BAU</v>
          </cell>
          <cell r="KG14">
            <v>656.72513532742823</v>
          </cell>
          <cell r="KH14" t="str">
            <v>Abatement amount</v>
          </cell>
          <cell r="KI14">
            <v>0</v>
          </cell>
          <cell r="KJ14" t="str">
            <v>GLOCAF BAU</v>
          </cell>
          <cell r="KK14">
            <v>656.72513532742823</v>
          </cell>
          <cell r="KL14" t="str">
            <v>Abatement amount</v>
          </cell>
          <cell r="KM14">
            <v>0</v>
          </cell>
          <cell r="KN14" t="str">
            <v>GLOCAF BAU</v>
          </cell>
          <cell r="KO14">
            <v>656.72513532742823</v>
          </cell>
          <cell r="KP14" t="str">
            <v>Abatement amount</v>
          </cell>
          <cell r="KQ14">
            <v>0</v>
          </cell>
          <cell r="KR14" t="str">
            <v>GLOCAF BAU</v>
          </cell>
          <cell r="KS14">
            <v>656.72513532742823</v>
          </cell>
          <cell r="KT14" t="str">
            <v>Abatement amount</v>
          </cell>
          <cell r="KU14">
            <v>32.836257934570313</v>
          </cell>
          <cell r="KV14" t="str">
            <v>5% on BAU</v>
          </cell>
          <cell r="KW14">
            <v>623.88887739285792</v>
          </cell>
          <cell r="KX14" t="str">
            <v>Abatement amount</v>
          </cell>
          <cell r="KY14">
            <v>131.34503173828125</v>
          </cell>
          <cell r="KZ14" t="str">
            <v>20% on BAU</v>
          </cell>
          <cell r="LA14">
            <v>525.38010358914698</v>
          </cell>
          <cell r="LB14" t="str">
            <v>Abatement amount</v>
          </cell>
          <cell r="LC14">
            <v>0</v>
          </cell>
          <cell r="LD14" t="str">
            <v>GLOCAF BAU</v>
          </cell>
          <cell r="LE14">
            <v>656.72513532742823</v>
          </cell>
          <cell r="LF14" t="str">
            <v>Emissions amount</v>
          </cell>
          <cell r="LG14">
            <v>929</v>
          </cell>
          <cell r="LH14" t="str">
            <v>GLOCAF BAU</v>
          </cell>
          <cell r="LI14">
            <v>929</v>
          </cell>
          <cell r="LJ14" t="str">
            <v>Emissions amount</v>
          </cell>
          <cell r="LK14">
            <v>929</v>
          </cell>
          <cell r="LL14" t="str">
            <v>GLOCAF BAU</v>
          </cell>
          <cell r="LM14">
            <v>929</v>
          </cell>
          <cell r="LN14" t="str">
            <v>Emissions amount</v>
          </cell>
          <cell r="LO14">
            <v>929</v>
          </cell>
          <cell r="LP14" t="str">
            <v>GLOCAF BAU</v>
          </cell>
          <cell r="LQ14">
            <v>929</v>
          </cell>
          <cell r="LR14" t="str">
            <v>Emissions amount</v>
          </cell>
          <cell r="LS14">
            <v>929</v>
          </cell>
          <cell r="LT14" t="str">
            <v>GLOCAF BAU</v>
          </cell>
          <cell r="LU14">
            <v>929</v>
          </cell>
          <cell r="LV14" t="str">
            <v>Emissions amount</v>
          </cell>
          <cell r="LW14">
            <v>929</v>
          </cell>
          <cell r="LX14" t="str">
            <v>GLOCAF BAU</v>
          </cell>
          <cell r="LY14">
            <v>929</v>
          </cell>
          <cell r="LZ14" t="str">
            <v>Emissions amount</v>
          </cell>
          <cell r="MA14">
            <v>929</v>
          </cell>
          <cell r="MB14" t="str">
            <v>GLOCAF BAU</v>
          </cell>
          <cell r="MC14">
            <v>929</v>
          </cell>
          <cell r="MD14" t="str">
            <v>Emissions amount</v>
          </cell>
          <cell r="ME14">
            <v>929</v>
          </cell>
          <cell r="MF14" t="str">
            <v>GLOCAF BAU</v>
          </cell>
          <cell r="MG14">
            <v>929</v>
          </cell>
          <cell r="MH14" t="str">
            <v>Emissions amount</v>
          </cell>
          <cell r="MI14">
            <v>929</v>
          </cell>
          <cell r="MJ14" t="str">
            <v>GLOCAF BAU</v>
          </cell>
          <cell r="MK14">
            <v>929</v>
          </cell>
          <cell r="ML14" t="str">
            <v>Emissions amount</v>
          </cell>
          <cell r="MM14">
            <v>929</v>
          </cell>
          <cell r="MN14" t="str">
            <v>GLOCAF BAU</v>
          </cell>
          <cell r="MO14">
            <v>929</v>
          </cell>
          <cell r="MP14" t="str">
            <v>Emissions amount</v>
          </cell>
          <cell r="MQ14">
            <v>929</v>
          </cell>
          <cell r="MR14" t="str">
            <v>GLOCAF BAU</v>
          </cell>
          <cell r="MS14">
            <v>929</v>
          </cell>
          <cell r="MT14" t="str">
            <v>Emissions amount</v>
          </cell>
          <cell r="MU14">
            <v>929</v>
          </cell>
          <cell r="MV14" t="str">
            <v>GLOCAF BAU</v>
          </cell>
          <cell r="MW14">
            <v>929</v>
          </cell>
          <cell r="MX14" t="str">
            <v>Emissions amount</v>
          </cell>
          <cell r="MY14">
            <v>929</v>
          </cell>
          <cell r="MZ14" t="str">
            <v>GLOCAF BAU</v>
          </cell>
          <cell r="NA14">
            <v>929</v>
          </cell>
          <cell r="NB14" t="str">
            <v>Emissions amount</v>
          </cell>
          <cell r="NC14">
            <v>929</v>
          </cell>
          <cell r="ND14" t="str">
            <v>GLOCAF BAU</v>
          </cell>
          <cell r="NE14">
            <v>929</v>
          </cell>
          <cell r="NF14" t="str">
            <v>Emissions amount</v>
          </cell>
          <cell r="NG14">
            <v>929</v>
          </cell>
          <cell r="NH14" t="str">
            <v>GLOCAF BAU</v>
          </cell>
          <cell r="NI14">
            <v>929</v>
          </cell>
          <cell r="NJ14" t="str">
            <v>Emissions amount</v>
          </cell>
          <cell r="NK14">
            <v>929</v>
          </cell>
          <cell r="NL14" t="str">
            <v>GLOCAF BAU</v>
          </cell>
          <cell r="NM14">
            <v>929</v>
          </cell>
          <cell r="NN14" t="str">
            <v>Emissions amount</v>
          </cell>
          <cell r="NO14">
            <v>929</v>
          </cell>
          <cell r="NP14" t="str">
            <v>21% reduction on BAU by 2030. 2010 BAU=430Mt. 2030 BAU= 1175,  2030 target emissions = 929Mt</v>
          </cell>
          <cell r="NQ14">
            <v>929</v>
          </cell>
          <cell r="NR14" t="str">
            <v>Emissions amount</v>
          </cell>
          <cell r="NS14">
            <v>929</v>
          </cell>
          <cell r="NT14" t="str">
            <v>21% reduction on BAU by 2030. 2010 BAU=430Mt. 2030 BAU= 1175,  2030 target emissions = 929Mt</v>
          </cell>
          <cell r="NU14">
            <v>929</v>
          </cell>
          <cell r="NV14" t="str">
            <v>Emissions amount</v>
          </cell>
          <cell r="NW14">
            <v>929</v>
          </cell>
          <cell r="NX14" t="str">
            <v>21% reduction on BAU by 2030. 2010 BAU=430Mt. 2030 BAU= 1175,  2030 target emissions = 929Mt</v>
          </cell>
          <cell r="NY14">
            <v>929</v>
          </cell>
          <cell r="NZ14" t="str">
            <v>Emissions amount</v>
          </cell>
          <cell r="OA14">
            <v>929</v>
          </cell>
          <cell r="OB14" t="str">
            <v>21% reduction on BAU by 2030. 2010 BAU=430Mt. 2030 BAU= 1175,  2030 target emissions = 929Mt</v>
          </cell>
          <cell r="OC14">
            <v>929</v>
          </cell>
          <cell r="OD14" t="str">
            <v>Emissions amount</v>
          </cell>
          <cell r="OE14">
            <v>929</v>
          </cell>
          <cell r="OF14" t="str">
            <v>GLOCAF BAU</v>
          </cell>
          <cell r="OG14">
            <v>929</v>
          </cell>
          <cell r="OH14" t="str">
            <v>Abatement amount</v>
          </cell>
          <cell r="OI14">
            <v>0</v>
          </cell>
          <cell r="OJ14" t="str">
            <v>21% reduction on BAU by 2030. 2010 BAU=430Mt. 2030 BAU= 1175,  2030 target emissions = 929Mt. BAU is binding</v>
          </cell>
          <cell r="OK14">
            <v>656.72513532742823</v>
          </cell>
          <cell r="OL14" t="str">
            <v>Abatement amount</v>
          </cell>
          <cell r="OM14">
            <v>0</v>
          </cell>
          <cell r="ON14" t="str">
            <v>21% reduction on BAU by 2030. 2010 BAU=430Mt. 2030 BAU= 1175,  2030 target emissions = 929Mt. BAU is binding</v>
          </cell>
          <cell r="OO14">
            <v>656.72513532742823</v>
          </cell>
          <cell r="OP14" t="str">
            <v>Abatement amount</v>
          </cell>
          <cell r="OQ14">
            <v>0</v>
          </cell>
          <cell r="OR14" t="str">
            <v>21% reduction on BAU by 2030. 2010 BAU=430Mt. 2030 BAU= 1175,  2030 target emissions = 929Mt. BAU is binding</v>
          </cell>
          <cell r="OS14">
            <v>656.72513532742823</v>
          </cell>
          <cell r="OT14" t="str">
            <v>Emissions amount</v>
          </cell>
          <cell r="OU14">
            <v>929</v>
          </cell>
          <cell r="OV14" t="str">
            <v>21% reduction on BAU by 2030. 2010 BAU=430Mt. 2030 BAU= 1175,  2030 target emissions = 929Mt</v>
          </cell>
          <cell r="OW14">
            <v>929</v>
          </cell>
          <cell r="OX14" t="str">
            <v>Emissions amount</v>
          </cell>
          <cell r="OY14">
            <v>929</v>
          </cell>
          <cell r="OZ14" t="str">
            <v>21% reduction on BAU by 2030. 2010 BAU=430Mt. 2030 BAU= 1175,  2030 target emissions = 929Mt</v>
          </cell>
          <cell r="PA14">
            <v>929</v>
          </cell>
          <cell r="PB14" t="str">
            <v>Emissions amount</v>
          </cell>
          <cell r="PC14">
            <v>929</v>
          </cell>
          <cell r="PD14" t="str">
            <v>21% reduction on BAU by 2030. 2010 BAU=430Mt. 2030 BAU= 1175,  2030 target emissions = 929Mt</v>
          </cell>
          <cell r="PE14">
            <v>929</v>
          </cell>
          <cell r="PF14" t="str">
            <v>Emissions amount</v>
          </cell>
          <cell r="PG14">
            <v>929</v>
          </cell>
          <cell r="PH14" t="str">
            <v>21% reduction on BAU by 2030. 2010 BAU=430Mt. 2030 BAU= 1175,  2030 target emissions = 929Mt</v>
          </cell>
          <cell r="PI14">
            <v>929</v>
          </cell>
          <cell r="PJ14" t="str">
            <v>Emissions amount</v>
          </cell>
          <cell r="PK14">
            <v>929</v>
          </cell>
          <cell r="PL14" t="str">
            <v>GLOCAF BAU</v>
          </cell>
          <cell r="PM14">
            <v>929</v>
          </cell>
          <cell r="PN14" t="str">
            <v>Emissions amount</v>
          </cell>
          <cell r="PO14">
            <v>929</v>
          </cell>
          <cell r="PP14" t="str">
            <v>21% reduction on BAU by 2030. 2010 BAU=430Mt. 2030 BAU= 1175,  2030 target emissions = 929Mt</v>
          </cell>
          <cell r="PQ14">
            <v>929</v>
          </cell>
          <cell r="PR14" t="str">
            <v>Emissions amount</v>
          </cell>
          <cell r="PS14">
            <v>929</v>
          </cell>
          <cell r="PT14" t="str">
            <v>21% reduction on BAU by 2030. 2010 BAU=430Mt. 2030 BAU= 1175,  2030 target emissions = 929Mt</v>
          </cell>
          <cell r="PU14">
            <v>929</v>
          </cell>
          <cell r="PV14" t="str">
            <v>Emissions amount</v>
          </cell>
          <cell r="PW14">
            <v>929</v>
          </cell>
          <cell r="PX14" t="str">
            <v>21% reduction on BAU by 2030. 2010 BAU=430Mt. 2030 BAU= 1175,  2030 target emissions = 929Mt</v>
          </cell>
          <cell r="PY14">
            <v>929</v>
          </cell>
          <cell r="PZ14" t="str">
            <v>Emissions amount</v>
          </cell>
          <cell r="QA14">
            <v>929</v>
          </cell>
          <cell r="QB14" t="str">
            <v>21% reduction on BAU by 2030. 2010 BAU=430Mt. 2030 BAU= 1175,  2030 target emissions = 929Mt</v>
          </cell>
          <cell r="QC14">
            <v>929</v>
          </cell>
          <cell r="QD14" t="str">
            <v>Emissions amount</v>
          </cell>
          <cell r="QE14">
            <v>929</v>
          </cell>
          <cell r="QF14" t="str">
            <v>GLOCAF BAU</v>
          </cell>
          <cell r="QG14">
            <v>929</v>
          </cell>
          <cell r="QH14" t="str">
            <v>Emissions amount</v>
          </cell>
          <cell r="QI14">
            <v>929</v>
          </cell>
          <cell r="QJ14" t="str">
            <v>21% reduction on BAU by 2030. 2010 BAU=430Mt. 2030 BAU= 1175,  2030 target emissions = 929Mt</v>
          </cell>
          <cell r="QK14">
            <v>929</v>
          </cell>
          <cell r="QL14" t="str">
            <v>Emissions amount</v>
          </cell>
          <cell r="QM14">
            <v>929</v>
          </cell>
          <cell r="QN14" t="str">
            <v>21% reduction on BAU by 2030. 2010 BAU=430Mt. 2030 BAU= 1175,  2030 target emissions = 929Mt</v>
          </cell>
          <cell r="QO14">
            <v>929</v>
          </cell>
          <cell r="QP14" t="str">
            <v>Emissions amount</v>
          </cell>
          <cell r="QQ14">
            <v>929</v>
          </cell>
          <cell r="QR14" t="str">
            <v>21% reduction on BAU by 2030. 2010 BAU=430Mt. 2030 BAU= 1175,  2030 target emissions = 929Mt</v>
          </cell>
          <cell r="QS14">
            <v>929</v>
          </cell>
          <cell r="QT14" t="str">
            <v>Abatement amount</v>
          </cell>
          <cell r="QU14">
            <v>0</v>
          </cell>
          <cell r="QV14" t="str">
            <v>21% reduction on BAU by 2030. 2010 BAU=430Mt. 2030 BAU= 1175,  2030 target emissions = 929Mt. BAU is binding</v>
          </cell>
          <cell r="QW14">
            <v>656.72513532742823</v>
          </cell>
          <cell r="QX14" t="str">
            <v>Abatement amount</v>
          </cell>
          <cell r="QY14">
            <v>0</v>
          </cell>
          <cell r="QZ14" t="str">
            <v>Target is 929. BAU is binding</v>
          </cell>
          <cell r="RA14">
            <v>656.72513532742823</v>
          </cell>
          <cell r="RB14" t="str">
            <v>Emissions amount</v>
          </cell>
          <cell r="RC14">
            <v>929</v>
          </cell>
          <cell r="RD14" t="str">
            <v>21% reduction on BAU by 2030. 2010 BAU=430Mt. 2030 BAU= 1175,  2030 target emissions = 929Mt</v>
          </cell>
          <cell r="RE14">
            <v>929</v>
          </cell>
          <cell r="RF14" t="str">
            <v>Emissions amount</v>
          </cell>
          <cell r="RG14">
            <v>929</v>
          </cell>
          <cell r="RH14" t="str">
            <v>21% reduction on BAU by 2030. 2010 BAU=430Mt. 2030 BAU= 1175,  2030 target emissions = 929Mt</v>
          </cell>
          <cell r="RI14">
            <v>929</v>
          </cell>
          <cell r="RJ14" t="str">
            <v>Emissions amount</v>
          </cell>
          <cell r="RK14">
            <v>929</v>
          </cell>
          <cell r="RL14" t="str">
            <v>21% reduction on BAU by 2030. 2010 BAU=430Mt. 2030 BAU= 1175,  2030 target emissions = 929Mt</v>
          </cell>
          <cell r="RM14">
            <v>929</v>
          </cell>
          <cell r="RN14" t="str">
            <v>Emissions amount</v>
          </cell>
          <cell r="RO14">
            <v>929</v>
          </cell>
          <cell r="RP14" t="str">
            <v>21% reduction on BAU by 2030. 2010 BAU=430Mt. 2030 BAU= 1175,  2030 target emissions = 929Mt</v>
          </cell>
          <cell r="RQ14">
            <v>929</v>
          </cell>
          <cell r="RR14" t="str">
            <v>Emissions amount</v>
          </cell>
          <cell r="RS14">
            <v>929</v>
          </cell>
          <cell r="RT14" t="str">
            <v>GLOCAF BAU</v>
          </cell>
          <cell r="RU14">
            <v>929</v>
          </cell>
        </row>
        <row r="15">
          <cell r="A15" t="str">
            <v>USA</v>
          </cell>
          <cell r="B15" t="str">
            <v>Abatement amount</v>
          </cell>
          <cell r="C15">
            <v>2974.4234156883899</v>
          </cell>
          <cell r="D15">
            <v>0</v>
          </cell>
          <cell r="E15">
            <v>3892.7241817116114</v>
          </cell>
          <cell r="F15" t="str">
            <v>Abatement amount</v>
          </cell>
          <cell r="G15">
            <v>1650.6721299977344</v>
          </cell>
          <cell r="I15">
            <v>5216.475467402267</v>
          </cell>
          <cell r="J15" t="str">
            <v>Abatement amount</v>
          </cell>
          <cell r="K15">
            <v>1717.682373046875</v>
          </cell>
          <cell r="M15">
            <v>5149.4652243531264</v>
          </cell>
          <cell r="N15" t="str">
            <v>Abatement amount</v>
          </cell>
          <cell r="O15">
            <v>2135.20654296875</v>
          </cell>
          <cell r="Q15">
            <v>4731.9410544312514</v>
          </cell>
          <cell r="R15" t="str">
            <v>Abatement amount</v>
          </cell>
          <cell r="S15">
            <v>2831.080322265625</v>
          </cell>
          <cell r="U15">
            <v>4036.0672751343764</v>
          </cell>
          <cell r="V15" t="str">
            <v>Abatement amount</v>
          </cell>
          <cell r="W15">
            <v>2831.080322265625</v>
          </cell>
          <cell r="Y15">
            <v>4036.0672751343764</v>
          </cell>
          <cell r="Z15" t="str">
            <v>Abatement amount</v>
          </cell>
          <cell r="AA15">
            <v>2960.01953125</v>
          </cell>
          <cell r="AC15">
            <v>3907.1280661500014</v>
          </cell>
          <cell r="AD15" t="str">
            <v>Abatement amount</v>
          </cell>
          <cell r="AE15">
            <v>1583.96826171875</v>
          </cell>
          <cell r="AG15">
            <v>5283.1793356812514</v>
          </cell>
          <cell r="AH15" t="str">
            <v>Abatement amount</v>
          </cell>
          <cell r="AI15">
            <v>1974.8265497686816</v>
          </cell>
          <cell r="AK15">
            <v>4892.3210476313197</v>
          </cell>
          <cell r="AL15" t="str">
            <v>Abatement amount</v>
          </cell>
          <cell r="AM15">
            <v>2392.3507196905557</v>
          </cell>
          <cell r="AO15">
            <v>4474.7968777094457</v>
          </cell>
          <cell r="AP15" t="str">
            <v>Abatement amount</v>
          </cell>
          <cell r="AQ15">
            <v>3088.2244989874312</v>
          </cell>
          <cell r="AS15">
            <v>3778.9230984125702</v>
          </cell>
          <cell r="AT15" t="str">
            <v>Abatement amount</v>
          </cell>
          <cell r="AU15">
            <v>3088.2244989874312</v>
          </cell>
          <cell r="AW15">
            <v>3778.9230984125702</v>
          </cell>
          <cell r="AX15" t="str">
            <v>Emissions amount</v>
          </cell>
          <cell r="AY15">
            <v>6867.1475974000014</v>
          </cell>
          <cell r="BA15">
            <v>6867.1475974000014</v>
          </cell>
          <cell r="BB15" t="str">
            <v>Emissions amount</v>
          </cell>
          <cell r="BC15">
            <v>3780</v>
          </cell>
          <cell r="BE15">
            <v>3780</v>
          </cell>
          <cell r="BF15" t="str">
            <v>Emissions amount</v>
          </cell>
          <cell r="BG15">
            <v>4300</v>
          </cell>
          <cell r="BI15">
            <v>4300</v>
          </cell>
          <cell r="BJ15" t="str">
            <v>Emissions amount</v>
          </cell>
          <cell r="BK15">
            <v>3780</v>
          </cell>
          <cell r="BM15">
            <v>3780</v>
          </cell>
          <cell r="BN15" t="str">
            <v>Emissions amount</v>
          </cell>
          <cell r="BO15">
            <v>4300</v>
          </cell>
          <cell r="BQ15">
            <v>4300</v>
          </cell>
          <cell r="BR15" t="str">
            <v>Emissions amount</v>
          </cell>
          <cell r="BS15">
            <v>4030</v>
          </cell>
          <cell r="BU15">
            <v>4030</v>
          </cell>
          <cell r="BV15" t="str">
            <v>Emissions amount</v>
          </cell>
          <cell r="BW15">
            <v>3780</v>
          </cell>
          <cell r="BY15">
            <v>3780</v>
          </cell>
          <cell r="BZ15" t="str">
            <v>Emissions amount</v>
          </cell>
          <cell r="CA15">
            <v>6867.1475974000014</v>
          </cell>
          <cell r="CC15">
            <v>6867.1475974000014</v>
          </cell>
          <cell r="CD15" t="str">
            <v>Emissions amount</v>
          </cell>
          <cell r="CE15">
            <v>6867.1475974000014</v>
          </cell>
          <cell r="CG15">
            <v>6867.1475974000014</v>
          </cell>
          <cell r="CH15" t="str">
            <v>Abatement amount</v>
          </cell>
          <cell r="CI15">
            <v>2135.20654296875</v>
          </cell>
          <cell r="CK15">
            <v>4731.9410544312514</v>
          </cell>
          <cell r="CL15" t="str">
            <v>Abatement amount</v>
          </cell>
          <cell r="CM15">
            <v>2831.080322265625</v>
          </cell>
          <cell r="CO15">
            <v>4036.0672751343764</v>
          </cell>
          <cell r="CP15" t="str">
            <v>Abatement amount</v>
          </cell>
          <cell r="CQ15">
            <v>2831.080322265625</v>
          </cell>
          <cell r="CS15">
            <v>4036.0672751343764</v>
          </cell>
          <cell r="CT15" t="str">
            <v>Emissions amount</v>
          </cell>
          <cell r="CU15">
            <v>4030</v>
          </cell>
          <cell r="CW15">
            <v>4030</v>
          </cell>
          <cell r="CX15" t="str">
            <v>Emissions amount</v>
          </cell>
          <cell r="CY15">
            <v>3780</v>
          </cell>
          <cell r="DA15">
            <v>3780</v>
          </cell>
          <cell r="DB15" t="str">
            <v>Emissions amount</v>
          </cell>
          <cell r="DC15">
            <v>3780</v>
          </cell>
          <cell r="DE15">
            <v>3780</v>
          </cell>
          <cell r="DF15" t="str">
            <v>Emissions amount</v>
          </cell>
          <cell r="DG15">
            <v>4030</v>
          </cell>
          <cell r="DI15">
            <v>4030</v>
          </cell>
          <cell r="DJ15" t="str">
            <v>Emissions amount</v>
          </cell>
          <cell r="DK15">
            <v>4300</v>
          </cell>
          <cell r="DM15">
            <v>4300</v>
          </cell>
          <cell r="DN15" t="str">
            <v>Emissions amount</v>
          </cell>
          <cell r="DO15">
            <v>3780</v>
          </cell>
          <cell r="DQ15">
            <v>3780</v>
          </cell>
          <cell r="DR15" t="str">
            <v>Emissions amount</v>
          </cell>
          <cell r="DS15">
            <v>4030</v>
          </cell>
          <cell r="DU15">
            <v>4030</v>
          </cell>
          <cell r="DV15" t="str">
            <v>Emissions amount</v>
          </cell>
          <cell r="DW15">
            <v>3780</v>
          </cell>
          <cell r="DY15">
            <v>3780</v>
          </cell>
          <cell r="DZ15" t="str">
            <v>Emissions amount</v>
          </cell>
          <cell r="EA15">
            <v>4030</v>
          </cell>
          <cell r="EC15">
            <v>4030</v>
          </cell>
          <cell r="ED15" t="str">
            <v>Emissions amount</v>
          </cell>
          <cell r="EE15">
            <v>3780</v>
          </cell>
          <cell r="EG15">
            <v>3780</v>
          </cell>
          <cell r="EH15" t="str">
            <v>Abatement amount</v>
          </cell>
          <cell r="EI15">
            <v>0</v>
          </cell>
          <cell r="EK15">
            <v>6808.2576317749999</v>
          </cell>
          <cell r="EL15" t="str">
            <v>Emissions amount</v>
          </cell>
          <cell r="EM15">
            <v>4030</v>
          </cell>
          <cell r="EO15">
            <v>4030</v>
          </cell>
          <cell r="EP15" t="str">
            <v>Emissions amount</v>
          </cell>
          <cell r="EQ15">
            <v>3780</v>
          </cell>
          <cell r="ES15">
            <v>3780</v>
          </cell>
          <cell r="ET15" t="str">
            <v>Abatement amount</v>
          </cell>
          <cell r="EU15">
            <v>3022.9010463247105</v>
          </cell>
          <cell r="EW15">
            <v>3785.3565854502895</v>
          </cell>
          <cell r="EX15" t="str">
            <v>Abatement amount</v>
          </cell>
          <cell r="EY15">
            <v>2350.5557821221978</v>
          </cell>
          <cell r="FA15">
            <v>4457.7018496528017</v>
          </cell>
          <cell r="FB15" t="str">
            <v>Abatement amount</v>
          </cell>
          <cell r="FC15">
            <v>1701.7826500329338</v>
          </cell>
          <cell r="FE15">
            <v>5106.4749817420661</v>
          </cell>
          <cell r="FF15" t="str">
            <v>Abatement amount</v>
          </cell>
          <cell r="FG15">
            <v>2470.055419921875</v>
          </cell>
          <cell r="FI15">
            <v>4338.2022118531249</v>
          </cell>
          <cell r="FJ15" t="str">
            <v>Abatement amount</v>
          </cell>
          <cell r="FK15">
            <v>3027.824462890625</v>
          </cell>
          <cell r="FM15">
            <v>3780.4331688843749</v>
          </cell>
          <cell r="FN15" t="str">
            <v>Emissions amount</v>
          </cell>
          <cell r="FO15">
            <v>4030</v>
          </cell>
          <cell r="FQ15">
            <v>4030</v>
          </cell>
          <cell r="FR15" t="str">
            <v>Emissions amount</v>
          </cell>
          <cell r="FS15">
            <v>3780</v>
          </cell>
          <cell r="FU15">
            <v>3780</v>
          </cell>
          <cell r="FV15" t="str">
            <v>Abatement amount</v>
          </cell>
          <cell r="FW15">
            <v>2470.055419921875</v>
          </cell>
          <cell r="FY15">
            <v>4338.2022118531249</v>
          </cell>
          <cell r="FZ15" t="str">
            <v>Abatement amount</v>
          </cell>
          <cell r="GA15">
            <v>3027.824462890625</v>
          </cell>
          <cell r="GC15">
            <v>3780.4331688843749</v>
          </cell>
          <cell r="GD15" t="str">
            <v>Abatement amount</v>
          </cell>
          <cell r="GE15">
            <v>3213.747314453125</v>
          </cell>
          <cell r="GG15">
            <v>3594.5103173218749</v>
          </cell>
          <cell r="GH15" t="str">
            <v>Abatement amount</v>
          </cell>
          <cell r="GI15">
            <v>3213.747314453125</v>
          </cell>
          <cell r="GK15">
            <v>3594.5103173218749</v>
          </cell>
          <cell r="GL15" t="str">
            <v>Abatement amount</v>
          </cell>
          <cell r="GM15">
            <v>3173.4237419045567</v>
          </cell>
          <cell r="GO15">
            <v>3634.8338898704433</v>
          </cell>
          <cell r="GP15" t="str">
            <v>Abatement amount</v>
          </cell>
          <cell r="GQ15">
            <v>1765.0361259281799</v>
          </cell>
          <cell r="GS15">
            <v>5043.22150584682</v>
          </cell>
          <cell r="GT15" t="str">
            <v>Abatement amount</v>
          </cell>
          <cell r="GU15">
            <v>2467.6418343298819</v>
          </cell>
          <cell r="GW15">
            <v>4340.615797445118</v>
          </cell>
          <cell r="GX15" t="str">
            <v>Emissions amount</v>
          </cell>
          <cell r="GY15">
            <v>4030</v>
          </cell>
          <cell r="HA15">
            <v>4030</v>
          </cell>
          <cell r="HB15" t="str">
            <v>Emissions amount</v>
          </cell>
          <cell r="HC15">
            <v>3780</v>
          </cell>
          <cell r="HE15">
            <v>3780</v>
          </cell>
          <cell r="HF15" t="str">
            <v>Emissions amount</v>
          </cell>
          <cell r="HG15">
            <v>4030</v>
          </cell>
          <cell r="HI15">
            <v>4030</v>
          </cell>
          <cell r="HJ15" t="str">
            <v>Emissions amount</v>
          </cell>
          <cell r="HK15">
            <v>3780</v>
          </cell>
          <cell r="HM15">
            <v>3780</v>
          </cell>
          <cell r="HN15" t="str">
            <v>Abatement amount</v>
          </cell>
          <cell r="HO15">
            <v>3027.824462890625</v>
          </cell>
          <cell r="HQ15">
            <v>3780.4331688843749</v>
          </cell>
          <cell r="HR15" t="str">
            <v>Emissions amount</v>
          </cell>
          <cell r="HS15">
            <v>4030</v>
          </cell>
          <cell r="HU15">
            <v>4030</v>
          </cell>
          <cell r="HV15" t="str">
            <v>Emissions amount</v>
          </cell>
          <cell r="HW15">
            <v>4030</v>
          </cell>
          <cell r="HX15" t="str">
            <v xml:space="preserve">-35% on 2005 by 2030, based on straight line trajectory from low end of 2025 target (-26%). </v>
          </cell>
          <cell r="HY15">
            <v>4030</v>
          </cell>
          <cell r="HZ15" t="str">
            <v>Emissions amount</v>
          </cell>
          <cell r="IA15">
            <v>4030</v>
          </cell>
          <cell r="IB15" t="str">
            <v>26% reduction on 2005 baseline incl. LULUCF, straight line trajectory from 2020 target of 17% reduction on 2005</v>
          </cell>
          <cell r="IC15">
            <v>4030</v>
          </cell>
          <cell r="ID15" t="str">
            <v>Emissions amount</v>
          </cell>
          <cell r="IE15">
            <v>3780</v>
          </cell>
          <cell r="IF15" t="str">
            <v>28% reduction on 2005 baseline incl. LULUCF, straight line trajectory from 2020 target of 17% reduction on 2005</v>
          </cell>
          <cell r="IG15">
            <v>3780</v>
          </cell>
          <cell r="IH15" t="str">
            <v>Abatement amount</v>
          </cell>
          <cell r="II15">
            <v>3027.824462890625</v>
          </cell>
          <cell r="IJ15" t="str">
            <v>28% reduction on 2005 baseline incl. LULUCF, straight line trajectory from 2020 target of 17% reduction on 2005</v>
          </cell>
          <cell r="IK15">
            <v>3780.4331688843749</v>
          </cell>
          <cell r="IL15" t="str">
            <v>Emissions amount</v>
          </cell>
          <cell r="IM15">
            <v>4030</v>
          </cell>
          <cell r="IN15" t="str">
            <v>26% reduction on 2005 baseline incl. LULUCF, straight line trajectory from 2020 target of 17% reduction on 2005</v>
          </cell>
          <cell r="IO15">
            <v>4030</v>
          </cell>
          <cell r="IP15" t="str">
            <v>Emissions amount</v>
          </cell>
          <cell r="IQ15">
            <v>3780</v>
          </cell>
          <cell r="IR15" t="str">
            <v>28% reduction on 2005 baseline incl. LULUCF, straight line trajectory from 2020 target of 17% reduction on 2005</v>
          </cell>
          <cell r="IS15">
            <v>3780</v>
          </cell>
          <cell r="IT15" t="str">
            <v>Emissions amount</v>
          </cell>
          <cell r="IU15">
            <v>4030</v>
          </cell>
          <cell r="IV15" t="str">
            <v>26% reduction on 2005 baseline incl. LULUCF, straight line trajectory from 2020 target of 17% reduction on 2005</v>
          </cell>
          <cell r="IW15">
            <v>4030</v>
          </cell>
          <cell r="IX15" t="str">
            <v>Abatement amount</v>
          </cell>
          <cell r="IY15">
            <v>3027.824462890625</v>
          </cell>
          <cell r="IZ15" t="str">
            <v>28% reduction on 2005 baseline incl. LULUCF, straight line trajectory from 2020 target of 17% reduction on 2005</v>
          </cell>
          <cell r="JA15">
            <v>3780.4331688843749</v>
          </cell>
          <cell r="JB15" t="str">
            <v>Emissions amount</v>
          </cell>
          <cell r="JC15">
            <v>4030</v>
          </cell>
          <cell r="JD15" t="str">
            <v>26% reduction on 2005 baseline incl. LULUCF, straight line trajectory from 2020 target of 17% reduction on 2005</v>
          </cell>
          <cell r="JE15">
            <v>4030</v>
          </cell>
          <cell r="JF15" t="str">
            <v>Emissions amount</v>
          </cell>
          <cell r="JG15">
            <v>3780</v>
          </cell>
          <cell r="JH15" t="str">
            <v>28% reduction on 2005 baseline incl. LULUCF, straight line trajectory from 2020 target of 17% reduction on 2005</v>
          </cell>
          <cell r="JI15">
            <v>3780</v>
          </cell>
          <cell r="JJ15" t="str">
            <v>Emissions amount</v>
          </cell>
          <cell r="JK15">
            <v>3780</v>
          </cell>
          <cell r="JL15" t="str">
            <v>28% reduction on 2005 baseline incl. LULUCF, straight line trajectory from 2020 target of 17% reduction on 2005</v>
          </cell>
          <cell r="JM15">
            <v>3780</v>
          </cell>
          <cell r="JN15" t="str">
            <v>Emissions amount</v>
          </cell>
          <cell r="JO15">
            <v>4030</v>
          </cell>
          <cell r="JP15" t="str">
            <v>26% reduction on 2005 baseline incl. LULUCF, straight line trajectory from 2020 target of 17% reduction on 2005</v>
          </cell>
          <cell r="JQ15">
            <v>4030</v>
          </cell>
          <cell r="JR15" t="str">
            <v>Abatement amount</v>
          </cell>
          <cell r="JS15">
            <v>3027.824462890625</v>
          </cell>
          <cell r="JT15" t="str">
            <v>28% reduction on 2005 baseline incl. LULUCF, straight line trajectory from 2020 target of 17% reduction on 2005</v>
          </cell>
          <cell r="JU15">
            <v>3780.4331688843749</v>
          </cell>
          <cell r="JV15" t="str">
            <v>Emissions amount</v>
          </cell>
          <cell r="JW15">
            <v>4030</v>
          </cell>
          <cell r="JX15" t="str">
            <v>26% reduction on 2005 baseline incl. LULUCF, straight line trajectory from 2020 target of 17% reduction on 2005</v>
          </cell>
          <cell r="JY15">
            <v>4030</v>
          </cell>
          <cell r="JZ15" t="str">
            <v>Emissions amount</v>
          </cell>
          <cell r="KA15">
            <v>3780</v>
          </cell>
          <cell r="KB15" t="str">
            <v>28% reduction on 2005 baseline incl. LULUCF, straight line trajectory from 2020 target of 17% reduction on 2005</v>
          </cell>
          <cell r="KC15">
            <v>3780</v>
          </cell>
          <cell r="KD15" t="str">
            <v>Emissions amount</v>
          </cell>
          <cell r="KE15">
            <v>4030</v>
          </cell>
          <cell r="KF15" t="str">
            <v>26% reduction on 2005 baseline incl. LULUCF, straight line trajectory from 2020 target of 17% reduction on 2005</v>
          </cell>
          <cell r="KG15">
            <v>4030</v>
          </cell>
          <cell r="KH15" t="str">
            <v>Emissions amount</v>
          </cell>
          <cell r="KI15">
            <v>3780</v>
          </cell>
          <cell r="KJ15" t="str">
            <v>28% reduction on 2005 baseline incl. LULUCF, straight line trajectory from 2020 target of 17% reduction on 2005</v>
          </cell>
          <cell r="KK15">
            <v>3780</v>
          </cell>
          <cell r="KL15" t="str">
            <v>Emissions amount</v>
          </cell>
          <cell r="KM15">
            <v>3780</v>
          </cell>
          <cell r="KN15" t="str">
            <v>28% reduction on 2005 baseline incl. LULUCF, straight line trajectory from 2020 target of 17% reduction on 2005</v>
          </cell>
          <cell r="KO15">
            <v>3780</v>
          </cell>
          <cell r="KP15" t="str">
            <v>Emissions amount</v>
          </cell>
          <cell r="KQ15">
            <v>3780</v>
          </cell>
          <cell r="KR15" t="str">
            <v>28% reduction on 2005 baseline incl. LULUCF, straight line trajectory from 2020 target of 17% reduction on 2005</v>
          </cell>
          <cell r="KS15">
            <v>3780</v>
          </cell>
          <cell r="KT15" t="str">
            <v>Emissions amount</v>
          </cell>
          <cell r="KU15">
            <v>4030</v>
          </cell>
          <cell r="KV15" t="str">
            <v>26% reduction on 2005 baseline incl. LULUCF, straight line trajectory from 2020 target of 17% reduction on 2005</v>
          </cell>
          <cell r="KW15">
            <v>4030</v>
          </cell>
          <cell r="KX15" t="str">
            <v>Abatement amount</v>
          </cell>
          <cell r="KY15">
            <v>3027.824462890625</v>
          </cell>
          <cell r="KZ15" t="str">
            <v>28% reduction on 2005 baseline incl. LULUCF, straight line trajectory from 2020 target of 17% reduction on 2005</v>
          </cell>
          <cell r="LA15">
            <v>3780.4331688843749</v>
          </cell>
          <cell r="LB15" t="str">
            <v>Emissions amount</v>
          </cell>
          <cell r="LC15">
            <v>4030</v>
          </cell>
          <cell r="LD15" t="str">
            <v>26% reduction on 2005 baseline incl. LULUCF, straight line trajectory from 2020 target of 17% reduction on 2005</v>
          </cell>
          <cell r="LE15">
            <v>4030</v>
          </cell>
          <cell r="LF15" t="str">
            <v>Emissions amount</v>
          </cell>
          <cell r="LG15">
            <v>4030</v>
          </cell>
          <cell r="LH15" t="str">
            <v>26% reduction on 2005 baseline incl. LULUCF, straight line trajectory from 2020 target of 17% reduction on 2005</v>
          </cell>
          <cell r="LI15">
            <v>4030</v>
          </cell>
          <cell r="LJ15" t="str">
            <v>Emissions amount</v>
          </cell>
          <cell r="LK15">
            <v>4030</v>
          </cell>
          <cell r="LL15" t="str">
            <v>26% reduction on 2005 baseline incl. LULUCF, straight line trajectory from 2020 target of 17% reduction on 2005</v>
          </cell>
          <cell r="LM15">
            <v>4030</v>
          </cell>
          <cell r="LN15" t="str">
            <v>Emissions amount</v>
          </cell>
          <cell r="LO15">
            <v>4030</v>
          </cell>
          <cell r="LP15" t="str">
            <v>26% reduction on 2005 baseline incl. LULUCF, straight line trajectory from 2020 target of 17% reduction on 2005</v>
          </cell>
          <cell r="LQ15">
            <v>4030</v>
          </cell>
          <cell r="LR15" t="str">
            <v>Emissions amount</v>
          </cell>
          <cell r="LS15">
            <v>3780</v>
          </cell>
          <cell r="LT15" t="str">
            <v>28% reduction on 2005 baseline incl. LULUCF, straight line trajectory from 2020 target of 17% reduction on 2005</v>
          </cell>
          <cell r="LU15">
            <v>3780</v>
          </cell>
          <cell r="LV15" t="str">
            <v>Emissions amount</v>
          </cell>
          <cell r="LW15">
            <v>3780</v>
          </cell>
          <cell r="LX15" t="str">
            <v>28% reduction on 2005 baseline incl. LULUCF, straight line trajectory from 2020 target of 17% reduction on 2005</v>
          </cell>
          <cell r="LY15">
            <v>3780</v>
          </cell>
          <cell r="LZ15" t="str">
            <v>Emissions amount</v>
          </cell>
          <cell r="MA15">
            <v>4030</v>
          </cell>
          <cell r="MB15" t="str">
            <v>26% reduction on 2005 baseline incl. LULUCF, straight line trajectory from 2020 target of 17% reduction on 2005</v>
          </cell>
          <cell r="MC15">
            <v>4030</v>
          </cell>
          <cell r="MD15" t="str">
            <v>Emissions amount</v>
          </cell>
          <cell r="ME15">
            <v>3780</v>
          </cell>
          <cell r="MF15" t="str">
            <v>28% reduction on 2005 baseline incl. LULUCF, straight line trajectory from 2020 target of 17% reduction on 2005</v>
          </cell>
          <cell r="MG15">
            <v>3780</v>
          </cell>
          <cell r="MH15" t="str">
            <v>Emissions amount</v>
          </cell>
          <cell r="MI15">
            <v>3780</v>
          </cell>
          <cell r="MJ15" t="str">
            <v>28% reduction on 2005 baseline incl. LULUCF, straight line trajectory from 2020 target of 17% reduction on 2005</v>
          </cell>
          <cell r="MK15">
            <v>3780</v>
          </cell>
          <cell r="ML15" t="str">
            <v>Emissions amount</v>
          </cell>
          <cell r="MM15">
            <v>4030</v>
          </cell>
          <cell r="MN15" t="str">
            <v>26% reduction on 2005 baseline incl. LULUCF, straight line trajectory from 2020 target of 17% reduction on 2005</v>
          </cell>
          <cell r="MO15">
            <v>4030</v>
          </cell>
          <cell r="MP15" t="str">
            <v>Emissions amount</v>
          </cell>
          <cell r="MQ15">
            <v>3780</v>
          </cell>
          <cell r="MR15" t="str">
            <v>28% reduction on 2005 baseline incl. LULUCF, straight line trajectory from 2020 target of 17% reduction on 2005</v>
          </cell>
          <cell r="MS15">
            <v>3780</v>
          </cell>
          <cell r="MT15" t="str">
            <v>Emissions amount</v>
          </cell>
          <cell r="MU15">
            <v>3780</v>
          </cell>
          <cell r="MV15" t="str">
            <v>28% reduction on 2005 baseline incl. LULUCF, straight line trajectory from 2020 target of 17% reduction on 2005</v>
          </cell>
          <cell r="MW15">
            <v>3780</v>
          </cell>
          <cell r="MX15" t="str">
            <v>Emissions amount</v>
          </cell>
          <cell r="MY15">
            <v>4030</v>
          </cell>
          <cell r="MZ15" t="str">
            <v>26% reduction on 2005 baseline incl. LULUCF, straight line trajectory from 2020 target of 17% reduction on 2005</v>
          </cell>
          <cell r="NA15">
            <v>4030</v>
          </cell>
          <cell r="NB15" t="str">
            <v>Emissions amount</v>
          </cell>
          <cell r="NC15">
            <v>3780</v>
          </cell>
          <cell r="ND15" t="str">
            <v>28% reduction on 2005 baseline incl. LULUCF, straight line trajectory from 2020 target of 17% reduction on 2005</v>
          </cell>
          <cell r="NE15">
            <v>3780</v>
          </cell>
          <cell r="NF15" t="str">
            <v>Emissions amount</v>
          </cell>
          <cell r="NG15">
            <v>4030</v>
          </cell>
          <cell r="NH15" t="str">
            <v>26% reduction on 2005 baseline incl. LULUCF, straight line trajectory from 2020 target of 17% reduction on 2005</v>
          </cell>
          <cell r="NI15">
            <v>4030</v>
          </cell>
          <cell r="NJ15" t="str">
            <v>Emissions amount</v>
          </cell>
          <cell r="NK15">
            <v>4030</v>
          </cell>
          <cell r="NL15" t="str">
            <v>26% reduction on 2005 baseline incl. LULUCF, straight line trajectory from 2020 target of 17% reduction on 2005</v>
          </cell>
          <cell r="NM15">
            <v>4030</v>
          </cell>
          <cell r="NN15" t="str">
            <v>Emissions amount</v>
          </cell>
          <cell r="NO15">
            <v>4030</v>
          </cell>
          <cell r="NP15" t="str">
            <v>26% reduction on 2005 baseline incl. LULUCF, straight line trajectory from 2020 target of 17% reduction on 2005</v>
          </cell>
          <cell r="NQ15">
            <v>4030</v>
          </cell>
          <cell r="NR15" t="str">
            <v>Emissions amount</v>
          </cell>
          <cell r="NS15">
            <v>3780</v>
          </cell>
          <cell r="NT15" t="str">
            <v>28% reduction on 2005 baseline incl. LULUCF, straight line trajectory from 2020 target of 17% reduction on 2005</v>
          </cell>
          <cell r="NU15">
            <v>3780</v>
          </cell>
          <cell r="NV15" t="str">
            <v>Emissions amount</v>
          </cell>
          <cell r="NW15">
            <v>4030</v>
          </cell>
          <cell r="NX15" t="str">
            <v>26% reduction on 2005 baseline incl. LULUCF, straight line trajectory from 2020 target of 17% reduction on 2005</v>
          </cell>
          <cell r="NY15">
            <v>4030</v>
          </cell>
          <cell r="NZ15" t="str">
            <v>Emissions amount</v>
          </cell>
          <cell r="OA15">
            <v>3780</v>
          </cell>
          <cell r="OB15" t="str">
            <v>28% reduction on 2005 baseline incl. LULUCF, straight line trajectory from 2020 target of 17% reduction on 2005</v>
          </cell>
          <cell r="OC15">
            <v>3780</v>
          </cell>
          <cell r="OD15" t="str">
            <v>Emissions amount</v>
          </cell>
          <cell r="OE15">
            <v>3780</v>
          </cell>
          <cell r="OF15" t="str">
            <v>28% reduction on 2005 baseline incl. LULUCF, straight line trajectory from 2020 target of 17% reduction on 2005</v>
          </cell>
          <cell r="OG15">
            <v>3780</v>
          </cell>
          <cell r="OH15" t="str">
            <v>Emissions amount</v>
          </cell>
          <cell r="OI15">
            <v>4030</v>
          </cell>
          <cell r="OJ15" t="str">
            <v>26% reduction on 2005 baseline incl. LULUCF, straight line trajectory from 2020 target of 17% reduction on 2005</v>
          </cell>
          <cell r="OK15">
            <v>4030</v>
          </cell>
          <cell r="OL15" t="str">
            <v>Emissions amount</v>
          </cell>
          <cell r="OM15">
            <v>3780</v>
          </cell>
          <cell r="ON15" t="str">
            <v>28% reduction on 2005 baseline incl. LULUCF, straight line trajectory from 2020 target of 17% reduction on 2005</v>
          </cell>
          <cell r="OO15">
            <v>3780</v>
          </cell>
          <cell r="OP15" t="str">
            <v>Emissions amount</v>
          </cell>
          <cell r="OQ15">
            <v>4030</v>
          </cell>
          <cell r="OR15" t="str">
            <v>26% reduction on 2005 baseline incl. LULUCF, straight line trajectory from 2020 target of 17% reduction on 2005</v>
          </cell>
          <cell r="OS15">
            <v>4030</v>
          </cell>
          <cell r="OT15" t="str">
            <v>Emissions amount</v>
          </cell>
          <cell r="OU15">
            <v>3780</v>
          </cell>
          <cell r="OV15" t="str">
            <v>28% reduction on 2005 baseline incl. LULUCF, straight line trajectory from 2020 target of 17% reduction on 2005</v>
          </cell>
          <cell r="OW15">
            <v>3780</v>
          </cell>
          <cell r="OX15" t="str">
            <v>Emissions amount</v>
          </cell>
          <cell r="OY15">
            <v>4028</v>
          </cell>
          <cell r="OZ15" t="str">
            <v>26% reduction on 2005 baseline incl. LULUCF, straight line trajectory from 2020 target of 17% reduction on 2005</v>
          </cell>
          <cell r="PA15">
            <v>4028</v>
          </cell>
          <cell r="PB15" t="str">
            <v>Emissions amount</v>
          </cell>
          <cell r="PC15">
            <v>4028</v>
          </cell>
          <cell r="PD15" t="str">
            <v>26% reduction on 2005 baseline incl. LULUCF, straight line trajectory from 2020 target of 17% reduction on 2005</v>
          </cell>
          <cell r="PE15">
            <v>4028</v>
          </cell>
          <cell r="PF15" t="str">
            <v>Emissions amount</v>
          </cell>
          <cell r="PG15">
            <v>3780</v>
          </cell>
          <cell r="PH15" t="str">
            <v>28% reduction on 2005 baseline incl. LULUCF, straight line trajectory from 2020 target of 17% reduction on 2005</v>
          </cell>
          <cell r="PI15">
            <v>3780</v>
          </cell>
          <cell r="PJ15" t="str">
            <v>Emissions amount</v>
          </cell>
          <cell r="PK15">
            <v>3780</v>
          </cell>
          <cell r="PL15" t="str">
            <v>28% reduction on 2005 baseline incl. LULUCF, straight line trajectory from 2020 target of 17% reduction on 2005</v>
          </cell>
          <cell r="PM15">
            <v>3780</v>
          </cell>
          <cell r="PN15" t="str">
            <v>Emissions amount</v>
          </cell>
          <cell r="PO15">
            <v>4028</v>
          </cell>
          <cell r="PP15" t="str">
            <v>26% reduction on 2005 baseline incl. LULUCF, straight line trajectory from 2020 target of 17% reduction on 2005</v>
          </cell>
          <cell r="PQ15">
            <v>4028</v>
          </cell>
          <cell r="PR15" t="str">
            <v>Emissions amount</v>
          </cell>
          <cell r="PS15">
            <v>3780</v>
          </cell>
          <cell r="PT15" t="str">
            <v>28% reduction on 2005 baseline incl. LULUCF, straight line trajectory from 2020 target of 17% reduction on 2005</v>
          </cell>
          <cell r="PU15">
            <v>3780</v>
          </cell>
          <cell r="PV15" t="str">
            <v>Emissions amount</v>
          </cell>
          <cell r="PW15">
            <v>4028</v>
          </cell>
          <cell r="PX15" t="str">
            <v>26% reduction on 2005 baseline incl. LULUCF, straight line trajectory from 2020 target of 17% reduction on 2005</v>
          </cell>
          <cell r="PY15">
            <v>4028</v>
          </cell>
          <cell r="PZ15" t="str">
            <v>Emissions amount</v>
          </cell>
          <cell r="QA15">
            <v>3780</v>
          </cell>
          <cell r="QB15" t="str">
            <v>28% reduction on 2005 baseline incl. LULUCF, straight line trajectory from 2020 target of 17% reduction on 2005</v>
          </cell>
          <cell r="QC15">
            <v>3780</v>
          </cell>
          <cell r="QD15" t="str">
            <v>Emissions amount</v>
          </cell>
          <cell r="QE15">
            <v>3780</v>
          </cell>
          <cell r="QF15" t="str">
            <v>28% reduction on 2005 baseline incl. LULUCF, straight line trajectory from 2020 target of 17% reduction on 2005</v>
          </cell>
          <cell r="QG15">
            <v>3780</v>
          </cell>
          <cell r="QH15" t="str">
            <v>Emissions amount</v>
          </cell>
          <cell r="QI15">
            <v>3780</v>
          </cell>
          <cell r="QJ15" t="str">
            <v>28% reduction on 2005 baseline incl. LULUCF, straight line trajectory from 2020 target of 17% reduction on 2005</v>
          </cell>
          <cell r="QK15">
            <v>3780</v>
          </cell>
          <cell r="QL15" t="str">
            <v>Emissions amount</v>
          </cell>
          <cell r="QM15">
            <v>3780</v>
          </cell>
          <cell r="QN15" t="str">
            <v>28% reduction on 2005 baseline incl. LULUCF, straight line trajectory from 2020 target of 17% reduction on 2005</v>
          </cell>
          <cell r="QO15">
            <v>3780</v>
          </cell>
          <cell r="QP15" t="str">
            <v>Emissions amount</v>
          </cell>
          <cell r="QQ15">
            <v>4028</v>
          </cell>
          <cell r="QR15" t="str">
            <v>26% reduction on 2005 baseline incl. LULUCF, straight line trajectory from 2020 target of 17% reduction on 2005</v>
          </cell>
          <cell r="QS15">
            <v>4028</v>
          </cell>
          <cell r="QT15" t="str">
            <v>Emissions amount</v>
          </cell>
          <cell r="QU15">
            <v>3780</v>
          </cell>
          <cell r="QV15" t="str">
            <v>28% reduction on 2005 baseline incl. LULUCF, straight line trajectory from 2020 target of 17% reduction on 2005</v>
          </cell>
          <cell r="QW15">
            <v>3780</v>
          </cell>
          <cell r="QX15" t="str">
            <v>Emissions amount</v>
          </cell>
          <cell r="QY15">
            <v>3780</v>
          </cell>
          <cell r="QZ15" t="str">
            <v>28% reduction on 2005 baseline incl. LULUCF, straight line trajectory from 2020 target of 17% reduction on 2005</v>
          </cell>
          <cell r="RA15">
            <v>3780</v>
          </cell>
          <cell r="RB15" t="str">
            <v>Emissions amount</v>
          </cell>
          <cell r="RC15">
            <v>4028</v>
          </cell>
          <cell r="RD15" t="str">
            <v>26% reduction on 2005 baseline incl. LULUCF, straight line trajectory from 2020 target of 17% reduction on 2005</v>
          </cell>
          <cell r="RE15">
            <v>4028</v>
          </cell>
          <cell r="RF15" t="str">
            <v>Emissions amount</v>
          </cell>
          <cell r="RG15">
            <v>3780</v>
          </cell>
          <cell r="RH15" t="str">
            <v>28% reduction on 2005 baseline incl. LULUCF, straight line trajectory from 2020 target of 17% reduction on 2005</v>
          </cell>
          <cell r="RI15">
            <v>3780</v>
          </cell>
          <cell r="RJ15" t="str">
            <v>Emissions amount</v>
          </cell>
          <cell r="RK15">
            <v>4028</v>
          </cell>
          <cell r="RL15" t="str">
            <v>26% reduction on 2005 baseline incl. LULUCF, straight line trajectory from 2020 target of 17% reduction on 2005</v>
          </cell>
          <cell r="RM15">
            <v>4028</v>
          </cell>
          <cell r="RN15" t="str">
            <v>Emissions amount</v>
          </cell>
          <cell r="RO15">
            <v>3780</v>
          </cell>
          <cell r="RP15" t="str">
            <v>28% reduction on 2005 baseline incl. LULUCF, straight line trajectory from 2020 target of 17% reduction on 2005</v>
          </cell>
          <cell r="RQ15">
            <v>3780</v>
          </cell>
          <cell r="RR15" t="str">
            <v>Emissions amount</v>
          </cell>
          <cell r="RS15">
            <v>3780</v>
          </cell>
          <cell r="RT15" t="str">
            <v>28% reduction on 2005 baseline incl. LULUCF, straight line trajectory from 2020 target of 17% reduction on 2005</v>
          </cell>
          <cell r="RU15">
            <v>3780</v>
          </cell>
        </row>
        <row r="16">
          <cell r="C16">
            <v>0</v>
          </cell>
          <cell r="D16">
            <v>0</v>
          </cell>
          <cell r="E16">
            <v>0</v>
          </cell>
        </row>
        <row r="17">
          <cell r="A17" t="str">
            <v>BASICS</v>
          </cell>
          <cell r="C17">
            <v>0</v>
          </cell>
          <cell r="D17">
            <v>0</v>
          </cell>
          <cell r="E17">
            <v>0</v>
          </cell>
          <cell r="BA17">
            <v>25080.700859175329</v>
          </cell>
          <cell r="BE17">
            <v>25080.700859175329</v>
          </cell>
          <cell r="BI17">
            <v>25080.700859175329</v>
          </cell>
          <cell r="BM17">
            <v>21694.962412123154</v>
          </cell>
          <cell r="BQ17">
            <v>23394.962412123154</v>
          </cell>
          <cell r="BU17">
            <v>22810.2650816483</v>
          </cell>
          <cell r="BY17">
            <v>20358.359542952185</v>
          </cell>
          <cell r="CC17">
            <v>25080.700859175329</v>
          </cell>
          <cell r="CG17">
            <v>25080.700859175329</v>
          </cell>
          <cell r="CK17">
            <v>22866.429676161413</v>
          </cell>
          <cell r="CO17">
            <v>20358.359542952185</v>
          </cell>
          <cell r="CS17">
            <v>20358.359542952185</v>
          </cell>
          <cell r="CW17">
            <v>22866.429676161413</v>
          </cell>
          <cell r="DA17">
            <v>20358.359542952185</v>
          </cell>
          <cell r="DE17">
            <v>20358.359542952185</v>
          </cell>
          <cell r="DI17">
            <v>22866.429676161413</v>
          </cell>
          <cell r="DM17">
            <v>23345.962412123154</v>
          </cell>
          <cell r="DQ17">
            <v>23345.962412123154</v>
          </cell>
          <cell r="DU17">
            <v>25080.700859175329</v>
          </cell>
          <cell r="DY17">
            <v>25080.700859175329</v>
          </cell>
          <cell r="EC17">
            <v>22866.429676161413</v>
          </cell>
          <cell r="EG17">
            <v>22037</v>
          </cell>
          <cell r="EK17">
            <v>25267.697071214847</v>
          </cell>
          <cell r="EO17">
            <v>25267.697071214847</v>
          </cell>
          <cell r="ES17">
            <v>25267.697071214847</v>
          </cell>
          <cell r="ET17" t="str">
            <v>Abatement amount</v>
          </cell>
          <cell r="EW17">
            <v>15831.20156929831</v>
          </cell>
          <cell r="EX17" t="str">
            <v>Abatement amount</v>
          </cell>
          <cell r="FA17">
            <v>18053.694285990699</v>
          </cell>
          <cell r="FB17" t="str">
            <v>Abatement amount</v>
          </cell>
          <cell r="FE17">
            <v>20218.469560757374</v>
          </cell>
          <cell r="FI17">
            <v>23025.490650316409</v>
          </cell>
          <cell r="FM17">
            <v>21933.384856363467</v>
          </cell>
          <cell r="FQ17">
            <v>23540.856235126215</v>
          </cell>
          <cell r="FU17">
            <v>23495.856235126215</v>
          </cell>
          <cell r="FV17" t="str">
            <v>Abatement amount</v>
          </cell>
          <cell r="FY17">
            <v>23025.490650316409</v>
          </cell>
          <cell r="FZ17" t="str">
            <v>Abatement amount</v>
          </cell>
          <cell r="GC17">
            <v>21933.384856363467</v>
          </cell>
          <cell r="GD17" t="str">
            <v>Abatement amount</v>
          </cell>
          <cell r="GG17">
            <v>20472.544036050967</v>
          </cell>
          <cell r="GH17" t="str">
            <v>Abatement amount</v>
          </cell>
          <cell r="GK17">
            <v>14761.746433397464</v>
          </cell>
          <cell r="GL17" t="str">
            <v>Abatement amount</v>
          </cell>
          <cell r="GO17">
            <v>15361.319585730727</v>
          </cell>
          <cell r="GP17" t="str">
            <v>Abatement amount</v>
          </cell>
          <cell r="GS17">
            <v>20030.79507094156</v>
          </cell>
          <cell r="GT17" t="str">
            <v>Abatement amount</v>
          </cell>
          <cell r="GW17">
            <v>17694.349864913172</v>
          </cell>
          <cell r="HA17">
            <v>25267.697071214847</v>
          </cell>
          <cell r="HE17">
            <v>23179.856235126215</v>
          </cell>
          <cell r="HI17">
            <v>25267.697071214847</v>
          </cell>
          <cell r="HM17">
            <v>23179.856235126215</v>
          </cell>
          <cell r="HN17" t="str">
            <v>Abatement amount</v>
          </cell>
          <cell r="HQ17">
            <v>21572.544020274836</v>
          </cell>
          <cell r="HR17" t="str">
            <v>Abatement amount</v>
          </cell>
          <cell r="HU17">
            <v>24752.490650316409</v>
          </cell>
          <cell r="HV17" t="str">
            <v>Abatement amount</v>
          </cell>
          <cell r="HY17">
            <v>24752.490650316409</v>
          </cell>
          <cell r="IC17">
            <v>24935.856235126215</v>
          </cell>
          <cell r="IG17">
            <v>23107.856235126215</v>
          </cell>
          <cell r="IK17">
            <v>20160.222401367024</v>
          </cell>
          <cell r="IO17">
            <v>25267.697071214847</v>
          </cell>
          <cell r="IS17">
            <v>21596.856235126215</v>
          </cell>
          <cell r="IW17">
            <v>24734.666386666886</v>
          </cell>
          <cell r="JA17">
            <v>20009.222401164192</v>
          </cell>
          <cell r="JE17">
            <v>24935.856235126215</v>
          </cell>
          <cell r="JI17">
            <v>23107.856235126215</v>
          </cell>
          <cell r="JM17">
            <v>21357.856235126215</v>
          </cell>
          <cell r="JQ17">
            <v>24734.666386666886</v>
          </cell>
          <cell r="JU17">
            <v>20009.222401164192</v>
          </cell>
          <cell r="JY17">
            <v>25267.697071214847</v>
          </cell>
          <cell r="KC17">
            <v>21596.856235126215</v>
          </cell>
          <cell r="KG17">
            <v>24935.856235126215</v>
          </cell>
          <cell r="KK17">
            <v>23107.856235126215</v>
          </cell>
          <cell r="KO17">
            <v>21357.856235126215</v>
          </cell>
          <cell r="KS17">
            <v>20294.848962657812</v>
          </cell>
          <cell r="KW17">
            <v>23960.840836088631</v>
          </cell>
          <cell r="LA17">
            <v>19493</v>
          </cell>
          <cell r="LE17">
            <v>23965.689798746444</v>
          </cell>
          <cell r="LI17">
            <v>27440</v>
          </cell>
          <cell r="LM17">
            <v>27440</v>
          </cell>
          <cell r="LQ17">
            <v>27440</v>
          </cell>
          <cell r="LU17">
            <v>20870</v>
          </cell>
          <cell r="LY17">
            <v>20870</v>
          </cell>
          <cell r="MC17">
            <v>27325</v>
          </cell>
          <cell r="MG17">
            <v>20755</v>
          </cell>
          <cell r="MK17">
            <v>20755</v>
          </cell>
          <cell r="MO17">
            <v>27325</v>
          </cell>
          <cell r="MS17">
            <v>20755</v>
          </cell>
          <cell r="MW17">
            <v>20755</v>
          </cell>
          <cell r="NA17">
            <v>23518.848962657812</v>
          </cell>
          <cell r="NE17">
            <v>19724.848962657812</v>
          </cell>
          <cell r="NI17">
            <v>22788</v>
          </cell>
          <cell r="NM17">
            <v>22788</v>
          </cell>
          <cell r="NQ17">
            <v>22788</v>
          </cell>
          <cell r="NU17">
            <v>20887</v>
          </cell>
          <cell r="NY17">
            <v>27327</v>
          </cell>
          <cell r="OC17">
            <v>25105</v>
          </cell>
          <cell r="OG17">
            <v>20887</v>
          </cell>
          <cell r="OK17">
            <v>21641.848962657812</v>
          </cell>
          <cell r="OO17">
            <v>20092.848962657812</v>
          </cell>
          <cell r="OS17">
            <v>23416.848962657812</v>
          </cell>
          <cell r="OW17">
            <v>20889</v>
          </cell>
          <cell r="PA17">
            <v>22789</v>
          </cell>
          <cell r="PE17">
            <v>27327</v>
          </cell>
          <cell r="PI17">
            <v>25105</v>
          </cell>
          <cell r="PM17">
            <v>20889</v>
          </cell>
          <cell r="PQ17">
            <v>22789</v>
          </cell>
          <cell r="PU17">
            <v>20889</v>
          </cell>
          <cell r="PY17">
            <v>27327</v>
          </cell>
          <cell r="QC17">
            <v>25105</v>
          </cell>
          <cell r="QG17">
            <v>20889</v>
          </cell>
          <cell r="QK17">
            <v>20889</v>
          </cell>
          <cell r="QO17">
            <v>25105</v>
          </cell>
          <cell r="QS17">
            <v>22870.848962657812</v>
          </cell>
          <cell r="QW17">
            <v>20082.848962657812</v>
          </cell>
          <cell r="RA17">
            <v>20082.848962657812</v>
          </cell>
          <cell r="RE17">
            <v>22789</v>
          </cell>
          <cell r="RI17">
            <v>20889</v>
          </cell>
          <cell r="RM17">
            <v>27327</v>
          </cell>
          <cell r="RQ17">
            <v>25105</v>
          </cell>
          <cell r="RU17">
            <v>20889</v>
          </cell>
        </row>
        <row r="18">
          <cell r="A18" t="str">
            <v>Brazil</v>
          </cell>
          <cell r="B18" t="str">
            <v>Abatement amount</v>
          </cell>
          <cell r="C18">
            <v>1158.1618892864265</v>
          </cell>
          <cell r="D18">
            <v>0</v>
          </cell>
          <cell r="E18">
            <v>1200.4796339135739</v>
          </cell>
          <cell r="F18" t="str">
            <v>Abatement amount</v>
          </cell>
          <cell r="G18">
            <v>682.73493706202794</v>
          </cell>
          <cell r="I18">
            <v>1675.9065861379725</v>
          </cell>
          <cell r="J18" t="str">
            <v>Abatement amount</v>
          </cell>
          <cell r="K18">
            <v>471.72830200195313</v>
          </cell>
          <cell r="M18">
            <v>1886.9132211980473</v>
          </cell>
          <cell r="N18" t="str">
            <v>Abatement amount</v>
          </cell>
          <cell r="O18">
            <v>471.72830200195313</v>
          </cell>
          <cell r="Q18">
            <v>1886.9132211980473</v>
          </cell>
          <cell r="R18" t="str">
            <v>Abatement amount</v>
          </cell>
          <cell r="S18">
            <v>707.59246826171875</v>
          </cell>
          <cell r="U18">
            <v>1651.0490549382816</v>
          </cell>
          <cell r="V18" t="str">
            <v>Abatement amount</v>
          </cell>
          <cell r="W18">
            <v>729.45172119140625</v>
          </cell>
          <cell r="Y18">
            <v>1629.1898020085941</v>
          </cell>
          <cell r="Z18" t="str">
            <v>Abatement amount</v>
          </cell>
          <cell r="AA18">
            <v>1147.54345703125</v>
          </cell>
          <cell r="AC18">
            <v>1211.0980661687504</v>
          </cell>
          <cell r="AD18" t="str">
            <v>Abatement amount</v>
          </cell>
          <cell r="AE18">
            <v>655.14556884765625</v>
          </cell>
          <cell r="AG18">
            <v>1703.4959543523441</v>
          </cell>
          <cell r="AH18" t="str">
            <v>Abatement amount</v>
          </cell>
          <cell r="AI18">
            <v>668</v>
          </cell>
          <cell r="AK18">
            <v>1690.6415232000004</v>
          </cell>
          <cell r="AL18" t="str">
            <v>Abatement amount</v>
          </cell>
          <cell r="AM18">
            <v>668</v>
          </cell>
          <cell r="AO18">
            <v>1690.6415232000004</v>
          </cell>
          <cell r="AP18" t="str">
            <v>Abatement amount</v>
          </cell>
          <cell r="AQ18">
            <v>707.59245681762695</v>
          </cell>
          <cell r="AS18">
            <v>1651.0490663823734</v>
          </cell>
          <cell r="AT18" t="str">
            <v>Abatement amount</v>
          </cell>
          <cell r="AU18">
            <v>729.45175170898438</v>
          </cell>
          <cell r="AW18">
            <v>1629.189771491016</v>
          </cell>
          <cell r="AX18" t="str">
            <v>Emissions amount</v>
          </cell>
          <cell r="AY18">
            <v>2358.6415232000004</v>
          </cell>
          <cell r="BA18">
            <v>2358.6415232000004</v>
          </cell>
          <cell r="BB18" t="str">
            <v>Emissions amount</v>
          </cell>
          <cell r="BC18">
            <v>2358.6415232000004</v>
          </cell>
          <cell r="BE18">
            <v>2358.6415232000004</v>
          </cell>
          <cell r="BF18" t="str">
            <v>Emissions amount</v>
          </cell>
          <cell r="BG18">
            <v>2358.6415232000004</v>
          </cell>
          <cell r="BI18">
            <v>2358.6415232000004</v>
          </cell>
          <cell r="BJ18" t="str">
            <v>Emissions amount</v>
          </cell>
          <cell r="BK18">
            <v>2358.6415232000004</v>
          </cell>
          <cell r="BM18">
            <v>2358.6415232000004</v>
          </cell>
          <cell r="BN18" t="str">
            <v>Emissions amount</v>
          </cell>
          <cell r="BO18">
            <v>2358.6415232000004</v>
          </cell>
          <cell r="BQ18">
            <v>2358.6415232000004</v>
          </cell>
          <cell r="BR18" t="str">
            <v>Emissions amount</v>
          </cell>
          <cell r="BS18">
            <v>1886.9132211980473</v>
          </cell>
          <cell r="BU18">
            <v>1886.9132211980473</v>
          </cell>
          <cell r="BV18" t="str">
            <v>Emissions amount</v>
          </cell>
          <cell r="BW18">
            <v>1651.0490549382816</v>
          </cell>
          <cell r="BY18">
            <v>1651.0490549382816</v>
          </cell>
          <cell r="BZ18" t="str">
            <v>Emissions amount</v>
          </cell>
          <cell r="CA18">
            <v>2358.6415232000004</v>
          </cell>
          <cell r="CC18">
            <v>2358.6415232000004</v>
          </cell>
          <cell r="CD18" t="str">
            <v>Emissions amount</v>
          </cell>
          <cell r="CE18">
            <v>2358.6415232000004</v>
          </cell>
          <cell r="CG18">
            <v>2358.6415232000004</v>
          </cell>
          <cell r="CH18" t="str">
            <v>Abatement amount</v>
          </cell>
          <cell r="CI18">
            <v>471.72830200195313</v>
          </cell>
          <cell r="CK18">
            <v>1886.9132211980473</v>
          </cell>
          <cell r="CL18" t="str">
            <v>Abatement amount</v>
          </cell>
          <cell r="CM18">
            <v>707.59246826171875</v>
          </cell>
          <cell r="CO18">
            <v>1651.0490549382816</v>
          </cell>
          <cell r="CP18" t="str">
            <v>Abatement amount</v>
          </cell>
          <cell r="CQ18">
            <v>707.59246826171875</v>
          </cell>
          <cell r="CS18">
            <v>1651.0490549382816</v>
          </cell>
          <cell r="CT18" t="str">
            <v>Abatement amount</v>
          </cell>
          <cell r="CU18">
            <v>471.72830200195313</v>
          </cell>
          <cell r="CW18">
            <v>1886.9132211980473</v>
          </cell>
          <cell r="CX18" t="str">
            <v>Abatement amount</v>
          </cell>
          <cell r="CY18">
            <v>707.59246826171875</v>
          </cell>
          <cell r="DA18">
            <v>1651.0490549382816</v>
          </cell>
          <cell r="DB18" t="str">
            <v>Abatement amount</v>
          </cell>
          <cell r="DC18">
            <v>707.59246826171875</v>
          </cell>
          <cell r="DE18">
            <v>1651.0490549382816</v>
          </cell>
          <cell r="DF18" t="str">
            <v>Abatement amount</v>
          </cell>
          <cell r="DG18">
            <v>471.72830200195313</v>
          </cell>
          <cell r="DI18">
            <v>1886.9132211980473</v>
          </cell>
          <cell r="DJ18" t="str">
            <v>Emissions amount</v>
          </cell>
          <cell r="DK18">
            <v>2358.6415232000004</v>
          </cell>
          <cell r="DM18">
            <v>2358.6415232000004</v>
          </cell>
          <cell r="DN18" t="str">
            <v>Emissions amount</v>
          </cell>
          <cell r="DO18">
            <v>2358.6415232000004</v>
          </cell>
          <cell r="DQ18">
            <v>2358.6415232000004</v>
          </cell>
          <cell r="DR18" t="str">
            <v>Emissions amount</v>
          </cell>
          <cell r="DS18">
            <v>2358.6415232000004</v>
          </cell>
          <cell r="DU18">
            <v>2358.6415232000004</v>
          </cell>
          <cell r="DV18" t="str">
            <v>Emissions amount</v>
          </cell>
          <cell r="DW18">
            <v>2358.6415232000004</v>
          </cell>
          <cell r="DY18">
            <v>2358.6415232000004</v>
          </cell>
          <cell r="DZ18" t="str">
            <v>Abatement amount</v>
          </cell>
          <cell r="EA18">
            <v>471.72830200195313</v>
          </cell>
          <cell r="EC18">
            <v>1886.9132211980473</v>
          </cell>
          <cell r="ED18" t="str">
            <v>Emissions amount</v>
          </cell>
          <cell r="EE18">
            <v>1651</v>
          </cell>
          <cell r="EG18">
            <v>1651</v>
          </cell>
          <cell r="EH18" t="str">
            <v>Abatement amount</v>
          </cell>
          <cell r="EI18">
            <v>0</v>
          </cell>
          <cell r="EK18">
            <v>2576.0319714766924</v>
          </cell>
          <cell r="EL18" t="str">
            <v>Abatement amount</v>
          </cell>
          <cell r="EM18">
            <v>0</v>
          </cell>
          <cell r="EO18">
            <v>2576.0319714766924</v>
          </cell>
          <cell r="EP18" t="str">
            <v>Abatement amount</v>
          </cell>
          <cell r="EQ18">
            <v>0</v>
          </cell>
          <cell r="ES18">
            <v>2576.0319714766924</v>
          </cell>
          <cell r="ET18" t="str">
            <v>Abatement amount</v>
          </cell>
          <cell r="EU18">
            <v>1199.8335702478137</v>
          </cell>
          <cell r="EW18">
            <v>1376.1984012288788</v>
          </cell>
          <cell r="EX18" t="str">
            <v>Abatement amount</v>
          </cell>
          <cell r="EY18">
            <v>1044.7214245611731</v>
          </cell>
          <cell r="FA18">
            <v>1531.3105469155194</v>
          </cell>
          <cell r="FB18" t="str">
            <v>Abatement amount</v>
          </cell>
          <cell r="FC18">
            <v>518.77411699746517</v>
          </cell>
          <cell r="FE18">
            <v>2057.2578544792273</v>
          </cell>
          <cell r="FF18" t="str">
            <v>Abatement amount</v>
          </cell>
          <cell r="FG18">
            <v>515.2064208984375</v>
          </cell>
          <cell r="FI18">
            <v>2060.8255505782549</v>
          </cell>
          <cell r="FJ18" t="str">
            <v>Abatement amount</v>
          </cell>
          <cell r="FK18">
            <v>772.8095703125</v>
          </cell>
          <cell r="FM18">
            <v>1803.2224011641924</v>
          </cell>
          <cell r="FN18" t="str">
            <v>Abatement amount</v>
          </cell>
          <cell r="FO18">
            <v>0</v>
          </cell>
          <cell r="FQ18">
            <v>2576.0319714766924</v>
          </cell>
          <cell r="FR18" t="str">
            <v>Abatement amount</v>
          </cell>
          <cell r="FS18">
            <v>0</v>
          </cell>
          <cell r="FU18">
            <v>2576.0319714766924</v>
          </cell>
          <cell r="FV18" t="str">
            <v>Abatement amount</v>
          </cell>
          <cell r="FW18">
            <v>515.2064208984375</v>
          </cell>
          <cell r="FY18">
            <v>2060.8255505782549</v>
          </cell>
          <cell r="FZ18" t="str">
            <v>Abatement amount</v>
          </cell>
          <cell r="GA18">
            <v>772.8095703125</v>
          </cell>
          <cell r="GC18">
            <v>1803.2224011641924</v>
          </cell>
          <cell r="GD18" t="str">
            <v>Abatement amount</v>
          </cell>
          <cell r="GE18">
            <v>772.8095703125</v>
          </cell>
          <cell r="GG18">
            <v>1803.2224011641924</v>
          </cell>
          <cell r="GH18" t="str">
            <v>Abatement amount</v>
          </cell>
          <cell r="GI18">
            <v>1541.300537109375</v>
          </cell>
          <cell r="GK18">
            <v>1034.7314343673174</v>
          </cell>
          <cell r="GL18" t="str">
            <v>Abatement amount</v>
          </cell>
          <cell r="GM18">
            <v>1259.5782262829393</v>
          </cell>
          <cell r="GO18">
            <v>1316.4537451937531</v>
          </cell>
          <cell r="GP18" t="str">
            <v>Abatement amount</v>
          </cell>
          <cell r="GQ18">
            <v>538.05640672109212</v>
          </cell>
          <cell r="GS18">
            <v>2037.9755647556003</v>
          </cell>
          <cell r="GT18" t="str">
            <v>Abatement amount</v>
          </cell>
          <cell r="GU18">
            <v>1096.7611626473788</v>
          </cell>
          <cell r="GW18">
            <v>1479.2708088293136</v>
          </cell>
          <cell r="GX18" t="str">
            <v>Abatement amount</v>
          </cell>
          <cell r="GY18">
            <v>0</v>
          </cell>
          <cell r="HA18">
            <v>2576.0319714766924</v>
          </cell>
          <cell r="HB18" t="str">
            <v>Abatement amount</v>
          </cell>
          <cell r="HC18">
            <v>0</v>
          </cell>
          <cell r="HE18">
            <v>2576.0319714766924</v>
          </cell>
          <cell r="HF18" t="str">
            <v>Abatement amount</v>
          </cell>
          <cell r="HG18">
            <v>0</v>
          </cell>
          <cell r="HI18">
            <v>2576.0319714766924</v>
          </cell>
          <cell r="HJ18" t="str">
            <v>Abatement amount</v>
          </cell>
          <cell r="HK18">
            <v>0</v>
          </cell>
          <cell r="HM18">
            <v>2576.0319714766924</v>
          </cell>
          <cell r="HN18" t="str">
            <v>Abatement amount</v>
          </cell>
          <cell r="HO18">
            <v>772.8095703125</v>
          </cell>
          <cell r="HQ18">
            <v>1803.2224011641924</v>
          </cell>
          <cell r="HR18" t="str">
            <v>Abatement amount</v>
          </cell>
          <cell r="HS18">
            <v>515.2064208984375</v>
          </cell>
          <cell r="HU18">
            <v>2060.8255505782549</v>
          </cell>
          <cell r="HV18" t="str">
            <v>Abatement amount</v>
          </cell>
          <cell r="HW18">
            <v>515.2064208984375</v>
          </cell>
          <cell r="HX18" t="str">
            <v>-20% on GLOCAF BAU (2Gt)</v>
          </cell>
          <cell r="HY18">
            <v>2060.8255505782549</v>
          </cell>
          <cell r="HZ18" t="str">
            <v>Abatement amount</v>
          </cell>
          <cell r="IA18">
            <v>0</v>
          </cell>
          <cell r="IB18" t="str">
            <v>GLOCAF BAU</v>
          </cell>
          <cell r="IC18">
            <v>2576.0319714766924</v>
          </cell>
          <cell r="ID18" t="str">
            <v>Abatement amount</v>
          </cell>
          <cell r="IE18">
            <v>0</v>
          </cell>
          <cell r="IF18" t="str">
            <v>GLOCAF BAU</v>
          </cell>
          <cell r="IG18">
            <v>2576.0319714766924</v>
          </cell>
          <cell r="IH18" t="str">
            <v>Abatement amount</v>
          </cell>
          <cell r="II18">
            <v>772.8095703125</v>
          </cell>
          <cell r="IJ18" t="str">
            <v>30% on BAU. See Brazil s/s.  Brazil's 2020 target in their national law is to cut foretry emissions to 517Mt. The high ambition 2030 scenario assumes deforestation emissions reduced by 1/3 between 2020 and 2030 + other emissions peak in 2025. This equates to 31% against GLOCAF BAU incl. LULUCF. Round this off to 30%.</v>
          </cell>
          <cell r="IK18">
            <v>1803.2224011641924</v>
          </cell>
          <cell r="IL18" t="str">
            <v>Abatement amount</v>
          </cell>
          <cell r="IM18">
            <v>0</v>
          </cell>
          <cell r="IN18" t="str">
            <v>GLOCAF BAU</v>
          </cell>
          <cell r="IO18">
            <v>2576.0319714766924</v>
          </cell>
          <cell r="IP18" t="str">
            <v>Abatement amount</v>
          </cell>
          <cell r="IQ18">
            <v>0</v>
          </cell>
          <cell r="IR18" t="str">
            <v>GLOCAF BAU</v>
          </cell>
          <cell r="IS18">
            <v>2576.0319714766924</v>
          </cell>
          <cell r="IT18" t="str">
            <v>Abatement amount</v>
          </cell>
          <cell r="IU18">
            <v>515.2064208984375</v>
          </cell>
          <cell r="IV18" t="str">
            <v>20% on BAU. See Brazil s/s.  Brazil's 2020 target in their national law is to cut foretry emissions to 517Mt. The low ambition 2030 scenario assumes deforestation emissions reduced by 1/3 between 2020 and 2030. This equates to 21% against GLOCAF BAU incl. LULUCF. Round this off to 20%.</v>
          </cell>
          <cell r="IW18">
            <v>2060.8255505782549</v>
          </cell>
          <cell r="IX18" t="str">
            <v>Abatement amount</v>
          </cell>
          <cell r="IY18">
            <v>772.8095703125</v>
          </cell>
          <cell r="IZ18" t="str">
            <v>30% on BAU. See Brazil s/s.  Brazil's 2020 target in their national law is to cut foretry emissions to 517Mt. The high ambition 2030 scenario assumes deforestation emissions reduced by 1/3 between 2020 and 2030 + other emissions peak in 2025. This equates to 31% against GLOCAF BAU incl. LULUCF. Round this off to 30%.</v>
          </cell>
          <cell r="JA18">
            <v>1803.2224011641924</v>
          </cell>
          <cell r="JB18" t="str">
            <v>Abatement amount</v>
          </cell>
          <cell r="JC18">
            <v>0</v>
          </cell>
          <cell r="JD18" t="str">
            <v>GLOCAF BAU</v>
          </cell>
          <cell r="JE18">
            <v>2576.0319714766924</v>
          </cell>
          <cell r="JF18" t="str">
            <v>Abatement amount</v>
          </cell>
          <cell r="JG18">
            <v>0</v>
          </cell>
          <cell r="JH18" t="str">
            <v>GLOCAF BAU</v>
          </cell>
          <cell r="JI18">
            <v>2576.0319714766924</v>
          </cell>
          <cell r="JJ18" t="str">
            <v>Abatement amount</v>
          </cell>
          <cell r="JK18">
            <v>0</v>
          </cell>
          <cell r="JL18" t="str">
            <v>GLOCAF BAU</v>
          </cell>
          <cell r="JM18">
            <v>2576.0319714766924</v>
          </cell>
          <cell r="JN18" t="str">
            <v>Abatement amount</v>
          </cell>
          <cell r="JO18">
            <v>515.2064208984375</v>
          </cell>
          <cell r="JP18" t="str">
            <v>20% on BAU. See Brazil s/s.  Brazil's 2020 target in their national law is to cut foretry emissions to 517Mt. The low ambition 2030 scenario assumes deforestation emissions reduced by 1/3 between 2020 and 2030. This equates to 21% against GLOCAF BAU incl. LULUCF. Round this off to 20%.</v>
          </cell>
          <cell r="JQ18">
            <v>2060.8255505782549</v>
          </cell>
          <cell r="JR18" t="str">
            <v>Abatement amount</v>
          </cell>
          <cell r="JS18">
            <v>772.8095703125</v>
          </cell>
          <cell r="JT18" t="str">
            <v>30% on BAU. See Brazil s/s.  Brazil's 2020 target in their national law is to cut foretry emissions to 517Mt. The high ambition 2030 scenario assumes deforestation emissions reduced by 1/3 between 2020 and 2030 + other emissions peak in 2025. This equates to 31% against GLOCAF BAU incl. LULUCF. Round this off to 30%.</v>
          </cell>
          <cell r="JU18">
            <v>1803.2224011641924</v>
          </cell>
          <cell r="JV18" t="str">
            <v>Abatement amount</v>
          </cell>
          <cell r="JW18">
            <v>0</v>
          </cell>
          <cell r="JX18" t="str">
            <v>GLOCAF BAU</v>
          </cell>
          <cell r="JY18">
            <v>2576.0319714766924</v>
          </cell>
          <cell r="JZ18" t="str">
            <v>Abatement amount</v>
          </cell>
          <cell r="KA18">
            <v>0</v>
          </cell>
          <cell r="KB18" t="str">
            <v>GLOCAF BAU</v>
          </cell>
          <cell r="KC18">
            <v>2576.0319714766924</v>
          </cell>
          <cell r="KD18" t="str">
            <v>Abatement amount</v>
          </cell>
          <cell r="KE18">
            <v>0</v>
          </cell>
          <cell r="KF18" t="str">
            <v>GLOCAF BAU</v>
          </cell>
          <cell r="KG18">
            <v>2576.0319714766924</v>
          </cell>
          <cell r="KH18" t="str">
            <v>Abatement amount</v>
          </cell>
          <cell r="KI18">
            <v>0</v>
          </cell>
          <cell r="KJ18" t="str">
            <v>GLOCAF BAU</v>
          </cell>
          <cell r="KK18">
            <v>2576.0319714766924</v>
          </cell>
          <cell r="KL18" t="str">
            <v>Abatement amount</v>
          </cell>
          <cell r="KM18">
            <v>0</v>
          </cell>
          <cell r="KN18" t="str">
            <v>GLOCAF BAU</v>
          </cell>
          <cell r="KO18">
            <v>2576.0319714766924</v>
          </cell>
          <cell r="KP18" t="str">
            <v>Emissions amount</v>
          </cell>
          <cell r="KQ18">
            <v>1287</v>
          </cell>
          <cell r="KR18" t="str">
            <v>Indicative 43% reduction on 2005. Brazil's target emissions are expressed in AR5 terms. To translate into AR2 terms, we have taken 43% reduction from WRI's 2005 emissions level incl LULUCF</v>
          </cell>
          <cell r="KS18">
            <v>1287</v>
          </cell>
          <cell r="KT18" t="str">
            <v>Emissions amount</v>
          </cell>
          <cell r="KU18">
            <v>1287</v>
          </cell>
          <cell r="KV18" t="str">
            <v>20% on BAU. See Brazil s/s.  Brazil's 2020 target in their national law is to cut foretry emissions to 517Mt. The low ambition 2030 scenario assumes deforestation emissions reduced by 1/3 between 2020 and 2030. This equates to 21% against GLOCAF BAU incl. LULUCF. Round this off to 20%.</v>
          </cell>
          <cell r="KW18">
            <v>1287</v>
          </cell>
          <cell r="KX18" t="str">
            <v>Emissions amount</v>
          </cell>
          <cell r="KY18">
            <v>1287</v>
          </cell>
          <cell r="KZ18" t="str">
            <v>30% on BAU. See Brazil s/s.  Brazil's 2020 target in their national law is to cut foretry emissions to 517Mt. The high ambition 2030 scenario assumes deforestation emissions reduced by 1/3 between 2020 and 2030 + other emissions peak in 2025. This equates to 31% against GLOCAF BAU incl. LULUCF. Round this off to 30%.</v>
          </cell>
          <cell r="LA18">
            <v>1287</v>
          </cell>
          <cell r="LB18" t="str">
            <v>Emissions amount</v>
          </cell>
          <cell r="LC18">
            <v>1287</v>
          </cell>
          <cell r="LD18" t="str">
            <v>Indicative 43% reduction on 2005. Brazil's target emissions are expressed in AR5 terms. To translate into AR2 terms, we have taken 43% reduction from WRI's 2005 emissions level incl LULUCF</v>
          </cell>
          <cell r="LE18">
            <v>1287</v>
          </cell>
          <cell r="LF18" t="str">
            <v>Emissions amount</v>
          </cell>
          <cell r="LG18">
            <v>1287</v>
          </cell>
          <cell r="LH18" t="str">
            <v>GLOCAF BAU</v>
          </cell>
          <cell r="LI18">
            <v>1287</v>
          </cell>
          <cell r="LJ18" t="str">
            <v>Emissions amount</v>
          </cell>
          <cell r="LK18">
            <v>1287</v>
          </cell>
          <cell r="LL18" t="str">
            <v>GLOCAF BAU</v>
          </cell>
          <cell r="LM18">
            <v>1287</v>
          </cell>
          <cell r="LN18" t="str">
            <v>Emissions amount</v>
          </cell>
          <cell r="LO18">
            <v>1287</v>
          </cell>
          <cell r="LP18" t="str">
            <v>GLOCAF BAU</v>
          </cell>
          <cell r="LQ18">
            <v>1287</v>
          </cell>
          <cell r="LR18" t="str">
            <v>Emissions amount</v>
          </cell>
          <cell r="LS18">
            <v>1287</v>
          </cell>
          <cell r="LT18" t="str">
            <v>GLOCAF BAU</v>
          </cell>
          <cell r="LU18">
            <v>1287</v>
          </cell>
          <cell r="LV18" t="str">
            <v>Emissions amount</v>
          </cell>
          <cell r="LW18">
            <v>1287</v>
          </cell>
          <cell r="LX18" t="str">
            <v>GLOCAF BAU</v>
          </cell>
          <cell r="LY18">
            <v>1287</v>
          </cell>
          <cell r="LZ18" t="str">
            <v>Emissions amount</v>
          </cell>
          <cell r="MA18">
            <v>1172</v>
          </cell>
          <cell r="MB18" t="str">
            <v>GLOCAF BAU</v>
          </cell>
          <cell r="MC18">
            <v>1172</v>
          </cell>
          <cell r="MD18" t="str">
            <v>Emissions amount</v>
          </cell>
          <cell r="ME18">
            <v>1172</v>
          </cell>
          <cell r="MF18" t="str">
            <v>GLOCAF BAU</v>
          </cell>
          <cell r="MG18">
            <v>1172</v>
          </cell>
          <cell r="MH18" t="str">
            <v>Emissions amount</v>
          </cell>
          <cell r="MI18">
            <v>1172</v>
          </cell>
          <cell r="MJ18" t="str">
            <v>Target</v>
          </cell>
          <cell r="MK18">
            <v>1172</v>
          </cell>
          <cell r="ML18" t="str">
            <v>Emissions amount</v>
          </cell>
          <cell r="MM18">
            <v>1172</v>
          </cell>
          <cell r="MN18" t="str">
            <v>GLOCAF BAU</v>
          </cell>
          <cell r="MO18">
            <v>1172</v>
          </cell>
          <cell r="MP18" t="str">
            <v>Emissions amount</v>
          </cell>
          <cell r="MQ18">
            <v>1172</v>
          </cell>
          <cell r="MR18" t="str">
            <v>GLOCAF BAU</v>
          </cell>
          <cell r="MS18">
            <v>1172</v>
          </cell>
          <cell r="MT18" t="str">
            <v>Emissions amount</v>
          </cell>
          <cell r="MU18">
            <v>1172</v>
          </cell>
          <cell r="MV18" t="str">
            <v>Target</v>
          </cell>
          <cell r="MW18">
            <v>1172</v>
          </cell>
          <cell r="MX18" t="str">
            <v>Emissions amount</v>
          </cell>
          <cell r="MY18">
            <v>1172</v>
          </cell>
          <cell r="MZ18" t="str">
            <v>GLOCAF BAU</v>
          </cell>
          <cell r="NA18">
            <v>1172</v>
          </cell>
          <cell r="NB18" t="str">
            <v>Emissions amount</v>
          </cell>
          <cell r="NC18">
            <v>1172</v>
          </cell>
          <cell r="ND18" t="str">
            <v>GLOCAF BAU</v>
          </cell>
          <cell r="NE18">
            <v>1172</v>
          </cell>
          <cell r="NF18" t="str">
            <v>Emissions amount</v>
          </cell>
          <cell r="NG18">
            <v>1172</v>
          </cell>
          <cell r="NH18" t="str">
            <v>GLOCAF BAU</v>
          </cell>
          <cell r="NI18">
            <v>1172</v>
          </cell>
          <cell r="NJ18" t="str">
            <v>Emissions amount</v>
          </cell>
          <cell r="NK18">
            <v>1172</v>
          </cell>
          <cell r="NL18" t="str">
            <v>GLOCAF BAU</v>
          </cell>
          <cell r="NM18">
            <v>1172</v>
          </cell>
          <cell r="NN18" t="str">
            <v>Emissions amount</v>
          </cell>
          <cell r="NO18">
            <v>1172</v>
          </cell>
          <cell r="NP18" t="str">
            <v>Brazil's target emissions level given in the INDC is in AR5,  equals to 43% reduction on 2005. To translate this into AR2, we have taken 43% reduction on 2005 from WRI incl LULUCF at 2057Mt, which gives 1172Mt.</v>
          </cell>
          <cell r="NQ18">
            <v>1172</v>
          </cell>
          <cell r="NR18" t="str">
            <v>Emissions amount</v>
          </cell>
          <cell r="NS18">
            <v>1172</v>
          </cell>
          <cell r="NT18" t="str">
            <v>Brazil's target emissions level given in the INDC is in AR5,  equals to 43% reduction on 2005. To translate this into AR2, we have taken 43% reduction on 2005 from WRI incl LULUCF at 2057Mt, which gives 1172Mt.</v>
          </cell>
          <cell r="NU18">
            <v>1172</v>
          </cell>
          <cell r="NV18" t="str">
            <v>Emissions amount</v>
          </cell>
          <cell r="NW18">
            <v>1172</v>
          </cell>
          <cell r="NX18" t="str">
            <v>Brazil's target emissions level given in the INDC is in AR5,  equals to 43% reduction on 2005. To translate this into AR2, we have taken 43% reduction on 2005 from WRI incl LULUCF at 2057Mt, which gives 1172Mt.</v>
          </cell>
          <cell r="NY18">
            <v>1172</v>
          </cell>
          <cell r="NZ18" t="str">
            <v>Emissions amount</v>
          </cell>
          <cell r="OA18">
            <v>1172</v>
          </cell>
          <cell r="OB18" t="str">
            <v>Brazil's target emissions level given in the INDC is in AR5,  equals to 43% reduction on 2005. To translate this into AR2, we have taken 43% reduction on 2005 from WRI incl LULUCF at 2057Mt, which gives 1172Mt.</v>
          </cell>
          <cell r="OC18">
            <v>1172</v>
          </cell>
          <cell r="OD18" t="str">
            <v>Emissions amount</v>
          </cell>
          <cell r="OE18">
            <v>1172</v>
          </cell>
          <cell r="OF18" t="str">
            <v>Target</v>
          </cell>
          <cell r="OG18">
            <v>1172</v>
          </cell>
          <cell r="OH18" t="str">
            <v>Emissions amount</v>
          </cell>
          <cell r="OI18">
            <v>1172</v>
          </cell>
          <cell r="OJ18" t="str">
            <v>Brazil's target emissions level given in the INDC is in AR5,  equals to 43% reduction on 2005. To translate this into AR2, we have taken 43% reduction on 2005 from WRI incl LULUCF at 2057Mt, which gives 1172Mt.</v>
          </cell>
          <cell r="OK18">
            <v>1172</v>
          </cell>
          <cell r="OL18" t="str">
            <v>Emissions amount</v>
          </cell>
          <cell r="OM18">
            <v>1172</v>
          </cell>
          <cell r="ON18" t="str">
            <v>Brazil's target emissions level given in the INDC is in AR5,  equals to 43% reduction on 2005. To translate this into AR2, we have taken 43% reduction on 2005 from WRI incl LULUCF at 2057Mt, which gives 1172Mt.</v>
          </cell>
          <cell r="OO18">
            <v>1172</v>
          </cell>
          <cell r="OP18" t="str">
            <v>Emissions amount</v>
          </cell>
          <cell r="OQ18">
            <v>1172</v>
          </cell>
          <cell r="OR18" t="str">
            <v>Brazil's target emissions level given in the INDC is in AR5,  equals to 43% reduction on 2005. To translate this into AR2, we have taken 43% reduction on 2005 from WRI incl LULUCF at 2057Mt, which gives 1172Mt.</v>
          </cell>
          <cell r="OS18">
            <v>1172</v>
          </cell>
          <cell r="OT18" t="str">
            <v>Emissions amount</v>
          </cell>
          <cell r="OU18">
            <v>1172</v>
          </cell>
          <cell r="OV18" t="str">
            <v>Brazil's target emissions level given in the INDC is in AR5,  equals to 43% reduction on 2005. To translate this into AR2, we have taken 43% reduction on 2005 from WRI incl LULUCF at 2057Mt, which gives 1172Mt.</v>
          </cell>
          <cell r="OW18">
            <v>1172</v>
          </cell>
          <cell r="OX18" t="str">
            <v>Emissions amount</v>
          </cell>
          <cell r="OY18">
            <v>1172</v>
          </cell>
          <cell r="OZ18" t="str">
            <v>Brazil's target emissions level given in the INDC is in AR5,  equals to 43% reduction on 2005. To translate this into AR2, we have taken 43% reduction on 2005 from WRI incl LULUCF at 2057Mt, which gives 1172Mt.</v>
          </cell>
          <cell r="PA18">
            <v>1172</v>
          </cell>
          <cell r="PB18" t="str">
            <v>Emissions amount</v>
          </cell>
          <cell r="PC18">
            <v>1172</v>
          </cell>
          <cell r="PD18" t="str">
            <v>Brazil's target emissions level given in the INDC is in AR5,  equals to 43% reduction on 2005. To translate this into AR2, we have taken 43% reduction on 2005 from WRI incl LULUCF at 2057Mt, which gives 1172Mt.</v>
          </cell>
          <cell r="PE18">
            <v>1172</v>
          </cell>
          <cell r="PF18" t="str">
            <v>Emissions amount</v>
          </cell>
          <cell r="PG18">
            <v>1172</v>
          </cell>
          <cell r="PH18" t="str">
            <v>Brazil's target emissions level given in the INDC is in AR5,  equals to 43% reduction on 2005. To translate this into AR2, we have taken 43% reduction on 2005 from WRI incl LULUCF at 2057Mt, which gives 1172Mt.</v>
          </cell>
          <cell r="PI18">
            <v>1172</v>
          </cell>
          <cell r="PJ18" t="str">
            <v>Emissions amount</v>
          </cell>
          <cell r="PK18">
            <v>1172</v>
          </cell>
          <cell r="PL18" t="str">
            <v>Target</v>
          </cell>
          <cell r="PM18">
            <v>1172</v>
          </cell>
          <cell r="PN18" t="str">
            <v>Emissions amount</v>
          </cell>
          <cell r="PO18">
            <v>1172</v>
          </cell>
          <cell r="PP18" t="str">
            <v>Brazil's target emissions level given in the INDC is in AR5,  equals to 43% reduction on 2005. To translate this into AR2, we have taken 43% reduction on 2005 from WRI incl LULUCF at 2057Mt, which gives 1172Mt.</v>
          </cell>
          <cell r="PQ18">
            <v>1172</v>
          </cell>
          <cell r="PR18" t="str">
            <v>Emissions amount</v>
          </cell>
          <cell r="PS18">
            <v>1172</v>
          </cell>
          <cell r="PT18" t="str">
            <v>Brazil's target emissions level given in the INDC is in AR5,  equals to 43% reduction on 2005. To translate this into AR2, we have taken 43% reduction on 2005 from WRI incl LULUCF at 2057Mt, which gives 1172Mt.</v>
          </cell>
          <cell r="PU18">
            <v>1172</v>
          </cell>
          <cell r="PV18" t="str">
            <v>Emissions amount</v>
          </cell>
          <cell r="PW18">
            <v>1172</v>
          </cell>
          <cell r="PX18" t="str">
            <v>Brazil's target emissions level given in the INDC is in AR5,  equals to 43% reduction on 2005. To translate this into AR2, we have taken 43% reduction on 2005 from WRI incl LULUCF at 2057Mt, which gives 1172Mt.</v>
          </cell>
          <cell r="PY18">
            <v>1172</v>
          </cell>
          <cell r="PZ18" t="str">
            <v>Emissions amount</v>
          </cell>
          <cell r="QA18">
            <v>1172</v>
          </cell>
          <cell r="QB18" t="str">
            <v>Brazil's target emissions level given in the INDC is in AR5,  equals to 43% reduction on 2005. To translate this into AR2, we have taken 43% reduction on 2005 from WRI incl LULUCF at 2057Mt, which gives 1172Mt.</v>
          </cell>
          <cell r="QC18">
            <v>1172</v>
          </cell>
          <cell r="QD18" t="str">
            <v>Emissions amount</v>
          </cell>
          <cell r="QE18">
            <v>1172</v>
          </cell>
          <cell r="QF18" t="str">
            <v>Target</v>
          </cell>
          <cell r="QG18">
            <v>1172</v>
          </cell>
          <cell r="QH18" t="str">
            <v>Emissions amount</v>
          </cell>
          <cell r="QI18">
            <v>1172</v>
          </cell>
          <cell r="QJ18" t="str">
            <v>Brazil's target emissions level given in the INDC is in AR5,  equals to 43% reduction on 2005. To translate this into AR2, we have taken 43% reduction on 2005 from WRI incl LULUCF at 2057Mt, which gives 1172Mt.</v>
          </cell>
          <cell r="QK18">
            <v>1172</v>
          </cell>
          <cell r="QL18" t="str">
            <v>Emissions amount</v>
          </cell>
          <cell r="QM18">
            <v>1172</v>
          </cell>
          <cell r="QN18" t="str">
            <v>Brazil's target emissions level given in the INDC is in AR5,  equals to 43% reduction on 2005. To translate this into AR2, we have taken 43% reduction on 2005 from WRI incl LULUCF at 2057Mt, which gives 1172Mt.</v>
          </cell>
          <cell r="QO18">
            <v>1172</v>
          </cell>
          <cell r="QP18" t="str">
            <v>Emissions amount</v>
          </cell>
          <cell r="QQ18">
            <v>1172</v>
          </cell>
          <cell r="QR18" t="str">
            <v>Brazil's target emissions level given in the INDC is in AR5,  equals to 43% reduction on 2005. To translate this into AR2, we have taken 43% reduction on 2005 from WRI incl LULUCF at 2057Mt, which gives 1172Mt.</v>
          </cell>
          <cell r="QS18">
            <v>1172</v>
          </cell>
          <cell r="QT18" t="str">
            <v>Emissions amount</v>
          </cell>
          <cell r="QU18">
            <v>1172</v>
          </cell>
          <cell r="QV18" t="str">
            <v>Brazil's target emissions level given in the INDC is in AR5,  equals to 43% reduction on 2005. To translate this into AR2, we have taken 43% reduction on 2005 from WRI incl LULUCF at 2057Mt, which gives 1172Mt.</v>
          </cell>
          <cell r="QW18">
            <v>1172</v>
          </cell>
          <cell r="QX18" t="str">
            <v>Emissions amount</v>
          </cell>
          <cell r="QY18">
            <v>1172</v>
          </cell>
          <cell r="QZ18" t="str">
            <v>Target</v>
          </cell>
          <cell r="RA18">
            <v>1172</v>
          </cell>
          <cell r="RB18" t="str">
            <v>Emissions amount</v>
          </cell>
          <cell r="RC18">
            <v>1172</v>
          </cell>
          <cell r="RD18" t="str">
            <v>Brazil's target emissions level given in the INDC is in AR5,  equals to 43% reduction on 2005. To translate this into AR2, we have taken 43% reduction on 2005 from WRI incl LULUCF at 2057Mt, which gives 1172Mt.</v>
          </cell>
          <cell r="RE18">
            <v>1172</v>
          </cell>
          <cell r="RF18" t="str">
            <v>Emissions amount</v>
          </cell>
          <cell r="RG18">
            <v>1172</v>
          </cell>
          <cell r="RH18" t="str">
            <v>Brazil's target emissions level given in the INDC is in AR5,  equals to 43% reduction on 2005. To translate this into AR2, we have taken 43% reduction on 2005 from WRI incl LULUCF at 2057Mt, which gives 1172Mt.</v>
          </cell>
          <cell r="RI18">
            <v>1172</v>
          </cell>
          <cell r="RJ18" t="str">
            <v>Emissions amount</v>
          </cell>
          <cell r="RK18">
            <v>1172</v>
          </cell>
          <cell r="RL18" t="str">
            <v>Brazil's target emissions level given in the INDC is in AR5,  equals to 43% reduction on 2005. To translate this into AR2, we have taken 43% reduction on 2005 from WRI incl LULUCF at 2057Mt, which gives 1172Mt.</v>
          </cell>
          <cell r="RM18">
            <v>1172</v>
          </cell>
          <cell r="RN18" t="str">
            <v>Emissions amount</v>
          </cell>
          <cell r="RO18">
            <v>1172</v>
          </cell>
          <cell r="RP18" t="str">
            <v>Brazil's target emissions level given in the INDC is in AR5,  equals to 43% reduction on 2005. To translate this into AR2, we have taken 43% reduction on 2005 from WRI incl LULUCF at 2057Mt, which gives 1172Mt.</v>
          </cell>
          <cell r="RQ18">
            <v>1172</v>
          </cell>
          <cell r="RR18" t="str">
            <v>Emissions amount</v>
          </cell>
          <cell r="RS18">
            <v>1172</v>
          </cell>
          <cell r="RT18" t="str">
            <v>Brazil's target emissions level given in the INDC is in AR5,  equals to 43% reduction on 2005. To translate this into AR2, we have taken 43% reduction on 2005 from WRI incl LULUCF at 2057Mt, which gives 1172Mt.</v>
          </cell>
          <cell r="RU18">
            <v>1172</v>
          </cell>
        </row>
        <row r="19">
          <cell r="A19" t="str">
            <v>South Africa</v>
          </cell>
          <cell r="B19" t="str">
            <v>Abatement amount</v>
          </cell>
          <cell r="C19">
            <v>288.36300227924175</v>
          </cell>
          <cell r="D19">
            <v>0</v>
          </cell>
          <cell r="E19">
            <v>351.32729157724509</v>
          </cell>
          <cell r="F19" t="str">
            <v>Abatement amount</v>
          </cell>
          <cell r="G19">
            <v>144.17131073418938</v>
          </cell>
          <cell r="I19">
            <v>495.51898312229747</v>
          </cell>
          <cell r="J19" t="str">
            <v>Abatement amount</v>
          </cell>
          <cell r="K19">
            <v>63.969028472900391</v>
          </cell>
          <cell r="M19">
            <v>575.72126538358646</v>
          </cell>
          <cell r="N19" t="str">
            <v>Abatement amount</v>
          </cell>
          <cell r="O19">
            <v>63.969028472900391</v>
          </cell>
          <cell r="Q19">
            <v>575.72126538358646</v>
          </cell>
          <cell r="R19" t="str">
            <v>Abatement amount</v>
          </cell>
          <cell r="S19">
            <v>127.93805694580078</v>
          </cell>
          <cell r="U19">
            <v>511.75223691068607</v>
          </cell>
          <cell r="V19" t="str">
            <v>Abatement amount</v>
          </cell>
          <cell r="W19">
            <v>127.93805694580078</v>
          </cell>
          <cell r="Y19">
            <v>511.75223691068607</v>
          </cell>
          <cell r="Z19" t="str">
            <v>Abatement amount</v>
          </cell>
          <cell r="AA19">
            <v>245.81381225585938</v>
          </cell>
          <cell r="AC19">
            <v>393.87648160062747</v>
          </cell>
          <cell r="AD19" t="str">
            <v>Abatement amount</v>
          </cell>
          <cell r="AE19">
            <v>138.3453369140625</v>
          </cell>
          <cell r="AG19">
            <v>501.34495694242435</v>
          </cell>
          <cell r="AH19" t="str">
            <v>Abatement amount</v>
          </cell>
          <cell r="AI19">
            <v>63.969028472900391</v>
          </cell>
          <cell r="AK19">
            <v>575.72126538358646</v>
          </cell>
          <cell r="AL19" t="str">
            <v>Abatement amount</v>
          </cell>
          <cell r="AM19">
            <v>63.969028472900391</v>
          </cell>
          <cell r="AO19">
            <v>575.72126538358646</v>
          </cell>
          <cell r="AP19" t="str">
            <v>Abatement amount</v>
          </cell>
          <cell r="AQ19">
            <v>127.93805694580078</v>
          </cell>
          <cell r="AS19">
            <v>511.75223691068607</v>
          </cell>
          <cell r="AT19" t="str">
            <v>Abatement amount</v>
          </cell>
          <cell r="AU19">
            <v>127.93805694580078</v>
          </cell>
          <cell r="AW19">
            <v>511.75223691068607</v>
          </cell>
          <cell r="AX19" t="str">
            <v>Emissions amount</v>
          </cell>
          <cell r="AY19">
            <v>639.69029385648685</v>
          </cell>
          <cell r="BA19">
            <v>639.69029385648685</v>
          </cell>
          <cell r="BB19" t="str">
            <v>Emissions amount</v>
          </cell>
          <cell r="BC19">
            <v>639.69029385648685</v>
          </cell>
          <cell r="BE19">
            <v>639.69029385648685</v>
          </cell>
          <cell r="BF19" t="str">
            <v>Emissions amount</v>
          </cell>
          <cell r="BG19">
            <v>639.69029385648685</v>
          </cell>
          <cell r="BI19">
            <v>639.69029385648685</v>
          </cell>
          <cell r="BJ19" t="str">
            <v>Emissions amount</v>
          </cell>
          <cell r="BK19">
            <v>639.69029385648685</v>
          </cell>
          <cell r="BM19">
            <v>639.69029385648685</v>
          </cell>
          <cell r="BN19" t="str">
            <v>Emissions amount</v>
          </cell>
          <cell r="BO19">
            <v>639.69029385648685</v>
          </cell>
          <cell r="BQ19">
            <v>639.69029385648685</v>
          </cell>
          <cell r="BR19" t="str">
            <v>Emissions amount</v>
          </cell>
          <cell r="BS19">
            <v>575.72126538358646</v>
          </cell>
          <cell r="BU19">
            <v>575.72126538358646</v>
          </cell>
          <cell r="BV19" t="str">
            <v>Emissions amount</v>
          </cell>
          <cell r="BW19">
            <v>511.75223691068607</v>
          </cell>
          <cell r="BY19">
            <v>511.75223691068607</v>
          </cell>
          <cell r="BZ19" t="str">
            <v>Emissions amount</v>
          </cell>
          <cell r="CA19">
            <v>639.69029385648685</v>
          </cell>
          <cell r="CC19">
            <v>639.69029385648685</v>
          </cell>
          <cell r="CD19" t="str">
            <v>Emissions amount</v>
          </cell>
          <cell r="CE19">
            <v>639.69029385648685</v>
          </cell>
          <cell r="CG19">
            <v>639.69029385648685</v>
          </cell>
          <cell r="CH19" t="str">
            <v>Abatement amount</v>
          </cell>
          <cell r="CI19">
            <v>63.969028472900391</v>
          </cell>
          <cell r="CK19">
            <v>575.72126538358646</v>
          </cell>
          <cell r="CL19" t="str">
            <v>Abatement amount</v>
          </cell>
          <cell r="CM19">
            <v>127.93805694580078</v>
          </cell>
          <cell r="CO19">
            <v>511.75223691068607</v>
          </cell>
          <cell r="CP19" t="str">
            <v>Abatement amount</v>
          </cell>
          <cell r="CQ19">
            <v>127.93805694580078</v>
          </cell>
          <cell r="CS19">
            <v>511.75223691068607</v>
          </cell>
          <cell r="CT19" t="str">
            <v>Abatement amount</v>
          </cell>
          <cell r="CU19">
            <v>63.969028472900391</v>
          </cell>
          <cell r="CW19">
            <v>575.72126538358646</v>
          </cell>
          <cell r="CX19" t="str">
            <v>Abatement amount</v>
          </cell>
          <cell r="CY19">
            <v>127.93805694580078</v>
          </cell>
          <cell r="DA19">
            <v>511.75223691068607</v>
          </cell>
          <cell r="DB19" t="str">
            <v>Abatement amount</v>
          </cell>
          <cell r="DC19">
            <v>127.93805694580078</v>
          </cell>
          <cell r="DE19">
            <v>511.75223691068607</v>
          </cell>
          <cell r="DF19" t="str">
            <v>Abatement amount</v>
          </cell>
          <cell r="DG19">
            <v>63.969028472900391</v>
          </cell>
          <cell r="DI19">
            <v>575.72126538358646</v>
          </cell>
          <cell r="DJ19" t="str">
            <v>Emissions amount</v>
          </cell>
          <cell r="DK19">
            <v>639.69029385648685</v>
          </cell>
          <cell r="DM19">
            <v>639.69029385648685</v>
          </cell>
          <cell r="DN19" t="str">
            <v>Emissions amount</v>
          </cell>
          <cell r="DO19">
            <v>639.69029385648685</v>
          </cell>
          <cell r="DQ19">
            <v>639.69029385648685</v>
          </cell>
          <cell r="DR19" t="str">
            <v>Emissions amount</v>
          </cell>
          <cell r="DS19">
            <v>639.69029385648685</v>
          </cell>
          <cell r="DU19">
            <v>639.69029385648685</v>
          </cell>
          <cell r="DV19" t="str">
            <v>Emissions amount</v>
          </cell>
          <cell r="DW19">
            <v>639.69029385648685</v>
          </cell>
          <cell r="DY19">
            <v>639.69029385648685</v>
          </cell>
          <cell r="DZ19" t="str">
            <v>Abatement amount</v>
          </cell>
          <cell r="EA19">
            <v>63.969028472900391</v>
          </cell>
          <cell r="EC19">
            <v>575.72126538358646</v>
          </cell>
          <cell r="ED19" t="str">
            <v>Emissions amount</v>
          </cell>
          <cell r="EE19">
            <v>512</v>
          </cell>
          <cell r="EG19">
            <v>512</v>
          </cell>
          <cell r="EH19" t="str">
            <v>Abatement amount</v>
          </cell>
          <cell r="EI19">
            <v>0</v>
          </cell>
          <cell r="EK19">
            <v>626.97530099171172</v>
          </cell>
          <cell r="EL19" t="str">
            <v>Abatement amount</v>
          </cell>
          <cell r="EM19">
            <v>0</v>
          </cell>
          <cell r="EO19">
            <v>626.97530099171172</v>
          </cell>
          <cell r="EP19" t="str">
            <v>Abatement amount</v>
          </cell>
          <cell r="EQ19">
            <v>0</v>
          </cell>
          <cell r="ES19">
            <v>626.97530099171172</v>
          </cell>
          <cell r="ET19" t="str">
            <v>Abatement amount</v>
          </cell>
          <cell r="EU19">
            <v>253.17636342332307</v>
          </cell>
          <cell r="EW19">
            <v>373.79893756838862</v>
          </cell>
          <cell r="EX19" t="str">
            <v>Abatement amount</v>
          </cell>
          <cell r="EY19">
            <v>190.28859894582078</v>
          </cell>
          <cell r="FA19">
            <v>436.68670204589091</v>
          </cell>
          <cell r="FB19" t="str">
            <v>Abatement amount</v>
          </cell>
          <cell r="FC19">
            <v>143.19365972215974</v>
          </cell>
          <cell r="FE19">
            <v>483.78164126955198</v>
          </cell>
          <cell r="FF19" t="str">
            <v>Abatement amount</v>
          </cell>
          <cell r="FG19">
            <v>0</v>
          </cell>
          <cell r="FI19">
            <v>626.97530099171172</v>
          </cell>
          <cell r="FJ19" t="str">
            <v>Abatement amount</v>
          </cell>
          <cell r="FK19">
            <v>12.975300788879395</v>
          </cell>
          <cell r="FM19">
            <v>614.00000020283233</v>
          </cell>
          <cell r="FN19" t="str">
            <v>Abatement amount</v>
          </cell>
          <cell r="FO19">
            <v>0</v>
          </cell>
          <cell r="FQ19">
            <v>626.97530099171172</v>
          </cell>
          <cell r="FR19" t="str">
            <v>Abatement amount</v>
          </cell>
          <cell r="FS19">
            <v>0</v>
          </cell>
          <cell r="FU19">
            <v>626.97530099171172</v>
          </cell>
          <cell r="FV19" t="str">
            <v>Abatement amount</v>
          </cell>
          <cell r="FW19">
            <v>0</v>
          </cell>
          <cell r="FY19">
            <v>626.97530099171172</v>
          </cell>
          <cell r="FZ19" t="str">
            <v>Abatement amount</v>
          </cell>
          <cell r="GA19">
            <v>12.975300788879395</v>
          </cell>
          <cell r="GC19">
            <v>614.00000020283233</v>
          </cell>
          <cell r="GD19" t="str">
            <v>Abatement amount</v>
          </cell>
          <cell r="GE19">
            <v>12.975300788879395</v>
          </cell>
          <cell r="GG19">
            <v>614.00000020283233</v>
          </cell>
          <cell r="GH19" t="str">
            <v>Abatement amount</v>
          </cell>
          <cell r="GI19">
            <v>186.67353820800781</v>
          </cell>
          <cell r="GK19">
            <v>440.30176278370391</v>
          </cell>
          <cell r="GL19" t="str">
            <v>Abatement amount</v>
          </cell>
          <cell r="GM19">
            <v>265.78305748825602</v>
          </cell>
          <cell r="GO19">
            <v>361.1922435034557</v>
          </cell>
          <cell r="GP19" t="str">
            <v>Abatement amount</v>
          </cell>
          <cell r="GQ19">
            <v>148.51601784081396</v>
          </cell>
          <cell r="GS19">
            <v>478.45928315089776</v>
          </cell>
          <cell r="GT19" t="str">
            <v>Abatement amount</v>
          </cell>
          <cell r="GU19">
            <v>199.76726820360022</v>
          </cell>
          <cell r="GW19">
            <v>427.2080327881115</v>
          </cell>
          <cell r="GX19" t="str">
            <v>Abatement amount</v>
          </cell>
          <cell r="GY19">
            <v>0</v>
          </cell>
          <cell r="HA19">
            <v>626.97530099171172</v>
          </cell>
          <cell r="HB19" t="str">
            <v>Abatement amount</v>
          </cell>
          <cell r="HC19">
            <v>0</v>
          </cell>
          <cell r="HE19">
            <v>626.97530099171172</v>
          </cell>
          <cell r="HF19" t="str">
            <v>Abatement amount</v>
          </cell>
          <cell r="HG19">
            <v>0</v>
          </cell>
          <cell r="HI19">
            <v>626.97530099171172</v>
          </cell>
          <cell r="HJ19" t="str">
            <v>Abatement amount</v>
          </cell>
          <cell r="HK19">
            <v>0</v>
          </cell>
          <cell r="HM19">
            <v>626.97530099171172</v>
          </cell>
          <cell r="HN19" t="str">
            <v>Abatement amount</v>
          </cell>
          <cell r="HO19">
            <v>12.975300788879395</v>
          </cell>
          <cell r="HQ19">
            <v>614.00000020283233</v>
          </cell>
          <cell r="HR19" t="str">
            <v>Abatement amount</v>
          </cell>
          <cell r="HS19">
            <v>0</v>
          </cell>
          <cell r="HU19">
            <v>626.97530099171172</v>
          </cell>
          <cell r="HV19" t="str">
            <v>Abatement amount</v>
          </cell>
          <cell r="HW19">
            <v>0</v>
          </cell>
          <cell r="HX19" t="str">
            <v xml:space="preserve">0% on GLOCAF BAU.  </v>
          </cell>
          <cell r="HY19">
            <v>626.97530099171172</v>
          </cell>
          <cell r="HZ19" t="str">
            <v>Abatement amount</v>
          </cell>
          <cell r="IA19">
            <v>0</v>
          </cell>
          <cell r="IB19" t="str">
            <v>GLOCAF BAU</v>
          </cell>
          <cell r="IC19">
            <v>626.97530099171172</v>
          </cell>
          <cell r="ID19" t="str">
            <v>Abatement amount</v>
          </cell>
          <cell r="IE19">
            <v>0</v>
          </cell>
          <cell r="IF19" t="str">
            <v>GLOCAF BAU</v>
          </cell>
          <cell r="IG19">
            <v>626.97530099171172</v>
          </cell>
          <cell r="IH19" t="str">
            <v>Abatement amount</v>
          </cell>
          <cell r="II19">
            <v>12.975300788879395</v>
          </cell>
          <cell r="IJ19" t="str">
            <v>Top end of the Peak, Plateau and Decline Greenhouse Gas Emission Trajectory scenarios developed under the LTMS study, equivalent to 75% reduction on the WEM (With Existing Measure) reference case at 614Mt.</v>
          </cell>
          <cell r="IK19">
            <v>614.00000020283233</v>
          </cell>
          <cell r="IL19" t="str">
            <v>Abatement amount</v>
          </cell>
          <cell r="IM19">
            <v>0</v>
          </cell>
          <cell r="IN19" t="str">
            <v>GLOCAF BAU</v>
          </cell>
          <cell r="IO19">
            <v>626.97530099171172</v>
          </cell>
          <cell r="IP19" t="str">
            <v>Abatement amount</v>
          </cell>
          <cell r="IQ19">
            <v>0</v>
          </cell>
          <cell r="IR19" t="str">
            <v>GLOCAF BAU</v>
          </cell>
          <cell r="IS19">
            <v>626.97530099171172</v>
          </cell>
          <cell r="IT19" t="str">
            <v>Emissions amount</v>
          </cell>
          <cell r="IU19">
            <v>614</v>
          </cell>
          <cell r="IV19" t="str">
            <v>Top end of the INDC target</v>
          </cell>
          <cell r="IW19">
            <v>614</v>
          </cell>
          <cell r="IX19" t="str">
            <v>Emissions amount</v>
          </cell>
          <cell r="IY19">
            <v>463</v>
          </cell>
          <cell r="IZ19" t="str">
            <v>2012 emissions from WRI</v>
          </cell>
          <cell r="JA19">
            <v>463</v>
          </cell>
          <cell r="JB19" t="str">
            <v>Abatement amount</v>
          </cell>
          <cell r="JC19">
            <v>0</v>
          </cell>
          <cell r="JD19" t="str">
            <v>GLOCAF BAU</v>
          </cell>
          <cell r="JE19">
            <v>626.97530099171172</v>
          </cell>
          <cell r="JF19" t="str">
            <v>Abatement amount</v>
          </cell>
          <cell r="JG19">
            <v>0</v>
          </cell>
          <cell r="JH19" t="str">
            <v>GLOCAF BAU</v>
          </cell>
          <cell r="JI19">
            <v>626.97530099171172</v>
          </cell>
          <cell r="JJ19" t="str">
            <v>Abatement amount</v>
          </cell>
          <cell r="JK19">
            <v>0</v>
          </cell>
          <cell r="JL19" t="str">
            <v>GLOCAF BAU</v>
          </cell>
          <cell r="JM19">
            <v>626.97530099171172</v>
          </cell>
          <cell r="JN19" t="str">
            <v>Emissions amount</v>
          </cell>
          <cell r="JO19">
            <v>614</v>
          </cell>
          <cell r="JP19" t="str">
            <v>Top end of the INDC target</v>
          </cell>
          <cell r="JQ19">
            <v>614</v>
          </cell>
          <cell r="JR19" t="str">
            <v>Emissions amount</v>
          </cell>
          <cell r="JS19">
            <v>463</v>
          </cell>
          <cell r="JT19" t="str">
            <v>2012 emissions from WRI</v>
          </cell>
          <cell r="JU19">
            <v>463</v>
          </cell>
          <cell r="JV19" t="str">
            <v>Abatement amount</v>
          </cell>
          <cell r="JW19">
            <v>0</v>
          </cell>
          <cell r="JX19" t="str">
            <v>GLOCAF BAU</v>
          </cell>
          <cell r="JY19">
            <v>626.97530099171172</v>
          </cell>
          <cell r="JZ19" t="str">
            <v>Abatement amount</v>
          </cell>
          <cell r="KA19">
            <v>0</v>
          </cell>
          <cell r="KB19" t="str">
            <v>GLOCAF BAU</v>
          </cell>
          <cell r="KC19">
            <v>626.97530099171172</v>
          </cell>
          <cell r="KD19" t="str">
            <v>Abatement amount</v>
          </cell>
          <cell r="KE19">
            <v>0</v>
          </cell>
          <cell r="KF19" t="str">
            <v>GLOCAF BAU</v>
          </cell>
          <cell r="KG19">
            <v>626.97530099171172</v>
          </cell>
          <cell r="KH19" t="str">
            <v>Abatement amount</v>
          </cell>
          <cell r="KI19">
            <v>0</v>
          </cell>
          <cell r="KJ19" t="str">
            <v>GLOCAF BAU</v>
          </cell>
          <cell r="KK19">
            <v>626.97530099171172</v>
          </cell>
          <cell r="KL19" t="str">
            <v>Abatement amount</v>
          </cell>
          <cell r="KM19">
            <v>0</v>
          </cell>
          <cell r="KN19" t="str">
            <v>GLOCAF BAU</v>
          </cell>
          <cell r="KO19">
            <v>626.97530099171172</v>
          </cell>
          <cell r="KP19" t="str">
            <v>Emissions amount</v>
          </cell>
          <cell r="KQ19">
            <v>614</v>
          </cell>
          <cell r="KR19" t="str">
            <v>Lower ambitious end of target (614Mt)</v>
          </cell>
          <cell r="KS19">
            <v>614</v>
          </cell>
          <cell r="KT19" t="str">
            <v>Emissions amount</v>
          </cell>
          <cell r="KU19">
            <v>614</v>
          </cell>
          <cell r="KV19" t="str">
            <v>Top end of the INDC target</v>
          </cell>
          <cell r="KW19">
            <v>614</v>
          </cell>
          <cell r="KX19" t="str">
            <v>Emissions amount</v>
          </cell>
          <cell r="KY19">
            <v>463</v>
          </cell>
          <cell r="KZ19" t="str">
            <v>2012 emissions from WRI</v>
          </cell>
          <cell r="LA19">
            <v>463</v>
          </cell>
          <cell r="LB19" t="str">
            <v>Emissions amount</v>
          </cell>
          <cell r="LC19">
            <v>614</v>
          </cell>
          <cell r="LD19" t="str">
            <v>Lower ambitious end of the INDC range</v>
          </cell>
          <cell r="LE19">
            <v>614</v>
          </cell>
          <cell r="LF19" t="str">
            <v>Emissions amount</v>
          </cell>
          <cell r="LG19">
            <v>614</v>
          </cell>
          <cell r="LH19" t="str">
            <v>GLOCAF BAU</v>
          </cell>
          <cell r="LI19">
            <v>614</v>
          </cell>
          <cell r="LJ19" t="str">
            <v>Emissions amount</v>
          </cell>
          <cell r="LK19">
            <v>614</v>
          </cell>
          <cell r="LL19" t="str">
            <v>GLOCAF BAU</v>
          </cell>
          <cell r="LM19">
            <v>614</v>
          </cell>
          <cell r="LN19" t="str">
            <v>Emissions amount</v>
          </cell>
          <cell r="LO19">
            <v>614</v>
          </cell>
          <cell r="LP19" t="str">
            <v>GLOCAF BAU</v>
          </cell>
          <cell r="LQ19">
            <v>614</v>
          </cell>
          <cell r="LR19" t="str">
            <v>Emissions amount</v>
          </cell>
          <cell r="LS19">
            <v>398</v>
          </cell>
          <cell r="LT19" t="str">
            <v>GLOCAF BAU</v>
          </cell>
          <cell r="LU19">
            <v>398</v>
          </cell>
          <cell r="LV19" t="str">
            <v>Emissions amount</v>
          </cell>
          <cell r="LW19">
            <v>398</v>
          </cell>
          <cell r="LX19" t="str">
            <v>GLOCAF BAU</v>
          </cell>
          <cell r="LY19">
            <v>398</v>
          </cell>
          <cell r="LZ19" t="str">
            <v>Emissions amount</v>
          </cell>
          <cell r="MA19">
            <v>614</v>
          </cell>
          <cell r="MB19" t="str">
            <v>GLOCAF BAU</v>
          </cell>
          <cell r="MC19">
            <v>614</v>
          </cell>
          <cell r="MD19" t="str">
            <v>Emissions amount</v>
          </cell>
          <cell r="ME19">
            <v>398</v>
          </cell>
          <cell r="MF19" t="str">
            <v>GLOCAF BAU</v>
          </cell>
          <cell r="MG19">
            <v>398</v>
          </cell>
          <cell r="MH19" t="str">
            <v>Emissions amount</v>
          </cell>
          <cell r="MI19">
            <v>398</v>
          </cell>
          <cell r="MJ19" t="str">
            <v>Lower end of the PPD</v>
          </cell>
          <cell r="MK19">
            <v>398</v>
          </cell>
          <cell r="ML19" t="str">
            <v>Emissions amount</v>
          </cell>
          <cell r="MM19">
            <v>614</v>
          </cell>
          <cell r="MN19" t="str">
            <v>GLOCAF BAU</v>
          </cell>
          <cell r="MO19">
            <v>614</v>
          </cell>
          <cell r="MP19" t="str">
            <v>Emissions amount</v>
          </cell>
          <cell r="MQ19">
            <v>398</v>
          </cell>
          <cell r="MR19" t="str">
            <v>GLOCAF BAU</v>
          </cell>
          <cell r="MS19">
            <v>398</v>
          </cell>
          <cell r="MT19" t="str">
            <v>Emissions amount</v>
          </cell>
          <cell r="MU19">
            <v>398</v>
          </cell>
          <cell r="MV19" t="str">
            <v>Lower end of the PPD</v>
          </cell>
          <cell r="MW19">
            <v>398</v>
          </cell>
          <cell r="MX19" t="str">
            <v>Emissions amount</v>
          </cell>
          <cell r="MY19">
            <v>614</v>
          </cell>
          <cell r="MZ19" t="str">
            <v>GLOCAF BAU</v>
          </cell>
          <cell r="NA19">
            <v>614</v>
          </cell>
          <cell r="NB19" t="str">
            <v>Emissions amount</v>
          </cell>
          <cell r="NC19">
            <v>398</v>
          </cell>
          <cell r="ND19" t="str">
            <v>GLOCAF BAU</v>
          </cell>
          <cell r="NE19">
            <v>398</v>
          </cell>
          <cell r="NF19" t="str">
            <v>Emissions amount</v>
          </cell>
          <cell r="NG19">
            <v>614</v>
          </cell>
          <cell r="NH19" t="str">
            <v>GLOCAF BAU</v>
          </cell>
          <cell r="NI19">
            <v>614</v>
          </cell>
          <cell r="NJ19" t="str">
            <v>Emissions amount</v>
          </cell>
          <cell r="NK19">
            <v>614</v>
          </cell>
          <cell r="NL19" t="str">
            <v>GLOCAF BAU</v>
          </cell>
          <cell r="NM19">
            <v>614</v>
          </cell>
          <cell r="NN19" t="str">
            <v>Emissions amount</v>
          </cell>
          <cell r="NO19">
            <v>614</v>
          </cell>
          <cell r="NP19" t="str">
            <v>Upper end of South Africa's target emissions level at 614Mt by 2030. Target exclude LULUCF</v>
          </cell>
          <cell r="NQ19">
            <v>614</v>
          </cell>
          <cell r="NR19" t="str">
            <v>Emissions amount</v>
          </cell>
          <cell r="NS19">
            <v>398</v>
          </cell>
          <cell r="NT19" t="str">
            <v>Lower end of South Africa's target emissions level at 398Mt by 2030. Target excludes LULUCF</v>
          </cell>
          <cell r="NU19">
            <v>398</v>
          </cell>
          <cell r="NV19" t="str">
            <v>Emissions amount</v>
          </cell>
          <cell r="NW19">
            <v>614</v>
          </cell>
          <cell r="NX19" t="str">
            <v>Upper end of South Africa's target emissions level at 614Mt by 2030. Target exclude LULUCF</v>
          </cell>
          <cell r="NY19">
            <v>614</v>
          </cell>
          <cell r="NZ19" t="str">
            <v>Emissions amount</v>
          </cell>
          <cell r="OA19">
            <v>398</v>
          </cell>
          <cell r="OB19" t="str">
            <v>Lower end of South Africa's target emissions level at 398Mt by 2030. Target excludes LULUCF</v>
          </cell>
          <cell r="OC19">
            <v>398</v>
          </cell>
          <cell r="OD19" t="str">
            <v>Emissions amount</v>
          </cell>
          <cell r="OE19">
            <v>398</v>
          </cell>
          <cell r="OF19" t="str">
            <v>Lower end of the PPD</v>
          </cell>
          <cell r="OG19">
            <v>398</v>
          </cell>
          <cell r="OH19" t="str">
            <v>Emissions amount</v>
          </cell>
          <cell r="OI19">
            <v>614</v>
          </cell>
          <cell r="OJ19" t="str">
            <v>Upper end of South Africa's target emissions level at 614Mt by 2030. Target exclude LULUCF</v>
          </cell>
          <cell r="OK19">
            <v>614</v>
          </cell>
          <cell r="OL19" t="str">
            <v>Emissions amount</v>
          </cell>
          <cell r="OM19">
            <v>398</v>
          </cell>
          <cell r="ON19" t="str">
            <v>Lower end of South Africa's target emissions level at 398Mt by 2030. Target excludes LULUCF</v>
          </cell>
          <cell r="OO19">
            <v>398</v>
          </cell>
          <cell r="OP19" t="str">
            <v>Emissions amount</v>
          </cell>
          <cell r="OQ19">
            <v>614</v>
          </cell>
          <cell r="OR19" t="str">
            <v>Upper end of South Africa's target emissions level at 614Mt by 2030. Target exclude LULUCF</v>
          </cell>
          <cell r="OS19">
            <v>614</v>
          </cell>
          <cell r="OT19" t="str">
            <v>Emissions amount</v>
          </cell>
          <cell r="OU19">
            <v>398</v>
          </cell>
          <cell r="OV19" t="str">
            <v>Lower end of South Africa's target emissions level at 398Mt by 2030. Target excludes LULUCF</v>
          </cell>
          <cell r="OW19">
            <v>398</v>
          </cell>
          <cell r="OX19" t="str">
            <v>Emissions amount</v>
          </cell>
          <cell r="OY19">
            <v>614</v>
          </cell>
          <cell r="OZ19" t="str">
            <v>Upper end of South Africa's target emissions level at 614Mt by 2030. Target exclude LULUCF</v>
          </cell>
          <cell r="PA19">
            <v>614</v>
          </cell>
          <cell r="PB19" t="str">
            <v>Emissions amount</v>
          </cell>
          <cell r="PC19">
            <v>614</v>
          </cell>
          <cell r="PD19" t="str">
            <v>Upper end of South Africa's target emissions level at 614Mt by 2030. Target exclude LULUCF</v>
          </cell>
          <cell r="PE19">
            <v>614</v>
          </cell>
          <cell r="PF19" t="str">
            <v>Emissions amount</v>
          </cell>
          <cell r="PG19">
            <v>398</v>
          </cell>
          <cell r="PH19" t="str">
            <v>Lower end of South Africa's target emissions level at 398Mt by 2030. Target excludes LULUCF</v>
          </cell>
          <cell r="PI19">
            <v>398</v>
          </cell>
          <cell r="PJ19" t="str">
            <v>Emissions amount</v>
          </cell>
          <cell r="PK19">
            <v>398</v>
          </cell>
          <cell r="PL19" t="str">
            <v>Lower end of the PPD</v>
          </cell>
          <cell r="PM19">
            <v>398</v>
          </cell>
          <cell r="PN19" t="str">
            <v>Emissions amount</v>
          </cell>
          <cell r="PO19">
            <v>614</v>
          </cell>
          <cell r="PP19" t="str">
            <v>Upper end of South Africa's target emissions level at 614Mt by 2030. Target exclude LULUCF</v>
          </cell>
          <cell r="PQ19">
            <v>614</v>
          </cell>
          <cell r="PR19" t="str">
            <v>Emissions amount</v>
          </cell>
          <cell r="PS19">
            <v>398</v>
          </cell>
          <cell r="PT19" t="str">
            <v>Lower end of South Africa's target emissions level at 398Mt by 2030. Target excludes LULUCF</v>
          </cell>
          <cell r="PU19">
            <v>398</v>
          </cell>
          <cell r="PV19" t="str">
            <v>Emissions amount</v>
          </cell>
          <cell r="PW19">
            <v>614</v>
          </cell>
          <cell r="PX19" t="str">
            <v>Upper end of South Africa's target emissions level at 614Mt by 2030. Target exclude LULUCF</v>
          </cell>
          <cell r="PY19">
            <v>614</v>
          </cell>
          <cell r="PZ19" t="str">
            <v>Emissions amount</v>
          </cell>
          <cell r="QA19">
            <v>398</v>
          </cell>
          <cell r="QB19" t="str">
            <v>Lower end of South Africa's target emissions level at 398Mt by 2030. Target excludes LULUCF</v>
          </cell>
          <cell r="QC19">
            <v>398</v>
          </cell>
          <cell r="QD19" t="str">
            <v>Emissions amount</v>
          </cell>
          <cell r="QE19">
            <v>398</v>
          </cell>
          <cell r="QF19" t="str">
            <v>Lower end of the PPD</v>
          </cell>
          <cell r="QG19">
            <v>398</v>
          </cell>
          <cell r="QH19" t="str">
            <v>Emissions amount</v>
          </cell>
          <cell r="QI19">
            <v>398</v>
          </cell>
          <cell r="QJ19" t="str">
            <v>Lower end of South Africa's target emissions level at 398Mt by 2030. Target excludes LULUCF</v>
          </cell>
          <cell r="QK19">
            <v>398</v>
          </cell>
          <cell r="QL19" t="str">
            <v>Emissions amount</v>
          </cell>
          <cell r="QM19">
            <v>398</v>
          </cell>
          <cell r="QN19" t="str">
            <v>Lower end of South Africa's target emissions level at 398Mt by 2030. Target excludes LULUCF</v>
          </cell>
          <cell r="QO19">
            <v>398</v>
          </cell>
          <cell r="QP19" t="str">
            <v>Emissions amount</v>
          </cell>
          <cell r="QQ19">
            <v>614</v>
          </cell>
          <cell r="QR19" t="str">
            <v>Upper end of South Africa's target emissions level at 614Mt by 2030. Target exclude LULUCF</v>
          </cell>
          <cell r="QS19">
            <v>614</v>
          </cell>
          <cell r="QT19" t="str">
            <v>Emissions amount</v>
          </cell>
          <cell r="QU19">
            <v>398</v>
          </cell>
          <cell r="QV19" t="str">
            <v>Lower end of South Africa's target emissions level at 398Mt by 2030. Target excludes LULUCF</v>
          </cell>
          <cell r="QW19">
            <v>398</v>
          </cell>
          <cell r="QX19" t="str">
            <v>Emissions amount</v>
          </cell>
          <cell r="QY19">
            <v>398</v>
          </cell>
          <cell r="QZ19" t="str">
            <v>Lower end of the PPD</v>
          </cell>
          <cell r="RA19">
            <v>398</v>
          </cell>
          <cell r="RB19" t="str">
            <v>Emissions amount</v>
          </cell>
          <cell r="RC19">
            <v>614</v>
          </cell>
          <cell r="RD19" t="str">
            <v>Upper end of South Africa's target emissions level at 614Mt by 2030. Target excludes LULUCF</v>
          </cell>
          <cell r="RE19">
            <v>614</v>
          </cell>
          <cell r="RF19" t="str">
            <v>Emissions amount</v>
          </cell>
          <cell r="RG19">
            <v>398</v>
          </cell>
          <cell r="RH19" t="str">
            <v>Lower end of South Africa's target emissions level at 398Mt by 2030. Target excludes LULUCF</v>
          </cell>
          <cell r="RI19">
            <v>398</v>
          </cell>
          <cell r="RJ19" t="str">
            <v>Emissions amount</v>
          </cell>
          <cell r="RK19">
            <v>614</v>
          </cell>
          <cell r="RL19" t="str">
            <v>Upper end of South Africa's target emissions level at 614Mt by 2030. Target exclude LULUCF</v>
          </cell>
          <cell r="RM19">
            <v>614</v>
          </cell>
          <cell r="RN19" t="str">
            <v>Emissions amount</v>
          </cell>
          <cell r="RO19">
            <v>398</v>
          </cell>
          <cell r="RP19" t="str">
            <v>Lower end of South Africa's target emissions level at 398Mt by 2030. Target excludes LULUCF</v>
          </cell>
          <cell r="RQ19">
            <v>398</v>
          </cell>
          <cell r="RR19" t="str">
            <v>Emissions amount</v>
          </cell>
          <cell r="RS19">
            <v>398</v>
          </cell>
          <cell r="RT19" t="str">
            <v>Lower end of the PPD</v>
          </cell>
          <cell r="RU19">
            <v>398</v>
          </cell>
        </row>
        <row r="20">
          <cell r="A20" t="str">
            <v>India</v>
          </cell>
          <cell r="B20" t="str">
            <v>Abatement amount</v>
          </cell>
          <cell r="C20">
            <v>1584.7423751938913</v>
          </cell>
          <cell r="D20">
            <v>0</v>
          </cell>
          <cell r="E20">
            <v>3711.8882198727752</v>
          </cell>
          <cell r="F20" t="str">
            <v>Abatement amount</v>
          </cell>
          <cell r="G20">
            <v>593.50586332529929</v>
          </cell>
          <cell r="I20">
            <v>4703.1247317413672</v>
          </cell>
          <cell r="J20" t="str">
            <v>Abatement amount</v>
          </cell>
          <cell r="K20">
            <v>0</v>
          </cell>
          <cell r="M20">
            <v>5296.6305950666665</v>
          </cell>
          <cell r="N20" t="str">
            <v>Abatement amount</v>
          </cell>
          <cell r="O20">
            <v>0</v>
          </cell>
          <cell r="Q20">
            <v>5296.6305950666665</v>
          </cell>
          <cell r="R20" t="str">
            <v>Abatement amount</v>
          </cell>
          <cell r="S20">
            <v>529.6630859375</v>
          </cell>
          <cell r="U20">
            <v>4766.9675091291665</v>
          </cell>
          <cell r="V20" t="str">
            <v>Abatement amount</v>
          </cell>
          <cell r="W20">
            <v>794.49456787109375</v>
          </cell>
          <cell r="Y20">
            <v>4502.1360271955728</v>
          </cell>
          <cell r="Z20" t="str">
            <v>Abatement amount</v>
          </cell>
          <cell r="AA20">
            <v>1687.1195068359375</v>
          </cell>
          <cell r="AC20">
            <v>3609.511088230729</v>
          </cell>
          <cell r="AD20" t="str">
            <v>Abatement amount</v>
          </cell>
          <cell r="AE20">
            <v>569.522216796875</v>
          </cell>
          <cell r="AG20">
            <v>4727.1083782697915</v>
          </cell>
          <cell r="AH20" t="str">
            <v>Abatement amount</v>
          </cell>
          <cell r="AI20">
            <v>0</v>
          </cell>
          <cell r="AK20">
            <v>5296.6305950666665</v>
          </cell>
          <cell r="AL20" t="str">
            <v>Abatement amount</v>
          </cell>
          <cell r="AM20">
            <v>0</v>
          </cell>
          <cell r="AO20">
            <v>5296.6305950666665</v>
          </cell>
          <cell r="AP20" t="str">
            <v>Abatement amount</v>
          </cell>
          <cell r="AQ20">
            <v>529.6630859375</v>
          </cell>
          <cell r="AS20">
            <v>4766.9675091291665</v>
          </cell>
          <cell r="AT20" t="str">
            <v>Abatement amount</v>
          </cell>
          <cell r="AU20">
            <v>794.49456787109375</v>
          </cell>
          <cell r="AW20">
            <v>4502.1360271955728</v>
          </cell>
          <cell r="AX20" t="str">
            <v>Emissions amount</v>
          </cell>
          <cell r="AY20">
            <v>5296.6305950666665</v>
          </cell>
          <cell r="BA20">
            <v>5296.6305950666665</v>
          </cell>
          <cell r="BB20" t="str">
            <v>Emissions amount</v>
          </cell>
          <cell r="BC20">
            <v>5296.6305950666665</v>
          </cell>
          <cell r="BE20">
            <v>5296.6305950666665</v>
          </cell>
          <cell r="BF20" t="str">
            <v>Emissions amount</v>
          </cell>
          <cell r="BG20">
            <v>5296.6305950666665</v>
          </cell>
          <cell r="BI20">
            <v>5296.6305950666665</v>
          </cell>
          <cell r="BJ20" t="str">
            <v>Emissions amount</v>
          </cell>
          <cell r="BK20">
            <v>5296.6305950666665</v>
          </cell>
          <cell r="BM20">
            <v>5296.6305950666665</v>
          </cell>
          <cell r="BN20" t="str">
            <v>Emissions amount</v>
          </cell>
          <cell r="BO20">
            <v>5296.6305950666665</v>
          </cell>
          <cell r="BQ20">
            <v>5296.6305950666665</v>
          </cell>
          <cell r="BR20" t="str">
            <v>Emissions amount</v>
          </cell>
          <cell r="BS20">
            <v>5296.6305950666665</v>
          </cell>
          <cell r="BU20">
            <v>5296.6305950666665</v>
          </cell>
          <cell r="BV20" t="str">
            <v>Emissions amount</v>
          </cell>
          <cell r="BW20">
            <v>4766.9675091291665</v>
          </cell>
          <cell r="BY20">
            <v>4766.9675091291665</v>
          </cell>
          <cell r="BZ20" t="str">
            <v>Emissions amount</v>
          </cell>
          <cell r="CA20">
            <v>5296.6305950666665</v>
          </cell>
          <cell r="CC20">
            <v>5296.6305950666665</v>
          </cell>
          <cell r="CD20" t="str">
            <v>Emissions amount</v>
          </cell>
          <cell r="CE20">
            <v>5296.6305950666665</v>
          </cell>
          <cell r="CG20">
            <v>5296.6305950666665</v>
          </cell>
          <cell r="CH20" t="str">
            <v>Abatement amount</v>
          </cell>
          <cell r="CI20">
            <v>0</v>
          </cell>
          <cell r="CK20">
            <v>5296.6305950666665</v>
          </cell>
          <cell r="CL20" t="str">
            <v>Abatement amount</v>
          </cell>
          <cell r="CM20">
            <v>529.6630859375</v>
          </cell>
          <cell r="CO20">
            <v>4766.9675091291665</v>
          </cell>
          <cell r="CP20" t="str">
            <v>Abatement amount</v>
          </cell>
          <cell r="CQ20">
            <v>529.6630859375</v>
          </cell>
          <cell r="CS20">
            <v>4766.9675091291665</v>
          </cell>
          <cell r="CT20" t="str">
            <v>Abatement amount</v>
          </cell>
          <cell r="CU20">
            <v>0</v>
          </cell>
          <cell r="CW20">
            <v>5296.6305950666665</v>
          </cell>
          <cell r="CX20" t="str">
            <v>Abatement amount</v>
          </cell>
          <cell r="CY20">
            <v>529.6630859375</v>
          </cell>
          <cell r="DA20">
            <v>4766.9675091291665</v>
          </cell>
          <cell r="DB20" t="str">
            <v>Abatement amount</v>
          </cell>
          <cell r="DC20">
            <v>529.6630859375</v>
          </cell>
          <cell r="DE20">
            <v>4766.9675091291665</v>
          </cell>
          <cell r="DF20" t="str">
            <v>Abatement amount</v>
          </cell>
          <cell r="DG20">
            <v>0</v>
          </cell>
          <cell r="DI20">
            <v>5296.6305950666665</v>
          </cell>
          <cell r="DJ20" t="str">
            <v>Emissions amount</v>
          </cell>
          <cell r="DK20">
            <v>5296.6305950666665</v>
          </cell>
          <cell r="DM20">
            <v>5296.6305950666665</v>
          </cell>
          <cell r="DN20" t="str">
            <v>Emissions amount</v>
          </cell>
          <cell r="DO20">
            <v>5296.6305950666665</v>
          </cell>
          <cell r="DQ20">
            <v>5296.6305950666665</v>
          </cell>
          <cell r="DR20" t="str">
            <v>Emissions amount</v>
          </cell>
          <cell r="DS20">
            <v>5296.6305950666665</v>
          </cell>
          <cell r="DU20">
            <v>5296.6305950666665</v>
          </cell>
          <cell r="DV20" t="str">
            <v>Emissions amount</v>
          </cell>
          <cell r="DW20">
            <v>5296.6305950666665</v>
          </cell>
          <cell r="DY20">
            <v>5296.6305950666665</v>
          </cell>
          <cell r="DZ20" t="str">
            <v>Abatement amount</v>
          </cell>
          <cell r="EA20">
            <v>0</v>
          </cell>
          <cell r="EC20">
            <v>5296.6305950666665</v>
          </cell>
          <cell r="ED20" t="str">
            <v>Emissions amount</v>
          </cell>
          <cell r="EE20">
            <v>4767</v>
          </cell>
          <cell r="EG20">
            <v>4767</v>
          </cell>
          <cell r="EH20" t="str">
            <v>Abatement amount</v>
          </cell>
          <cell r="EI20">
            <v>0</v>
          </cell>
          <cell r="EK20">
            <v>5476.8489626578121</v>
          </cell>
          <cell r="EL20" t="str">
            <v>Abatement amount</v>
          </cell>
          <cell r="EM20">
            <v>0</v>
          </cell>
          <cell r="EO20">
            <v>5476.8489626578121</v>
          </cell>
          <cell r="EP20" t="str">
            <v>Abatement amount</v>
          </cell>
          <cell r="EQ20">
            <v>0</v>
          </cell>
          <cell r="ES20">
            <v>5476.8489626578121</v>
          </cell>
          <cell r="ET20" t="str">
            <v>Abatement amount</v>
          </cell>
          <cell r="EU20">
            <v>1596.1778986557906</v>
          </cell>
          <cell r="EW20">
            <v>3880.6710640020215</v>
          </cell>
          <cell r="EX20" t="str">
            <v>Abatement amount</v>
          </cell>
          <cell r="EY20">
            <v>1114.879395247201</v>
          </cell>
          <cell r="FA20">
            <v>4361.9695674106115</v>
          </cell>
          <cell r="FB20" t="str">
            <v>Abatement amount</v>
          </cell>
          <cell r="FC20">
            <v>599.7111948583339</v>
          </cell>
          <cell r="FE20">
            <v>4877.1377677994778</v>
          </cell>
          <cell r="FF20" t="str">
            <v>Abatement amount</v>
          </cell>
          <cell r="FG20">
            <v>0</v>
          </cell>
          <cell r="FI20">
            <v>5476.8489626578121</v>
          </cell>
          <cell r="FJ20" t="str">
            <v>Abatement amount</v>
          </cell>
          <cell r="FK20">
            <v>821.52734375</v>
          </cell>
          <cell r="FM20">
            <v>4655.3216189078121</v>
          </cell>
          <cell r="FN20" t="str">
            <v>Abatement amount</v>
          </cell>
          <cell r="FO20">
            <v>0</v>
          </cell>
          <cell r="FQ20">
            <v>5476.8489626578121</v>
          </cell>
          <cell r="FR20" t="str">
            <v>Abatement amount</v>
          </cell>
          <cell r="FS20">
            <v>0</v>
          </cell>
          <cell r="FU20">
            <v>5476.8489626578121</v>
          </cell>
          <cell r="FV20" t="str">
            <v>Abatement amount</v>
          </cell>
          <cell r="FW20">
            <v>0</v>
          </cell>
          <cell r="FY20">
            <v>5476.8489626578121</v>
          </cell>
          <cell r="FZ20" t="str">
            <v>Abatement amount</v>
          </cell>
          <cell r="GA20">
            <v>821.52734375</v>
          </cell>
          <cell r="GC20">
            <v>4655.3216189078121</v>
          </cell>
          <cell r="GD20" t="str">
            <v>Abatement amount</v>
          </cell>
          <cell r="GE20">
            <v>821.52734375</v>
          </cell>
          <cell r="GG20">
            <v>4655.3216189078121</v>
          </cell>
          <cell r="GH20" t="str">
            <v>Abatement amount</v>
          </cell>
          <cell r="GI20">
            <v>1671.01513671875</v>
          </cell>
          <cell r="GK20">
            <v>3805.8338259390621</v>
          </cell>
          <cell r="GL20" t="str">
            <v>Abatement amount</v>
          </cell>
          <cell r="GM20">
            <v>1675.6581714959343</v>
          </cell>
          <cell r="GO20">
            <v>3801.1907911618778</v>
          </cell>
          <cell r="GP20" t="str">
            <v>Abatement amount</v>
          </cell>
          <cell r="GQ20">
            <v>622.00183086131983</v>
          </cell>
          <cell r="GS20">
            <v>4854.8471317964922</v>
          </cell>
          <cell r="GT20" t="str">
            <v>Abatement amount</v>
          </cell>
          <cell r="GU20">
            <v>1170.4138471713031</v>
          </cell>
          <cell r="GW20">
            <v>4306.4351154865089</v>
          </cell>
          <cell r="GX20" t="str">
            <v>Abatement amount</v>
          </cell>
          <cell r="GY20">
            <v>0</v>
          </cell>
          <cell r="HA20">
            <v>5476.8489626578121</v>
          </cell>
          <cell r="HB20" t="str">
            <v>Abatement amount</v>
          </cell>
          <cell r="HC20">
            <v>0</v>
          </cell>
          <cell r="HE20">
            <v>5476.8489626578121</v>
          </cell>
          <cell r="HF20" t="str">
            <v>Abatement amount</v>
          </cell>
          <cell r="HG20">
            <v>0</v>
          </cell>
          <cell r="HI20">
            <v>5476.8489626578121</v>
          </cell>
          <cell r="HJ20" t="str">
            <v>Abatement amount</v>
          </cell>
          <cell r="HK20">
            <v>0</v>
          </cell>
          <cell r="HM20">
            <v>5476.8489626578121</v>
          </cell>
          <cell r="HN20" t="str">
            <v>Abatement amount</v>
          </cell>
          <cell r="HO20">
            <v>821.52734375</v>
          </cell>
          <cell r="HQ20">
            <v>4655.3216189078121</v>
          </cell>
          <cell r="HR20" t="str">
            <v>Abatement amount</v>
          </cell>
          <cell r="HS20">
            <v>0</v>
          </cell>
          <cell r="HU20">
            <v>5476.8489626578121</v>
          </cell>
          <cell r="HV20" t="str">
            <v>Abatement amount</v>
          </cell>
          <cell r="HW20">
            <v>0</v>
          </cell>
          <cell r="HX20" t="str">
            <v>0% on GLOCAF BAU (5.4Gt)</v>
          </cell>
          <cell r="HY20">
            <v>5476.8489626578121</v>
          </cell>
          <cell r="HZ20" t="str">
            <v>Abatement amount</v>
          </cell>
          <cell r="IA20">
            <v>0</v>
          </cell>
          <cell r="IB20" t="str">
            <v>GLOCAF BAU</v>
          </cell>
          <cell r="IC20">
            <v>5476.8489626578121</v>
          </cell>
          <cell r="ID20" t="str">
            <v>Abatement amount</v>
          </cell>
          <cell r="IE20">
            <v>0</v>
          </cell>
          <cell r="IF20" t="str">
            <v>GLOCAF BAU</v>
          </cell>
          <cell r="IG20">
            <v>5476.8489626578121</v>
          </cell>
          <cell r="IH20" t="str">
            <v>Emissions amount</v>
          </cell>
          <cell r="II20">
            <v>4826</v>
          </cell>
          <cell r="IJ20" t="str">
            <v>45% improvement in carbon intensity on 2005. Covers all CO2 emissions.</v>
          </cell>
          <cell r="IK20">
            <v>4826</v>
          </cell>
          <cell r="IL20" t="str">
            <v>Abatement amount</v>
          </cell>
          <cell r="IM20">
            <v>0</v>
          </cell>
          <cell r="IN20" t="str">
            <v>GLOCAF BAU</v>
          </cell>
          <cell r="IO20">
            <v>5476.8489626578121</v>
          </cell>
          <cell r="IP20" t="str">
            <v>Abatement amount</v>
          </cell>
          <cell r="IQ20">
            <v>0</v>
          </cell>
          <cell r="IR20" t="str">
            <v>GLOCAF BAU</v>
          </cell>
          <cell r="IS20">
            <v>5476.8489626578121</v>
          </cell>
          <cell r="IT20" t="str">
            <v>Emissions amount</v>
          </cell>
          <cell r="IU20">
            <v>5472</v>
          </cell>
          <cell r="IV20" t="str">
            <v>35% improvement in carbon intensity on 2005. Covers all CO2 emissions.</v>
          </cell>
          <cell r="IW20">
            <v>5472</v>
          </cell>
          <cell r="IX20" t="str">
            <v>Emissions amount</v>
          </cell>
          <cell r="IY20">
            <v>4826</v>
          </cell>
          <cell r="IZ20" t="str">
            <v>45% improvement in carbon intensity on 2005. Covers all CO2 emissions. Baseline figure taken from WRI</v>
          </cell>
          <cell r="JA20">
            <v>4826</v>
          </cell>
          <cell r="JB20" t="str">
            <v>Abatement amount</v>
          </cell>
          <cell r="JC20">
            <v>0</v>
          </cell>
          <cell r="JD20" t="str">
            <v>GLOCAF BAU</v>
          </cell>
          <cell r="JE20">
            <v>5476.8489626578121</v>
          </cell>
          <cell r="JF20" t="str">
            <v>Abatement amount</v>
          </cell>
          <cell r="JG20">
            <v>0</v>
          </cell>
          <cell r="JH20" t="str">
            <v>GLOCAF BAU</v>
          </cell>
          <cell r="JI20">
            <v>5476.8489626578121</v>
          </cell>
          <cell r="JJ20" t="str">
            <v>Abatement amount</v>
          </cell>
          <cell r="JK20">
            <v>0</v>
          </cell>
          <cell r="JL20" t="str">
            <v>GLOCAF BAU</v>
          </cell>
          <cell r="JM20">
            <v>5476.8489626578121</v>
          </cell>
          <cell r="JN20" t="str">
            <v>Emissions amount</v>
          </cell>
          <cell r="JO20">
            <v>5472</v>
          </cell>
          <cell r="JP20" t="str">
            <v>35% improvement in carbon intensity on 2005. Covers all CO2 emissions.</v>
          </cell>
          <cell r="JQ20">
            <v>5472</v>
          </cell>
          <cell r="JR20" t="str">
            <v>Emissions amount</v>
          </cell>
          <cell r="JS20">
            <v>4826</v>
          </cell>
          <cell r="JT20" t="str">
            <v>45% improvement in carbon intensity on 2005. Covers all CO2 emissions. Baseline figure taken from WRI</v>
          </cell>
          <cell r="JU20">
            <v>4826</v>
          </cell>
          <cell r="JV20" t="str">
            <v>Abatement amount</v>
          </cell>
          <cell r="JW20">
            <v>0</v>
          </cell>
          <cell r="JX20" t="str">
            <v>GLOCAF BAU</v>
          </cell>
          <cell r="JY20">
            <v>5476.8489626578121</v>
          </cell>
          <cell r="JZ20" t="str">
            <v>Abatement amount</v>
          </cell>
          <cell r="KA20">
            <v>0</v>
          </cell>
          <cell r="KB20" t="str">
            <v>GLOCAF BAU</v>
          </cell>
          <cell r="KC20">
            <v>5476.8489626578121</v>
          </cell>
          <cell r="KD20" t="str">
            <v>Abatement amount</v>
          </cell>
          <cell r="KE20">
            <v>0</v>
          </cell>
          <cell r="KF20" t="str">
            <v>GLOCAF BAU</v>
          </cell>
          <cell r="KG20">
            <v>5476.8489626578121</v>
          </cell>
          <cell r="KH20" t="str">
            <v>Abatement amount</v>
          </cell>
          <cell r="KI20">
            <v>0</v>
          </cell>
          <cell r="KJ20" t="str">
            <v>GLOCAF BAU</v>
          </cell>
          <cell r="KK20">
            <v>5476.8489626578121</v>
          </cell>
          <cell r="KL20" t="str">
            <v>Abatement amount</v>
          </cell>
          <cell r="KM20">
            <v>0</v>
          </cell>
          <cell r="KN20" t="str">
            <v>GLOCAF BAU</v>
          </cell>
          <cell r="KO20">
            <v>5476.8489626578121</v>
          </cell>
          <cell r="KP20" t="str">
            <v>Abatement amount</v>
          </cell>
          <cell r="KQ20">
            <v>0</v>
          </cell>
          <cell r="KR20" t="str">
            <v>GLOCAF BAU</v>
          </cell>
          <cell r="KS20">
            <v>5476.8489626578121</v>
          </cell>
          <cell r="KT20" t="str">
            <v>Emissions amount</v>
          </cell>
          <cell r="KU20">
            <v>5472</v>
          </cell>
          <cell r="KV20" t="str">
            <v>35% improvement in carbon intensity on 2005. Covers all CO2 emissions.</v>
          </cell>
          <cell r="KW20">
            <v>5472</v>
          </cell>
          <cell r="KX20" t="str">
            <v>Emissions amount</v>
          </cell>
          <cell r="KY20">
            <v>4826</v>
          </cell>
          <cell r="KZ20" t="str">
            <v>45% improvement in carbon intensity on 2005. Covers all CO2 emissions. Baseline figure taken from WRI</v>
          </cell>
          <cell r="LA20">
            <v>4826</v>
          </cell>
          <cell r="LB20" t="str">
            <v>Abatement amount</v>
          </cell>
          <cell r="LC20">
            <v>0</v>
          </cell>
          <cell r="LD20" t="str">
            <v>GLOCAF BAU</v>
          </cell>
          <cell r="LE20">
            <v>5476.8489626578121</v>
          </cell>
          <cell r="LF20" t="str">
            <v>Emissions amount</v>
          </cell>
          <cell r="LG20">
            <v>9283</v>
          </cell>
          <cell r="LH20" t="str">
            <v>GLOCAF BAU</v>
          </cell>
          <cell r="LI20">
            <v>9283</v>
          </cell>
          <cell r="LJ20" t="str">
            <v>Emissions amount</v>
          </cell>
          <cell r="LK20">
            <v>9283</v>
          </cell>
          <cell r="LL20" t="str">
            <v>GLOCAF BAU</v>
          </cell>
          <cell r="LM20">
            <v>9283</v>
          </cell>
          <cell r="LN20" t="str">
            <v>Emissions amount</v>
          </cell>
          <cell r="LO20">
            <v>9283</v>
          </cell>
          <cell r="LP20" t="str">
            <v>GLOCAF BAU</v>
          </cell>
          <cell r="LQ20">
            <v>9283</v>
          </cell>
          <cell r="LR20" t="str">
            <v>Emissions amount</v>
          </cell>
          <cell r="LS20">
            <v>6507</v>
          </cell>
          <cell r="LT20" t="str">
            <v>GLOCAF BAU</v>
          </cell>
          <cell r="LU20">
            <v>6507</v>
          </cell>
          <cell r="LV20" t="str">
            <v>Emissions amount</v>
          </cell>
          <cell r="LW20">
            <v>6507</v>
          </cell>
          <cell r="LX20" t="str">
            <v>GLOCAF BAU</v>
          </cell>
          <cell r="LY20">
            <v>6507</v>
          </cell>
          <cell r="LZ20" t="str">
            <v>Emissions amount</v>
          </cell>
          <cell r="MA20">
            <v>9283</v>
          </cell>
          <cell r="MB20" t="str">
            <v>GLOCAF BAU</v>
          </cell>
          <cell r="MC20">
            <v>9283</v>
          </cell>
          <cell r="MD20" t="str">
            <v>Emissions amount</v>
          </cell>
          <cell r="ME20">
            <v>6507</v>
          </cell>
          <cell r="MF20" t="str">
            <v>GLOCAF BAU</v>
          </cell>
          <cell r="MG20">
            <v>6507</v>
          </cell>
          <cell r="MH20" t="str">
            <v>Emissions amount</v>
          </cell>
          <cell r="MI20">
            <v>6507</v>
          </cell>
          <cell r="MJ20" t="str">
            <v>GLOCAF BAU</v>
          </cell>
          <cell r="MK20">
            <v>6507</v>
          </cell>
          <cell r="ML20" t="str">
            <v>Emissions amount</v>
          </cell>
          <cell r="MM20">
            <v>9283</v>
          </cell>
          <cell r="MN20" t="str">
            <v>GLOCAF BAU</v>
          </cell>
          <cell r="MO20">
            <v>9283</v>
          </cell>
          <cell r="MP20" t="str">
            <v>Emissions amount</v>
          </cell>
          <cell r="MQ20">
            <v>6507</v>
          </cell>
          <cell r="MR20" t="str">
            <v>GLOCAF BAU</v>
          </cell>
          <cell r="MS20">
            <v>6507</v>
          </cell>
          <cell r="MT20" t="str">
            <v>Emissions amount</v>
          </cell>
          <cell r="MU20">
            <v>6507</v>
          </cell>
          <cell r="MV20" t="str">
            <v>GLOCAF BAU</v>
          </cell>
          <cell r="MW20">
            <v>6507</v>
          </cell>
          <cell r="MX20" t="str">
            <v>Abatement amount</v>
          </cell>
          <cell r="MY20">
            <v>0</v>
          </cell>
          <cell r="MZ20" t="str">
            <v>GLOCAF BAU</v>
          </cell>
          <cell r="NA20">
            <v>5476.8489626578121</v>
          </cell>
          <cell r="NB20" t="str">
            <v>Abatement amount</v>
          </cell>
          <cell r="NC20">
            <v>0</v>
          </cell>
          <cell r="ND20" t="str">
            <v>GLOCAF BAU</v>
          </cell>
          <cell r="NE20">
            <v>5476.8489626578121</v>
          </cell>
          <cell r="NF20" t="str">
            <v>Emissions amount</v>
          </cell>
          <cell r="NG20">
            <v>6708</v>
          </cell>
          <cell r="NH20" t="str">
            <v>33% emissions intensity improvement on 2005. 2005 baseline figures come from WRI, incl LULUCF</v>
          </cell>
          <cell r="NI20">
            <v>6708</v>
          </cell>
          <cell r="NJ20" t="str">
            <v>Emissions amount</v>
          </cell>
          <cell r="NK20">
            <v>6708</v>
          </cell>
          <cell r="NL20" t="str">
            <v>India 33% GHG intensity improvement from 2005. 2005 baseline figure come from WRI, incl. LULUCF.</v>
          </cell>
          <cell r="NM20">
            <v>6708</v>
          </cell>
          <cell r="NN20" t="str">
            <v>Emissions amount</v>
          </cell>
          <cell r="NO20">
            <v>6708</v>
          </cell>
          <cell r="NP20" t="str">
            <v xml:space="preserve">33% emissions intensity improvement on 2005. 2005 baseline figures come from WRI, incl LULUCF at 1914Mt. GDP projections taken from IMF/OECD, with average annual growth of 6.8% between 2005 and 2030. </v>
          </cell>
          <cell r="NQ20">
            <v>6708</v>
          </cell>
          <cell r="NR20" t="str">
            <v>Emissions amount</v>
          </cell>
          <cell r="NS20">
            <v>6507</v>
          </cell>
          <cell r="NT20" t="str">
            <v xml:space="preserve">35% emissions intensity improvement on 2005. 2005 baseline figures come from WRI, incl LULUCF at 1914Mt. GDP projections taken from IMF/OECD, with average annual growth of 6.8% between 2005 and 2030. </v>
          </cell>
          <cell r="NU20">
            <v>6507</v>
          </cell>
          <cell r="NV20" t="str">
            <v>Emissions amount</v>
          </cell>
          <cell r="NW20">
            <v>9285</v>
          </cell>
          <cell r="NX20" t="str">
            <v>33%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NY20">
            <v>9285</v>
          </cell>
          <cell r="NZ20" t="str">
            <v>Emissions amount</v>
          </cell>
          <cell r="OA20">
            <v>9008</v>
          </cell>
          <cell r="OB20" t="str">
            <v>35%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OC20">
            <v>9008</v>
          </cell>
          <cell r="OD20" t="str">
            <v>Emissions amount</v>
          </cell>
          <cell r="OE20">
            <v>6507</v>
          </cell>
          <cell r="OF20" t="str">
            <v xml:space="preserve">35% emissions intensity improvement on 2005. 2005 baseline figures come from WRI, incl LULUCF at 1914Mt. GDP projections taken from IMF/OECD, with average annual growth of 6.8% between 2005 and 2030. </v>
          </cell>
          <cell r="OG20">
            <v>6507</v>
          </cell>
          <cell r="OH20" t="str">
            <v>Abatement amount</v>
          </cell>
          <cell r="OI20">
            <v>0</v>
          </cell>
          <cell r="OJ20" t="str">
            <v>Target is 6708Mt. 33% emissions intensity improvement on 2005. 2005 baseline figures come from WRI, incl LULUCF at 1914Mt. GDP projections taken from IMF/OECD, with average annual growth of 6.8% between 2005 and 2030.  BAU is binding</v>
          </cell>
          <cell r="OK20">
            <v>5476.8489626578121</v>
          </cell>
          <cell r="OL20" t="str">
            <v>Abatement amount</v>
          </cell>
          <cell r="OM20">
            <v>0</v>
          </cell>
          <cell r="ON20" t="str">
            <v>6507Mt target emissions. 35% emissions intensity improvement on 2005. 2005 baseline figures come from WRI, incl LULUCF at 1914Mt. GDP projections taken from IMF/OECD, with average annual growth of 6.8% between 2005 and 2030.  BAU is binding</v>
          </cell>
          <cell r="OO20">
            <v>5476.8489626578121</v>
          </cell>
          <cell r="OP20" t="str">
            <v>Abatement amount</v>
          </cell>
          <cell r="OQ20">
            <v>0</v>
          </cell>
          <cell r="OR20" t="str">
            <v>33%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 Target emission is 9283Mt, BAU is binding</v>
          </cell>
          <cell r="OS20">
            <v>5476.8489626578121</v>
          </cell>
          <cell r="OT20" t="str">
            <v>Emissions amount</v>
          </cell>
          <cell r="OU20">
            <v>6509</v>
          </cell>
          <cell r="OV20" t="str">
            <v xml:space="preserve">35% emissions intensity improvement on 2005. 2005 baseline figures come from WRI, incl LULUCF at 1914Mt. GDP projections taken from IMF/OECD, with average annual growth of 6.8% between 2005 and 2030. </v>
          </cell>
          <cell r="OW20">
            <v>6509</v>
          </cell>
          <cell r="OX20" t="str">
            <v>Emissions amount</v>
          </cell>
          <cell r="OY20">
            <v>6709</v>
          </cell>
          <cell r="OZ20" t="str">
            <v xml:space="preserve">33% emissions intensity improvement on 2005. 2005 baseline figures come from WRI, incl LULUCF at 1914Mt. GDP projections taken from IMF/OECD, with average annual growth of 6.8% between 2005 and 2030. </v>
          </cell>
          <cell r="PA20">
            <v>6709</v>
          </cell>
          <cell r="PB20" t="str">
            <v>Emissions amount</v>
          </cell>
          <cell r="PC20">
            <v>9285</v>
          </cell>
          <cell r="PD20" t="str">
            <v>33%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PE20">
            <v>9285</v>
          </cell>
          <cell r="PF20" t="str">
            <v>Emissions amount</v>
          </cell>
          <cell r="PG20">
            <v>9008</v>
          </cell>
          <cell r="PH20" t="str">
            <v>35%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PI20">
            <v>9008</v>
          </cell>
          <cell r="PJ20" t="str">
            <v>Emissions amount</v>
          </cell>
          <cell r="PK20">
            <v>6509</v>
          </cell>
          <cell r="PL20" t="str">
            <v xml:space="preserve">35% emissions intensity improvement on 2005. 2005 baseline figures come from WRI, incl LULUCF at 1914Mt. GDP projections taken from IMF/OECD, with average annual growth of 6.8% between 2005 and 2030. </v>
          </cell>
          <cell r="PM20">
            <v>6509</v>
          </cell>
          <cell r="PN20" t="str">
            <v>Emissions amount</v>
          </cell>
          <cell r="PO20">
            <v>6709</v>
          </cell>
          <cell r="PP20" t="str">
            <v xml:space="preserve">33% emissions intensity improvement on 2005. 2005 baseline figures come from WRI, incl LULUCF at 1914Mt. GDP projections taken from IMF/OECD, with average annual growth of 6.8% between 2005 and 2030. </v>
          </cell>
          <cell r="PQ20">
            <v>6709</v>
          </cell>
          <cell r="PR20" t="str">
            <v>Emissions amount</v>
          </cell>
          <cell r="PS20">
            <v>6509</v>
          </cell>
          <cell r="PT20" t="str">
            <v xml:space="preserve">35% emissions intensity improvement on 2005. 2005 baseline figures come from WRI, incl LULUCF at 1914Mt. GDP projections taken from IMF/OECD, with average annual growth of 6.8% between 2005 and 2030. </v>
          </cell>
          <cell r="PU20">
            <v>6509</v>
          </cell>
          <cell r="PV20" t="str">
            <v>Emissions amount</v>
          </cell>
          <cell r="PW20">
            <v>9285</v>
          </cell>
          <cell r="PX20" t="str">
            <v>33%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PY20">
            <v>9285</v>
          </cell>
          <cell r="PZ20" t="str">
            <v>Emissions amount</v>
          </cell>
          <cell r="QA20">
            <v>9008</v>
          </cell>
          <cell r="QB20" t="str">
            <v>35%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QC20">
            <v>9008</v>
          </cell>
          <cell r="QD20" t="str">
            <v>Emissions amount</v>
          </cell>
          <cell r="QE20">
            <v>6509</v>
          </cell>
          <cell r="QF20" t="str">
            <v xml:space="preserve">35% emissions intensity improvement on 2005. 2005 baseline figures come from WRI, incl LULUCF at 1914Mt. GDP projections taken from IMF/OECD, with average annual growth of 6.8% between 2005 and 2030. </v>
          </cell>
          <cell r="QG20">
            <v>6509</v>
          </cell>
          <cell r="QH20" t="str">
            <v>Emissions amount</v>
          </cell>
          <cell r="QI20">
            <v>6509</v>
          </cell>
          <cell r="QJ20" t="str">
            <v xml:space="preserve">35% emissions intensity improvement on 2005. 2005 baseline figures come from WRI, incl LULUCF at 1914Mt. GDP projections taken from IMF/OECD, with average annual growth of 6.8% between 2005 and 2030. </v>
          </cell>
          <cell r="QK20">
            <v>6509</v>
          </cell>
          <cell r="QL20" t="str">
            <v>Emissions amount</v>
          </cell>
          <cell r="QM20">
            <v>9008</v>
          </cell>
          <cell r="QN20" t="str">
            <v>35%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QO20">
            <v>9008</v>
          </cell>
          <cell r="QP20" t="str">
            <v>Abatement amount</v>
          </cell>
          <cell r="QQ20">
            <v>0</v>
          </cell>
          <cell r="QR20" t="str">
            <v>33% emissions intensity improvement on 2005. 2005 baseline figures come from WRI, incl LULUCF at 1914Mt. GDP projections taken from IMF/OECD, with average annual growth of 6.8% between 2005 and 2030 gives 6709Mt. BAU is binding</v>
          </cell>
          <cell r="QS20">
            <v>5476.8489626578121</v>
          </cell>
          <cell r="QT20" t="str">
            <v>Abatement amount</v>
          </cell>
          <cell r="QU20">
            <v>0</v>
          </cell>
          <cell r="QV20" t="str">
            <v>35% emissions intensity improvement on 2005. 2005 baseline figures come from WRI, incl LULUCF at 1914Mt. GDP projections taken from IMF/OECD, with average annual growth of 6.8% between 2005 and 2030. Target emissions is 6509Mt,so bau is binding</v>
          </cell>
          <cell r="QW20">
            <v>5476.8489626578121</v>
          </cell>
          <cell r="QX20" t="str">
            <v>Abatement amount</v>
          </cell>
          <cell r="QY20">
            <v>0</v>
          </cell>
          <cell r="QZ20" t="str">
            <v>35% emissions intensity improvement on 2005. 2005 baseline figures come from WRI, incl LULUCF at 1914Mt. GDP projections taken from IMF/OECD, with average annual growth of 6.8% between 2005 and 2030.  Target = 6509Mt, BAU is binding</v>
          </cell>
          <cell r="RA20">
            <v>5476.8489626578121</v>
          </cell>
          <cell r="RB20" t="str">
            <v>Emissions amount</v>
          </cell>
          <cell r="RC20">
            <v>6709</v>
          </cell>
          <cell r="RD20" t="str">
            <v xml:space="preserve">33% emissions intensity improvement on 2005. 2005 baseline figures come from WRI, incl LULUCF at 1914Mt. GDP projections taken from IMF/OECD, with average annual growth of 6.8% between 2005 and 2030. </v>
          </cell>
          <cell r="RE20">
            <v>6709</v>
          </cell>
          <cell r="RF20" t="str">
            <v>Emissions amount</v>
          </cell>
          <cell r="RG20">
            <v>6509</v>
          </cell>
          <cell r="RH20" t="str">
            <v xml:space="preserve">35% emissions intensity improvement on 2005. 2005 baseline figures come from WRI, incl LULUCF at 1914Mt. GDP projections taken from IMF/OECD, with average annual growth of 6.8% between 2005 and 2030. </v>
          </cell>
          <cell r="RI20">
            <v>6509</v>
          </cell>
          <cell r="RJ20" t="str">
            <v>Emissions amount</v>
          </cell>
          <cell r="RK20">
            <v>9285</v>
          </cell>
          <cell r="RL20" t="str">
            <v>33%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RM20">
            <v>9285</v>
          </cell>
          <cell r="RN20" t="str">
            <v>Emissions amount</v>
          </cell>
          <cell r="RO20">
            <v>9008</v>
          </cell>
          <cell r="RP20" t="str">
            <v>35% emissions intensity improvement on 2005. 2005 baseline figures come from WRI, incl LULUCF at 1914Mt. GDP projections for 2014-2030 taken from INDC document which gives an annual average of 8.6% growth over the period. Combining GDP data from IMF/OECD between 2005 and 2013 gives an average of 8.2% between 2005 and 2030.</v>
          </cell>
          <cell r="RQ20">
            <v>9008</v>
          </cell>
          <cell r="RR20" t="str">
            <v>Emissions amount</v>
          </cell>
          <cell r="RS20">
            <v>6509</v>
          </cell>
          <cell r="RT20" t="str">
            <v xml:space="preserve">35% emissions intensity improvement on 2005. 2005 baseline figures come from WRI, incl LULUCF at 1914Mt. GDP projections taken from IMF/OECD, with average annual growth of 6.8% between 2005 and 2030. </v>
          </cell>
          <cell r="RU20">
            <v>6509</v>
          </cell>
        </row>
        <row r="21">
          <cell r="A21" t="str">
            <v>China</v>
          </cell>
          <cell r="B21" t="str">
            <v>Abatement amount</v>
          </cell>
          <cell r="C21">
            <v>6580.1557280593643</v>
          </cell>
          <cell r="D21">
            <v>0</v>
          </cell>
          <cell r="E21">
            <v>10205.582718992811</v>
          </cell>
          <cell r="F21" t="str">
            <v>Abatement amount</v>
          </cell>
          <cell r="G21">
            <v>2983.7013939512653</v>
          </cell>
          <cell r="I21">
            <v>13802.03705310091</v>
          </cell>
          <cell r="J21" t="str">
            <v>Abatement amount</v>
          </cell>
          <cell r="K21">
            <v>1678.5738525390625</v>
          </cell>
          <cell r="M21">
            <v>15107.164594513113</v>
          </cell>
          <cell r="N21" t="str">
            <v>Abatement amount</v>
          </cell>
          <cell r="O21">
            <v>1678.5738525390625</v>
          </cell>
          <cell r="Q21">
            <v>15107.164594513113</v>
          </cell>
          <cell r="R21" t="str">
            <v>Abatement amount</v>
          </cell>
          <cell r="S21">
            <v>3357.147705078125</v>
          </cell>
          <cell r="U21">
            <v>13428.590741974051</v>
          </cell>
          <cell r="V21" t="str">
            <v>Abatement amount</v>
          </cell>
          <cell r="W21">
            <v>6142.42626953125</v>
          </cell>
          <cell r="Y21">
            <v>10643.312177520926</v>
          </cell>
          <cell r="Z21" t="str">
            <v>Abatement amount</v>
          </cell>
          <cell r="AA21">
            <v>5848.06201171875</v>
          </cell>
          <cell r="AC21">
            <v>10937.676435333426</v>
          </cell>
          <cell r="AD21" t="str">
            <v>Abatement amount</v>
          </cell>
          <cell r="AE21">
            <v>2863.129638671875</v>
          </cell>
          <cell r="AG21">
            <v>13922.608808380301</v>
          </cell>
          <cell r="AH21" t="str">
            <v>Abatement amount</v>
          </cell>
          <cell r="AI21">
            <v>1678.5738525390625</v>
          </cell>
          <cell r="AK21">
            <v>15107.164594513113</v>
          </cell>
          <cell r="AL21" t="str">
            <v>Abatement amount</v>
          </cell>
          <cell r="AM21">
            <v>1678.5738525390625</v>
          </cell>
          <cell r="AO21">
            <v>15107.164594513113</v>
          </cell>
          <cell r="AP21" t="str">
            <v>Abatement amount</v>
          </cell>
          <cell r="AQ21">
            <v>3357.147705078125</v>
          </cell>
          <cell r="AS21">
            <v>13428.590741974051</v>
          </cell>
          <cell r="AT21" t="str">
            <v>Abatement amount</v>
          </cell>
          <cell r="AU21">
            <v>6142.42626953125</v>
          </cell>
          <cell r="AW21">
            <v>10643.312177520926</v>
          </cell>
          <cell r="AX21" t="str">
            <v>Emissions amount</v>
          </cell>
          <cell r="AY21">
            <v>16785.738447052176</v>
          </cell>
          <cell r="BA21">
            <v>16785.738447052176</v>
          </cell>
          <cell r="BB21" t="str">
            <v>Emissions amount</v>
          </cell>
          <cell r="BC21">
            <v>16785.738447052176</v>
          </cell>
          <cell r="BE21">
            <v>16785.738447052176</v>
          </cell>
          <cell r="BF21" t="str">
            <v>Emissions amount</v>
          </cell>
          <cell r="BG21">
            <v>16785.738447052176</v>
          </cell>
          <cell r="BI21">
            <v>16785.738447052176</v>
          </cell>
          <cell r="BJ21" t="str">
            <v>Emissions amount</v>
          </cell>
          <cell r="BK21">
            <v>13400</v>
          </cell>
          <cell r="BM21">
            <v>13400</v>
          </cell>
          <cell r="BN21" t="str">
            <v>Emissions amount</v>
          </cell>
          <cell r="BO21">
            <v>15100</v>
          </cell>
          <cell r="BQ21">
            <v>15100</v>
          </cell>
          <cell r="BR21" t="str">
            <v>Emissions amount</v>
          </cell>
          <cell r="BS21">
            <v>15051</v>
          </cell>
          <cell r="BU21">
            <v>15051</v>
          </cell>
          <cell r="BV21" t="str">
            <v>Emissions amount</v>
          </cell>
          <cell r="BW21">
            <v>13428.590741974051</v>
          </cell>
          <cell r="BY21">
            <v>13428.590741974051</v>
          </cell>
          <cell r="BZ21" t="str">
            <v>Emissions amount</v>
          </cell>
          <cell r="CA21">
            <v>16785.738447052176</v>
          </cell>
          <cell r="CC21">
            <v>16785.738447052176</v>
          </cell>
          <cell r="CD21" t="str">
            <v>Emissions amount</v>
          </cell>
          <cell r="CE21">
            <v>16785.738447052176</v>
          </cell>
          <cell r="CG21">
            <v>16785.738447052176</v>
          </cell>
          <cell r="CH21" t="str">
            <v>Abatement amount</v>
          </cell>
          <cell r="CI21">
            <v>1678.5738525390625</v>
          </cell>
          <cell r="CK21">
            <v>15107.164594513113</v>
          </cell>
          <cell r="CL21" t="str">
            <v>Abatement amount</v>
          </cell>
          <cell r="CM21">
            <v>3357.147705078125</v>
          </cell>
          <cell r="CO21">
            <v>13428.590741974051</v>
          </cell>
          <cell r="CP21" t="str">
            <v>Abatement amount</v>
          </cell>
          <cell r="CQ21">
            <v>3357.147705078125</v>
          </cell>
          <cell r="CS21">
            <v>13428.590741974051</v>
          </cell>
          <cell r="CT21" t="str">
            <v>Abatement amount</v>
          </cell>
          <cell r="CU21">
            <v>1678.5738525390625</v>
          </cell>
          <cell r="CW21">
            <v>15107.164594513113</v>
          </cell>
          <cell r="CX21" t="str">
            <v>Abatement amount</v>
          </cell>
          <cell r="CY21">
            <v>3357.147705078125</v>
          </cell>
          <cell r="DA21">
            <v>13428.590741974051</v>
          </cell>
          <cell r="DB21" t="str">
            <v>Abatement amount</v>
          </cell>
          <cell r="DC21">
            <v>3357.147705078125</v>
          </cell>
          <cell r="DE21">
            <v>13428.590741974051</v>
          </cell>
          <cell r="DF21" t="str">
            <v>Abatement amount</v>
          </cell>
          <cell r="DG21">
            <v>1678.5738525390625</v>
          </cell>
          <cell r="DI21">
            <v>15107.164594513113</v>
          </cell>
          <cell r="DJ21" t="str">
            <v>Emissions amount</v>
          </cell>
          <cell r="DK21">
            <v>15051</v>
          </cell>
          <cell r="DM21">
            <v>15051</v>
          </cell>
          <cell r="DN21" t="str">
            <v>Emissions amount</v>
          </cell>
          <cell r="DO21">
            <v>15051</v>
          </cell>
          <cell r="DQ21">
            <v>15051</v>
          </cell>
          <cell r="DR21" t="str">
            <v>Emissions amount</v>
          </cell>
          <cell r="DS21">
            <v>16785.738447052176</v>
          </cell>
          <cell r="DU21">
            <v>16785.738447052176</v>
          </cell>
          <cell r="DV21" t="str">
            <v>Emissions amount</v>
          </cell>
          <cell r="DW21">
            <v>16785.738447052176</v>
          </cell>
          <cell r="DY21">
            <v>16785.738447052176</v>
          </cell>
          <cell r="DZ21" t="str">
            <v>Abatement amount</v>
          </cell>
          <cell r="EA21">
            <v>1678.5738525390625</v>
          </cell>
          <cell r="EC21">
            <v>15107.164594513113</v>
          </cell>
          <cell r="ED21" t="str">
            <v>Emissions amount</v>
          </cell>
          <cell r="EE21">
            <v>15107</v>
          </cell>
          <cell r="EG21">
            <v>15107</v>
          </cell>
          <cell r="EH21" t="str">
            <v>Abatement amount</v>
          </cell>
          <cell r="EI21">
            <v>0</v>
          </cell>
          <cell r="EK21">
            <v>16587.840836088631</v>
          </cell>
          <cell r="EL21" t="str">
            <v>Abatement amount</v>
          </cell>
          <cell r="EM21">
            <v>0</v>
          </cell>
          <cell r="EO21">
            <v>16587.840836088631</v>
          </cell>
          <cell r="EP21" t="str">
            <v>Abatement amount</v>
          </cell>
          <cell r="EQ21">
            <v>0</v>
          </cell>
          <cell r="ES21">
            <v>16587.840836088631</v>
          </cell>
          <cell r="ET21" t="str">
            <v>Abatement amount</v>
          </cell>
          <cell r="EU21">
            <v>6387.3076695896107</v>
          </cell>
          <cell r="EW21">
            <v>10200.533166499021</v>
          </cell>
          <cell r="EX21" t="str">
            <v>Abatement amount</v>
          </cell>
          <cell r="EY21">
            <v>4864.1133664699546</v>
          </cell>
          <cell r="FA21">
            <v>11723.727469618676</v>
          </cell>
          <cell r="FB21" t="str">
            <v>Abatement amount</v>
          </cell>
          <cell r="FC21">
            <v>3787.5485388795141</v>
          </cell>
          <cell r="FE21">
            <v>12800.292297209118</v>
          </cell>
          <cell r="FF21" t="str">
            <v>Abatement amount</v>
          </cell>
          <cell r="FG21">
            <v>1727</v>
          </cell>
          <cell r="FI21">
            <v>14860.840836088631</v>
          </cell>
          <cell r="FJ21" t="str">
            <v>Abatement amount</v>
          </cell>
          <cell r="FK21">
            <v>1727</v>
          </cell>
          <cell r="FM21">
            <v>14860.840836088631</v>
          </cell>
          <cell r="FN21" t="str">
            <v>Emissions amount</v>
          </cell>
          <cell r="FO21">
            <v>14861</v>
          </cell>
          <cell r="FQ21">
            <v>14861</v>
          </cell>
          <cell r="FR21" t="str">
            <v>Emissions amount</v>
          </cell>
          <cell r="FS21">
            <v>14816</v>
          </cell>
          <cell r="FU21">
            <v>14816</v>
          </cell>
          <cell r="FV21" t="str">
            <v>Abatement amount</v>
          </cell>
          <cell r="FW21">
            <v>1727</v>
          </cell>
          <cell r="FY21">
            <v>14860.840836088631</v>
          </cell>
          <cell r="FZ21" t="str">
            <v>Abatement amount</v>
          </cell>
          <cell r="GA21">
            <v>1727</v>
          </cell>
          <cell r="GC21">
            <v>14860.840836088631</v>
          </cell>
          <cell r="GD21" t="str">
            <v>Abatement amount</v>
          </cell>
          <cell r="GE21">
            <v>3187.8408203125</v>
          </cell>
          <cell r="GG21">
            <v>13400.000015776131</v>
          </cell>
          <cell r="GH21" t="str">
            <v>Abatement amount</v>
          </cell>
          <cell r="GI21">
            <v>7106.96142578125</v>
          </cell>
          <cell r="GK21">
            <v>9480.8794103073815</v>
          </cell>
          <cell r="GL21" t="str">
            <v>Abatement amount</v>
          </cell>
          <cell r="GM21">
            <v>6705.3580302169903</v>
          </cell>
          <cell r="GO21">
            <v>9882.4828058716412</v>
          </cell>
          <cell r="GP21" t="str">
            <v>Abatement amount</v>
          </cell>
          <cell r="GQ21">
            <v>3928.3277448500612</v>
          </cell>
          <cell r="GS21">
            <v>12659.51309123857</v>
          </cell>
          <cell r="GT21" t="str">
            <v>Abatement amount</v>
          </cell>
          <cell r="GU21">
            <v>5106.4049282793931</v>
          </cell>
          <cell r="GW21">
            <v>11481.435907809238</v>
          </cell>
          <cell r="GX21" t="str">
            <v>Abatement amount</v>
          </cell>
          <cell r="GY21">
            <v>0</v>
          </cell>
          <cell r="HA21">
            <v>16587.840836088631</v>
          </cell>
          <cell r="HB21" t="str">
            <v>Emissions amount</v>
          </cell>
          <cell r="HC21">
            <v>14500</v>
          </cell>
          <cell r="HE21">
            <v>14500</v>
          </cell>
          <cell r="HF21" t="str">
            <v>Abatement amount</v>
          </cell>
          <cell r="HG21">
            <v>0</v>
          </cell>
          <cell r="HI21">
            <v>16587.840836088631</v>
          </cell>
          <cell r="HJ21" t="str">
            <v>Emissions amount</v>
          </cell>
          <cell r="HK21">
            <v>14500</v>
          </cell>
          <cell r="HM21">
            <v>14500</v>
          </cell>
          <cell r="HN21" t="str">
            <v>Emissions amount</v>
          </cell>
          <cell r="HO21">
            <v>14500</v>
          </cell>
          <cell r="HQ21">
            <v>14500</v>
          </cell>
          <cell r="HR21" t="str">
            <v>Abatement amount</v>
          </cell>
          <cell r="HS21">
            <v>0</v>
          </cell>
          <cell r="HU21">
            <v>16587.840836088631</v>
          </cell>
          <cell r="HV21" t="str">
            <v>Abatement amount</v>
          </cell>
          <cell r="HW21">
            <v>0</v>
          </cell>
          <cell r="HX21" t="str">
            <v xml:space="preserve">-60% CO2 intensity below 2005 only, no better than GLOCAF BAU (16.6Gt). Have not taken into account 20% non-fossil fuel target until further analysis. Industrial CO2 emission based on GLOCAF data: 2.4Gt </v>
          </cell>
          <cell r="HY21">
            <v>16587.840836088631</v>
          </cell>
          <cell r="HZ21" t="str">
            <v>Emissions amount</v>
          </cell>
          <cell r="IA21">
            <v>16256</v>
          </cell>
          <cell r="IB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IC21">
            <v>16256</v>
          </cell>
          <cell r="ID21" t="str">
            <v>Emissions amount</v>
          </cell>
          <cell r="IE21">
            <v>14428</v>
          </cell>
          <cell r="IF21" t="str">
            <v xml:space="preserve">65%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65% gives 14,428Mt. </v>
          </cell>
          <cell r="IG21">
            <v>14428</v>
          </cell>
          <cell r="IH21" t="str">
            <v>Emissions amount</v>
          </cell>
          <cell r="II21">
            <v>12917</v>
          </cell>
          <cell r="IJ21" t="str">
            <v xml:space="preserve">65% reduction in emissions intensity of GDP relative to 2005 level. Emissions improvement and GDP projections (approximately 6.2% annual growth 2015-20, 4.0% 2020-30) based on IMF/OECD, and historical growth (pre 2015) from NCSC paper.  Assume target covers energy CO2. 2005 baseline for energy CO2 is 5,404 Mt from China’s 2nd National Communications report .  Uses IEA's projection for industiral CO2 at 1215Mt in 2030.  GLOCAF BAU projections for non CO2 gases: 2,706Mt , LULUCF:-284Mt.    65% gives 12,917Mt. </v>
          </cell>
          <cell r="IK21">
            <v>12917</v>
          </cell>
          <cell r="IL21" t="str">
            <v>Abatement amount</v>
          </cell>
          <cell r="IM21">
            <v>0</v>
          </cell>
          <cell r="IN21" t="str">
            <v>60% reduction in emissions intensity of GDP relative to 2005 level. Emissions improvement and GDP projections (approximately 7% annual growth 2015-20, 5.3% 2020-30) based on NCSC paper.  Assume target covers energy CO2. 2005 baseline energy CO2 is 5,404 Mt from China’s 2nd National Communications report .  GLOCAF BAU projections for non CO2 gases: 2,706Mt , LULUCF:-284Mt, industrial emissions 2444Mt.    60% gives 17.4Gt. No improvement from GLOCAF BAU.</v>
          </cell>
          <cell r="IO21">
            <v>16587.840836088631</v>
          </cell>
          <cell r="IP21" t="str">
            <v>Emissions amount</v>
          </cell>
          <cell r="IQ21">
            <v>12917</v>
          </cell>
          <cell r="IR21" t="str">
            <v xml:space="preserve">65% reduction in emissions intensity of GDP relative to 2005 level. Emissions improvement and GDP projections (approximately 6.2% annual growth 2015-20, 4.0% 2020-30) based on IMF/OECD, and historical growth (pre 2015) from NCSC paper.  Assume target covers energy CO2. 2005 baseline for energy CO2 is 5,404 Mt from China’s 2nd National Communications report .  Uses IEA's projection for industiral CO2 at 1215Mt in 2030.  GLOCAF BAU projections for non CO2 gases: 2,706Mt , LULUCF:-284Mt.    65% gives 12,917Mt. </v>
          </cell>
          <cell r="IS21">
            <v>12917</v>
          </cell>
          <cell r="IT21" t="str">
            <v>Abatement amount</v>
          </cell>
          <cell r="IU21">
            <v>0</v>
          </cell>
          <cell r="IV21" t="str">
            <v>60% reduction in emissions intensity of GDP relative to 2005 level. Emissions improvement and GDP projections (approximately 7% annual growth 2015-20, 5.3% 2020-30) based on NCSC paper.  Assume target covers energy CO2. 2005 baseline energy CO2 is 5,404 Mt from China’s 2nd National Communications report .  GLOCAF BAU projections for non CO2 gases: 2,706Mt , LULUCF:-284Mt, industrial emissions 2444Mt.    60% gives 17.4Gt. No improvement from GLOCAF BAU.</v>
          </cell>
          <cell r="IW21">
            <v>16587.840836088631</v>
          </cell>
          <cell r="IX21" t="str">
            <v>Emissions amount</v>
          </cell>
          <cell r="IY21">
            <v>12917</v>
          </cell>
          <cell r="IZ21" t="str">
            <v xml:space="preserve">65% reduction in emissions intensity of GDP relative to 2005 level. Emissions improvement and GDP projections (approximately 6.2% annual growth 2015-20, 4.0% 2020-30) based on IMF/OECD, and historical growth (pre 2015) from NCSC paper.  Assume target covers energy CO2. 2005 baseline for energy CO2 is 5,404 Mt from China’s 2nd National Communications report .  Uses IEA's projection for industiral CO2 at 1215Mt in 2030.  GLOCAF BAU projections for non CO2 gases: 2,706Mt , LULUCF:-284Mt.    65% gives 12,917Mt. </v>
          </cell>
          <cell r="JA21">
            <v>12917</v>
          </cell>
          <cell r="JB21" t="str">
            <v>Emissions amount</v>
          </cell>
          <cell r="JC21">
            <v>16256</v>
          </cell>
          <cell r="JD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JE21">
            <v>16256</v>
          </cell>
          <cell r="JF21" t="str">
            <v>Emissions amount</v>
          </cell>
          <cell r="JG21">
            <v>14428</v>
          </cell>
          <cell r="JH21" t="str">
            <v xml:space="preserve">65%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65% gives 14,428Mt. </v>
          </cell>
          <cell r="JI21">
            <v>14428</v>
          </cell>
          <cell r="JJ21" t="str">
            <v>Emissions amount</v>
          </cell>
          <cell r="JK21">
            <v>12678</v>
          </cell>
          <cell r="JL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JM21">
            <v>12678</v>
          </cell>
          <cell r="JN21" t="str">
            <v>Abatement amount</v>
          </cell>
          <cell r="JO21">
            <v>0</v>
          </cell>
          <cell r="JP21" t="str">
            <v>60% reduction in emissions intensity of GDP relative to 2005 level. Emissions improvement and GDP projections (approximately 7% annual growth 2015-20, 5.3% 2020-30) based on NCSC paper.  Assume target covers energy CO2. 2005 baseline energy CO2 is 5,404 Mt from China’s 2nd National Communications report .  GLOCAF BAU projections for non CO2 gases: 2,706Mt , LULUCF:-284Mt, industrial emissions 2444Mt.    60% gives 17.4Gt. No improvement from GLOCAF BAU.</v>
          </cell>
          <cell r="JQ21">
            <v>16587.840836088631</v>
          </cell>
          <cell r="JR21" t="str">
            <v>Emissions amount</v>
          </cell>
          <cell r="JS21">
            <v>12917</v>
          </cell>
          <cell r="JT21" t="str">
            <v xml:space="preserve">65% reduction in emissions intensity of GDP relative to 2005 level. Emissions improvement and GDP projections (approximately 6.2% annual growth 2015-20, 4.0% 2020-30) based on IMF/OECD, and historical growth (pre 2015) from NCSC paper.  Assume target covers energy CO2. 2005 baseline for energy CO2 is 5,404 Mt from China’s 2nd National Communications report .  Uses IEA's projection for industiral CO2 at 1215Mt in 2030.  GLOCAF BAU projections for non CO2 gases: 2,706Mt , LULUCF:-284Mt.    65% gives 12,917Mt. </v>
          </cell>
          <cell r="JU21">
            <v>12917</v>
          </cell>
          <cell r="JV21" t="str">
            <v>Abatement amount</v>
          </cell>
          <cell r="JW21">
            <v>0</v>
          </cell>
          <cell r="JX21" t="str">
            <v>60% reduction in emissions intensity of GDP relative to 2005 level. Emissions improvement and GDP projections (approximately 7% annual growth 2015-20, 5.3% 2020-30) based on NCSC paper.  Assume target covers energy CO2. 2005 baseline energy CO2 is 5,404 Mt from China’s 2nd National Communications report .  GLOCAF BAU projections for non CO2 gases: 2,706Mt , LULUCF:-284Mt, industrial emissions 2444Mt.    60% gives 17.4Gt. No improvement from GLOCAF BAU.</v>
          </cell>
          <cell r="JY21">
            <v>16587.840836088631</v>
          </cell>
          <cell r="JZ21" t="str">
            <v>Emissions amount</v>
          </cell>
          <cell r="KA21">
            <v>12917</v>
          </cell>
          <cell r="KB21" t="str">
            <v xml:space="preserve">65% reduction in emissions intensity of GDP relative to 2005 level. Emissions improvement and GDP projections (approximately 6.2% annual growth 2015-20, 4.0% 2020-30) based on IMF/OECD, and historical growth (pre 2015) from NCSC paper.  Assume target covers energy CO2. 2005 baseline for energy CO2 is 5,404 Mt from China’s 2nd National Communications report .  Uses IEA's projection for industiral CO2 at 1215Mt in 2030.  GLOCAF BAU projections for non CO2 gases: 2,706Mt , LULUCF:-284Mt.    65% gives 12,917Mt. </v>
          </cell>
          <cell r="KC21">
            <v>12917</v>
          </cell>
          <cell r="KD21" t="str">
            <v>Emissions amount</v>
          </cell>
          <cell r="KE21">
            <v>16256</v>
          </cell>
          <cell r="KF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KG21">
            <v>16256</v>
          </cell>
          <cell r="KH21" t="str">
            <v>Emissions amount</v>
          </cell>
          <cell r="KI21">
            <v>14428</v>
          </cell>
          <cell r="KJ21" t="str">
            <v xml:space="preserve">65%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65% gives 14,428Mt. </v>
          </cell>
          <cell r="KK21">
            <v>14428</v>
          </cell>
          <cell r="KL21" t="str">
            <v>Emissions amount</v>
          </cell>
          <cell r="KM21">
            <v>12678</v>
          </cell>
          <cell r="KN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KO21">
            <v>12678</v>
          </cell>
          <cell r="KP21" t="str">
            <v>Emissions amount</v>
          </cell>
          <cell r="KQ21">
            <v>12917</v>
          </cell>
          <cell r="KR21" t="str">
            <v xml:space="preserve">65% reduction in emissions intensity of GDP relative to 2005 level. Emissions improvement and GDP projections (approximately 6.2% annual growth 2015-20, 4.0% 2020-30) based on IMF/OECD, and historical growth (pre 2015) from NCSC paper.  Assume target covers energy CO2. 2005 baseline for energy CO2 is 5,404 Mt from China’s 2nd National Communications report .  Uses IEA's projection for industiral CO2 at 1215Mt in 2030.  GLOCAF BAU projections for non CO2 gases: 2,706Mt , LULUCF:-284Mt.    65% gives 12,917Mt. </v>
          </cell>
          <cell r="KS21">
            <v>12917</v>
          </cell>
          <cell r="KT21" t="str">
            <v>Abatement amount</v>
          </cell>
          <cell r="KU21">
            <v>0</v>
          </cell>
          <cell r="KV21" t="str">
            <v>60% reduction in emissions intensity of GDP relative to 2005 level. Emissions improvement and GDP projections (approximately 7% annual growth 2015-20, 5.3% 2020-30) based on NCSC paper.  Assume target covers energy CO2. 2005 baseline energy CO2 is 5,404 Mt from China’s 2nd National Communications report .  GLOCAF BAU projections for non CO2 gases: 2,706Mt , LULUCF:-284Mt, industrial emissions 2444Mt.    60% gives 17.4Gt. No improvement from GLOCAF BAU.</v>
          </cell>
          <cell r="KW21">
            <v>16587.840836088631</v>
          </cell>
          <cell r="KX21" t="str">
            <v>Emissions amount</v>
          </cell>
          <cell r="KY21">
            <v>12917</v>
          </cell>
          <cell r="KZ21" t="str">
            <v xml:space="preserve">65% reduction in emissions intensity of GDP relative to 2005 level. Emissions improvement and GDP projections (approximately 6.2% annual growth 2015-20, 4.0% 2020-30) based on IMF/OECD, and historical growth (pre 2015) from NCSC paper.  Assume target covers energy CO2. 2005 baseline for energy CO2 is 5,404 Mt from China’s 2nd National Communications report .  Uses IEA's projection for industiral CO2 at 1215Mt in 2030.  GLOCAF BAU projections for non CO2 gases: 2,706Mt , LULUCF:-284Mt.    65% gives 12,917Mt. </v>
          </cell>
          <cell r="LA21">
            <v>12917</v>
          </cell>
          <cell r="LB21" t="str">
            <v>Abatement amount</v>
          </cell>
          <cell r="LC21">
            <v>0</v>
          </cell>
          <cell r="LD21" t="str">
            <v>60% reduction in emissions intensity of GDP relative to 2005 level. Emissions improvement and GDP projections (approximately 7% annual growth 2015-20, 5.3% 2020-30) based on NCSC paper.  Assume target covers energy CO2. 2005 baseline energy CO2 is 5,404 Mt from China’s 2nd National Communications report .  GLOCAF BAU projections for non CO2 gases: 2,706Mt , LULUCF:-284Mt, industrial emissions 2444Mt.    60% gives 17.4Gt. No improvement from GLOCAF BAU.</v>
          </cell>
          <cell r="LE21">
            <v>16587.840836088631</v>
          </cell>
          <cell r="LF21" t="str">
            <v>Emissions amount</v>
          </cell>
          <cell r="LG21">
            <v>16256</v>
          </cell>
          <cell r="LH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LI21">
            <v>16256</v>
          </cell>
          <cell r="LJ21" t="str">
            <v>Emissions amount</v>
          </cell>
          <cell r="LK21">
            <v>16256</v>
          </cell>
          <cell r="LL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LM21">
            <v>16256</v>
          </cell>
          <cell r="LN21" t="str">
            <v>Emissions amount</v>
          </cell>
          <cell r="LO21">
            <v>16256</v>
          </cell>
          <cell r="LP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LQ21">
            <v>16256</v>
          </cell>
          <cell r="LR21" t="str">
            <v>Emissions amount</v>
          </cell>
          <cell r="LS21">
            <v>12678</v>
          </cell>
          <cell r="LT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LU21">
            <v>12678</v>
          </cell>
          <cell r="LV21" t="str">
            <v>Emissions amount</v>
          </cell>
          <cell r="LW21">
            <v>12678</v>
          </cell>
          <cell r="LX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LY21">
            <v>12678</v>
          </cell>
          <cell r="LZ21" t="str">
            <v>Emissions amount</v>
          </cell>
          <cell r="MA21">
            <v>16256</v>
          </cell>
          <cell r="MB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MC21">
            <v>16256</v>
          </cell>
          <cell r="MD21" t="str">
            <v>Emissions amount</v>
          </cell>
          <cell r="ME21">
            <v>12678</v>
          </cell>
          <cell r="MF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MG21">
            <v>12678</v>
          </cell>
          <cell r="MH21" t="str">
            <v>Emissions amount</v>
          </cell>
          <cell r="MI21">
            <v>12678</v>
          </cell>
          <cell r="MJ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MK21">
            <v>12678</v>
          </cell>
          <cell r="ML21" t="str">
            <v>Emissions amount</v>
          </cell>
          <cell r="MM21">
            <v>16256</v>
          </cell>
          <cell r="MN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MO21">
            <v>16256</v>
          </cell>
          <cell r="MP21" t="str">
            <v>Emissions amount</v>
          </cell>
          <cell r="MQ21">
            <v>12678</v>
          </cell>
          <cell r="MR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MS21">
            <v>12678</v>
          </cell>
          <cell r="MT21" t="str">
            <v>Emissions amount</v>
          </cell>
          <cell r="MU21">
            <v>12678</v>
          </cell>
          <cell r="MV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MW21">
            <v>12678</v>
          </cell>
          <cell r="MX21" t="str">
            <v>Emissions amount</v>
          </cell>
          <cell r="MY21">
            <v>16256</v>
          </cell>
          <cell r="MZ21" t="str">
            <v>60% reduction in emissions intensity of GDP relative to 2005 level. Emissions improvement and GDP projections (approximately 7%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NA21">
            <v>16256</v>
          </cell>
          <cell r="NB21" t="str">
            <v>Emissions amount</v>
          </cell>
          <cell r="NC21">
            <v>12678</v>
          </cell>
          <cell r="ND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14,428Mt. </v>
          </cell>
          <cell r="NE21">
            <v>12678</v>
          </cell>
          <cell r="NF21" t="str">
            <v>Emissions amount</v>
          </cell>
          <cell r="NG21">
            <v>14294</v>
          </cell>
          <cell r="NH21" t="str">
            <v>60% reduction in emissions intensity of GDP relative to 2005 level. Emissions improvement and GDP projections (approximately 6.2% annual growth 2015-20, 4.0% 2020-30) based on IMF/OECD.  Assume target covers all CO2. 2005 baseline for all CO2 is 5,936 Mt from China’s 2nd National Communications report .  GLOCAF BAU projections for non CO2 gases: 2,706Mt , LULUCF:-284Mt.    60% improvement in emissions intensity gives 14,294Mt</v>
          </cell>
          <cell r="NI21">
            <v>14294</v>
          </cell>
          <cell r="NJ21" t="str">
            <v>Emissions amount</v>
          </cell>
          <cell r="NK21">
            <v>14294</v>
          </cell>
          <cell r="NL21" t="str">
            <v>60% reduction in emissions intensity of GDP relative to 2005 level. Emissions improvement and GDP projections (approximately 6.2% annual growth 2015-20, 4.0% 2020-30) based on IMF/OECD.  Assume target covers all CO2. 2005 baseline for all CO2 is 5,936 Mt from China’s 2nd National Communications report .  GLOCAF BAU projections for non CO2 gases: 2,706Mt , LULUCF:-284Mt.    60% improvement in emissions intensity gives 14,294Mt</v>
          </cell>
          <cell r="NM21">
            <v>14294</v>
          </cell>
          <cell r="NN21" t="str">
            <v>Emissions amount</v>
          </cell>
          <cell r="NO21">
            <v>14294</v>
          </cell>
          <cell r="NP21" t="str">
            <v>60% reduction in emissions intensity of GDP relative to 2005 level. Emissions improvement and GDP projections (approximately 6.2% annual growth 2015-20, 4.0% 2020-30) based on IMF/OECD.  Assume target covers all CO2. 2005 baseline for all CO2 is 5,936 Mt from China’s 2nd National Communications report .  GLOCAF BAU projections for non CO2 gases: 2,706Mt , LULUCF:-284Mt.    60% improvement in emissions intensity gives 14,294Mt</v>
          </cell>
          <cell r="NQ21">
            <v>14294</v>
          </cell>
          <cell r="NR21" t="str">
            <v>Emissions amount</v>
          </cell>
          <cell r="NS21">
            <v>12810</v>
          </cell>
          <cell r="NT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NU21">
            <v>12810</v>
          </cell>
          <cell r="NV21" t="str">
            <v>Emissions amount</v>
          </cell>
          <cell r="NW21">
            <v>16256</v>
          </cell>
          <cell r="NX21" t="str">
            <v>60% reduction in emissions intensity of GDP relative to 2005 level. Emissions improvement and GDP projections (approximately 7.0%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NY21">
            <v>16256</v>
          </cell>
          <cell r="NZ21" t="str">
            <v>Emissions amount</v>
          </cell>
          <cell r="OA21">
            <v>14527</v>
          </cell>
          <cell r="OB21" t="str">
            <v xml:space="preserve">65% reduction in emissions intensity of GDP relative to 2005 level. Emissions improvement and GDP projections (approximately 7.0% annual growth 2015-20, 5.3% 2020-30) based on projections from NCSC paper.  Assume target covers all CO2. 2005 baseline for all CO2 is 5,936 Mt from China’s 2nd National Communications report .  GLOCAF BAU projections for non CO2 gases: 2,706Mt , LULUCF:-284Mt.    65% gives 14,527Mt. </v>
          </cell>
          <cell r="OC21">
            <v>14527</v>
          </cell>
          <cell r="OD21" t="str">
            <v>Emissions amount</v>
          </cell>
          <cell r="OE21">
            <v>12810</v>
          </cell>
          <cell r="OF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OG21">
            <v>12810</v>
          </cell>
          <cell r="OH21" t="str">
            <v>Emissions amount</v>
          </cell>
          <cell r="OI21">
            <v>14379</v>
          </cell>
          <cell r="OJ21" t="str">
            <v>60% reduction in emissions intensity of GDP relative to 2005 level. Emissions improvement and GDP projections (approximately 6.2% annual growth 2015-20, 4.0% 2020-30) based on IMF/OECD.  Assume target covers energy CO2. 2005 baseline for energy CO2 is 5,404 Mt from China’s 2nd National Communications report .  GLOCAF BAU projections for non CO2 gases: 2,706Mt , LULUCF:-284Mt.    60% improvement in emissions intensity gives 14,379Mt</v>
          </cell>
          <cell r="OK21">
            <v>14379</v>
          </cell>
          <cell r="OL21" t="str">
            <v>Emissions amount</v>
          </cell>
          <cell r="OM21">
            <v>13046</v>
          </cell>
          <cell r="ON21" t="str">
            <v xml:space="preserve">65% reduction in emissions intensity of GDP relative to 2005 level. Emissions improvement and GDP projections (approximately 6.3% annual growth 2015-20, 4.0% 2020-30) based on projections from IMF and OECD.  Assume target covers energy CO2. 2005 baseline for energy CO2 is 5,404 Mt from China’s 2nd National Communications report .  GLOCAF BAU projections for non CO2 gases: 2,706Mt , LULUCF:-284Mt.    65% gives 13,046Mt. </v>
          </cell>
          <cell r="OO21">
            <v>13046</v>
          </cell>
          <cell r="OP21" t="str">
            <v>Emissions amount</v>
          </cell>
          <cell r="OQ21">
            <v>16154</v>
          </cell>
          <cell r="OR21" t="str">
            <v>60% reduction in emissions intensity of GDP relative to 2005 level. Emissions improvement and GDP projections (approximately 7.0% annual growth 2015-20, 5.3% 2020-30) based on NCSC paper.  Assume target covers energy CO2. 2005 baseline for energy CO2 is 5,404 Mt from China’s 2nd National Communications report .  GLOCAF BAU projections for non CO2 gases: 2,706Mt , LULUCF:-284Mt.    60% improvement in emissions intensity gives 16,154Mt</v>
          </cell>
          <cell r="OS21">
            <v>16154</v>
          </cell>
          <cell r="OT21" t="str">
            <v>Emissions amount</v>
          </cell>
          <cell r="OU21">
            <v>12810</v>
          </cell>
          <cell r="OV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OW21">
            <v>12810</v>
          </cell>
          <cell r="OX21" t="str">
            <v>Emissions amount</v>
          </cell>
          <cell r="OY21">
            <v>14294</v>
          </cell>
          <cell r="OZ21" t="str">
            <v>60% reduction in emissions intensity of GDP relative to 2005 level. Emissions improvement and GDP projections (approximately 6.2% annual growth 2015-20, 4.0% 2020-30) based on IMF/OECD.  Assume target covers all CO2. 2005 baseline for all CO2 is 5,936 Mt from China’s 2nd National Communications report .  GLOCAF BAU projections for non CO2 gases: 2,706Mt , LULUCF:-284Mt.    60% improvement in emissions intensity gives 14,294Mt</v>
          </cell>
          <cell r="PA21">
            <v>14294</v>
          </cell>
          <cell r="PB21" t="str">
            <v>Emissions amount</v>
          </cell>
          <cell r="PC21">
            <v>16256</v>
          </cell>
          <cell r="PD21" t="str">
            <v>60% reduction in emissions intensity of GDP relative to 2005 level. Emissions improvement and GDP projections (approximately 7.0%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PE21">
            <v>16256</v>
          </cell>
          <cell r="PF21" t="str">
            <v>Emissions amount</v>
          </cell>
          <cell r="PG21">
            <v>14527</v>
          </cell>
          <cell r="PH21" t="str">
            <v xml:space="preserve">65% reduction in emissions intensity of GDP relative to 2005 level. Emissions improvement and GDP projections (approximately 7.0% annual growth 2015-20, 5.3% 2020-30) based on projections from NCSC paper.  Assume target covers all CO2. 2005 baseline for all CO2 is 5,936 Mt from China’s 2nd National Communications report .  GLOCAF BAU projections for non CO2 gases: 2,706Mt , LULUCF:-284Mt.    65% gives 14,527Mt. </v>
          </cell>
          <cell r="PI21">
            <v>14527</v>
          </cell>
          <cell r="PJ21" t="str">
            <v>Emissions amount</v>
          </cell>
          <cell r="PK21">
            <v>12810</v>
          </cell>
          <cell r="PL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PM21">
            <v>12810</v>
          </cell>
          <cell r="PN21" t="str">
            <v>Emissions amount</v>
          </cell>
          <cell r="PO21">
            <v>14294</v>
          </cell>
          <cell r="PP21" t="str">
            <v>60% reduction in emissions intensity of GDP relative to 2005 level. Emissions improvement and GDP projections (approximately 6.2% annual growth 2015-20, 4.0% 2020-30) based on IMF/OECD.  Assume target covers all CO2. 2005 baseline for all CO2 is 5,936 Mt from China’s 2nd National Communications report .  GLOCAF BAU projections for non CO2 gases: 2,706Mt , LULUCF:-284Mt.    60% improvement in emissions intensity gives 14,294Mt</v>
          </cell>
          <cell r="PQ21">
            <v>14294</v>
          </cell>
          <cell r="PR21" t="str">
            <v>Emissions amount</v>
          </cell>
          <cell r="PS21">
            <v>12810</v>
          </cell>
          <cell r="PT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PU21">
            <v>12810</v>
          </cell>
          <cell r="PV21" t="str">
            <v>Emissions amount</v>
          </cell>
          <cell r="PW21">
            <v>16256</v>
          </cell>
          <cell r="PX21" t="str">
            <v>60% reduction in emissions intensity of GDP relative to 2005 level. Emissions improvement and GDP projections (approximately 7.0%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PY21">
            <v>16256</v>
          </cell>
          <cell r="PZ21" t="str">
            <v>Emissions amount</v>
          </cell>
          <cell r="QA21">
            <v>14527</v>
          </cell>
          <cell r="QB21" t="str">
            <v xml:space="preserve">65% reduction in emissions intensity of GDP relative to 2005 level. Emissions improvement and GDP projections (approximately 7.0% annual growth 2015-20, 5.3% 2020-30) based on projections from NCSC paper.  Assume target covers all CO2. 2005 baseline for all CO2 is 5,936 Mt from China’s 2nd National Communications report .  GLOCAF BAU projections for non CO2 gases: 2,706Mt , LULUCF:-284Mt.    65% gives 14,527Mt. </v>
          </cell>
          <cell r="QC21">
            <v>14527</v>
          </cell>
          <cell r="QD21" t="str">
            <v>Emissions amount</v>
          </cell>
          <cell r="QE21">
            <v>12810</v>
          </cell>
          <cell r="QF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QG21">
            <v>12810</v>
          </cell>
          <cell r="QH21" t="str">
            <v>Emissions amount</v>
          </cell>
          <cell r="QI21">
            <v>12810</v>
          </cell>
          <cell r="QJ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QK21">
            <v>12810</v>
          </cell>
          <cell r="QL21" t="str">
            <v>Emissions amount</v>
          </cell>
          <cell r="QM21">
            <v>14527</v>
          </cell>
          <cell r="QN21" t="str">
            <v xml:space="preserve">65% reduction in emissions intensity of GDP relative to 2005 level. Emissions improvement and GDP projections (approximately 7.0% annual growth 2015-20, 5.3% 2020-30) based on projections from NCSC paper.  Assume target covers all CO2. 2005 baseline for all CO2 is 5,936 Mt from China’s 2nd National Communications report .  GLOCAF BAU projections for non CO2 gases: 2,706Mt , LULUCF:-284Mt.    65% gives 14,527Mt. </v>
          </cell>
          <cell r="QO21">
            <v>14527</v>
          </cell>
          <cell r="QP21" t="str">
            <v>Emissions amount</v>
          </cell>
          <cell r="QQ21">
            <v>15608</v>
          </cell>
          <cell r="QR21" t="str">
            <v>60% reduction in emissions intensity of GDP relative to 2005 level. Emissions improvement and GDP projections (approximately 6.2% annual growth 2015-20, 4.0% 2020-30) based on IMF/OECD.  Assume target covers all CO2. 2005 baseline for energy CO2 is 5,404 Mt from China’s 2nd National Communications report .  GLOCAF BAU projections for non CO2 gases: 2,706Mt , LULUCF:-284Mt, Industrial CO2 is 2444Mt .    60% improvement in emissions intensity gives 15608Mt</v>
          </cell>
          <cell r="QS21">
            <v>15608</v>
          </cell>
          <cell r="QT21" t="str">
            <v>Emissions amount</v>
          </cell>
          <cell r="QU21">
            <v>13036</v>
          </cell>
          <cell r="QV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5,404 Mt from China’s 2nd National Communications report .  GLOCAF BAU projections for non CO2 gases: 2,706Mt , LULUCF:-284Mt. Industrial CO2 from IEA at 1215Mt.    65% gives 13,036Mt. </v>
          </cell>
          <cell r="QW21">
            <v>13036</v>
          </cell>
          <cell r="QX21" t="str">
            <v>Emissions amount</v>
          </cell>
          <cell r="QY21">
            <v>13036</v>
          </cell>
          <cell r="QZ21" t="str">
            <v xml:space="preserve">65% reduction in emissions intensity of GDP relative to 2005 level. Emissions improvement and GDP projections (approximately 6.3% annual growth 2015-20, 4.0% 2020-30) based on projections from IMF and OECD.  Assume target covers energy CO2. 2005 baseline for energy CO2 is 5,404 Mt from China’s 2nd National Communications report .  GLOCAF BAU projections for non CO2 gases: 2,706Mt , LULUCF:-284Mt. Industrial CO2 is 1215Mt     65% gives 13,036Mt. </v>
          </cell>
          <cell r="RA21">
            <v>13036</v>
          </cell>
          <cell r="RB21" t="str">
            <v>Emissions amount</v>
          </cell>
          <cell r="RC21">
            <v>14294</v>
          </cell>
          <cell r="RD21" t="str">
            <v>60% reduction in emissions intensity of GDP relative to 2005 level. Emissions improvement and GDP projections (approximately 6.2% annual growth 2015-20, 4.0% 2020-30) based on IMF/OECD.  Assume target covers all CO2. 2005 baseline for all CO2 is 5,936 Mt from China’s 2nd National Communications report .  GLOCAF BAU projections for non CO2 gases: 2,706Mt , LULUCF:-284Mt.    60% improvement in emissions intensity gives 14,294Mt</v>
          </cell>
          <cell r="RE21">
            <v>14294</v>
          </cell>
          <cell r="RF21" t="str">
            <v>Emissions amount</v>
          </cell>
          <cell r="RG21">
            <v>12810</v>
          </cell>
          <cell r="RH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RI21">
            <v>12810</v>
          </cell>
          <cell r="RJ21" t="str">
            <v>Emissions amount</v>
          </cell>
          <cell r="RK21">
            <v>16256</v>
          </cell>
          <cell r="RL21" t="str">
            <v>60% reduction in emissions intensity of GDP relative to 2005 level. Emissions improvement and GDP projections (approximately 7.0% annual growth 2015-20, 5.3% 2020-30) based on NCSC paper.  Assume target covers all CO2. 2005 baseline for all CO2 is 5,936 Mt from China’s 2nd National Communications report .  GLOCAF BAU projections for non CO2 gases: 2,706Mt , LULUCF:-284Mt.    60% improvement in emissions intensity gives 16,256Mt</v>
          </cell>
          <cell r="RM21">
            <v>16256</v>
          </cell>
          <cell r="RN21" t="str">
            <v>Emissions amount</v>
          </cell>
          <cell r="RO21">
            <v>14527</v>
          </cell>
          <cell r="RP21" t="str">
            <v xml:space="preserve">65% reduction in emissions intensity of GDP relative to 2005 level. Emissions improvement and GDP projections (approximately 7.0% annual growth 2015-20, 5.3% 2020-30) based on projections from NCSC paper.  Assume target covers all CO2. 2005 baseline for all CO2 is 5,936 Mt from China’s 2nd National Communications report .  GLOCAF BAU projections for non CO2 gases: 2,706Mt , LULUCF:-284Mt.    65% gives 14,527Mt. </v>
          </cell>
          <cell r="RQ21">
            <v>14527</v>
          </cell>
          <cell r="RR21" t="str">
            <v>Emissions amount</v>
          </cell>
          <cell r="RS21">
            <v>12810</v>
          </cell>
          <cell r="RT21" t="str">
            <v xml:space="preserve">65% reduction in emissions intensity of GDP relative to 2005 level. Emissions improvement and GDP projections (approximately 6.3% annual growth 2015-20, 4.0% 2020-30) based on projections from IMF and OECD.  Assume target covers all CO2. 2005 baseline for all CO2 is 5,936 Mt from China’s 2nd National Communications report .  GLOCAF BAU projections for non CO2 gases: 2,706Mt , LULUCF:-284Mt.    65% gives 12,810Mt. </v>
          </cell>
          <cell r="RU21">
            <v>12810</v>
          </cell>
        </row>
        <row r="22">
          <cell r="C22">
            <v>0</v>
          </cell>
          <cell r="D22">
            <v>0</v>
          </cell>
          <cell r="E22">
            <v>0</v>
          </cell>
        </row>
        <row r="23">
          <cell r="A23" t="str">
            <v>Rest of the World</v>
          </cell>
          <cell r="C23">
            <v>0</v>
          </cell>
          <cell r="D23">
            <v>0</v>
          </cell>
          <cell r="E23">
            <v>0</v>
          </cell>
          <cell r="BA23">
            <v>18410.283100622401</v>
          </cell>
          <cell r="BE23">
            <v>18441.816094522401</v>
          </cell>
          <cell r="BI23">
            <v>18454.816094522401</v>
          </cell>
          <cell r="BM23">
            <v>18133.149323246635</v>
          </cell>
          <cell r="BQ23">
            <v>18317.149323246635</v>
          </cell>
          <cell r="BU23">
            <v>17781.632553837455</v>
          </cell>
          <cell r="BY23">
            <v>16249.245209477103</v>
          </cell>
          <cell r="CC23">
            <v>18410.283100622401</v>
          </cell>
          <cell r="CG23">
            <v>18410.283100622401</v>
          </cell>
          <cell r="CK23">
            <v>17866.292980688318</v>
          </cell>
          <cell r="CO23">
            <v>16396.207493322596</v>
          </cell>
          <cell r="CS23">
            <v>16396.207493322596</v>
          </cell>
          <cell r="CW23">
            <v>17866.292980688318</v>
          </cell>
          <cell r="DA23">
            <v>16396.207493322596</v>
          </cell>
          <cell r="DE23">
            <v>16396.207493322596</v>
          </cell>
          <cell r="DI23">
            <v>17866.292980688318</v>
          </cell>
          <cell r="DM23">
            <v>18317.149323246635</v>
          </cell>
          <cell r="DQ23">
            <v>18133.149323246635</v>
          </cell>
          <cell r="DU23">
            <v>18275.334496383501</v>
          </cell>
          <cell r="DY23">
            <v>18104.334496383501</v>
          </cell>
          <cell r="EC23">
            <v>17781.350720874321</v>
          </cell>
          <cell r="EG23">
            <v>16253.734243269777</v>
          </cell>
          <cell r="EK23">
            <v>19468.06765804932</v>
          </cell>
          <cell r="EO23">
            <v>19403.021730908509</v>
          </cell>
          <cell r="ES23">
            <v>19232.021730908509</v>
          </cell>
          <cell r="ET23" t="str">
            <v>Abatement amount</v>
          </cell>
          <cell r="EW23">
            <v>13490.595663169697</v>
          </cell>
          <cell r="EX23" t="str">
            <v>Abatement amount</v>
          </cell>
          <cell r="FA23">
            <v>14810.245220549737</v>
          </cell>
          <cell r="FB23" t="str">
            <v>Abatement amount</v>
          </cell>
          <cell r="FE23">
            <v>16113.135226912835</v>
          </cell>
          <cell r="FI23">
            <v>18072.173724621964</v>
          </cell>
          <cell r="FM23">
            <v>16760.704228848648</v>
          </cell>
          <cell r="FQ23">
            <v>19376.021730908509</v>
          </cell>
          <cell r="FU23">
            <v>19184.025935034839</v>
          </cell>
          <cell r="FV23" t="str">
            <v>Abatement amount</v>
          </cell>
          <cell r="FY23">
            <v>19099.411736113285</v>
          </cell>
          <cell r="FZ23" t="str">
            <v>Abatement amount</v>
          </cell>
          <cell r="GC23">
            <v>17688.518225294803</v>
          </cell>
          <cell r="GD23" t="str">
            <v>Abatement amount</v>
          </cell>
          <cell r="GG23">
            <v>17516.518225294803</v>
          </cell>
          <cell r="GH23" t="str">
            <v>Abatement amount</v>
          </cell>
          <cell r="GK23">
            <v>16894.78107224152</v>
          </cell>
          <cell r="GL23" t="str">
            <v>Abatement amount</v>
          </cell>
          <cell r="GO23">
            <v>13192.952709055719</v>
          </cell>
          <cell r="GP23" t="str">
            <v>Abatement amount</v>
          </cell>
          <cell r="GS23">
            <v>15988.435907843525</v>
          </cell>
          <cell r="GT23" t="str">
            <v>Abatement amount</v>
          </cell>
          <cell r="GW23">
            <v>14578.22943720219</v>
          </cell>
          <cell r="HA23">
            <v>19327.793143627576</v>
          </cell>
          <cell r="HE23">
            <v>19135.793143627576</v>
          </cell>
          <cell r="HI23">
            <v>19327.793143627576</v>
          </cell>
          <cell r="HM23">
            <v>19135.793143627576</v>
          </cell>
          <cell r="HN23" t="str">
            <v>Abatement amount</v>
          </cell>
          <cell r="HQ23">
            <v>17919.100102471737</v>
          </cell>
          <cell r="HR23" t="str">
            <v>Abatement amount</v>
          </cell>
          <cell r="HU23">
            <v>19214.748374596187</v>
          </cell>
          <cell r="HV23" t="str">
            <v>Abatement amount</v>
          </cell>
          <cell r="HY23">
            <v>19214.748374596187</v>
          </cell>
          <cell r="IC23">
            <v>19338.793143627576</v>
          </cell>
          <cell r="IG23">
            <v>19167.793143627576</v>
          </cell>
          <cell r="IK23">
            <v>18025.847283551386</v>
          </cell>
          <cell r="IO23">
            <v>19322.529963420304</v>
          </cell>
          <cell r="IS23">
            <v>19129.529963420304</v>
          </cell>
          <cell r="IU23">
            <v>1700</v>
          </cell>
          <cell r="IV23">
            <v>432.90538810357612</v>
          </cell>
          <cell r="IW23">
            <v>19222.43064626259</v>
          </cell>
          <cell r="IY23">
            <v>1670</v>
          </cell>
          <cell r="IZ23">
            <v>-9.4611896424112274E-2</v>
          </cell>
          <cell r="JA23">
            <v>17834.304381690446</v>
          </cell>
          <cell r="JE23">
            <v>19296.973547537869</v>
          </cell>
          <cell r="JI23">
            <v>19143.973547537869</v>
          </cell>
          <cell r="JM23">
            <v>19143.973547537869</v>
          </cell>
          <cell r="JQ23">
            <v>19176.43064626259</v>
          </cell>
          <cell r="JU23">
            <v>17777.304381690446</v>
          </cell>
          <cell r="JY23">
            <v>19214.244929809764</v>
          </cell>
          <cell r="KC23">
            <v>18897.244929809764</v>
          </cell>
          <cell r="KG23">
            <v>19345.973547537869</v>
          </cell>
          <cell r="KK23">
            <v>19174.973547537869</v>
          </cell>
          <cell r="KO23">
            <v>19174.973547537869</v>
          </cell>
          <cell r="KS23">
            <v>18897.244929809764</v>
          </cell>
          <cell r="KW23">
            <v>19176.43064626259</v>
          </cell>
          <cell r="LA23">
            <v>17777.304381690446</v>
          </cell>
          <cell r="LE23">
            <v>19214.244929809764</v>
          </cell>
          <cell r="LI23">
            <v>19561</v>
          </cell>
          <cell r="LM23">
            <v>19589</v>
          </cell>
          <cell r="LQ23">
            <v>19376</v>
          </cell>
          <cell r="LU23">
            <v>19352</v>
          </cell>
          <cell r="LY23">
            <v>18704</v>
          </cell>
          <cell r="MC23">
            <v>19371</v>
          </cell>
          <cell r="MG23">
            <v>19196</v>
          </cell>
          <cell r="MK23">
            <v>17208</v>
          </cell>
          <cell r="MO23">
            <v>18548</v>
          </cell>
          <cell r="MS23">
            <v>17845</v>
          </cell>
          <cell r="MW23">
            <v>17208</v>
          </cell>
          <cell r="NA23">
            <v>19371</v>
          </cell>
          <cell r="NE23">
            <v>19196</v>
          </cell>
          <cell r="NI23">
            <v>19370</v>
          </cell>
          <cell r="NM23">
            <v>18547</v>
          </cell>
          <cell r="NQ23">
            <v>19360.510000000002</v>
          </cell>
          <cell r="NU23">
            <v>18282</v>
          </cell>
          <cell r="NY23">
            <v>19360.510000000002</v>
          </cell>
          <cell r="OC23">
            <v>18282</v>
          </cell>
          <cell r="OG23">
            <v>17645</v>
          </cell>
          <cell r="OK23">
            <v>17971.801575888683</v>
          </cell>
          <cell r="OO23">
            <v>17991.295780015011</v>
          </cell>
          <cell r="OS23">
            <v>19055.801575888683</v>
          </cell>
          <cell r="OW23">
            <v>18777</v>
          </cell>
          <cell r="PA23">
            <v>19351.510000000002</v>
          </cell>
          <cell r="PE23">
            <v>19351.510000000002</v>
          </cell>
          <cell r="PI23">
            <v>18777</v>
          </cell>
          <cell r="PM23">
            <v>18018</v>
          </cell>
          <cell r="PQ23">
            <v>19805.510000000002</v>
          </cell>
          <cell r="PU23">
            <v>19219</v>
          </cell>
          <cell r="PY23">
            <v>19805.510000000002</v>
          </cell>
          <cell r="QC23">
            <v>19248</v>
          </cell>
          <cell r="QG23">
            <v>18488</v>
          </cell>
          <cell r="QK23">
            <v>19565</v>
          </cell>
          <cell r="QO23">
            <v>19594</v>
          </cell>
          <cell r="QS23">
            <v>19340.52436729594</v>
          </cell>
          <cell r="QW23">
            <v>19381.239333685404</v>
          </cell>
          <cell r="RA23">
            <v>18355.295780015011</v>
          </cell>
          <cell r="RE23">
            <v>19806</v>
          </cell>
          <cell r="RI23">
            <v>19594</v>
          </cell>
          <cell r="RM23">
            <v>19806</v>
          </cell>
          <cell r="RQ23">
            <v>19594</v>
          </cell>
          <cell r="RU23">
            <v>18488</v>
          </cell>
        </row>
        <row r="24">
          <cell r="A24" t="str">
            <v>Indonesia</v>
          </cell>
          <cell r="B24" t="str">
            <v>Abatement amount</v>
          </cell>
          <cell r="C24">
            <v>490.68536929664356</v>
          </cell>
          <cell r="D24">
            <v>0</v>
          </cell>
          <cell r="E24">
            <v>783.43183449102503</v>
          </cell>
          <cell r="F24" t="str">
            <v>Abatement amount</v>
          </cell>
          <cell r="G24">
            <v>233.51225222956873</v>
          </cell>
          <cell r="I24">
            <v>1040.6049515580999</v>
          </cell>
          <cell r="J24" t="str">
            <v>Abatement amount</v>
          </cell>
          <cell r="K24">
            <v>254.82344055175781</v>
          </cell>
          <cell r="M24">
            <v>1019.2937632359108</v>
          </cell>
          <cell r="N24" t="str">
            <v>Abatement amount</v>
          </cell>
          <cell r="O24">
            <v>254.82344055175781</v>
          </cell>
          <cell r="Q24">
            <v>1019.2937632359108</v>
          </cell>
          <cell r="R24" t="str">
            <v>Abatement amount</v>
          </cell>
          <cell r="S24">
            <v>382.23516845703125</v>
          </cell>
          <cell r="U24">
            <v>891.88203533063734</v>
          </cell>
          <cell r="V24" t="str">
            <v>Abatement amount</v>
          </cell>
          <cell r="W24">
            <v>439.77279663085938</v>
          </cell>
          <cell r="Y24">
            <v>834.34440715680921</v>
          </cell>
          <cell r="Z24" t="str">
            <v>Abatement amount</v>
          </cell>
          <cell r="AA24">
            <v>490.68533325195313</v>
          </cell>
          <cell r="AC24">
            <v>783.43187053571546</v>
          </cell>
          <cell r="AD24" t="str">
            <v>Abatement amount</v>
          </cell>
          <cell r="AE24">
            <v>224.07600402832031</v>
          </cell>
          <cell r="AG24">
            <v>1050.0411997593483</v>
          </cell>
          <cell r="AH24" t="str">
            <v>Abatement amount</v>
          </cell>
          <cell r="AI24">
            <v>254.82344055175793</v>
          </cell>
          <cell r="AK24">
            <v>1019.2937632359107</v>
          </cell>
          <cell r="AL24" t="str">
            <v>Abatement amount</v>
          </cell>
          <cell r="AM24">
            <v>254.82344055175793</v>
          </cell>
          <cell r="AO24">
            <v>1019.2937632359107</v>
          </cell>
          <cell r="AP24" t="str">
            <v>Abatement amount</v>
          </cell>
          <cell r="AQ24">
            <v>382.23516845703125</v>
          </cell>
          <cell r="AS24">
            <v>891.88203533063734</v>
          </cell>
          <cell r="AT24" t="str">
            <v>Abatement amount</v>
          </cell>
          <cell r="AU24">
            <v>439.77279663085949</v>
          </cell>
          <cell r="AW24">
            <v>834.3444071568091</v>
          </cell>
          <cell r="AX24" t="str">
            <v>Emissions amount</v>
          </cell>
          <cell r="AY24">
            <v>1274.1172037876686</v>
          </cell>
          <cell r="BA24">
            <v>1274.1172037876686</v>
          </cell>
          <cell r="BB24" t="str">
            <v>Emissions amount</v>
          </cell>
          <cell r="BC24">
            <v>1274.1172037876686</v>
          </cell>
          <cell r="BE24">
            <v>1274.1172037876686</v>
          </cell>
          <cell r="BF24" t="str">
            <v>Emissions amount</v>
          </cell>
          <cell r="BG24">
            <v>1274.1172037876686</v>
          </cell>
          <cell r="BI24">
            <v>1274.1172037876686</v>
          </cell>
          <cell r="BJ24" t="str">
            <v>Emissions amount</v>
          </cell>
          <cell r="BK24">
            <v>1274.1172037876686</v>
          </cell>
          <cell r="BM24">
            <v>1274.1172037876686</v>
          </cell>
          <cell r="BN24" t="str">
            <v>Emissions amount</v>
          </cell>
          <cell r="BO24">
            <v>1274.1172037876686</v>
          </cell>
          <cell r="BQ24">
            <v>1274.1172037876686</v>
          </cell>
          <cell r="BR24" t="str">
            <v>Emissions amount</v>
          </cell>
          <cell r="BS24">
            <v>1019.2937632359108</v>
          </cell>
          <cell r="BU24">
            <v>1019.2937632359108</v>
          </cell>
          <cell r="BV24" t="str">
            <v>Emissions amount</v>
          </cell>
          <cell r="BW24">
            <v>891.88203533063734</v>
          </cell>
          <cell r="BY24">
            <v>891.88203533063734</v>
          </cell>
          <cell r="BZ24" t="str">
            <v>Emissions amount</v>
          </cell>
          <cell r="CA24">
            <v>1274.1172037876686</v>
          </cell>
          <cell r="CC24">
            <v>1274.1172037876686</v>
          </cell>
          <cell r="CD24" t="str">
            <v>Emissions amount</v>
          </cell>
          <cell r="CE24">
            <v>1274.1172037876686</v>
          </cell>
          <cell r="CG24">
            <v>1274.1172037876686</v>
          </cell>
          <cell r="CH24" t="str">
            <v>Abatement amount</v>
          </cell>
          <cell r="CI24">
            <v>254.82344055175781</v>
          </cell>
          <cell r="CK24">
            <v>1019.2937632359108</v>
          </cell>
          <cell r="CL24" t="str">
            <v>Abatement amount</v>
          </cell>
          <cell r="CM24">
            <v>382.23516845703125</v>
          </cell>
          <cell r="CO24">
            <v>891.88203533063734</v>
          </cell>
          <cell r="CP24" t="str">
            <v>Abatement amount</v>
          </cell>
          <cell r="CQ24">
            <v>382.23516845703125</v>
          </cell>
          <cell r="CS24">
            <v>891.88203533063734</v>
          </cell>
          <cell r="CT24" t="str">
            <v>Abatement amount</v>
          </cell>
          <cell r="CU24">
            <v>254.82344055175781</v>
          </cell>
          <cell r="CW24">
            <v>1019.2937632359108</v>
          </cell>
          <cell r="CX24" t="str">
            <v>Abatement amount</v>
          </cell>
          <cell r="CY24">
            <v>382.23516845703125</v>
          </cell>
          <cell r="DA24">
            <v>891.88203533063734</v>
          </cell>
          <cell r="DB24" t="str">
            <v>Abatement amount</v>
          </cell>
          <cell r="DC24">
            <v>382.23516845703125</v>
          </cell>
          <cell r="DE24">
            <v>891.88203533063734</v>
          </cell>
          <cell r="DF24" t="str">
            <v>Abatement amount</v>
          </cell>
          <cell r="DG24">
            <v>254.82344055175781</v>
          </cell>
          <cell r="DI24">
            <v>1019.2937632359108</v>
          </cell>
          <cell r="DJ24" t="str">
            <v>Emissions amount</v>
          </cell>
          <cell r="DK24">
            <v>1274.1172037876686</v>
          </cell>
          <cell r="DM24">
            <v>1274.1172037876686</v>
          </cell>
          <cell r="DN24" t="str">
            <v>Emissions amount</v>
          </cell>
          <cell r="DO24">
            <v>1274.1172037876686</v>
          </cell>
          <cell r="DQ24">
            <v>1274.1172037876686</v>
          </cell>
          <cell r="DR24" t="str">
            <v>Emissions amount</v>
          </cell>
          <cell r="DS24">
            <v>1274.1172037876686</v>
          </cell>
          <cell r="DU24">
            <v>1274.1172037876686</v>
          </cell>
          <cell r="DV24" t="str">
            <v>Emissions amount</v>
          </cell>
          <cell r="DW24">
            <v>1274.1172037876686</v>
          </cell>
          <cell r="DY24">
            <v>1274.1172037876686</v>
          </cell>
          <cell r="DZ24" t="str">
            <v>Abatement amount</v>
          </cell>
          <cell r="EA24">
            <v>254.82344055175781</v>
          </cell>
          <cell r="EC24">
            <v>1019.2937632359108</v>
          </cell>
          <cell r="ED24" t="str">
            <v>Emissions amount</v>
          </cell>
          <cell r="EE24">
            <v>892</v>
          </cell>
          <cell r="EG24">
            <v>892</v>
          </cell>
          <cell r="EH24" t="str">
            <v>Abatement amount</v>
          </cell>
          <cell r="EI24">
            <v>0</v>
          </cell>
          <cell r="EK24">
            <v>1232.9053881035759</v>
          </cell>
          <cell r="EL24" t="str">
            <v>Abatement amount</v>
          </cell>
          <cell r="EM24">
            <v>0</v>
          </cell>
          <cell r="EO24">
            <v>1232.9053881035759</v>
          </cell>
          <cell r="EP24" t="str">
            <v>Abatement amount</v>
          </cell>
          <cell r="EQ24">
            <v>0</v>
          </cell>
          <cell r="ES24">
            <v>1232.9053881035759</v>
          </cell>
          <cell r="ET24" t="str">
            <v>Abatement amount</v>
          </cell>
          <cell r="EU24">
            <v>430.07082796182897</v>
          </cell>
          <cell r="EW24">
            <v>802.83456014174692</v>
          </cell>
          <cell r="EX24" t="str">
            <v>Abatement amount</v>
          </cell>
          <cell r="EY24">
            <v>310.90662589924762</v>
          </cell>
          <cell r="FA24">
            <v>921.99876220432827</v>
          </cell>
          <cell r="FB24" t="str">
            <v>Abatement amount</v>
          </cell>
          <cell r="FC24">
            <v>224.01067964094264</v>
          </cell>
          <cell r="FE24">
            <v>1008.8947084626333</v>
          </cell>
          <cell r="FF24" t="str">
            <v>Abatement amount</v>
          </cell>
          <cell r="FG24">
            <v>0</v>
          </cell>
          <cell r="FI24">
            <v>1232.9053881035759</v>
          </cell>
          <cell r="FJ24" t="str">
            <v>Abatement amount</v>
          </cell>
          <cell r="FK24">
            <v>0</v>
          </cell>
          <cell r="FM24">
            <v>1232.9053881035759</v>
          </cell>
          <cell r="FN24" t="str">
            <v>Abatement amount</v>
          </cell>
          <cell r="FO24">
            <v>0</v>
          </cell>
          <cell r="FQ24">
            <v>1232.9053881035759</v>
          </cell>
          <cell r="FR24" t="str">
            <v>Abatement amount</v>
          </cell>
          <cell r="FS24">
            <v>0</v>
          </cell>
          <cell r="FU24">
            <v>1232.9053881035759</v>
          </cell>
          <cell r="FV24" t="str">
            <v>Abatement amount</v>
          </cell>
          <cell r="FW24">
            <v>0</v>
          </cell>
          <cell r="FY24">
            <v>1232.9053881035759</v>
          </cell>
          <cell r="FZ24" t="str">
            <v>Abatement amount</v>
          </cell>
          <cell r="GA24">
            <v>0</v>
          </cell>
          <cell r="GC24">
            <v>1232.9053881035759</v>
          </cell>
          <cell r="GD24" t="str">
            <v>Abatement amount</v>
          </cell>
          <cell r="GE24">
            <v>0</v>
          </cell>
          <cell r="GG24">
            <v>1232.9053881035759</v>
          </cell>
          <cell r="GH24" t="str">
            <v>Abatement amount</v>
          </cell>
          <cell r="GI24">
            <v>0</v>
          </cell>
          <cell r="GK24">
            <v>1232.9053881035759</v>
          </cell>
          <cell r="GL24" t="str">
            <v>Abatement amount</v>
          </cell>
          <cell r="GM24">
            <v>451.48582611195934</v>
          </cell>
          <cell r="GO24">
            <v>781.41956199161655</v>
          </cell>
          <cell r="GP24" t="str">
            <v>Abatement amount</v>
          </cell>
          <cell r="GQ24">
            <v>232.33692161119177</v>
          </cell>
          <cell r="GS24">
            <v>1000.5684664923841</v>
          </cell>
          <cell r="GT24" t="str">
            <v>Abatement amount</v>
          </cell>
          <cell r="GU24">
            <v>326.39352891538783</v>
          </cell>
          <cell r="GW24">
            <v>906.51185918818805</v>
          </cell>
          <cell r="GX24" t="str">
            <v>Abatement amount</v>
          </cell>
          <cell r="GY24">
            <v>0</v>
          </cell>
          <cell r="HA24">
            <v>1232.9053881035759</v>
          </cell>
          <cell r="HB24" t="str">
            <v>Abatement amount</v>
          </cell>
          <cell r="HC24">
            <v>0</v>
          </cell>
          <cell r="HE24">
            <v>1232.9053881035759</v>
          </cell>
          <cell r="HF24" t="str">
            <v>Abatement amount</v>
          </cell>
          <cell r="HG24">
            <v>0</v>
          </cell>
          <cell r="HI24">
            <v>1232.9053881035759</v>
          </cell>
          <cell r="HJ24" t="str">
            <v>Abatement amount</v>
          </cell>
          <cell r="HK24">
            <v>0</v>
          </cell>
          <cell r="HM24">
            <v>1232.9053881035759</v>
          </cell>
          <cell r="HN24" t="str">
            <v>Abatement amount</v>
          </cell>
          <cell r="HO24">
            <v>0</v>
          </cell>
          <cell r="HQ24">
            <v>1232.9053881035759</v>
          </cell>
          <cell r="HR24" t="str">
            <v>Abatement amount</v>
          </cell>
          <cell r="HS24">
            <v>0</v>
          </cell>
          <cell r="HU24">
            <v>1232.9053881035759</v>
          </cell>
          <cell r="HV24" t="str">
            <v>Abatement amount</v>
          </cell>
          <cell r="HW24">
            <v>0</v>
          </cell>
          <cell r="HX24" t="str">
            <v xml:space="preserve">0% on GLOCAF BAU </v>
          </cell>
          <cell r="HY24">
            <v>1232.9053881035759</v>
          </cell>
          <cell r="HZ24" t="str">
            <v>Abatement amount</v>
          </cell>
          <cell r="IA24">
            <v>0</v>
          </cell>
          <cell r="IB24" t="str">
            <v>GLOCAF BAU</v>
          </cell>
          <cell r="IC24">
            <v>1232.9053881035759</v>
          </cell>
          <cell r="ID24" t="str">
            <v>Abatement amount</v>
          </cell>
          <cell r="IE24">
            <v>0</v>
          </cell>
          <cell r="IF24" t="str">
            <v>GLOCAF BAU</v>
          </cell>
          <cell r="IG24">
            <v>1232.9053881035759</v>
          </cell>
          <cell r="IH24" t="str">
            <v>Abatement amount</v>
          </cell>
          <cell r="II24">
            <v>0</v>
          </cell>
          <cell r="IJ24" t="str">
            <v>0% on BAU- anticipates Indonesia's BAU to be much higher than GLOCAF's - meaning GLOCAF would be binding under some INDC scenarios where there is abatement off their BAU</v>
          </cell>
          <cell r="IK24">
            <v>1232.9053881035759</v>
          </cell>
          <cell r="IL24" t="str">
            <v>Abatement amount</v>
          </cell>
          <cell r="IM24">
            <v>0</v>
          </cell>
          <cell r="IN24" t="str">
            <v>GLOCAF BAU</v>
          </cell>
          <cell r="IO24">
            <v>1232.9053881035759</v>
          </cell>
          <cell r="IP24" t="str">
            <v>Abatement amount</v>
          </cell>
          <cell r="IQ24">
            <v>0</v>
          </cell>
          <cell r="IR24" t="str">
            <v>GLOCAF BAU</v>
          </cell>
          <cell r="IS24">
            <v>1232.9053881035759</v>
          </cell>
          <cell r="IT24" t="str">
            <v>Abatement amount</v>
          </cell>
          <cell r="IU24">
            <v>0</v>
          </cell>
          <cell r="IV24" t="str">
            <v>Assume peat emissions is 900Mt. GLOCAF BAU excludes peat emissions, so including peat will bring BAU emissions to 2133Mt. Comparing this with Indonesia's unconditional target emissions at 2132Mt incl peat (26% on BAU, BAU taken from a domestic consultation slide) , this represents no abatement from GLOCAF BAU.</v>
          </cell>
          <cell r="IW24">
            <v>1232.9053881035759</v>
          </cell>
          <cell r="IX24" t="str">
            <v>Abatement amount</v>
          </cell>
          <cell r="IY24">
            <v>0</v>
          </cell>
          <cell r="IZ24" t="str">
            <v>Assume peat emissions is 900Mt. GLOCAF BAU excludes peat emissions, so including peat will bring BAU emissions to 2133Mt. Comparing this with Indonesia's conditional target emissions at 1670Mt incl peat (41% on BAU, BAU taken from a domestic consultation slide) , this represents 463Mt of abatement from GLOCAF BAU.</v>
          </cell>
          <cell r="JA24">
            <v>1232.9053881035759</v>
          </cell>
          <cell r="JB24" t="str">
            <v>Abatement amount</v>
          </cell>
          <cell r="JC24">
            <v>0</v>
          </cell>
          <cell r="JD24" t="str">
            <v>GLOCAF BAU</v>
          </cell>
          <cell r="JE24">
            <v>1232.9053881035759</v>
          </cell>
          <cell r="JF24" t="str">
            <v>Abatement amount</v>
          </cell>
          <cell r="JG24">
            <v>0</v>
          </cell>
          <cell r="JH24" t="str">
            <v>GLOCAF BAU</v>
          </cell>
          <cell r="JI24">
            <v>1232.9053881035759</v>
          </cell>
          <cell r="JJ24" t="str">
            <v>Abatement amount</v>
          </cell>
          <cell r="JK24">
            <v>0</v>
          </cell>
          <cell r="JL24" t="str">
            <v>GLOCAF BAU</v>
          </cell>
          <cell r="JM24">
            <v>1232.9053881035759</v>
          </cell>
          <cell r="JN24" t="str">
            <v>Abatement amount</v>
          </cell>
          <cell r="JO24">
            <v>0</v>
          </cell>
          <cell r="JP24" t="str">
            <v>Assume peat emissions is 900Mt. GLOCAF BAU excludes peat emissions, so including peat will bring BAU emissions to 2133Mt. Comparing this with Indonesia's unconditional target emissions at 2132Mt incl peat (26% on BAU, BAU taken from a domestic consultation slide) , this represents no abatement from GLOCAF BAU.</v>
          </cell>
          <cell r="JQ24">
            <v>1232.9053881035759</v>
          </cell>
          <cell r="JR24" t="str">
            <v>Abatement amount</v>
          </cell>
          <cell r="JS24">
            <v>0</v>
          </cell>
          <cell r="JT24" t="str">
            <v>Assume peat emissions is 900Mt. GLOCAF BAU excludes peat emissions, so including peat will bring BAU emissions to 2133Mt. Comparing this with Indonesia's conditional target emissions at 1670Mt incl peat (41% on BAU, BAU taken from a domestic consultation slide) , this represents 463Mt of abatement from GLOCAF BAU.  The 41% reduction is not included in this scenario because we think Indonesia will not hit this conditional target and including it in the global total would make the number look overly optimistic.</v>
          </cell>
          <cell r="JU24">
            <v>1232.9053881035759</v>
          </cell>
          <cell r="JV24" t="str">
            <v>Abatement amount</v>
          </cell>
          <cell r="JW24">
            <v>0</v>
          </cell>
          <cell r="JX24" t="str">
            <v>GLOCAF BAU</v>
          </cell>
          <cell r="JY24">
            <v>1232.9053881035759</v>
          </cell>
          <cell r="JZ24" t="str">
            <v>Abatement amount</v>
          </cell>
          <cell r="KA24">
            <v>0</v>
          </cell>
          <cell r="KB24" t="str">
            <v>GLOCAF BAU</v>
          </cell>
          <cell r="KC24">
            <v>1232.9053881035759</v>
          </cell>
          <cell r="KD24" t="str">
            <v>Abatement amount</v>
          </cell>
          <cell r="KE24">
            <v>0</v>
          </cell>
          <cell r="KF24" t="str">
            <v>GLOCAF BAU</v>
          </cell>
          <cell r="KG24">
            <v>1232.9053881035759</v>
          </cell>
          <cell r="KH24" t="str">
            <v>Abatement amount</v>
          </cell>
          <cell r="KI24">
            <v>0</v>
          </cell>
          <cell r="KJ24" t="str">
            <v>GLOCAF BAU</v>
          </cell>
          <cell r="KK24">
            <v>1232.9053881035759</v>
          </cell>
          <cell r="KL24" t="str">
            <v>Abatement amount</v>
          </cell>
          <cell r="KM24">
            <v>0</v>
          </cell>
          <cell r="KN24" t="str">
            <v>GLOCAF BAU</v>
          </cell>
          <cell r="KO24">
            <v>1232.9053881035759</v>
          </cell>
          <cell r="KP24" t="str">
            <v>Abatement amount</v>
          </cell>
          <cell r="KQ24">
            <v>0</v>
          </cell>
          <cell r="KR24" t="str">
            <v>GLOCAF BAU</v>
          </cell>
          <cell r="KS24">
            <v>1232.9053881035759</v>
          </cell>
          <cell r="KT24" t="str">
            <v>Abatement amount</v>
          </cell>
          <cell r="KU24">
            <v>0</v>
          </cell>
          <cell r="KV24" t="str">
            <v>Assume peat emissions is 900Mt. GLOCAF BAU excludes peat emissions, so including peat will bring BAU emissions to 2133Mt. Comparing this with Indonesia's unconditional target emissions at 2132Mt incl peat (26% on BAU, BAU taken from a domestic consultation slide) , this represents no abatement from GLOCAF BAU.</v>
          </cell>
          <cell r="KW24">
            <v>1232.9053881035759</v>
          </cell>
          <cell r="KX24" t="str">
            <v>Abatement amount</v>
          </cell>
          <cell r="KY24">
            <v>0</v>
          </cell>
          <cell r="KZ24" t="str">
            <v>Assume peat emissions is 900Mt. GLOCAF BAU excludes peat emissions, so including peat will bring BAU emissions to 2133Mt. Comparing this with Indonesia's conditional target emissions at 1670Mt incl peat (41% on BAU, BAU taken from a domestic consultation slide) , this represents 463Mt of abatement from GLOCAF BAU.  The 41% reduction is not included in this scenario because we think Indonesia will not hit this conditional target and including it in the global total would make the number look overly optimistic.</v>
          </cell>
          <cell r="LA24">
            <v>1232.9053881035759</v>
          </cell>
          <cell r="LB24" t="str">
            <v>Abatement amount</v>
          </cell>
          <cell r="LC24">
            <v>0</v>
          </cell>
          <cell r="LD24" t="str">
            <v>GLOCAF BAU</v>
          </cell>
          <cell r="LE24">
            <v>1232.9053881035759</v>
          </cell>
          <cell r="LF24" t="str">
            <v>Emissions amount</v>
          </cell>
          <cell r="LG24">
            <v>1233</v>
          </cell>
          <cell r="LH24" t="str">
            <v>GLOCAF BAU</v>
          </cell>
          <cell r="LI24">
            <v>1233</v>
          </cell>
          <cell r="LJ24" t="str">
            <v>Emissions amount</v>
          </cell>
          <cell r="LK24">
            <v>1233</v>
          </cell>
          <cell r="LL24" t="str">
            <v>GLOCAF BAU</v>
          </cell>
          <cell r="LM24">
            <v>1233</v>
          </cell>
          <cell r="LN24" t="str">
            <v>Emissions amount</v>
          </cell>
          <cell r="LO24">
            <v>1233</v>
          </cell>
          <cell r="LP24" t="str">
            <v>GLOCAF BAU</v>
          </cell>
          <cell r="LQ24">
            <v>1233</v>
          </cell>
          <cell r="LR24" t="str">
            <v>Emissions amount</v>
          </cell>
          <cell r="LS24">
            <v>1233</v>
          </cell>
          <cell r="LT24" t="str">
            <v>GLOCAF BAU</v>
          </cell>
          <cell r="LU24">
            <v>1233</v>
          </cell>
          <cell r="LV24" t="str">
            <v>Emissions amount</v>
          </cell>
          <cell r="LW24">
            <v>770</v>
          </cell>
          <cell r="LX24" t="str">
            <v>GLOCAF BAU</v>
          </cell>
          <cell r="LY24">
            <v>770</v>
          </cell>
          <cell r="LZ24" t="str">
            <v>Emissions amount</v>
          </cell>
          <cell r="MA24">
            <v>1233</v>
          </cell>
          <cell r="MB24" t="str">
            <v>GLOCAF BAU</v>
          </cell>
          <cell r="MC24">
            <v>1233</v>
          </cell>
          <cell r="MD24" t="str">
            <v>Emissions amount</v>
          </cell>
          <cell r="ME24">
            <v>1233</v>
          </cell>
          <cell r="MF24" t="str">
            <v>Unconditional target</v>
          </cell>
          <cell r="MG24">
            <v>1233</v>
          </cell>
          <cell r="MH24" t="str">
            <v>Emissions amount</v>
          </cell>
          <cell r="MI24">
            <v>770</v>
          </cell>
          <cell r="MJ24" t="str">
            <v>Conditional target</v>
          </cell>
          <cell r="MK24">
            <v>770</v>
          </cell>
          <cell r="ML24" t="str">
            <v>Emissions amount</v>
          </cell>
          <cell r="MM24">
            <v>1233</v>
          </cell>
          <cell r="MN24" t="str">
            <v>GLOCAF BAU</v>
          </cell>
          <cell r="MO24">
            <v>1233</v>
          </cell>
          <cell r="MP24" t="str">
            <v>Emissions amount</v>
          </cell>
          <cell r="MQ24">
            <v>770</v>
          </cell>
          <cell r="MR24" t="str">
            <v>1670-900</v>
          </cell>
          <cell r="MS24">
            <v>770</v>
          </cell>
          <cell r="MT24" t="str">
            <v>Emissions amount</v>
          </cell>
          <cell r="MU24">
            <v>770</v>
          </cell>
          <cell r="MV24" t="str">
            <v>Conditional target</v>
          </cell>
          <cell r="MW24">
            <v>770</v>
          </cell>
          <cell r="MX24" t="str">
            <v>Emissions amount</v>
          </cell>
          <cell r="MY24">
            <v>1233</v>
          </cell>
          <cell r="MZ24" t="str">
            <v>GLOCAF BAU</v>
          </cell>
          <cell r="NA24">
            <v>1233</v>
          </cell>
          <cell r="NB24" t="str">
            <v>Emissions amount</v>
          </cell>
          <cell r="NC24">
            <v>1233</v>
          </cell>
          <cell r="ND24" t="str">
            <v>Unconditional target</v>
          </cell>
          <cell r="NE24">
            <v>1233</v>
          </cell>
          <cell r="NF24" t="str">
            <v>Emissions amount</v>
          </cell>
          <cell r="NG24">
            <v>1232</v>
          </cell>
          <cell r="NH24" t="str">
            <v>GLOCAF BAU</v>
          </cell>
          <cell r="NI24">
            <v>1232</v>
          </cell>
          <cell r="NJ24" t="str">
            <v>Emissions amount</v>
          </cell>
          <cell r="NK24">
            <v>1232</v>
          </cell>
          <cell r="NM24">
            <v>1232</v>
          </cell>
          <cell r="NN24" t="str">
            <v>Emissions amount</v>
          </cell>
          <cell r="NO24">
            <v>2045.51</v>
          </cell>
          <cell r="NP24" t="str">
            <v>BAU is 2881Mt in 2030. 29% reduction on BAU gives 2046Mt</v>
          </cell>
          <cell r="NQ24">
            <v>2045.51</v>
          </cell>
          <cell r="NR24" t="str">
            <v>Emissions amount</v>
          </cell>
          <cell r="NS24">
            <v>1207</v>
          </cell>
          <cell r="NT24" t="str">
            <v>BAU is 2881Mt in 2030. Conditional 41% reduction on BAU gives 1207Mt</v>
          </cell>
          <cell r="NU24">
            <v>1207</v>
          </cell>
          <cell r="NV24" t="str">
            <v>Emissions amount</v>
          </cell>
          <cell r="NW24">
            <v>2045.51</v>
          </cell>
          <cell r="NX24" t="str">
            <v>BAU is 2881Mt in 2030. 29% reduction on BAU gives 2046Mt</v>
          </cell>
          <cell r="NY24">
            <v>2045.51</v>
          </cell>
          <cell r="NZ24" t="str">
            <v>Emissions amount</v>
          </cell>
          <cell r="OA24">
            <v>1207</v>
          </cell>
          <cell r="OB24" t="str">
            <v>BAU is 2881Mt in 2030. Conditional 41% reduction on BAU gives 1207Mt</v>
          </cell>
          <cell r="OC24">
            <v>1207</v>
          </cell>
          <cell r="OD24" t="str">
            <v>Emissions amount</v>
          </cell>
          <cell r="OE24">
            <v>1207</v>
          </cell>
          <cell r="OF24" t="str">
            <v>BAU is 2881Mt in 2030. Conditional 41% reduction on BAU gives 1207Mt</v>
          </cell>
          <cell r="OG24">
            <v>1207</v>
          </cell>
          <cell r="OH24" t="str">
            <v>Emissions amount</v>
          </cell>
          <cell r="OI24">
            <v>2045.51</v>
          </cell>
          <cell r="OJ24" t="str">
            <v>BAU is 2881Mt in 2030. 29% reduction on BAU gives 2046Mt</v>
          </cell>
          <cell r="OK24">
            <v>2045.51</v>
          </cell>
          <cell r="OL24" t="str">
            <v>Emissions amount</v>
          </cell>
          <cell r="OM24">
            <v>1207</v>
          </cell>
          <cell r="ON24" t="str">
            <v>BAU is 2881Mt in 2030. Conditional 41% reduction on BAU gives 1207Mt</v>
          </cell>
          <cell r="OO24">
            <v>1207</v>
          </cell>
          <cell r="OP24" t="str">
            <v>Emissions amount</v>
          </cell>
          <cell r="OQ24">
            <v>2045.51</v>
          </cell>
          <cell r="OR24" t="str">
            <v>BAU is 2881Mt in 2030. 29% reduction on BAU gives 2046Mt</v>
          </cell>
          <cell r="OS24">
            <v>2045.51</v>
          </cell>
          <cell r="OT24" t="str">
            <v>Emissions amount</v>
          </cell>
          <cell r="OU24">
            <v>1700</v>
          </cell>
          <cell r="OV24" t="str">
            <v>BAU is 2881Mt in 2030. Conditional 41% reduction on BAU gives 1700Mt</v>
          </cell>
          <cell r="OW24">
            <v>1700</v>
          </cell>
          <cell r="OX24" t="str">
            <v>Emissions amount</v>
          </cell>
          <cell r="OY24">
            <v>2045.51</v>
          </cell>
          <cell r="OZ24" t="str">
            <v>BAU is 2881Mt in 2030. 29% reduction on BAU gives 2046Mt</v>
          </cell>
          <cell r="PA24">
            <v>2045.51</v>
          </cell>
          <cell r="PB24" t="str">
            <v>Emissions amount</v>
          </cell>
          <cell r="PC24">
            <v>2045.51</v>
          </cell>
          <cell r="PD24" t="str">
            <v>BAU is 2881Mt in 2030. 29% reduction on BAU gives 2046Mt</v>
          </cell>
          <cell r="PE24">
            <v>2045.51</v>
          </cell>
          <cell r="PF24" t="str">
            <v>Emissions amount</v>
          </cell>
          <cell r="PG24">
            <v>1700</v>
          </cell>
          <cell r="PH24" t="str">
            <v>BAU is 2881Mt in 2030. Conditional 41% reduction on BAU gives 1700Mt</v>
          </cell>
          <cell r="PI24">
            <v>1700</v>
          </cell>
          <cell r="PJ24" t="str">
            <v>Emissions amount</v>
          </cell>
          <cell r="PK24">
            <v>1700</v>
          </cell>
          <cell r="PL24" t="str">
            <v>BAU is 2881Mt in 2030. Conditional 41% reduction on BAU gives 1700Mt</v>
          </cell>
          <cell r="PM24">
            <v>1700</v>
          </cell>
          <cell r="PN24" t="str">
            <v>Emissions amount</v>
          </cell>
          <cell r="PO24">
            <v>2045.51</v>
          </cell>
          <cell r="PP24" t="str">
            <v>BAU is 2881Mt in 2030. 29% reduction on BAU gives 2046Mt</v>
          </cell>
          <cell r="PQ24">
            <v>2045.51</v>
          </cell>
          <cell r="PR24" t="str">
            <v>Emissions amount</v>
          </cell>
          <cell r="PS24">
            <v>1700</v>
          </cell>
          <cell r="PT24" t="str">
            <v>BAU is 2881Mt in 2030. Conditional 41% reduction on BAU gives 1700Mt</v>
          </cell>
          <cell r="PU24">
            <v>1700</v>
          </cell>
          <cell r="PV24" t="str">
            <v>Emissions amount</v>
          </cell>
          <cell r="PW24">
            <v>2045.51</v>
          </cell>
          <cell r="PX24" t="str">
            <v>BAU is 2881Mt in 2030. 29% reduction on BAU gives 2046Mt</v>
          </cell>
          <cell r="PY24">
            <v>2045.51</v>
          </cell>
          <cell r="PZ24" t="str">
            <v>Emissions amount</v>
          </cell>
          <cell r="QA24">
            <v>1700</v>
          </cell>
          <cell r="QB24" t="str">
            <v>BAU is 2881Mt in 2030. Conditional 41% reduction on BAU gives 1700Mt</v>
          </cell>
          <cell r="QC24">
            <v>1700</v>
          </cell>
          <cell r="QD24" t="str">
            <v>Emissions amount</v>
          </cell>
          <cell r="QE24">
            <v>1700</v>
          </cell>
          <cell r="QF24" t="str">
            <v>BAU is 2881Mt in 2030. Conditional 41% reduction on BAU gives 1700Mt</v>
          </cell>
          <cell r="QG24">
            <v>1700</v>
          </cell>
          <cell r="QH24" t="str">
            <v>Emissions amount</v>
          </cell>
          <cell r="QI24">
            <v>2046</v>
          </cell>
          <cell r="QJ24" t="str">
            <v>BAU is 2881Mt in 2030. Unconditional 29% reduction on BAU gives 2046Mt</v>
          </cell>
          <cell r="QK24">
            <v>2046</v>
          </cell>
          <cell r="QL24" t="str">
            <v>Emissions amount</v>
          </cell>
          <cell r="QM24">
            <v>2046</v>
          </cell>
          <cell r="QN24" t="str">
            <v>BAU is 2881Mt in 2030. 29% reduction on BAU gives 2046Mt</v>
          </cell>
          <cell r="QO24">
            <v>2046</v>
          </cell>
          <cell r="QP24" t="str">
            <v>Emissions amount</v>
          </cell>
          <cell r="QQ24">
            <v>2046</v>
          </cell>
          <cell r="QR24" t="str">
            <v>BAU is 2881Mt in 2030. 29% reduction on BAU gives 2046Mt</v>
          </cell>
          <cell r="QS24">
            <v>2046</v>
          </cell>
          <cell r="QT24" t="str">
            <v>Emissions amount</v>
          </cell>
          <cell r="QU24">
            <v>2046</v>
          </cell>
          <cell r="QV24" t="str">
            <v>BAU is 2881Mt in 2030. Unconditional 29% reduction on BAU gives 2046Mt</v>
          </cell>
          <cell r="QW24">
            <v>2046</v>
          </cell>
          <cell r="QX24" t="str">
            <v>Emissions amount</v>
          </cell>
          <cell r="QY24">
            <v>1700</v>
          </cell>
          <cell r="QZ24" t="str">
            <v>BAU is 2881Mt in 2030. Conditional 41% reduction on BAU gives 1700Mt</v>
          </cell>
          <cell r="RA24">
            <v>1700</v>
          </cell>
          <cell r="RB24" t="str">
            <v>Emissions amount</v>
          </cell>
          <cell r="RC24">
            <v>2046</v>
          </cell>
          <cell r="RD24" t="str">
            <v>BAU is 2881Mt in 2030. 29% reduction on BAU gives 2046Mt</v>
          </cell>
          <cell r="RE24">
            <v>2046</v>
          </cell>
          <cell r="RF24" t="str">
            <v>Emissions amount</v>
          </cell>
          <cell r="RG24">
            <v>2046</v>
          </cell>
          <cell r="RH24" t="str">
            <v>BAU is 2881Mt in 2030. Unconditional 29% reduction on BAU gives 2046Mt</v>
          </cell>
          <cell r="RI24">
            <v>2046</v>
          </cell>
          <cell r="RJ24" t="str">
            <v>Emissions amount</v>
          </cell>
          <cell r="RK24">
            <v>2046</v>
          </cell>
          <cell r="RL24" t="str">
            <v>BAU is 2881Mt in 2030. 29% reduction on BAU gives 2046Mt</v>
          </cell>
          <cell r="RM24">
            <v>2046</v>
          </cell>
          <cell r="RN24" t="str">
            <v>Emissions amount</v>
          </cell>
          <cell r="RO24">
            <v>2046</v>
          </cell>
          <cell r="RP24" t="str">
            <v>BAU is 2881Mt in 2030. 29% reduction on BAU gives 2046Mt</v>
          </cell>
          <cell r="RQ24">
            <v>2046</v>
          </cell>
          <cell r="RR24" t="str">
            <v>Emissions amount</v>
          </cell>
          <cell r="RS24">
            <v>1700</v>
          </cell>
          <cell r="RT24" t="str">
            <v>BAU is 2881Mt in 2030. Conditional 41% reduction on BAU gives 1700Mt</v>
          </cell>
          <cell r="RU24">
            <v>1700</v>
          </cell>
        </row>
        <row r="25">
          <cell r="A25" t="str">
            <v>Middle East</v>
          </cell>
          <cell r="B25" t="str">
            <v>Abatement amount</v>
          </cell>
          <cell r="C25">
            <v>881.27401827410495</v>
          </cell>
          <cell r="D25">
            <v>0</v>
          </cell>
          <cell r="E25">
            <v>2427.8609163475658</v>
          </cell>
          <cell r="F25" t="str">
            <v>Abatement amount</v>
          </cell>
          <cell r="G25">
            <v>445.24750938892703</v>
          </cell>
          <cell r="I25">
            <v>2863.8874252327437</v>
          </cell>
          <cell r="J25" t="str">
            <v>Abatement amount</v>
          </cell>
          <cell r="K25">
            <v>0</v>
          </cell>
          <cell r="M25">
            <v>3309.1349346216707</v>
          </cell>
          <cell r="N25" t="str">
            <v>Abatement amount</v>
          </cell>
          <cell r="O25">
            <v>0</v>
          </cell>
          <cell r="Q25">
            <v>3309.1349346216707</v>
          </cell>
          <cell r="R25" t="str">
            <v>Abatement amount</v>
          </cell>
          <cell r="S25">
            <v>165.45674133300781</v>
          </cell>
          <cell r="U25">
            <v>3143.6781932886629</v>
          </cell>
          <cell r="V25" t="str">
            <v>Abatement amount</v>
          </cell>
          <cell r="W25">
            <v>165.45674133300781</v>
          </cell>
          <cell r="Y25">
            <v>3143.6781932886629</v>
          </cell>
          <cell r="Z25" t="str">
            <v>Abatement amount</v>
          </cell>
          <cell r="AA25">
            <v>679.45416259765625</v>
          </cell>
          <cell r="AC25">
            <v>2629.6807720240145</v>
          </cell>
          <cell r="AD25" t="str">
            <v>Abatement amount</v>
          </cell>
          <cell r="AE25">
            <v>427.2550048828125</v>
          </cell>
          <cell r="AG25">
            <v>2881.8799297388582</v>
          </cell>
          <cell r="AH25" t="str">
            <v>Abatement amount</v>
          </cell>
          <cell r="AI25">
            <v>0</v>
          </cell>
          <cell r="AK25">
            <v>3309.1349346216707</v>
          </cell>
          <cell r="AL25" t="str">
            <v>Abatement amount</v>
          </cell>
          <cell r="AM25">
            <v>0</v>
          </cell>
          <cell r="AO25">
            <v>3309.1349346216707</v>
          </cell>
          <cell r="AP25" t="str">
            <v>Abatement amount</v>
          </cell>
          <cell r="AQ25">
            <v>165.45674133300781</v>
          </cell>
          <cell r="AS25">
            <v>3143.6781932886629</v>
          </cell>
          <cell r="AT25" t="str">
            <v>Abatement amount</v>
          </cell>
          <cell r="AU25">
            <v>165.45674133300781</v>
          </cell>
          <cell r="AW25">
            <v>3143.6781932886629</v>
          </cell>
          <cell r="AX25" t="str">
            <v>Emissions amount</v>
          </cell>
          <cell r="AY25">
            <v>3309.1349346216707</v>
          </cell>
          <cell r="BA25">
            <v>3309.1349346216707</v>
          </cell>
          <cell r="BB25" t="str">
            <v>Emissions amount</v>
          </cell>
          <cell r="BC25">
            <v>3309.1349346216707</v>
          </cell>
          <cell r="BE25">
            <v>3309.1349346216707</v>
          </cell>
          <cell r="BF25" t="str">
            <v>Emissions amount</v>
          </cell>
          <cell r="BG25">
            <v>3309.1349346216707</v>
          </cell>
          <cell r="BI25">
            <v>3309.1349346216707</v>
          </cell>
          <cell r="BJ25" t="str">
            <v>Emissions amount</v>
          </cell>
          <cell r="BK25">
            <v>3309.1349346216707</v>
          </cell>
          <cell r="BM25">
            <v>3309.1349346216707</v>
          </cell>
          <cell r="BN25" t="str">
            <v>Emissions amount</v>
          </cell>
          <cell r="BO25">
            <v>3309.1349346216707</v>
          </cell>
          <cell r="BQ25">
            <v>3309.1349346216707</v>
          </cell>
          <cell r="BR25" t="str">
            <v>Emissions amount</v>
          </cell>
          <cell r="BS25">
            <v>3309.1349346216707</v>
          </cell>
          <cell r="BU25">
            <v>3309.1349346216707</v>
          </cell>
          <cell r="BV25" t="str">
            <v>Emissions amount</v>
          </cell>
          <cell r="BW25">
            <v>3143.6781932886629</v>
          </cell>
          <cell r="BY25">
            <v>3143.6781932886629</v>
          </cell>
          <cell r="BZ25" t="str">
            <v>Emissions amount</v>
          </cell>
          <cell r="CA25">
            <v>3309.1349346216707</v>
          </cell>
          <cell r="CC25">
            <v>3309.1349346216707</v>
          </cell>
          <cell r="CD25" t="str">
            <v>Emissions amount</v>
          </cell>
          <cell r="CE25">
            <v>3309.1349346216707</v>
          </cell>
          <cell r="CG25">
            <v>3309.1349346216707</v>
          </cell>
          <cell r="CH25" t="str">
            <v>Abatement amount</v>
          </cell>
          <cell r="CI25">
            <v>0</v>
          </cell>
          <cell r="CK25">
            <v>3309.1349346216707</v>
          </cell>
          <cell r="CL25" t="str">
            <v>Abatement amount</v>
          </cell>
          <cell r="CM25">
            <v>165.45674133300781</v>
          </cell>
          <cell r="CO25">
            <v>3143.6781932886629</v>
          </cell>
          <cell r="CP25" t="str">
            <v>Abatement amount</v>
          </cell>
          <cell r="CQ25">
            <v>165.45674133300781</v>
          </cell>
          <cell r="CS25">
            <v>3143.6781932886629</v>
          </cell>
          <cell r="CT25" t="str">
            <v>Abatement amount</v>
          </cell>
          <cell r="CU25">
            <v>0</v>
          </cell>
          <cell r="CW25">
            <v>3309.1349346216707</v>
          </cell>
          <cell r="CX25" t="str">
            <v>Abatement amount</v>
          </cell>
          <cell r="CY25">
            <v>165.45674133300781</v>
          </cell>
          <cell r="DA25">
            <v>3143.6781932886629</v>
          </cell>
          <cell r="DB25" t="str">
            <v>Abatement amount</v>
          </cell>
          <cell r="DC25">
            <v>165.45674133300781</v>
          </cell>
          <cell r="DE25">
            <v>3143.6781932886629</v>
          </cell>
          <cell r="DF25" t="str">
            <v>Abatement amount</v>
          </cell>
          <cell r="DG25">
            <v>0</v>
          </cell>
          <cell r="DI25">
            <v>3309.1349346216707</v>
          </cell>
          <cell r="DJ25" t="str">
            <v>Emissions amount</v>
          </cell>
          <cell r="DK25">
            <v>3309.1349346216707</v>
          </cell>
          <cell r="DM25">
            <v>3309.1349346216707</v>
          </cell>
          <cell r="DN25" t="str">
            <v>Emissions amount</v>
          </cell>
          <cell r="DO25">
            <v>3309.1349346216707</v>
          </cell>
          <cell r="DQ25">
            <v>3309.1349346216707</v>
          </cell>
          <cell r="DR25" t="str">
            <v>Emissions amount</v>
          </cell>
          <cell r="DS25">
            <v>3309.1349346216707</v>
          </cell>
          <cell r="DU25">
            <v>3309.1349346216707</v>
          </cell>
          <cell r="DV25" t="str">
            <v>Emissions amount</v>
          </cell>
          <cell r="DW25">
            <v>3309.1349346216707</v>
          </cell>
          <cell r="DY25">
            <v>3309.1349346216707</v>
          </cell>
          <cell r="DZ25" t="str">
            <v>Abatement amount</v>
          </cell>
          <cell r="EA25">
            <v>0</v>
          </cell>
          <cell r="EC25">
            <v>3309.1349346216707</v>
          </cell>
          <cell r="ED25" t="str">
            <v>Emissions amount</v>
          </cell>
          <cell r="EE25">
            <v>3144</v>
          </cell>
          <cell r="EG25">
            <v>3144</v>
          </cell>
          <cell r="EH25" t="str">
            <v>Abatement amount</v>
          </cell>
          <cell r="EI25">
            <v>0</v>
          </cell>
          <cell r="EK25">
            <v>3195.2713822718993</v>
          </cell>
          <cell r="EL25" t="str">
            <v>Abatement amount</v>
          </cell>
          <cell r="EM25">
            <v>0</v>
          </cell>
          <cell r="EO25">
            <v>3195.2713822718993</v>
          </cell>
          <cell r="EP25" t="str">
            <v>Abatement amount</v>
          </cell>
          <cell r="EQ25">
            <v>0</v>
          </cell>
          <cell r="ES25">
            <v>3195.2713822718993</v>
          </cell>
          <cell r="ET25" t="str">
            <v>Abatement amount</v>
          </cell>
          <cell r="EU25">
            <v>948.64198469507846</v>
          </cell>
          <cell r="EW25">
            <v>2246.6293975768208</v>
          </cell>
          <cell r="EX25" t="str">
            <v>Abatement amount</v>
          </cell>
          <cell r="EY25">
            <v>737.64766630385111</v>
          </cell>
          <cell r="FA25">
            <v>2457.6237159680481</v>
          </cell>
          <cell r="FB25" t="str">
            <v>Abatement amount</v>
          </cell>
          <cell r="FC25">
            <v>534.0507168137982</v>
          </cell>
          <cell r="FE25">
            <v>2661.2206654581009</v>
          </cell>
          <cell r="FF25" t="str">
            <v>Abatement amount</v>
          </cell>
          <cell r="FG25">
            <v>0</v>
          </cell>
          <cell r="FI25">
            <v>3195.2713822718993</v>
          </cell>
          <cell r="FJ25" t="str">
            <v>Abatement amount</v>
          </cell>
          <cell r="FK25">
            <v>127.81085205078125</v>
          </cell>
          <cell r="FM25">
            <v>3067.460530221118</v>
          </cell>
          <cell r="FN25" t="str">
            <v>Abatement amount</v>
          </cell>
          <cell r="FO25">
            <v>0</v>
          </cell>
          <cell r="FQ25">
            <v>3195.2713822718993</v>
          </cell>
          <cell r="FR25" t="str">
            <v>Abatement amount</v>
          </cell>
          <cell r="FS25">
            <v>0</v>
          </cell>
          <cell r="FU25">
            <v>3195.2713822718993</v>
          </cell>
          <cell r="FV25" t="str">
            <v>Abatement amount</v>
          </cell>
          <cell r="FW25">
            <v>0</v>
          </cell>
          <cell r="FY25">
            <v>3195.2713822718993</v>
          </cell>
          <cell r="FZ25" t="str">
            <v>Abatement amount</v>
          </cell>
          <cell r="GA25">
            <v>127.81085205078125</v>
          </cell>
          <cell r="GC25">
            <v>3067.460530221118</v>
          </cell>
          <cell r="GD25" t="str">
            <v>Abatement amount</v>
          </cell>
          <cell r="GE25">
            <v>127.81085205078125</v>
          </cell>
          <cell r="GG25">
            <v>3067.460530221118</v>
          </cell>
          <cell r="GH25" t="str">
            <v>Abatement amount</v>
          </cell>
          <cell r="GI25">
            <v>0</v>
          </cell>
          <cell r="GK25">
            <v>3195.2713822718993</v>
          </cell>
          <cell r="GL25" t="str">
            <v>Abatement amount</v>
          </cell>
          <cell r="GM25">
            <v>995.8787769315054</v>
          </cell>
          <cell r="GO25">
            <v>2199.3926053403939</v>
          </cell>
          <cell r="GP25" t="str">
            <v>Abatement amount</v>
          </cell>
          <cell r="GQ25">
            <v>553.90082172711755</v>
          </cell>
          <cell r="GS25">
            <v>2641.3705605447817</v>
          </cell>
          <cell r="GT25" t="str">
            <v>Abatement amount</v>
          </cell>
          <cell r="GU25">
            <v>774.39142445016978</v>
          </cell>
          <cell r="GW25">
            <v>2420.8799578217295</v>
          </cell>
          <cell r="GX25" t="str">
            <v>Abatement amount</v>
          </cell>
          <cell r="GY25">
            <v>0</v>
          </cell>
          <cell r="HA25">
            <v>3195.2713822718993</v>
          </cell>
          <cell r="HB25" t="str">
            <v>Abatement amount</v>
          </cell>
          <cell r="HC25">
            <v>0</v>
          </cell>
          <cell r="HE25">
            <v>3195.2713822718993</v>
          </cell>
          <cell r="HF25" t="str">
            <v>Abatement amount</v>
          </cell>
          <cell r="HG25">
            <v>0</v>
          </cell>
          <cell r="HI25">
            <v>3195.2713822718993</v>
          </cell>
          <cell r="HJ25" t="str">
            <v>Abatement amount</v>
          </cell>
          <cell r="HK25">
            <v>0</v>
          </cell>
          <cell r="HM25">
            <v>3195.2713822718993</v>
          </cell>
          <cell r="HN25" t="str">
            <v>Emissions amount</v>
          </cell>
          <cell r="HO25">
            <v>3067</v>
          </cell>
          <cell r="HQ25">
            <v>3067</v>
          </cell>
          <cell r="HR25" t="str">
            <v>Abatement amount</v>
          </cell>
          <cell r="HS25">
            <v>0</v>
          </cell>
          <cell r="HU25">
            <v>3195.2713822718993</v>
          </cell>
          <cell r="HV25" t="str">
            <v>Abatement amount</v>
          </cell>
          <cell r="HW25">
            <v>0</v>
          </cell>
          <cell r="HX25" t="str">
            <v>tbc</v>
          </cell>
          <cell r="HY25">
            <v>3195.2713822718993</v>
          </cell>
          <cell r="HZ25" t="str">
            <v>Abatement amount</v>
          </cell>
          <cell r="IA25">
            <v>0</v>
          </cell>
          <cell r="IB25" t="str">
            <v>GLOCAF BAU</v>
          </cell>
          <cell r="IC25">
            <v>3195.2713822718993</v>
          </cell>
          <cell r="ID25" t="str">
            <v>Abatement amount</v>
          </cell>
          <cell r="IE25">
            <v>0</v>
          </cell>
          <cell r="IF25" t="str">
            <v>GLOCAF BAU</v>
          </cell>
          <cell r="IG25">
            <v>3195.2713822718993</v>
          </cell>
          <cell r="IH25" t="str">
            <v>Emissions amount</v>
          </cell>
          <cell r="II25">
            <v>3067</v>
          </cell>
          <cell r="IJ25" t="str">
            <v>5% on BAU</v>
          </cell>
          <cell r="IK25">
            <v>3067</v>
          </cell>
          <cell r="IL25" t="str">
            <v>Abatement amount</v>
          </cell>
          <cell r="IM25">
            <v>0</v>
          </cell>
          <cell r="IN25" t="str">
            <v>GLOCAF BAU</v>
          </cell>
          <cell r="IO25">
            <v>3195.2713822718993</v>
          </cell>
          <cell r="IP25" t="str">
            <v>Abatement amount</v>
          </cell>
          <cell r="IQ25">
            <v>0</v>
          </cell>
          <cell r="IR25" t="str">
            <v>GLOCAF BAU</v>
          </cell>
          <cell r="IS25">
            <v>3195.2713822718993</v>
          </cell>
          <cell r="IT25" t="str">
            <v>Emissions amount</v>
          </cell>
          <cell r="IU25">
            <v>3195</v>
          </cell>
          <cell r="IV25" t="str">
            <v xml:space="preserve">Jordan: 1.5% reduction on BAU. BAU in 2030 is 51Mt.    </v>
          </cell>
          <cell r="IW25">
            <v>3195</v>
          </cell>
          <cell r="IX25" t="str">
            <v>Emissions amount</v>
          </cell>
          <cell r="IY25">
            <v>3078</v>
          </cell>
          <cell r="IZ25" t="str">
            <v>Starting assumption : 5% on BAU.Portion of regional emissions are then replaced by submitted INDCs.
Jordan:  2030 BAU is 51Mt. Conditional target of 12.5% reduction on BAU gives 45Mt of target emissions.</v>
          </cell>
          <cell r="JA25">
            <v>3078</v>
          </cell>
          <cell r="JB25" t="str">
            <v>Emissions amount</v>
          </cell>
          <cell r="JC25">
            <v>3209</v>
          </cell>
          <cell r="JD25" t="str">
            <v>Jordan: 1.5% reduction on BAU. BAU in 2030 is 51Mt.     Reference scenario for rest of the region.</v>
          </cell>
          <cell r="JE25">
            <v>3209</v>
          </cell>
          <cell r="JF25" t="str">
            <v>Emissions amount</v>
          </cell>
          <cell r="JG25">
            <v>3209</v>
          </cell>
          <cell r="JH25" t="str">
            <v>Jordan: 1.5% reduction on BAU. BAU in 2030 is 51Mt.     Reference scenario for rest of the region.</v>
          </cell>
          <cell r="JI25">
            <v>3209</v>
          </cell>
          <cell r="JJ25" t="str">
            <v>Emissions amount</v>
          </cell>
          <cell r="JK25">
            <v>3209</v>
          </cell>
          <cell r="JL25" t="str">
            <v>Jordan: 1.5% reduction on BAU. BAU in 2030 is 51Mt.     Reference scenario for rest of the region.</v>
          </cell>
          <cell r="JM25">
            <v>3209</v>
          </cell>
          <cell r="JN25" t="str">
            <v>Emissions amount</v>
          </cell>
          <cell r="JO25">
            <v>3195</v>
          </cell>
          <cell r="JP25" t="str">
            <v xml:space="preserve">Jordan: 1.5% reduction on BAU. BAU in 2030 is 51Mt.    </v>
          </cell>
          <cell r="JQ25">
            <v>3195</v>
          </cell>
          <cell r="JR25" t="str">
            <v>Emissions amount</v>
          </cell>
          <cell r="JS25">
            <v>3078</v>
          </cell>
          <cell r="JT25" t="str">
            <v>Starting assumption : 5% on BAU.Portion of regional emissions are then replaced by submitted INDCs.
Jordan:  2030 BAU is 51Mt. Conditional target of 12.5% reduction on BAU gives 45Mt of target emissions.</v>
          </cell>
          <cell r="JU25">
            <v>3078</v>
          </cell>
          <cell r="JV25" t="str">
            <v>Abatement amount</v>
          </cell>
          <cell r="JW25">
            <v>0</v>
          </cell>
          <cell r="JX25" t="str">
            <v>GLOCAF BAU</v>
          </cell>
          <cell r="JY25">
            <v>3195.2713822718993</v>
          </cell>
          <cell r="JZ25" t="str">
            <v>Abatement amount</v>
          </cell>
          <cell r="KA25">
            <v>0</v>
          </cell>
          <cell r="KB25" t="str">
            <v>GLOCAF BAU</v>
          </cell>
          <cell r="KC25">
            <v>3195.2713822718993</v>
          </cell>
          <cell r="KD25" t="str">
            <v>Emissions amount</v>
          </cell>
          <cell r="KE25">
            <v>3209</v>
          </cell>
          <cell r="KF25" t="str">
            <v>Jordan: 1.5% reduction on BAU. BAU in 2030 is 51Mt.     Reference scenario for rest of the region.</v>
          </cell>
          <cell r="KG25">
            <v>3209</v>
          </cell>
          <cell r="KH25" t="str">
            <v>Emissions amount</v>
          </cell>
          <cell r="KI25">
            <v>3209</v>
          </cell>
          <cell r="KJ25" t="str">
            <v>Jordan: 1.5% reduction on BAU. BAU in 2030 is 51Mt.     Reference scenario for rest of the region.</v>
          </cell>
          <cell r="KK25">
            <v>3209</v>
          </cell>
          <cell r="KL25" t="str">
            <v>Emissions amount</v>
          </cell>
          <cell r="KM25">
            <v>3209</v>
          </cell>
          <cell r="KN25" t="str">
            <v>Jordan: 1.5% reduction on BAU. BAU in 2030 is 51Mt.     Reference scenario for rest of the region.</v>
          </cell>
          <cell r="KO25">
            <v>3209</v>
          </cell>
          <cell r="KP25" t="str">
            <v>Abatement amount</v>
          </cell>
          <cell r="KQ25">
            <v>0</v>
          </cell>
          <cell r="KR25" t="str">
            <v>GLOCAF BAU</v>
          </cell>
          <cell r="KS25">
            <v>3195.2713822718993</v>
          </cell>
          <cell r="KT25" t="str">
            <v>Emissions amount</v>
          </cell>
          <cell r="KU25">
            <v>3195</v>
          </cell>
          <cell r="KV25" t="str">
            <v xml:space="preserve">Jordan: 1.5% reduction on BAU. BAU in 2030 is 51Mt.    </v>
          </cell>
          <cell r="KW25">
            <v>3195</v>
          </cell>
          <cell r="KX25" t="str">
            <v>Emissions amount</v>
          </cell>
          <cell r="KY25">
            <v>3078</v>
          </cell>
          <cell r="KZ25" t="str">
            <v>Starting assumption : 5% on BAU.Portion of regional emissions are then replaced by submitted INDCs.
Jordan:  2030 BAU is 51Mt. Conditional target of 12.5% reduction on BAU gives 45Mt of target emissions.</v>
          </cell>
          <cell r="LA25">
            <v>3078</v>
          </cell>
          <cell r="LB25" t="str">
            <v>Abatement amount</v>
          </cell>
          <cell r="LC25">
            <v>0</v>
          </cell>
          <cell r="LD25" t="str">
            <v>GLOCAF BAU</v>
          </cell>
          <cell r="LE25">
            <v>3195.2713822718993</v>
          </cell>
          <cell r="LF25" t="str">
            <v>Emissions amount</v>
          </cell>
          <cell r="LG25">
            <v>3172</v>
          </cell>
          <cell r="LH25" t="str">
            <v>Jordan: 1.5% reduction on BAU. BAU in 2030 is 51Mt.     Reference scenario for rest of the region.</v>
          </cell>
          <cell r="LI25">
            <v>3172</v>
          </cell>
          <cell r="LJ25" t="str">
            <v>Emissions amount</v>
          </cell>
          <cell r="LK25">
            <v>3172</v>
          </cell>
          <cell r="LL25" t="str">
            <v>Jordan: 1.5% reduction on BAU. BAU in 2030 is 51Mt.     Reference scenario for rest of the region.</v>
          </cell>
          <cell r="LM25">
            <v>3172</v>
          </cell>
          <cell r="LN25" t="str">
            <v>Emissions amount</v>
          </cell>
          <cell r="LO25">
            <v>3139</v>
          </cell>
          <cell r="LP25" t="str">
            <v>Jordan: 1.5% reduction on BAU. BAU in 2030 is 51Mt.     Reference scenario for rest of the region.</v>
          </cell>
          <cell r="LQ25">
            <v>3139</v>
          </cell>
          <cell r="LR25" t="str">
            <v>Emissions amount</v>
          </cell>
          <cell r="LS25">
            <v>3193</v>
          </cell>
          <cell r="LT25" t="str">
            <v>Jordan: 1.5% reduction on BAU. BAU in 2030 is 51Mt.     Reference scenario for rest of the region.</v>
          </cell>
          <cell r="LU25">
            <v>3193</v>
          </cell>
          <cell r="LV25" t="str">
            <v>Emissions amount</v>
          </cell>
          <cell r="LW25">
            <v>3128</v>
          </cell>
          <cell r="LX25" t="str">
            <v>Jordan: 1.5% reduction on BAU. BAU in 2030 is 51Mt.     Reference scenario for rest of the region.</v>
          </cell>
          <cell r="LY25">
            <v>3128</v>
          </cell>
          <cell r="LZ25" t="str">
            <v>Emissions amount</v>
          </cell>
          <cell r="MA25">
            <v>3139</v>
          </cell>
          <cell r="MB25" t="str">
            <v>Jordan: 1.5% reduction on BAU. BAU in 2030 is 51Mt.     Reference scenario for rest of the region.</v>
          </cell>
          <cell r="MC25">
            <v>3139</v>
          </cell>
          <cell r="MD25" t="str">
            <v>Emissions amount</v>
          </cell>
          <cell r="ME25">
            <v>3139</v>
          </cell>
          <cell r="MF25" t="str">
            <v>Jordan: 1.5% reduction on BAU. BAU in 2030 is 51Mt.     Reference scenario for rest of the region.</v>
          </cell>
          <cell r="MG25">
            <v>3139</v>
          </cell>
          <cell r="MH25" t="str">
            <v>Emissions amount</v>
          </cell>
          <cell r="MI25">
            <v>3128</v>
          </cell>
          <cell r="MJ25" t="str">
            <v>Jordan: 1.5% reduction on BAU. BAU in 2030 is 51Mt.     Reference scenario for rest of the region.</v>
          </cell>
          <cell r="MK25">
            <v>3128</v>
          </cell>
          <cell r="ML25" t="str">
            <v>Emissions amount</v>
          </cell>
          <cell r="MM25">
            <v>3139</v>
          </cell>
          <cell r="MN25" t="str">
            <v>Jordan: 1.5% reduction on BAU. BAU in 2030 is 51Mt.     Reference scenario for rest of the region.</v>
          </cell>
          <cell r="MO25">
            <v>3139</v>
          </cell>
          <cell r="MP25" t="str">
            <v>Emissions amount</v>
          </cell>
          <cell r="MQ25">
            <v>3139</v>
          </cell>
          <cell r="MR25" t="str">
            <v>Jordan: 1.5% reduction on BAU. BAU in 2030 is 51Mt.     Reference scenario for rest of the region.</v>
          </cell>
          <cell r="MS25">
            <v>3139</v>
          </cell>
          <cell r="MT25" t="str">
            <v>Emissions amount</v>
          </cell>
          <cell r="MU25">
            <v>3128</v>
          </cell>
          <cell r="MV25" t="str">
            <v>Jordan: 1.5% reduction on BAU. BAU in 2030 is 51Mt.     Reference scenario for rest of the region.</v>
          </cell>
          <cell r="MW25">
            <v>3128</v>
          </cell>
          <cell r="MX25" t="str">
            <v>Emissions amount</v>
          </cell>
          <cell r="MY25">
            <v>3139</v>
          </cell>
          <cell r="MZ25" t="str">
            <v>Jordan: 1.5% reduction on BAU. BAU in 2030 is 51Mt.     Reference scenario for rest of the region.</v>
          </cell>
          <cell r="NA25">
            <v>3139</v>
          </cell>
          <cell r="NB25" t="str">
            <v>Emissions amount</v>
          </cell>
          <cell r="NC25">
            <v>3139</v>
          </cell>
          <cell r="ND25" t="str">
            <v>Jordan: 1.5% reduction on BAU. BAU in 2030 is 51Mt.     Reference scenario for rest of the region.</v>
          </cell>
          <cell r="NE25">
            <v>3139</v>
          </cell>
          <cell r="NF25" t="str">
            <v>Emissions amount</v>
          </cell>
          <cell r="NG25">
            <v>3139</v>
          </cell>
          <cell r="NH25" t="str">
            <v>Jordan: 1.5% reduction on BAU. BAU in 2030 is 51Mt.     Reference scenario for rest of the region.</v>
          </cell>
          <cell r="NI25">
            <v>3139</v>
          </cell>
          <cell r="NJ25" t="str">
            <v>Emissions amount</v>
          </cell>
          <cell r="NK25">
            <v>3139</v>
          </cell>
          <cell r="NL25" t="str">
            <v>Jordan: 1.5% reduction on BAU. BAU in 2030 is 51Mt.     Reference scenario for rest of the region.</v>
          </cell>
          <cell r="NM25">
            <v>3139</v>
          </cell>
          <cell r="NN25" t="str">
            <v>Emissions amount</v>
          </cell>
          <cell r="NO25">
            <v>3139</v>
          </cell>
          <cell r="NP25" t="str">
            <v>Jordan: 1.5% reduction on BAU. BAU in 2030 is 51Mt.     Reference scenario for rest of the region.</v>
          </cell>
          <cell r="NQ25">
            <v>3139</v>
          </cell>
          <cell r="NR25" t="str">
            <v>Emissions amount</v>
          </cell>
          <cell r="NS25">
            <v>3139</v>
          </cell>
          <cell r="NT25" t="str">
            <v>Jordan: 1.5% reduction on BAU. BAU in 2030 is 51Mt.     Reference scenario for rest of the region.</v>
          </cell>
          <cell r="NU25">
            <v>3139</v>
          </cell>
          <cell r="NV25" t="str">
            <v>Emissions amount</v>
          </cell>
          <cell r="NW25">
            <v>3139</v>
          </cell>
          <cell r="NX25" t="str">
            <v>Jordan: 1.5% reduction on BAU. BAU in 2030 is 51Mt.     Reference scenario for rest of the region.</v>
          </cell>
          <cell r="NY25">
            <v>3139</v>
          </cell>
          <cell r="NZ25" t="str">
            <v>Emissions amount</v>
          </cell>
          <cell r="OA25">
            <v>3139</v>
          </cell>
          <cell r="OB25" t="str">
            <v>Jordan: 1.5% reduction on BAU. BAU in 2030 is 51Mt.     Reference scenario for rest of the region.</v>
          </cell>
          <cell r="OC25">
            <v>3139</v>
          </cell>
          <cell r="OD25" t="str">
            <v>Emissions amount</v>
          </cell>
          <cell r="OE25">
            <v>3128</v>
          </cell>
          <cell r="OF25" t="str">
            <v>Jordan: 1.5% reduction on BAU. BAU in 2030 is 51Mt.     Reference scenario for rest of the region.</v>
          </cell>
          <cell r="OG25">
            <v>3128</v>
          </cell>
          <cell r="OH25" t="str">
            <v>Emissions amount</v>
          </cell>
          <cell r="OI25">
            <v>3139</v>
          </cell>
          <cell r="OJ25" t="str">
            <v>Jordan: 1.5% reduction on BAU. BAU in 2030 is 51Mt.     Reference scenario for rest of the region.</v>
          </cell>
          <cell r="OK25">
            <v>3139</v>
          </cell>
          <cell r="OL25" t="str">
            <v>Emissions amount</v>
          </cell>
          <cell r="OM25">
            <v>3139</v>
          </cell>
          <cell r="ON25" t="str">
            <v>Jordan: 1.5% reduction on BAU. BAU in 2030 is 51Mt.     Reference scenario for rest of the region.</v>
          </cell>
          <cell r="OO25">
            <v>3139</v>
          </cell>
          <cell r="OP25" t="str">
            <v>Emissions amount</v>
          </cell>
          <cell r="OQ25">
            <v>3139</v>
          </cell>
          <cell r="OR25" t="str">
            <v>Jordan: 1.5% reduction on BAU. BAU in 2030 is 51Mt.     Reference scenario for rest of the region.</v>
          </cell>
          <cell r="OS25">
            <v>3139</v>
          </cell>
          <cell r="OT25" t="str">
            <v>Emissions amount</v>
          </cell>
          <cell r="OU25">
            <v>3139</v>
          </cell>
          <cell r="OV25" t="str">
            <v>Jordan: 1.5% reduction on BAU. BAU in 2030 is 51Mt.     Reference scenario for rest of the region.</v>
          </cell>
          <cell r="OW25">
            <v>3139</v>
          </cell>
          <cell r="OX25" t="str">
            <v>Emissions amount</v>
          </cell>
          <cell r="OY25">
            <v>3139</v>
          </cell>
          <cell r="PA25">
            <v>3139</v>
          </cell>
          <cell r="PB25" t="str">
            <v>Emissions amount</v>
          </cell>
          <cell r="PC25">
            <v>3139</v>
          </cell>
          <cell r="PE25">
            <v>3139</v>
          </cell>
          <cell r="PF25" t="str">
            <v>Emissions amount</v>
          </cell>
          <cell r="PG25">
            <v>3139</v>
          </cell>
          <cell r="PI25">
            <v>3139</v>
          </cell>
          <cell r="PJ25" t="str">
            <v>Emissions amount</v>
          </cell>
          <cell r="PK25">
            <v>3128</v>
          </cell>
          <cell r="PM25">
            <v>3128</v>
          </cell>
          <cell r="PN25" t="str">
            <v>Emissions amount</v>
          </cell>
          <cell r="PO25">
            <v>3168</v>
          </cell>
          <cell r="PQ25">
            <v>3168</v>
          </cell>
          <cell r="PR25" t="str">
            <v>Emissions amount</v>
          </cell>
          <cell r="PS25">
            <v>3139</v>
          </cell>
          <cell r="PT25" t="str">
            <v>Jordan: 1.5% reduction on BAU. BAU in 2030 is 51Mt.     Reference scenario for rest of the region.</v>
          </cell>
          <cell r="PU25">
            <v>3139</v>
          </cell>
          <cell r="PV25" t="str">
            <v>Emissions amount</v>
          </cell>
          <cell r="PW25">
            <v>3168</v>
          </cell>
          <cell r="PY25">
            <v>3168</v>
          </cell>
          <cell r="PZ25" t="str">
            <v>Emissions amount</v>
          </cell>
          <cell r="QA25">
            <v>3168</v>
          </cell>
          <cell r="QC25">
            <v>3168</v>
          </cell>
          <cell r="QD25" t="str">
            <v>Emissions amount</v>
          </cell>
          <cell r="QE25">
            <v>3157</v>
          </cell>
          <cell r="QG25">
            <v>3157</v>
          </cell>
          <cell r="QH25" t="str">
            <v>Emissions amount</v>
          </cell>
          <cell r="QI25">
            <v>3139</v>
          </cell>
          <cell r="QJ25" t="str">
            <v>Jordan: 1.5% reduction on BAU. BAU in 2030 is 51Mt.     Reference scenario for rest of the region.</v>
          </cell>
          <cell r="QK25">
            <v>3139</v>
          </cell>
          <cell r="QL25" t="str">
            <v>Emissions amount</v>
          </cell>
          <cell r="QM25">
            <v>3168</v>
          </cell>
          <cell r="QO25">
            <v>3168</v>
          </cell>
          <cell r="QP25" t="str">
            <v>Emissions amount</v>
          </cell>
          <cell r="QQ25">
            <v>3168</v>
          </cell>
          <cell r="QS25">
            <v>3168</v>
          </cell>
          <cell r="QT25" t="str">
            <v>Emissions amount</v>
          </cell>
          <cell r="QU25">
            <v>3139</v>
          </cell>
          <cell r="QV25" t="str">
            <v>Jordan: 1.5% reduction on BAU. BAU in 2030 is 51Mt.     Reference scenario for rest of the region.</v>
          </cell>
          <cell r="QW25">
            <v>3139</v>
          </cell>
          <cell r="QX25" t="str">
            <v>Emissions amount</v>
          </cell>
          <cell r="QY25">
            <v>3157</v>
          </cell>
          <cell r="RA25">
            <v>3157</v>
          </cell>
          <cell r="RB25" t="str">
            <v>Emissions amount</v>
          </cell>
          <cell r="RC25">
            <v>3168</v>
          </cell>
          <cell r="RE25">
            <v>3168</v>
          </cell>
          <cell r="RF25" t="str">
            <v>Emissions amount</v>
          </cell>
          <cell r="RG25">
            <v>3168</v>
          </cell>
          <cell r="RH25" t="str">
            <v>Jordan: 1.5% reduction on BAU. BAU in 2030 is 51Mt.     Reference scenario for rest of the region.</v>
          </cell>
          <cell r="RI25">
            <v>3168</v>
          </cell>
          <cell r="RJ25" t="str">
            <v>Emissions amount</v>
          </cell>
          <cell r="RK25">
            <v>3168</v>
          </cell>
          <cell r="RM25">
            <v>3168</v>
          </cell>
          <cell r="RN25" t="str">
            <v>Emissions amount</v>
          </cell>
          <cell r="RO25">
            <v>3168</v>
          </cell>
          <cell r="RQ25">
            <v>3168</v>
          </cell>
          <cell r="RR25" t="str">
            <v>Emissions amount</v>
          </cell>
          <cell r="RS25">
            <v>3157</v>
          </cell>
          <cell r="RU25">
            <v>3157</v>
          </cell>
        </row>
        <row r="26">
          <cell r="A26" t="str">
            <v>Northern Africa</v>
          </cell>
          <cell r="B26" t="str">
            <v>Abatement amount</v>
          </cell>
          <cell r="C26">
            <v>259.59640502929688</v>
          </cell>
          <cell r="D26">
            <v>0</v>
          </cell>
          <cell r="E26">
            <v>715.8201007577951</v>
          </cell>
          <cell r="F26" t="str">
            <v>Abatement amount</v>
          </cell>
          <cell r="G26">
            <v>110.44776049665961</v>
          </cell>
          <cell r="I26">
            <v>864.96874529043237</v>
          </cell>
          <cell r="J26" t="str">
            <v>Abatement amount</v>
          </cell>
          <cell r="K26">
            <v>0</v>
          </cell>
          <cell r="M26">
            <v>975.41650578709198</v>
          </cell>
          <cell r="N26" t="str">
            <v>Abatement amount</v>
          </cell>
          <cell r="O26">
            <v>0</v>
          </cell>
          <cell r="Q26">
            <v>975.41650578709198</v>
          </cell>
          <cell r="R26" t="str">
            <v>Abatement amount</v>
          </cell>
          <cell r="S26">
            <v>48.770824432373047</v>
          </cell>
          <cell r="U26">
            <v>926.64568135471893</v>
          </cell>
          <cell r="V26" t="str">
            <v>Abatement amount</v>
          </cell>
          <cell r="W26">
            <v>48.770824432373047</v>
          </cell>
          <cell r="Y26">
            <v>926.64568135471893</v>
          </cell>
          <cell r="Z26" t="str">
            <v>Abatement amount</v>
          </cell>
          <cell r="AA26">
            <v>241.64994812011719</v>
          </cell>
          <cell r="AC26">
            <v>733.76655766697479</v>
          </cell>
          <cell r="AD26" t="str">
            <v>Abatement amount</v>
          </cell>
          <cell r="AE26">
            <v>105.98455810546875</v>
          </cell>
          <cell r="AG26">
            <v>869.43194768162323</v>
          </cell>
          <cell r="AH26" t="str">
            <v>Abatement amount</v>
          </cell>
          <cell r="AI26">
            <v>0</v>
          </cell>
          <cell r="AK26">
            <v>975.41650578709198</v>
          </cell>
          <cell r="AL26" t="str">
            <v>Abatement amount</v>
          </cell>
          <cell r="AM26">
            <v>0</v>
          </cell>
          <cell r="AO26">
            <v>975.41650578709198</v>
          </cell>
          <cell r="AP26" t="str">
            <v>Abatement amount</v>
          </cell>
          <cell r="AQ26">
            <v>48.770824432373047</v>
          </cell>
          <cell r="AS26">
            <v>926.64568135471893</v>
          </cell>
          <cell r="AT26" t="str">
            <v>Abatement amount</v>
          </cell>
          <cell r="AU26">
            <v>48.770824432373047</v>
          </cell>
          <cell r="AW26">
            <v>926.64568135471893</v>
          </cell>
          <cell r="AX26" t="str">
            <v>Emissions amount</v>
          </cell>
          <cell r="AY26">
            <v>975.41650578709198</v>
          </cell>
          <cell r="BA26">
            <v>975.41650578709198</v>
          </cell>
          <cell r="BB26" t="str">
            <v>Emissions amount</v>
          </cell>
          <cell r="BC26">
            <v>975.41650578709198</v>
          </cell>
          <cell r="BE26">
            <v>975.41650578709198</v>
          </cell>
          <cell r="BF26" t="str">
            <v>Emissions amount</v>
          </cell>
          <cell r="BG26">
            <v>975.41650578709198</v>
          </cell>
          <cell r="BI26">
            <v>975.41650578709198</v>
          </cell>
          <cell r="BJ26" t="str">
            <v>Emissions amount</v>
          </cell>
          <cell r="BK26">
            <v>975.41650578709198</v>
          </cell>
          <cell r="BM26">
            <v>975.41650578709198</v>
          </cell>
          <cell r="BN26" t="str">
            <v>Emissions amount</v>
          </cell>
          <cell r="BO26">
            <v>975.41650578709198</v>
          </cell>
          <cell r="BQ26">
            <v>975.41650578709198</v>
          </cell>
          <cell r="BR26" t="str">
            <v>Emissions amount</v>
          </cell>
          <cell r="BS26">
            <v>975.41650578709198</v>
          </cell>
          <cell r="BU26">
            <v>975.41650578709198</v>
          </cell>
          <cell r="BV26" t="str">
            <v>Emissions amount</v>
          </cell>
          <cell r="BW26">
            <v>926.64568135471893</v>
          </cell>
          <cell r="BY26">
            <v>926.64568135471893</v>
          </cell>
          <cell r="BZ26" t="str">
            <v>Emissions amount</v>
          </cell>
          <cell r="CA26">
            <v>975.41650578709198</v>
          </cell>
          <cell r="CC26">
            <v>975.41650578709198</v>
          </cell>
          <cell r="CD26" t="str">
            <v>Emissions amount</v>
          </cell>
          <cell r="CE26">
            <v>975.41650578709198</v>
          </cell>
          <cell r="CG26">
            <v>975.41650578709198</v>
          </cell>
          <cell r="CH26" t="str">
            <v>Abatement amount</v>
          </cell>
          <cell r="CI26">
            <v>0</v>
          </cell>
          <cell r="CK26">
            <v>975.41650578709198</v>
          </cell>
          <cell r="CL26" t="str">
            <v>Abatement amount</v>
          </cell>
          <cell r="CM26">
            <v>48.770824432373047</v>
          </cell>
          <cell r="CO26">
            <v>926.64568135471893</v>
          </cell>
          <cell r="CP26" t="str">
            <v>Abatement amount</v>
          </cell>
          <cell r="CQ26">
            <v>48.770824432373047</v>
          </cell>
          <cell r="CS26">
            <v>926.64568135471893</v>
          </cell>
          <cell r="CT26" t="str">
            <v>Abatement amount</v>
          </cell>
          <cell r="CU26">
            <v>0</v>
          </cell>
          <cell r="CW26">
            <v>975.41650578709198</v>
          </cell>
          <cell r="CX26" t="str">
            <v>Abatement amount</v>
          </cell>
          <cell r="CY26">
            <v>48.770824432373047</v>
          </cell>
          <cell r="DA26">
            <v>926.64568135471893</v>
          </cell>
          <cell r="DB26" t="str">
            <v>Abatement amount</v>
          </cell>
          <cell r="DC26">
            <v>48.770824432373047</v>
          </cell>
          <cell r="DE26">
            <v>926.64568135471893</v>
          </cell>
          <cell r="DF26" t="str">
            <v>Abatement amount</v>
          </cell>
          <cell r="DG26">
            <v>0</v>
          </cell>
          <cell r="DI26">
            <v>975.41650578709198</v>
          </cell>
          <cell r="DJ26" t="str">
            <v>Emissions amount</v>
          </cell>
          <cell r="DK26">
            <v>975.41650578709198</v>
          </cell>
          <cell r="DM26">
            <v>975.41650578709198</v>
          </cell>
          <cell r="DN26" t="str">
            <v>Emissions amount</v>
          </cell>
          <cell r="DO26">
            <v>975.41650578709198</v>
          </cell>
          <cell r="DQ26">
            <v>975.41650578709198</v>
          </cell>
          <cell r="DR26" t="str">
            <v>Emissions amount</v>
          </cell>
          <cell r="DS26">
            <v>975.41650578709198</v>
          </cell>
          <cell r="DU26">
            <v>975.41650578709198</v>
          </cell>
          <cell r="DV26" t="str">
            <v>Emissions amount</v>
          </cell>
          <cell r="DW26">
            <v>975.41650578709198</v>
          </cell>
          <cell r="DY26">
            <v>975.41650578709198</v>
          </cell>
          <cell r="DZ26" t="str">
            <v>Abatement amount</v>
          </cell>
          <cell r="EA26">
            <v>0</v>
          </cell>
          <cell r="EC26">
            <v>975.41650578709198</v>
          </cell>
          <cell r="ED26" t="str">
            <v>Emissions amount</v>
          </cell>
          <cell r="EE26">
            <v>927</v>
          </cell>
          <cell r="EG26">
            <v>927</v>
          </cell>
          <cell r="EH26" t="str">
            <v>Abatement amount</v>
          </cell>
          <cell r="EI26">
            <v>0</v>
          </cell>
          <cell r="EK26">
            <v>1069.9957958736693</v>
          </cell>
          <cell r="EL26" t="str">
            <v>Abatement amount</v>
          </cell>
          <cell r="EM26">
            <v>0</v>
          </cell>
          <cell r="EO26">
            <v>1069.9957958736693</v>
          </cell>
          <cell r="EP26" t="str">
            <v>Abatement amount</v>
          </cell>
          <cell r="EQ26">
            <v>0</v>
          </cell>
          <cell r="ES26">
            <v>1069.9957958736693</v>
          </cell>
          <cell r="ET26" t="str">
            <v>Abatement amount</v>
          </cell>
          <cell r="EU26">
            <v>312.29808440144348</v>
          </cell>
          <cell r="EW26">
            <v>757.69771147222582</v>
          </cell>
          <cell r="EX26" t="str">
            <v>Abatement amount</v>
          </cell>
          <cell r="EY26">
            <v>235.68243002518037</v>
          </cell>
          <cell r="FA26">
            <v>834.31336584848896</v>
          </cell>
          <cell r="FB26" t="str">
            <v>Abatement amount</v>
          </cell>
          <cell r="FC26">
            <v>175.81239131828636</v>
          </cell>
          <cell r="FE26">
            <v>894.18340455538294</v>
          </cell>
          <cell r="FF26" t="str">
            <v>Emissions amount</v>
          </cell>
          <cell r="FG26">
            <v>975</v>
          </cell>
          <cell r="FI26">
            <v>975</v>
          </cell>
          <cell r="FJ26" t="str">
            <v>Emissions amount</v>
          </cell>
          <cell r="FK26">
            <v>927</v>
          </cell>
          <cell r="FM26">
            <v>927</v>
          </cell>
          <cell r="FN26" t="str">
            <v>Abatement amount</v>
          </cell>
          <cell r="FO26">
            <v>0</v>
          </cell>
          <cell r="FQ26">
            <v>1069.9957958736693</v>
          </cell>
          <cell r="FR26" t="str">
            <v>Emissions amount</v>
          </cell>
          <cell r="FS26">
            <v>1049</v>
          </cell>
          <cell r="FU26">
            <v>1049</v>
          </cell>
          <cell r="FV26" t="str">
            <v>Abatement amount</v>
          </cell>
          <cell r="FW26">
            <v>0</v>
          </cell>
          <cell r="FY26">
            <v>1069.9957958736693</v>
          </cell>
          <cell r="FZ26" t="str">
            <v>Abatement amount</v>
          </cell>
          <cell r="GA26">
            <v>53.499790191650391</v>
          </cell>
          <cell r="GC26">
            <v>1016.4960056820189</v>
          </cell>
          <cell r="GD26" t="str">
            <v>Abatement amount</v>
          </cell>
          <cell r="GE26">
            <v>53.499790191650391</v>
          </cell>
          <cell r="GG26">
            <v>1016.4960056820189</v>
          </cell>
          <cell r="GH26" t="str">
            <v>Abatement amount</v>
          </cell>
          <cell r="GI26">
            <v>15.548590660095215</v>
          </cell>
          <cell r="GK26">
            <v>1054.4472052135741</v>
          </cell>
          <cell r="GL26" t="str">
            <v>Abatement amount</v>
          </cell>
          <cell r="GM26">
            <v>327.84869249881422</v>
          </cell>
          <cell r="GO26">
            <v>742.14710337485508</v>
          </cell>
          <cell r="GP26" t="str">
            <v>Abatement amount</v>
          </cell>
          <cell r="GQ26">
            <v>182.34715347261999</v>
          </cell>
          <cell r="GS26">
            <v>887.6486424010493</v>
          </cell>
          <cell r="GT26" t="str">
            <v>Abatement amount</v>
          </cell>
          <cell r="GU26">
            <v>247.42226003314886</v>
          </cell>
          <cell r="GW26">
            <v>822.57353584052044</v>
          </cell>
          <cell r="GX26" t="str">
            <v>Emissions amount</v>
          </cell>
          <cell r="GY26">
            <v>1070</v>
          </cell>
          <cell r="HA26">
            <v>1070</v>
          </cell>
          <cell r="HB26" t="str">
            <v>Emissions amount</v>
          </cell>
          <cell r="HC26">
            <v>1049</v>
          </cell>
          <cell r="HE26">
            <v>1049</v>
          </cell>
          <cell r="HF26" t="str">
            <v>Emissions amount</v>
          </cell>
          <cell r="HG26">
            <v>1070</v>
          </cell>
          <cell r="HI26">
            <v>1070</v>
          </cell>
          <cell r="HJ26" t="str">
            <v>Emissions amount</v>
          </cell>
          <cell r="HK26">
            <v>1049</v>
          </cell>
          <cell r="HM26">
            <v>1049</v>
          </cell>
          <cell r="HN26" t="str">
            <v>Emissions amount</v>
          </cell>
          <cell r="HO26">
            <v>1003</v>
          </cell>
          <cell r="HQ26">
            <v>1003</v>
          </cell>
          <cell r="HR26" t="str">
            <v>Abatement amount</v>
          </cell>
          <cell r="HS26">
            <v>0</v>
          </cell>
          <cell r="HU26">
            <v>1069.9957958736693</v>
          </cell>
          <cell r="HV26" t="str">
            <v>Abatement amount</v>
          </cell>
          <cell r="HW26">
            <v>0</v>
          </cell>
          <cell r="HX26" t="str">
            <v>tbc</v>
          </cell>
          <cell r="HY26">
            <v>1069.9957958736693</v>
          </cell>
          <cell r="HZ26" t="str">
            <v>Emissions amount</v>
          </cell>
          <cell r="IA26">
            <v>1080</v>
          </cell>
          <cell r="IB26" t="str">
            <v>Includes Morocco's INDC: Unconditional 13% reductions on 2030 BAU gives 148Mt. BAU for rest of region</v>
          </cell>
          <cell r="IC26">
            <v>1080</v>
          </cell>
          <cell r="ID26" t="str">
            <v>Emissions amount</v>
          </cell>
          <cell r="IE26">
            <v>1080</v>
          </cell>
          <cell r="IF26" t="str">
            <v>Includes Morocco's unconditional 13% reductions on 2030 BAU gives 148Mt. BAU for rest of region</v>
          </cell>
          <cell r="IG26">
            <v>1080</v>
          </cell>
          <cell r="IH26" t="str">
            <v>Emissions amount</v>
          </cell>
          <cell r="II26">
            <v>1003</v>
          </cell>
          <cell r="IJ26" t="str">
            <v xml:space="preserve">Starting assumption for regional emissions: 0% on BAU. Portion of regional emissions are then replaced by submitted INDCs.
Includes Morocco's unconditional 13% reductions on 2030 BAU gives 148Mt. </v>
          </cell>
          <cell r="IK26">
            <v>1003</v>
          </cell>
          <cell r="IL26" t="str">
            <v>Emissions amount</v>
          </cell>
          <cell r="IM26">
            <v>1070</v>
          </cell>
          <cell r="IN26" t="str">
            <v>Includes Morocco's INDC: Unconditional 13% reductions on 2030 BAU gives 148Mt. BAU for rest of region</v>
          </cell>
          <cell r="IO26">
            <v>1070</v>
          </cell>
          <cell r="IP26" t="str">
            <v>Emissions amount</v>
          </cell>
          <cell r="IQ26">
            <v>1049</v>
          </cell>
          <cell r="IR26" t="str">
            <v>Includes Morocco's unconditional 13% reductions on 2030 BAU gives 148Mt. BAU for rest of region</v>
          </cell>
          <cell r="IS26">
            <v>1049</v>
          </cell>
          <cell r="IT26" t="str">
            <v>Emissions amount</v>
          </cell>
          <cell r="IU26">
            <v>1070</v>
          </cell>
          <cell r="IV26" t="str">
            <v xml:space="preserve">Starting assumption for regional emissions: 0% on BAU. Portion of regional emissions are then replaced by submitted INDCs.
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v>
          </cell>
          <cell r="IW26">
            <v>1070</v>
          </cell>
          <cell r="IX26" t="str">
            <v>Emissions amount</v>
          </cell>
          <cell r="IY26">
            <v>954</v>
          </cell>
          <cell r="IZ26" t="str">
            <v>Starting assumption for regional emissions: 0% on BAU. Portion of regional emissions are then replaced by submitted INDCs.
Includes Morocco's conditional 13% reductions on 2030 BAU gives 117Mt.   
Tunisia:  41% reduction of carbon intensity on 2010 gives 42Mt. Target emissions stated in INDC. 
Algeria: Conditional 22% reduction on 2030 BAU. BAU not given in INDC. Have used GLOCAF calculated BAU to estimate target emissions = 195Mt.</v>
          </cell>
          <cell r="JA26">
            <v>954</v>
          </cell>
          <cell r="JB26" t="str">
            <v>Emissions amount</v>
          </cell>
          <cell r="JC26">
            <v>1074</v>
          </cell>
          <cell r="JD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JE26">
            <v>1074</v>
          </cell>
          <cell r="JF26" t="str">
            <v>Emissions amount</v>
          </cell>
          <cell r="JG26">
            <v>1074</v>
          </cell>
          <cell r="JH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JI26">
            <v>1074</v>
          </cell>
          <cell r="JJ26" t="str">
            <v>Emissions amount</v>
          </cell>
          <cell r="JK26">
            <v>1074</v>
          </cell>
          <cell r="JL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JM26">
            <v>1074</v>
          </cell>
          <cell r="JN26" t="str">
            <v>Emissions amount</v>
          </cell>
          <cell r="JO26">
            <v>1070</v>
          </cell>
          <cell r="JP26" t="str">
            <v xml:space="preserve">Starting assumption for regional emissions: 0% on BAU. Portion of regional emissions are then replaced by submitted INDCs.
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v>
          </cell>
          <cell r="JQ26">
            <v>1070</v>
          </cell>
          <cell r="JR26" t="str">
            <v>Emissions amount</v>
          </cell>
          <cell r="JS26">
            <v>954</v>
          </cell>
          <cell r="JT26" t="str">
            <v>Starting assumption for regional emissions: 0% on BAU. Portion of regional emissions are then replaced by submitted INDCs.
Includes Morocco's conditional 13% reductions on 2030 BAU gives 117Mt.   
Tunisia:  41% reduction of carbon intensity on 2010 gives 42Mt. Target emissions stated in INDC. 
Algeria: Conditional 22% reduction on 2030 BAU. BAU not given in INDC. Have used GLOCAF calculated BAU to estimate target emissions = 195Mt.</v>
          </cell>
          <cell r="JU26">
            <v>954</v>
          </cell>
          <cell r="JV26" t="str">
            <v>Emissions amount</v>
          </cell>
          <cell r="JW26">
            <v>1070</v>
          </cell>
          <cell r="JX26" t="str">
            <v>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BAU for rest of region</v>
          </cell>
          <cell r="JY26">
            <v>1070</v>
          </cell>
          <cell r="JZ26" t="str">
            <v>Emissions amount</v>
          </cell>
          <cell r="KA26">
            <v>986</v>
          </cell>
          <cell r="KB26" t="str">
            <v>Includes Morocco's conditional 13% reductions on 2030 BAU gives 117Mt.   
Tunisia:  Conditional 41% reduction of carbon intensity on 2010 gives 42Mt. Target emissions stated in INDC. 
Algeria: Conditional 22% reduction on 2030 BAU. BAU not given in INDC. Have used GLOCAF calculated BAU to estimate target emissions = 195Mt.
BAU for rest of region</v>
          </cell>
          <cell r="KC26">
            <v>986</v>
          </cell>
          <cell r="KD26" t="str">
            <v>Emissions amount</v>
          </cell>
          <cell r="KE26">
            <v>1074</v>
          </cell>
          <cell r="KF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KG26">
            <v>1074</v>
          </cell>
          <cell r="KH26" t="str">
            <v>Emissions amount</v>
          </cell>
          <cell r="KI26">
            <v>1074</v>
          </cell>
          <cell r="KJ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KK26">
            <v>1074</v>
          </cell>
          <cell r="KL26" t="str">
            <v>Emissions amount</v>
          </cell>
          <cell r="KM26">
            <v>1074</v>
          </cell>
          <cell r="KN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KO26">
            <v>1074</v>
          </cell>
          <cell r="KP26" t="str">
            <v>Emissions amount</v>
          </cell>
          <cell r="KQ26">
            <v>986</v>
          </cell>
          <cell r="KR26" t="str">
            <v>Includes Morocco's conditional 13% reductions on 2030 BAU gives 117Mt.   
Tunisia:  Conditional 41% reduction of carbon intensity on 2010 gives 42Mt. Target emissions stated in INDC. 
Algeria: Conditional 22% reduction on 2030 BAU. BAU not given in INDC. Have used GLOCAF calculated BAU to estimate target emissions = 195Mt.
BAU for rest of region</v>
          </cell>
          <cell r="KS26">
            <v>986</v>
          </cell>
          <cell r="KT26" t="str">
            <v>Emissions amount</v>
          </cell>
          <cell r="KU26">
            <v>1070</v>
          </cell>
          <cell r="KV26" t="str">
            <v xml:space="preserve">Starting assumption for regional emissions: 0% on BAU. Portion of regional emissions are then replaced by submitted INDCs.
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v>
          </cell>
          <cell r="KW26">
            <v>1070</v>
          </cell>
          <cell r="KX26" t="str">
            <v>Emissions amount</v>
          </cell>
          <cell r="KY26">
            <v>954</v>
          </cell>
          <cell r="KZ26" t="str">
            <v>Starting assumption for regional emissions: 0% on BAU. Portion of regional emissions are then replaced by submitted INDCs.
Includes Morocco's conditional 13% reductions on 2030 BAU gives 117Mt.   
Tunisia:  41% reduction of carbon intensity on 2010 gives 42Mt. Target emissions stated in INDC. 
Algeria: Conditional 22% reduction on 2030 BAU. BAU not given in INDC. Have used GLOCAF calculated BAU to estimate target emissions = 195Mt.</v>
          </cell>
          <cell r="LA26">
            <v>954</v>
          </cell>
          <cell r="LB26" t="str">
            <v>Emissions amount</v>
          </cell>
          <cell r="LC26">
            <v>1070</v>
          </cell>
          <cell r="LD26" t="str">
            <v>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BAU for rest of region</v>
          </cell>
          <cell r="LE26">
            <v>1070</v>
          </cell>
          <cell r="LF26" t="str">
            <v>Emissions amount</v>
          </cell>
          <cell r="LG26">
            <v>1074</v>
          </cell>
          <cell r="LH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LI26">
            <v>1074</v>
          </cell>
          <cell r="LJ26" t="str">
            <v>Emissions amount</v>
          </cell>
          <cell r="LK26">
            <v>1074</v>
          </cell>
          <cell r="LL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LM26">
            <v>1074</v>
          </cell>
          <cell r="LN26" t="str">
            <v>Emissions amount</v>
          </cell>
          <cell r="LO26">
            <v>1084</v>
          </cell>
          <cell r="LP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LQ26">
            <v>1084</v>
          </cell>
          <cell r="LR26" t="str">
            <v>Emissions amount</v>
          </cell>
          <cell r="LS26">
            <v>1130</v>
          </cell>
          <cell r="LT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LU26">
            <v>1130</v>
          </cell>
          <cell r="LV26" t="str">
            <v>Emissions amount</v>
          </cell>
          <cell r="LW26">
            <v>1111</v>
          </cell>
          <cell r="LX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LY26">
            <v>1111</v>
          </cell>
          <cell r="LZ26" t="str">
            <v>Emissions amount</v>
          </cell>
          <cell r="MA26">
            <v>1084</v>
          </cell>
          <cell r="MB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MC26">
            <v>1084</v>
          </cell>
          <cell r="MD26" t="str">
            <v>Emissions amount</v>
          </cell>
          <cell r="ME26">
            <v>1084</v>
          </cell>
          <cell r="MF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MG26">
            <v>1084</v>
          </cell>
          <cell r="MH26" t="str">
            <v>Emissions amount</v>
          </cell>
          <cell r="MI26">
            <v>1027</v>
          </cell>
          <cell r="MJ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MK26">
            <v>1027</v>
          </cell>
          <cell r="ML26" t="str">
            <v>Emissions amount</v>
          </cell>
          <cell r="MM26">
            <v>1084</v>
          </cell>
          <cell r="MN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MO26">
            <v>1084</v>
          </cell>
          <cell r="MP26" t="str">
            <v>Emissions amount</v>
          </cell>
          <cell r="MQ26">
            <v>1047</v>
          </cell>
          <cell r="MR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MS26">
            <v>1047</v>
          </cell>
          <cell r="MT26" t="str">
            <v>Emissions amount</v>
          </cell>
          <cell r="MU26">
            <v>1027</v>
          </cell>
          <cell r="MV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MW26">
            <v>1027</v>
          </cell>
          <cell r="MX26" t="str">
            <v>Emissions amount</v>
          </cell>
          <cell r="MY26">
            <v>1084</v>
          </cell>
          <cell r="MZ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NA26">
            <v>1084</v>
          </cell>
          <cell r="NB26" t="str">
            <v>Emissions amount</v>
          </cell>
          <cell r="NC26">
            <v>1084</v>
          </cell>
          <cell r="ND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NE26">
            <v>1084</v>
          </cell>
          <cell r="NF26" t="str">
            <v>Emissions amount</v>
          </cell>
          <cell r="NG26">
            <v>1084</v>
          </cell>
          <cell r="NH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NI26">
            <v>1084</v>
          </cell>
          <cell r="NJ26" t="str">
            <v>Emissions amount</v>
          </cell>
          <cell r="NK26">
            <v>1084</v>
          </cell>
          <cell r="NL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NM26">
            <v>1084</v>
          </cell>
          <cell r="NN26" t="str">
            <v>Emissions amount</v>
          </cell>
          <cell r="NO26">
            <v>1084</v>
          </cell>
          <cell r="NP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NQ26">
            <v>1084</v>
          </cell>
          <cell r="NR26" t="str">
            <v>Emissions amount</v>
          </cell>
          <cell r="NS26">
            <v>1047</v>
          </cell>
          <cell r="NT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NU26">
            <v>1047</v>
          </cell>
          <cell r="NV26" t="str">
            <v>Emissions amount</v>
          </cell>
          <cell r="NW26">
            <v>1084</v>
          </cell>
          <cell r="NX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NY26">
            <v>1084</v>
          </cell>
          <cell r="NZ26" t="str">
            <v>Emissions amount</v>
          </cell>
          <cell r="OA26">
            <v>1047</v>
          </cell>
          <cell r="OB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OC26">
            <v>1047</v>
          </cell>
          <cell r="OD26" t="str">
            <v>Emissions amount</v>
          </cell>
          <cell r="OE26">
            <v>1027</v>
          </cell>
          <cell r="OF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OG26">
            <v>1027</v>
          </cell>
          <cell r="OH26" t="str">
            <v>Abatement amount</v>
          </cell>
          <cell r="OI26">
            <v>1084</v>
          </cell>
          <cell r="OJ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OK26">
            <v>-14.004204126330706</v>
          </cell>
          <cell r="OL26" t="str">
            <v>Emissions amount</v>
          </cell>
          <cell r="OM26">
            <v>1047</v>
          </cell>
          <cell r="ON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OO26">
            <v>1047</v>
          </cell>
          <cell r="OP26" t="str">
            <v>Abatement amount</v>
          </cell>
          <cell r="OQ26">
            <v>0</v>
          </cell>
          <cell r="OR26" t="str">
            <v xml:space="preserve">Morocco's INDC: Unconditional 13% reductions on 2030 BAU gives 148Mt. 
Tunisia : Unconditional 13% reduction in carbon intensity on 2010. 2030 forecast emissions set out in the INDC gives 62Mt.
Algeria: Unconditional 7% reduction on 2030 BAU. BAU not given in INDC. Have used GLOCAF calculated BAU to estimate target emissions = 232Mt.
Reference scenario for rest of the region
</v>
          </cell>
          <cell r="OS26">
            <v>1069.9957958736693</v>
          </cell>
          <cell r="OT26" t="str">
            <v>Emissions amount</v>
          </cell>
          <cell r="OU26">
            <v>1084</v>
          </cell>
          <cell r="OW26">
            <v>1084</v>
          </cell>
          <cell r="OX26" t="str">
            <v>Emissions amount</v>
          </cell>
          <cell r="OY26">
            <v>1130</v>
          </cell>
          <cell r="PA26">
            <v>1130</v>
          </cell>
          <cell r="PB26" t="str">
            <v>Emissions amount</v>
          </cell>
          <cell r="PC26">
            <v>1130</v>
          </cell>
          <cell r="PE26">
            <v>1130</v>
          </cell>
          <cell r="PF26" t="str">
            <v>Emissions amount</v>
          </cell>
          <cell r="PG26">
            <v>1084</v>
          </cell>
          <cell r="PI26">
            <v>1084</v>
          </cell>
          <cell r="PJ26" t="str">
            <v>Emissions amount</v>
          </cell>
          <cell r="PK26">
            <v>996</v>
          </cell>
          <cell r="PM26">
            <v>996</v>
          </cell>
          <cell r="PN26" t="str">
            <v>Emissions amount</v>
          </cell>
          <cell r="PO26">
            <v>1114</v>
          </cell>
          <cell r="PQ26">
            <v>1114</v>
          </cell>
          <cell r="PR26" t="str">
            <v>Emissions amount</v>
          </cell>
          <cell r="PS26">
            <v>1085</v>
          </cell>
          <cell r="PU26">
            <v>1085</v>
          </cell>
          <cell r="PV26" t="str">
            <v>Emissions amount</v>
          </cell>
          <cell r="PW26">
            <v>1114</v>
          </cell>
          <cell r="PY26">
            <v>1114</v>
          </cell>
          <cell r="PZ26" t="str">
            <v>Emissions amount</v>
          </cell>
          <cell r="QA26">
            <v>1085</v>
          </cell>
          <cell r="QC26">
            <v>1085</v>
          </cell>
          <cell r="QD26" t="str">
            <v>Emissions amount</v>
          </cell>
          <cell r="QE26">
            <v>997</v>
          </cell>
          <cell r="QG26">
            <v>997</v>
          </cell>
          <cell r="QH26" t="str">
            <v>Emissions amount</v>
          </cell>
          <cell r="QI26">
            <v>1085</v>
          </cell>
          <cell r="QK26">
            <v>1085</v>
          </cell>
          <cell r="QL26" t="str">
            <v>Emissions amount</v>
          </cell>
          <cell r="QM26">
            <v>1085</v>
          </cell>
          <cell r="QO26">
            <v>1085</v>
          </cell>
          <cell r="QP26" t="str">
            <v>Abatement amount</v>
          </cell>
          <cell r="QQ26">
            <v>0</v>
          </cell>
          <cell r="QR26" t="str">
            <v>BAU is binding</v>
          </cell>
          <cell r="QS26">
            <v>1069.9957958736693</v>
          </cell>
          <cell r="QT26" t="str">
            <v>Abatement amount</v>
          </cell>
          <cell r="QU26">
            <v>0</v>
          </cell>
          <cell r="QV26" t="str">
            <v>BAU is binding</v>
          </cell>
          <cell r="QW26">
            <v>1069.9957958736693</v>
          </cell>
          <cell r="QX26" t="str">
            <v>Emissions amount</v>
          </cell>
          <cell r="QY26">
            <v>997</v>
          </cell>
          <cell r="RA26">
            <v>997</v>
          </cell>
          <cell r="RB26" t="str">
            <v>Emissions amount</v>
          </cell>
          <cell r="RC26">
            <v>1114</v>
          </cell>
          <cell r="RE26">
            <v>1114</v>
          </cell>
          <cell r="RF26" t="str">
            <v>Emissions amount</v>
          </cell>
          <cell r="RG26">
            <v>1085</v>
          </cell>
          <cell r="RI26">
            <v>1085</v>
          </cell>
          <cell r="RJ26" t="str">
            <v>Emissions amount</v>
          </cell>
          <cell r="RK26">
            <v>1114</v>
          </cell>
          <cell r="RM26">
            <v>1114</v>
          </cell>
          <cell r="RN26" t="str">
            <v>Emissions amount</v>
          </cell>
          <cell r="RO26">
            <v>1085</v>
          </cell>
          <cell r="RQ26">
            <v>1085</v>
          </cell>
          <cell r="RR26" t="str">
            <v>Emissions amount</v>
          </cell>
          <cell r="RS26">
            <v>997</v>
          </cell>
          <cell r="RU26">
            <v>997</v>
          </cell>
        </row>
        <row r="27">
          <cell r="A27" t="str">
            <v>Rest of Central America</v>
          </cell>
          <cell r="B27" t="str">
            <v>Abatement amount</v>
          </cell>
          <cell r="C27">
            <v>167.44538580832386</v>
          </cell>
          <cell r="D27">
            <v>0</v>
          </cell>
          <cell r="E27">
            <v>284.72242069387602</v>
          </cell>
          <cell r="F27" t="str">
            <v>Abatement amount</v>
          </cell>
          <cell r="G27">
            <v>76.233213526927727</v>
          </cell>
          <cell r="I27">
            <v>375.93459297527215</v>
          </cell>
          <cell r="J27" t="str">
            <v>Abatement amount</v>
          </cell>
          <cell r="K27">
            <v>45.216781616210938</v>
          </cell>
          <cell r="M27">
            <v>406.95102488598894</v>
          </cell>
          <cell r="N27" t="str">
            <v>Abatement amount</v>
          </cell>
          <cell r="O27">
            <v>45.216781616210938</v>
          </cell>
          <cell r="Q27">
            <v>406.95102488598894</v>
          </cell>
          <cell r="R27" t="str">
            <v>Abatement amount</v>
          </cell>
          <cell r="S27">
            <v>90.433563232421875</v>
          </cell>
          <cell r="U27">
            <v>361.73424326977801</v>
          </cell>
          <cell r="V27" t="str">
            <v>Abatement amount</v>
          </cell>
          <cell r="W27">
            <v>90.433563232421875</v>
          </cell>
          <cell r="Y27">
            <v>361.73424326977801</v>
          </cell>
          <cell r="Z27" t="str">
            <v>Abatement amount</v>
          </cell>
          <cell r="AA27">
            <v>167.44537353515625</v>
          </cell>
          <cell r="AC27">
            <v>284.72243296704363</v>
          </cell>
          <cell r="AD27" t="str">
            <v>Abatement amount</v>
          </cell>
          <cell r="AE27">
            <v>73.152618408203125</v>
          </cell>
          <cell r="AG27">
            <v>379.01518809399676</v>
          </cell>
          <cell r="AH27" t="str">
            <v>Abatement amount</v>
          </cell>
          <cell r="AI27">
            <v>45.216781616210938</v>
          </cell>
          <cell r="AK27">
            <v>406.95102488598894</v>
          </cell>
          <cell r="AL27" t="str">
            <v>Abatement amount</v>
          </cell>
          <cell r="AM27">
            <v>45.216781616210938</v>
          </cell>
          <cell r="AO27">
            <v>406.95102488598894</v>
          </cell>
          <cell r="AP27" t="str">
            <v>Abatement amount</v>
          </cell>
          <cell r="AQ27">
            <v>90.433563232421875</v>
          </cell>
          <cell r="AS27">
            <v>361.73424326977801</v>
          </cell>
          <cell r="AT27" t="str">
            <v>Abatement amount</v>
          </cell>
          <cell r="AU27">
            <v>90.433563232421875</v>
          </cell>
          <cell r="AW27">
            <v>361.73424326977801</v>
          </cell>
          <cell r="AX27" t="str">
            <v>Emissions amount</v>
          </cell>
          <cell r="AY27">
            <v>452.16780650219988</v>
          </cell>
          <cell r="BA27">
            <v>452.16780650219988</v>
          </cell>
          <cell r="BB27" t="str">
            <v>Emissions amount</v>
          </cell>
          <cell r="BC27">
            <v>452.16780650219988</v>
          </cell>
          <cell r="BE27">
            <v>452.16780650219988</v>
          </cell>
          <cell r="BF27" t="str">
            <v>Emissions amount</v>
          </cell>
          <cell r="BG27">
            <v>452.16780650219988</v>
          </cell>
          <cell r="BI27">
            <v>452.16780650219988</v>
          </cell>
          <cell r="BJ27" t="str">
            <v>Emissions amount</v>
          </cell>
          <cell r="BK27">
            <v>452.16780650219988</v>
          </cell>
          <cell r="BM27">
            <v>452.16780650219988</v>
          </cell>
          <cell r="BN27" t="str">
            <v>Emissions amount</v>
          </cell>
          <cell r="BO27">
            <v>452.16780650219988</v>
          </cell>
          <cell r="BQ27">
            <v>452.16780650219988</v>
          </cell>
          <cell r="BR27" t="str">
            <v>Emissions amount</v>
          </cell>
          <cell r="BS27">
            <v>406.95102488598894</v>
          </cell>
          <cell r="BU27">
            <v>406.95102488598894</v>
          </cell>
          <cell r="BV27" t="str">
            <v>Emissions amount</v>
          </cell>
          <cell r="BW27">
            <v>361.73424326977801</v>
          </cell>
          <cell r="BY27">
            <v>361.73424326977801</v>
          </cell>
          <cell r="BZ27" t="str">
            <v>Emissions amount</v>
          </cell>
          <cell r="CA27">
            <v>452.16780650219988</v>
          </cell>
          <cell r="CC27">
            <v>452.16780650219988</v>
          </cell>
          <cell r="CD27" t="str">
            <v>Emissions amount</v>
          </cell>
          <cell r="CE27">
            <v>452.16780650219988</v>
          </cell>
          <cell r="CG27">
            <v>452.16780650219988</v>
          </cell>
          <cell r="CH27" t="str">
            <v>Abatement amount</v>
          </cell>
          <cell r="CI27">
            <v>45.216781616210938</v>
          </cell>
          <cell r="CK27">
            <v>406.95102488598894</v>
          </cell>
          <cell r="CL27" t="str">
            <v>Abatement amount</v>
          </cell>
          <cell r="CM27">
            <v>90.433563232421875</v>
          </cell>
          <cell r="CO27">
            <v>361.73424326977801</v>
          </cell>
          <cell r="CP27" t="str">
            <v>Abatement amount</v>
          </cell>
          <cell r="CQ27">
            <v>90.433563232421875</v>
          </cell>
          <cell r="CS27">
            <v>361.73424326977801</v>
          </cell>
          <cell r="CT27" t="str">
            <v>Abatement amount</v>
          </cell>
          <cell r="CU27">
            <v>45.216781616210938</v>
          </cell>
          <cell r="CW27">
            <v>406.95102488598894</v>
          </cell>
          <cell r="CX27" t="str">
            <v>Abatement amount</v>
          </cell>
          <cell r="CY27">
            <v>90.433563232421875</v>
          </cell>
          <cell r="DA27">
            <v>361.73424326977801</v>
          </cell>
          <cell r="DB27" t="str">
            <v>Abatement amount</v>
          </cell>
          <cell r="DC27">
            <v>90.433563232421875</v>
          </cell>
          <cell r="DE27">
            <v>361.73424326977801</v>
          </cell>
          <cell r="DF27" t="str">
            <v>Abatement amount</v>
          </cell>
          <cell r="DG27">
            <v>45.216781616210938</v>
          </cell>
          <cell r="DI27">
            <v>406.95102488598894</v>
          </cell>
          <cell r="DJ27" t="str">
            <v>Emissions amount</v>
          </cell>
          <cell r="DK27">
            <v>452.16780650219988</v>
          </cell>
          <cell r="DM27">
            <v>452.16780650219988</v>
          </cell>
          <cell r="DN27" t="str">
            <v>Emissions amount</v>
          </cell>
          <cell r="DO27">
            <v>452.16780650219988</v>
          </cell>
          <cell r="DQ27">
            <v>452.16780650219988</v>
          </cell>
          <cell r="DR27" t="str">
            <v>Emissions amount</v>
          </cell>
          <cell r="DS27">
            <v>452.16780650219988</v>
          </cell>
          <cell r="DU27">
            <v>452.16780650219988</v>
          </cell>
          <cell r="DV27" t="str">
            <v>Emissions amount</v>
          </cell>
          <cell r="DW27">
            <v>452.16780650219988</v>
          </cell>
          <cell r="DY27">
            <v>452.16780650219988</v>
          </cell>
          <cell r="DZ27" t="str">
            <v>Abatement amount</v>
          </cell>
          <cell r="EA27">
            <v>45.216781616210938</v>
          </cell>
          <cell r="EC27">
            <v>406.95102488598894</v>
          </cell>
          <cell r="ED27" t="str">
            <v>Emissions amount</v>
          </cell>
          <cell r="EE27">
            <v>361.73424326977801</v>
          </cell>
          <cell r="EG27">
            <v>361.73424326977801</v>
          </cell>
          <cell r="EH27" t="str">
            <v>Abatement amount</v>
          </cell>
          <cell r="EI27">
            <v>0</v>
          </cell>
          <cell r="EK27">
            <v>488.26318020727319</v>
          </cell>
          <cell r="EL27" t="str">
            <v>Abatement amount</v>
          </cell>
          <cell r="EM27">
            <v>0</v>
          </cell>
          <cell r="EO27">
            <v>488.26318020727319</v>
          </cell>
          <cell r="EP27" t="str">
            <v>Abatement amount</v>
          </cell>
          <cell r="EQ27">
            <v>0</v>
          </cell>
          <cell r="ES27">
            <v>488.26318020727319</v>
          </cell>
          <cell r="ET27" t="str">
            <v>Abatement amount</v>
          </cell>
          <cell r="EU27">
            <v>95.936906027742154</v>
          </cell>
          <cell r="EW27">
            <v>392.32627417953103</v>
          </cell>
          <cell r="EX27" t="str">
            <v>Abatement amount</v>
          </cell>
          <cell r="EY27">
            <v>67.262444600662178</v>
          </cell>
          <cell r="FA27">
            <v>421.00073560661099</v>
          </cell>
          <cell r="FB27" t="str">
            <v>Abatement amount</v>
          </cell>
          <cell r="FC27">
            <v>49.016670692432832</v>
          </cell>
          <cell r="FE27">
            <v>439.24650951484034</v>
          </cell>
          <cell r="FF27" t="str">
            <v>Abatement amount</v>
          </cell>
          <cell r="FG27">
            <v>48.826316833496094</v>
          </cell>
          <cell r="FI27">
            <v>439.4368633737771</v>
          </cell>
          <cell r="FJ27" t="str">
            <v>Abatement amount</v>
          </cell>
          <cell r="FK27">
            <v>97.652633666992188</v>
          </cell>
          <cell r="FM27">
            <v>390.61054654028101</v>
          </cell>
          <cell r="FN27" t="str">
            <v>Abatement amount</v>
          </cell>
          <cell r="FO27">
            <v>0</v>
          </cell>
          <cell r="FQ27">
            <v>488.26318020727319</v>
          </cell>
          <cell r="FR27" t="str">
            <v>Abatement amount</v>
          </cell>
          <cell r="FS27">
            <v>0</v>
          </cell>
          <cell r="FU27">
            <v>488.26318020727319</v>
          </cell>
          <cell r="FV27" t="str">
            <v>Abatement amount</v>
          </cell>
          <cell r="FW27">
            <v>48.826316833496094</v>
          </cell>
          <cell r="FY27">
            <v>439.4368633737771</v>
          </cell>
          <cell r="FZ27" t="str">
            <v>Abatement amount</v>
          </cell>
          <cell r="GA27">
            <v>97.652633666992188</v>
          </cell>
          <cell r="GC27">
            <v>390.61054654028101</v>
          </cell>
          <cell r="GD27" t="str">
            <v>Abatement amount</v>
          </cell>
          <cell r="GE27">
            <v>97.652633666992188</v>
          </cell>
          <cell r="GG27">
            <v>390.61054654028101</v>
          </cell>
          <cell r="GH27" t="str">
            <v>Abatement amount</v>
          </cell>
          <cell r="GI27">
            <v>175.01168823242188</v>
          </cell>
          <cell r="GK27">
            <v>313.25149197485132</v>
          </cell>
          <cell r="GL27" t="str">
            <v>Abatement amount</v>
          </cell>
          <cell r="GM27">
            <v>100.71399977960124</v>
          </cell>
          <cell r="GO27">
            <v>387.54918042767196</v>
          </cell>
          <cell r="GP27" t="str">
            <v>Abatement amount</v>
          </cell>
          <cell r="GQ27">
            <v>50.838568922532318</v>
          </cell>
          <cell r="GS27">
            <v>437.42461128474088</v>
          </cell>
          <cell r="GT27" t="str">
            <v>Abatement amount</v>
          </cell>
          <cell r="GU27">
            <v>70.612926286750564</v>
          </cell>
          <cell r="GW27">
            <v>417.65025392052263</v>
          </cell>
          <cell r="GX27" t="str">
            <v>Abatement amount</v>
          </cell>
          <cell r="GY27">
            <v>0</v>
          </cell>
          <cell r="HA27">
            <v>488.26318020727319</v>
          </cell>
          <cell r="HB27" t="str">
            <v>Abatement amount</v>
          </cell>
          <cell r="HC27">
            <v>0</v>
          </cell>
          <cell r="HE27">
            <v>488.26318020727319</v>
          </cell>
          <cell r="HF27" t="str">
            <v>Abatement amount</v>
          </cell>
          <cell r="HG27">
            <v>0</v>
          </cell>
          <cell r="HI27">
            <v>488.26318020727319</v>
          </cell>
          <cell r="HJ27" t="str">
            <v>Abatement amount</v>
          </cell>
          <cell r="HK27">
            <v>0</v>
          </cell>
          <cell r="HM27">
            <v>488.26318020727319</v>
          </cell>
          <cell r="HN27" t="str">
            <v>Abatement amount</v>
          </cell>
          <cell r="HO27">
            <v>97.652633666992188</v>
          </cell>
          <cell r="HQ27">
            <v>390.61054654028101</v>
          </cell>
          <cell r="HR27" t="str">
            <v>Abatement amount</v>
          </cell>
          <cell r="HS27">
            <v>48.826316833496094</v>
          </cell>
          <cell r="HU27">
            <v>439.4368633737771</v>
          </cell>
          <cell r="HV27" t="str">
            <v>Abatement amount</v>
          </cell>
          <cell r="HW27">
            <v>48.826316833496094</v>
          </cell>
          <cell r="HX27" t="str">
            <v>tbc</v>
          </cell>
          <cell r="HY27">
            <v>439.4368633737771</v>
          </cell>
          <cell r="HZ27" t="str">
            <v>Abatement amount</v>
          </cell>
          <cell r="IA27">
            <v>0</v>
          </cell>
          <cell r="IB27" t="str">
            <v>GLOCAF BAU</v>
          </cell>
          <cell r="IC27">
            <v>488.26318020727319</v>
          </cell>
          <cell r="ID27" t="str">
            <v>Abatement amount</v>
          </cell>
          <cell r="IE27">
            <v>0</v>
          </cell>
          <cell r="IF27" t="str">
            <v>GLOCAF BAU</v>
          </cell>
          <cell r="IG27">
            <v>488.26318020727319</v>
          </cell>
          <cell r="IH27" t="str">
            <v>Emissions amount</v>
          </cell>
          <cell r="II27">
            <v>417</v>
          </cell>
          <cell r="IJ27" t="str">
            <v>Starting assumption for regional emissions: 5% on BAU. Portion of regional emissions are then replaced by submitted INDCs.
Includes Dominican Republic and Trinidad and Tobago's INDC.  Dominican Republic: Conditional 25% reduction on 2010 level.   T&amp;T: Conditoinal: 15% reduction from total BAU gives 88Mt.</v>
          </cell>
          <cell r="IK27">
            <v>417</v>
          </cell>
          <cell r="IL27" t="str">
            <v>Emissions amount</v>
          </cell>
          <cell r="IM27">
            <v>488</v>
          </cell>
          <cell r="IN27" t="str">
            <v>Includes Dominican Republic and Trinidad and Tobago's INDC.  Dominican Republic: Conditional 25% reduction on 2010 level.   T&amp;T: unconditional 1.7Mt abatement from BAU in 2030 in transport emissions gives 101Mt of  target emissions.</v>
          </cell>
          <cell r="IO27">
            <v>488</v>
          </cell>
          <cell r="IP27" t="str">
            <v>Emissions amount</v>
          </cell>
          <cell r="IQ27">
            <v>488</v>
          </cell>
          <cell r="IR27" t="str">
            <v>Includes Dominican Republic and Trinidad and Tobago's INDC.  Dominican Republic: Conditional 25% reduction on 2010 level.   T&amp;T: Conditoinal: 15% reduction from total BAU gives 88Mt.</v>
          </cell>
          <cell r="IS27">
            <v>488</v>
          </cell>
          <cell r="IT27" t="str">
            <v>Emissions amount</v>
          </cell>
          <cell r="IU27">
            <v>468</v>
          </cell>
          <cell r="IV27" t="str">
            <v>Starting assumption for regional emissions: 10% on BAU. Portion of regional emissions are then replaced by submitted INDCs.
Includes Dominican Republic and Trinidad and Tobago's INDC.  Dominican Republic: Conditional 25% reduction on 2010 level.   T&amp;T: unconditional 1.7Mt abatement from BAU in 2030 in transport emissions gives 101Mt of  target emissions.</v>
          </cell>
          <cell r="IW27">
            <v>468</v>
          </cell>
          <cell r="IX27" t="str">
            <v>Emissions amount</v>
          </cell>
          <cell r="IY27">
            <v>417</v>
          </cell>
          <cell r="IZ27" t="str">
            <v>Starting assumption for regional emissions: 5% on BAU. Portion of regional emissions are then replaced by submitted INDCs.
Includes Dominican Republic and Trinidad and Tobago's INDC.  Dominican Republic: Conditional 25% reduction on 2010 level.   T&amp;T: Conditoinal: 15% reduction from total BAU gives 88Mt.</v>
          </cell>
          <cell r="JA27">
            <v>417</v>
          </cell>
          <cell r="JB27" t="str">
            <v>Emissions amount</v>
          </cell>
          <cell r="JC27">
            <v>526</v>
          </cell>
          <cell r="JD27" t="str">
            <v>Trinidad and Tobago: unconditional 1.7Mt abatement from BAU in 2030 in transport emissions gives 101Mt of  target emissions. BAU in rest of regions.</v>
          </cell>
          <cell r="JE27">
            <v>526</v>
          </cell>
          <cell r="JF27" t="str">
            <v>Emissions amount</v>
          </cell>
          <cell r="JG27">
            <v>526</v>
          </cell>
          <cell r="JH27" t="str">
            <v>Trinidad and Tobago:  Unconditional 1.7Mt abatement from BAU in 2030 in transport emissions gives 101Mt of  target emissions. BAU for rest of regions</v>
          </cell>
          <cell r="JI27">
            <v>526</v>
          </cell>
          <cell r="JJ27" t="str">
            <v>Emissions amount</v>
          </cell>
          <cell r="JK27">
            <v>526</v>
          </cell>
          <cell r="JL27" t="str">
            <v>Trinidad and Tobago:  Unconditional 1.7Mt abatement from BAU in 2030 in transport emissions gives 101Mt of  target emissions. BAU for rest of regions</v>
          </cell>
          <cell r="JM27">
            <v>526</v>
          </cell>
          <cell r="JN27" t="str">
            <v>Emissions amount</v>
          </cell>
          <cell r="JO27">
            <v>466</v>
          </cell>
          <cell r="JP27" t="str">
            <v>Starting assumption for regional emissions: 10% on BAU. Portion of regional emissions are then replaced by submitted INDCs.
Dominican Republic: Conditional 25% reduction on 2010 level.   
Trinidad and Tobago: unconditional 1.7Mt abatement from BAU in 2030 in transport emissions gives 101Mt of target emissions.
Grenada: 40% reduction on 1990 , 0.15Mt of indicative target emissions by 2030.</v>
          </cell>
          <cell r="JQ27">
            <v>466</v>
          </cell>
          <cell r="JR27" t="str">
            <v>Emissions amount</v>
          </cell>
          <cell r="JS27">
            <v>415</v>
          </cell>
          <cell r="JT27" t="str">
            <v>Starting assumption for regional emissions: 5% on BAU. Portion of regional emissions are then replaced by submitted INDCs.
Dominican Republic: Conditional 25% reduction on 2010 level.   
Trinidad &amp; Tobago: Conditoinal: 15% reduction from total BAU gives 88Mt.
Grenada: 40% reduction on 2010 by 2030 (indicative). Indicative 2030 target emissions is 0.15Mt read off from chart</v>
          </cell>
          <cell r="JU27">
            <v>415</v>
          </cell>
          <cell r="JV27" t="str">
            <v>Emissions amount</v>
          </cell>
          <cell r="JW27">
            <v>488</v>
          </cell>
          <cell r="JX27" t="str">
            <v>Dominican Republic: Conditional 25% reduction on 2010 level.   
Trinidad and Tobago: unconditional 1.7Mt abatement from BAU in 2030 in transport emissions gives 101Mt of target emissions.
Grenada: 40% reduction on 1990 , 0.15Mt of indicative target emissions by 2030.
BAU for rest of region</v>
          </cell>
          <cell r="JY27">
            <v>488</v>
          </cell>
          <cell r="JZ27" t="str">
            <v>Emissions amount</v>
          </cell>
          <cell r="KA27">
            <v>488</v>
          </cell>
          <cell r="KB27" t="str">
            <v>Dominican Republic: Conditional 25% reduction on 2010 level.   
Trinidad &amp; Tobago: Conditoinal: 15% reduction from total BAU gives 88Mt.
Grenada: 40% reduction on 2010 by 2030 (indicative). Indicative 2030 target emissions is 0.15Mt read off from chart
BAU for the rest</v>
          </cell>
          <cell r="KC27">
            <v>488</v>
          </cell>
          <cell r="KD27" t="str">
            <v>Emissions amount</v>
          </cell>
          <cell r="KE27">
            <v>523</v>
          </cell>
          <cell r="KF27" t="str">
            <v>Trinidad and Tobago: unconditional 1.7Mt abatement from BAU in 2030 in transport emissions gives 101Mt of  target emissions.
Grenada: 40% reduction on 2010 by 2030 (indicative). Indicative 2030 target emissions is 0.15Mt read off from chart BAU in rest of regions.</v>
          </cell>
          <cell r="KG27">
            <v>523</v>
          </cell>
          <cell r="KH27" t="str">
            <v>Emissions amount</v>
          </cell>
          <cell r="KI27">
            <v>523</v>
          </cell>
          <cell r="KJ27" t="str">
            <v>Trinidad and Tobago: unconditional 1.7Mt abatement from BAU in 2030 in transport emissions gives 101Mt of  target emissions.
Grenada: 40% reduction on 2010 by 2030 (indicative). Indicative 2030 target emissions is 0.15Mt read off from chart. BAU in rest of regions.</v>
          </cell>
          <cell r="KK27">
            <v>523</v>
          </cell>
          <cell r="KL27" t="str">
            <v>Emissions amount</v>
          </cell>
          <cell r="KM27">
            <v>523</v>
          </cell>
          <cell r="KN27" t="str">
            <v>Trinidad and Tobago: unconditional 1.7Mt abatement from BAU in 2030 in transport emissions gives 101Mt of  target emissions.
Grenada: 40% reduction on 2010 by 2030 (indicative). Indicative 2030 target emissions is 0.15Mt read off from chart BAU in rest of regions.</v>
          </cell>
          <cell r="KO27">
            <v>523</v>
          </cell>
          <cell r="KP27" t="str">
            <v>Emissions amount</v>
          </cell>
          <cell r="KQ27">
            <v>488</v>
          </cell>
          <cell r="KR27" t="str">
            <v>Dominican Republic: Conditional 25% reduction on 2010 level.   
Trinidad &amp; Tobago: Conditoinal: 15% reduction from total BAU gives 88Mt.
Grenada: 40% reduction on 2010 by 2030 (indicative). Indicative 2030 target emissions is 0.15Mt read off from chart
BAU for the rest</v>
          </cell>
          <cell r="KS27">
            <v>488</v>
          </cell>
          <cell r="KT27" t="str">
            <v>Emissions amount</v>
          </cell>
          <cell r="KU27">
            <v>466</v>
          </cell>
          <cell r="KV27" t="str">
            <v>Starting assumption for regional emissions: 10% on BAU. Portion of regional emissions are then replaced by submitted INDCs.
Dominican Republic: Conditional 25% reduction on 2010 level.   
Trinidad and Tobago: unconditional 1.7Mt abatement from BAU in 2030 in transport emissions gives 101Mt of target emissions.
Grenada: 40% reduction on 1990 , 0.15Mt of indicative target emissions by 2030.</v>
          </cell>
          <cell r="KW27">
            <v>466</v>
          </cell>
          <cell r="KX27" t="str">
            <v>Emissions amount</v>
          </cell>
          <cell r="KY27">
            <v>415</v>
          </cell>
          <cell r="KZ27" t="str">
            <v>Starting assumption for regional emissions: 5% on BAU. Portion of regional emissions are then replaced by submitted INDCs.
Dominican Republic: Conditional 25% reduction on 2010 level.   
Trinidad &amp; Tobago: Conditoinal: 15% reduction from total BAU gives 88Mt.
Grenada: 40% reduction on 2010 by 2030 (indicative). Indicative 2030 target emissions is 0.15Mt read off from chart</v>
          </cell>
          <cell r="LA27">
            <v>415</v>
          </cell>
          <cell r="LB27" t="str">
            <v>Emissions amount</v>
          </cell>
          <cell r="LC27">
            <v>488</v>
          </cell>
          <cell r="LD27" t="str">
            <v>Dominican Republic: Conditional 25% reduction on 2010 level.   
Trinidad and Tobago: unconditional 1.7Mt abatement from BAU in 2030 in transport emissions gives 101Mt of target emissions.
Grenada: 40% reduction on 1990 , 0.15Mt of indicative target emissions by 2030.
BAU for rest of region</v>
          </cell>
          <cell r="LE27">
            <v>488</v>
          </cell>
          <cell r="LF27" t="str">
            <v>Emissions amount</v>
          </cell>
          <cell r="LG27">
            <v>506</v>
          </cell>
          <cell r="LH27" t="str">
            <v>Trinidad and Tobago: unconditional 1.7Mt abatement from BAU in 2030 in transport emissions gives 101Mt of  target emissions.
Grenada: 40% reduction on 2010 by 2030 (indicative). Indicative 2030 target emissions is 0.15Mt read off from chart BAU in rest of regions.</v>
          </cell>
          <cell r="LI27">
            <v>506</v>
          </cell>
          <cell r="LJ27" t="str">
            <v>Emissions amount</v>
          </cell>
          <cell r="LK27">
            <v>506</v>
          </cell>
          <cell r="LL27" t="str">
            <v>Trinidad and Tobago: unconditional 1.7Mt abatement from BAU in 2030 in transport emissions gives 101Mt of  target emissions.
Grenada: 40% reduction on 2010 by 2030 (indicative). Indicative 2030 target emissions is 0.15Mt read off from chart BAU in rest of regions.</v>
          </cell>
          <cell r="LM27">
            <v>506</v>
          </cell>
          <cell r="LN27" t="str">
            <v>Emissions amount</v>
          </cell>
          <cell r="LO27">
            <v>541</v>
          </cell>
          <cell r="LP27" t="str">
            <v>Trinidad and Tobago: unconditional 1.7Mt abatement from BAU in 2030 in transport emissions gives 101Mt of  target emissions.
Grenada: 40% reduction on 2010 by 2030 (indicative). Indicative 2030 target emissions is 0.15Mt read off from chart BAU in rest of regions.</v>
          </cell>
          <cell r="LQ27">
            <v>541</v>
          </cell>
          <cell r="LR27" t="str">
            <v>Emissions amount</v>
          </cell>
          <cell r="LS27">
            <v>541</v>
          </cell>
          <cell r="LT27" t="str">
            <v>Trinidad and Tobago: unconditional 1.7Mt abatement from BAU in 2030 in transport emissions gives 101Mt of  target emissions.
Grenada: 40% reduction on 2010 by 2030 (indicative). Indicative 2030 target emissions is 0.15Mt read off from chart BAU in rest of regions.</v>
          </cell>
          <cell r="LU27">
            <v>541</v>
          </cell>
          <cell r="LV27" t="str">
            <v>Emissions amount</v>
          </cell>
          <cell r="LW27">
            <v>440</v>
          </cell>
          <cell r="LX27" t="str">
            <v>Trinidad and Tobago: unconditional 1.7Mt abatement from BAU in 2030 in transport emissions gives 101Mt of  target emissions.
Grenada: 40% reduction on 2010 by 2030 (indicative). Indicative 2030 target emissions is 0.15Mt read off from chart BAU in rest of regions.</v>
          </cell>
          <cell r="LY27">
            <v>440</v>
          </cell>
          <cell r="LZ27" t="str">
            <v>Emissions amount</v>
          </cell>
          <cell r="MA27">
            <v>541</v>
          </cell>
          <cell r="MB27" t="str">
            <v>Trinidad and Tobago: unconditional 1.7Mt abatement from BAU in 2030 in transport emissions gives 101Mt of  target emissions.
Grenada: 40% reduction on 2010 by 2030 (indicative). Indicative 2030 target emissions is 0.15Mt read off from chart BAU in rest of regions.</v>
          </cell>
          <cell r="MC27">
            <v>541</v>
          </cell>
          <cell r="MD27" t="str">
            <v>Emissions amount</v>
          </cell>
          <cell r="ME27">
            <v>541</v>
          </cell>
          <cell r="MF27" t="str">
            <v>Trinidad and Tobago: unconditional 1.7Mt abatement from BAU in 2030 in transport emissions gives 101Mt of  target emissions.
Grenada: 40% reduction on 2010 by 2030 (indicative). Indicative 2030 target emissions is 0.15Mt read off from chart BAU in rest of regions.</v>
          </cell>
          <cell r="MG27">
            <v>541</v>
          </cell>
          <cell r="MH27" t="str">
            <v>Emissions amount</v>
          </cell>
          <cell r="MI27">
            <v>440</v>
          </cell>
          <cell r="MJ27" t="str">
            <v>Trinidad and Tobago: unconditional 1.7Mt abatement from BAU in 2030 in transport emissions gives 101Mt of  target emissions.
Grenada: 40% reduction on 2010 by 2030 (indicative). Indicative 2030 target emissions is 0.15Mt read off from chart BAU in rest of regions.</v>
          </cell>
          <cell r="MK27">
            <v>440</v>
          </cell>
          <cell r="ML27" t="str">
            <v>Emissions amount</v>
          </cell>
          <cell r="MM27">
            <v>463</v>
          </cell>
          <cell r="MN27" t="str">
            <v>Trinidad and Tobago: unconditional 1.7Mt abatement from BAU in 2030 in transport emissions gives 101Mt of  target emissions.
Grenada: 40% reduction on 2010 by 2030 (indicative). Indicative 2030 target emissions is 0.15Mt read off from chart BAU in rest of regions.</v>
          </cell>
          <cell r="MO27">
            <v>463</v>
          </cell>
          <cell r="MP27" t="str">
            <v>Emissions amount</v>
          </cell>
          <cell r="MQ27">
            <v>463</v>
          </cell>
          <cell r="MR27" t="str">
            <v>Trinidad and Tobago: unconditional 1.7Mt abatement from BAU in 2030 in transport emissions gives 101Mt of  target emissions.
Grenada: 40% reduction on 2010 by 2030 (indicative). Indicative 2030 target emissions is 0.15Mt read off from chart BAU in rest of regions.</v>
          </cell>
          <cell r="MS27">
            <v>463</v>
          </cell>
          <cell r="MT27" t="str">
            <v>Emissions amount</v>
          </cell>
          <cell r="MU27">
            <v>440</v>
          </cell>
          <cell r="MV27" t="str">
            <v>Trinidad and Tobago: unconditional 1.7Mt abatement from BAU in 2030 in transport emissions gives 101Mt of  target emissions.
Grenada: 40% reduction on 2010 by 2030 (indicative). Indicative 2030 target emissions is 0.15Mt read off from chart BAU in rest of regions.</v>
          </cell>
          <cell r="MW27">
            <v>440</v>
          </cell>
          <cell r="MX27" t="str">
            <v>Emissions amount</v>
          </cell>
          <cell r="MY27">
            <v>541</v>
          </cell>
          <cell r="MZ27" t="str">
            <v>Trinidad and Tobago: unconditional 1.7Mt abatement from BAU in 2030 in transport emissions gives 101Mt of  target emissions.
Grenada: 40% reduction on 2010 by 2030 (indicative). Indicative 2030 target emissions is 0.15Mt read off from chart BAU in rest of regions.</v>
          </cell>
          <cell r="NA27">
            <v>541</v>
          </cell>
          <cell r="NB27" t="str">
            <v>Emissions amount</v>
          </cell>
          <cell r="NC27">
            <v>541</v>
          </cell>
          <cell r="ND27" t="str">
            <v>Trinidad and Tobago: unconditional 1.7Mt abatement from BAU in 2030 in transport emissions gives 101Mt of  target emissions.
Grenada: 40% reduction on 2010 by 2030 (indicative). Indicative 2030 target emissions is 0.15Mt read off from chart BAU in rest of regions.</v>
          </cell>
          <cell r="NE27">
            <v>541</v>
          </cell>
          <cell r="NF27" t="str">
            <v>Emissions amount</v>
          </cell>
          <cell r="NG27">
            <v>541</v>
          </cell>
          <cell r="NH27" t="str">
            <v>Trinidad and Tobago: unconditional 1.7Mt abatement from BAU in 2030 in transport emissions gives 101Mt of  target emissions.
Grenada: 40% reduction on 2010 by 2030 (indicative). Indicative 2030 target emissions is 0.15Mt read off from chart BAU in rest of regions.</v>
          </cell>
          <cell r="NI27">
            <v>541</v>
          </cell>
          <cell r="NJ27" t="str">
            <v>Emissions amount</v>
          </cell>
          <cell r="NK27">
            <v>463</v>
          </cell>
          <cell r="NL27" t="str">
            <v>Trinidad and Tobago: unconditional 1.7Mt abatement from BAU in 2030 in transport emissions gives 101Mt of  target emissions.
Grenada: 40% reduction on 2010 by 2030 (indicative). Indicative 2030 target emissions is 0.15Mt read off from chart BAU in rest of regions.</v>
          </cell>
          <cell r="NM27">
            <v>463</v>
          </cell>
          <cell r="NN27" t="str">
            <v>Emissions amount</v>
          </cell>
          <cell r="NO27">
            <v>463</v>
          </cell>
          <cell r="NP27" t="str">
            <v>Trinidad and Tobago: unconditional 1.7Mt abatement from BAU in 2030 in transport emissions gives 101Mt of  target emissions.
Grenada: 40% reduction on 2010 by 2030 (indicative). Indicative 2030 target emissions is 0.15Mt read off from chart BAU in rest of regions.</v>
          </cell>
          <cell r="NQ27">
            <v>463</v>
          </cell>
          <cell r="NR27" t="str">
            <v>Emissions amount</v>
          </cell>
          <cell r="NS27">
            <v>463</v>
          </cell>
          <cell r="NT27" t="str">
            <v>Trinidad and Tobago: unconditional 1.7Mt abatement from BAU in 2030 in transport emissions gives 101Mt of  target emissions.
Grenada: 40% reduction on 2010 by 2030 (indicative). Indicative 2030 target emissions is 0.15Mt read off from chart BAU in rest of regions.</v>
          </cell>
          <cell r="NU27">
            <v>463</v>
          </cell>
          <cell r="NV27" t="str">
            <v>Emissions amount</v>
          </cell>
          <cell r="NW27">
            <v>463</v>
          </cell>
          <cell r="NX27" t="str">
            <v>Trinidad and Tobago: unconditional 1.7Mt abatement from BAU in 2030 in transport emissions gives 101Mt of  target emissions.
Grenada: 40% reduction on 2010 by 2030 (indicative). Indicative 2030 target emissions is 0.15Mt read off from chart BAU in rest of regions.</v>
          </cell>
          <cell r="NY27">
            <v>463</v>
          </cell>
          <cell r="NZ27" t="str">
            <v>Emissions amount</v>
          </cell>
          <cell r="OA27">
            <v>463</v>
          </cell>
          <cell r="OB27" t="str">
            <v>Trinidad and Tobago: unconditional 1.7Mt abatement from BAU in 2030 in transport emissions gives 101Mt of  target emissions.
Grenada: 40% reduction on 2010 by 2030 (indicative). Indicative 2030 target emissions is 0.15Mt read off from chart BAU in rest of regions.</v>
          </cell>
          <cell r="OC27">
            <v>463</v>
          </cell>
          <cell r="OD27" t="str">
            <v>Emissions amount</v>
          </cell>
          <cell r="OE27">
            <v>440</v>
          </cell>
          <cell r="OF27" t="str">
            <v>Trinidad and Tobago: unconditional 1.7Mt abatement from BAU in 2030 in transport emissions gives 101Mt of  target emissions.
Grenada: 40% reduction on 2010 by 2030 (indicative). Indicative 2030 target emissions is 0.15Mt read off from chart BAU in rest of regions.</v>
          </cell>
          <cell r="OG27">
            <v>440</v>
          </cell>
          <cell r="OH27" t="str">
            <v>Emissions amount</v>
          </cell>
          <cell r="OI27">
            <v>463</v>
          </cell>
          <cell r="OJ27" t="str">
            <v>Trinidad and Tobago: unconditional 1.7Mt abatement from BAU in 2030 in transport emissions gives 101Mt of  target emissions.
Grenada: 40% reduction on 2010 by 2030 (indicative). Indicative 2030 target emissions is 0.15Mt read off from chart BAU in rest of regions.</v>
          </cell>
          <cell r="OK27">
            <v>463</v>
          </cell>
          <cell r="OL27" t="str">
            <v>Emissions amount</v>
          </cell>
          <cell r="OM27">
            <v>463</v>
          </cell>
          <cell r="ON27" t="str">
            <v>Trinidad and Tobago: unconditional 1.7Mt abatement from BAU in 2030 in transport emissions gives 101Mt of  target emissions.
Grenada: 40% reduction on 2010 by 2030 (indicative). Indicative 2030 target emissions is 0.15Mt read off from chart BAU in rest of regions.</v>
          </cell>
          <cell r="OO27">
            <v>463</v>
          </cell>
          <cell r="OP27" t="str">
            <v>Emissions amount</v>
          </cell>
          <cell r="OQ27">
            <v>463</v>
          </cell>
          <cell r="OR27" t="str">
            <v>Trinidad and Tobago: unconditional 1.7Mt abatement from BAU in 2030 in transport emissions gives 101Mt of  target emissions.
Grenada: 40% reduction on 2010 by 2030 (indicative). Indicative 2030 target emissions is 0.15Mt read off from chart BAU in rest of regions.</v>
          </cell>
          <cell r="OS27">
            <v>463</v>
          </cell>
          <cell r="OT27" t="str">
            <v>Emissions amount</v>
          </cell>
          <cell r="OU27">
            <v>396</v>
          </cell>
          <cell r="OW27">
            <v>396</v>
          </cell>
          <cell r="OX27" t="str">
            <v>Emissions amount</v>
          </cell>
          <cell r="OY27">
            <v>396</v>
          </cell>
          <cell r="PA27">
            <v>396</v>
          </cell>
          <cell r="PB27" t="str">
            <v>Emissions amount</v>
          </cell>
          <cell r="PC27">
            <v>396</v>
          </cell>
          <cell r="PE27">
            <v>396</v>
          </cell>
          <cell r="PF27" t="str">
            <v>Emissions amount</v>
          </cell>
          <cell r="PG27">
            <v>396</v>
          </cell>
          <cell r="PI27">
            <v>396</v>
          </cell>
          <cell r="PJ27" t="str">
            <v>Emissions amount</v>
          </cell>
          <cell r="PK27">
            <v>386</v>
          </cell>
          <cell r="PM27">
            <v>386</v>
          </cell>
          <cell r="PN27" t="str">
            <v>Emissions amount</v>
          </cell>
          <cell r="PO27">
            <v>407</v>
          </cell>
          <cell r="PQ27">
            <v>407</v>
          </cell>
          <cell r="PR27" t="str">
            <v>Emissions amount</v>
          </cell>
          <cell r="PS27">
            <v>407</v>
          </cell>
          <cell r="PU27">
            <v>407</v>
          </cell>
          <cell r="PV27" t="str">
            <v>Emissions amount</v>
          </cell>
          <cell r="PW27">
            <v>407</v>
          </cell>
          <cell r="PY27">
            <v>407</v>
          </cell>
          <cell r="PZ27" t="str">
            <v>Emissions amount</v>
          </cell>
          <cell r="QA27">
            <v>407</v>
          </cell>
          <cell r="QC27">
            <v>407</v>
          </cell>
          <cell r="QD27" t="str">
            <v>Emissions amount</v>
          </cell>
          <cell r="QE27">
            <v>396</v>
          </cell>
          <cell r="QG27">
            <v>396</v>
          </cell>
          <cell r="QH27" t="str">
            <v>Emissions amount</v>
          </cell>
          <cell r="QI27">
            <v>407</v>
          </cell>
          <cell r="QK27">
            <v>407</v>
          </cell>
          <cell r="QL27" t="str">
            <v>Emissions amount</v>
          </cell>
          <cell r="QM27">
            <v>407</v>
          </cell>
          <cell r="QO27">
            <v>407</v>
          </cell>
          <cell r="QP27" t="str">
            <v>Emissions amount</v>
          </cell>
          <cell r="QQ27">
            <v>407</v>
          </cell>
          <cell r="QS27">
            <v>407</v>
          </cell>
          <cell r="QT27" t="str">
            <v>Emissions amount</v>
          </cell>
          <cell r="QU27">
            <v>407</v>
          </cell>
          <cell r="QW27">
            <v>407</v>
          </cell>
          <cell r="QX27" t="str">
            <v>Emissions amount</v>
          </cell>
          <cell r="QY27">
            <v>396</v>
          </cell>
          <cell r="RA27">
            <v>396</v>
          </cell>
          <cell r="RB27" t="str">
            <v>Emissions amount</v>
          </cell>
          <cell r="RC27">
            <v>407</v>
          </cell>
          <cell r="RE27">
            <v>407</v>
          </cell>
          <cell r="RF27" t="str">
            <v>Emissions amount</v>
          </cell>
          <cell r="RG27">
            <v>407</v>
          </cell>
          <cell r="RI27">
            <v>407</v>
          </cell>
          <cell r="RJ27" t="str">
            <v>Emissions amount</v>
          </cell>
          <cell r="RK27">
            <v>407</v>
          </cell>
          <cell r="RM27">
            <v>407</v>
          </cell>
          <cell r="RN27" t="str">
            <v>Emissions amount</v>
          </cell>
          <cell r="RO27">
            <v>407</v>
          </cell>
          <cell r="RQ27">
            <v>407</v>
          </cell>
          <cell r="RR27" t="str">
            <v>Emissions amount</v>
          </cell>
          <cell r="RS27">
            <v>396</v>
          </cell>
          <cell r="RU27">
            <v>396</v>
          </cell>
        </row>
        <row r="28">
          <cell r="A28" t="str">
            <v>Rest of FSU</v>
          </cell>
          <cell r="B28" t="str">
            <v>Abatement amount</v>
          </cell>
          <cell r="C28">
            <v>372.66460986490608</v>
          </cell>
          <cell r="D28">
            <v>0</v>
          </cell>
          <cell r="E28">
            <v>639.4462469946252</v>
          </cell>
          <cell r="F28" t="str">
            <v>Abatement amount</v>
          </cell>
          <cell r="G28">
            <v>154.84181352179235</v>
          </cell>
          <cell r="I28">
            <v>857.26904333773894</v>
          </cell>
          <cell r="J28" t="str">
            <v>Abatement amount</v>
          </cell>
          <cell r="K28">
            <v>0</v>
          </cell>
          <cell r="M28">
            <v>1012.1108568595313</v>
          </cell>
          <cell r="N28" t="str">
            <v>Abatement amount</v>
          </cell>
          <cell r="O28">
            <v>0</v>
          </cell>
          <cell r="Q28">
            <v>1012.1108568595313</v>
          </cell>
          <cell r="R28" t="str">
            <v>Abatement amount</v>
          </cell>
          <cell r="S28">
            <v>101.21108245849609</v>
          </cell>
          <cell r="U28">
            <v>910.89977440103519</v>
          </cell>
          <cell r="V28" t="str">
            <v>Abatement amount</v>
          </cell>
          <cell r="W28">
            <v>101.21108245849609</v>
          </cell>
          <cell r="Y28">
            <v>910.89977440103519</v>
          </cell>
          <cell r="Z28" t="str">
            <v>Abatement amount</v>
          </cell>
          <cell r="AA28">
            <v>273.15859985351563</v>
          </cell>
          <cell r="AC28">
            <v>738.95225700601566</v>
          </cell>
          <cell r="AD28" t="str">
            <v>Abatement amount</v>
          </cell>
          <cell r="AE28">
            <v>148.58464050292969</v>
          </cell>
          <cell r="AG28">
            <v>863.52621635660159</v>
          </cell>
          <cell r="AH28" t="str">
            <v>Abatement amount</v>
          </cell>
          <cell r="AI28">
            <v>0</v>
          </cell>
          <cell r="AK28">
            <v>1012.1108568595313</v>
          </cell>
          <cell r="AL28" t="str">
            <v>Abatement amount</v>
          </cell>
          <cell r="AM28">
            <v>0</v>
          </cell>
          <cell r="AO28">
            <v>1012.1108568595313</v>
          </cell>
          <cell r="AP28" t="str">
            <v>Abatement amount</v>
          </cell>
          <cell r="AQ28">
            <v>101.21108245849609</v>
          </cell>
          <cell r="AS28">
            <v>910.89977440103519</v>
          </cell>
          <cell r="AT28" t="str">
            <v>Abatement amount</v>
          </cell>
          <cell r="AU28">
            <v>101.21108245849609</v>
          </cell>
          <cell r="AW28">
            <v>910.89977440103519</v>
          </cell>
          <cell r="AX28" t="str">
            <v>Emissions amount</v>
          </cell>
          <cell r="AY28">
            <v>1012.1108568595313</v>
          </cell>
          <cell r="BA28">
            <v>1012.1108568595313</v>
          </cell>
          <cell r="BB28" t="str">
            <v>Emissions amount</v>
          </cell>
          <cell r="BC28">
            <v>1012.1108568595313</v>
          </cell>
          <cell r="BE28">
            <v>1012.1108568595313</v>
          </cell>
          <cell r="BF28" t="str">
            <v>Emissions amount</v>
          </cell>
          <cell r="BG28">
            <v>1012.1108568595313</v>
          </cell>
          <cell r="BI28">
            <v>1012.1108568595313</v>
          </cell>
          <cell r="BJ28" t="str">
            <v>Emissions amount</v>
          </cell>
          <cell r="BK28">
            <v>1012.1108568595313</v>
          </cell>
          <cell r="BM28">
            <v>1012.1108568595313</v>
          </cell>
          <cell r="BN28" t="str">
            <v>Emissions amount</v>
          </cell>
          <cell r="BO28">
            <v>1012.1108568595313</v>
          </cell>
          <cell r="BQ28">
            <v>1012.1108568595313</v>
          </cell>
          <cell r="BR28" t="str">
            <v>Emissions amount</v>
          </cell>
          <cell r="BS28">
            <v>1012.1108568595313</v>
          </cell>
          <cell r="BU28">
            <v>1012.1108568595313</v>
          </cell>
          <cell r="BV28" t="str">
            <v>Emissions amount</v>
          </cell>
          <cell r="BW28">
            <v>910.89977440103519</v>
          </cell>
          <cell r="BY28">
            <v>910.89977440103519</v>
          </cell>
          <cell r="BZ28" t="str">
            <v>Emissions amount</v>
          </cell>
          <cell r="CA28">
            <v>1012.1108568595313</v>
          </cell>
          <cell r="CC28">
            <v>1012.1108568595313</v>
          </cell>
          <cell r="CD28" t="str">
            <v>Emissions amount</v>
          </cell>
          <cell r="CE28">
            <v>1012.1108568595313</v>
          </cell>
          <cell r="CG28">
            <v>1012.1108568595313</v>
          </cell>
          <cell r="CH28" t="str">
            <v>Abatement amount</v>
          </cell>
          <cell r="CI28">
            <v>0</v>
          </cell>
          <cell r="CK28">
            <v>1012.1108568595313</v>
          </cell>
          <cell r="CL28" t="str">
            <v>Abatement amount</v>
          </cell>
          <cell r="CM28">
            <v>101.21108245849609</v>
          </cell>
          <cell r="CO28">
            <v>910.89977440103519</v>
          </cell>
          <cell r="CP28" t="str">
            <v>Abatement amount</v>
          </cell>
          <cell r="CQ28">
            <v>101.21108245849609</v>
          </cell>
          <cell r="CS28">
            <v>910.89977440103519</v>
          </cell>
          <cell r="CT28" t="str">
            <v>Abatement amount</v>
          </cell>
          <cell r="CU28">
            <v>0</v>
          </cell>
          <cell r="CW28">
            <v>1012.1108568595313</v>
          </cell>
          <cell r="CX28" t="str">
            <v>Abatement amount</v>
          </cell>
          <cell r="CY28">
            <v>101.21108245849609</v>
          </cell>
          <cell r="DA28">
            <v>910.89977440103519</v>
          </cell>
          <cell r="DB28" t="str">
            <v>Abatement amount</v>
          </cell>
          <cell r="DC28">
            <v>101.21108245849609</v>
          </cell>
          <cell r="DE28">
            <v>910.89977440103519</v>
          </cell>
          <cell r="DF28" t="str">
            <v>Abatement amount</v>
          </cell>
          <cell r="DG28">
            <v>0</v>
          </cell>
          <cell r="DI28">
            <v>1012.1108568595313</v>
          </cell>
          <cell r="DJ28" t="str">
            <v>Emissions amount</v>
          </cell>
          <cell r="DK28">
            <v>1012.1108568595313</v>
          </cell>
          <cell r="DM28">
            <v>1012.1108568595313</v>
          </cell>
          <cell r="DN28" t="str">
            <v>Emissions amount</v>
          </cell>
          <cell r="DO28">
            <v>1012.1108568595313</v>
          </cell>
          <cell r="DQ28">
            <v>1012.1108568595313</v>
          </cell>
          <cell r="DR28" t="str">
            <v>Emissions amount</v>
          </cell>
          <cell r="DS28">
            <v>1012.1108568595313</v>
          </cell>
          <cell r="DU28">
            <v>1012.1108568595313</v>
          </cell>
          <cell r="DV28" t="str">
            <v>Emissions amount</v>
          </cell>
          <cell r="DW28">
            <v>1012.1108568595313</v>
          </cell>
          <cell r="DY28">
            <v>1012.1108568595313</v>
          </cell>
          <cell r="DZ28" t="str">
            <v>Abatement amount</v>
          </cell>
          <cell r="EA28">
            <v>0</v>
          </cell>
          <cell r="EC28">
            <v>1012.1108568595313</v>
          </cell>
          <cell r="ED28" t="str">
            <v>Emissions amount</v>
          </cell>
          <cell r="EE28">
            <v>911</v>
          </cell>
          <cell r="EG28">
            <v>911</v>
          </cell>
          <cell r="EH28" t="str">
            <v>Abatement amount</v>
          </cell>
          <cell r="EI28">
            <v>0</v>
          </cell>
          <cell r="EK28">
            <v>1050.0574130298191</v>
          </cell>
          <cell r="EL28" t="str">
            <v>Abatement amount</v>
          </cell>
          <cell r="EM28">
            <v>0</v>
          </cell>
          <cell r="EO28">
            <v>1050.0574130298191</v>
          </cell>
          <cell r="EP28" t="str">
            <v>Abatement amount</v>
          </cell>
          <cell r="EQ28">
            <v>0</v>
          </cell>
          <cell r="ES28">
            <v>1050.0574130298191</v>
          </cell>
          <cell r="ET28" t="str">
            <v>Abatement amount</v>
          </cell>
          <cell r="EU28">
            <v>395.04116561931215</v>
          </cell>
          <cell r="EW28">
            <v>655.01624741050705</v>
          </cell>
          <cell r="EX28" t="str">
            <v>Abatement amount</v>
          </cell>
          <cell r="EY28">
            <v>316.37280861567513</v>
          </cell>
          <cell r="FA28">
            <v>733.68460441414402</v>
          </cell>
          <cell r="FB28" t="str">
            <v>Abatement amount</v>
          </cell>
          <cell r="FC28">
            <v>217.58344027752943</v>
          </cell>
          <cell r="FE28">
            <v>832.47397275228968</v>
          </cell>
          <cell r="FF28" t="str">
            <v>Abatement amount</v>
          </cell>
          <cell r="FG28">
            <v>0</v>
          </cell>
          <cell r="FI28">
            <v>1050.0574130298191</v>
          </cell>
          <cell r="FJ28" t="str">
            <v>Abatement amount</v>
          </cell>
          <cell r="FK28">
            <v>52.502872467041016</v>
          </cell>
          <cell r="FM28">
            <v>997.55454056277813</v>
          </cell>
          <cell r="FN28" t="str">
            <v>Abatement amount</v>
          </cell>
          <cell r="FO28">
            <v>0</v>
          </cell>
          <cell r="FQ28">
            <v>1050.0574130298191</v>
          </cell>
          <cell r="FR28" t="str">
            <v>Abatement amount</v>
          </cell>
          <cell r="FS28">
            <v>0</v>
          </cell>
          <cell r="FU28">
            <v>1050.0574130298191</v>
          </cell>
          <cell r="FV28" t="str">
            <v>Abatement amount</v>
          </cell>
          <cell r="FW28">
            <v>0</v>
          </cell>
          <cell r="FY28">
            <v>1050.0574130298191</v>
          </cell>
          <cell r="FZ28" t="str">
            <v>Abatement amount</v>
          </cell>
          <cell r="GA28">
            <v>52.502872467041016</v>
          </cell>
          <cell r="GC28">
            <v>997.55454056277813</v>
          </cell>
          <cell r="GD28" t="str">
            <v>Abatement amount</v>
          </cell>
          <cell r="GE28">
            <v>52.502872467041016</v>
          </cell>
          <cell r="GG28">
            <v>997.55454056277813</v>
          </cell>
          <cell r="GH28" t="str">
            <v>Abatement amount</v>
          </cell>
          <cell r="GI28">
            <v>38.636085510253906</v>
          </cell>
          <cell r="GK28">
            <v>1011.4213275195652</v>
          </cell>
          <cell r="GL28" t="str">
            <v>Abatement amount</v>
          </cell>
          <cell r="GM28">
            <v>414.71189258085747</v>
          </cell>
          <cell r="GO28">
            <v>635.34552044896168</v>
          </cell>
          <cell r="GP28" t="str">
            <v>Abatement amount</v>
          </cell>
          <cell r="GQ28">
            <v>225.6707885029524</v>
          </cell>
          <cell r="GS28">
            <v>824.38662452686674</v>
          </cell>
          <cell r="GT28" t="str">
            <v>Abatement amount</v>
          </cell>
          <cell r="GU28">
            <v>332.13199351501089</v>
          </cell>
          <cell r="GW28">
            <v>717.92541951480825</v>
          </cell>
          <cell r="GX28" t="str">
            <v>Abatement amount</v>
          </cell>
          <cell r="GY28">
            <v>0</v>
          </cell>
          <cell r="HA28">
            <v>1050.0574130298191</v>
          </cell>
          <cell r="HB28" t="str">
            <v>Abatement amount</v>
          </cell>
          <cell r="HC28">
            <v>0</v>
          </cell>
          <cell r="HE28">
            <v>1050.0574130298191</v>
          </cell>
          <cell r="HF28" t="str">
            <v>Abatement amount</v>
          </cell>
          <cell r="HG28">
            <v>0</v>
          </cell>
          <cell r="HI28">
            <v>1050.0574130298191</v>
          </cell>
          <cell r="HJ28" t="str">
            <v>Abatement amount</v>
          </cell>
          <cell r="HK28">
            <v>0</v>
          </cell>
          <cell r="HM28">
            <v>1050.0574130298191</v>
          </cell>
          <cell r="HN28" t="str">
            <v>Abatement amount</v>
          </cell>
          <cell r="HO28">
            <v>52.502872467041016</v>
          </cell>
          <cell r="HQ28">
            <v>997.55454056277813</v>
          </cell>
          <cell r="HR28" t="str">
            <v>Abatement amount</v>
          </cell>
          <cell r="HS28">
            <v>0</v>
          </cell>
          <cell r="HU28">
            <v>1050.0574130298191</v>
          </cell>
          <cell r="HV28" t="str">
            <v>Abatement amount</v>
          </cell>
          <cell r="HW28">
            <v>0</v>
          </cell>
          <cell r="HX28" t="str">
            <v>tbc</v>
          </cell>
          <cell r="HY28">
            <v>1050.0574130298191</v>
          </cell>
          <cell r="HZ28" t="str">
            <v>Abatement amount</v>
          </cell>
          <cell r="IA28">
            <v>0</v>
          </cell>
          <cell r="IB28" t="str">
            <v>GLOCAF BAU</v>
          </cell>
          <cell r="IC28">
            <v>1050.0574130298191</v>
          </cell>
          <cell r="ID28" t="str">
            <v>Abatement amount</v>
          </cell>
          <cell r="IE28">
            <v>0</v>
          </cell>
          <cell r="IF28" t="str">
            <v>GLOCAF BAU</v>
          </cell>
          <cell r="IG28">
            <v>1050.0574130298191</v>
          </cell>
          <cell r="IH28" t="str">
            <v>Abatement amount</v>
          </cell>
          <cell r="II28">
            <v>52.502872467041016</v>
          </cell>
          <cell r="IJ28" t="str">
            <v>5% on BAU</v>
          </cell>
          <cell r="IK28">
            <v>997.55454056277813</v>
          </cell>
          <cell r="IL28" t="str">
            <v>Abatement amount</v>
          </cell>
          <cell r="IM28">
            <v>0</v>
          </cell>
          <cell r="IN28" t="str">
            <v>GLOCAF BAU</v>
          </cell>
          <cell r="IO28">
            <v>1050.0574130298191</v>
          </cell>
          <cell r="IP28" t="str">
            <v>Abatement amount</v>
          </cell>
          <cell r="IQ28">
            <v>0</v>
          </cell>
          <cell r="IR28" t="str">
            <v>GLOCAF BAU</v>
          </cell>
          <cell r="IS28">
            <v>1050.0574130298191</v>
          </cell>
          <cell r="IT28" t="str">
            <v>Abatement amount</v>
          </cell>
          <cell r="IU28">
            <v>0</v>
          </cell>
          <cell r="IV28" t="str">
            <v>GLOCAF BAU</v>
          </cell>
          <cell r="IW28">
            <v>1050.0574130298191</v>
          </cell>
          <cell r="IX28" t="str">
            <v>Abatement amount</v>
          </cell>
          <cell r="IY28">
            <v>52.502872467041016</v>
          </cell>
          <cell r="IZ28" t="str">
            <v>5% on BAU</v>
          </cell>
          <cell r="JA28">
            <v>997.55454056277813</v>
          </cell>
          <cell r="JB28" t="str">
            <v>Abatement amount</v>
          </cell>
          <cell r="JC28">
            <v>0</v>
          </cell>
          <cell r="JD28" t="str">
            <v>GLOCAF BAU</v>
          </cell>
          <cell r="JE28">
            <v>1050.0574130298191</v>
          </cell>
          <cell r="JF28" t="str">
            <v>Abatement amount</v>
          </cell>
          <cell r="JG28">
            <v>0</v>
          </cell>
          <cell r="JH28" t="str">
            <v>GLOCAF BAU</v>
          </cell>
          <cell r="JI28">
            <v>1050.0574130298191</v>
          </cell>
          <cell r="JJ28" t="str">
            <v>Abatement amount</v>
          </cell>
          <cell r="JK28">
            <v>0</v>
          </cell>
          <cell r="JL28" t="str">
            <v>GLOCAF BAU</v>
          </cell>
          <cell r="JM28">
            <v>1050.0574130298191</v>
          </cell>
          <cell r="JN28" t="str">
            <v>Abatement amount</v>
          </cell>
          <cell r="JO28">
            <v>0</v>
          </cell>
          <cell r="JP28" t="str">
            <v>GLOCAF BAU</v>
          </cell>
          <cell r="JQ28">
            <v>1050.0574130298191</v>
          </cell>
          <cell r="JR28" t="str">
            <v>Abatement amount</v>
          </cell>
          <cell r="JS28">
            <v>52.502872467041016</v>
          </cell>
          <cell r="JT28" t="str">
            <v>5% on BAU</v>
          </cell>
          <cell r="JU28">
            <v>997.55454056277813</v>
          </cell>
          <cell r="JV28" t="str">
            <v>Abatement amount</v>
          </cell>
          <cell r="JW28">
            <v>0</v>
          </cell>
          <cell r="JX28" t="str">
            <v>GLOCAF BAU</v>
          </cell>
          <cell r="JY28">
            <v>1050.0574130298191</v>
          </cell>
          <cell r="JZ28" t="str">
            <v>Abatement amount</v>
          </cell>
          <cell r="KA28">
            <v>0</v>
          </cell>
          <cell r="KB28" t="str">
            <v>GLOCAF BAU</v>
          </cell>
          <cell r="KC28">
            <v>1050.0574130298191</v>
          </cell>
          <cell r="KD28" t="str">
            <v>Abatement amount</v>
          </cell>
          <cell r="KE28">
            <v>0</v>
          </cell>
          <cell r="KF28" t="str">
            <v>GLOCAF BAU</v>
          </cell>
          <cell r="KG28">
            <v>1050.0574130298191</v>
          </cell>
          <cell r="KH28" t="str">
            <v>Abatement amount</v>
          </cell>
          <cell r="KI28">
            <v>0</v>
          </cell>
          <cell r="KJ28" t="str">
            <v>GLOCAF BAU</v>
          </cell>
          <cell r="KK28">
            <v>1050.0574130298191</v>
          </cell>
          <cell r="KL28" t="str">
            <v>Abatement amount</v>
          </cell>
          <cell r="KM28">
            <v>0</v>
          </cell>
          <cell r="KN28" t="str">
            <v>GLOCAF BAU</v>
          </cell>
          <cell r="KO28">
            <v>1050.0574130298191</v>
          </cell>
          <cell r="KP28" t="str">
            <v>Abatement amount</v>
          </cell>
          <cell r="KQ28">
            <v>0</v>
          </cell>
          <cell r="KR28" t="str">
            <v>GLOCAF BAU</v>
          </cell>
          <cell r="KS28">
            <v>1050.0574130298191</v>
          </cell>
          <cell r="KT28" t="str">
            <v>Abatement amount</v>
          </cell>
          <cell r="KU28">
            <v>0</v>
          </cell>
          <cell r="KV28" t="str">
            <v>GLOCAF BAU</v>
          </cell>
          <cell r="KW28">
            <v>1050.0574130298191</v>
          </cell>
          <cell r="KX28" t="str">
            <v>Abatement amount</v>
          </cell>
          <cell r="KY28">
            <v>52.502872467041016</v>
          </cell>
          <cell r="KZ28" t="str">
            <v>5% on BAU</v>
          </cell>
          <cell r="LA28">
            <v>997.55454056277813</v>
          </cell>
          <cell r="LB28" t="str">
            <v>Abatement amount</v>
          </cell>
          <cell r="LC28">
            <v>0</v>
          </cell>
          <cell r="LD28" t="str">
            <v>GLOCAF BAU</v>
          </cell>
          <cell r="LE28">
            <v>1050.0574130298191</v>
          </cell>
          <cell r="LF28" t="str">
            <v>Emissions amount</v>
          </cell>
          <cell r="LG28">
            <v>954</v>
          </cell>
          <cell r="LH28" t="str">
            <v>GLOCAF BAU</v>
          </cell>
          <cell r="LI28">
            <v>954</v>
          </cell>
          <cell r="LJ28" t="str">
            <v>Emissions amount</v>
          </cell>
          <cell r="LK28">
            <v>954</v>
          </cell>
          <cell r="LL28" t="str">
            <v>GLOCAF BAU</v>
          </cell>
          <cell r="LM28">
            <v>954</v>
          </cell>
          <cell r="LN28" t="str">
            <v>Emissions amount</v>
          </cell>
          <cell r="LO28">
            <v>890</v>
          </cell>
          <cell r="LP28" t="str">
            <v>GLOCAF BAU</v>
          </cell>
          <cell r="LQ28">
            <v>890</v>
          </cell>
          <cell r="LR28" t="str">
            <v>Emissions amount</v>
          </cell>
          <cell r="LS28">
            <v>886</v>
          </cell>
          <cell r="LT28" t="str">
            <v>GLOCAF BAU</v>
          </cell>
          <cell r="LU28">
            <v>886</v>
          </cell>
          <cell r="LV28" t="str">
            <v>Emissions amount</v>
          </cell>
          <cell r="LW28">
            <v>886</v>
          </cell>
          <cell r="LX28" t="str">
            <v>GLOCAF BAU</v>
          </cell>
          <cell r="LY28">
            <v>886</v>
          </cell>
          <cell r="LZ28" t="str">
            <v>Emissions amount</v>
          </cell>
          <cell r="MA28">
            <v>842</v>
          </cell>
          <cell r="MB28" t="str">
            <v>GLOCAF BAU</v>
          </cell>
          <cell r="MC28">
            <v>842</v>
          </cell>
          <cell r="MD28" t="str">
            <v>Emissions amount</v>
          </cell>
          <cell r="ME28">
            <v>838</v>
          </cell>
          <cell r="MF28" t="str">
            <v>GLOCAF BAU</v>
          </cell>
          <cell r="MG28">
            <v>838</v>
          </cell>
          <cell r="MH28" t="str">
            <v>Emissions amount</v>
          </cell>
          <cell r="MI28">
            <v>793</v>
          </cell>
          <cell r="MJ28" t="str">
            <v>GLOCAF BAU</v>
          </cell>
          <cell r="MK28">
            <v>793</v>
          </cell>
          <cell r="ML28" t="str">
            <v>Emissions amount</v>
          </cell>
          <cell r="MM28">
            <v>842</v>
          </cell>
          <cell r="MN28" t="str">
            <v>GLOCAF BAU</v>
          </cell>
          <cell r="MO28">
            <v>842</v>
          </cell>
          <cell r="MP28" t="str">
            <v>Emissions amount</v>
          </cell>
          <cell r="MQ28">
            <v>838</v>
          </cell>
          <cell r="MR28" t="str">
            <v>GLOCAF BAU</v>
          </cell>
          <cell r="MS28">
            <v>838</v>
          </cell>
          <cell r="MT28" t="str">
            <v>Emissions amount</v>
          </cell>
          <cell r="MU28">
            <v>793</v>
          </cell>
          <cell r="MV28" t="str">
            <v>GLOCAF BAU</v>
          </cell>
          <cell r="MW28">
            <v>793</v>
          </cell>
          <cell r="MX28" t="str">
            <v>Emissions amount</v>
          </cell>
          <cell r="MY28">
            <v>842</v>
          </cell>
          <cell r="MZ28" t="str">
            <v>GLOCAF BAU</v>
          </cell>
          <cell r="NA28">
            <v>842</v>
          </cell>
          <cell r="NB28" t="str">
            <v>Emissions amount</v>
          </cell>
          <cell r="NC28">
            <v>838</v>
          </cell>
          <cell r="ND28" t="str">
            <v>GLOCAF BAU</v>
          </cell>
          <cell r="NE28">
            <v>838</v>
          </cell>
          <cell r="NF28" t="str">
            <v>Emissions amount</v>
          </cell>
          <cell r="NG28">
            <v>842</v>
          </cell>
          <cell r="NH28" t="str">
            <v>GLOCAF BAU</v>
          </cell>
          <cell r="NI28">
            <v>842</v>
          </cell>
          <cell r="NJ28" t="str">
            <v>Emissions amount</v>
          </cell>
          <cell r="NK28">
            <v>842</v>
          </cell>
          <cell r="NL28" t="str">
            <v>GLOCAF BAU</v>
          </cell>
          <cell r="NM28">
            <v>842</v>
          </cell>
          <cell r="NN28" t="str">
            <v>Emissions amount</v>
          </cell>
          <cell r="NO28">
            <v>842</v>
          </cell>
          <cell r="NP28" t="str">
            <v>GLOCAF BAU</v>
          </cell>
          <cell r="NQ28">
            <v>842</v>
          </cell>
          <cell r="NR28" t="str">
            <v>Emissions amount</v>
          </cell>
          <cell r="NS28">
            <v>838</v>
          </cell>
          <cell r="NT28" t="str">
            <v>GLOCAF BAU</v>
          </cell>
          <cell r="NU28">
            <v>838</v>
          </cell>
          <cell r="NV28" t="str">
            <v>Emissions amount</v>
          </cell>
          <cell r="NW28">
            <v>842</v>
          </cell>
          <cell r="NX28" t="str">
            <v>GLOCAF BAU</v>
          </cell>
          <cell r="NY28">
            <v>842</v>
          </cell>
          <cell r="NZ28" t="str">
            <v>Emissions amount</v>
          </cell>
          <cell r="OA28">
            <v>838</v>
          </cell>
          <cell r="OB28" t="str">
            <v>GLOCAF BAU</v>
          </cell>
          <cell r="OC28">
            <v>838</v>
          </cell>
          <cell r="OD28" t="str">
            <v>Emissions amount</v>
          </cell>
          <cell r="OE28">
            <v>793</v>
          </cell>
          <cell r="OF28" t="str">
            <v>GLOCAF BAU</v>
          </cell>
          <cell r="OG28">
            <v>793</v>
          </cell>
          <cell r="OH28" t="str">
            <v>Emissions amount</v>
          </cell>
          <cell r="OI28">
            <v>842</v>
          </cell>
          <cell r="OJ28" t="str">
            <v>GLOCAF BAU</v>
          </cell>
          <cell r="OK28">
            <v>842</v>
          </cell>
          <cell r="OL28" t="str">
            <v>Emissions amount</v>
          </cell>
          <cell r="OM28">
            <v>838</v>
          </cell>
          <cell r="ON28" t="str">
            <v>GLOCAF BAU</v>
          </cell>
          <cell r="OO28">
            <v>838</v>
          </cell>
          <cell r="OP28" t="str">
            <v>Emissions amount</v>
          </cell>
          <cell r="OQ28">
            <v>842</v>
          </cell>
          <cell r="OR28" t="str">
            <v>GLOCAF BAU</v>
          </cell>
          <cell r="OS28">
            <v>842</v>
          </cell>
          <cell r="OT28" t="str">
            <v>Emissions amount</v>
          </cell>
          <cell r="OU28">
            <v>838</v>
          </cell>
          <cell r="OW28">
            <v>838</v>
          </cell>
          <cell r="OX28" t="str">
            <v>Emissions amount</v>
          </cell>
          <cell r="OY28">
            <v>842</v>
          </cell>
          <cell r="PA28">
            <v>842</v>
          </cell>
          <cell r="PB28" t="str">
            <v>Emissions amount</v>
          </cell>
          <cell r="PC28">
            <v>842</v>
          </cell>
          <cell r="PE28">
            <v>842</v>
          </cell>
          <cell r="PF28" t="str">
            <v>Emissions amount</v>
          </cell>
          <cell r="PG28">
            <v>838</v>
          </cell>
          <cell r="PI28">
            <v>838</v>
          </cell>
          <cell r="PJ28" t="str">
            <v>Emissions amount</v>
          </cell>
          <cell r="PK28">
            <v>793</v>
          </cell>
          <cell r="PM28">
            <v>793</v>
          </cell>
          <cell r="PN28" t="str">
            <v>Emissions amount</v>
          </cell>
          <cell r="PO28">
            <v>931</v>
          </cell>
          <cell r="PQ28">
            <v>931</v>
          </cell>
          <cell r="PR28" t="str">
            <v>Emissions amount</v>
          </cell>
          <cell r="PS28">
            <v>927</v>
          </cell>
          <cell r="PU28">
            <v>927</v>
          </cell>
          <cell r="PV28" t="str">
            <v>Emissions amount</v>
          </cell>
          <cell r="PW28">
            <v>931</v>
          </cell>
          <cell r="PY28">
            <v>931</v>
          </cell>
          <cell r="PZ28" t="str">
            <v>Emissions amount</v>
          </cell>
          <cell r="QA28">
            <v>927</v>
          </cell>
          <cell r="QC28">
            <v>927</v>
          </cell>
          <cell r="QD28" t="str">
            <v>Emissions amount</v>
          </cell>
          <cell r="QE28">
            <v>882</v>
          </cell>
          <cell r="QG28">
            <v>882</v>
          </cell>
          <cell r="QH28" t="str">
            <v>Emissions amount</v>
          </cell>
          <cell r="QI28">
            <v>927</v>
          </cell>
          <cell r="QK28">
            <v>927</v>
          </cell>
          <cell r="QL28" t="str">
            <v>Emissions amount</v>
          </cell>
          <cell r="QM28">
            <v>927</v>
          </cell>
          <cell r="QO28">
            <v>927</v>
          </cell>
          <cell r="QP28" t="str">
            <v>Emissions amount</v>
          </cell>
          <cell r="QQ28">
            <v>931</v>
          </cell>
          <cell r="QS28">
            <v>931</v>
          </cell>
          <cell r="QT28" t="str">
            <v>Emissions amount</v>
          </cell>
          <cell r="QU28">
            <v>927</v>
          </cell>
          <cell r="QW28">
            <v>927</v>
          </cell>
          <cell r="QX28" t="str">
            <v>Emissions amount</v>
          </cell>
          <cell r="QY28">
            <v>882</v>
          </cell>
          <cell r="RA28">
            <v>882</v>
          </cell>
          <cell r="RB28" t="str">
            <v>Emissions amount</v>
          </cell>
          <cell r="RC28">
            <v>931</v>
          </cell>
          <cell r="RE28">
            <v>931</v>
          </cell>
          <cell r="RF28" t="str">
            <v>Emissions amount</v>
          </cell>
          <cell r="RG28">
            <v>927</v>
          </cell>
          <cell r="RI28">
            <v>927</v>
          </cell>
          <cell r="RJ28" t="str">
            <v>Emissions amount</v>
          </cell>
          <cell r="RK28">
            <v>931</v>
          </cell>
          <cell r="RM28">
            <v>931</v>
          </cell>
          <cell r="RN28" t="str">
            <v>Emissions amount</v>
          </cell>
          <cell r="RO28">
            <v>927</v>
          </cell>
          <cell r="RQ28">
            <v>927</v>
          </cell>
          <cell r="RR28" t="str">
            <v>Emissions amount</v>
          </cell>
          <cell r="RS28">
            <v>882</v>
          </cell>
          <cell r="RU28">
            <v>882</v>
          </cell>
        </row>
        <row r="29">
          <cell r="A29" t="str">
            <v>Rest of South America</v>
          </cell>
          <cell r="B29" t="str">
            <v>Abatement amount</v>
          </cell>
          <cell r="C29">
            <v>827.38338219493266</v>
          </cell>
          <cell r="D29">
            <v>0</v>
          </cell>
          <cell r="E29">
            <v>1162.0836239050673</v>
          </cell>
          <cell r="F29" t="str">
            <v>Abatement amount</v>
          </cell>
          <cell r="G29">
            <v>525.41804049010966</v>
          </cell>
          <cell r="I29">
            <v>1464.0489656098903</v>
          </cell>
          <cell r="J29" t="str">
            <v>Abatement amount</v>
          </cell>
          <cell r="K29">
            <v>99.473350524902344</v>
          </cell>
          <cell r="M29">
            <v>1889.9936555750976</v>
          </cell>
          <cell r="N29" t="str">
            <v>Abatement amount</v>
          </cell>
          <cell r="O29">
            <v>99.473350524902344</v>
          </cell>
          <cell r="Q29">
            <v>1889.9936555750976</v>
          </cell>
          <cell r="R29" t="str">
            <v>Abatement amount</v>
          </cell>
          <cell r="S29">
            <v>298.4200439453125</v>
          </cell>
          <cell r="U29">
            <v>1691.0469621546874</v>
          </cell>
          <cell r="V29" t="str">
            <v>Abatement amount</v>
          </cell>
          <cell r="W29">
            <v>298.4200439453125</v>
          </cell>
          <cell r="Y29">
            <v>1691.0469621546874</v>
          </cell>
          <cell r="Z29" t="str">
            <v>Abatement amount</v>
          </cell>
          <cell r="AA29">
            <v>825.47857666015625</v>
          </cell>
          <cell r="AC29">
            <v>1163.9884294398437</v>
          </cell>
          <cell r="AD29" t="str">
            <v>Abatement amount</v>
          </cell>
          <cell r="AE29">
            <v>504.18585205078125</v>
          </cell>
          <cell r="AG29">
            <v>1485.2811540492187</v>
          </cell>
          <cell r="AH29" t="str">
            <v>Abatement amount</v>
          </cell>
          <cell r="AI29">
            <v>140</v>
          </cell>
          <cell r="AK29">
            <v>1849.4670060999999</v>
          </cell>
          <cell r="AL29" t="str">
            <v>Abatement amount</v>
          </cell>
          <cell r="AM29">
            <v>140</v>
          </cell>
          <cell r="AO29">
            <v>1849.4670060999999</v>
          </cell>
          <cell r="AP29" t="str">
            <v>Abatement amount</v>
          </cell>
          <cell r="AQ29">
            <v>298.4200439453125</v>
          </cell>
          <cell r="AS29">
            <v>1691.0469621546874</v>
          </cell>
          <cell r="AT29" t="str">
            <v>Abatement amount</v>
          </cell>
          <cell r="AU29">
            <v>298.4200439453125</v>
          </cell>
          <cell r="AW29">
            <v>1691.0469621546874</v>
          </cell>
          <cell r="AX29" t="str">
            <v>Emissions amount</v>
          </cell>
          <cell r="AY29">
            <v>1989.4670060999999</v>
          </cell>
          <cell r="BA29">
            <v>1989.4670060999999</v>
          </cell>
          <cell r="BB29" t="str">
            <v>Emissions amount</v>
          </cell>
          <cell r="BC29">
            <v>2021</v>
          </cell>
          <cell r="BE29">
            <v>2021</v>
          </cell>
          <cell r="BF29" t="str">
            <v>Emissions amount</v>
          </cell>
          <cell r="BG29">
            <v>2034</v>
          </cell>
          <cell r="BI29">
            <v>2034</v>
          </cell>
          <cell r="BJ29" t="str">
            <v>Emissions amount</v>
          </cell>
          <cell r="BK29">
            <v>2021</v>
          </cell>
          <cell r="BM29">
            <v>2021</v>
          </cell>
          <cell r="BN29" t="str">
            <v>Emissions amount</v>
          </cell>
          <cell r="BO29">
            <v>2034</v>
          </cell>
          <cell r="BQ29">
            <v>2034</v>
          </cell>
          <cell r="BR29" t="str">
            <v>Emissions amount</v>
          </cell>
          <cell r="BS29">
            <v>1940</v>
          </cell>
          <cell r="BU29">
            <v>1940</v>
          </cell>
          <cell r="BV29" t="str">
            <v>Emissions amount</v>
          </cell>
          <cell r="BW29">
            <v>1738</v>
          </cell>
          <cell r="BY29">
            <v>1738</v>
          </cell>
          <cell r="BZ29" t="str">
            <v>Emissions amount</v>
          </cell>
          <cell r="CA29">
            <v>1989.4670060999999</v>
          </cell>
          <cell r="CC29">
            <v>1989.4670060999999</v>
          </cell>
          <cell r="CD29" t="str">
            <v>Emissions amount</v>
          </cell>
          <cell r="CE29">
            <v>1989.4670060999999</v>
          </cell>
          <cell r="CG29">
            <v>1989.4670060999999</v>
          </cell>
          <cell r="CH29" t="str">
            <v>Abatement amount</v>
          </cell>
          <cell r="CI29">
            <v>99.473350524902344</v>
          </cell>
          <cell r="CK29">
            <v>1889.9936555750976</v>
          </cell>
          <cell r="CL29" t="str">
            <v>Abatement amount</v>
          </cell>
          <cell r="CM29">
            <v>298.4200439453125</v>
          </cell>
          <cell r="CO29">
            <v>1691.0469621546874</v>
          </cell>
          <cell r="CP29" t="str">
            <v>Abatement amount</v>
          </cell>
          <cell r="CQ29">
            <v>298.4200439453125</v>
          </cell>
          <cell r="CS29">
            <v>1691.0469621546874</v>
          </cell>
          <cell r="CT29" t="str">
            <v>Abatement amount</v>
          </cell>
          <cell r="CU29">
            <v>99.473350524902344</v>
          </cell>
          <cell r="CW29">
            <v>1889.9936555750976</v>
          </cell>
          <cell r="CX29" t="str">
            <v>Abatement amount</v>
          </cell>
          <cell r="CY29">
            <v>298.4200439453125</v>
          </cell>
          <cell r="DA29">
            <v>1691.0469621546874</v>
          </cell>
          <cell r="DB29" t="str">
            <v>Abatement amount</v>
          </cell>
          <cell r="DC29">
            <v>298.4200439453125</v>
          </cell>
          <cell r="DE29">
            <v>1691.0469621546874</v>
          </cell>
          <cell r="DF29" t="str">
            <v>Abatement amount</v>
          </cell>
          <cell r="DG29">
            <v>99.473350524902344</v>
          </cell>
          <cell r="DI29">
            <v>1889.9936555750976</v>
          </cell>
          <cell r="DJ29" t="str">
            <v>Emissions amount</v>
          </cell>
          <cell r="DK29">
            <v>2034</v>
          </cell>
          <cell r="DM29">
            <v>2034</v>
          </cell>
          <cell r="DN29" t="str">
            <v>Emissions amount</v>
          </cell>
          <cell r="DO29">
            <v>2021</v>
          </cell>
          <cell r="DQ29">
            <v>2021</v>
          </cell>
          <cell r="DR29" t="str">
            <v>Emissions amount</v>
          </cell>
          <cell r="DS29">
            <v>1989.4670060999999</v>
          </cell>
          <cell r="DU29">
            <v>1989.4670060999999</v>
          </cell>
          <cell r="DV29" t="str">
            <v>Emissions amount</v>
          </cell>
          <cell r="DW29">
            <v>1989.4670060999999</v>
          </cell>
          <cell r="DY29">
            <v>1989.4670060999999</v>
          </cell>
          <cell r="DZ29" t="str">
            <v>Emissions amount</v>
          </cell>
          <cell r="EA29">
            <v>1940</v>
          </cell>
          <cell r="EC29">
            <v>1940</v>
          </cell>
          <cell r="ED29" t="str">
            <v>Emissions amount</v>
          </cell>
          <cell r="EE29">
            <v>1738</v>
          </cell>
          <cell r="EG29">
            <v>1738</v>
          </cell>
          <cell r="EH29" t="str">
            <v>Abatement amount</v>
          </cell>
          <cell r="EI29">
            <v>0</v>
          </cell>
          <cell r="EK29">
            <v>2244.2850336105384</v>
          </cell>
          <cell r="EL29" t="str">
            <v>Abatement amount</v>
          </cell>
          <cell r="EM29">
            <v>0</v>
          </cell>
          <cell r="EO29">
            <v>2244.2850336105384</v>
          </cell>
          <cell r="EP29" t="str">
            <v>Abatement amount</v>
          </cell>
          <cell r="EQ29">
            <v>0</v>
          </cell>
          <cell r="ES29">
            <v>2244.2850336105384</v>
          </cell>
          <cell r="ET29" t="str">
            <v>Abatement amount</v>
          </cell>
          <cell r="EU29">
            <v>912.43423906462067</v>
          </cell>
          <cell r="EW29">
            <v>1331.8507945459178</v>
          </cell>
          <cell r="EX29" t="str">
            <v>Abatement amount</v>
          </cell>
          <cell r="EY29">
            <v>687.58170405412341</v>
          </cell>
          <cell r="FA29">
            <v>1556.7033295564152</v>
          </cell>
          <cell r="FB29" t="str">
            <v>Abatement amount</v>
          </cell>
          <cell r="FC29">
            <v>447.75460889038834</v>
          </cell>
          <cell r="FE29">
            <v>1796.5304247201502</v>
          </cell>
          <cell r="FF29" t="str">
            <v>Abatement amount</v>
          </cell>
          <cell r="FG29">
            <v>112.21424865722656</v>
          </cell>
          <cell r="FI29">
            <v>2132.0707849533119</v>
          </cell>
          <cell r="FJ29" t="str">
            <v>Abatement amount</v>
          </cell>
          <cell r="FK29">
            <v>336.64276123046875</v>
          </cell>
          <cell r="FM29">
            <v>1907.6422723800697</v>
          </cell>
          <cell r="FN29" t="str">
            <v>Abatement amount</v>
          </cell>
          <cell r="FO29">
            <v>0</v>
          </cell>
          <cell r="FQ29">
            <v>2244.2850336105384</v>
          </cell>
          <cell r="FR29" t="str">
            <v>Abatement amount</v>
          </cell>
          <cell r="FS29">
            <v>0</v>
          </cell>
          <cell r="FU29">
            <v>2244.2850336105384</v>
          </cell>
          <cell r="FV29" t="str">
            <v>Abatement amount</v>
          </cell>
          <cell r="FW29">
            <v>112.21424865722656</v>
          </cell>
          <cell r="FY29">
            <v>2132.0707849533119</v>
          </cell>
          <cell r="FZ29" t="str">
            <v>Abatement amount</v>
          </cell>
          <cell r="GA29">
            <v>336.64276123046875</v>
          </cell>
          <cell r="GC29">
            <v>1907.6422723800697</v>
          </cell>
          <cell r="GD29" t="str">
            <v>Abatement amount</v>
          </cell>
          <cell r="GE29">
            <v>336.64276123046875</v>
          </cell>
          <cell r="GG29">
            <v>1907.6422723800697</v>
          </cell>
          <cell r="GH29" t="str">
            <v>Abatement amount</v>
          </cell>
          <cell r="GI29">
            <v>552.98602294921875</v>
          </cell>
          <cell r="GK29">
            <v>1691.2990106613197</v>
          </cell>
          <cell r="GL29" t="str">
            <v>Abatement amount</v>
          </cell>
          <cell r="GM29">
            <v>957.86809849258134</v>
          </cell>
          <cell r="GO29">
            <v>1286.4169351179571</v>
          </cell>
          <cell r="GP29" t="str">
            <v>Abatement amount</v>
          </cell>
          <cell r="GQ29">
            <v>464.39717799866162</v>
          </cell>
          <cell r="GS29">
            <v>1779.8878556118768</v>
          </cell>
          <cell r="GT29" t="str">
            <v>Abatement amount</v>
          </cell>
          <cell r="GU29">
            <v>721.83157291928364</v>
          </cell>
          <cell r="GW29">
            <v>1522.4534606912548</v>
          </cell>
          <cell r="GX29" t="str">
            <v>Abatement amount</v>
          </cell>
          <cell r="GY29">
            <v>0</v>
          </cell>
          <cell r="HA29">
            <v>2244.2850336105384</v>
          </cell>
          <cell r="HB29" t="str">
            <v>Abatement amount</v>
          </cell>
          <cell r="HC29">
            <v>0</v>
          </cell>
          <cell r="HE29">
            <v>2244.2850336105384</v>
          </cell>
          <cell r="HF29" t="str">
            <v>Abatement amount</v>
          </cell>
          <cell r="HG29">
            <v>0</v>
          </cell>
          <cell r="HI29">
            <v>2244.2850336105384</v>
          </cell>
          <cell r="HJ29" t="str">
            <v>Abatement amount</v>
          </cell>
          <cell r="HK29">
            <v>0</v>
          </cell>
          <cell r="HM29">
            <v>2244.2850336105384</v>
          </cell>
          <cell r="HN29" t="str">
            <v>Abatement amount</v>
          </cell>
          <cell r="HO29">
            <v>336.64276123046875</v>
          </cell>
          <cell r="HQ29">
            <v>1907.6422723800697</v>
          </cell>
          <cell r="HR29" t="str">
            <v>Abatement amount</v>
          </cell>
          <cell r="HS29">
            <v>112.21424865722656</v>
          </cell>
          <cell r="HU29">
            <v>2132.0707849533119</v>
          </cell>
          <cell r="HV29" t="str">
            <v>Abatement amount</v>
          </cell>
          <cell r="HW29">
            <v>112.21424865722656</v>
          </cell>
          <cell r="HX29" t="str">
            <v>tbc</v>
          </cell>
          <cell r="HY29">
            <v>2132.0707849533119</v>
          </cell>
          <cell r="HZ29" t="str">
            <v>Abatement amount</v>
          </cell>
          <cell r="IA29">
            <v>0</v>
          </cell>
          <cell r="IB29" t="str">
            <v>GLOCAF BAU</v>
          </cell>
          <cell r="IC29">
            <v>2244.2850336105384</v>
          </cell>
          <cell r="ID29" t="str">
            <v>Abatement amount</v>
          </cell>
          <cell r="IE29">
            <v>0</v>
          </cell>
          <cell r="IF29" t="str">
            <v>GLOCAF BAU</v>
          </cell>
          <cell r="IG29">
            <v>2244.2850336105384</v>
          </cell>
          <cell r="IH29" t="str">
            <v>Emissions amount</v>
          </cell>
          <cell r="II29">
            <v>1954</v>
          </cell>
          <cell r="IJ29" t="str">
            <v>Starting assumption for regional emissions: 15% on BAU. Portion of regional emissions are then replaced by submitted INDCs.
Includes draft INDCs of Chile (133Mt) and Colombia (252Mt)</v>
          </cell>
          <cell r="IK29">
            <v>1954</v>
          </cell>
          <cell r="IL29" t="str">
            <v>Abatement amount</v>
          </cell>
          <cell r="IM29">
            <v>0</v>
          </cell>
          <cell r="IN29" t="str">
            <v>GLOCAF BAU</v>
          </cell>
          <cell r="IO29">
            <v>2244.2850336105384</v>
          </cell>
          <cell r="IP29" t="str">
            <v>Abatement amount</v>
          </cell>
          <cell r="IQ29">
            <v>0</v>
          </cell>
          <cell r="IR29" t="str">
            <v>GLOCAF BAU</v>
          </cell>
          <cell r="IS29">
            <v>2244.2850336105384</v>
          </cell>
          <cell r="IT29" t="str">
            <v>Emissions amount</v>
          </cell>
          <cell r="IU29">
            <v>2167</v>
          </cell>
          <cell r="IV29" t="str">
            <v>Starting assumption for regional emissions: 0% on BAU. Portion of regional emissions are then replaced by submitted INDCs.
Colombia: BAU is 335Mt. Unconditoinal 20% reduction 
Includes draft INDCs of Chile (146Mt).</v>
          </cell>
          <cell r="IW29">
            <v>2167</v>
          </cell>
          <cell r="IX29" t="str">
            <v>Emissions amount</v>
          </cell>
          <cell r="IY29">
            <v>1937</v>
          </cell>
          <cell r="IZ29" t="str">
            <v>Starting assumption for regional emissions: 15% on BAU. Portion of regional emissions are then replaced by submitted INDCs.
Includes draft INDCs of Chile (133Mt) .
Colombia INDC : BAU in 2030 is 335Mt. Conditional target of 30% gives 235Mt.</v>
          </cell>
          <cell r="JA29">
            <v>1937</v>
          </cell>
          <cell r="JB29" t="str">
            <v>Emissions amount</v>
          </cell>
          <cell r="JC29">
            <v>2228</v>
          </cell>
          <cell r="JD29" t="str">
            <v>Colombia: 2030 BAU is 335 Mt.  Unconditoinal 20% reduction on BAU by 2030. BAU for rest of region.</v>
          </cell>
          <cell r="JE29">
            <v>2228</v>
          </cell>
          <cell r="JF29" t="str">
            <v>Emissions amount</v>
          </cell>
          <cell r="JG29">
            <v>2228</v>
          </cell>
          <cell r="JH29" t="str">
            <v>Colombia: 2030 BAU is 335 Mt.  Unconditoinal 20% reduction on BAU by 2030. BAU for rest of region.</v>
          </cell>
          <cell r="JI29">
            <v>2228</v>
          </cell>
          <cell r="JJ29" t="str">
            <v>Emissions amount</v>
          </cell>
          <cell r="JK29">
            <v>2228</v>
          </cell>
          <cell r="JL29" t="str">
            <v>Colombia: 2030 BAU is 335 Mt.  Unconditoinal 20% reduction on BAU by 2030. BAU for rest of region.</v>
          </cell>
          <cell r="JM29">
            <v>2228</v>
          </cell>
          <cell r="JN29" t="str">
            <v>Emissions amount</v>
          </cell>
          <cell r="JO29">
            <v>2167</v>
          </cell>
          <cell r="JP29" t="str">
            <v>Starting assumption for regional emissions: 0% on BAU. Portion of regional emissions are then replaced by submitted INDCs.
Colombia: BAU is 335Mt. Unconditoinal 20% reduction 
Includes draft INDCs of Chile (146Mt).</v>
          </cell>
          <cell r="JQ29">
            <v>2167</v>
          </cell>
          <cell r="JR29" t="str">
            <v>Emissions amount</v>
          </cell>
          <cell r="JS29">
            <v>1937</v>
          </cell>
          <cell r="JT29" t="str">
            <v>Starting assumption for regional emissions: 15% on BAU. Portion of regional emissions are then replaced by submitted INDCs.
Includes draft INDCs of Chile (133Mt) .
Colombia INDC : BAU in 2030 is 335Mt. Conditional target of 30% gives 235Mt.</v>
          </cell>
          <cell r="JU29">
            <v>1937</v>
          </cell>
          <cell r="JV29" t="str">
            <v>Emissions amount</v>
          </cell>
          <cell r="JW29">
            <v>2228</v>
          </cell>
          <cell r="JX29" t="str">
            <v>Colombia: BAU is 335Mt. Unconditoinal 20% reduction 
BAU for rest of region</v>
          </cell>
          <cell r="JY29">
            <v>2228</v>
          </cell>
          <cell r="JZ29" t="str">
            <v>Emissions amount</v>
          </cell>
          <cell r="KA29">
            <v>2195</v>
          </cell>
          <cell r="KB29" t="str">
            <v>Colombia INDC : BAU in 2030 is 335Mt. Conditional target of 30% gives 235Mt.
BAU for the rest</v>
          </cell>
          <cell r="KC29">
            <v>2195</v>
          </cell>
          <cell r="KD29" t="str">
            <v>Emissions amount</v>
          </cell>
          <cell r="KE29">
            <v>2228</v>
          </cell>
          <cell r="KF29" t="str">
            <v>Colombia: 2030 BAU is 335 Mt.  Unconditoinal 20% reduction on BAU by 2030. BAU for rest of region.</v>
          </cell>
          <cell r="KG29">
            <v>2228</v>
          </cell>
          <cell r="KH29" t="str">
            <v>Emissions amount</v>
          </cell>
          <cell r="KI29">
            <v>2228</v>
          </cell>
          <cell r="KJ29" t="str">
            <v>Colombia: 2030 BAU is 335 Mt.  Unconditoinal 20% reduction on BAU by 2030. BAU for rest of region.</v>
          </cell>
          <cell r="KK29">
            <v>2228</v>
          </cell>
          <cell r="KL29" t="str">
            <v>Emissions amount</v>
          </cell>
          <cell r="KM29">
            <v>2228</v>
          </cell>
          <cell r="KN29" t="str">
            <v>Colombia: 2030 BAU is 335 Mt.  Unconditoinal 20% reduction on BAU by 2030. BAU for rest of region.</v>
          </cell>
          <cell r="KO29">
            <v>2228</v>
          </cell>
          <cell r="KP29" t="str">
            <v>Emissions amount</v>
          </cell>
          <cell r="KQ29">
            <v>2195</v>
          </cell>
          <cell r="KR29" t="str">
            <v>Colombia INDC : BAU in 2030 is 335Mt. Conditional target of 30% gives 235Mt.
BAU for the rest</v>
          </cell>
          <cell r="KS29">
            <v>2195</v>
          </cell>
          <cell r="KT29" t="str">
            <v>Emissions amount</v>
          </cell>
          <cell r="KU29">
            <v>2167</v>
          </cell>
          <cell r="KV29" t="str">
            <v>Starting assumption for regional emissions: 0% on BAU. Portion of regional emissions are then replaced by submitted INDCs.
Colombia: BAU is 335Mt. Unconditoinal 20% reduction 
Includes draft INDCs of Chile (146Mt).</v>
          </cell>
          <cell r="KW29">
            <v>2167</v>
          </cell>
          <cell r="KX29" t="str">
            <v>Emissions amount</v>
          </cell>
          <cell r="KY29">
            <v>1937</v>
          </cell>
          <cell r="KZ29" t="str">
            <v>Starting assumption for regional emissions: 15% on BAU. Portion of regional emissions are then replaced by submitted INDCs.
Includes draft INDCs of Chile (133Mt) .
Colombia INDC : BAU in 2030 is 335Mt. Conditional target of 30% gives 235Mt.</v>
          </cell>
          <cell r="LA29">
            <v>1937</v>
          </cell>
          <cell r="LB29" t="str">
            <v>Emissions amount</v>
          </cell>
          <cell r="LC29">
            <v>2228</v>
          </cell>
          <cell r="LD29" t="str">
            <v>Colombia: BAU is 335Mt. Unconditoinal 20% reduction 
BAU for rest of region</v>
          </cell>
          <cell r="LE29">
            <v>2228</v>
          </cell>
          <cell r="LF29" t="str">
            <v>Emissions amount</v>
          </cell>
          <cell r="LG29">
            <v>2434</v>
          </cell>
          <cell r="LH29" t="str">
            <v>Colombia: 2030 BAU is 335 Mt.  Unconditoinal 20% reduction on BAU by 2030. BAU for rest of region.</v>
          </cell>
          <cell r="LI29">
            <v>2434</v>
          </cell>
          <cell r="LJ29" t="str">
            <v>Emissions amount</v>
          </cell>
          <cell r="LK29">
            <v>2434</v>
          </cell>
          <cell r="LL29" t="str">
            <v>Colombia: 2030 BAU is 335 Mt.  Unconditoinal 20% reduction on BAU by 2030. BAU for rest of region.</v>
          </cell>
          <cell r="LM29">
            <v>2434</v>
          </cell>
          <cell r="LN29" t="str">
            <v>Emissions amount</v>
          </cell>
          <cell r="LO29">
            <v>2388</v>
          </cell>
          <cell r="LP29" t="str">
            <v>Colombia: 2030 BAU is 335 Mt.  Unconditoinal 20% reduction on BAU by 2030. BAU for rest of region.</v>
          </cell>
          <cell r="LQ29">
            <v>2388</v>
          </cell>
          <cell r="LR29" t="str">
            <v>Emissions amount</v>
          </cell>
          <cell r="LS29">
            <v>2388</v>
          </cell>
          <cell r="LT29" t="str">
            <v>Colombia: 2030 BAU is 335 Mt.  Unconditoinal 20% reduction on BAU by 2030. BAU for rest of region.</v>
          </cell>
          <cell r="LU29">
            <v>2388</v>
          </cell>
          <cell r="LV29" t="str">
            <v>Emissions amount</v>
          </cell>
          <cell r="LW29">
            <v>2388</v>
          </cell>
          <cell r="LX29" t="str">
            <v>Colombia: 2030 BAU is 335 Mt.  Unconditoinal 20% reduction on BAU by 2030. BAU for rest of region.</v>
          </cell>
          <cell r="LY29">
            <v>2388</v>
          </cell>
          <cell r="LZ29" t="str">
            <v>Emissions amount</v>
          </cell>
          <cell r="MA29">
            <v>2388</v>
          </cell>
          <cell r="MB29" t="str">
            <v>Colombia: 2030 BAU is 335 Mt.  Unconditoinal 20% reduction on BAU by 2030. BAU for rest of region.</v>
          </cell>
          <cell r="MC29">
            <v>2388</v>
          </cell>
          <cell r="MD29" t="str">
            <v>Emissions amount</v>
          </cell>
          <cell r="ME29">
            <v>2388</v>
          </cell>
          <cell r="MF29" t="str">
            <v>Colombia: 2030 BAU is 335 Mt.  Unconditoinal 20% reduction on BAU by 2030. BAU for rest of region.</v>
          </cell>
          <cell r="MG29">
            <v>2388</v>
          </cell>
          <cell r="MH29" t="str">
            <v>Emissions amount</v>
          </cell>
          <cell r="MI29">
            <v>2212</v>
          </cell>
          <cell r="MJ29" t="str">
            <v>Colombia: 2030 BAU is 335 Mt.  Unconditoinal 20% reduction on BAU by 2030. BAU for rest of region.</v>
          </cell>
          <cell r="MK29">
            <v>2212</v>
          </cell>
          <cell r="ML29" t="str">
            <v>Emissions amount</v>
          </cell>
          <cell r="MM29">
            <v>2388</v>
          </cell>
          <cell r="MN29" t="str">
            <v>Colombia: 2030 BAU is 335 Mt.  Unconditoinal 20% reduction on BAU by 2030. BAU for rest of region.</v>
          </cell>
          <cell r="MO29">
            <v>2388</v>
          </cell>
          <cell r="MP29" t="str">
            <v>Emissions amount</v>
          </cell>
          <cell r="MQ29">
            <v>2388</v>
          </cell>
          <cell r="MR29" t="str">
            <v>Colombia: 2030 BAU is 335 Mt.  Unconditoinal 20% reduction on BAU by 2030. BAU for rest of region.</v>
          </cell>
          <cell r="MS29">
            <v>2388</v>
          </cell>
          <cell r="MT29" t="str">
            <v>Emissions amount</v>
          </cell>
          <cell r="MU29">
            <v>2212</v>
          </cell>
          <cell r="MV29" t="str">
            <v>Colombia: 2030 BAU is 335 Mt.  Unconditoinal 20% reduction on BAU by 2030. BAU for rest of region.</v>
          </cell>
          <cell r="MW29">
            <v>2212</v>
          </cell>
          <cell r="MX29" t="str">
            <v>Emissions amount</v>
          </cell>
          <cell r="MY29">
            <v>2388</v>
          </cell>
          <cell r="MZ29" t="str">
            <v>Colombia: 2030 BAU is 335 Mt.  Unconditoinal 20% reduction on BAU by 2030. BAU for rest of region.</v>
          </cell>
          <cell r="NA29">
            <v>2388</v>
          </cell>
          <cell r="NB29" t="str">
            <v>Emissions amount</v>
          </cell>
          <cell r="NC29">
            <v>2388</v>
          </cell>
          <cell r="ND29" t="str">
            <v>Colombia: 2030 BAU is 335 Mt.  Unconditoinal 20% reduction on BAU by 2030. BAU for rest of region.</v>
          </cell>
          <cell r="NE29">
            <v>2388</v>
          </cell>
          <cell r="NF29" t="str">
            <v>Emissions amount</v>
          </cell>
          <cell r="NG29">
            <v>2388</v>
          </cell>
          <cell r="NH29" t="str">
            <v>Colombia: 2030 BAU is 335 Mt.  Unconditoinal 20% reduction on BAU by 2030. BAU for rest of region.</v>
          </cell>
          <cell r="NI29">
            <v>2388</v>
          </cell>
          <cell r="NJ29" t="str">
            <v>Emissions amount</v>
          </cell>
          <cell r="NK29">
            <v>2388</v>
          </cell>
          <cell r="NL29" t="str">
            <v>Colombia: 2030 BAU is 335 Mt.  Unconditoinal 20% reduction on BAU by 2030. BAU for rest of region.</v>
          </cell>
          <cell r="NM29">
            <v>2388</v>
          </cell>
          <cell r="NN29" t="str">
            <v>Emissions amount</v>
          </cell>
          <cell r="NO29">
            <v>2388</v>
          </cell>
          <cell r="NP29" t="str">
            <v>Colombia: 2030 BAU is 335 Mt.  Unconditoinal 20% reduction on BAU by 2030. BAU for rest of region.</v>
          </cell>
          <cell r="NQ29">
            <v>2388</v>
          </cell>
          <cell r="NR29" t="str">
            <v>Emissions amount</v>
          </cell>
          <cell r="NS29">
            <v>2388</v>
          </cell>
          <cell r="NT29" t="str">
            <v>Colombia: 2030 BAU is 335 Mt.  Unconditoinal 20% reduction on BAU by 2030. BAU for rest of region.</v>
          </cell>
          <cell r="NU29">
            <v>2388</v>
          </cell>
          <cell r="NV29" t="str">
            <v>Emissions amount</v>
          </cell>
          <cell r="NW29">
            <v>2388</v>
          </cell>
          <cell r="NX29" t="str">
            <v>Colombia: 2030 BAU is 335 Mt.  Unconditoinal 20% reduction on BAU by 2030. BAU for rest of region.</v>
          </cell>
          <cell r="NY29">
            <v>2388</v>
          </cell>
          <cell r="NZ29" t="str">
            <v>Emissions amount</v>
          </cell>
          <cell r="OA29">
            <v>2388</v>
          </cell>
          <cell r="OB29" t="str">
            <v>Colombia: 2030 BAU is 335 Mt.  Unconditoinal 20% reduction on BAU by 2030. BAU for rest of region.</v>
          </cell>
          <cell r="OC29">
            <v>2388</v>
          </cell>
          <cell r="OD29" t="str">
            <v>Emissions amount</v>
          </cell>
          <cell r="OE29">
            <v>2212</v>
          </cell>
          <cell r="OF29" t="str">
            <v>Colombia: 2030 BAU is 335 Mt.  Unconditoinal 20% reduction on BAU by 2030. BAU for rest of region.</v>
          </cell>
          <cell r="OG29">
            <v>2212</v>
          </cell>
          <cell r="OH29" t="str">
            <v>Abatement amount</v>
          </cell>
          <cell r="OI29">
            <v>0</v>
          </cell>
          <cell r="OJ29" t="str">
            <v>BAU is binding</v>
          </cell>
          <cell r="OK29">
            <v>2244.2850336105384</v>
          </cell>
          <cell r="OL29" t="str">
            <v>Abatement amount</v>
          </cell>
          <cell r="OM29">
            <v>0</v>
          </cell>
          <cell r="ON29" t="str">
            <v>BAU is binding</v>
          </cell>
          <cell r="OO29">
            <v>2244.2850336105384</v>
          </cell>
          <cell r="OP29" t="str">
            <v>Abatement amount</v>
          </cell>
          <cell r="OQ29">
            <v>0</v>
          </cell>
          <cell r="OR29" t="str">
            <v>Binding at BAU</v>
          </cell>
          <cell r="OS29">
            <v>2244.2850336105384</v>
          </cell>
          <cell r="OT29" t="str">
            <v>Emissions amount</v>
          </cell>
          <cell r="OU29">
            <v>2421</v>
          </cell>
          <cell r="OW29">
            <v>2421</v>
          </cell>
          <cell r="OX29" t="str">
            <v>Emissions amount</v>
          </cell>
          <cell r="OY29">
            <v>2421</v>
          </cell>
          <cell r="PA29">
            <v>2421</v>
          </cell>
          <cell r="PB29" t="str">
            <v>Emissions amount</v>
          </cell>
          <cell r="PC29">
            <v>2421</v>
          </cell>
          <cell r="PE29">
            <v>2421</v>
          </cell>
          <cell r="PF29" t="str">
            <v>Emissions amount</v>
          </cell>
          <cell r="PG29">
            <v>2421</v>
          </cell>
          <cell r="PI29">
            <v>2421</v>
          </cell>
          <cell r="PJ29" t="str">
            <v>Emissions amount</v>
          </cell>
          <cell r="PK29">
            <v>2179</v>
          </cell>
          <cell r="PM29">
            <v>2179</v>
          </cell>
          <cell r="PN29" t="str">
            <v>Emissions amount</v>
          </cell>
          <cell r="PO29">
            <v>2497</v>
          </cell>
          <cell r="PQ29">
            <v>2497</v>
          </cell>
          <cell r="PR29" t="str">
            <v>Emissions amount</v>
          </cell>
          <cell r="PS29">
            <v>2497</v>
          </cell>
          <cell r="PU29">
            <v>2497</v>
          </cell>
          <cell r="PV29" t="str">
            <v>Emissions amount</v>
          </cell>
          <cell r="PW29">
            <v>2497</v>
          </cell>
          <cell r="PY29">
            <v>2497</v>
          </cell>
          <cell r="PZ29" t="str">
            <v>Emissions amount</v>
          </cell>
          <cell r="QA29">
            <v>2497</v>
          </cell>
          <cell r="QC29">
            <v>2497</v>
          </cell>
          <cell r="QD29" t="str">
            <v>Emissions amount</v>
          </cell>
          <cell r="QE29">
            <v>2255</v>
          </cell>
          <cell r="QG29">
            <v>2255</v>
          </cell>
          <cell r="QH29" t="str">
            <v>Emissions amount</v>
          </cell>
          <cell r="QI29">
            <v>2497</v>
          </cell>
          <cell r="QK29">
            <v>2497</v>
          </cell>
          <cell r="QL29" t="str">
            <v>Emissions amount</v>
          </cell>
          <cell r="QM29">
            <v>2497</v>
          </cell>
          <cell r="QO29">
            <v>2497</v>
          </cell>
          <cell r="QP29" t="str">
            <v>Abatement amount</v>
          </cell>
          <cell r="QQ29">
            <v>0</v>
          </cell>
          <cell r="QR29" t="str">
            <v>BAU is binding</v>
          </cell>
          <cell r="QS29">
            <v>2244.2850336105384</v>
          </cell>
          <cell r="QT29" t="str">
            <v>Emissions amount</v>
          </cell>
          <cell r="QU29">
            <v>2497</v>
          </cell>
          <cell r="QV29" t="str">
            <v>BAU is binding</v>
          </cell>
          <cell r="QW29">
            <v>2497</v>
          </cell>
          <cell r="QX29" t="str">
            <v>Abatement amount</v>
          </cell>
          <cell r="QY29">
            <v>0</v>
          </cell>
          <cell r="QZ29" t="str">
            <v>BAU is binding</v>
          </cell>
          <cell r="RA29">
            <v>2244.2850336105384</v>
          </cell>
          <cell r="RB29" t="str">
            <v>Emissions amount</v>
          </cell>
          <cell r="RC29">
            <v>2497</v>
          </cell>
          <cell r="RE29">
            <v>2497</v>
          </cell>
          <cell r="RF29" t="str">
            <v>Emissions amount</v>
          </cell>
          <cell r="RG29">
            <v>2497</v>
          </cell>
          <cell r="RI29">
            <v>2497</v>
          </cell>
          <cell r="RJ29" t="str">
            <v>Emissions amount</v>
          </cell>
          <cell r="RK29">
            <v>2497</v>
          </cell>
          <cell r="RM29">
            <v>2497</v>
          </cell>
          <cell r="RN29" t="str">
            <v>Emissions amount</v>
          </cell>
          <cell r="RO29">
            <v>2497</v>
          </cell>
          <cell r="RQ29">
            <v>2497</v>
          </cell>
          <cell r="RR29" t="str">
            <v>Emissions amount</v>
          </cell>
          <cell r="RS29">
            <v>2255</v>
          </cell>
          <cell r="RU29">
            <v>2255</v>
          </cell>
        </row>
        <row r="30">
          <cell r="A30" t="str">
            <v>Rest of South Asia</v>
          </cell>
          <cell r="B30" t="str">
            <v>Abatement amount</v>
          </cell>
          <cell r="C30">
            <v>254.40169697422186</v>
          </cell>
          <cell r="D30">
            <v>0</v>
          </cell>
          <cell r="E30">
            <v>663.2919732591115</v>
          </cell>
          <cell r="F30" t="str">
            <v>Abatement amount</v>
          </cell>
          <cell r="G30">
            <v>136.30477083919789</v>
          </cell>
          <cell r="I30">
            <v>781.38889939413548</v>
          </cell>
          <cell r="J30" t="str">
            <v>Abatement amount</v>
          </cell>
          <cell r="K30">
            <v>0</v>
          </cell>
          <cell r="M30">
            <v>917.69367023333336</v>
          </cell>
          <cell r="N30" t="str">
            <v>Abatement amount</v>
          </cell>
          <cell r="O30">
            <v>0</v>
          </cell>
          <cell r="Q30">
            <v>917.69367023333336</v>
          </cell>
          <cell r="R30" t="str">
            <v>Abatement amount</v>
          </cell>
          <cell r="S30">
            <v>91.769363403320313</v>
          </cell>
          <cell r="U30">
            <v>825.92430683001305</v>
          </cell>
          <cell r="V30" t="str">
            <v>Abatement amount</v>
          </cell>
          <cell r="W30">
            <v>91.769363403320313</v>
          </cell>
          <cell r="Y30">
            <v>825.92430683001305</v>
          </cell>
          <cell r="Z30" t="str">
            <v>Abatement amount</v>
          </cell>
          <cell r="AA30">
            <v>254.40168762207031</v>
          </cell>
          <cell r="AC30">
            <v>663.29198261126305</v>
          </cell>
          <cell r="AD30" t="str">
            <v>Abatement amount</v>
          </cell>
          <cell r="AE30">
            <v>130.79667663574219</v>
          </cell>
          <cell r="AG30">
            <v>786.89699359759118</v>
          </cell>
          <cell r="AH30" t="str">
            <v>Abatement amount</v>
          </cell>
          <cell r="AI30">
            <v>0</v>
          </cell>
          <cell r="AK30">
            <v>917.69367023333336</v>
          </cell>
          <cell r="AL30" t="str">
            <v>Abatement amount</v>
          </cell>
          <cell r="AM30">
            <v>0</v>
          </cell>
          <cell r="AO30">
            <v>917.69367023333336</v>
          </cell>
          <cell r="AP30" t="str">
            <v>Abatement amount</v>
          </cell>
          <cell r="AQ30">
            <v>91.769363403320313</v>
          </cell>
          <cell r="AS30">
            <v>825.92430683001305</v>
          </cell>
          <cell r="AT30" t="str">
            <v>Abatement amount</v>
          </cell>
          <cell r="AU30">
            <v>91.769363403320313</v>
          </cell>
          <cell r="AW30">
            <v>825.92430683001305</v>
          </cell>
          <cell r="AX30" t="str">
            <v>Emissions amount</v>
          </cell>
          <cell r="AY30">
            <v>917.69367023333336</v>
          </cell>
          <cell r="BA30">
            <v>917.69367023333336</v>
          </cell>
          <cell r="BB30" t="str">
            <v>Emissions amount</v>
          </cell>
          <cell r="BC30">
            <v>917.69367023333336</v>
          </cell>
          <cell r="BE30">
            <v>917.69367023333336</v>
          </cell>
          <cell r="BF30" t="str">
            <v>Emissions amount</v>
          </cell>
          <cell r="BG30">
            <v>917.69367023333336</v>
          </cell>
          <cell r="BI30">
            <v>917.69367023333336</v>
          </cell>
          <cell r="BJ30" t="str">
            <v>Emissions amount</v>
          </cell>
          <cell r="BK30">
            <v>917.69367023333336</v>
          </cell>
          <cell r="BM30">
            <v>917.69367023333336</v>
          </cell>
          <cell r="BN30" t="str">
            <v>Emissions amount</v>
          </cell>
          <cell r="BO30">
            <v>917.69367023333336</v>
          </cell>
          <cell r="BQ30">
            <v>917.69367023333336</v>
          </cell>
          <cell r="BR30" t="str">
            <v>Emissions amount</v>
          </cell>
          <cell r="BS30">
            <v>917.69367023333336</v>
          </cell>
          <cell r="BU30">
            <v>917.69367023333336</v>
          </cell>
          <cell r="BV30" t="str">
            <v>Emissions amount</v>
          </cell>
          <cell r="BW30">
            <v>825.92430683001305</v>
          </cell>
          <cell r="BY30">
            <v>825.92430683001305</v>
          </cell>
          <cell r="BZ30" t="str">
            <v>Emissions amount</v>
          </cell>
          <cell r="CA30">
            <v>917.69367023333336</v>
          </cell>
          <cell r="CC30">
            <v>917.69367023333336</v>
          </cell>
          <cell r="CD30" t="str">
            <v>Emissions amount</v>
          </cell>
          <cell r="CE30">
            <v>917.69367023333336</v>
          </cell>
          <cell r="CG30">
            <v>917.69367023333336</v>
          </cell>
          <cell r="CH30" t="str">
            <v>Abatement amount</v>
          </cell>
          <cell r="CI30">
            <v>0</v>
          </cell>
          <cell r="CK30">
            <v>917.69367023333336</v>
          </cell>
          <cell r="CL30" t="str">
            <v>Abatement amount</v>
          </cell>
          <cell r="CM30">
            <v>91.769363403320313</v>
          </cell>
          <cell r="CO30">
            <v>825.92430683001305</v>
          </cell>
          <cell r="CP30" t="str">
            <v>Abatement amount</v>
          </cell>
          <cell r="CQ30">
            <v>91.769363403320313</v>
          </cell>
          <cell r="CS30">
            <v>825.92430683001305</v>
          </cell>
          <cell r="CT30" t="str">
            <v>Abatement amount</v>
          </cell>
          <cell r="CU30">
            <v>0</v>
          </cell>
          <cell r="CW30">
            <v>917.69367023333336</v>
          </cell>
          <cell r="CX30" t="str">
            <v>Abatement amount</v>
          </cell>
          <cell r="CY30">
            <v>91.769363403320313</v>
          </cell>
          <cell r="DA30">
            <v>825.92430683001305</v>
          </cell>
          <cell r="DB30" t="str">
            <v>Abatement amount</v>
          </cell>
          <cell r="DC30">
            <v>91.769363403320313</v>
          </cell>
          <cell r="DE30">
            <v>825.92430683001305</v>
          </cell>
          <cell r="DF30" t="str">
            <v>Abatement amount</v>
          </cell>
          <cell r="DG30">
            <v>0</v>
          </cell>
          <cell r="DI30">
            <v>917.69367023333336</v>
          </cell>
          <cell r="DJ30" t="str">
            <v>Emissions amount</v>
          </cell>
          <cell r="DK30">
            <v>917.69367023333336</v>
          </cell>
          <cell r="DM30">
            <v>917.69367023333336</v>
          </cell>
          <cell r="DN30" t="str">
            <v>Emissions amount</v>
          </cell>
          <cell r="DO30">
            <v>917.69367023333336</v>
          </cell>
          <cell r="DQ30">
            <v>917.69367023333336</v>
          </cell>
          <cell r="DR30" t="str">
            <v>Emissions amount</v>
          </cell>
          <cell r="DS30">
            <v>917.69367023333336</v>
          </cell>
          <cell r="DU30">
            <v>917.69367023333336</v>
          </cell>
          <cell r="DV30" t="str">
            <v>Emissions amount</v>
          </cell>
          <cell r="DW30">
            <v>917.69367023333336</v>
          </cell>
          <cell r="DY30">
            <v>917.69367023333336</v>
          </cell>
          <cell r="DZ30" t="str">
            <v>Abatement amount</v>
          </cell>
          <cell r="EA30">
            <v>0</v>
          </cell>
          <cell r="EC30">
            <v>917.69367023333336</v>
          </cell>
          <cell r="ED30" t="str">
            <v>Emissions amount</v>
          </cell>
          <cell r="EE30">
            <v>826</v>
          </cell>
          <cell r="EG30">
            <v>826</v>
          </cell>
          <cell r="EH30" t="str">
            <v>Abatement amount</v>
          </cell>
          <cell r="EI30">
            <v>0</v>
          </cell>
          <cell r="EK30">
            <v>936.5429018609376</v>
          </cell>
          <cell r="EL30" t="str">
            <v>Abatement amount</v>
          </cell>
          <cell r="EM30">
            <v>0</v>
          </cell>
          <cell r="EO30">
            <v>936.5429018609376</v>
          </cell>
          <cell r="EP30" t="str">
            <v>Abatement amount</v>
          </cell>
          <cell r="EQ30">
            <v>0</v>
          </cell>
          <cell r="ES30">
            <v>936.5429018609376</v>
          </cell>
          <cell r="ET30" t="str">
            <v>Abatement amount</v>
          </cell>
          <cell r="EU30">
            <v>254.92657497126379</v>
          </cell>
          <cell r="EW30">
            <v>681.61632688967381</v>
          </cell>
          <cell r="EX30" t="str">
            <v>Abatement amount</v>
          </cell>
          <cell r="EY30">
            <v>208.17964827933605</v>
          </cell>
          <cell r="FA30">
            <v>728.36325358160161</v>
          </cell>
          <cell r="FB30" t="str">
            <v>Abatement amount</v>
          </cell>
          <cell r="FC30">
            <v>157.16782719657607</v>
          </cell>
          <cell r="FE30">
            <v>779.37507466436159</v>
          </cell>
          <cell r="FF30" t="str">
            <v>Abatement amount</v>
          </cell>
          <cell r="FG30">
            <v>0</v>
          </cell>
          <cell r="FI30">
            <v>936.5429018609376</v>
          </cell>
          <cell r="FJ30" t="str">
            <v>Abatement amount</v>
          </cell>
          <cell r="FK30">
            <v>93.654289245605469</v>
          </cell>
          <cell r="FM30">
            <v>842.88861261533214</v>
          </cell>
          <cell r="FN30" t="str">
            <v>Abatement amount</v>
          </cell>
          <cell r="FO30">
            <v>0</v>
          </cell>
          <cell r="FQ30">
            <v>936.5429018609376</v>
          </cell>
          <cell r="FR30" t="str">
            <v>Abatement amount</v>
          </cell>
          <cell r="FS30">
            <v>0</v>
          </cell>
          <cell r="FU30">
            <v>936.5429018609376</v>
          </cell>
          <cell r="FV30" t="str">
            <v>Abatement amount</v>
          </cell>
          <cell r="FW30">
            <v>0</v>
          </cell>
          <cell r="FY30">
            <v>936.5429018609376</v>
          </cell>
          <cell r="FZ30" t="str">
            <v>Abatement amount</v>
          </cell>
          <cell r="GA30">
            <v>93.654289245605469</v>
          </cell>
          <cell r="GC30">
            <v>842.88861261533214</v>
          </cell>
          <cell r="GD30" t="str">
            <v>Abatement amount</v>
          </cell>
          <cell r="GE30">
            <v>93.654289245605469</v>
          </cell>
          <cell r="GG30">
            <v>842.88861261533214</v>
          </cell>
          <cell r="GH30" t="str">
            <v>Abatement amount</v>
          </cell>
          <cell r="GI30">
            <v>38.676753997802734</v>
          </cell>
          <cell r="GK30">
            <v>897.86614786313487</v>
          </cell>
          <cell r="GL30" t="str">
            <v>Abatement amount</v>
          </cell>
          <cell r="GM30">
            <v>267.62041927895825</v>
          </cell>
          <cell r="GO30">
            <v>668.92248258197935</v>
          </cell>
          <cell r="GP30" t="str">
            <v>Abatement amount</v>
          </cell>
          <cell r="GQ30">
            <v>163.00959046105311</v>
          </cell>
          <cell r="GS30">
            <v>773.5333113998845</v>
          </cell>
          <cell r="GT30" t="str">
            <v>Abatement amount</v>
          </cell>
          <cell r="GU30">
            <v>218.54950776210262</v>
          </cell>
          <cell r="GW30">
            <v>717.99339409883498</v>
          </cell>
          <cell r="GX30" t="str">
            <v>Abatement amount</v>
          </cell>
          <cell r="GY30">
            <v>0</v>
          </cell>
          <cell r="HA30">
            <v>936.5429018609376</v>
          </cell>
          <cell r="HB30" t="str">
            <v>Abatement amount</v>
          </cell>
          <cell r="HC30">
            <v>0</v>
          </cell>
          <cell r="HE30">
            <v>936.5429018609376</v>
          </cell>
          <cell r="HF30" t="str">
            <v>Abatement amount</v>
          </cell>
          <cell r="HG30">
            <v>0</v>
          </cell>
          <cell r="HI30">
            <v>936.5429018609376</v>
          </cell>
          <cell r="HJ30" t="str">
            <v>Abatement amount</v>
          </cell>
          <cell r="HK30">
            <v>0</v>
          </cell>
          <cell r="HM30">
            <v>936.5429018609376</v>
          </cell>
          <cell r="HN30" t="str">
            <v>Abatement amount</v>
          </cell>
          <cell r="HO30">
            <v>0</v>
          </cell>
          <cell r="HQ30">
            <v>936.5429018609376</v>
          </cell>
          <cell r="HR30" t="str">
            <v>Abatement amount</v>
          </cell>
          <cell r="HS30">
            <v>0</v>
          </cell>
          <cell r="HU30">
            <v>936.5429018609376</v>
          </cell>
          <cell r="HV30" t="str">
            <v>Abatement amount</v>
          </cell>
          <cell r="HW30">
            <v>0</v>
          </cell>
          <cell r="HX30" t="str">
            <v>tbc</v>
          </cell>
          <cell r="HY30">
            <v>936.5429018609376</v>
          </cell>
          <cell r="HZ30" t="str">
            <v>Abatement amount</v>
          </cell>
          <cell r="IA30">
            <v>0</v>
          </cell>
          <cell r="IB30" t="str">
            <v>GLOCAF BAU</v>
          </cell>
          <cell r="IC30">
            <v>936.5429018609376</v>
          </cell>
          <cell r="ID30" t="str">
            <v>Abatement amount</v>
          </cell>
          <cell r="IE30">
            <v>0</v>
          </cell>
          <cell r="IF30" t="str">
            <v>GLOCAF BAU</v>
          </cell>
          <cell r="IG30">
            <v>936.5429018609376</v>
          </cell>
          <cell r="IH30" t="str">
            <v>Abatement amount</v>
          </cell>
          <cell r="II30">
            <v>0</v>
          </cell>
          <cell r="IJ30" t="str">
            <v>GLOCAF BAU</v>
          </cell>
          <cell r="IK30">
            <v>936.5429018609376</v>
          </cell>
          <cell r="IL30" t="str">
            <v>Abatement amount</v>
          </cell>
          <cell r="IM30">
            <v>0</v>
          </cell>
          <cell r="IN30" t="str">
            <v>GLOCAF BAU</v>
          </cell>
          <cell r="IO30">
            <v>936.5429018609376</v>
          </cell>
          <cell r="IP30" t="str">
            <v>Abatement amount</v>
          </cell>
          <cell r="IQ30">
            <v>0</v>
          </cell>
          <cell r="IR30" t="str">
            <v>GLOCAF BAU</v>
          </cell>
          <cell r="IS30">
            <v>936.5429018609376</v>
          </cell>
          <cell r="IT30" t="str">
            <v>Emissions amount</v>
          </cell>
          <cell r="IU30">
            <v>937</v>
          </cell>
          <cell r="IV30" t="str">
            <v>GLOCAF BAU</v>
          </cell>
          <cell r="IW30">
            <v>937</v>
          </cell>
          <cell r="IX30" t="str">
            <v>Emissions amount</v>
          </cell>
          <cell r="IY30">
            <v>843</v>
          </cell>
          <cell r="IZ30" t="str">
            <v>GLOCAF BAU</v>
          </cell>
          <cell r="JA30">
            <v>843</v>
          </cell>
          <cell r="JB30" t="str">
            <v>Abatement amount</v>
          </cell>
          <cell r="JC30">
            <v>0</v>
          </cell>
          <cell r="JD30" t="str">
            <v>GLOCAF BAU</v>
          </cell>
          <cell r="JE30">
            <v>936.5429018609376</v>
          </cell>
          <cell r="JF30" t="str">
            <v>Abatement amount</v>
          </cell>
          <cell r="JG30">
            <v>0</v>
          </cell>
          <cell r="JH30" t="str">
            <v>GLOCAF BAU</v>
          </cell>
          <cell r="JI30">
            <v>936.5429018609376</v>
          </cell>
          <cell r="JJ30" t="str">
            <v>Abatement amount</v>
          </cell>
          <cell r="JK30">
            <v>0</v>
          </cell>
          <cell r="JL30" t="str">
            <v>GLOCAF BAU</v>
          </cell>
          <cell r="JM30">
            <v>936.5429018609376</v>
          </cell>
          <cell r="JN30" t="str">
            <v>Emissions amount</v>
          </cell>
          <cell r="JO30">
            <v>937</v>
          </cell>
          <cell r="JP30" t="str">
            <v>GLOCAF BAU</v>
          </cell>
          <cell r="JQ30">
            <v>937</v>
          </cell>
          <cell r="JR30" t="str">
            <v>Emissions amount</v>
          </cell>
          <cell r="JS30">
            <v>843</v>
          </cell>
          <cell r="JT30" t="str">
            <v>GLOCAF BAU</v>
          </cell>
          <cell r="JU30">
            <v>843</v>
          </cell>
          <cell r="JV30" t="str">
            <v>Abatement amount</v>
          </cell>
          <cell r="JW30">
            <v>0</v>
          </cell>
          <cell r="JX30" t="str">
            <v>GLOCAF BAU</v>
          </cell>
          <cell r="JY30">
            <v>936.5429018609376</v>
          </cell>
          <cell r="JZ30" t="str">
            <v>Abatement amount</v>
          </cell>
          <cell r="KA30">
            <v>0</v>
          </cell>
          <cell r="KB30" t="str">
            <v>GLOCAF BAU</v>
          </cell>
          <cell r="KC30">
            <v>936.5429018609376</v>
          </cell>
          <cell r="KD30" t="str">
            <v>Abatement amount</v>
          </cell>
          <cell r="KE30">
            <v>0</v>
          </cell>
          <cell r="KF30" t="str">
            <v>GLOCAF BAU</v>
          </cell>
          <cell r="KG30">
            <v>936.5429018609376</v>
          </cell>
          <cell r="KH30" t="str">
            <v>Abatement amount</v>
          </cell>
          <cell r="KI30">
            <v>0</v>
          </cell>
          <cell r="KJ30" t="str">
            <v>GLOCAF BAU</v>
          </cell>
          <cell r="KK30">
            <v>936.5429018609376</v>
          </cell>
          <cell r="KL30" t="str">
            <v>Abatement amount</v>
          </cell>
          <cell r="KM30">
            <v>0</v>
          </cell>
          <cell r="KN30" t="str">
            <v>GLOCAF BAU</v>
          </cell>
          <cell r="KO30">
            <v>936.5429018609376</v>
          </cell>
          <cell r="KP30" t="str">
            <v>Abatement amount</v>
          </cell>
          <cell r="KQ30">
            <v>0</v>
          </cell>
          <cell r="KR30" t="str">
            <v>GLOCAF BAU</v>
          </cell>
          <cell r="KS30">
            <v>936.5429018609376</v>
          </cell>
          <cell r="KT30" t="str">
            <v>Emissions amount</v>
          </cell>
          <cell r="KU30">
            <v>937</v>
          </cell>
          <cell r="KV30" t="str">
            <v>GLOCAF BAU</v>
          </cell>
          <cell r="KW30">
            <v>937</v>
          </cell>
          <cell r="KX30" t="str">
            <v>Emissions amount</v>
          </cell>
          <cell r="KY30">
            <v>843</v>
          </cell>
          <cell r="KZ30" t="str">
            <v>GLOCAF BAU</v>
          </cell>
          <cell r="LA30">
            <v>843</v>
          </cell>
          <cell r="LB30" t="str">
            <v>Abatement amount</v>
          </cell>
          <cell r="LC30">
            <v>0</v>
          </cell>
          <cell r="LD30" t="str">
            <v>GLOCAF BAU</v>
          </cell>
          <cell r="LE30">
            <v>936.5429018609376</v>
          </cell>
          <cell r="LF30" t="str">
            <v>Emissions amount</v>
          </cell>
          <cell r="LG30">
            <v>1017</v>
          </cell>
          <cell r="LH30" t="str">
            <v>GLOCAF BAU</v>
          </cell>
          <cell r="LI30">
            <v>1017</v>
          </cell>
          <cell r="LJ30" t="str">
            <v>Emissions amount</v>
          </cell>
          <cell r="LK30">
            <v>1017</v>
          </cell>
          <cell r="LL30" t="str">
            <v>GLOCAF BAU</v>
          </cell>
          <cell r="LM30">
            <v>1017</v>
          </cell>
          <cell r="LN30" t="str">
            <v>Emissions amount</v>
          </cell>
          <cell r="LO30">
            <v>991</v>
          </cell>
          <cell r="LP30" t="str">
            <v>GLOCAF BAU</v>
          </cell>
          <cell r="LQ30">
            <v>991</v>
          </cell>
          <cell r="LR30" t="str">
            <v>Emissions amount</v>
          </cell>
          <cell r="LS30">
            <v>991</v>
          </cell>
          <cell r="LT30" t="str">
            <v>GLOCAF BAU</v>
          </cell>
          <cell r="LU30">
            <v>991</v>
          </cell>
          <cell r="LV30" t="str">
            <v>Emissions amount</v>
          </cell>
          <cell r="LW30">
            <v>991</v>
          </cell>
          <cell r="LX30" t="str">
            <v>GLOCAF BAU</v>
          </cell>
          <cell r="LY30">
            <v>991</v>
          </cell>
          <cell r="LZ30" t="str">
            <v>Emissions amount</v>
          </cell>
          <cell r="MA30">
            <v>991</v>
          </cell>
          <cell r="MB30" t="str">
            <v>GLOCAF BAU</v>
          </cell>
          <cell r="MC30">
            <v>991</v>
          </cell>
          <cell r="MD30" t="str">
            <v>Emissions amount</v>
          </cell>
          <cell r="ME30">
            <v>991</v>
          </cell>
          <cell r="MF30" t="str">
            <v>GLOCAF BAU</v>
          </cell>
          <cell r="MG30">
            <v>991</v>
          </cell>
          <cell r="MH30" t="str">
            <v>Emissions amount</v>
          </cell>
          <cell r="MI30">
            <v>967</v>
          </cell>
          <cell r="MJ30" t="str">
            <v>GLOCAF BAU</v>
          </cell>
          <cell r="MK30">
            <v>967</v>
          </cell>
          <cell r="ML30" t="str">
            <v>Emissions amount</v>
          </cell>
          <cell r="MM30">
            <v>991</v>
          </cell>
          <cell r="MN30" t="str">
            <v>GLOCAF BAU</v>
          </cell>
          <cell r="MO30">
            <v>991</v>
          </cell>
          <cell r="MP30" t="str">
            <v>Emissions amount</v>
          </cell>
          <cell r="MQ30">
            <v>991</v>
          </cell>
          <cell r="MR30" t="str">
            <v>GLOCAF BAU</v>
          </cell>
          <cell r="MS30">
            <v>991</v>
          </cell>
          <cell r="MT30" t="str">
            <v>Emissions amount</v>
          </cell>
          <cell r="MU30">
            <v>967</v>
          </cell>
          <cell r="MV30" t="str">
            <v>GLOCAF BAU</v>
          </cell>
          <cell r="MW30">
            <v>967</v>
          </cell>
          <cell r="MX30" t="str">
            <v>Emissions amount</v>
          </cell>
          <cell r="MY30">
            <v>991</v>
          </cell>
          <cell r="MZ30" t="str">
            <v>GLOCAF BAU</v>
          </cell>
          <cell r="NA30">
            <v>991</v>
          </cell>
          <cell r="NB30" t="str">
            <v>Emissions amount</v>
          </cell>
          <cell r="NC30">
            <v>991</v>
          </cell>
          <cell r="ND30" t="str">
            <v>GLOCAF BAU</v>
          </cell>
          <cell r="NE30">
            <v>991</v>
          </cell>
          <cell r="NF30" t="str">
            <v>Emissions amount</v>
          </cell>
          <cell r="NG30">
            <v>991</v>
          </cell>
          <cell r="NH30" t="str">
            <v>GLOCAF BAU</v>
          </cell>
          <cell r="NI30">
            <v>991</v>
          </cell>
          <cell r="NJ30" t="str">
            <v>Emissions amount</v>
          </cell>
          <cell r="NK30">
            <v>991</v>
          </cell>
          <cell r="NL30" t="str">
            <v>GLOCAF BAU</v>
          </cell>
          <cell r="NM30">
            <v>991</v>
          </cell>
          <cell r="NN30" t="str">
            <v>Emissions amount</v>
          </cell>
          <cell r="NO30">
            <v>991</v>
          </cell>
          <cell r="NP30" t="str">
            <v>GLOCAF BAU</v>
          </cell>
          <cell r="NQ30">
            <v>991</v>
          </cell>
          <cell r="NR30" t="str">
            <v>Emissions amount</v>
          </cell>
          <cell r="NS30">
            <v>991</v>
          </cell>
          <cell r="NT30" t="str">
            <v>GLOCAF BAU</v>
          </cell>
          <cell r="NU30">
            <v>991</v>
          </cell>
          <cell r="NV30" t="str">
            <v>Emissions amount</v>
          </cell>
          <cell r="NW30">
            <v>991</v>
          </cell>
          <cell r="NX30" t="str">
            <v>GLOCAF BAU</v>
          </cell>
          <cell r="NY30">
            <v>991</v>
          </cell>
          <cell r="NZ30" t="str">
            <v>Emissions amount</v>
          </cell>
          <cell r="OA30">
            <v>991</v>
          </cell>
          <cell r="OB30" t="str">
            <v>GLOCAF BAU</v>
          </cell>
          <cell r="OC30">
            <v>991</v>
          </cell>
          <cell r="OD30" t="str">
            <v>Emissions amount</v>
          </cell>
          <cell r="OE30">
            <v>967</v>
          </cell>
          <cell r="OF30" t="str">
            <v>GLOCAF BAU</v>
          </cell>
          <cell r="OG30">
            <v>967</v>
          </cell>
          <cell r="OH30" t="str">
            <v>Abatement amount</v>
          </cell>
          <cell r="OI30">
            <v>0</v>
          </cell>
          <cell r="OJ30" t="str">
            <v>BAU is binding</v>
          </cell>
          <cell r="OK30">
            <v>936.5429018609376</v>
          </cell>
          <cell r="OL30" t="str">
            <v>Abatement amount</v>
          </cell>
          <cell r="OM30">
            <v>0</v>
          </cell>
          <cell r="ON30" t="str">
            <v>BAU is binding</v>
          </cell>
          <cell r="OO30">
            <v>936.5429018609376</v>
          </cell>
          <cell r="OP30" t="str">
            <v>Abatement amount</v>
          </cell>
          <cell r="OQ30">
            <v>0</v>
          </cell>
          <cell r="OR30" t="str">
            <v>Binding at BAU</v>
          </cell>
          <cell r="OS30">
            <v>936.5429018609376</v>
          </cell>
          <cell r="OT30" t="str">
            <v>Emissions amount</v>
          </cell>
          <cell r="OU30">
            <v>991</v>
          </cell>
          <cell r="OW30">
            <v>991</v>
          </cell>
          <cell r="OX30" t="str">
            <v>Emissions amount</v>
          </cell>
          <cell r="OY30">
            <v>991</v>
          </cell>
          <cell r="PA30">
            <v>991</v>
          </cell>
          <cell r="PB30" t="str">
            <v>Emissions amount</v>
          </cell>
          <cell r="PC30">
            <v>991</v>
          </cell>
          <cell r="PE30">
            <v>991</v>
          </cell>
          <cell r="PF30" t="str">
            <v>Emissions amount</v>
          </cell>
          <cell r="PG30">
            <v>991</v>
          </cell>
          <cell r="PI30">
            <v>991</v>
          </cell>
          <cell r="PJ30" t="str">
            <v>Emissions amount</v>
          </cell>
          <cell r="PK30">
            <v>967</v>
          </cell>
          <cell r="PM30">
            <v>967</v>
          </cell>
          <cell r="PN30" t="str">
            <v>Emissions amount</v>
          </cell>
          <cell r="PO30">
            <v>990</v>
          </cell>
          <cell r="PQ30">
            <v>990</v>
          </cell>
          <cell r="PR30" t="str">
            <v>Emissions amount</v>
          </cell>
          <cell r="PS30">
            <v>990</v>
          </cell>
          <cell r="PU30">
            <v>990</v>
          </cell>
          <cell r="PV30" t="str">
            <v>Emissions amount</v>
          </cell>
          <cell r="PW30">
            <v>990</v>
          </cell>
          <cell r="PY30">
            <v>990</v>
          </cell>
          <cell r="PZ30" t="str">
            <v>Emissions amount</v>
          </cell>
          <cell r="QA30">
            <v>990</v>
          </cell>
          <cell r="QC30">
            <v>990</v>
          </cell>
          <cell r="QD30" t="str">
            <v>Emissions amount</v>
          </cell>
          <cell r="QE30">
            <v>966</v>
          </cell>
          <cell r="QG30">
            <v>966</v>
          </cell>
          <cell r="QH30" t="str">
            <v>Emissions amount</v>
          </cell>
          <cell r="QI30">
            <v>990</v>
          </cell>
          <cell r="QK30">
            <v>990</v>
          </cell>
          <cell r="QL30" t="str">
            <v>Emissions amount</v>
          </cell>
          <cell r="QM30">
            <v>990</v>
          </cell>
          <cell r="QO30">
            <v>990</v>
          </cell>
          <cell r="QP30" t="str">
            <v>Abatement amount</v>
          </cell>
          <cell r="QQ30">
            <v>0</v>
          </cell>
          <cell r="QR30" t="str">
            <v>BAU is binding</v>
          </cell>
          <cell r="QS30">
            <v>936.5429018609376</v>
          </cell>
          <cell r="QT30" t="str">
            <v>Abatement amount</v>
          </cell>
          <cell r="QU30">
            <v>0</v>
          </cell>
          <cell r="QV30" t="str">
            <v>BAU is binding</v>
          </cell>
          <cell r="QW30">
            <v>936.5429018609376</v>
          </cell>
          <cell r="QX30" t="str">
            <v>Abatement amount</v>
          </cell>
          <cell r="QY30">
            <v>0</v>
          </cell>
          <cell r="QZ30" t="str">
            <v>BAU is binding</v>
          </cell>
          <cell r="RA30">
            <v>936.5429018609376</v>
          </cell>
          <cell r="RB30" t="str">
            <v>Emissions amount</v>
          </cell>
          <cell r="RC30">
            <v>990</v>
          </cell>
          <cell r="RE30">
            <v>990</v>
          </cell>
          <cell r="RF30" t="str">
            <v>Emissions amount</v>
          </cell>
          <cell r="RG30">
            <v>990</v>
          </cell>
          <cell r="RI30">
            <v>990</v>
          </cell>
          <cell r="RJ30" t="str">
            <v>Emissions amount</v>
          </cell>
          <cell r="RK30">
            <v>990</v>
          </cell>
          <cell r="RM30">
            <v>990</v>
          </cell>
          <cell r="RN30" t="str">
            <v>Emissions amount</v>
          </cell>
          <cell r="RO30">
            <v>990</v>
          </cell>
          <cell r="RQ30">
            <v>990</v>
          </cell>
          <cell r="RR30" t="str">
            <v>Emissions amount</v>
          </cell>
          <cell r="RS30">
            <v>966</v>
          </cell>
          <cell r="RU30">
            <v>966</v>
          </cell>
        </row>
        <row r="31">
          <cell r="A31" t="str">
            <v>Rest of South East Asia</v>
          </cell>
          <cell r="B31" t="str">
            <v>Abatement amount</v>
          </cell>
          <cell r="C31">
            <v>995.75014045365788</v>
          </cell>
          <cell r="D31">
            <v>0</v>
          </cell>
          <cell r="E31">
            <v>1893.7806895213112</v>
          </cell>
          <cell r="F31" t="str">
            <v>Abatement amount</v>
          </cell>
          <cell r="G31">
            <v>425.93273574125078</v>
          </cell>
          <cell r="I31">
            <v>2463.5980942337183</v>
          </cell>
          <cell r="J31" t="str">
            <v>Abatement amount</v>
          </cell>
          <cell r="K31">
            <v>144.47654724121094</v>
          </cell>
          <cell r="M31">
            <v>2745.0542827337581</v>
          </cell>
          <cell r="N31" t="str">
            <v>Abatement amount</v>
          </cell>
          <cell r="O31">
            <v>144.47654724121094</v>
          </cell>
          <cell r="Q31">
            <v>2745.0542827337581</v>
          </cell>
          <cell r="R31" t="str">
            <v>Abatement amount</v>
          </cell>
          <cell r="S31">
            <v>433.42962646484375</v>
          </cell>
          <cell r="U31">
            <v>2456.1012035101253</v>
          </cell>
          <cell r="V31" t="str">
            <v>Abatement amount</v>
          </cell>
          <cell r="W31">
            <v>433.42962646484375</v>
          </cell>
          <cell r="Y31">
            <v>2456.1012035101253</v>
          </cell>
          <cell r="Z31" t="str">
            <v>Abatement amount</v>
          </cell>
          <cell r="AA31">
            <v>995.7501220703125</v>
          </cell>
          <cell r="AC31">
            <v>1893.7807079046565</v>
          </cell>
          <cell r="AD31" t="str">
            <v>Abatement amount</v>
          </cell>
          <cell r="AE31">
            <v>408.72076416015625</v>
          </cell>
          <cell r="AG31">
            <v>2480.8100658148128</v>
          </cell>
          <cell r="AH31" t="str">
            <v>Abatement amount</v>
          </cell>
          <cell r="AI31">
            <v>144.47654724121094</v>
          </cell>
          <cell r="AK31">
            <v>2745.0542827337581</v>
          </cell>
          <cell r="AL31" t="str">
            <v>Abatement amount</v>
          </cell>
          <cell r="AM31">
            <v>144.47654724121094</v>
          </cell>
          <cell r="AO31">
            <v>2745.0542827337581</v>
          </cell>
          <cell r="AP31" t="str">
            <v>Abatement amount</v>
          </cell>
          <cell r="AQ31">
            <v>433.42962646484375</v>
          </cell>
          <cell r="AS31">
            <v>2456.1012035101253</v>
          </cell>
          <cell r="AT31" t="str">
            <v>Abatement amount</v>
          </cell>
          <cell r="AU31">
            <v>433.42962646484375</v>
          </cell>
          <cell r="AW31">
            <v>2456.1012035101253</v>
          </cell>
          <cell r="AX31" t="str">
            <v>Emissions amount</v>
          </cell>
          <cell r="AY31">
            <v>2889.530829974969</v>
          </cell>
          <cell r="BA31">
            <v>2889.530829974969</v>
          </cell>
          <cell r="BB31" t="str">
            <v>Emissions amount</v>
          </cell>
          <cell r="BC31">
            <v>2889.530829974969</v>
          </cell>
          <cell r="BE31">
            <v>2889.530829974969</v>
          </cell>
          <cell r="BF31" t="str">
            <v>Emissions amount</v>
          </cell>
          <cell r="BG31">
            <v>2889.530829974969</v>
          </cell>
          <cell r="BI31">
            <v>2889.530829974969</v>
          </cell>
          <cell r="BJ31" t="str">
            <v>Emissions amount</v>
          </cell>
          <cell r="BK31">
            <v>2889.530829974969</v>
          </cell>
          <cell r="BM31">
            <v>2889.530829974969</v>
          </cell>
          <cell r="BN31" t="str">
            <v>Emissions amount</v>
          </cell>
          <cell r="BO31">
            <v>2889.530829974969</v>
          </cell>
          <cell r="BQ31">
            <v>2889.530829974969</v>
          </cell>
          <cell r="BR31" t="str">
            <v>Emissions amount</v>
          </cell>
          <cell r="BS31">
            <v>2745.0542827337581</v>
          </cell>
          <cell r="BU31">
            <v>2745.0542827337581</v>
          </cell>
          <cell r="BV31" t="str">
            <v>Emissions amount</v>
          </cell>
          <cell r="BW31">
            <v>2456.1012035101253</v>
          </cell>
          <cell r="BY31">
            <v>2456.1012035101253</v>
          </cell>
          <cell r="BZ31" t="str">
            <v>Emissions amount</v>
          </cell>
          <cell r="CA31">
            <v>2889.530829974969</v>
          </cell>
          <cell r="CC31">
            <v>2889.530829974969</v>
          </cell>
          <cell r="CD31" t="str">
            <v>Emissions amount</v>
          </cell>
          <cell r="CE31">
            <v>2889.530829974969</v>
          </cell>
          <cell r="CG31">
            <v>2889.530829974969</v>
          </cell>
          <cell r="CH31" t="str">
            <v>Abatement amount</v>
          </cell>
          <cell r="CI31">
            <v>144.47654724121094</v>
          </cell>
          <cell r="CK31">
            <v>2745.0542827337581</v>
          </cell>
          <cell r="CL31" t="str">
            <v>Abatement amount</v>
          </cell>
          <cell r="CM31">
            <v>433.42962646484375</v>
          </cell>
          <cell r="CO31">
            <v>2456.1012035101253</v>
          </cell>
          <cell r="CP31" t="str">
            <v>Abatement amount</v>
          </cell>
          <cell r="CQ31">
            <v>433.42962646484375</v>
          </cell>
          <cell r="CS31">
            <v>2456.1012035101253</v>
          </cell>
          <cell r="CT31" t="str">
            <v>Abatement amount</v>
          </cell>
          <cell r="CU31">
            <v>144.47654724121094</v>
          </cell>
          <cell r="CW31">
            <v>2745.0542827337581</v>
          </cell>
          <cell r="CX31" t="str">
            <v>Abatement amount</v>
          </cell>
          <cell r="CY31">
            <v>433.42962646484375</v>
          </cell>
          <cell r="DA31">
            <v>2456.1012035101253</v>
          </cell>
          <cell r="DB31" t="str">
            <v>Abatement amount</v>
          </cell>
          <cell r="DC31">
            <v>433.42962646484375</v>
          </cell>
          <cell r="DE31">
            <v>2456.1012035101253</v>
          </cell>
          <cell r="DF31" t="str">
            <v>Abatement amount</v>
          </cell>
          <cell r="DG31">
            <v>144.47654724121094</v>
          </cell>
          <cell r="DI31">
            <v>2745.0542827337581</v>
          </cell>
          <cell r="DJ31" t="str">
            <v>Emissions amount</v>
          </cell>
          <cell r="DK31">
            <v>2889.530829974969</v>
          </cell>
          <cell r="DM31">
            <v>2889.530829974969</v>
          </cell>
          <cell r="DN31" t="str">
            <v>Emissions amount</v>
          </cell>
          <cell r="DO31">
            <v>2889.530829974969</v>
          </cell>
          <cell r="DQ31">
            <v>2889.530829974969</v>
          </cell>
          <cell r="DR31" t="str">
            <v>Emissions amount</v>
          </cell>
          <cell r="DS31">
            <v>2889.530829974969</v>
          </cell>
          <cell r="DU31">
            <v>2889.530829974969</v>
          </cell>
          <cell r="DV31" t="str">
            <v>Emissions amount</v>
          </cell>
          <cell r="DW31">
            <v>2889.530829974969</v>
          </cell>
          <cell r="DY31">
            <v>2889.530829974969</v>
          </cell>
          <cell r="DZ31" t="str">
            <v>Abatement amount</v>
          </cell>
          <cell r="EA31">
            <v>144.47654724121094</v>
          </cell>
          <cell r="EC31">
            <v>2745.0542827337581</v>
          </cell>
          <cell r="ED31" t="str">
            <v>Emissions amount</v>
          </cell>
          <cell r="EE31">
            <v>2456</v>
          </cell>
          <cell r="EG31">
            <v>2456</v>
          </cell>
          <cell r="EH31" t="str">
            <v>Abatement amount</v>
          </cell>
          <cell r="EI31">
            <v>0</v>
          </cell>
          <cell r="EK31">
            <v>2836.2327914072607</v>
          </cell>
          <cell r="EL31" t="str">
            <v>Abatement amount</v>
          </cell>
          <cell r="EM31">
            <v>0</v>
          </cell>
          <cell r="EO31">
            <v>2836.2327914072607</v>
          </cell>
          <cell r="EP31" t="str">
            <v>Abatement amount</v>
          </cell>
          <cell r="EQ31">
            <v>0</v>
          </cell>
          <cell r="ES31">
            <v>2836.2327914072607</v>
          </cell>
          <cell r="ET31" t="str">
            <v>Abatement amount</v>
          </cell>
          <cell r="EU31">
            <v>837.09035801906657</v>
          </cell>
          <cell r="EW31">
            <v>1999.1424333881941</v>
          </cell>
          <cell r="EX31" t="str">
            <v>Abatement amount</v>
          </cell>
          <cell r="EY31">
            <v>605.57760340328014</v>
          </cell>
          <cell r="FA31">
            <v>2230.6551880039806</v>
          </cell>
          <cell r="FB31" t="str">
            <v>Abatement amount</v>
          </cell>
          <cell r="FC31">
            <v>453.11267733368459</v>
          </cell>
          <cell r="FE31">
            <v>2383.1201140735761</v>
          </cell>
          <cell r="FF31" t="str">
            <v>Abatement amount</v>
          </cell>
          <cell r="FG31">
            <v>141.8116455078125</v>
          </cell>
          <cell r="FI31">
            <v>2694.4211458994482</v>
          </cell>
          <cell r="FJ31" t="str">
            <v>Abatement amount</v>
          </cell>
          <cell r="FK31">
            <v>425.43490600585938</v>
          </cell>
          <cell r="FM31">
            <v>2410.7978854014013</v>
          </cell>
          <cell r="FN31" t="str">
            <v>Abatement amount</v>
          </cell>
          <cell r="FO31">
            <v>0</v>
          </cell>
          <cell r="FQ31">
            <v>2836.2327914072607</v>
          </cell>
          <cell r="FR31" t="str">
            <v>Abatement amount</v>
          </cell>
          <cell r="FS31">
            <v>0</v>
          </cell>
          <cell r="FU31">
            <v>2836.2327914072607</v>
          </cell>
          <cell r="FV31" t="str">
            <v>Abatement amount</v>
          </cell>
          <cell r="FW31">
            <v>141.8116455078125</v>
          </cell>
          <cell r="FY31">
            <v>2694.4211458994482</v>
          </cell>
          <cell r="FZ31" t="str">
            <v>Abatement amount</v>
          </cell>
          <cell r="GA31">
            <v>425.43490600585938</v>
          </cell>
          <cell r="GC31">
            <v>2410.7978854014013</v>
          </cell>
          <cell r="GD31" t="str">
            <v>Abatement amount</v>
          </cell>
          <cell r="GE31">
            <v>425.43490600585938</v>
          </cell>
          <cell r="GG31">
            <v>2410.7978854014013</v>
          </cell>
          <cell r="GH31" t="str">
            <v>Abatement amount</v>
          </cell>
          <cell r="GI31">
            <v>750.33404541015625</v>
          </cell>
          <cell r="GK31">
            <v>2085.8987459971045</v>
          </cell>
          <cell r="GL31" t="str">
            <v>Abatement amount</v>
          </cell>
          <cell r="GM31">
            <v>878.77253523956233</v>
          </cell>
          <cell r="GO31">
            <v>1957.4602561676984</v>
          </cell>
          <cell r="GP31" t="str">
            <v>Abatement amount</v>
          </cell>
          <cell r="GQ31">
            <v>469.95440022526645</v>
          </cell>
          <cell r="GS31">
            <v>2366.2783911819943</v>
          </cell>
          <cell r="GT31" t="str">
            <v>Abatement amount</v>
          </cell>
          <cell r="GU31">
            <v>635.74267816013798</v>
          </cell>
          <cell r="GW31">
            <v>2200.4901132471227</v>
          </cell>
          <cell r="GX31" t="str">
            <v>Emissions amount</v>
          </cell>
          <cell r="GY31">
            <v>2788</v>
          </cell>
          <cell r="HA31">
            <v>2788</v>
          </cell>
          <cell r="HB31" t="str">
            <v>Emissions amount</v>
          </cell>
          <cell r="HC31">
            <v>2788</v>
          </cell>
          <cell r="HE31">
            <v>2788</v>
          </cell>
          <cell r="HF31" t="str">
            <v>Emissions amount</v>
          </cell>
          <cell r="HG31">
            <v>2788</v>
          </cell>
          <cell r="HI31">
            <v>2788</v>
          </cell>
          <cell r="HJ31" t="str">
            <v>Emissions amount</v>
          </cell>
          <cell r="HK31">
            <v>2788</v>
          </cell>
          <cell r="HM31">
            <v>2788</v>
          </cell>
          <cell r="HN31" t="str">
            <v>Emissions amount</v>
          </cell>
          <cell r="HO31">
            <v>2570</v>
          </cell>
          <cell r="HQ31">
            <v>2570</v>
          </cell>
          <cell r="HR31" t="str">
            <v>Emissions amount</v>
          </cell>
          <cell r="HS31">
            <v>2836</v>
          </cell>
          <cell r="HU31">
            <v>2836</v>
          </cell>
          <cell r="HV31" t="str">
            <v>Emissions amount</v>
          </cell>
          <cell r="HW31">
            <v>2836</v>
          </cell>
          <cell r="HX31" t="str">
            <v>tbc</v>
          </cell>
          <cell r="HY31">
            <v>2836</v>
          </cell>
          <cell r="HZ31" t="str">
            <v>Emissions amount</v>
          </cell>
          <cell r="IA31">
            <v>2788</v>
          </cell>
          <cell r="IB31" t="str">
            <v>Includes Singapore's INDC: 65Mt allowed emissions. 36% reduction in emissions intensity of GDP relative to 2005 by 2030.  GDP projections taken from IMF and OECD.  Singapore’s INDC includes a 2005 GHG baseline of 40.9Mt and intensity figure of 0.176. BAU for rest of the region</v>
          </cell>
          <cell r="IC31">
            <v>2788</v>
          </cell>
          <cell r="ID31" t="str">
            <v>Emissions amount</v>
          </cell>
          <cell r="IE31">
            <v>2788</v>
          </cell>
          <cell r="IF31" t="str">
            <v>Includes Singapore's INDC: 65Mt allowed emissions. 36% reduction in emissions intensity of GDP relative to 2005 by 2030.  GDP projections taken from IMF and OECD.  Singapore’s INDC includes a 2005 GHG baseline of 40.9Mt and intensity figure of 0.176. BAU for rest of the region</v>
          </cell>
          <cell r="IG31">
            <v>2788</v>
          </cell>
          <cell r="IH31" t="str">
            <v>Emissions amount</v>
          </cell>
          <cell r="II31">
            <v>2573</v>
          </cell>
          <cell r="IJ31" t="str">
            <v xml:space="preserve">Starting assumption for regional emissions: 15% on BAU. Portion of regional emissions are then replaced by submitted INDCs.
Includes Singapore's INDC: 68Mt allowed emissions. 36% reduction in emissions intensity of GDP relative to 2005 by 2030.  GDP projections taken from IMF and OECD.  Singapore’s INDC includes a 2005 GHG baseline of 40.9Mt and intensity figure of 0.176. </v>
          </cell>
          <cell r="IK31">
            <v>2573</v>
          </cell>
          <cell r="IL31" t="str">
            <v>Emissions amount</v>
          </cell>
          <cell r="IM31">
            <v>2791</v>
          </cell>
          <cell r="IN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IO31">
            <v>2791</v>
          </cell>
          <cell r="IP31" t="str">
            <v>Emissions amount</v>
          </cell>
          <cell r="IQ31">
            <v>2791</v>
          </cell>
          <cell r="IR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IS31">
            <v>2791</v>
          </cell>
          <cell r="IT31" t="str">
            <v>Emissions amount</v>
          </cell>
          <cell r="IU31">
            <v>2836</v>
          </cell>
          <cell r="IV31" t="str">
            <v>Starting assumption for regional emissions: 5% on BAU. Portion of regional emissions are then replaced by submitted INDCs.
Includes Singapore's INDC: 68Mt allowed emissions. 36% reduction in emissions intensity of GDP relative to 2005 by 2030.  GDP projections taken from IMF and OECD.  Singapore’s INDC includes a 2005 GHG baseline of 40.9Mt and intensity figure of 0.176. BAU for rest of the region</v>
          </cell>
          <cell r="IW31">
            <v>2836</v>
          </cell>
          <cell r="IX31" t="str">
            <v>Emissions amount</v>
          </cell>
          <cell r="IY31">
            <v>2573</v>
          </cell>
          <cell r="IZ31" t="str">
            <v xml:space="preserve">Starting assumption for regional emissions: 15% on BAU. Portion of regional emissions are then replaced by submitted INDCs.
Includes Singapore's INDC: 68Mt allowed emissions. 36% reduction in emissions intensity of GDP relative to 2005 by 2030.  GDP projections taken from IMF and OECD.  Singapore’s INDC includes a 2005 GHG baseline of 40.9Mt and intensity figure of 0.176. </v>
          </cell>
          <cell r="JA31">
            <v>2573</v>
          </cell>
          <cell r="JB31" t="str">
            <v>Emissions amount</v>
          </cell>
          <cell r="JC31">
            <v>2791</v>
          </cell>
          <cell r="JD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JE31">
            <v>2791</v>
          </cell>
          <cell r="JF31" t="str">
            <v>Emissions amount</v>
          </cell>
          <cell r="JG31">
            <v>2791</v>
          </cell>
          <cell r="JH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JI31">
            <v>2791</v>
          </cell>
          <cell r="JJ31" t="str">
            <v>Emissions amount</v>
          </cell>
          <cell r="JK31">
            <v>2791</v>
          </cell>
          <cell r="JL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JM31">
            <v>2791</v>
          </cell>
          <cell r="JN31" t="str">
            <v>Emissions amount</v>
          </cell>
          <cell r="JO31">
            <v>2836</v>
          </cell>
          <cell r="JP31" t="str">
            <v>Starting assumption for regional emissions: 5% on BAU. Portion of regional emissions are then replaced by submitted INDCs.
Includes Singapore's INDC: 68Mt allowed emissions. 36% reduction in emissions intensity of GDP relative to 2005 by 2030.  GDP projections taken from IMF and OECD.  Singapore’s INDC includes a 2005 GHG baseline of 40.9Mt and intensity figure of 0.176. BAU for rest of the region</v>
          </cell>
          <cell r="JQ31">
            <v>2836</v>
          </cell>
          <cell r="JR31" t="str">
            <v>Emissions amount</v>
          </cell>
          <cell r="JS31">
            <v>2573</v>
          </cell>
          <cell r="JT31" t="str">
            <v xml:space="preserve">Starting assumption for regional emissions: 15% on BAU. Portion of regional emissions are then replaced by submitted INDCs.
Includes Singapore's INDC: 68Mt allowed emissions. 36% reduction in emissions intensity of GDP relative to 2005 by 2030.  GDP projections taken from IMF and OECD.  Singapore’s INDC includes a 2005 GHG baseline of 40.9Mt and intensity figure of 0.176. </v>
          </cell>
          <cell r="JU31">
            <v>2573</v>
          </cell>
          <cell r="JV31" t="str">
            <v>Emissions amount</v>
          </cell>
          <cell r="JW31">
            <v>2791</v>
          </cell>
          <cell r="JX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JY31">
            <v>2791</v>
          </cell>
          <cell r="JZ31" t="str">
            <v>Emissions amount</v>
          </cell>
          <cell r="KA31">
            <v>2791</v>
          </cell>
          <cell r="KB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KC31">
            <v>2791</v>
          </cell>
          <cell r="KD31" t="str">
            <v>Emissions amount</v>
          </cell>
          <cell r="KE31">
            <v>2791</v>
          </cell>
          <cell r="KF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KG31">
            <v>2791</v>
          </cell>
          <cell r="KH31" t="str">
            <v>Emissions amount</v>
          </cell>
          <cell r="KI31">
            <v>2791</v>
          </cell>
          <cell r="KJ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KK31">
            <v>2791</v>
          </cell>
          <cell r="KL31" t="str">
            <v>Emissions amount</v>
          </cell>
          <cell r="KM31">
            <v>2791</v>
          </cell>
          <cell r="KN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KO31">
            <v>2791</v>
          </cell>
          <cell r="KP31" t="str">
            <v>Emissions amount</v>
          </cell>
          <cell r="KQ31">
            <v>2791</v>
          </cell>
          <cell r="KR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KS31">
            <v>2791</v>
          </cell>
          <cell r="KT31" t="str">
            <v>Emissions amount</v>
          </cell>
          <cell r="KU31">
            <v>2836</v>
          </cell>
          <cell r="KV31" t="str">
            <v>Starting assumption for regional emissions: 5% on BAU. Portion of regional emissions are then replaced by submitted INDCs.
Includes Singapore's INDC: 68Mt allowed emissions. 36% reduction in emissions intensity of GDP relative to 2005 by 2030.  GDP projections taken from IMF and OECD.  Singapore’s INDC includes a 2005 GHG baseline of 40.9Mt and intensity figure of 0.176. BAU for rest of the region</v>
          </cell>
          <cell r="KW31">
            <v>2836</v>
          </cell>
          <cell r="KX31" t="str">
            <v>Emissions amount</v>
          </cell>
          <cell r="KY31">
            <v>2573</v>
          </cell>
          <cell r="KZ31" t="str">
            <v xml:space="preserve">Starting assumption for regional emissions: 15% on BAU. Portion of regional emissions are then replaced by submitted INDCs.
Includes Singapore's INDC: 68Mt allowed emissions. 36% reduction in emissions intensity of GDP relative to 2005 by 2030.  GDP projections taken from IMF and OECD.  Singapore’s INDC includes a 2005 GHG baseline of 40.9Mt and intensity figure of 0.176. </v>
          </cell>
          <cell r="LA31">
            <v>2573</v>
          </cell>
          <cell r="LB31" t="str">
            <v>Emissions amount</v>
          </cell>
          <cell r="LC31">
            <v>2791</v>
          </cell>
          <cell r="LD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LE31">
            <v>2791</v>
          </cell>
          <cell r="LF31" t="str">
            <v>Emissions amount</v>
          </cell>
          <cell r="LG31">
            <v>2998</v>
          </cell>
          <cell r="LH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LI31">
            <v>2998</v>
          </cell>
          <cell r="LJ31" t="str">
            <v>Emissions amount</v>
          </cell>
          <cell r="LK31">
            <v>2998</v>
          </cell>
          <cell r="LL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LM31">
            <v>2998</v>
          </cell>
          <cell r="LN31" t="str">
            <v>Emissions amount</v>
          </cell>
          <cell r="LO31">
            <v>2909</v>
          </cell>
          <cell r="LP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LQ31">
            <v>2909</v>
          </cell>
          <cell r="LR31" t="str">
            <v>Emissions amount</v>
          </cell>
          <cell r="LS31">
            <v>2909</v>
          </cell>
          <cell r="LT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LU31">
            <v>2909</v>
          </cell>
          <cell r="LV31" t="str">
            <v>Emissions amount</v>
          </cell>
          <cell r="LW31">
            <v>2909</v>
          </cell>
          <cell r="LX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LY31">
            <v>2909</v>
          </cell>
          <cell r="LZ31" t="str">
            <v>Emissions amount</v>
          </cell>
          <cell r="MA31">
            <v>2909</v>
          </cell>
          <cell r="MB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MC31">
            <v>2909</v>
          </cell>
          <cell r="MD31" t="str">
            <v>Emissions amount</v>
          </cell>
          <cell r="ME31">
            <v>2909</v>
          </cell>
          <cell r="MF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MG31">
            <v>2909</v>
          </cell>
          <cell r="MH31" t="str">
            <v>Emissions amount</v>
          </cell>
          <cell r="MI31">
            <v>2431</v>
          </cell>
          <cell r="MJ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MK31">
            <v>2431</v>
          </cell>
          <cell r="ML31" t="str">
            <v>Emissions amount</v>
          </cell>
          <cell r="MM31">
            <v>2593</v>
          </cell>
          <cell r="MN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MO31">
            <v>2593</v>
          </cell>
          <cell r="MP31" t="str">
            <v>Emissions amount</v>
          </cell>
          <cell r="MQ31">
            <v>2593</v>
          </cell>
          <cell r="MR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MS31">
            <v>2593</v>
          </cell>
          <cell r="MT31" t="str">
            <v>Emissions amount</v>
          </cell>
          <cell r="MU31">
            <v>2431</v>
          </cell>
          <cell r="MV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MW31">
            <v>2431</v>
          </cell>
          <cell r="MX31" t="str">
            <v>Emissions amount</v>
          </cell>
          <cell r="MY31">
            <v>2909</v>
          </cell>
          <cell r="MZ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NA31">
            <v>2909</v>
          </cell>
          <cell r="NB31" t="str">
            <v>Emissions amount</v>
          </cell>
          <cell r="NC31">
            <v>2909</v>
          </cell>
          <cell r="ND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NE31">
            <v>2909</v>
          </cell>
          <cell r="NF31" t="str">
            <v>Emissions amount</v>
          </cell>
          <cell r="NG31">
            <v>2909</v>
          </cell>
          <cell r="NH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NI31">
            <v>2909</v>
          </cell>
          <cell r="NJ31" t="str">
            <v>Emissions amount</v>
          </cell>
          <cell r="NK31">
            <v>2593</v>
          </cell>
          <cell r="NL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NM31">
            <v>2593</v>
          </cell>
          <cell r="NN31" t="str">
            <v>Emissions amount</v>
          </cell>
          <cell r="NO31">
            <v>2593</v>
          </cell>
          <cell r="NP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NQ31">
            <v>2593</v>
          </cell>
          <cell r="NR31" t="str">
            <v>Emissions amount</v>
          </cell>
          <cell r="NS31">
            <v>2593</v>
          </cell>
          <cell r="NT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NU31">
            <v>2593</v>
          </cell>
          <cell r="NV31" t="str">
            <v>Emissions amount</v>
          </cell>
          <cell r="NW31">
            <v>2593</v>
          </cell>
          <cell r="NX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NY31">
            <v>2593</v>
          </cell>
          <cell r="NZ31" t="str">
            <v>Emissions amount</v>
          </cell>
          <cell r="OA31">
            <v>2593</v>
          </cell>
          <cell r="OB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OC31">
            <v>2593</v>
          </cell>
          <cell r="OD31" t="str">
            <v>Emissions amount</v>
          </cell>
          <cell r="OE31">
            <v>2431</v>
          </cell>
          <cell r="OF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OG31">
            <v>2431</v>
          </cell>
          <cell r="OH31" t="str">
            <v>Emissions amount</v>
          </cell>
          <cell r="OI31">
            <v>2593</v>
          </cell>
          <cell r="OJ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OK31">
            <v>2593</v>
          </cell>
          <cell r="OL31" t="str">
            <v>Emissions amount</v>
          </cell>
          <cell r="OM31">
            <v>2593</v>
          </cell>
          <cell r="ON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OO31">
            <v>2593</v>
          </cell>
          <cell r="OP31" t="str">
            <v>Emissions amount</v>
          </cell>
          <cell r="OQ31">
            <v>2593</v>
          </cell>
          <cell r="OR31" t="str">
            <v>Includes Singapore's INDC: 68Mt allowed emissions. 36% reduction in emissions intensity of GDP relative to 2005 by 2030.  GDP projections taken from IMF and OECD.  Singapore’s INDC includes a 2005 GHG baseline of 40.9Mt and intensity figure of 0.176. BAU for rest of the region</v>
          </cell>
          <cell r="OS31">
            <v>2593</v>
          </cell>
          <cell r="OT31" t="str">
            <v>Emissions amount</v>
          </cell>
          <cell r="OU31">
            <v>2593</v>
          </cell>
          <cell r="OW31">
            <v>2593</v>
          </cell>
          <cell r="OX31" t="str">
            <v>Emissions amount</v>
          </cell>
          <cell r="OY31">
            <v>2593</v>
          </cell>
          <cell r="PA31">
            <v>2593</v>
          </cell>
          <cell r="PB31" t="str">
            <v>Emissions amount</v>
          </cell>
          <cell r="PC31">
            <v>2593</v>
          </cell>
          <cell r="PE31">
            <v>2593</v>
          </cell>
          <cell r="PF31" t="str">
            <v>Emissions amount</v>
          </cell>
          <cell r="PG31">
            <v>2593</v>
          </cell>
          <cell r="PI31">
            <v>2593</v>
          </cell>
          <cell r="PJ31" t="str">
            <v>Emissions amount</v>
          </cell>
          <cell r="PK31">
            <v>2432</v>
          </cell>
          <cell r="PM31">
            <v>2432</v>
          </cell>
          <cell r="PN31" t="str">
            <v>Emissions amount</v>
          </cell>
          <cell r="PO31">
            <v>2859</v>
          </cell>
          <cell r="PQ31">
            <v>2859</v>
          </cell>
          <cell r="PR31" t="str">
            <v>Emissions amount</v>
          </cell>
          <cell r="PS31">
            <v>2859</v>
          </cell>
          <cell r="PU31">
            <v>2859</v>
          </cell>
          <cell r="PV31" t="str">
            <v>Emissions amount</v>
          </cell>
          <cell r="PW31">
            <v>2859</v>
          </cell>
          <cell r="PY31">
            <v>2859</v>
          </cell>
          <cell r="PZ31" t="str">
            <v>Emissions amount</v>
          </cell>
          <cell r="QA31">
            <v>2859</v>
          </cell>
          <cell r="QC31">
            <v>2859</v>
          </cell>
          <cell r="QD31" t="str">
            <v>Emissions amount</v>
          </cell>
          <cell r="QE31">
            <v>2698</v>
          </cell>
          <cell r="QG31">
            <v>2698</v>
          </cell>
          <cell r="QH31" t="str">
            <v>Emissions amount</v>
          </cell>
          <cell r="QI31">
            <v>2859</v>
          </cell>
          <cell r="QK31">
            <v>2859</v>
          </cell>
          <cell r="QL31" t="str">
            <v>Emissions amount</v>
          </cell>
          <cell r="QM31">
            <v>2859</v>
          </cell>
          <cell r="QO31">
            <v>2859</v>
          </cell>
          <cell r="QP31" t="str">
            <v>Abatement amount</v>
          </cell>
          <cell r="QQ31">
            <v>0</v>
          </cell>
          <cell r="QR31" t="str">
            <v>BAU is binding</v>
          </cell>
          <cell r="QS31">
            <v>2836.2327914072607</v>
          </cell>
          <cell r="QT31" t="str">
            <v>Abatement amount</v>
          </cell>
          <cell r="QU31">
            <v>0</v>
          </cell>
          <cell r="QV31" t="str">
            <v>BAU is binding</v>
          </cell>
          <cell r="QW31">
            <v>2836.2327914072607</v>
          </cell>
          <cell r="QX31" t="str">
            <v>Emissions amount</v>
          </cell>
          <cell r="QY31">
            <v>2698</v>
          </cell>
          <cell r="RA31">
            <v>2698</v>
          </cell>
          <cell r="RB31" t="str">
            <v>Emissions amount</v>
          </cell>
          <cell r="RC31">
            <v>2859</v>
          </cell>
          <cell r="RE31">
            <v>2859</v>
          </cell>
          <cell r="RF31" t="str">
            <v>Emissions amount</v>
          </cell>
          <cell r="RG31">
            <v>2859</v>
          </cell>
          <cell r="RI31">
            <v>2859</v>
          </cell>
          <cell r="RJ31" t="str">
            <v>Emissions amount</v>
          </cell>
          <cell r="RK31">
            <v>2859</v>
          </cell>
          <cell r="RM31">
            <v>2859</v>
          </cell>
          <cell r="RN31" t="str">
            <v>Emissions amount</v>
          </cell>
          <cell r="RO31">
            <v>2859</v>
          </cell>
          <cell r="RQ31">
            <v>2859</v>
          </cell>
          <cell r="RR31" t="str">
            <v>Emissions amount</v>
          </cell>
          <cell r="RS31">
            <v>2698</v>
          </cell>
          <cell r="RU31">
            <v>2698</v>
          </cell>
        </row>
        <row r="32">
          <cell r="A32" t="str">
            <v>Rest of Sub Saharan Africa</v>
          </cell>
          <cell r="B32" t="str">
            <v>Abatement amount</v>
          </cell>
          <cell r="C32">
            <v>614.18799224053123</v>
          </cell>
          <cell r="D32">
            <v>0</v>
          </cell>
          <cell r="E32">
            <v>1790.0938407226015</v>
          </cell>
          <cell r="F32" t="str">
            <v>Abatement amount</v>
          </cell>
          <cell r="G32">
            <v>356.60621809177155</v>
          </cell>
          <cell r="I32">
            <v>2047.6756148713612</v>
          </cell>
          <cell r="J32" t="str">
            <v>Abatement amount</v>
          </cell>
          <cell r="K32">
            <v>0</v>
          </cell>
          <cell r="M32">
            <v>2404.2818329631327</v>
          </cell>
          <cell r="N32" t="str">
            <v>Abatement amount</v>
          </cell>
          <cell r="O32">
            <v>0</v>
          </cell>
          <cell r="Q32">
            <v>2404.2818329631327</v>
          </cell>
          <cell r="R32" t="str">
            <v>Abatement amount</v>
          </cell>
          <cell r="S32">
            <v>240.42817687988281</v>
          </cell>
          <cell r="U32">
            <v>2163.8536560832499</v>
          </cell>
          <cell r="V32" t="str">
            <v>Abatement amount</v>
          </cell>
          <cell r="W32">
            <v>240.42817687988281</v>
          </cell>
          <cell r="Y32">
            <v>2163.8536560832499</v>
          </cell>
          <cell r="Z32" t="str">
            <v>Abatement amount</v>
          </cell>
          <cell r="AA32">
            <v>614.18804931640625</v>
          </cell>
          <cell r="AC32">
            <v>1790.0937836467265</v>
          </cell>
          <cell r="AD32" t="str">
            <v>Abatement amount</v>
          </cell>
          <cell r="AE32">
            <v>342.19573974609375</v>
          </cell>
          <cell r="AG32">
            <v>2062.086093217039</v>
          </cell>
          <cell r="AH32" t="str">
            <v>Abatement amount</v>
          </cell>
          <cell r="AI32">
            <v>0</v>
          </cell>
          <cell r="AK32">
            <v>2404.2818329631327</v>
          </cell>
          <cell r="AL32" t="str">
            <v>Abatement amount</v>
          </cell>
          <cell r="AM32">
            <v>0</v>
          </cell>
          <cell r="AO32">
            <v>2404.2818329631327</v>
          </cell>
          <cell r="AP32" t="str">
            <v>Abatement amount</v>
          </cell>
          <cell r="AQ32">
            <v>240.42817687988281</v>
          </cell>
          <cell r="AS32">
            <v>2163.8536560832499</v>
          </cell>
          <cell r="AT32" t="str">
            <v>Abatement amount</v>
          </cell>
          <cell r="AU32">
            <v>240.42817687988281</v>
          </cell>
          <cell r="AW32">
            <v>2163.8536560832499</v>
          </cell>
          <cell r="AX32" t="str">
            <v>Emissions amount</v>
          </cell>
          <cell r="AY32">
            <v>2404.2818329631327</v>
          </cell>
          <cell r="BA32">
            <v>2404.2818329631327</v>
          </cell>
          <cell r="BB32" t="str">
            <v>Emissions amount</v>
          </cell>
          <cell r="BC32">
            <v>2404.2818329631327</v>
          </cell>
          <cell r="BE32">
            <v>2404.2818329631327</v>
          </cell>
          <cell r="BF32" t="str">
            <v>Emissions amount</v>
          </cell>
          <cell r="BG32">
            <v>2404.2818329631327</v>
          </cell>
          <cell r="BI32">
            <v>2404.2818329631327</v>
          </cell>
          <cell r="BJ32" t="str">
            <v>Emissions amount</v>
          </cell>
          <cell r="BK32">
            <v>2404.2818329631327</v>
          </cell>
          <cell r="BM32">
            <v>2404.2818329631327</v>
          </cell>
          <cell r="BN32" t="str">
            <v>Emissions amount</v>
          </cell>
          <cell r="BO32">
            <v>2404.2818329631327</v>
          </cell>
          <cell r="BQ32">
            <v>2404.2818329631327</v>
          </cell>
          <cell r="BR32" t="str">
            <v>Emissions amount</v>
          </cell>
          <cell r="BS32">
            <v>2404.2818329631327</v>
          </cell>
          <cell r="BU32">
            <v>2404.2818329631327</v>
          </cell>
          <cell r="BV32" t="str">
            <v>Emissions amount</v>
          </cell>
          <cell r="BW32">
            <v>2163.8536560832499</v>
          </cell>
          <cell r="BY32">
            <v>2163.8536560832499</v>
          </cell>
          <cell r="BZ32" t="str">
            <v>Emissions amount</v>
          </cell>
          <cell r="CA32">
            <v>2404.2818329631327</v>
          </cell>
          <cell r="CC32">
            <v>2404.2818329631327</v>
          </cell>
          <cell r="CD32" t="str">
            <v>Emissions amount</v>
          </cell>
          <cell r="CE32">
            <v>2404.2818329631327</v>
          </cell>
          <cell r="CG32">
            <v>2404.2818329631327</v>
          </cell>
          <cell r="CH32" t="str">
            <v>Abatement amount</v>
          </cell>
          <cell r="CI32">
            <v>0</v>
          </cell>
          <cell r="CK32">
            <v>2404.2818329631327</v>
          </cell>
          <cell r="CL32" t="str">
            <v>Abatement amount</v>
          </cell>
          <cell r="CM32">
            <v>240.42817687988281</v>
          </cell>
          <cell r="CO32">
            <v>2163.8536560832499</v>
          </cell>
          <cell r="CP32" t="str">
            <v>Abatement amount</v>
          </cell>
          <cell r="CQ32">
            <v>240.42817687988281</v>
          </cell>
          <cell r="CS32">
            <v>2163.8536560832499</v>
          </cell>
          <cell r="CT32" t="str">
            <v>Abatement amount</v>
          </cell>
          <cell r="CU32">
            <v>0</v>
          </cell>
          <cell r="CW32">
            <v>2404.2818329631327</v>
          </cell>
          <cell r="CX32" t="str">
            <v>Abatement amount</v>
          </cell>
          <cell r="CY32">
            <v>240.42817687988281</v>
          </cell>
          <cell r="DA32">
            <v>2163.8536560832499</v>
          </cell>
          <cell r="DB32" t="str">
            <v>Abatement amount</v>
          </cell>
          <cell r="DC32">
            <v>240.42817687988281</v>
          </cell>
          <cell r="DE32">
            <v>2163.8536560832499</v>
          </cell>
          <cell r="DF32" t="str">
            <v>Abatement amount</v>
          </cell>
          <cell r="DG32">
            <v>0</v>
          </cell>
          <cell r="DI32">
            <v>2404.2818329631327</v>
          </cell>
          <cell r="DJ32" t="str">
            <v>Emissions amount</v>
          </cell>
          <cell r="DK32">
            <v>2404.2818329631327</v>
          </cell>
          <cell r="DM32">
            <v>2404.2818329631327</v>
          </cell>
          <cell r="DN32" t="str">
            <v>Emissions amount</v>
          </cell>
          <cell r="DO32">
            <v>2404.2818329631327</v>
          </cell>
          <cell r="DQ32">
            <v>2404.2818329631327</v>
          </cell>
          <cell r="DR32" t="str">
            <v>Emissions amount</v>
          </cell>
          <cell r="DS32">
            <v>2407</v>
          </cell>
          <cell r="DU32">
            <v>2407</v>
          </cell>
          <cell r="DV32" t="str">
            <v>Emissions amount</v>
          </cell>
          <cell r="DW32">
            <v>2407</v>
          </cell>
          <cell r="DY32">
            <v>2407</v>
          </cell>
          <cell r="DZ32" t="str">
            <v>Emissions amount</v>
          </cell>
          <cell r="EA32">
            <v>2407</v>
          </cell>
          <cell r="EC32">
            <v>2407</v>
          </cell>
          <cell r="ED32" t="str">
            <v>Emissions amount</v>
          </cell>
          <cell r="EE32">
            <v>2167</v>
          </cell>
          <cell r="EG32">
            <v>2167</v>
          </cell>
          <cell r="EH32" t="str">
            <v>Abatement amount</v>
          </cell>
          <cell r="EI32">
            <v>0</v>
          </cell>
          <cell r="EK32">
            <v>3339.2422156176503</v>
          </cell>
          <cell r="EL32" t="str">
            <v>Emissions amount</v>
          </cell>
          <cell r="EM32">
            <v>3340</v>
          </cell>
          <cell r="EO32">
            <v>3340</v>
          </cell>
          <cell r="EP32" t="str">
            <v>Emissions amount</v>
          </cell>
          <cell r="EQ32">
            <v>3340</v>
          </cell>
          <cell r="ES32">
            <v>3340</v>
          </cell>
          <cell r="ET32" t="str">
            <v>Abatement amount</v>
          </cell>
          <cell r="EU32">
            <v>609.2052936829873</v>
          </cell>
          <cell r="EW32">
            <v>2730.036921934663</v>
          </cell>
          <cell r="EX32" t="str">
            <v>Abatement amount</v>
          </cell>
          <cell r="EY32">
            <v>535.20251713877394</v>
          </cell>
          <cell r="FA32">
            <v>2804.0396984788763</v>
          </cell>
          <cell r="FB32" t="str">
            <v>Abatement amount</v>
          </cell>
          <cell r="FC32">
            <v>387.65853140757162</v>
          </cell>
          <cell r="FE32">
            <v>2951.5836842100789</v>
          </cell>
          <cell r="FF32" t="str">
            <v>Emissions amount</v>
          </cell>
          <cell r="FG32">
            <v>2407</v>
          </cell>
          <cell r="FI32">
            <v>2407</v>
          </cell>
          <cell r="FJ32" t="str">
            <v>Emissions amount</v>
          </cell>
          <cell r="FK32">
            <v>2167</v>
          </cell>
          <cell r="FM32">
            <v>2167</v>
          </cell>
          <cell r="FN32" t="str">
            <v>Emissions amount</v>
          </cell>
          <cell r="FO32">
            <v>3313</v>
          </cell>
          <cell r="FQ32">
            <v>3313</v>
          </cell>
          <cell r="FR32" t="str">
            <v>Emissions amount</v>
          </cell>
          <cell r="FS32">
            <v>3313</v>
          </cell>
          <cell r="FU32">
            <v>3313</v>
          </cell>
          <cell r="FV32" t="str">
            <v>Abatement amount</v>
          </cell>
          <cell r="FW32">
            <v>0</v>
          </cell>
          <cell r="FY32">
            <v>3339.2422156176503</v>
          </cell>
          <cell r="FZ32" t="str">
            <v>Abatement amount</v>
          </cell>
          <cell r="GA32">
            <v>333.92422485351563</v>
          </cell>
          <cell r="GC32">
            <v>3005.3179907641347</v>
          </cell>
          <cell r="GD32" t="str">
            <v>Abatement amount</v>
          </cell>
          <cell r="GE32">
            <v>333.92422485351563</v>
          </cell>
          <cell r="GG32">
            <v>3005.3179907641347</v>
          </cell>
          <cell r="GH32" t="str">
            <v>Abatement amount</v>
          </cell>
          <cell r="GI32">
            <v>376.84423828125</v>
          </cell>
          <cell r="GK32">
            <v>2962.3979773364003</v>
          </cell>
          <cell r="GL32" t="str">
            <v>Abatement amount</v>
          </cell>
          <cell r="GM32">
            <v>639.54013480461936</v>
          </cell>
          <cell r="GO32">
            <v>2699.702080813031</v>
          </cell>
          <cell r="GP32" t="str">
            <v>Abatement amount</v>
          </cell>
          <cell r="GQ32">
            <v>402.067392357882</v>
          </cell>
          <cell r="GS32">
            <v>2937.1748232597683</v>
          </cell>
          <cell r="GT32" t="str">
            <v>Abatement amount</v>
          </cell>
          <cell r="GU32">
            <v>561.86206308106057</v>
          </cell>
          <cell r="GW32">
            <v>2777.3801525365898</v>
          </cell>
          <cell r="GX32" t="str">
            <v>Emissions amount</v>
          </cell>
          <cell r="GY32">
            <v>3313</v>
          </cell>
          <cell r="HA32">
            <v>3313</v>
          </cell>
          <cell r="HB32" t="str">
            <v>Emissions amount</v>
          </cell>
          <cell r="HC32">
            <v>3313</v>
          </cell>
          <cell r="HE32">
            <v>3313</v>
          </cell>
          <cell r="HF32" t="str">
            <v>Emissions amount</v>
          </cell>
          <cell r="HG32">
            <v>3313</v>
          </cell>
          <cell r="HI32">
            <v>3313</v>
          </cell>
          <cell r="HJ32" t="str">
            <v>Emissions amount</v>
          </cell>
          <cell r="HK32">
            <v>3313</v>
          </cell>
          <cell r="HM32">
            <v>3313</v>
          </cell>
          <cell r="HN32" t="str">
            <v>Emissions amount</v>
          </cell>
          <cell r="HO32">
            <v>2997</v>
          </cell>
          <cell r="HQ32">
            <v>2997</v>
          </cell>
          <cell r="HR32" t="str">
            <v>Emissions amount</v>
          </cell>
          <cell r="HS32">
            <v>3313</v>
          </cell>
          <cell r="HU32">
            <v>3313</v>
          </cell>
          <cell r="HV32" t="str">
            <v>Emissions amount</v>
          </cell>
          <cell r="HW32">
            <v>3313</v>
          </cell>
          <cell r="HX32" t="str">
            <v>tbc</v>
          </cell>
          <cell r="HY32">
            <v>3313</v>
          </cell>
          <cell r="HZ32" t="str">
            <v>Emissions amount</v>
          </cell>
          <cell r="IA32">
            <v>3314</v>
          </cell>
          <cell r="IB32" t="str">
            <v>Ethiopia: 64% reduction on 2030 BAU. Allowed emissions of 145Mt is included in the INDC document. Gabon: 8Mt by 2030, 63% reduction on 2025 BAU. Assume same level by 2030 . BAU for rest of the region</v>
          </cell>
          <cell r="IC32">
            <v>3314</v>
          </cell>
          <cell r="ID32" t="str">
            <v>Emissions amount</v>
          </cell>
          <cell r="IE32">
            <v>3314</v>
          </cell>
          <cell r="IF32" t="str">
            <v>Ethiopia: 64% reduction on 2030 BAU. Allowed emissions of 145Mt is included in the INDC document. Gabon: 8Mt by 2030, 63% reduction on 2025 BAU. Assume same level by 2030 . BAU for rest of the region</v>
          </cell>
          <cell r="IG32">
            <v>3314</v>
          </cell>
          <cell r="IH32" t="str">
            <v>Emissions amount</v>
          </cell>
          <cell r="II32">
            <v>3028</v>
          </cell>
          <cell r="IJ32" t="str">
            <v xml:space="preserve">Starting assumption for regional emissions: 10% on BAU. Portion of regional emissions are then replaced by submitted INDCs.
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60% reduction on BAU conditional (2.685Mt).  </v>
          </cell>
          <cell r="IK32">
            <v>3028</v>
          </cell>
          <cell r="IL32" t="str">
            <v>Emissions amount</v>
          </cell>
          <cell r="IM32">
            <v>3305</v>
          </cell>
          <cell r="IN32" t="str">
            <v>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BAU for others</v>
          </cell>
          <cell r="IO32">
            <v>3305</v>
          </cell>
          <cell r="IP32" t="str">
            <v>Emissions amount</v>
          </cell>
          <cell r="IQ32">
            <v>3304</v>
          </cell>
          <cell r="IR32" t="str">
            <v>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60% reduction on BAU conditional (2.685Mt).  BAU for others</v>
          </cell>
          <cell r="IS32">
            <v>3304</v>
          </cell>
          <cell r="IT32" t="str">
            <v>Emissions amount</v>
          </cell>
          <cell r="IU32">
            <v>3257</v>
          </cell>
          <cell r="IV32" t="str">
            <v>Starting assumption for regional emissions: 0% on BAU. Portion of regional emissions are then replaced by submitted INDCs.
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  Unconditional 28% on BAU
BAU for others</v>
          </cell>
          <cell r="IW32">
            <v>3257</v>
          </cell>
          <cell r="IX32" t="str">
            <v>Emissions amount</v>
          </cell>
          <cell r="IY32">
            <v>2985</v>
          </cell>
          <cell r="IZ32" t="str">
            <v>Starting assumption for regional emissions: 10% on BAU. Portion of regional emissions are then replaced by submitted INDCs.
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60% reduction on BAU conditional (2.685Mt).  
Cote d'ivoire: 36% on BAU gives 22Mt.</v>
          </cell>
          <cell r="JA32">
            <v>2985</v>
          </cell>
          <cell r="JB32" t="str">
            <v>Emissions amount</v>
          </cell>
          <cell r="JC32">
            <v>3240</v>
          </cell>
          <cell r="JD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BAU for others</v>
          </cell>
          <cell r="JE32">
            <v>3240</v>
          </cell>
          <cell r="JF32" t="str">
            <v>Emissions amount</v>
          </cell>
          <cell r="JG32">
            <v>3258</v>
          </cell>
          <cell r="JH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BAU for others</v>
          </cell>
          <cell r="JI32">
            <v>3258</v>
          </cell>
          <cell r="JJ32" t="str">
            <v>Emissions amount</v>
          </cell>
          <cell r="JK32">
            <v>3258</v>
          </cell>
          <cell r="JL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BAU for others</v>
          </cell>
          <cell r="JM32">
            <v>3258</v>
          </cell>
          <cell r="JN32" t="str">
            <v>Emissions amount</v>
          </cell>
          <cell r="JO32">
            <v>3213</v>
          </cell>
          <cell r="JP32" t="str">
            <v>Starting assumption for regional emissions: 0% on BAU. Portion of regional emissions are then replaced by submitted INDCs.
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BAU for others</v>
          </cell>
          <cell r="JQ32">
            <v>3213</v>
          </cell>
          <cell r="JR32" t="str">
            <v>Emissions amount</v>
          </cell>
          <cell r="JS32">
            <v>2930</v>
          </cell>
          <cell r="JT32" t="str">
            <v>Starting assumption for regional emissions: 10% on BAU. Portion of regional emissions are then replaced by submitted INDCs.
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60% reduction on BAU conditional (2.685Mt).  
Cote d'ivoire: 36% on BAU gives 22Mt.
Ghana: 2030 BAU is 73.95Mt. Unconditoinal reduction 45% on BAU by 2030
Mauritania: 2030 BAU: 18.84Mt.  Total abatement is 4.2Mt, 88% of which is conditional. This gives 15.1Mt of conditional target emissions 
Kenya: Conditional target only,  20% reduction on 2010.  WRI 2010 emissions: 25.6Mt
BAU for others</v>
          </cell>
          <cell r="JU32">
            <v>2930</v>
          </cell>
          <cell r="JV32" t="str">
            <v>Emissions amount</v>
          </cell>
          <cell r="JW32">
            <v>3213</v>
          </cell>
          <cell r="JX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BAU for others.</v>
          </cell>
          <cell r="JY32">
            <v>3213</v>
          </cell>
          <cell r="JZ32" t="str">
            <v>Emissions amount</v>
          </cell>
          <cell r="KA32">
            <v>3184</v>
          </cell>
          <cell r="KB32" t="str">
            <v>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60% reduction on BAU conditional (2.685Mt).  
Cote d'ivoire: 36% on BAU gives 22Mt.
Ghana: 2030 BAU is 73.95Mt. Unconditoinal reduction 45% on BAU by 2030
Mauritania: 2030 BAU: 18.84Mt.  Total abatement is 4.2Mt, 88% of which is conditional. This gives 15.1Mt of conditional target emissions 
Kenya: Conditional target only,  20% reduction on 2010.  WRI 2010 emissions: 25.6Mt
BAU for others</v>
          </cell>
          <cell r="KC32">
            <v>3184</v>
          </cell>
          <cell r="KD32" t="str">
            <v>Emissions amount</v>
          </cell>
          <cell r="KE32">
            <v>3292</v>
          </cell>
          <cell r="KF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KG32">
            <v>3292</v>
          </cell>
          <cell r="KH32" t="str">
            <v>Emissions amount</v>
          </cell>
          <cell r="KI32">
            <v>3292</v>
          </cell>
          <cell r="KJ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KK32">
            <v>3292</v>
          </cell>
          <cell r="KL32" t="str">
            <v>Emissions amount</v>
          </cell>
          <cell r="KM32">
            <v>3292</v>
          </cell>
          <cell r="KN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KO32">
            <v>3292</v>
          </cell>
          <cell r="KP32" t="str">
            <v>Emissions amount</v>
          </cell>
          <cell r="KQ32">
            <v>3184</v>
          </cell>
          <cell r="KR32" t="str">
            <v>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60% reduction on BAU conditional (2.685Mt).  
Cote d'ivoire: 36% on BAU gives 22Mt.
Ghana: 2030 BAU is 73.95Mt. Unconditoinal reduction 45% on BAU by 2030
Mauritania: 2030 BAU: 18.84Mt.  Total abatement is 4.2Mt, 88% of which is conditional. This gives 15.1Mt of conditional target emissions 
Kenya: Conditional target only,  20% reduction on 2010.  WRI 2010 emissions: 25.6Mt
BAU for others</v>
          </cell>
          <cell r="KS32">
            <v>3184</v>
          </cell>
          <cell r="KT32" t="str">
            <v>Emissions amount</v>
          </cell>
          <cell r="KU32">
            <v>3213</v>
          </cell>
          <cell r="KV32" t="str">
            <v>Starting assumption for regional emissions: 0% on BAU. Portion of regional emissions are then replaced by submitted INDCs.
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BAU for others</v>
          </cell>
          <cell r="KW32">
            <v>3213</v>
          </cell>
          <cell r="KX32" t="str">
            <v>Emissions amount</v>
          </cell>
          <cell r="KY32">
            <v>2930</v>
          </cell>
          <cell r="KZ32" t="str">
            <v>Starting assumption for regional emissions: 10% on BAU. Portion of regional emissions are then replaced by submitted INDCs.
Ethiopia: 64% reduction on 2030 BAU. Allowed emissions of 145Mt is included in the INDC document. 
Gabon: 8Mt by 2030, 63% reduction on 2025 BAU. Assume same level by 2030 . BAU for rest of the region.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60% reduction on BAU conditional (2.685Mt).  
Cote d'ivoire: 36% on BAU gives 22Mt.
Ghana: 2030 BAU is 73.95Mt. Unconditoinal reduction 45% on BAU by 2030
Mauritania: 2030 BAU: 18.84Mt.  Total abatement is 4.2Mt, 88% of which is conditional. This gives 15.1Mt of conditional target emissions 
Kenya: Conditional target only,  20% reduction on 2010.  WRI 2010 emissions: 25.6Mt
BAU for others</v>
          </cell>
          <cell r="LA32">
            <v>2930</v>
          </cell>
          <cell r="LB32" t="str">
            <v>Emissions amount</v>
          </cell>
          <cell r="LC32">
            <v>3213</v>
          </cell>
          <cell r="LD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BAU for others.</v>
          </cell>
          <cell r="LE32">
            <v>3213</v>
          </cell>
          <cell r="LF32" t="str">
            <v>Emissions amount</v>
          </cell>
          <cell r="LG32">
            <v>3071</v>
          </cell>
          <cell r="LH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LI32">
            <v>3071</v>
          </cell>
          <cell r="LJ32" t="str">
            <v>Emissions amount</v>
          </cell>
          <cell r="LK32">
            <v>3099</v>
          </cell>
          <cell r="LL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LM32">
            <v>3099</v>
          </cell>
          <cell r="LN32" t="str">
            <v>Emissions amount</v>
          </cell>
          <cell r="LO32">
            <v>3099</v>
          </cell>
          <cell r="LP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LQ32">
            <v>3099</v>
          </cell>
          <cell r="LR32" t="str">
            <v>Emissions amount</v>
          </cell>
          <cell r="LS32">
            <v>3150</v>
          </cell>
          <cell r="LT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LU32">
            <v>3150</v>
          </cell>
          <cell r="LV32" t="str">
            <v>Emissions amount</v>
          </cell>
          <cell r="LW32">
            <v>3150</v>
          </cell>
          <cell r="LX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LY32">
            <v>3150</v>
          </cell>
          <cell r="LZ32" t="str">
            <v>Emissions amount</v>
          </cell>
          <cell r="MA32">
            <v>3142</v>
          </cell>
          <cell r="MB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MC32">
            <v>3142</v>
          </cell>
          <cell r="MD32" t="str">
            <v>Emissions amount</v>
          </cell>
          <cell r="ME32">
            <v>3142</v>
          </cell>
          <cell r="MF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MG32">
            <v>3142</v>
          </cell>
          <cell r="MH32" t="str">
            <v>Emissions amount</v>
          </cell>
          <cell r="MI32">
            <v>2509</v>
          </cell>
          <cell r="MJ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MK32">
            <v>2509</v>
          </cell>
          <cell r="ML32" t="str">
            <v>Emissions amount</v>
          </cell>
          <cell r="MM32">
            <v>2713</v>
          </cell>
          <cell r="MN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MO32">
            <v>2713</v>
          </cell>
          <cell r="MP32" t="str">
            <v>Emissions amount</v>
          </cell>
          <cell r="MQ32">
            <v>2685</v>
          </cell>
          <cell r="MR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MS32">
            <v>2685</v>
          </cell>
          <cell r="MT32" t="str">
            <v>Emissions amount</v>
          </cell>
          <cell r="MU32">
            <v>2509</v>
          </cell>
          <cell r="MV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MW32">
            <v>2509</v>
          </cell>
          <cell r="MX32" t="str">
            <v>Emissions amount</v>
          </cell>
          <cell r="MY32">
            <v>3142</v>
          </cell>
          <cell r="MZ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NA32">
            <v>3142</v>
          </cell>
          <cell r="NB32" t="str">
            <v>Emissions amount</v>
          </cell>
          <cell r="NC32">
            <v>3142</v>
          </cell>
          <cell r="ND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NE32">
            <v>3142</v>
          </cell>
          <cell r="NF32" t="str">
            <v>Emissions amount</v>
          </cell>
          <cell r="NG32">
            <v>3142</v>
          </cell>
          <cell r="NH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NI32">
            <v>3142</v>
          </cell>
          <cell r="NJ32" t="str">
            <v>Emissions amount</v>
          </cell>
          <cell r="NK32">
            <v>2713</v>
          </cell>
          <cell r="NL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NM32">
            <v>2713</v>
          </cell>
          <cell r="NN32" t="str">
            <v>Emissions amount</v>
          </cell>
          <cell r="NO32">
            <v>2713</v>
          </cell>
          <cell r="NP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NQ32">
            <v>2713</v>
          </cell>
          <cell r="NR32" t="str">
            <v>Emissions amount</v>
          </cell>
          <cell r="NS32">
            <v>2685</v>
          </cell>
          <cell r="NT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NU32">
            <v>2685</v>
          </cell>
          <cell r="NV32" t="str">
            <v>Emissions amount</v>
          </cell>
          <cell r="NW32">
            <v>2713</v>
          </cell>
          <cell r="NX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NY32">
            <v>2713</v>
          </cell>
          <cell r="NZ32" t="str">
            <v>Emissions amount</v>
          </cell>
          <cell r="OA32">
            <v>2685</v>
          </cell>
          <cell r="OB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OC32">
            <v>2685</v>
          </cell>
          <cell r="OD32" t="str">
            <v>Emissions amount</v>
          </cell>
          <cell r="OE32">
            <v>2509</v>
          </cell>
          <cell r="OF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OG32">
            <v>2509</v>
          </cell>
          <cell r="OH32" t="str">
            <v>Emissions amount</v>
          </cell>
          <cell r="OI32">
            <v>2713</v>
          </cell>
          <cell r="OJ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OK32">
            <v>2713</v>
          </cell>
          <cell r="OL32" t="str">
            <v>Emissions amount</v>
          </cell>
          <cell r="OM32">
            <v>2685</v>
          </cell>
          <cell r="ON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OO32">
            <v>2685</v>
          </cell>
          <cell r="OP32" t="str">
            <v>Emissions amount</v>
          </cell>
          <cell r="OQ32">
            <v>2713</v>
          </cell>
          <cell r="OR32" t="str">
            <v>Ethiopia: 64% reduction on 2030 BAU. Allowed emissions of 145Mt is included in the INDC document.
Gabon: 8Mt by 2030, 63% reduction on 2025 BAU. Assume same level by 2030 .   
Benin: Cumulative reduction of expected emissions of 120 Mt CO2 E (Figures 2 and 3 in the INDC document) during the period 2020-2030 compared to the BAU scenario. 2030 target emissions read off from chart (5Mt from figure 2+ 27Mt from figure 3)  
DRC Congo: 17% reduction on BAU for the three sectors covered. This gives 357Mt (excluding waste emissions) of target emissions  
Dejibi : 35% reduction on BAU unconditoinal (1.79Mt). 
Cote d'ivoire: Unconditional 28% reduction on BAU by 2030
Ghana: 2030 BAU is 73.95Mt. Unconditoinal reduction 15% on BAU by 2030
Mauritania: 2030 BAU: 18.84Mt.  Total abatement is 4.2Mt, 12% of which is unconditional. This gives 18.3Mt of unconditional target emissions 
Kenya: 2030 BAU is 143Mt. 30% reduction on BAU by 2030
BAU for others</v>
          </cell>
          <cell r="OS32">
            <v>2713</v>
          </cell>
          <cell r="OT32" t="str">
            <v>Emissions amount</v>
          </cell>
          <cell r="OU32">
            <v>2684</v>
          </cell>
          <cell r="OW32">
            <v>2684</v>
          </cell>
          <cell r="OX32" t="str">
            <v>Emissions amount</v>
          </cell>
          <cell r="OY32">
            <v>2692</v>
          </cell>
          <cell r="PA32">
            <v>2692</v>
          </cell>
          <cell r="PB32" t="str">
            <v>Emissions amount</v>
          </cell>
          <cell r="PC32">
            <v>2692</v>
          </cell>
          <cell r="PE32">
            <v>2692</v>
          </cell>
          <cell r="PF32" t="str">
            <v>Emissions amount</v>
          </cell>
          <cell r="PG32">
            <v>2684</v>
          </cell>
          <cell r="PI32">
            <v>2684</v>
          </cell>
          <cell r="PJ32" t="str">
            <v>Emissions amount</v>
          </cell>
          <cell r="PK32">
            <v>2506</v>
          </cell>
          <cell r="PM32">
            <v>2506</v>
          </cell>
          <cell r="PN32" t="str">
            <v>Emissions amount</v>
          </cell>
          <cell r="PO32">
            <v>2692</v>
          </cell>
          <cell r="PQ32">
            <v>2692</v>
          </cell>
          <cell r="PR32" t="str">
            <v>Emissions amount</v>
          </cell>
          <cell r="PS32">
            <v>2684</v>
          </cell>
          <cell r="PU32">
            <v>2684</v>
          </cell>
          <cell r="PV32" t="str">
            <v>Emissions amount</v>
          </cell>
          <cell r="PW32">
            <v>2692</v>
          </cell>
          <cell r="PY32">
            <v>2692</v>
          </cell>
          <cell r="PZ32" t="str">
            <v>Emissions amount</v>
          </cell>
          <cell r="QA32">
            <v>2684</v>
          </cell>
          <cell r="QC32">
            <v>2684</v>
          </cell>
          <cell r="QD32" t="str">
            <v>Emissions amount</v>
          </cell>
          <cell r="QE32">
            <v>2506</v>
          </cell>
          <cell r="QG32">
            <v>2506</v>
          </cell>
          <cell r="QH32" t="str">
            <v>Emissions amount</v>
          </cell>
          <cell r="QI32">
            <v>2684</v>
          </cell>
          <cell r="QK32">
            <v>2684</v>
          </cell>
          <cell r="QL32" t="str">
            <v>Emissions amount</v>
          </cell>
          <cell r="QM32">
            <v>2684</v>
          </cell>
          <cell r="QO32">
            <v>2684</v>
          </cell>
          <cell r="QP32" t="str">
            <v>Emissions amount</v>
          </cell>
          <cell r="QQ32">
            <v>2692</v>
          </cell>
          <cell r="QS32">
            <v>2692</v>
          </cell>
          <cell r="QT32" t="str">
            <v>Emissions amount</v>
          </cell>
          <cell r="QU32">
            <v>2684</v>
          </cell>
          <cell r="QW32">
            <v>2684</v>
          </cell>
          <cell r="QX32" t="str">
            <v>Emissions amount</v>
          </cell>
          <cell r="QY32">
            <v>2506</v>
          </cell>
          <cell r="RA32">
            <v>2506</v>
          </cell>
          <cell r="RB32" t="str">
            <v>Emissions amount</v>
          </cell>
          <cell r="RC32">
            <v>2692</v>
          </cell>
          <cell r="RE32">
            <v>2692</v>
          </cell>
          <cell r="RF32" t="str">
            <v>Emissions amount</v>
          </cell>
          <cell r="RG32">
            <v>2684</v>
          </cell>
          <cell r="RI32">
            <v>2684</v>
          </cell>
          <cell r="RJ32" t="str">
            <v>Emissions amount</v>
          </cell>
          <cell r="RK32">
            <v>2692</v>
          </cell>
          <cell r="RM32">
            <v>2692</v>
          </cell>
          <cell r="RN32" t="str">
            <v>Emissions amount</v>
          </cell>
          <cell r="RO32">
            <v>2684</v>
          </cell>
          <cell r="RQ32">
            <v>2684</v>
          </cell>
          <cell r="RR32" t="str">
            <v>Emissions amount</v>
          </cell>
          <cell r="RS32">
            <v>2506</v>
          </cell>
          <cell r="RU32">
            <v>2506</v>
          </cell>
        </row>
        <row r="33">
          <cell r="A33" t="str">
            <v>Russia</v>
          </cell>
          <cell r="B33" t="str">
            <v>Abatement amount</v>
          </cell>
          <cell r="C33">
            <v>1146.0209743334542</v>
          </cell>
          <cell r="D33">
            <v>0</v>
          </cell>
          <cell r="E33">
            <v>1568.6457969423111</v>
          </cell>
          <cell r="F33" t="str">
            <v>Abatement amount</v>
          </cell>
          <cell r="G33">
            <v>619.35389604155125</v>
          </cell>
          <cell r="I33">
            <v>2095.3128752342141</v>
          </cell>
          <cell r="J33" t="str">
            <v>Abatement amount</v>
          </cell>
          <cell r="K33">
            <v>0</v>
          </cell>
          <cell r="M33">
            <v>2714.6667712757653</v>
          </cell>
          <cell r="N33" t="str">
            <v>Abatement amount</v>
          </cell>
          <cell r="O33">
            <v>0</v>
          </cell>
          <cell r="Q33">
            <v>2714.6667712757653</v>
          </cell>
          <cell r="R33" t="str">
            <v>Abatement amount</v>
          </cell>
          <cell r="S33">
            <v>114.75144958496094</v>
          </cell>
          <cell r="U33">
            <v>2599.9153216908044</v>
          </cell>
          <cell r="V33" t="str">
            <v>Abatement amount</v>
          </cell>
          <cell r="W33">
            <v>879.43243408203125</v>
          </cell>
          <cell r="Y33">
            <v>1835.2343371937341</v>
          </cell>
          <cell r="Z33" t="str">
            <v>Abatement amount</v>
          </cell>
          <cell r="AA33">
            <v>892.196044921875</v>
          </cell>
          <cell r="AC33">
            <v>1822.4707263538903</v>
          </cell>
          <cell r="AD33" t="str">
            <v>Abatement amount</v>
          </cell>
          <cell r="AE33">
            <v>594.32574462890625</v>
          </cell>
          <cell r="AG33">
            <v>2120.3410266468591</v>
          </cell>
          <cell r="AH33" t="str">
            <v>Abatement amount</v>
          </cell>
          <cell r="AI33">
            <v>0</v>
          </cell>
          <cell r="AK33">
            <v>2714.6667712757653</v>
          </cell>
          <cell r="AL33" t="str">
            <v>Abatement amount</v>
          </cell>
          <cell r="AM33">
            <v>0</v>
          </cell>
          <cell r="AO33">
            <v>2714.6667712757653</v>
          </cell>
          <cell r="AP33" t="str">
            <v>Abatement amount</v>
          </cell>
          <cell r="AQ33">
            <v>114.75144958496094</v>
          </cell>
          <cell r="AS33">
            <v>2599.9153216908044</v>
          </cell>
          <cell r="AT33" t="str">
            <v>Abatement amount</v>
          </cell>
          <cell r="AU33">
            <v>879.43243408203125</v>
          </cell>
          <cell r="AW33">
            <v>1835.2343371937341</v>
          </cell>
          <cell r="AX33" t="str">
            <v>Emissions amount</v>
          </cell>
          <cell r="AY33">
            <v>2714.6667712757653</v>
          </cell>
          <cell r="BA33">
            <v>2714.6667712757653</v>
          </cell>
          <cell r="BB33" t="str">
            <v>Emissions amount</v>
          </cell>
          <cell r="BC33">
            <v>2714.6667712757653</v>
          </cell>
          <cell r="BE33">
            <v>2714.6667712757653</v>
          </cell>
          <cell r="BF33" t="str">
            <v>Emissions amount</v>
          </cell>
          <cell r="BG33">
            <v>2714.6667712757653</v>
          </cell>
          <cell r="BI33">
            <v>2714.6667712757653</v>
          </cell>
          <cell r="BJ33" t="str">
            <v>Emissions amount</v>
          </cell>
          <cell r="BK33">
            <v>2406</v>
          </cell>
          <cell r="BM33">
            <v>2406</v>
          </cell>
          <cell r="BN33" t="str">
            <v>Emissions amount</v>
          </cell>
          <cell r="BO33">
            <v>2577</v>
          </cell>
          <cell r="BQ33">
            <v>2577</v>
          </cell>
          <cell r="BR33" t="str">
            <v>Emissions amount</v>
          </cell>
          <cell r="BS33">
            <v>2580</v>
          </cell>
          <cell r="BU33">
            <v>2580</v>
          </cell>
          <cell r="BV33" t="str">
            <v>Emissions amount</v>
          </cell>
          <cell r="BW33">
            <v>2406</v>
          </cell>
          <cell r="BY33">
            <v>2406</v>
          </cell>
          <cell r="BZ33" t="str">
            <v>Emissions amount</v>
          </cell>
          <cell r="CA33">
            <v>2714.6667712757653</v>
          </cell>
          <cell r="CC33">
            <v>2714.6667712757653</v>
          </cell>
          <cell r="CD33" t="str">
            <v>Emissions amount</v>
          </cell>
          <cell r="CE33">
            <v>2714.6667712757653</v>
          </cell>
          <cell r="CG33">
            <v>2714.6667712757653</v>
          </cell>
          <cell r="CH33" t="str">
            <v>Abatement amount</v>
          </cell>
          <cell r="CI33">
            <v>0</v>
          </cell>
          <cell r="CK33">
            <v>2714.6667712757653</v>
          </cell>
          <cell r="CL33" t="str">
            <v>Abatement amount</v>
          </cell>
          <cell r="CM33">
            <v>114.75144958496094</v>
          </cell>
          <cell r="CO33">
            <v>2599.9153216908044</v>
          </cell>
          <cell r="CP33" t="str">
            <v>Abatement amount</v>
          </cell>
          <cell r="CQ33">
            <v>114.75144958496094</v>
          </cell>
          <cell r="CS33">
            <v>2599.9153216908044</v>
          </cell>
          <cell r="CT33" t="str">
            <v>Abatement amount</v>
          </cell>
          <cell r="CU33">
            <v>0</v>
          </cell>
          <cell r="CW33">
            <v>2714.6667712757653</v>
          </cell>
          <cell r="CX33" t="str">
            <v>Abatement amount</v>
          </cell>
          <cell r="CY33">
            <v>114.75144958496094</v>
          </cell>
          <cell r="DA33">
            <v>2599.9153216908044</v>
          </cell>
          <cell r="DB33" t="str">
            <v>Abatement amount</v>
          </cell>
          <cell r="DC33">
            <v>114.75144958496094</v>
          </cell>
          <cell r="DE33">
            <v>2599.9153216908044</v>
          </cell>
          <cell r="DF33" t="str">
            <v>Abatement amount</v>
          </cell>
          <cell r="DG33">
            <v>0</v>
          </cell>
          <cell r="DI33">
            <v>2714.6667712757653</v>
          </cell>
          <cell r="DJ33" t="str">
            <v>Emissions amount</v>
          </cell>
          <cell r="DK33">
            <v>2577</v>
          </cell>
          <cell r="DM33">
            <v>2577</v>
          </cell>
          <cell r="DN33" t="str">
            <v>Emissions amount</v>
          </cell>
          <cell r="DO33">
            <v>2406</v>
          </cell>
          <cell r="DQ33">
            <v>2406</v>
          </cell>
          <cell r="DR33" t="str">
            <v>Emissions amount</v>
          </cell>
          <cell r="DS33">
            <v>2577</v>
          </cell>
          <cell r="DU33">
            <v>2577</v>
          </cell>
          <cell r="DV33" t="str">
            <v>Emissions amount</v>
          </cell>
          <cell r="DW33">
            <v>2406</v>
          </cell>
          <cell r="DY33">
            <v>2406</v>
          </cell>
          <cell r="DZ33" t="str">
            <v>Emissions amount</v>
          </cell>
          <cell r="EA33">
            <v>2577</v>
          </cell>
          <cell r="EC33">
            <v>2577</v>
          </cell>
          <cell r="ED33" t="str">
            <v>Emissions amount</v>
          </cell>
          <cell r="EE33">
            <v>2406</v>
          </cell>
          <cell r="EG33">
            <v>2406</v>
          </cell>
          <cell r="EH33" t="str">
            <v>Abatement amount</v>
          </cell>
          <cell r="EI33">
            <v>0</v>
          </cell>
          <cell r="EK33">
            <v>2642.8037115231605</v>
          </cell>
          <cell r="EL33" t="str">
            <v>Emissions amount</v>
          </cell>
          <cell r="EM33">
            <v>2577</v>
          </cell>
          <cell r="EO33">
            <v>2577</v>
          </cell>
          <cell r="EP33" t="str">
            <v>Emissions amount</v>
          </cell>
          <cell r="EQ33">
            <v>2406</v>
          </cell>
          <cell r="ES33">
            <v>2406</v>
          </cell>
          <cell r="ET33" t="str">
            <v>Abatement amount</v>
          </cell>
          <cell r="EU33">
            <v>1010.8850523983974</v>
          </cell>
          <cell r="EW33">
            <v>1631.9186591247631</v>
          </cell>
          <cell r="EX33" t="str">
            <v>Abatement amount</v>
          </cell>
          <cell r="EY33">
            <v>822.4093428221471</v>
          </cell>
          <cell r="FA33">
            <v>1820.3943687010133</v>
          </cell>
          <cell r="FB33" t="str">
            <v>Abatement amount</v>
          </cell>
          <cell r="FC33">
            <v>602.82101337393533</v>
          </cell>
          <cell r="FE33">
            <v>2039.9826981492251</v>
          </cell>
          <cell r="FF33" t="str">
            <v>Abatement amount</v>
          </cell>
          <cell r="FG33">
            <v>65.8037109375</v>
          </cell>
          <cell r="FI33">
            <v>2577.0000005856605</v>
          </cell>
          <cell r="FJ33" t="str">
            <v>Abatement amount</v>
          </cell>
          <cell r="FK33">
            <v>236.8037109375</v>
          </cell>
          <cell r="FM33">
            <v>2406.0000005856605</v>
          </cell>
          <cell r="FN33" t="str">
            <v>Emissions amount</v>
          </cell>
          <cell r="FO33">
            <v>2577</v>
          </cell>
          <cell r="FQ33">
            <v>2577</v>
          </cell>
          <cell r="FR33" t="str">
            <v>Emissions amount</v>
          </cell>
          <cell r="FS33">
            <v>2406</v>
          </cell>
          <cell r="FU33">
            <v>2406</v>
          </cell>
          <cell r="FV33" t="str">
            <v>Abatement amount</v>
          </cell>
          <cell r="FW33">
            <v>65.8037109375</v>
          </cell>
          <cell r="FY33">
            <v>2577.0000005856605</v>
          </cell>
          <cell r="FZ33" t="str">
            <v>Abatement amount</v>
          </cell>
          <cell r="GA33">
            <v>236.8037109375</v>
          </cell>
          <cell r="GC33">
            <v>2406.0000005856605</v>
          </cell>
          <cell r="GD33" t="str">
            <v>Abatement amount</v>
          </cell>
          <cell r="GE33">
            <v>408.8037109375</v>
          </cell>
          <cell r="GG33">
            <v>2234.0000005856605</v>
          </cell>
          <cell r="GH33" t="str">
            <v>Abatement amount</v>
          </cell>
          <cell r="GI33">
            <v>580.92864990234375</v>
          </cell>
          <cell r="GK33">
            <v>2061.8750616208167</v>
          </cell>
          <cell r="GL33" t="str">
            <v>Abatement amount</v>
          </cell>
          <cell r="GM33">
            <v>1061.2211833787285</v>
          </cell>
          <cell r="GO33">
            <v>1581.582528144432</v>
          </cell>
          <cell r="GP33" t="str">
            <v>Abatement amount</v>
          </cell>
          <cell r="GQ33">
            <v>625.22723806887984</v>
          </cell>
          <cell r="GS33">
            <v>2017.5764734542806</v>
          </cell>
          <cell r="GT33" t="str">
            <v>Abatement amount</v>
          </cell>
          <cell r="GU33">
            <v>863.37525564248585</v>
          </cell>
          <cell r="GW33">
            <v>1779.4284558806746</v>
          </cell>
          <cell r="GX33" t="str">
            <v>Emissions amount</v>
          </cell>
          <cell r="GY33">
            <v>2577</v>
          </cell>
          <cell r="HA33">
            <v>2577</v>
          </cell>
          <cell r="HB33" t="str">
            <v>Emissions amount</v>
          </cell>
          <cell r="HC33">
            <v>2406</v>
          </cell>
          <cell r="HE33">
            <v>2406</v>
          </cell>
          <cell r="HF33" t="str">
            <v>Emissions amount</v>
          </cell>
          <cell r="HG33">
            <v>2577</v>
          </cell>
          <cell r="HI33">
            <v>2577</v>
          </cell>
          <cell r="HJ33" t="str">
            <v>Emissions amount</v>
          </cell>
          <cell r="HK33">
            <v>2406</v>
          </cell>
          <cell r="HM33">
            <v>2406</v>
          </cell>
          <cell r="HN33" t="str">
            <v>Abatement amount</v>
          </cell>
          <cell r="HO33">
            <v>236.8037109375</v>
          </cell>
          <cell r="HQ33">
            <v>2406.0000005856605</v>
          </cell>
          <cell r="HR33" t="str">
            <v>Abatement amount</v>
          </cell>
          <cell r="HS33">
            <v>65.8037109375</v>
          </cell>
          <cell r="HU33">
            <v>2577.0000005856605</v>
          </cell>
          <cell r="HV33" t="str">
            <v>Abatement amount</v>
          </cell>
          <cell r="HW33">
            <v>65.8037109375</v>
          </cell>
          <cell r="HX33" t="str">
            <v xml:space="preserve">-25% on 1990 incl. LULUCF </v>
          </cell>
          <cell r="HY33">
            <v>2577.0000005856605</v>
          </cell>
          <cell r="HZ33" t="str">
            <v>Emissions amount</v>
          </cell>
          <cell r="IA33">
            <v>2577</v>
          </cell>
          <cell r="IB33" t="str">
            <v>25-30% reduction on 1990 baseline incl. LULUCF (UNFCCC).</v>
          </cell>
          <cell r="IC33">
            <v>2577</v>
          </cell>
          <cell r="ID33" t="str">
            <v>Emissions amount</v>
          </cell>
          <cell r="IE33">
            <v>2406</v>
          </cell>
          <cell r="IF33" t="str">
            <v>30% reduction on 1990 baseline incl. LULUCF (UNFCCC).</v>
          </cell>
          <cell r="IG33">
            <v>2406</v>
          </cell>
          <cell r="IH33" t="str">
            <v>Abatement amount</v>
          </cell>
          <cell r="II33">
            <v>236.8037109375</v>
          </cell>
          <cell r="IJ33" t="str">
            <v>30% reduction on 1990 baseline incl. LULUCF (UNFCCC).</v>
          </cell>
          <cell r="IK33">
            <v>2406.0000005856605</v>
          </cell>
          <cell r="IL33" t="str">
            <v>Emissions amount</v>
          </cell>
          <cell r="IM33">
            <v>2577</v>
          </cell>
          <cell r="IN33" t="str">
            <v>25-30% reduction on 1990 baseline incl. LULUCF (UNFCCC).</v>
          </cell>
          <cell r="IO33">
            <v>2577</v>
          </cell>
          <cell r="IP33" t="str">
            <v>Emissions amount</v>
          </cell>
          <cell r="IQ33">
            <v>2406</v>
          </cell>
          <cell r="IR33" t="str">
            <v>30% reduction on 1990 baseline incl. LULUCF (UNFCCC).</v>
          </cell>
          <cell r="IS33">
            <v>2406</v>
          </cell>
          <cell r="IT33" t="str">
            <v>Abatement amount</v>
          </cell>
          <cell r="IU33">
            <v>65.8037109375</v>
          </cell>
          <cell r="IV33" t="str">
            <v>25-30% reduction on 1990 baseline incl. LULUCF (UNFCCC).</v>
          </cell>
          <cell r="IW33">
            <v>2577.0000005856605</v>
          </cell>
          <cell r="IX33" t="str">
            <v>Abatement amount</v>
          </cell>
          <cell r="IY33">
            <v>236.8037109375</v>
          </cell>
          <cell r="IZ33" t="str">
            <v>30% reduction on 1990 baseline incl. LULUCF (UNFCCC).</v>
          </cell>
          <cell r="JA33">
            <v>2406.0000005856605</v>
          </cell>
          <cell r="JB33" t="str">
            <v>Emissions amount</v>
          </cell>
          <cell r="JC33">
            <v>2577</v>
          </cell>
          <cell r="JD33" t="str">
            <v>25-30% reduction on 1990 baseline incl. LULUCF (UNFCCC).</v>
          </cell>
          <cell r="JE33">
            <v>2577</v>
          </cell>
          <cell r="JF33" t="str">
            <v>Emissions amount</v>
          </cell>
          <cell r="JG33">
            <v>2406</v>
          </cell>
          <cell r="JH33" t="str">
            <v>30% reduction on 1990 baseline incl. LULUCF (UNFCCC).</v>
          </cell>
          <cell r="JI33">
            <v>2406</v>
          </cell>
          <cell r="JJ33" t="str">
            <v>Emissions amount</v>
          </cell>
          <cell r="JK33">
            <v>2406</v>
          </cell>
          <cell r="JL33" t="str">
            <v>30% reduction on 1990 baseline incl. LULUCF (UNFCCC).</v>
          </cell>
          <cell r="JM33">
            <v>2406</v>
          </cell>
          <cell r="JN33" t="str">
            <v>Abatement amount</v>
          </cell>
          <cell r="JO33">
            <v>65.8037109375</v>
          </cell>
          <cell r="JP33" t="str">
            <v>25-30% reduction on 1990 baseline incl. LULUCF (UNFCCC).</v>
          </cell>
          <cell r="JQ33">
            <v>2577.0000005856605</v>
          </cell>
          <cell r="JR33" t="str">
            <v>Abatement amount</v>
          </cell>
          <cell r="JS33">
            <v>236.8037109375</v>
          </cell>
          <cell r="JT33" t="str">
            <v>30% reduction on 1990 baseline incl. LULUCF (UNFCCC).</v>
          </cell>
          <cell r="JU33">
            <v>2406.0000005856605</v>
          </cell>
          <cell r="JV33" t="str">
            <v>Emissions amount</v>
          </cell>
          <cell r="JW33">
            <v>2577</v>
          </cell>
          <cell r="JX33" t="str">
            <v>25 reduction on 1990 baseline incl. LULUCF (UNFCCC).</v>
          </cell>
          <cell r="JY33">
            <v>2577</v>
          </cell>
          <cell r="JZ33" t="str">
            <v>Emissions amount</v>
          </cell>
          <cell r="KA33">
            <v>2406</v>
          </cell>
          <cell r="KB33" t="str">
            <v>30% reduction on 1990 baseline incl. LULUCF (UNFCCC).</v>
          </cell>
          <cell r="KC33">
            <v>2406</v>
          </cell>
          <cell r="KD33" t="str">
            <v>Emissions amount</v>
          </cell>
          <cell r="KE33">
            <v>2577</v>
          </cell>
          <cell r="KF33" t="str">
            <v>25-30% reduction on 1990 baseline incl. LULUCF (UNFCCC).</v>
          </cell>
          <cell r="KG33">
            <v>2577</v>
          </cell>
          <cell r="KH33" t="str">
            <v>Emissions amount</v>
          </cell>
          <cell r="KI33">
            <v>2406</v>
          </cell>
          <cell r="KJ33" t="str">
            <v>30% reduction on 1990 baseline incl. LULUCF (UNFCCC).</v>
          </cell>
          <cell r="KK33">
            <v>2406</v>
          </cell>
          <cell r="KL33" t="str">
            <v>Emissions amount</v>
          </cell>
          <cell r="KM33">
            <v>2406</v>
          </cell>
          <cell r="KN33" t="str">
            <v>30% reduction on 1990 baseline incl. LULUCF (UNFCCC).</v>
          </cell>
          <cell r="KO33">
            <v>2406</v>
          </cell>
          <cell r="KP33" t="str">
            <v>Emissions amount</v>
          </cell>
          <cell r="KQ33">
            <v>2406</v>
          </cell>
          <cell r="KR33" t="str">
            <v>30% reduction on 1990 baseline incl. LULUCF (UNFCCC).</v>
          </cell>
          <cell r="KS33">
            <v>2406</v>
          </cell>
          <cell r="KT33" t="str">
            <v>Abatement amount</v>
          </cell>
          <cell r="KU33">
            <v>65.8037109375</v>
          </cell>
          <cell r="KV33" t="str">
            <v>25-30% reduction on 1990 baseline incl. LULUCF (UNFCCC).</v>
          </cell>
          <cell r="KW33">
            <v>2577.0000005856605</v>
          </cell>
          <cell r="KX33" t="str">
            <v>Abatement amount</v>
          </cell>
          <cell r="KY33">
            <v>236.8037109375</v>
          </cell>
          <cell r="KZ33" t="str">
            <v>30% reduction on 1990 baseline incl. LULUCF (UNFCCC).</v>
          </cell>
          <cell r="LA33">
            <v>2406.0000005856605</v>
          </cell>
          <cell r="LB33" t="str">
            <v>Emissions amount</v>
          </cell>
          <cell r="LC33">
            <v>2577</v>
          </cell>
          <cell r="LD33" t="str">
            <v>25 reduction on 1990 baseline incl. LULUCF (UNFCCC).</v>
          </cell>
          <cell r="LE33">
            <v>2577</v>
          </cell>
          <cell r="LF33" t="str">
            <v>Emissions amount</v>
          </cell>
          <cell r="LG33">
            <v>2577</v>
          </cell>
          <cell r="LH33" t="str">
            <v>25-30% reduction on 1990 baseline incl. LULUCF (UNFCCC).</v>
          </cell>
          <cell r="LI33">
            <v>2577</v>
          </cell>
          <cell r="LJ33" t="str">
            <v>Emissions amount</v>
          </cell>
          <cell r="LK33">
            <v>2577</v>
          </cell>
          <cell r="LL33" t="str">
            <v>25-30% reduction on 1990 baseline incl. LULUCF (UNFCCC).</v>
          </cell>
          <cell r="LM33">
            <v>2577</v>
          </cell>
          <cell r="LN33" t="str">
            <v>Emissions amount</v>
          </cell>
          <cell r="LO33">
            <v>2577</v>
          </cell>
          <cell r="LP33" t="str">
            <v>25-30% reduction on 1990 baseline incl. LULUCF (UNFCCC).</v>
          </cell>
          <cell r="LQ33">
            <v>2577</v>
          </cell>
          <cell r="LR33" t="str">
            <v>Emissions amount</v>
          </cell>
          <cell r="LS33">
            <v>2406</v>
          </cell>
          <cell r="LT33" t="str">
            <v>30% reduction on 1990 baseline incl. LULUCF (UNFCCC).</v>
          </cell>
          <cell r="LU33">
            <v>2406</v>
          </cell>
          <cell r="LV33" t="str">
            <v>Emissions amount</v>
          </cell>
          <cell r="LW33">
            <v>2406</v>
          </cell>
          <cell r="LX33" t="str">
            <v>30% reduction on 1990 baseline incl. LULUCF (UNFCCC).</v>
          </cell>
          <cell r="LY33">
            <v>2406</v>
          </cell>
          <cell r="LZ33" t="str">
            <v>Emissions amount</v>
          </cell>
          <cell r="MA33">
            <v>2577</v>
          </cell>
          <cell r="MB33" t="str">
            <v>25-30% reduction on 1990 baseline incl. LULUCF (UNFCCC).</v>
          </cell>
          <cell r="MC33">
            <v>2577</v>
          </cell>
          <cell r="MD33" t="str">
            <v>Emissions amount</v>
          </cell>
          <cell r="ME33">
            <v>2406</v>
          </cell>
          <cell r="MF33" t="str">
            <v>30% reduction on 1990 baseline incl. LULUCF (UNFCCC).</v>
          </cell>
          <cell r="MG33">
            <v>2406</v>
          </cell>
          <cell r="MH33" t="str">
            <v>Emissions amount</v>
          </cell>
          <cell r="MI33">
            <v>2406</v>
          </cell>
          <cell r="MJ33" t="str">
            <v>30% reduction on 1990 baseline incl. LULUCF (UNFCCC).</v>
          </cell>
          <cell r="MK33">
            <v>2406</v>
          </cell>
          <cell r="ML33" t="str">
            <v>Emissions amount</v>
          </cell>
          <cell r="MM33">
            <v>2577</v>
          </cell>
          <cell r="MN33" t="str">
            <v>25-30% reduction on 1990 baseline incl. LULUCF (UNFCCC).</v>
          </cell>
          <cell r="MO33">
            <v>2577</v>
          </cell>
          <cell r="MP33" t="str">
            <v>Emissions amount</v>
          </cell>
          <cell r="MQ33">
            <v>2406</v>
          </cell>
          <cell r="MR33" t="str">
            <v>30% reduction on 1990 baseline incl. LULUCF (UNFCCC).</v>
          </cell>
          <cell r="MS33">
            <v>2406</v>
          </cell>
          <cell r="MT33" t="str">
            <v>Emissions amount</v>
          </cell>
          <cell r="MU33">
            <v>2406</v>
          </cell>
          <cell r="MV33" t="str">
            <v>30% reduction on 1990 baseline incl. LULUCF (UNFCCC).</v>
          </cell>
          <cell r="MW33">
            <v>2406</v>
          </cell>
          <cell r="MX33" t="str">
            <v>Emissions amount</v>
          </cell>
          <cell r="MY33">
            <v>2577</v>
          </cell>
          <cell r="MZ33" t="str">
            <v>25-30% reduction on 1990 baseline incl. LULUCF (UNFCCC).</v>
          </cell>
          <cell r="NA33">
            <v>2577</v>
          </cell>
          <cell r="NB33" t="str">
            <v>Emissions amount</v>
          </cell>
          <cell r="NC33">
            <v>2406</v>
          </cell>
          <cell r="ND33" t="str">
            <v>30% reduction on 1990 baseline incl. LULUCF (UNFCCC).</v>
          </cell>
          <cell r="NE33">
            <v>2406</v>
          </cell>
          <cell r="NF33" t="str">
            <v>Emissions amount</v>
          </cell>
          <cell r="NG33">
            <v>2577</v>
          </cell>
          <cell r="NH33" t="str">
            <v>25-30% reduction on 1990 baseline incl. LULUCF (UNFCCC).</v>
          </cell>
          <cell r="NI33">
            <v>2577</v>
          </cell>
          <cell r="NJ33" t="str">
            <v>Emissions amount</v>
          </cell>
          <cell r="NK33">
            <v>2577</v>
          </cell>
          <cell r="NL33" t="str">
            <v>25-30% reduction on 1990 baseline incl. LULUCF (UNFCCC).</v>
          </cell>
          <cell r="NM33">
            <v>2577</v>
          </cell>
          <cell r="NN33" t="str">
            <v>Emissions amount</v>
          </cell>
          <cell r="NO33">
            <v>2577</v>
          </cell>
          <cell r="NP33" t="str">
            <v>25-30% reduction on 1990 baseline incl. LULUCF (UNFCCC) at 3436Mt.</v>
          </cell>
          <cell r="NQ33">
            <v>2577</v>
          </cell>
          <cell r="NR33" t="str">
            <v>Emissions amount</v>
          </cell>
          <cell r="NS33">
            <v>2406</v>
          </cell>
          <cell r="NT33" t="str">
            <v>30% reduction on 1990 baseline incl. LULUCF (UNFCCC, 3436Mt).</v>
          </cell>
          <cell r="NU33">
            <v>2406</v>
          </cell>
          <cell r="NV33" t="str">
            <v>Emissions amount</v>
          </cell>
          <cell r="NW33">
            <v>2577</v>
          </cell>
          <cell r="NX33" t="str">
            <v>25-30% reduction on 1990 baseline incl. LULUCF (UNFCCC) at 3436Mt.</v>
          </cell>
          <cell r="NY33">
            <v>2577</v>
          </cell>
          <cell r="NZ33" t="str">
            <v>Emissions amount</v>
          </cell>
          <cell r="OA33">
            <v>2406</v>
          </cell>
          <cell r="OB33" t="str">
            <v>30% reduction on 1990 baseline incl. LULUCF (UNFCCC, 3436Mt).</v>
          </cell>
          <cell r="OC33">
            <v>2406</v>
          </cell>
          <cell r="OD33" t="str">
            <v>Emissions amount</v>
          </cell>
          <cell r="OE33">
            <v>2406</v>
          </cell>
          <cell r="OF33" t="str">
            <v>30% reduction on 1990 baseline incl. LULUCF (UNFCCC at 3436Mt).</v>
          </cell>
          <cell r="OG33">
            <v>2406</v>
          </cell>
          <cell r="OH33" t="str">
            <v>Emissions amount</v>
          </cell>
          <cell r="OI33">
            <v>2577</v>
          </cell>
          <cell r="OJ33" t="str">
            <v>25-30% reduction on 1990 baseline incl. LULUCF (UNFCCC) at 3436Mt.</v>
          </cell>
          <cell r="OK33">
            <v>2577</v>
          </cell>
          <cell r="OL33" t="str">
            <v>Emissions amount</v>
          </cell>
          <cell r="OM33">
            <v>2406</v>
          </cell>
          <cell r="ON33" t="str">
            <v>30% reduction on 1990 baseline incl. LULUCF (UNFCCC, 3436Mt).</v>
          </cell>
          <cell r="OO33">
            <v>2406</v>
          </cell>
          <cell r="OP33" t="str">
            <v>Emissions amount</v>
          </cell>
          <cell r="OQ33">
            <v>2577</v>
          </cell>
          <cell r="OR33" t="str">
            <v>25-30% reduction on 1990 baseline incl. LULUCF (UNFCCC) at 3436Mt.</v>
          </cell>
          <cell r="OS33">
            <v>2577</v>
          </cell>
          <cell r="OT33" t="str">
            <v>Emissions amount</v>
          </cell>
          <cell r="OU33">
            <v>2406</v>
          </cell>
          <cell r="OV33" t="str">
            <v>30% reduction on 1990 baseline incl. LULUCF (UNFCCC, 3436Mt).</v>
          </cell>
          <cell r="OW33">
            <v>2406</v>
          </cell>
          <cell r="OX33" t="str">
            <v>Emissions amount</v>
          </cell>
          <cell r="OY33">
            <v>2577</v>
          </cell>
          <cell r="OZ33" t="str">
            <v>25% reduction on 1990 baseline incl. LULUCF (UNFCCC) at 3436Mt.</v>
          </cell>
          <cell r="PA33">
            <v>2577</v>
          </cell>
          <cell r="PB33" t="str">
            <v>Emissions amount</v>
          </cell>
          <cell r="PC33">
            <v>2577</v>
          </cell>
          <cell r="PD33" t="str">
            <v>25% reduction on 1990 baseline incl. LULUCF (UNFCCC) at 3436Mt.</v>
          </cell>
          <cell r="PE33">
            <v>2577</v>
          </cell>
          <cell r="PF33" t="str">
            <v>Emissions amount</v>
          </cell>
          <cell r="PG33">
            <v>2406</v>
          </cell>
          <cell r="PH33" t="str">
            <v>30% reduction on 1990 baseline incl. LULUCF (UNFCCC, 3436Mt).</v>
          </cell>
          <cell r="PI33">
            <v>2406</v>
          </cell>
          <cell r="PJ33" t="str">
            <v>Emissions amount</v>
          </cell>
          <cell r="PK33">
            <v>2406</v>
          </cell>
          <cell r="PL33" t="str">
            <v>30% reduction on 1990 baseline incl. LULUCF (UNFCCC at 3436Mt).</v>
          </cell>
          <cell r="PM33">
            <v>2406</v>
          </cell>
          <cell r="PN33" t="str">
            <v>Emissions amount</v>
          </cell>
          <cell r="PO33">
            <v>2577</v>
          </cell>
          <cell r="PP33" t="str">
            <v>25% reduction on 1990 baseline incl. LULUCF (UNFCCC) at 3436Mt.</v>
          </cell>
          <cell r="PQ33">
            <v>2577</v>
          </cell>
          <cell r="PR33" t="str">
            <v>Emissions amount</v>
          </cell>
          <cell r="PS33">
            <v>2406</v>
          </cell>
          <cell r="PT33" t="str">
            <v>30% reduction on 1990 baseline incl. LULUCF (UNFCCC, 3436Mt).</v>
          </cell>
          <cell r="PU33">
            <v>2406</v>
          </cell>
          <cell r="PV33" t="str">
            <v>Emissions amount</v>
          </cell>
          <cell r="PW33">
            <v>2577</v>
          </cell>
          <cell r="PX33" t="str">
            <v>25% reduction on 1990 baseline incl. LULUCF (UNFCCC) at 3436Mt.</v>
          </cell>
          <cell r="PY33">
            <v>2577</v>
          </cell>
          <cell r="PZ33" t="str">
            <v>Emissions amount</v>
          </cell>
          <cell r="QA33">
            <v>2406</v>
          </cell>
          <cell r="QB33" t="str">
            <v>30% reduction on 1990 baseline incl. LULUCF (UNFCCC, 3436Mt).</v>
          </cell>
          <cell r="QC33">
            <v>2406</v>
          </cell>
          <cell r="QD33" t="str">
            <v>Emissions amount</v>
          </cell>
          <cell r="QE33">
            <v>2406</v>
          </cell>
          <cell r="QF33" t="str">
            <v>30% reduction on 1990 baseline incl. LULUCF (UNFCCC at 3436Mt).</v>
          </cell>
          <cell r="QG33">
            <v>2406</v>
          </cell>
          <cell r="QH33" t="str">
            <v>Emissions amount</v>
          </cell>
          <cell r="QI33">
            <v>2406</v>
          </cell>
          <cell r="QJ33" t="str">
            <v>30% reduction on 1990 baseline incl. LULUCF (UNFCCC, 3436Mt).</v>
          </cell>
          <cell r="QK33">
            <v>2406</v>
          </cell>
          <cell r="QL33" t="str">
            <v>Emissions amount</v>
          </cell>
          <cell r="QM33">
            <v>2406</v>
          </cell>
          <cell r="QN33" t="str">
            <v>30% reduction on 1990 baseline incl. LULUCF (UNFCCC, 3436Mt).</v>
          </cell>
          <cell r="QO33">
            <v>2406</v>
          </cell>
          <cell r="QP33" t="str">
            <v>Emissions amount</v>
          </cell>
          <cell r="QQ33">
            <v>2577</v>
          </cell>
          <cell r="QR33" t="str">
            <v>25% reduction on 1990 baseline incl. LULUCF (UNFCCC) at 3436Mt.</v>
          </cell>
          <cell r="QS33">
            <v>2577</v>
          </cell>
          <cell r="QT33" t="str">
            <v>Emissions amount</v>
          </cell>
          <cell r="QU33">
            <v>2406</v>
          </cell>
          <cell r="QV33" t="str">
            <v>30% reduction on 1990 baseline incl. LULUCF (UNFCCC, 3436Mt).</v>
          </cell>
          <cell r="QW33">
            <v>2406</v>
          </cell>
          <cell r="QX33" t="str">
            <v>Emissions amount</v>
          </cell>
          <cell r="QY33">
            <v>2406</v>
          </cell>
          <cell r="QZ33" t="str">
            <v>30% reduction on 1990 baseline incl. LULUCF (UNFCCC at 3436Mt).</v>
          </cell>
          <cell r="RA33">
            <v>2406</v>
          </cell>
          <cell r="RB33" t="str">
            <v>Emissions amount</v>
          </cell>
          <cell r="RC33">
            <v>2577</v>
          </cell>
          <cell r="RD33" t="str">
            <v>25% reduction on 1990 baseline incl. LULUCF (UNFCCC) at 3436Mt.</v>
          </cell>
          <cell r="RE33">
            <v>2577</v>
          </cell>
          <cell r="RF33" t="str">
            <v>Emissions amount</v>
          </cell>
          <cell r="RG33">
            <v>2406</v>
          </cell>
          <cell r="RH33" t="str">
            <v>30% reduction on 1990 baseline incl. LULUCF (UNFCCC, 3436Mt).</v>
          </cell>
          <cell r="RI33">
            <v>2406</v>
          </cell>
          <cell r="RJ33" t="str">
            <v>Emissions amount</v>
          </cell>
          <cell r="RK33">
            <v>2577</v>
          </cell>
          <cell r="RL33" t="str">
            <v>25% reduction on 1990 baseline incl. LULUCF (UNFCCC) at 3436Mt.</v>
          </cell>
          <cell r="RM33">
            <v>2577</v>
          </cell>
          <cell r="RN33" t="str">
            <v>Emissions amount</v>
          </cell>
          <cell r="RO33">
            <v>2406</v>
          </cell>
          <cell r="RP33" t="str">
            <v>30% reduction on 1990 baseline incl. LULUCF (UNFCCC, 3436Mt).</v>
          </cell>
          <cell r="RQ33">
            <v>2406</v>
          </cell>
          <cell r="RR33" t="str">
            <v>Emissions amount</v>
          </cell>
          <cell r="RS33">
            <v>2406</v>
          </cell>
          <cell r="RT33" t="str">
            <v>30% reduction on 1990 baseline incl. LULUCF (UNFCCC at 3436Mt).</v>
          </cell>
          <cell r="RU33">
            <v>2406</v>
          </cell>
        </row>
        <row r="34">
          <cell r="A34" t="str">
            <v>Ukraine</v>
          </cell>
          <cell r="B34" t="str">
            <v>Abatement amount</v>
          </cell>
          <cell r="C34">
            <v>200.00525744676895</v>
          </cell>
          <cell r="D34">
            <v>0</v>
          </cell>
          <cell r="E34">
            <v>271.69042507026836</v>
          </cell>
          <cell r="F34" t="str">
            <v>Abatement amount</v>
          </cell>
          <cell r="G34">
            <v>92.209974545576529</v>
          </cell>
          <cell r="I34">
            <v>379.48570797146078</v>
          </cell>
          <cell r="J34" t="str">
            <v>Abatement amount</v>
          </cell>
          <cell r="K34">
            <v>0</v>
          </cell>
          <cell r="M34">
            <v>471.69568251703731</v>
          </cell>
          <cell r="N34" t="str">
            <v>Abatement amount</v>
          </cell>
          <cell r="O34">
            <v>0</v>
          </cell>
          <cell r="Q34">
            <v>471.69568251703731</v>
          </cell>
          <cell r="R34" t="str">
            <v>Abatement amount</v>
          </cell>
          <cell r="S34">
            <v>47.169567108154297</v>
          </cell>
          <cell r="U34">
            <v>424.52611540888302</v>
          </cell>
          <cell r="V34" t="str">
            <v>Abatement amount</v>
          </cell>
          <cell r="W34">
            <v>47.169567108154297</v>
          </cell>
          <cell r="Y34">
            <v>424.52611540888302</v>
          </cell>
          <cell r="Z34" t="str">
            <v>Abatement amount</v>
          </cell>
          <cell r="AA34">
            <v>135.77236938476563</v>
          </cell>
          <cell r="AC34">
            <v>335.92331313227169</v>
          </cell>
          <cell r="AD34" t="str">
            <v>Abatement amount</v>
          </cell>
          <cell r="AE34">
            <v>88.483757019042969</v>
          </cell>
          <cell r="AG34">
            <v>383.21192549799434</v>
          </cell>
          <cell r="AH34" t="str">
            <v>Abatement amount</v>
          </cell>
          <cell r="AI34">
            <v>0</v>
          </cell>
          <cell r="AK34">
            <v>471.69568251703731</v>
          </cell>
          <cell r="AL34" t="str">
            <v>Abatement amount</v>
          </cell>
          <cell r="AM34">
            <v>0</v>
          </cell>
          <cell r="AO34">
            <v>471.69568251703731</v>
          </cell>
          <cell r="AP34" t="str">
            <v>Abatement amount</v>
          </cell>
          <cell r="AQ34">
            <v>47.169567108154297</v>
          </cell>
          <cell r="AS34">
            <v>424.52611540888302</v>
          </cell>
          <cell r="AT34" t="str">
            <v>Abatement amount</v>
          </cell>
          <cell r="AU34">
            <v>47.169567108154297</v>
          </cell>
          <cell r="AW34">
            <v>424.52611540888302</v>
          </cell>
          <cell r="AX34" t="str">
            <v>Emissions amount</v>
          </cell>
          <cell r="AY34">
            <v>471.69568251703731</v>
          </cell>
          <cell r="BA34">
            <v>471.69568251703731</v>
          </cell>
          <cell r="BB34" t="str">
            <v>Emissions amount</v>
          </cell>
          <cell r="BC34">
            <v>471.69568251703731</v>
          </cell>
          <cell r="BE34">
            <v>471.69568251703731</v>
          </cell>
          <cell r="BF34" t="str">
            <v>Emissions amount</v>
          </cell>
          <cell r="BG34">
            <v>471.69568251703731</v>
          </cell>
          <cell r="BI34">
            <v>471.69568251703731</v>
          </cell>
          <cell r="BJ34" t="str">
            <v>Emissions amount</v>
          </cell>
          <cell r="BK34">
            <v>471.69568251703731</v>
          </cell>
          <cell r="BM34">
            <v>471.69568251703731</v>
          </cell>
          <cell r="BN34" t="str">
            <v>Emissions amount</v>
          </cell>
          <cell r="BO34">
            <v>471.69568251703731</v>
          </cell>
          <cell r="BQ34">
            <v>471.69568251703731</v>
          </cell>
          <cell r="BR34" t="str">
            <v>Emissions amount</v>
          </cell>
          <cell r="BS34">
            <v>471.69568251703731</v>
          </cell>
          <cell r="BU34">
            <v>471.69568251703731</v>
          </cell>
          <cell r="BV34" t="str">
            <v>Emissions amount</v>
          </cell>
          <cell r="BW34">
            <v>424.52611540888302</v>
          </cell>
          <cell r="BY34">
            <v>424.52611540888302</v>
          </cell>
          <cell r="BZ34" t="str">
            <v>Emissions amount</v>
          </cell>
          <cell r="CA34">
            <v>471.69568251703731</v>
          </cell>
          <cell r="CC34">
            <v>471.69568251703731</v>
          </cell>
          <cell r="CD34" t="str">
            <v>Emissions amount</v>
          </cell>
          <cell r="CE34">
            <v>471.69568251703731</v>
          </cell>
          <cell r="CG34">
            <v>471.69568251703731</v>
          </cell>
          <cell r="CH34" t="str">
            <v>Abatement amount</v>
          </cell>
          <cell r="CI34">
            <v>0</v>
          </cell>
          <cell r="CK34">
            <v>471.69568251703731</v>
          </cell>
          <cell r="CL34" t="str">
            <v>Abatement amount</v>
          </cell>
          <cell r="CM34">
            <v>47.169567108154297</v>
          </cell>
          <cell r="CO34">
            <v>424.52611540888302</v>
          </cell>
          <cell r="CP34" t="str">
            <v>Abatement amount</v>
          </cell>
          <cell r="CQ34">
            <v>47.169567108154297</v>
          </cell>
          <cell r="CS34">
            <v>424.52611540888302</v>
          </cell>
          <cell r="CT34" t="str">
            <v>Abatement amount</v>
          </cell>
          <cell r="CU34">
            <v>0</v>
          </cell>
          <cell r="CW34">
            <v>471.69568251703731</v>
          </cell>
          <cell r="CX34" t="str">
            <v>Abatement amount</v>
          </cell>
          <cell r="CY34">
            <v>47.169567108154297</v>
          </cell>
          <cell r="DA34">
            <v>424.52611540888302</v>
          </cell>
          <cell r="DB34" t="str">
            <v>Abatement amount</v>
          </cell>
          <cell r="DC34">
            <v>47.169567108154297</v>
          </cell>
          <cell r="DE34">
            <v>424.52611540888302</v>
          </cell>
          <cell r="DF34" t="str">
            <v>Abatement amount</v>
          </cell>
          <cell r="DG34">
            <v>0</v>
          </cell>
          <cell r="DI34">
            <v>471.69568251703731</v>
          </cell>
          <cell r="DJ34" t="str">
            <v>Emissions amount</v>
          </cell>
          <cell r="DK34">
            <v>471.69568251703731</v>
          </cell>
          <cell r="DM34">
            <v>471.69568251703731</v>
          </cell>
          <cell r="DN34" t="str">
            <v>Emissions amount</v>
          </cell>
          <cell r="DO34">
            <v>471.69568251703731</v>
          </cell>
          <cell r="DQ34">
            <v>471.69568251703731</v>
          </cell>
          <cell r="DR34" t="str">
            <v>Emissions amount</v>
          </cell>
          <cell r="DS34">
            <v>471.69568251703731</v>
          </cell>
          <cell r="DU34">
            <v>471.69568251703731</v>
          </cell>
          <cell r="DV34" t="str">
            <v>Emissions amount</v>
          </cell>
          <cell r="DW34">
            <v>471.69568251703731</v>
          </cell>
          <cell r="DY34">
            <v>471.69568251703731</v>
          </cell>
          <cell r="DZ34" t="str">
            <v>Abatement amount</v>
          </cell>
          <cell r="EA34">
            <v>0</v>
          </cell>
          <cell r="EC34">
            <v>471.69568251703731</v>
          </cell>
          <cell r="ED34" t="str">
            <v>Emissions amount</v>
          </cell>
          <cell r="EE34">
            <v>425</v>
          </cell>
          <cell r="EG34">
            <v>425</v>
          </cell>
          <cell r="EH34" t="str">
            <v>Abatement amount</v>
          </cell>
          <cell r="EI34">
            <v>0</v>
          </cell>
          <cell r="EK34">
            <v>432.46784454353394</v>
          </cell>
          <cell r="EL34" t="str">
            <v>Abatement amount</v>
          </cell>
          <cell r="EM34">
            <v>0</v>
          </cell>
          <cell r="EO34">
            <v>432.46784454353394</v>
          </cell>
          <cell r="EP34" t="str">
            <v>Abatement amount</v>
          </cell>
          <cell r="EQ34">
            <v>0</v>
          </cell>
          <cell r="ES34">
            <v>432.46784454353394</v>
          </cell>
          <cell r="ET34" t="str">
            <v>Abatement amount</v>
          </cell>
          <cell r="EU34">
            <v>170.94150803788025</v>
          </cell>
          <cell r="EW34">
            <v>261.52633650565372</v>
          </cell>
          <cell r="EX34" t="str">
            <v>Abatement amount</v>
          </cell>
          <cell r="EY34">
            <v>130.99964635730231</v>
          </cell>
          <cell r="FA34">
            <v>301.46819818623163</v>
          </cell>
          <cell r="FB34" t="str">
            <v>Abatement amount</v>
          </cell>
          <cell r="FC34">
            <v>105.94387419133811</v>
          </cell>
          <cell r="FE34">
            <v>326.52397035219582</v>
          </cell>
          <cell r="FF34" t="str">
            <v>Abatement amount</v>
          </cell>
          <cell r="FG34">
            <v>0</v>
          </cell>
          <cell r="FI34">
            <v>432.46784454353394</v>
          </cell>
          <cell r="FJ34" t="str">
            <v>Abatement amount</v>
          </cell>
          <cell r="FK34">
            <v>21.623392105102539</v>
          </cell>
          <cell r="FM34">
            <v>410.8444524384314</v>
          </cell>
          <cell r="FN34" t="str">
            <v>Abatement amount</v>
          </cell>
          <cell r="FO34">
            <v>0</v>
          </cell>
          <cell r="FQ34">
            <v>432.46784454353394</v>
          </cell>
          <cell r="FR34" t="str">
            <v>Abatement amount</v>
          </cell>
          <cell r="FS34">
            <v>0</v>
          </cell>
          <cell r="FU34">
            <v>432.46784454353394</v>
          </cell>
          <cell r="FV34" t="str">
            <v>Abatement amount</v>
          </cell>
          <cell r="FW34">
            <v>0</v>
          </cell>
          <cell r="FY34">
            <v>432.46784454353394</v>
          </cell>
          <cell r="FZ34" t="str">
            <v>Abatement amount</v>
          </cell>
          <cell r="GA34">
            <v>21.623392105102539</v>
          </cell>
          <cell r="GC34">
            <v>410.8444524384314</v>
          </cell>
          <cell r="GD34" t="str">
            <v>Abatement amount</v>
          </cell>
          <cell r="GE34">
            <v>21.623392105102539</v>
          </cell>
          <cell r="GG34">
            <v>410.8444524384314</v>
          </cell>
          <cell r="GH34" t="str">
            <v>Abatement amount</v>
          </cell>
          <cell r="GI34">
            <v>44.320510864257813</v>
          </cell>
          <cell r="GK34">
            <v>388.14733367927613</v>
          </cell>
          <cell r="GL34" t="str">
            <v>Abatement amount</v>
          </cell>
          <cell r="GM34">
            <v>179.45338989641124</v>
          </cell>
          <cell r="GO34">
            <v>253.0144546471227</v>
          </cell>
          <cell r="GP34" t="str">
            <v>Abatement amount</v>
          </cell>
          <cell r="GQ34">
            <v>109.88169685763518</v>
          </cell>
          <cell r="GS34">
            <v>322.58614768589877</v>
          </cell>
          <cell r="GT34" t="str">
            <v>Abatement amount</v>
          </cell>
          <cell r="GU34">
            <v>137.52501008159186</v>
          </cell>
          <cell r="GW34">
            <v>294.94283446194208</v>
          </cell>
          <cell r="GX34" t="str">
            <v>Abatement amount</v>
          </cell>
          <cell r="GY34">
            <v>0</v>
          </cell>
          <cell r="HA34">
            <v>432.46784454353394</v>
          </cell>
          <cell r="HB34" t="str">
            <v>Abatement amount</v>
          </cell>
          <cell r="HC34">
            <v>0</v>
          </cell>
          <cell r="HE34">
            <v>432.46784454353394</v>
          </cell>
          <cell r="HF34" t="str">
            <v>Abatement amount</v>
          </cell>
          <cell r="HG34">
            <v>0</v>
          </cell>
          <cell r="HI34">
            <v>432.46784454353394</v>
          </cell>
          <cell r="HJ34" t="str">
            <v>Abatement amount</v>
          </cell>
          <cell r="HK34">
            <v>0</v>
          </cell>
          <cell r="HM34">
            <v>432.46784454353394</v>
          </cell>
          <cell r="HN34" t="str">
            <v>Abatement amount</v>
          </cell>
          <cell r="HO34">
            <v>21.623392105102539</v>
          </cell>
          <cell r="HQ34">
            <v>410.8444524384314</v>
          </cell>
          <cell r="HR34" t="str">
            <v>Abatement amount</v>
          </cell>
          <cell r="HS34">
            <v>0</v>
          </cell>
          <cell r="HU34">
            <v>432.46784454353394</v>
          </cell>
          <cell r="HV34" t="str">
            <v>Abatement amount</v>
          </cell>
          <cell r="HW34">
            <v>0</v>
          </cell>
          <cell r="HX34" t="str">
            <v>tbc</v>
          </cell>
          <cell r="HY34">
            <v>432.46784454353394</v>
          </cell>
          <cell r="HZ34" t="str">
            <v>Abatement amount</v>
          </cell>
          <cell r="IA34">
            <v>0</v>
          </cell>
          <cell r="IB34" t="str">
            <v>GLOCAF BAU</v>
          </cell>
          <cell r="IC34">
            <v>432.46784454353394</v>
          </cell>
          <cell r="ID34" t="str">
            <v>Abatement amount</v>
          </cell>
          <cell r="IE34">
            <v>0</v>
          </cell>
          <cell r="IF34" t="str">
            <v>GLOCAF BAU</v>
          </cell>
          <cell r="IG34">
            <v>432.46784454353394</v>
          </cell>
          <cell r="IH34" t="str">
            <v>Abatement amount</v>
          </cell>
          <cell r="II34">
            <v>21.623392105102539</v>
          </cell>
          <cell r="IJ34" t="str">
            <v>5% on BAU</v>
          </cell>
          <cell r="IK34">
            <v>410.8444524384314</v>
          </cell>
          <cell r="IL34" t="str">
            <v>Abatement amount</v>
          </cell>
          <cell r="IM34">
            <v>0</v>
          </cell>
          <cell r="IN34" t="str">
            <v>GLOCAF BAU</v>
          </cell>
          <cell r="IO34">
            <v>432.46784454353394</v>
          </cell>
          <cell r="IP34" t="str">
            <v>Abatement amount</v>
          </cell>
          <cell r="IQ34">
            <v>0</v>
          </cell>
          <cell r="IR34" t="str">
            <v>GLOCAF BAU</v>
          </cell>
          <cell r="IS34">
            <v>432.46784454353394</v>
          </cell>
          <cell r="IT34" t="str">
            <v>Abatement amount</v>
          </cell>
          <cell r="IU34">
            <v>0</v>
          </cell>
          <cell r="IV34" t="str">
            <v>GLOCAF BAU</v>
          </cell>
          <cell r="IW34">
            <v>432.46784454353394</v>
          </cell>
          <cell r="IX34" t="str">
            <v>Abatement amount</v>
          </cell>
          <cell r="IY34">
            <v>21.623392105102539</v>
          </cell>
          <cell r="IZ34" t="str">
            <v>5% on BAU</v>
          </cell>
          <cell r="JA34">
            <v>410.8444524384314</v>
          </cell>
          <cell r="JB34" t="str">
            <v>Abatement amount</v>
          </cell>
          <cell r="JC34">
            <v>0</v>
          </cell>
          <cell r="JD34" t="str">
            <v>GLOCAF BAU</v>
          </cell>
          <cell r="JE34">
            <v>432.46784454353394</v>
          </cell>
          <cell r="JF34" t="str">
            <v>Abatement amount</v>
          </cell>
          <cell r="JG34">
            <v>0</v>
          </cell>
          <cell r="JH34" t="str">
            <v>GLOCAF BAU</v>
          </cell>
          <cell r="JI34">
            <v>432.46784454353394</v>
          </cell>
          <cell r="JJ34" t="str">
            <v>Abatement amount</v>
          </cell>
          <cell r="JK34">
            <v>0</v>
          </cell>
          <cell r="JL34" t="str">
            <v>GLOCAF BAU</v>
          </cell>
          <cell r="JM34">
            <v>432.46784454353394</v>
          </cell>
          <cell r="JN34" t="str">
            <v>Abatement amount</v>
          </cell>
          <cell r="JO34">
            <v>0</v>
          </cell>
          <cell r="JP34" t="str">
            <v>GLOCAF BAU</v>
          </cell>
          <cell r="JQ34">
            <v>432.46784454353394</v>
          </cell>
          <cell r="JR34" t="str">
            <v>Abatement amount</v>
          </cell>
          <cell r="JS34">
            <v>21.623392105102539</v>
          </cell>
          <cell r="JT34" t="str">
            <v>5% on BAU</v>
          </cell>
          <cell r="JU34">
            <v>410.8444524384314</v>
          </cell>
          <cell r="JV34" t="str">
            <v>Abatement amount</v>
          </cell>
          <cell r="JW34">
            <v>0</v>
          </cell>
          <cell r="JX34" t="str">
            <v>GLOCAF BAU</v>
          </cell>
          <cell r="JY34">
            <v>432.46784454353394</v>
          </cell>
          <cell r="JZ34" t="str">
            <v>Abatement amount</v>
          </cell>
          <cell r="KA34">
            <v>0</v>
          </cell>
          <cell r="KB34" t="str">
            <v>GLOCAF BAU</v>
          </cell>
          <cell r="KC34">
            <v>432.46784454353394</v>
          </cell>
          <cell r="KD34" t="str">
            <v>Abatement amount</v>
          </cell>
          <cell r="KE34">
            <v>0</v>
          </cell>
          <cell r="KF34" t="str">
            <v>GLOCAF BAU</v>
          </cell>
          <cell r="KG34">
            <v>432.46784454353394</v>
          </cell>
          <cell r="KH34" t="str">
            <v>Abatement amount</v>
          </cell>
          <cell r="KI34">
            <v>0</v>
          </cell>
          <cell r="KJ34" t="str">
            <v>GLOCAF BAU</v>
          </cell>
          <cell r="KK34">
            <v>432.46784454353394</v>
          </cell>
          <cell r="KL34" t="str">
            <v>Abatement amount</v>
          </cell>
          <cell r="KM34">
            <v>0</v>
          </cell>
          <cell r="KN34" t="str">
            <v>GLOCAF BAU</v>
          </cell>
          <cell r="KO34">
            <v>432.46784454353394</v>
          </cell>
          <cell r="KP34" t="str">
            <v>Abatement amount</v>
          </cell>
          <cell r="KQ34">
            <v>0</v>
          </cell>
          <cell r="KR34" t="str">
            <v>GLOCAF BAU</v>
          </cell>
          <cell r="KS34">
            <v>432.46784454353394</v>
          </cell>
          <cell r="KT34" t="str">
            <v>Abatement amount</v>
          </cell>
          <cell r="KU34">
            <v>0</v>
          </cell>
          <cell r="KV34" t="str">
            <v>GLOCAF BAU</v>
          </cell>
          <cell r="KW34">
            <v>432.46784454353394</v>
          </cell>
          <cell r="KX34" t="str">
            <v>Abatement amount</v>
          </cell>
          <cell r="KY34">
            <v>21.623392105102539</v>
          </cell>
          <cell r="KZ34" t="str">
            <v>5% on BAU</v>
          </cell>
          <cell r="LA34">
            <v>410.8444524384314</v>
          </cell>
          <cell r="LB34" t="str">
            <v>Abatement amount</v>
          </cell>
          <cell r="LC34">
            <v>0</v>
          </cell>
          <cell r="LD34" t="str">
            <v>GLOCAF BAU</v>
          </cell>
          <cell r="LE34">
            <v>432.46784454353394</v>
          </cell>
          <cell r="LF34" t="str">
            <v>Emissions amount</v>
          </cell>
          <cell r="LG34">
            <v>525</v>
          </cell>
          <cell r="LH34" t="str">
            <v>GLOCAF BAU</v>
          </cell>
          <cell r="LI34">
            <v>525</v>
          </cell>
          <cell r="LJ34" t="str">
            <v>Emissions amount</v>
          </cell>
          <cell r="LK34">
            <v>525</v>
          </cell>
          <cell r="LL34" t="str">
            <v>GLOCAF BAU</v>
          </cell>
          <cell r="LM34">
            <v>525</v>
          </cell>
          <cell r="LN34" t="str">
            <v>Emissions amount</v>
          </cell>
          <cell r="LO34">
            <v>525</v>
          </cell>
          <cell r="LP34" t="str">
            <v>GLOCAF BAU</v>
          </cell>
          <cell r="LQ34">
            <v>525</v>
          </cell>
          <cell r="LR34" t="str">
            <v>Emissions amount</v>
          </cell>
          <cell r="LS34">
            <v>525</v>
          </cell>
          <cell r="LT34" t="str">
            <v>GLOCAF BAU</v>
          </cell>
          <cell r="LU34">
            <v>525</v>
          </cell>
          <cell r="LV34" t="str">
            <v>Emissions amount</v>
          </cell>
          <cell r="LW34">
            <v>525</v>
          </cell>
          <cell r="LX34" t="str">
            <v>GLOCAF BAU</v>
          </cell>
          <cell r="LY34">
            <v>525</v>
          </cell>
          <cell r="LZ34" t="str">
            <v>Emissions amount</v>
          </cell>
          <cell r="MA34">
            <v>525</v>
          </cell>
          <cell r="MB34" t="str">
            <v>GLOCAF BAU</v>
          </cell>
          <cell r="MC34">
            <v>525</v>
          </cell>
          <cell r="MD34" t="str">
            <v>Emissions amount</v>
          </cell>
          <cell r="ME34">
            <v>525</v>
          </cell>
          <cell r="MF34" t="str">
            <v>INDC target</v>
          </cell>
          <cell r="MG34">
            <v>525</v>
          </cell>
          <cell r="MH34" t="str">
            <v>Emissions amount</v>
          </cell>
          <cell r="MI34">
            <v>525</v>
          </cell>
          <cell r="MJ34" t="str">
            <v>GLOCAF BAU</v>
          </cell>
          <cell r="MK34">
            <v>525</v>
          </cell>
          <cell r="ML34" t="str">
            <v>Emissions amount</v>
          </cell>
          <cell r="MM34">
            <v>525</v>
          </cell>
          <cell r="MN34" t="str">
            <v>GLOCAF BAU</v>
          </cell>
          <cell r="MO34">
            <v>525</v>
          </cell>
          <cell r="MP34" t="str">
            <v>Emissions amount</v>
          </cell>
          <cell r="MQ34">
            <v>525</v>
          </cell>
          <cell r="MR34" t="str">
            <v>INDC target</v>
          </cell>
          <cell r="MS34">
            <v>525</v>
          </cell>
          <cell r="MT34" t="str">
            <v>Emissions amount</v>
          </cell>
          <cell r="MU34">
            <v>525</v>
          </cell>
          <cell r="MV34" t="str">
            <v>GLOCAF BAU</v>
          </cell>
          <cell r="MW34">
            <v>525</v>
          </cell>
          <cell r="MX34" t="str">
            <v>Emissions amount</v>
          </cell>
          <cell r="MY34">
            <v>525</v>
          </cell>
          <cell r="MZ34" t="str">
            <v>GLOCAF BAU</v>
          </cell>
          <cell r="NA34">
            <v>525</v>
          </cell>
          <cell r="NB34" t="str">
            <v>Emissions amount</v>
          </cell>
          <cell r="NC34">
            <v>525</v>
          </cell>
          <cell r="ND34" t="str">
            <v>INDC target</v>
          </cell>
          <cell r="NE34">
            <v>525</v>
          </cell>
          <cell r="NF34" t="str">
            <v>Emissions amount</v>
          </cell>
          <cell r="NG34">
            <v>525</v>
          </cell>
          <cell r="NH34" t="str">
            <v>GLOCAF BAU</v>
          </cell>
          <cell r="NI34">
            <v>525</v>
          </cell>
          <cell r="NJ34" t="str">
            <v>Emissions amount</v>
          </cell>
          <cell r="NK34">
            <v>525</v>
          </cell>
          <cell r="NL34" t="str">
            <v>GLOCAF BAU</v>
          </cell>
          <cell r="NM34">
            <v>525</v>
          </cell>
          <cell r="NN34" t="str">
            <v>Emissions amount</v>
          </cell>
          <cell r="NO34">
            <v>525</v>
          </cell>
          <cell r="NP34" t="str">
            <v>40% reduction on 1990. 875Mt of 1990 emissions incl LUCF is included in the text. (860 Mt from UNFCCC dataset)</v>
          </cell>
          <cell r="NQ34">
            <v>525</v>
          </cell>
          <cell r="NR34" t="str">
            <v>Emissions amount</v>
          </cell>
          <cell r="NS34">
            <v>525</v>
          </cell>
          <cell r="NT34" t="str">
            <v>40% reduction on 1990. 875Mt of 1990 emissions incl LUCF is included in the text. (860 Mt from UNFCCC dataset)</v>
          </cell>
          <cell r="NU34">
            <v>525</v>
          </cell>
          <cell r="NV34" t="str">
            <v>Emissions amount</v>
          </cell>
          <cell r="NW34">
            <v>525</v>
          </cell>
          <cell r="NX34" t="str">
            <v>40% reduction on 1990. 875Mt of 1990 emissions incl LUCF is included in the text. (860 Mt from UNFCCC dataset)</v>
          </cell>
          <cell r="NY34">
            <v>525</v>
          </cell>
          <cell r="NZ34" t="str">
            <v>Emissions amount</v>
          </cell>
          <cell r="OA34">
            <v>525</v>
          </cell>
          <cell r="OB34" t="str">
            <v>40% reduction on 1990. 875Mt of 1990 emissions incl LUCF is included in the text. (860 Mt from UNFCCC dataset)</v>
          </cell>
          <cell r="OC34">
            <v>525</v>
          </cell>
          <cell r="OD34" t="str">
            <v>Emissions amount</v>
          </cell>
          <cell r="OE34">
            <v>525</v>
          </cell>
          <cell r="OF34" t="str">
            <v>GLOCAF BAU</v>
          </cell>
          <cell r="OG34">
            <v>525</v>
          </cell>
          <cell r="OH34" t="str">
            <v>Abatement amount</v>
          </cell>
          <cell r="OI34">
            <v>0</v>
          </cell>
          <cell r="OJ34" t="str">
            <v>40% reduction on 1990. 875Mt of 1990 emissions incl LUCF is included in the text. (860 Mt from UNFCCC dataset). BAU is binding</v>
          </cell>
          <cell r="OK34">
            <v>432.46784454353394</v>
          </cell>
          <cell r="OL34" t="str">
            <v>Abatement amount</v>
          </cell>
          <cell r="OM34">
            <v>0</v>
          </cell>
          <cell r="ON34" t="str">
            <v>40% reduction on 1990. 875Mt of 1990 emissions incl LUCF is included in the text. (860 Mt from UNFCCC dataset). BAU is binding</v>
          </cell>
          <cell r="OO34">
            <v>432.46784454353394</v>
          </cell>
          <cell r="OP34" t="str">
            <v>Abatement amount</v>
          </cell>
          <cell r="OQ34">
            <v>0</v>
          </cell>
          <cell r="OR34" t="str">
            <v>40% reduction on 1990. 875Mt of 1990 emissions incl LUCF is included in the text. (860 Mt from UNFCCC dataset). BAU is binding</v>
          </cell>
          <cell r="OS34">
            <v>432.46784454353394</v>
          </cell>
          <cell r="OT34" t="str">
            <v>Emissions amount</v>
          </cell>
          <cell r="OU34">
            <v>525</v>
          </cell>
          <cell r="OV34" t="str">
            <v>40% reduction on 1990. 875Mt of 1990 emissions incl LUCF is included in the text. (860 Mt from UNFCCC dataset)</v>
          </cell>
          <cell r="OW34">
            <v>525</v>
          </cell>
          <cell r="OX34" t="str">
            <v>Emissions amount</v>
          </cell>
          <cell r="OY34">
            <v>525</v>
          </cell>
          <cell r="OZ34" t="str">
            <v>40% reduction on 1990. 875Mt of 1990 emissions incl LUCF is included in the text. (860 Mt from UNFCCC dataset)</v>
          </cell>
          <cell r="PA34">
            <v>525</v>
          </cell>
          <cell r="PB34" t="str">
            <v>Emissions amount</v>
          </cell>
          <cell r="PC34">
            <v>525</v>
          </cell>
          <cell r="PD34" t="str">
            <v>40% reduction on 1990. 875Mt of 1990 emissions incl LUCF is included in the text. (860 Mt from UNFCCC dataset)</v>
          </cell>
          <cell r="PE34">
            <v>525</v>
          </cell>
          <cell r="PF34" t="str">
            <v>Emissions amount</v>
          </cell>
          <cell r="PG34">
            <v>525</v>
          </cell>
          <cell r="PH34" t="str">
            <v>40% reduction on 1990. 875Mt of 1990 emissions incl LUCF is included in the text. (860 Mt from UNFCCC dataset)</v>
          </cell>
          <cell r="PI34">
            <v>525</v>
          </cell>
          <cell r="PJ34" t="str">
            <v>Emissions amount</v>
          </cell>
          <cell r="PK34">
            <v>525</v>
          </cell>
          <cell r="PL34" t="str">
            <v>GLOCAF BAU</v>
          </cell>
          <cell r="PM34">
            <v>525</v>
          </cell>
          <cell r="PN34" t="str">
            <v>Emissions amount</v>
          </cell>
          <cell r="PO34">
            <v>525</v>
          </cell>
          <cell r="PP34" t="str">
            <v>40% reduction on 1990. 875Mt of 1990 emissions incl LUCF is included in the text. (860 Mt from UNFCCC dataset)</v>
          </cell>
          <cell r="PQ34">
            <v>525</v>
          </cell>
          <cell r="PR34" t="str">
            <v>Emissions amount</v>
          </cell>
          <cell r="PS34">
            <v>525</v>
          </cell>
          <cell r="PT34" t="str">
            <v>40% reduction on 1990. 875Mt of 1990 emissions incl LUCF is included in the text. (860 Mt from UNFCCC dataset)</v>
          </cell>
          <cell r="PU34">
            <v>525</v>
          </cell>
          <cell r="PV34" t="str">
            <v>Emissions amount</v>
          </cell>
          <cell r="PW34">
            <v>525</v>
          </cell>
          <cell r="PX34" t="str">
            <v>40% reduction on 1990. 875Mt of 1990 emissions incl LUCF is included in the text. (860 Mt from UNFCCC dataset)</v>
          </cell>
          <cell r="PY34">
            <v>525</v>
          </cell>
          <cell r="PZ34" t="str">
            <v>Emissions amount</v>
          </cell>
          <cell r="QA34">
            <v>525</v>
          </cell>
          <cell r="QB34" t="str">
            <v>40% reduction on 1990. 875Mt of 1990 emissions incl LUCF is included in the text. (860 Mt from UNFCCC dataset)</v>
          </cell>
          <cell r="QC34">
            <v>525</v>
          </cell>
          <cell r="QD34" t="str">
            <v>Emissions amount</v>
          </cell>
          <cell r="QE34">
            <v>525</v>
          </cell>
          <cell r="QF34" t="str">
            <v>GLOCAF BAU</v>
          </cell>
          <cell r="QG34">
            <v>525</v>
          </cell>
          <cell r="QH34" t="str">
            <v>Emissions amount</v>
          </cell>
          <cell r="QI34">
            <v>525</v>
          </cell>
          <cell r="QJ34" t="str">
            <v>40% reduction on 1990. 875Mt of 1990 emissions incl LUCF is included in the text. (860 Mt from UNFCCC dataset)</v>
          </cell>
          <cell r="QK34">
            <v>525</v>
          </cell>
          <cell r="QL34" t="str">
            <v>Emissions amount</v>
          </cell>
          <cell r="QM34">
            <v>525</v>
          </cell>
          <cell r="QN34" t="str">
            <v>40% reduction on 1990. 875Mt of 1990 emissions incl LUCF is included in the text. (860 Mt from UNFCCC dataset)</v>
          </cell>
          <cell r="QO34">
            <v>525</v>
          </cell>
          <cell r="QP34" t="str">
            <v>Abatement amount</v>
          </cell>
          <cell r="QQ34">
            <v>0</v>
          </cell>
          <cell r="QR34" t="str">
            <v>40% reduction on 1990. 875Mt of 1990 emissions incl LUCF is included in the text. (860 Mt from UNFCCC dataset), gives 525Mt or target emissions. BAU is binding</v>
          </cell>
          <cell r="QS34">
            <v>432.46784454353394</v>
          </cell>
          <cell r="QT34" t="str">
            <v>Abatement amount</v>
          </cell>
          <cell r="QU34">
            <v>0</v>
          </cell>
          <cell r="QV34" t="str">
            <v>40% reduction on 1990. 875Mt of 1990 emissions incl LUCF is included in the text. (860 Mt from UNFCCC dataset). Target emissions = 525Mt , BAU is binding</v>
          </cell>
          <cell r="QW34">
            <v>432.46784454353394</v>
          </cell>
          <cell r="QX34" t="str">
            <v>Abatement amount</v>
          </cell>
          <cell r="QY34">
            <v>0</v>
          </cell>
          <cell r="QZ34" t="str">
            <v>BAU is binding</v>
          </cell>
          <cell r="RA34">
            <v>432.46784454353394</v>
          </cell>
          <cell r="RB34" t="str">
            <v>Emissions amount</v>
          </cell>
          <cell r="RC34">
            <v>525</v>
          </cell>
          <cell r="RD34" t="str">
            <v>40% reduction on 1990. 875Mt of 1990 emissions incl LUCF is included in the text. (860 Mt from UNFCCC dataset)</v>
          </cell>
          <cell r="RE34">
            <v>525</v>
          </cell>
          <cell r="RF34" t="str">
            <v>Emissions amount</v>
          </cell>
          <cell r="RG34">
            <v>525</v>
          </cell>
          <cell r="RH34" t="str">
            <v>40% reduction on 1990. 875Mt of 1990 emissions incl LUCF is included in the text. (860 Mt from UNFCCC dataset)</v>
          </cell>
          <cell r="RI34">
            <v>525</v>
          </cell>
          <cell r="RJ34" t="str">
            <v>Emissions amount</v>
          </cell>
          <cell r="RK34">
            <v>525</v>
          </cell>
          <cell r="RL34" t="str">
            <v>40% reduction on 1990. 875Mt of 1990 emissions incl LUCF is included in the text. (860 Mt from UNFCCC dataset)</v>
          </cell>
          <cell r="RM34">
            <v>525</v>
          </cell>
          <cell r="RN34" t="str">
            <v>Emissions amount</v>
          </cell>
          <cell r="RO34">
            <v>525</v>
          </cell>
          <cell r="RP34" t="str">
            <v>40% reduction on 1990. 875Mt of 1990 emissions incl LUCF is included in the text. (860 Mt from UNFCCC dataset)</v>
          </cell>
          <cell r="RQ34">
            <v>525</v>
          </cell>
          <cell r="RR34" t="str">
            <v>Emissions amount</v>
          </cell>
          <cell r="RS34">
            <v>525</v>
          </cell>
          <cell r="RT34" t="str">
            <v>GLOCAF BAU</v>
          </cell>
          <cell r="RU34">
            <v>525</v>
          </cell>
        </row>
        <row r="35">
          <cell r="C35">
            <v>0</v>
          </cell>
          <cell r="D35">
            <v>0</v>
          </cell>
          <cell r="E35">
            <v>0</v>
          </cell>
        </row>
        <row r="36">
          <cell r="A36" t="str">
            <v>International Aviation</v>
          </cell>
          <cell r="B36" t="str">
            <v>Abatement amount</v>
          </cell>
          <cell r="C36">
            <v>99.36516462295549</v>
          </cell>
          <cell r="D36">
            <v>0</v>
          </cell>
          <cell r="E36">
            <v>642.96250204371108</v>
          </cell>
          <cell r="F36" t="str">
            <v>Abatement amount</v>
          </cell>
          <cell r="G36">
            <v>33.279439372367051</v>
          </cell>
          <cell r="I36">
            <v>709.04822729429952</v>
          </cell>
          <cell r="J36" t="str">
            <v>Abatement amount</v>
          </cell>
          <cell r="K36">
            <v>22.269830703735352</v>
          </cell>
          <cell r="M36">
            <v>720.05783596293122</v>
          </cell>
          <cell r="N36" t="str">
            <v>Abatement amount</v>
          </cell>
          <cell r="O36">
            <v>22.269830703735352</v>
          </cell>
          <cell r="Q36">
            <v>720.05783596293122</v>
          </cell>
          <cell r="R36" t="str">
            <v>Abatement amount</v>
          </cell>
          <cell r="S36">
            <v>193.00518798828125</v>
          </cell>
          <cell r="U36">
            <v>549.32247867838532</v>
          </cell>
          <cell r="V36" t="str">
            <v>Abatement amount</v>
          </cell>
          <cell r="W36">
            <v>193.00518798828125</v>
          </cell>
          <cell r="Y36">
            <v>549.32247867838532</v>
          </cell>
          <cell r="Z36" t="str">
            <v>Abatement amount</v>
          </cell>
          <cell r="AA36">
            <v>99</v>
          </cell>
          <cell r="AC36">
            <v>643.32766666666657</v>
          </cell>
          <cell r="AD36" t="str">
            <v>Abatement amount</v>
          </cell>
          <cell r="AE36">
            <v>31.934614181518555</v>
          </cell>
          <cell r="AG36">
            <v>710.39305248514802</v>
          </cell>
          <cell r="AH36" t="str">
            <v>Abatement amount</v>
          </cell>
          <cell r="AI36">
            <v>22.269830703735352</v>
          </cell>
          <cell r="AK36">
            <v>720.05783596293122</v>
          </cell>
          <cell r="AL36" t="str">
            <v>Abatement amount</v>
          </cell>
          <cell r="AM36">
            <v>22.269830703735352</v>
          </cell>
          <cell r="AO36">
            <v>720.05783596293122</v>
          </cell>
          <cell r="AP36" t="str">
            <v>Abatement amount</v>
          </cell>
          <cell r="AQ36">
            <v>193.00518798828125</v>
          </cell>
          <cell r="AS36">
            <v>549.32247867838532</v>
          </cell>
          <cell r="AT36" t="str">
            <v>Abatement amount</v>
          </cell>
          <cell r="AU36">
            <v>193.00518798828125</v>
          </cell>
          <cell r="AW36">
            <v>549.32247867838532</v>
          </cell>
          <cell r="AX36" t="str">
            <v>Emissions amount</v>
          </cell>
          <cell r="AY36">
            <v>742.32766666666657</v>
          </cell>
          <cell r="BA36">
            <v>742.32766666666657</v>
          </cell>
          <cell r="BB36" t="str">
            <v>Emissions amount</v>
          </cell>
          <cell r="BC36">
            <v>742.32766666666657</v>
          </cell>
          <cell r="BE36">
            <v>742.32766666666657</v>
          </cell>
          <cell r="BF36" t="str">
            <v>Emissions amount</v>
          </cell>
          <cell r="BG36">
            <v>742.32766666666657</v>
          </cell>
          <cell r="BI36">
            <v>742.32766666666657</v>
          </cell>
          <cell r="BJ36" t="str">
            <v>Emissions amount</v>
          </cell>
          <cell r="BK36">
            <v>742.32766666666657</v>
          </cell>
          <cell r="BM36">
            <v>742.32766666666657</v>
          </cell>
          <cell r="BN36" t="str">
            <v>Emissions amount</v>
          </cell>
          <cell r="BO36">
            <v>742.32766666666657</v>
          </cell>
          <cell r="BQ36">
            <v>742.32766666666657</v>
          </cell>
          <cell r="BR36" t="str">
            <v>Emissions amount</v>
          </cell>
          <cell r="BS36">
            <v>720.05783596293122</v>
          </cell>
          <cell r="BU36">
            <v>720.05783596293122</v>
          </cell>
          <cell r="BV36" t="str">
            <v>Emissions amount</v>
          </cell>
          <cell r="BW36">
            <v>549.32247867838532</v>
          </cell>
          <cell r="BY36">
            <v>549.32247867838532</v>
          </cell>
          <cell r="BZ36" t="str">
            <v>Emissions amount</v>
          </cell>
          <cell r="CA36">
            <v>742.32766666666657</v>
          </cell>
          <cell r="CC36">
            <v>742.32766666666657</v>
          </cell>
          <cell r="CD36" t="str">
            <v>Emissions amount</v>
          </cell>
          <cell r="CE36">
            <v>742.32766666666657</v>
          </cell>
          <cell r="CG36">
            <v>742.32766666666657</v>
          </cell>
          <cell r="CH36" t="str">
            <v>Abatement amount</v>
          </cell>
          <cell r="CI36">
            <v>22.269830703735352</v>
          </cell>
          <cell r="CK36">
            <v>720.05783596293122</v>
          </cell>
          <cell r="CL36" t="str">
            <v>Abatement amount</v>
          </cell>
          <cell r="CM36">
            <v>193.00518798828125</v>
          </cell>
          <cell r="CO36">
            <v>549.32247867838532</v>
          </cell>
          <cell r="CP36" t="str">
            <v>Abatement amount</v>
          </cell>
          <cell r="CQ36">
            <v>193.00518798828125</v>
          </cell>
          <cell r="CS36">
            <v>549.32247867838532</v>
          </cell>
          <cell r="CT36" t="str">
            <v>Abatement amount</v>
          </cell>
          <cell r="CU36">
            <v>22.269830703735352</v>
          </cell>
          <cell r="CW36">
            <v>720.05783596293122</v>
          </cell>
          <cell r="CX36" t="str">
            <v>Abatement amount</v>
          </cell>
          <cell r="CY36">
            <v>193.00518798828125</v>
          </cell>
          <cell r="DA36">
            <v>549.32247867838532</v>
          </cell>
          <cell r="DB36" t="str">
            <v>Abatement amount</v>
          </cell>
          <cell r="DC36">
            <v>193.00518798828125</v>
          </cell>
          <cell r="DE36">
            <v>549.32247867838532</v>
          </cell>
          <cell r="DF36" t="str">
            <v>Abatement amount</v>
          </cell>
          <cell r="DG36">
            <v>22.269830703735352</v>
          </cell>
          <cell r="DI36">
            <v>720.05783596293122</v>
          </cell>
          <cell r="DJ36" t="str">
            <v>Emissions amount</v>
          </cell>
          <cell r="DK36">
            <v>742.32766666666657</v>
          </cell>
          <cell r="DM36">
            <v>742.32766666666657</v>
          </cell>
          <cell r="DN36" t="str">
            <v>Emissions amount</v>
          </cell>
          <cell r="DO36">
            <v>742.32766666666657</v>
          </cell>
          <cell r="DQ36">
            <v>742.32766666666657</v>
          </cell>
          <cell r="DR36" t="str">
            <v>Emissions amount</v>
          </cell>
          <cell r="DS36">
            <v>742.32766666666657</v>
          </cell>
          <cell r="DU36">
            <v>742.32766666666657</v>
          </cell>
          <cell r="DV36" t="str">
            <v>Emissions amount</v>
          </cell>
          <cell r="DW36">
            <v>742.32766666666657</v>
          </cell>
          <cell r="DY36">
            <v>742.32766666666657</v>
          </cell>
          <cell r="DZ36" t="str">
            <v>Abatement amount</v>
          </cell>
          <cell r="EA36">
            <v>22.269830703735352</v>
          </cell>
          <cell r="EC36">
            <v>720.05783596293122</v>
          </cell>
          <cell r="ED36" t="str">
            <v>Emissions amount</v>
          </cell>
          <cell r="EE36">
            <v>549</v>
          </cell>
          <cell r="EG36">
            <v>549</v>
          </cell>
          <cell r="EH36" t="str">
            <v>Abatement amount</v>
          </cell>
          <cell r="EI36">
            <v>0</v>
          </cell>
          <cell r="EK36">
            <v>795.67031250000002</v>
          </cell>
          <cell r="EL36" t="str">
            <v>Abatement amount</v>
          </cell>
          <cell r="EM36">
            <v>0</v>
          </cell>
          <cell r="EO36">
            <v>795.67031250000002</v>
          </cell>
          <cell r="EP36" t="str">
            <v>Abatement amount</v>
          </cell>
          <cell r="EQ36">
            <v>0</v>
          </cell>
          <cell r="ES36">
            <v>795.67031250000002</v>
          </cell>
          <cell r="ET36" t="str">
            <v>Abatement amount</v>
          </cell>
          <cell r="EU36">
            <v>111.79238822311162</v>
          </cell>
          <cell r="EW36">
            <v>683.87792427688839</v>
          </cell>
          <cell r="EX36" t="str">
            <v>Abatement amount</v>
          </cell>
          <cell r="EY36">
            <v>76.536619013175368</v>
          </cell>
          <cell r="FA36">
            <v>719.13369348682465</v>
          </cell>
          <cell r="FB36" t="str">
            <v>Abatement amount</v>
          </cell>
          <cell r="FC36">
            <v>46.424305435048154</v>
          </cell>
          <cell r="FE36">
            <v>749.24600706495187</v>
          </cell>
          <cell r="FF36" t="str">
            <v>Abatement amount</v>
          </cell>
          <cell r="FG36">
            <v>210.13594055175781</v>
          </cell>
          <cell r="FI36">
            <v>585.53437194824221</v>
          </cell>
          <cell r="FJ36" t="str">
            <v>Abatement amount</v>
          </cell>
          <cell r="FK36">
            <v>210.13594055175781</v>
          </cell>
          <cell r="FM36">
            <v>585.53437194824221</v>
          </cell>
          <cell r="FN36" t="str">
            <v>Abatement amount</v>
          </cell>
          <cell r="FO36">
            <v>0</v>
          </cell>
          <cell r="FQ36">
            <v>795.67031250000002</v>
          </cell>
          <cell r="FR36" t="str">
            <v>Abatement amount</v>
          </cell>
          <cell r="FS36">
            <v>0</v>
          </cell>
          <cell r="FU36">
            <v>795.67031250000002</v>
          </cell>
          <cell r="FV36" t="str">
            <v>Abatement amount</v>
          </cell>
          <cell r="FW36">
            <v>210.13594055175781</v>
          </cell>
          <cell r="FY36">
            <v>585.53437194824221</v>
          </cell>
          <cell r="FZ36" t="str">
            <v>Abatement amount</v>
          </cell>
          <cell r="GA36">
            <v>210.13594055175781</v>
          </cell>
          <cell r="GC36">
            <v>585.53437194824221</v>
          </cell>
          <cell r="GD36" t="str">
            <v>Abatement amount</v>
          </cell>
          <cell r="GE36">
            <v>210.13594055175781</v>
          </cell>
          <cell r="GG36">
            <v>585.53437194824221</v>
          </cell>
          <cell r="GH36" t="str">
            <v>Abatement amount</v>
          </cell>
          <cell r="GI36">
            <v>193.04299926757813</v>
          </cell>
          <cell r="GK36">
            <v>602.6273132324219</v>
          </cell>
          <cell r="GL36" t="str">
            <v>Abatement amount</v>
          </cell>
          <cell r="GM36">
            <v>111.79238822311163</v>
          </cell>
          <cell r="GO36">
            <v>683.87792427688839</v>
          </cell>
          <cell r="GP36" t="str">
            <v>Abatement amount</v>
          </cell>
          <cell r="GQ36">
            <v>46.424305435048154</v>
          </cell>
          <cell r="GS36">
            <v>749.24600706495187</v>
          </cell>
          <cell r="GT36" t="str">
            <v>Abatement amount</v>
          </cell>
          <cell r="GU36">
            <v>76.536619013175368</v>
          </cell>
          <cell r="GW36">
            <v>719.13369348682465</v>
          </cell>
          <cell r="GX36" t="str">
            <v>Abatement amount</v>
          </cell>
          <cell r="GY36">
            <v>0</v>
          </cell>
          <cell r="HA36">
            <v>795.67031250000002</v>
          </cell>
          <cell r="HB36" t="str">
            <v>Abatement amount</v>
          </cell>
          <cell r="HC36">
            <v>0</v>
          </cell>
          <cell r="HE36">
            <v>795.67031250000002</v>
          </cell>
          <cell r="HF36" t="str">
            <v>Abatement amount</v>
          </cell>
          <cell r="HG36">
            <v>0</v>
          </cell>
          <cell r="HI36">
            <v>795.67031250000002</v>
          </cell>
          <cell r="HJ36" t="str">
            <v>Abatement amount</v>
          </cell>
          <cell r="HK36">
            <v>0</v>
          </cell>
          <cell r="HM36">
            <v>795.67031250000002</v>
          </cell>
          <cell r="HN36" t="str">
            <v>Abatement amount</v>
          </cell>
          <cell r="HO36">
            <v>210.13594055175781</v>
          </cell>
          <cell r="HQ36">
            <v>585.53437194824221</v>
          </cell>
          <cell r="HR36" t="str">
            <v>Abatement amount</v>
          </cell>
          <cell r="HS36">
            <v>210.13594055175781</v>
          </cell>
          <cell r="HU36">
            <v>585.53437194824221</v>
          </cell>
          <cell r="HV36" t="str">
            <v>Abatement amount</v>
          </cell>
          <cell r="HW36">
            <v>210.13594055175781</v>
          </cell>
          <cell r="HX36" t="str">
            <v xml:space="preserve">Assume aviation is carbon-neutral growth from 2020. Meaning 2030 level capped at 2020 BAU level. </v>
          </cell>
          <cell r="HY36">
            <v>585.53437194824221</v>
          </cell>
          <cell r="HZ36" t="str">
            <v>Abatement amount</v>
          </cell>
          <cell r="IA36">
            <v>0</v>
          </cell>
          <cell r="IB36" t="str">
            <v>GLOCAF BAU</v>
          </cell>
          <cell r="IC36">
            <v>795.67031250000002</v>
          </cell>
          <cell r="ID36" t="str">
            <v>Abatement amount</v>
          </cell>
          <cell r="IE36">
            <v>0</v>
          </cell>
          <cell r="IF36" t="str">
            <v>GLOCAF BAU</v>
          </cell>
          <cell r="IG36">
            <v>795.67031250000002</v>
          </cell>
          <cell r="IH36" t="str">
            <v>Abatement amount</v>
          </cell>
          <cell r="II36">
            <v>210.13594055175781</v>
          </cell>
          <cell r="IJ36" t="str">
            <v>Assume aviation is carbon-neutral growth from 2020. So 2020 BAU is applied to all years going forward</v>
          </cell>
          <cell r="IK36">
            <v>585.53437194824221</v>
          </cell>
          <cell r="IL36" t="str">
            <v>Abatement amount</v>
          </cell>
          <cell r="IM36">
            <v>0</v>
          </cell>
          <cell r="IN36" t="str">
            <v>GLOCAF BAU</v>
          </cell>
          <cell r="IO36">
            <v>795.67031250000002</v>
          </cell>
          <cell r="IP36" t="str">
            <v>Abatement amount</v>
          </cell>
          <cell r="IQ36">
            <v>0</v>
          </cell>
          <cell r="IR36" t="str">
            <v>GLOCAF BAU</v>
          </cell>
          <cell r="IS36">
            <v>795.67031250000002</v>
          </cell>
          <cell r="IT36" t="str">
            <v>Abatement amount</v>
          </cell>
          <cell r="IU36">
            <v>210.13594055175781</v>
          </cell>
          <cell r="IV36" t="str">
            <v>Assume aviation is carbon-neutral growth from 2020. So 2020 BAU is applied to all years going forward</v>
          </cell>
          <cell r="IW36">
            <v>585.53437194824221</v>
          </cell>
          <cell r="IX36" t="str">
            <v>Abatement amount</v>
          </cell>
          <cell r="IY36">
            <v>210.13594055175781</v>
          </cell>
          <cell r="IZ36" t="str">
            <v>Assume aviation is carbon-neutral growth from 2020. So 2020 BAU is applied to all years going forward</v>
          </cell>
          <cell r="JA36">
            <v>585.53437194824221</v>
          </cell>
          <cell r="JB36" t="str">
            <v>Abatement amount</v>
          </cell>
          <cell r="JC36">
            <v>0</v>
          </cell>
          <cell r="JD36" t="str">
            <v>GLOCAF BAU</v>
          </cell>
          <cell r="JE36">
            <v>795.67031250000002</v>
          </cell>
          <cell r="JF36" t="str">
            <v>Abatement amount</v>
          </cell>
          <cell r="JG36">
            <v>0</v>
          </cell>
          <cell r="JH36" t="str">
            <v>GLOCAF BAU</v>
          </cell>
          <cell r="JI36">
            <v>795.67031250000002</v>
          </cell>
          <cell r="JJ36" t="str">
            <v>Abatement amount</v>
          </cell>
          <cell r="JK36">
            <v>0</v>
          </cell>
          <cell r="JL36" t="str">
            <v>GLOCAF BAU</v>
          </cell>
          <cell r="JM36">
            <v>795.67031250000002</v>
          </cell>
          <cell r="JN36" t="str">
            <v>Abatement amount</v>
          </cell>
          <cell r="JO36">
            <v>210.13594055175781</v>
          </cell>
          <cell r="JP36" t="str">
            <v>Assume aviation is carbon-neutral growth from 2020. So 2020 BAU is applied to all years going forward</v>
          </cell>
          <cell r="JQ36">
            <v>585.53437194824221</v>
          </cell>
          <cell r="JR36" t="str">
            <v>Abatement amount</v>
          </cell>
          <cell r="JS36">
            <v>210.13594055175781</v>
          </cell>
          <cell r="JT36" t="str">
            <v>Assume aviation is carbon-neutral growth from 2020. So 2020 BAU is applied to all years going forward</v>
          </cell>
          <cell r="JU36">
            <v>585.53437194824221</v>
          </cell>
          <cell r="JV36" t="str">
            <v>Abatement amount</v>
          </cell>
          <cell r="JW36">
            <v>0</v>
          </cell>
          <cell r="JX36" t="str">
            <v>GLOCAF BAU</v>
          </cell>
          <cell r="JY36">
            <v>795.67031250000002</v>
          </cell>
          <cell r="JZ36" t="str">
            <v>Abatement amount</v>
          </cell>
          <cell r="KA36">
            <v>0</v>
          </cell>
          <cell r="KB36" t="str">
            <v>GLOCAF BAU</v>
          </cell>
          <cell r="KC36">
            <v>795.67031250000002</v>
          </cell>
          <cell r="KD36" t="str">
            <v>Abatement amount</v>
          </cell>
          <cell r="KE36">
            <v>0</v>
          </cell>
          <cell r="KF36" t="str">
            <v>GLOCAF BAU</v>
          </cell>
          <cell r="KG36">
            <v>795.67031250000002</v>
          </cell>
          <cell r="KH36" t="str">
            <v>Abatement amount</v>
          </cell>
          <cell r="KI36">
            <v>0</v>
          </cell>
          <cell r="KJ36" t="str">
            <v>GLOCAF BAU</v>
          </cell>
          <cell r="KK36">
            <v>795.67031250000002</v>
          </cell>
          <cell r="KL36" t="str">
            <v>Abatement amount</v>
          </cell>
          <cell r="KM36">
            <v>0</v>
          </cell>
          <cell r="KN36" t="str">
            <v>GLOCAF BAU</v>
          </cell>
          <cell r="KO36">
            <v>795.67031250000002</v>
          </cell>
          <cell r="KP36" t="str">
            <v>Abatement amount</v>
          </cell>
          <cell r="KQ36">
            <v>0</v>
          </cell>
          <cell r="KR36" t="str">
            <v>GLOCAF BAU</v>
          </cell>
          <cell r="KS36">
            <v>795.67031250000002</v>
          </cell>
          <cell r="KT36" t="str">
            <v>Abatement amount</v>
          </cell>
          <cell r="KU36">
            <v>210.13594055175781</v>
          </cell>
          <cell r="KV36" t="str">
            <v>Assume aviation is carbon-neutral growth from 2020. So 2020 BAU is applied to all years going forward</v>
          </cell>
          <cell r="KW36">
            <v>585.53437194824221</v>
          </cell>
          <cell r="KX36" t="str">
            <v>Abatement amount</v>
          </cell>
          <cell r="KY36">
            <v>210.13594055175781</v>
          </cell>
          <cell r="KZ36" t="str">
            <v>Assume aviation is carbon-neutral growth from 2020. So 2020 BAU is applied to all years going forward</v>
          </cell>
          <cell r="LA36">
            <v>585.53437194824221</v>
          </cell>
          <cell r="LB36" t="str">
            <v>Abatement amount</v>
          </cell>
          <cell r="LC36">
            <v>0</v>
          </cell>
          <cell r="LD36" t="str">
            <v>GLOCAF BAU</v>
          </cell>
          <cell r="LE36">
            <v>795.67031250000002</v>
          </cell>
          <cell r="LF36" t="str">
            <v>Abatement amount</v>
          </cell>
          <cell r="LG36">
            <v>0</v>
          </cell>
          <cell r="LH36" t="str">
            <v>GLOCAF BAU</v>
          </cell>
          <cell r="LI36">
            <v>795.67031250000002</v>
          </cell>
          <cell r="LJ36" t="str">
            <v>Abatement amount</v>
          </cell>
          <cell r="LK36">
            <v>0</v>
          </cell>
          <cell r="LL36" t="str">
            <v>GLOCAF BAU</v>
          </cell>
          <cell r="LM36">
            <v>795.67031250000002</v>
          </cell>
          <cell r="LN36" t="str">
            <v>Abatement amount</v>
          </cell>
          <cell r="LO36">
            <v>0</v>
          </cell>
          <cell r="LP36" t="str">
            <v>GLOCAF BAU</v>
          </cell>
          <cell r="LQ36">
            <v>795.67031250000002</v>
          </cell>
          <cell r="LR36" t="str">
            <v>Abatement amount</v>
          </cell>
          <cell r="LS36">
            <v>0</v>
          </cell>
          <cell r="LT36" t="str">
            <v>GLOCAF BAU</v>
          </cell>
          <cell r="LU36">
            <v>795.67031250000002</v>
          </cell>
          <cell r="LV36" t="str">
            <v>Abatement amount</v>
          </cell>
          <cell r="LW36">
            <v>0</v>
          </cell>
          <cell r="LX36" t="str">
            <v>GLOCAF BAU</v>
          </cell>
          <cell r="LY36">
            <v>795.67031250000002</v>
          </cell>
          <cell r="LZ36" t="str">
            <v>Abatement amount</v>
          </cell>
          <cell r="MA36">
            <v>0</v>
          </cell>
          <cell r="MB36" t="str">
            <v>GLOCAF BAU</v>
          </cell>
          <cell r="MC36">
            <v>795.67031250000002</v>
          </cell>
          <cell r="MD36" t="str">
            <v>Abatement amount</v>
          </cell>
          <cell r="ME36">
            <v>0</v>
          </cell>
          <cell r="MF36" t="str">
            <v>GLOCAF BAU</v>
          </cell>
          <cell r="MG36">
            <v>795.67031250000002</v>
          </cell>
          <cell r="MH36" t="str">
            <v>Abatement amount</v>
          </cell>
          <cell r="MI36">
            <v>0</v>
          </cell>
          <cell r="MJ36" t="str">
            <v>GLOCAF BAU</v>
          </cell>
          <cell r="MK36">
            <v>795.67031250000002</v>
          </cell>
          <cell r="ML36" t="str">
            <v>Abatement amount</v>
          </cell>
          <cell r="MM36">
            <v>0</v>
          </cell>
          <cell r="MN36" t="str">
            <v>GLOCAF BAU</v>
          </cell>
          <cell r="MO36">
            <v>795.67031250000002</v>
          </cell>
          <cell r="MP36" t="str">
            <v>Abatement amount</v>
          </cell>
          <cell r="MQ36">
            <v>0</v>
          </cell>
          <cell r="MR36" t="str">
            <v>GLOCAF BAU</v>
          </cell>
          <cell r="MS36">
            <v>795.67031250000002</v>
          </cell>
          <cell r="MT36" t="str">
            <v>Abatement amount</v>
          </cell>
          <cell r="MU36">
            <v>0</v>
          </cell>
          <cell r="MV36" t="str">
            <v>GLOCAF BAU</v>
          </cell>
          <cell r="MW36">
            <v>795.67031250000002</v>
          </cell>
          <cell r="MX36" t="str">
            <v>Abatement amount</v>
          </cell>
          <cell r="MY36">
            <v>0</v>
          </cell>
          <cell r="MZ36" t="str">
            <v>GLOCAF BAU</v>
          </cell>
          <cell r="NA36">
            <v>795.67031250000002</v>
          </cell>
          <cell r="NB36" t="str">
            <v>Abatement amount</v>
          </cell>
          <cell r="NC36">
            <v>0</v>
          </cell>
          <cell r="ND36" t="str">
            <v>GLOCAF BAU</v>
          </cell>
          <cell r="NE36">
            <v>795.67031250000002</v>
          </cell>
          <cell r="NF36" t="str">
            <v>Abatement amount</v>
          </cell>
          <cell r="NG36">
            <v>0</v>
          </cell>
          <cell r="NH36" t="str">
            <v>GLOCAF BAU</v>
          </cell>
          <cell r="NI36">
            <v>795.67031250000002</v>
          </cell>
          <cell r="NJ36" t="str">
            <v>Abatement amount</v>
          </cell>
          <cell r="NK36">
            <v>0</v>
          </cell>
          <cell r="NL36" t="str">
            <v>GLOCAF BAU</v>
          </cell>
          <cell r="NM36">
            <v>795.67031250000002</v>
          </cell>
          <cell r="NN36" t="str">
            <v>Abatement amount</v>
          </cell>
          <cell r="NO36">
            <v>0</v>
          </cell>
          <cell r="NP36" t="str">
            <v>GLOCAF BAU</v>
          </cell>
          <cell r="NQ36">
            <v>795.67031250000002</v>
          </cell>
          <cell r="NR36" t="str">
            <v>Abatement amount</v>
          </cell>
          <cell r="NS36">
            <v>0</v>
          </cell>
          <cell r="NT36" t="str">
            <v>GLOCAF BAU</v>
          </cell>
          <cell r="NU36">
            <v>795.67031250000002</v>
          </cell>
          <cell r="NV36" t="str">
            <v>Abatement amount</v>
          </cell>
          <cell r="NW36">
            <v>0</v>
          </cell>
          <cell r="NX36" t="str">
            <v>GLOCAF BAU</v>
          </cell>
          <cell r="NY36">
            <v>795.67031250000002</v>
          </cell>
          <cell r="NZ36" t="str">
            <v>Abatement amount</v>
          </cell>
          <cell r="OA36">
            <v>0</v>
          </cell>
          <cell r="OB36" t="str">
            <v>GLOCAF BAU</v>
          </cell>
          <cell r="OC36">
            <v>795.67031250000002</v>
          </cell>
          <cell r="OD36" t="str">
            <v>Abatement amount</v>
          </cell>
          <cell r="OE36">
            <v>0</v>
          </cell>
          <cell r="OF36" t="str">
            <v>GLOCAF BAU</v>
          </cell>
          <cell r="OG36">
            <v>795.67031250000002</v>
          </cell>
          <cell r="OH36" t="str">
            <v>Abatement amount</v>
          </cell>
          <cell r="OI36">
            <v>0</v>
          </cell>
          <cell r="OJ36" t="str">
            <v>GLOCAF BAU</v>
          </cell>
          <cell r="OK36">
            <v>795.67031250000002</v>
          </cell>
          <cell r="OL36" t="str">
            <v>Abatement amount</v>
          </cell>
          <cell r="OM36">
            <v>0</v>
          </cell>
          <cell r="ON36" t="str">
            <v>GLOCAF BAU</v>
          </cell>
          <cell r="OO36">
            <v>795.67031250000002</v>
          </cell>
          <cell r="OP36" t="str">
            <v>Abatement amount</v>
          </cell>
          <cell r="OQ36">
            <v>0</v>
          </cell>
          <cell r="OR36" t="str">
            <v>GLOCAF BAU</v>
          </cell>
          <cell r="OS36">
            <v>795.67031250000002</v>
          </cell>
          <cell r="OT36" t="str">
            <v>Abatement amount</v>
          </cell>
          <cell r="OU36">
            <v>0</v>
          </cell>
          <cell r="OV36" t="str">
            <v>GLOCAF BAU</v>
          </cell>
          <cell r="OW36">
            <v>795.67031250000002</v>
          </cell>
          <cell r="OX36" t="str">
            <v>Abatement amount</v>
          </cell>
          <cell r="OY36">
            <v>0</v>
          </cell>
          <cell r="OZ36" t="str">
            <v>GLOCAF BAU</v>
          </cell>
          <cell r="PA36">
            <v>795.67031250000002</v>
          </cell>
          <cell r="PB36" t="str">
            <v>Abatement amount</v>
          </cell>
          <cell r="PC36">
            <v>0</v>
          </cell>
          <cell r="PD36" t="str">
            <v>GLOCAF BAU</v>
          </cell>
          <cell r="PE36">
            <v>795.67031250000002</v>
          </cell>
          <cell r="PF36" t="str">
            <v>Abatement amount</v>
          </cell>
          <cell r="PG36">
            <v>0</v>
          </cell>
          <cell r="PH36" t="str">
            <v>GLOCAF BAU</v>
          </cell>
          <cell r="PI36">
            <v>795.67031250000002</v>
          </cell>
          <cell r="PJ36" t="str">
            <v>Abatement amount</v>
          </cell>
          <cell r="PK36">
            <v>0</v>
          </cell>
          <cell r="PL36" t="str">
            <v>GLOCAF BAU</v>
          </cell>
          <cell r="PM36">
            <v>795.67031250000002</v>
          </cell>
          <cell r="PN36" t="str">
            <v>Abatement amount</v>
          </cell>
          <cell r="PO36">
            <v>0</v>
          </cell>
          <cell r="PP36" t="str">
            <v>GLOCAF BAU</v>
          </cell>
          <cell r="PQ36">
            <v>795.67031250000002</v>
          </cell>
          <cell r="PR36" t="str">
            <v>Abatement amount</v>
          </cell>
          <cell r="PS36">
            <v>0</v>
          </cell>
          <cell r="PT36" t="str">
            <v>GLOCAF BAU</v>
          </cell>
          <cell r="PU36">
            <v>795.67031250000002</v>
          </cell>
          <cell r="PV36" t="str">
            <v>Abatement amount</v>
          </cell>
          <cell r="PW36">
            <v>0</v>
          </cell>
          <cell r="PX36" t="str">
            <v>GLOCAF BAU</v>
          </cell>
          <cell r="PY36">
            <v>795.67031250000002</v>
          </cell>
          <cell r="PZ36" t="str">
            <v>Abatement amount</v>
          </cell>
          <cell r="QA36">
            <v>0</v>
          </cell>
          <cell r="QB36" t="str">
            <v>GLOCAF BAU</v>
          </cell>
          <cell r="QC36">
            <v>795.67031250000002</v>
          </cell>
          <cell r="QD36" t="str">
            <v>Abatement amount</v>
          </cell>
          <cell r="QE36">
            <v>0</v>
          </cell>
          <cell r="QF36" t="str">
            <v>GLOCAF BAU</v>
          </cell>
          <cell r="QG36">
            <v>795.67031250000002</v>
          </cell>
          <cell r="QH36" t="str">
            <v>Abatement amount</v>
          </cell>
          <cell r="QI36">
            <v>0</v>
          </cell>
          <cell r="QJ36" t="str">
            <v>GLOCAF BAU</v>
          </cell>
          <cell r="QK36">
            <v>795.67031250000002</v>
          </cell>
          <cell r="QL36" t="str">
            <v>Abatement amount</v>
          </cell>
          <cell r="QM36">
            <v>0</v>
          </cell>
          <cell r="QN36" t="str">
            <v>GLOCAF BAU</v>
          </cell>
          <cell r="QO36">
            <v>795.67031250000002</v>
          </cell>
          <cell r="QP36" t="str">
            <v>Abatement amount</v>
          </cell>
          <cell r="QQ36">
            <v>0</v>
          </cell>
          <cell r="QR36" t="str">
            <v>GLOCAF BAU</v>
          </cell>
          <cell r="QS36">
            <v>795.67031250000002</v>
          </cell>
          <cell r="QT36" t="str">
            <v>Abatement amount</v>
          </cell>
          <cell r="QU36">
            <v>0</v>
          </cell>
          <cell r="QV36" t="str">
            <v>GLOCAF BAU</v>
          </cell>
          <cell r="QW36">
            <v>795.67031250000002</v>
          </cell>
          <cell r="QX36" t="str">
            <v>Abatement amount</v>
          </cell>
          <cell r="QY36">
            <v>0</v>
          </cell>
          <cell r="QZ36" t="str">
            <v>GLOCAF BAU</v>
          </cell>
          <cell r="RA36">
            <v>795.67031250000002</v>
          </cell>
          <cell r="RB36" t="str">
            <v>Abatement amount</v>
          </cell>
          <cell r="RC36">
            <v>0</v>
          </cell>
          <cell r="RD36" t="str">
            <v>GLOCAF BAU</v>
          </cell>
          <cell r="RE36">
            <v>795.67031250000002</v>
          </cell>
          <cell r="RF36" t="str">
            <v>Abatement amount</v>
          </cell>
          <cell r="RG36">
            <v>0</v>
          </cell>
          <cell r="RH36" t="str">
            <v>GLOCAF BAU</v>
          </cell>
          <cell r="RI36">
            <v>795.67031250000002</v>
          </cell>
          <cell r="RJ36" t="str">
            <v>Abatement amount</v>
          </cell>
          <cell r="RK36">
            <v>0</v>
          </cell>
          <cell r="RL36" t="str">
            <v>GLOCAF BAU</v>
          </cell>
          <cell r="RM36">
            <v>795.67031250000002</v>
          </cell>
          <cell r="RN36" t="str">
            <v>Abatement amount</v>
          </cell>
          <cell r="RO36">
            <v>0</v>
          </cell>
          <cell r="RP36" t="str">
            <v>GLOCAF BAU</v>
          </cell>
          <cell r="RQ36">
            <v>795.67031250000002</v>
          </cell>
          <cell r="RR36" t="str">
            <v>Abatement amount</v>
          </cell>
          <cell r="RS36">
            <v>0</v>
          </cell>
          <cell r="RT36" t="str">
            <v>GLOCAF BAU</v>
          </cell>
          <cell r="RU36">
            <v>795.67031250000002</v>
          </cell>
        </row>
        <row r="37">
          <cell r="A37" t="str">
            <v>International Maritime</v>
          </cell>
          <cell r="B37" t="str">
            <v>Abatement amount</v>
          </cell>
          <cell r="C37">
            <v>322.47402656308259</v>
          </cell>
          <cell r="D37">
            <v>0</v>
          </cell>
          <cell r="E37">
            <v>314.86964010358406</v>
          </cell>
          <cell r="F37" t="str">
            <v>Abatement amount</v>
          </cell>
          <cell r="G37">
            <v>139.77659501899325</v>
          </cell>
          <cell r="I37">
            <v>497.5670716476734</v>
          </cell>
          <cell r="J37" t="str">
            <v>Abatement amount</v>
          </cell>
          <cell r="K37">
            <v>0</v>
          </cell>
          <cell r="M37">
            <v>637.34366666666665</v>
          </cell>
          <cell r="N37" t="str">
            <v>Abatement amount</v>
          </cell>
          <cell r="O37">
            <v>0</v>
          </cell>
          <cell r="Q37">
            <v>637.34366666666665</v>
          </cell>
          <cell r="R37" t="str">
            <v>Abatement amount</v>
          </cell>
          <cell r="S37">
            <v>63.734367370605469</v>
          </cell>
          <cell r="U37">
            <v>573.60929929606118</v>
          </cell>
          <cell r="V37" t="str">
            <v>Abatement amount</v>
          </cell>
          <cell r="W37">
            <v>63.734367370605469</v>
          </cell>
          <cell r="Y37">
            <v>573.60929929606118</v>
          </cell>
          <cell r="Z37" t="str">
            <v>Abatement amount</v>
          </cell>
          <cell r="AA37">
            <v>322</v>
          </cell>
          <cell r="AC37">
            <v>315.34366666666665</v>
          </cell>
          <cell r="AD37" t="str">
            <v>Abatement amount</v>
          </cell>
          <cell r="AE37">
            <v>134.12820434570313</v>
          </cell>
          <cell r="AG37">
            <v>503.21546232096352</v>
          </cell>
          <cell r="AH37" t="str">
            <v>Abatement amount</v>
          </cell>
          <cell r="AI37">
            <v>0</v>
          </cell>
          <cell r="AK37">
            <v>637.34366666666665</v>
          </cell>
          <cell r="AL37" t="str">
            <v>Abatement amount</v>
          </cell>
          <cell r="AM37">
            <v>0</v>
          </cell>
          <cell r="AO37">
            <v>637.34366666666665</v>
          </cell>
          <cell r="AP37" t="str">
            <v>Abatement amount</v>
          </cell>
          <cell r="AQ37">
            <v>63.734367370605469</v>
          </cell>
          <cell r="AS37">
            <v>573.60929929606118</v>
          </cell>
          <cell r="AT37" t="str">
            <v>Abatement amount</v>
          </cell>
          <cell r="AU37">
            <v>63.734367370605469</v>
          </cell>
          <cell r="AW37">
            <v>573.60929929606118</v>
          </cell>
          <cell r="AX37" t="str">
            <v>Emissions amount</v>
          </cell>
          <cell r="AY37">
            <v>637.34366666666665</v>
          </cell>
          <cell r="BA37">
            <v>637.34366666666665</v>
          </cell>
          <cell r="BB37" t="str">
            <v>Emissions amount</v>
          </cell>
          <cell r="BC37">
            <v>637.34366666666665</v>
          </cell>
          <cell r="BE37">
            <v>637.34366666666665</v>
          </cell>
          <cell r="BF37" t="str">
            <v>Emissions amount</v>
          </cell>
          <cell r="BG37">
            <v>637.34366666666665</v>
          </cell>
          <cell r="BI37">
            <v>637.34366666666665</v>
          </cell>
          <cell r="BJ37" t="str">
            <v>Emissions amount</v>
          </cell>
          <cell r="BK37">
            <v>637.34366666666665</v>
          </cell>
          <cell r="BM37">
            <v>637.34366666666665</v>
          </cell>
          <cell r="BN37" t="str">
            <v>Emissions amount</v>
          </cell>
          <cell r="BO37">
            <v>637.34366666666665</v>
          </cell>
          <cell r="BQ37">
            <v>637.34366666666665</v>
          </cell>
          <cell r="BR37" t="str">
            <v>Emissions amount</v>
          </cell>
          <cell r="BS37">
            <v>637.34366666666665</v>
          </cell>
          <cell r="BU37">
            <v>637.34366666666665</v>
          </cell>
          <cell r="BV37" t="str">
            <v>Emissions amount</v>
          </cell>
          <cell r="BW37">
            <v>573.60929929606118</v>
          </cell>
          <cell r="BY37">
            <v>573.60929929606118</v>
          </cell>
          <cell r="BZ37" t="str">
            <v>Emissions amount</v>
          </cell>
          <cell r="CA37">
            <v>637.34366666666665</v>
          </cell>
          <cell r="CC37">
            <v>637.34366666666665</v>
          </cell>
          <cell r="CD37" t="str">
            <v>Emissions amount</v>
          </cell>
          <cell r="CE37">
            <v>637.34366666666665</v>
          </cell>
          <cell r="CG37">
            <v>637.34366666666665</v>
          </cell>
          <cell r="CH37" t="str">
            <v>Abatement amount</v>
          </cell>
          <cell r="CI37">
            <v>0</v>
          </cell>
          <cell r="CK37">
            <v>637.34366666666665</v>
          </cell>
          <cell r="CL37" t="str">
            <v>Abatement amount</v>
          </cell>
          <cell r="CM37">
            <v>63.734367370605469</v>
          </cell>
          <cell r="CO37">
            <v>573.60929929606118</v>
          </cell>
          <cell r="CP37" t="str">
            <v>Abatement amount</v>
          </cell>
          <cell r="CQ37">
            <v>63.734367370605469</v>
          </cell>
          <cell r="CS37">
            <v>573.60929929606118</v>
          </cell>
          <cell r="CT37" t="str">
            <v>Abatement amount</v>
          </cell>
          <cell r="CU37">
            <v>0</v>
          </cell>
          <cell r="CW37">
            <v>637.34366666666665</v>
          </cell>
          <cell r="CX37" t="str">
            <v>Abatement amount</v>
          </cell>
          <cell r="CY37">
            <v>63.734367370605469</v>
          </cell>
          <cell r="DA37">
            <v>573.60929929606118</v>
          </cell>
          <cell r="DB37" t="str">
            <v>Abatement amount</v>
          </cell>
          <cell r="DC37">
            <v>63.734367370605469</v>
          </cell>
          <cell r="DE37">
            <v>573.60929929606118</v>
          </cell>
          <cell r="DF37" t="str">
            <v>Abatement amount</v>
          </cell>
          <cell r="DG37">
            <v>0</v>
          </cell>
          <cell r="DI37">
            <v>637.34366666666665</v>
          </cell>
          <cell r="DJ37" t="str">
            <v>Emissions amount</v>
          </cell>
          <cell r="DK37">
            <v>637.34366666666665</v>
          </cell>
          <cell r="DM37">
            <v>637.34366666666665</v>
          </cell>
          <cell r="DN37" t="str">
            <v>Emissions amount</v>
          </cell>
          <cell r="DO37">
            <v>637.34366666666665</v>
          </cell>
          <cell r="DQ37">
            <v>637.34366666666665</v>
          </cell>
          <cell r="DR37" t="str">
            <v>Emissions amount</v>
          </cell>
          <cell r="DS37">
            <v>637.34366666666665</v>
          </cell>
          <cell r="DU37">
            <v>637.34366666666665</v>
          </cell>
          <cell r="DV37" t="str">
            <v>Emissions amount</v>
          </cell>
          <cell r="DW37">
            <v>637.34366666666665</v>
          </cell>
          <cell r="DY37">
            <v>637.34366666666665</v>
          </cell>
          <cell r="DZ37" t="str">
            <v>Abatement amount</v>
          </cell>
          <cell r="EA37">
            <v>0</v>
          </cell>
          <cell r="EC37">
            <v>637.34366666666665</v>
          </cell>
          <cell r="ED37" t="str">
            <v>Emissions amount</v>
          </cell>
          <cell r="EE37">
            <v>574</v>
          </cell>
          <cell r="EG37">
            <v>574</v>
          </cell>
          <cell r="EH37" t="str">
            <v>Abatement amount</v>
          </cell>
          <cell r="EI37">
            <v>0</v>
          </cell>
          <cell r="EK37">
            <v>914.78581250000002</v>
          </cell>
          <cell r="EL37" t="str">
            <v>Abatement amount</v>
          </cell>
          <cell r="EM37">
            <v>0</v>
          </cell>
          <cell r="EO37">
            <v>914.78581250000002</v>
          </cell>
          <cell r="EP37" t="str">
            <v>Abatement amount</v>
          </cell>
          <cell r="EQ37">
            <v>0</v>
          </cell>
          <cell r="ES37">
            <v>914.78581250000002</v>
          </cell>
          <cell r="ET37" t="str">
            <v>Abatement amount</v>
          </cell>
          <cell r="EU37">
            <v>458.8687049979344</v>
          </cell>
          <cell r="EW37">
            <v>455.91710750206562</v>
          </cell>
          <cell r="EX37" t="str">
            <v>Abatement amount</v>
          </cell>
          <cell r="EY37">
            <v>356.23270021181088</v>
          </cell>
          <cell r="FA37">
            <v>558.55311228818914</v>
          </cell>
          <cell r="FB37" t="str">
            <v>Abatement amount</v>
          </cell>
          <cell r="FC37">
            <v>226.57250870598364</v>
          </cell>
          <cell r="FE37">
            <v>688.21330379401638</v>
          </cell>
          <cell r="FF37" t="str">
            <v>Abatement amount</v>
          </cell>
          <cell r="FG37">
            <v>0</v>
          </cell>
          <cell r="FI37">
            <v>914.78581250000002</v>
          </cell>
          <cell r="FJ37" t="str">
            <v>Abatement amount</v>
          </cell>
          <cell r="FK37">
            <v>99.285377502441406</v>
          </cell>
          <cell r="FM37">
            <v>815.50043499755861</v>
          </cell>
          <cell r="FN37" t="str">
            <v>Abatement amount</v>
          </cell>
          <cell r="FO37">
            <v>0</v>
          </cell>
          <cell r="FQ37">
            <v>914.78581250000002</v>
          </cell>
          <cell r="FR37" t="str">
            <v>Abatement amount</v>
          </cell>
          <cell r="FS37">
            <v>0</v>
          </cell>
          <cell r="FU37">
            <v>914.78581250000002</v>
          </cell>
          <cell r="FV37" t="str">
            <v>Abatement amount</v>
          </cell>
          <cell r="FW37">
            <v>0</v>
          </cell>
          <cell r="FY37">
            <v>914.78581250000002</v>
          </cell>
          <cell r="FZ37" t="str">
            <v>Abatement amount</v>
          </cell>
          <cell r="GA37">
            <v>99.285377502441406</v>
          </cell>
          <cell r="GC37">
            <v>815.50043499755861</v>
          </cell>
          <cell r="GD37" t="str">
            <v>Abatement amount</v>
          </cell>
          <cell r="GE37">
            <v>99.285377502441406</v>
          </cell>
          <cell r="GG37">
            <v>815.50043499755861</v>
          </cell>
          <cell r="GH37" t="str">
            <v>Abatement amount</v>
          </cell>
          <cell r="GI37">
            <v>261.82205200195313</v>
          </cell>
          <cell r="GK37">
            <v>652.9637604980469</v>
          </cell>
          <cell r="GL37" t="str">
            <v>Abatement amount</v>
          </cell>
          <cell r="GM37">
            <v>458.8687049979344</v>
          </cell>
          <cell r="GO37">
            <v>455.91710750206562</v>
          </cell>
          <cell r="GP37" t="str">
            <v>Abatement amount</v>
          </cell>
          <cell r="GQ37">
            <v>226.57250870598364</v>
          </cell>
          <cell r="GS37">
            <v>688.21330379401638</v>
          </cell>
          <cell r="GT37" t="str">
            <v>Abatement amount</v>
          </cell>
          <cell r="GU37">
            <v>356.23270021181088</v>
          </cell>
          <cell r="GW37">
            <v>558.55311228818914</v>
          </cell>
          <cell r="GX37" t="str">
            <v>Abatement amount</v>
          </cell>
          <cell r="GY37">
            <v>0</v>
          </cell>
          <cell r="HA37">
            <v>914.78581250000002</v>
          </cell>
          <cell r="HB37" t="str">
            <v>Abatement amount</v>
          </cell>
          <cell r="HC37">
            <v>0</v>
          </cell>
          <cell r="HE37">
            <v>914.78581250000002</v>
          </cell>
          <cell r="HF37" t="str">
            <v>Abatement amount</v>
          </cell>
          <cell r="HG37">
            <v>0</v>
          </cell>
          <cell r="HI37">
            <v>914.78581250000002</v>
          </cell>
          <cell r="HJ37" t="str">
            <v>Abatement amount</v>
          </cell>
          <cell r="HK37">
            <v>0</v>
          </cell>
          <cell r="HM37">
            <v>914.78581250000002</v>
          </cell>
          <cell r="HN37" t="str">
            <v>Abatement amount</v>
          </cell>
          <cell r="HO37">
            <v>99.285377502441406</v>
          </cell>
          <cell r="HQ37">
            <v>815.50043499755861</v>
          </cell>
          <cell r="HR37" t="str">
            <v>Abatement amount</v>
          </cell>
          <cell r="HS37">
            <v>0</v>
          </cell>
          <cell r="HU37">
            <v>914.78581250000002</v>
          </cell>
          <cell r="HV37" t="str">
            <v>Abatement amount</v>
          </cell>
          <cell r="HW37">
            <v>0</v>
          </cell>
          <cell r="HX37" t="str">
            <v>0% on GLOCAF BAU</v>
          </cell>
          <cell r="HY37">
            <v>914.78581250000002</v>
          </cell>
          <cell r="HZ37" t="str">
            <v>Abatement amount</v>
          </cell>
          <cell r="IA37">
            <v>0</v>
          </cell>
          <cell r="IB37" t="str">
            <v>GLOCAF BAU</v>
          </cell>
          <cell r="IC37">
            <v>914.78581250000002</v>
          </cell>
          <cell r="ID37" t="str">
            <v>Abatement amount</v>
          </cell>
          <cell r="IE37">
            <v>0</v>
          </cell>
          <cell r="IF37" t="str">
            <v>GLOCAF BAU</v>
          </cell>
          <cell r="IG37">
            <v>914.78581250000002</v>
          </cell>
          <cell r="IH37" t="str">
            <v>Abatement amount</v>
          </cell>
          <cell r="II37">
            <v>99.285377502441406</v>
          </cell>
          <cell r="IJ37" t="str">
            <v>Assume maritime is carbon-neutral growth from 2025 in high only. So 2025 BAU is applied to all years going forward</v>
          </cell>
          <cell r="IK37">
            <v>815.50043499755861</v>
          </cell>
          <cell r="IL37" t="str">
            <v>Abatement amount</v>
          </cell>
          <cell r="IM37">
            <v>0</v>
          </cell>
          <cell r="IN37" t="str">
            <v>GLOCAF BAU</v>
          </cell>
          <cell r="IO37">
            <v>914.78581250000002</v>
          </cell>
          <cell r="IP37" t="str">
            <v>Abatement amount</v>
          </cell>
          <cell r="IQ37">
            <v>0</v>
          </cell>
          <cell r="IR37" t="str">
            <v>GLOCAF BAU</v>
          </cell>
          <cell r="IS37">
            <v>914.78581250000002</v>
          </cell>
          <cell r="IT37" t="str">
            <v>Abatement amount</v>
          </cell>
          <cell r="IU37">
            <v>0</v>
          </cell>
          <cell r="IV37" t="str">
            <v>Assume no action.</v>
          </cell>
          <cell r="IW37">
            <v>914.78581250000002</v>
          </cell>
          <cell r="IX37" t="str">
            <v>Abatement amount</v>
          </cell>
          <cell r="IY37">
            <v>99.285377502441406</v>
          </cell>
          <cell r="IZ37" t="str">
            <v>Assume maritime is carbon-neutral growth from 2025 in high only. So 2025 BAU is applied to all years going forward</v>
          </cell>
          <cell r="JA37">
            <v>815.50043499755861</v>
          </cell>
          <cell r="JB37" t="str">
            <v>Abatement amount</v>
          </cell>
          <cell r="JC37">
            <v>0</v>
          </cell>
          <cell r="JD37" t="str">
            <v>GLOCAF BAU</v>
          </cell>
          <cell r="JE37">
            <v>914.78581250000002</v>
          </cell>
          <cell r="JF37" t="str">
            <v>Abatement amount</v>
          </cell>
          <cell r="JG37">
            <v>0</v>
          </cell>
          <cell r="JH37" t="str">
            <v>GLOCAF BAU</v>
          </cell>
          <cell r="JI37">
            <v>914.78581250000002</v>
          </cell>
          <cell r="JJ37" t="str">
            <v>Abatement amount</v>
          </cell>
          <cell r="JK37">
            <v>0</v>
          </cell>
          <cell r="JL37" t="str">
            <v>GLOCAF BAU</v>
          </cell>
          <cell r="JM37">
            <v>914.78581250000002</v>
          </cell>
          <cell r="JN37" t="str">
            <v>Abatement amount</v>
          </cell>
          <cell r="JO37">
            <v>0</v>
          </cell>
          <cell r="JP37" t="str">
            <v>Assume no action.</v>
          </cell>
          <cell r="JQ37">
            <v>914.78581250000002</v>
          </cell>
          <cell r="JR37" t="str">
            <v>Abatement amount</v>
          </cell>
          <cell r="JS37">
            <v>99.285377502441406</v>
          </cell>
          <cell r="JT37" t="str">
            <v>Assume maritime is carbon-neutral growth from 2025 in high only. So 2025 BAU is applied to all years going forward</v>
          </cell>
          <cell r="JU37">
            <v>815.50043499755861</v>
          </cell>
          <cell r="JV37" t="str">
            <v>Abatement amount</v>
          </cell>
          <cell r="JW37">
            <v>0</v>
          </cell>
          <cell r="JX37" t="str">
            <v>GLOCAF BAU</v>
          </cell>
          <cell r="JY37">
            <v>914.78581250000002</v>
          </cell>
          <cell r="JZ37" t="str">
            <v>Abatement amount</v>
          </cell>
          <cell r="KA37">
            <v>0</v>
          </cell>
          <cell r="KB37" t="str">
            <v>GLOCAF BAU</v>
          </cell>
          <cell r="KC37">
            <v>914.78581250000002</v>
          </cell>
          <cell r="KD37" t="str">
            <v>Abatement amount</v>
          </cell>
          <cell r="KE37">
            <v>0</v>
          </cell>
          <cell r="KF37" t="str">
            <v>GLOCAF BAU</v>
          </cell>
          <cell r="KG37">
            <v>914.78581250000002</v>
          </cell>
          <cell r="KH37" t="str">
            <v>Abatement amount</v>
          </cell>
          <cell r="KI37">
            <v>0</v>
          </cell>
          <cell r="KJ37" t="str">
            <v>GLOCAF BAU</v>
          </cell>
          <cell r="KK37">
            <v>914.78581250000002</v>
          </cell>
          <cell r="KL37" t="str">
            <v>Abatement amount</v>
          </cell>
          <cell r="KM37">
            <v>0</v>
          </cell>
          <cell r="KN37" t="str">
            <v>GLOCAF BAU</v>
          </cell>
          <cell r="KO37">
            <v>914.78581250000002</v>
          </cell>
          <cell r="KP37" t="str">
            <v>Abatement amount</v>
          </cell>
          <cell r="KQ37">
            <v>0</v>
          </cell>
          <cell r="KR37" t="str">
            <v>GLOCAF BAU</v>
          </cell>
          <cell r="KS37">
            <v>914.78581250000002</v>
          </cell>
          <cell r="KT37" t="str">
            <v>Abatement amount</v>
          </cell>
          <cell r="KU37">
            <v>0</v>
          </cell>
          <cell r="KV37" t="str">
            <v>Assume no action.</v>
          </cell>
          <cell r="KW37">
            <v>914.78581250000002</v>
          </cell>
          <cell r="KX37" t="str">
            <v>Abatement amount</v>
          </cell>
          <cell r="KY37">
            <v>99.285377502441406</v>
          </cell>
          <cell r="KZ37" t="str">
            <v>Assume maritime is carbon-neutral growth from 2025 in high only. So 2025 BAU is applied to all years going forward</v>
          </cell>
          <cell r="LA37">
            <v>815.50043499755861</v>
          </cell>
          <cell r="LB37" t="str">
            <v>Abatement amount</v>
          </cell>
          <cell r="LC37">
            <v>0</v>
          </cell>
          <cell r="LD37" t="str">
            <v>GLOCAF BAU</v>
          </cell>
          <cell r="LE37">
            <v>914.78581250000002</v>
          </cell>
          <cell r="LF37" t="str">
            <v>Abatement amount</v>
          </cell>
          <cell r="LG37">
            <v>0</v>
          </cell>
          <cell r="LH37" t="str">
            <v>GLOCAF BAU</v>
          </cell>
          <cell r="LI37">
            <v>914.78581250000002</v>
          </cell>
          <cell r="LJ37" t="str">
            <v>Abatement amount</v>
          </cell>
          <cell r="LK37">
            <v>0</v>
          </cell>
          <cell r="LL37" t="str">
            <v>GLOCAF BAU</v>
          </cell>
          <cell r="LM37">
            <v>914.78581250000002</v>
          </cell>
          <cell r="LN37" t="str">
            <v>Abatement amount</v>
          </cell>
          <cell r="LO37">
            <v>0</v>
          </cell>
          <cell r="LP37" t="str">
            <v>GLOCAF BAU</v>
          </cell>
          <cell r="LQ37">
            <v>914.78581250000002</v>
          </cell>
          <cell r="LR37" t="str">
            <v>Abatement amount</v>
          </cell>
          <cell r="LS37">
            <v>0</v>
          </cell>
          <cell r="LT37" t="str">
            <v>GLOCAF BAU</v>
          </cell>
          <cell r="LU37">
            <v>914.78581250000002</v>
          </cell>
          <cell r="LV37" t="str">
            <v>Abatement amount</v>
          </cell>
          <cell r="LW37">
            <v>0</v>
          </cell>
          <cell r="LX37" t="str">
            <v>GLOCAF BAU</v>
          </cell>
          <cell r="LY37">
            <v>914.78581250000002</v>
          </cell>
          <cell r="LZ37" t="str">
            <v>Abatement amount</v>
          </cell>
          <cell r="MA37">
            <v>0</v>
          </cell>
          <cell r="MB37" t="str">
            <v>GLOCAF BAU</v>
          </cell>
          <cell r="MC37">
            <v>914.78581250000002</v>
          </cell>
          <cell r="MD37" t="str">
            <v>Abatement amount</v>
          </cell>
          <cell r="ME37">
            <v>0</v>
          </cell>
          <cell r="MF37" t="str">
            <v>GLOCAF BAU</v>
          </cell>
          <cell r="MG37">
            <v>914.78581250000002</v>
          </cell>
          <cell r="MH37" t="str">
            <v>Abatement amount</v>
          </cell>
          <cell r="MI37">
            <v>0</v>
          </cell>
          <cell r="MJ37" t="str">
            <v>GLOCAF BAU</v>
          </cell>
          <cell r="MK37">
            <v>914.78581250000002</v>
          </cell>
          <cell r="ML37" t="str">
            <v>Abatement amount</v>
          </cell>
          <cell r="MM37">
            <v>0</v>
          </cell>
          <cell r="MN37" t="str">
            <v>GLOCAF BAU</v>
          </cell>
          <cell r="MO37">
            <v>914.78581250000002</v>
          </cell>
          <cell r="MP37" t="str">
            <v>Abatement amount</v>
          </cell>
          <cell r="MQ37">
            <v>0</v>
          </cell>
          <cell r="MR37" t="str">
            <v>GLOCAF BAU</v>
          </cell>
          <cell r="MS37">
            <v>914.78581250000002</v>
          </cell>
          <cell r="MT37" t="str">
            <v>Abatement amount</v>
          </cell>
          <cell r="MU37">
            <v>0</v>
          </cell>
          <cell r="MV37" t="str">
            <v>GLOCAF BAU</v>
          </cell>
          <cell r="MW37">
            <v>914.78581250000002</v>
          </cell>
          <cell r="MX37" t="str">
            <v>Abatement amount</v>
          </cell>
          <cell r="MY37">
            <v>0</v>
          </cell>
          <cell r="MZ37" t="str">
            <v>GLOCAF BAU</v>
          </cell>
          <cell r="NA37">
            <v>914.78581250000002</v>
          </cell>
          <cell r="NB37" t="str">
            <v>Abatement amount</v>
          </cell>
          <cell r="NC37">
            <v>0</v>
          </cell>
          <cell r="ND37" t="str">
            <v>GLOCAF BAU</v>
          </cell>
          <cell r="NE37">
            <v>914.78581250000002</v>
          </cell>
          <cell r="NF37" t="str">
            <v>Abatement amount</v>
          </cell>
          <cell r="NG37">
            <v>0</v>
          </cell>
          <cell r="NH37" t="str">
            <v>GLOCAF BAU</v>
          </cell>
          <cell r="NI37">
            <v>914.78581250000002</v>
          </cell>
          <cell r="NJ37" t="str">
            <v>Abatement amount</v>
          </cell>
          <cell r="NK37">
            <v>0</v>
          </cell>
          <cell r="NL37" t="str">
            <v>GLOCAF BAU</v>
          </cell>
          <cell r="NM37">
            <v>914.78581250000002</v>
          </cell>
          <cell r="NN37" t="str">
            <v>Abatement amount</v>
          </cell>
          <cell r="NO37">
            <v>0</v>
          </cell>
          <cell r="NP37" t="str">
            <v>GLOCAF BAU</v>
          </cell>
          <cell r="NQ37">
            <v>914.78581250000002</v>
          </cell>
          <cell r="NR37" t="str">
            <v>Abatement amount</v>
          </cell>
          <cell r="NS37">
            <v>0</v>
          </cell>
          <cell r="NT37" t="str">
            <v>GLOCAF BAU</v>
          </cell>
          <cell r="NU37">
            <v>914.78581250000002</v>
          </cell>
          <cell r="NV37" t="str">
            <v>Abatement amount</v>
          </cell>
          <cell r="NW37">
            <v>0</v>
          </cell>
          <cell r="NX37" t="str">
            <v>GLOCAF BAU</v>
          </cell>
          <cell r="NY37">
            <v>914.78581250000002</v>
          </cell>
          <cell r="NZ37" t="str">
            <v>Abatement amount</v>
          </cell>
          <cell r="OA37">
            <v>0</v>
          </cell>
          <cell r="OB37" t="str">
            <v>GLOCAF BAU</v>
          </cell>
          <cell r="OC37">
            <v>914.78581250000002</v>
          </cell>
          <cell r="OD37" t="str">
            <v>Abatement amount</v>
          </cell>
          <cell r="OE37">
            <v>0</v>
          </cell>
          <cell r="OF37" t="str">
            <v>GLOCAF BAU</v>
          </cell>
          <cell r="OG37">
            <v>914.78581250000002</v>
          </cell>
          <cell r="OH37" t="str">
            <v>Abatement amount</v>
          </cell>
          <cell r="OI37">
            <v>0</v>
          </cell>
          <cell r="OJ37" t="str">
            <v>GLOCAF BAU</v>
          </cell>
          <cell r="OK37">
            <v>914.78581250000002</v>
          </cell>
          <cell r="OL37" t="str">
            <v>Abatement amount</v>
          </cell>
          <cell r="OM37">
            <v>0</v>
          </cell>
          <cell r="ON37" t="str">
            <v>GLOCAF BAU</v>
          </cell>
          <cell r="OO37">
            <v>914.78581250000002</v>
          </cell>
          <cell r="OP37" t="str">
            <v>Abatement amount</v>
          </cell>
          <cell r="OQ37">
            <v>0</v>
          </cell>
          <cell r="OR37" t="str">
            <v>GLOCAF BAU</v>
          </cell>
          <cell r="OS37">
            <v>914.78581250000002</v>
          </cell>
          <cell r="OT37" t="str">
            <v>Abatement amount</v>
          </cell>
          <cell r="OU37">
            <v>0</v>
          </cell>
          <cell r="OV37" t="str">
            <v>GLOCAF BAU</v>
          </cell>
          <cell r="OW37">
            <v>914.78581250000002</v>
          </cell>
          <cell r="OX37" t="str">
            <v>Abatement amount</v>
          </cell>
          <cell r="OY37">
            <v>0</v>
          </cell>
          <cell r="OZ37" t="str">
            <v>GLOCAF BAU</v>
          </cell>
          <cell r="PA37">
            <v>914.78581250000002</v>
          </cell>
          <cell r="PB37" t="str">
            <v>Abatement amount</v>
          </cell>
          <cell r="PC37">
            <v>0</v>
          </cell>
          <cell r="PD37" t="str">
            <v>GLOCAF BAU</v>
          </cell>
          <cell r="PE37">
            <v>914.78581250000002</v>
          </cell>
          <cell r="PF37" t="str">
            <v>Abatement amount</v>
          </cell>
          <cell r="PG37">
            <v>0</v>
          </cell>
          <cell r="PH37" t="str">
            <v>GLOCAF BAU</v>
          </cell>
          <cell r="PI37">
            <v>914.78581250000002</v>
          </cell>
          <cell r="PJ37" t="str">
            <v>Abatement amount</v>
          </cell>
          <cell r="PK37">
            <v>0</v>
          </cell>
          <cell r="PL37" t="str">
            <v>GLOCAF BAU</v>
          </cell>
          <cell r="PM37">
            <v>914.78581250000002</v>
          </cell>
          <cell r="PN37" t="str">
            <v>Abatement amount</v>
          </cell>
          <cell r="PO37">
            <v>0</v>
          </cell>
          <cell r="PP37" t="str">
            <v>GLOCAF BAU</v>
          </cell>
          <cell r="PQ37">
            <v>914.78581250000002</v>
          </cell>
          <cell r="PR37" t="str">
            <v>Abatement amount</v>
          </cell>
          <cell r="PS37">
            <v>0</v>
          </cell>
          <cell r="PT37" t="str">
            <v>GLOCAF BAU</v>
          </cell>
          <cell r="PU37">
            <v>914.78581250000002</v>
          </cell>
          <cell r="PV37" t="str">
            <v>Abatement amount</v>
          </cell>
          <cell r="PW37">
            <v>0</v>
          </cell>
          <cell r="PX37" t="str">
            <v>GLOCAF BAU</v>
          </cell>
          <cell r="PY37">
            <v>914.78581250000002</v>
          </cell>
          <cell r="PZ37" t="str">
            <v>Abatement amount</v>
          </cell>
          <cell r="QA37">
            <v>0</v>
          </cell>
          <cell r="QB37" t="str">
            <v>GLOCAF BAU</v>
          </cell>
          <cell r="QC37">
            <v>914.78581250000002</v>
          </cell>
          <cell r="QD37" t="str">
            <v>Abatement amount</v>
          </cell>
          <cell r="QE37">
            <v>0</v>
          </cell>
          <cell r="QF37" t="str">
            <v>GLOCAF BAU</v>
          </cell>
          <cell r="QG37">
            <v>914.78581250000002</v>
          </cell>
          <cell r="QH37" t="str">
            <v>Abatement amount</v>
          </cell>
          <cell r="QI37">
            <v>0</v>
          </cell>
          <cell r="QJ37" t="str">
            <v>GLOCAF BAU</v>
          </cell>
          <cell r="QK37">
            <v>914.78581250000002</v>
          </cell>
          <cell r="QL37" t="str">
            <v>Abatement amount</v>
          </cell>
          <cell r="QM37">
            <v>0</v>
          </cell>
          <cell r="QN37" t="str">
            <v>GLOCAF BAU</v>
          </cell>
          <cell r="QO37">
            <v>914.78581250000002</v>
          </cell>
          <cell r="QP37" t="str">
            <v>Abatement amount</v>
          </cell>
          <cell r="QQ37">
            <v>0</v>
          </cell>
          <cell r="QR37" t="str">
            <v>GLOCAF BAU</v>
          </cell>
          <cell r="QS37">
            <v>914.78581250000002</v>
          </cell>
          <cell r="QT37" t="str">
            <v>Abatement amount</v>
          </cell>
          <cell r="QU37">
            <v>0</v>
          </cell>
          <cell r="QV37" t="str">
            <v>GLOCAF BAU</v>
          </cell>
          <cell r="QW37">
            <v>914.78581250000002</v>
          </cell>
          <cell r="QX37" t="str">
            <v>Abatement amount</v>
          </cell>
          <cell r="QY37">
            <v>0</v>
          </cell>
          <cell r="QZ37" t="str">
            <v>GLOCAF BAU</v>
          </cell>
          <cell r="RA37">
            <v>914.78581250000002</v>
          </cell>
          <cell r="RB37" t="str">
            <v>Abatement amount</v>
          </cell>
          <cell r="RC37">
            <v>0</v>
          </cell>
          <cell r="RD37" t="str">
            <v>GLOCAF BAU</v>
          </cell>
          <cell r="RE37">
            <v>914.78581250000002</v>
          </cell>
          <cell r="RF37" t="str">
            <v>Abatement amount</v>
          </cell>
          <cell r="RG37">
            <v>0</v>
          </cell>
          <cell r="RH37" t="str">
            <v>GLOCAF BAU</v>
          </cell>
          <cell r="RI37">
            <v>914.78581250000002</v>
          </cell>
          <cell r="RJ37" t="str">
            <v>Abatement amount</v>
          </cell>
          <cell r="RK37">
            <v>0</v>
          </cell>
          <cell r="RL37" t="str">
            <v>GLOCAF BAU</v>
          </cell>
          <cell r="RM37">
            <v>914.78581250000002</v>
          </cell>
          <cell r="RN37" t="str">
            <v>Abatement amount</v>
          </cell>
          <cell r="RO37">
            <v>0</v>
          </cell>
          <cell r="RP37" t="str">
            <v>GLOCAF BAU</v>
          </cell>
          <cell r="RQ37">
            <v>914.78581250000002</v>
          </cell>
          <cell r="RR37" t="str">
            <v>Abatement amount</v>
          </cell>
          <cell r="RS37">
            <v>0</v>
          </cell>
          <cell r="RT37" t="str">
            <v>GLOCAF BAU</v>
          </cell>
          <cell r="RU37">
            <v>914.78581250000002</v>
          </cell>
        </row>
        <row r="38">
          <cell r="D38">
            <v>0</v>
          </cell>
          <cell r="E38">
            <v>0</v>
          </cell>
          <cell r="IF38">
            <v>0</v>
          </cell>
          <cell r="IJ38">
            <v>0</v>
          </cell>
        </row>
        <row r="39">
          <cell r="A39" t="str">
            <v>Peat</v>
          </cell>
          <cell r="D39">
            <v>0</v>
          </cell>
          <cell r="E39">
            <v>1500</v>
          </cell>
          <cell r="H39">
            <v>0</v>
          </cell>
          <cell r="I39">
            <v>1500</v>
          </cell>
          <cell r="L39">
            <v>0</v>
          </cell>
          <cell r="M39">
            <v>1500</v>
          </cell>
          <cell r="P39">
            <v>0</v>
          </cell>
          <cell r="Q39">
            <v>1500</v>
          </cell>
          <cell r="T39">
            <v>0</v>
          </cell>
          <cell r="U39">
            <v>1500</v>
          </cell>
          <cell r="X39">
            <v>0</v>
          </cell>
          <cell r="Y39">
            <v>1500</v>
          </cell>
          <cell r="AB39">
            <v>0</v>
          </cell>
          <cell r="AC39">
            <v>1500</v>
          </cell>
          <cell r="AF39">
            <v>0</v>
          </cell>
          <cell r="AG39">
            <v>1500</v>
          </cell>
          <cell r="AJ39">
            <v>0</v>
          </cell>
          <cell r="AK39">
            <v>1500</v>
          </cell>
          <cell r="AN39">
            <v>0</v>
          </cell>
          <cell r="AO39">
            <v>1500</v>
          </cell>
          <cell r="AR39">
            <v>0</v>
          </cell>
          <cell r="AS39">
            <v>1500</v>
          </cell>
          <cell r="AV39">
            <v>0</v>
          </cell>
          <cell r="AW39">
            <v>1500</v>
          </cell>
          <cell r="BA39">
            <v>1500</v>
          </cell>
          <cell r="BE39">
            <v>1500</v>
          </cell>
          <cell r="BI39">
            <v>1500</v>
          </cell>
          <cell r="BM39">
            <v>1500</v>
          </cell>
          <cell r="BQ39">
            <v>1500</v>
          </cell>
          <cell r="BU39">
            <v>1500</v>
          </cell>
          <cell r="BY39">
            <v>1500</v>
          </cell>
          <cell r="CC39">
            <v>1500</v>
          </cell>
          <cell r="CG39">
            <v>1500</v>
          </cell>
          <cell r="CK39">
            <v>1500</v>
          </cell>
          <cell r="CO39">
            <v>1500</v>
          </cell>
          <cell r="CS39">
            <v>1500</v>
          </cell>
          <cell r="CW39">
            <v>1500</v>
          </cell>
          <cell r="DA39">
            <v>1500</v>
          </cell>
          <cell r="DE39">
            <v>1500</v>
          </cell>
          <cell r="DI39">
            <v>1500</v>
          </cell>
          <cell r="DM39">
            <v>1500</v>
          </cell>
          <cell r="DQ39">
            <v>1500</v>
          </cell>
          <cell r="DU39">
            <v>1500</v>
          </cell>
          <cell r="DY39">
            <v>1500</v>
          </cell>
          <cell r="EC39">
            <v>1500</v>
          </cell>
          <cell r="EG39">
            <v>1500</v>
          </cell>
          <cell r="EK39">
            <v>1500</v>
          </cell>
          <cell r="EO39">
            <v>1500</v>
          </cell>
          <cell r="ES39">
            <v>1500</v>
          </cell>
          <cell r="EW39">
            <v>1500</v>
          </cell>
          <cell r="FA39">
            <v>1500</v>
          </cell>
          <cell r="FE39">
            <v>1500</v>
          </cell>
          <cell r="FI39">
            <v>1500</v>
          </cell>
          <cell r="FM39">
            <v>1500</v>
          </cell>
          <cell r="FQ39">
            <v>1500</v>
          </cell>
          <cell r="FU39">
            <v>1500</v>
          </cell>
          <cell r="FY39">
            <v>1500</v>
          </cell>
          <cell r="GC39">
            <v>1500</v>
          </cell>
          <cell r="GG39">
            <v>1500</v>
          </cell>
          <cell r="GK39">
            <v>1500</v>
          </cell>
          <cell r="GO39">
            <v>1500</v>
          </cell>
          <cell r="GS39">
            <v>1500</v>
          </cell>
          <cell r="GW39">
            <v>1500</v>
          </cell>
          <cell r="HA39">
            <v>1500</v>
          </cell>
          <cell r="HE39">
            <v>1500</v>
          </cell>
          <cell r="HI39">
            <v>1500</v>
          </cell>
          <cell r="HM39">
            <v>1500</v>
          </cell>
          <cell r="HQ39">
            <v>1500</v>
          </cell>
          <cell r="HU39">
            <v>1500</v>
          </cell>
          <cell r="HY39">
            <v>1500</v>
          </cell>
          <cell r="IC39">
            <v>1500</v>
          </cell>
          <cell r="IF39">
            <v>0</v>
          </cell>
          <cell r="IG39">
            <v>1500</v>
          </cell>
          <cell r="IJ39">
            <v>0</v>
          </cell>
          <cell r="IK39">
            <v>1500</v>
          </cell>
          <cell r="IN39">
            <v>0</v>
          </cell>
          <cell r="IO39">
            <v>1500</v>
          </cell>
          <cell r="IR39">
            <v>0</v>
          </cell>
          <cell r="IS39">
            <v>1500</v>
          </cell>
          <cell r="IV39">
            <v>0</v>
          </cell>
          <cell r="IW39">
            <v>1500</v>
          </cell>
          <cell r="IZ39">
            <v>0</v>
          </cell>
          <cell r="JA39">
            <v>1500</v>
          </cell>
          <cell r="JD39">
            <v>0</v>
          </cell>
          <cell r="JE39">
            <v>1500</v>
          </cell>
          <cell r="JH39">
            <v>0</v>
          </cell>
          <cell r="JI39">
            <v>1500</v>
          </cell>
          <cell r="JL39">
            <v>0</v>
          </cell>
          <cell r="JM39">
            <v>1500</v>
          </cell>
          <cell r="JP39">
            <v>0</v>
          </cell>
          <cell r="JQ39">
            <v>1500</v>
          </cell>
          <cell r="JT39">
            <v>0</v>
          </cell>
          <cell r="JU39">
            <v>1500</v>
          </cell>
          <cell r="JX39">
            <v>0</v>
          </cell>
          <cell r="JY39">
            <v>1500</v>
          </cell>
          <cell r="KB39">
            <v>0</v>
          </cell>
          <cell r="KC39">
            <v>1500</v>
          </cell>
          <cell r="KF39">
            <v>0</v>
          </cell>
          <cell r="KG39">
            <v>1500</v>
          </cell>
          <cell r="KJ39">
            <v>0</v>
          </cell>
          <cell r="KK39">
            <v>1500</v>
          </cell>
          <cell r="KN39">
            <v>0</v>
          </cell>
          <cell r="KO39">
            <v>1500</v>
          </cell>
          <cell r="KR39">
            <v>0</v>
          </cell>
          <cell r="KS39">
            <v>1500</v>
          </cell>
          <cell r="KV39">
            <v>0</v>
          </cell>
          <cell r="KW39">
            <v>1500</v>
          </cell>
          <cell r="KZ39">
            <v>0</v>
          </cell>
          <cell r="LA39">
            <v>1500</v>
          </cell>
          <cell r="LD39">
            <v>0</v>
          </cell>
          <cell r="LE39">
            <v>1500</v>
          </cell>
          <cell r="LH39">
            <v>0</v>
          </cell>
          <cell r="LI39">
            <v>600</v>
          </cell>
          <cell r="LL39">
            <v>0</v>
          </cell>
          <cell r="LM39">
            <v>600</v>
          </cell>
          <cell r="LP39">
            <v>0</v>
          </cell>
          <cell r="LQ39">
            <v>600</v>
          </cell>
          <cell r="LT39">
            <v>0</v>
          </cell>
          <cell r="LU39">
            <v>600</v>
          </cell>
          <cell r="LX39">
            <v>0</v>
          </cell>
          <cell r="LY39">
            <v>600</v>
          </cell>
          <cell r="MB39">
            <v>0</v>
          </cell>
          <cell r="MC39">
            <v>600</v>
          </cell>
          <cell r="MF39">
            <v>0</v>
          </cell>
          <cell r="MG39">
            <v>600</v>
          </cell>
          <cell r="MJ39">
            <v>0</v>
          </cell>
          <cell r="MK39">
            <v>600</v>
          </cell>
          <cell r="MN39">
            <v>0</v>
          </cell>
          <cell r="MO39">
            <v>600</v>
          </cell>
          <cell r="MR39">
            <v>0</v>
          </cell>
          <cell r="MS39">
            <v>600</v>
          </cell>
          <cell r="MV39">
            <v>0</v>
          </cell>
          <cell r="MW39">
            <v>600</v>
          </cell>
          <cell r="MZ39">
            <v>0</v>
          </cell>
          <cell r="NA39">
            <v>600</v>
          </cell>
          <cell r="ND39">
            <v>0</v>
          </cell>
          <cell r="NE39">
            <v>600</v>
          </cell>
          <cell r="NH39">
            <v>0</v>
          </cell>
          <cell r="NI39">
            <v>600</v>
          </cell>
          <cell r="NL39">
            <v>0</v>
          </cell>
          <cell r="NM39">
            <v>600</v>
          </cell>
          <cell r="NP39">
            <v>0</v>
          </cell>
          <cell r="NQ39">
            <v>600</v>
          </cell>
          <cell r="NT39">
            <v>0</v>
          </cell>
          <cell r="NU39">
            <v>600</v>
          </cell>
          <cell r="NX39">
            <v>0</v>
          </cell>
          <cell r="NY39">
            <v>600</v>
          </cell>
          <cell r="OB39">
            <v>0</v>
          </cell>
          <cell r="OC39">
            <v>600</v>
          </cell>
          <cell r="OF39">
            <v>0</v>
          </cell>
          <cell r="OG39">
            <v>600</v>
          </cell>
          <cell r="OJ39">
            <v>0</v>
          </cell>
          <cell r="OK39">
            <v>600</v>
          </cell>
          <cell r="ON39">
            <v>0</v>
          </cell>
          <cell r="OO39">
            <v>600</v>
          </cell>
          <cell r="OR39">
            <v>0</v>
          </cell>
          <cell r="OS39">
            <v>600</v>
          </cell>
          <cell r="OV39">
            <v>0</v>
          </cell>
          <cell r="OW39">
            <v>600</v>
          </cell>
          <cell r="OZ39">
            <v>0</v>
          </cell>
          <cell r="PA39">
            <v>600</v>
          </cell>
          <cell r="PD39">
            <v>0</v>
          </cell>
          <cell r="PE39">
            <v>600</v>
          </cell>
          <cell r="PH39">
            <v>0</v>
          </cell>
          <cell r="PI39">
            <v>600</v>
          </cell>
          <cell r="PL39">
            <v>0</v>
          </cell>
          <cell r="PM39">
            <v>600</v>
          </cell>
          <cell r="PP39">
            <v>0</v>
          </cell>
          <cell r="PQ39">
            <v>600</v>
          </cell>
          <cell r="PT39">
            <v>0</v>
          </cell>
          <cell r="PU39">
            <v>600</v>
          </cell>
          <cell r="PX39">
            <v>0</v>
          </cell>
          <cell r="PY39">
            <v>600</v>
          </cell>
          <cell r="QB39">
            <v>0</v>
          </cell>
          <cell r="QC39">
            <v>600</v>
          </cell>
          <cell r="QF39">
            <v>0</v>
          </cell>
          <cell r="QG39">
            <v>600</v>
          </cell>
          <cell r="QJ39">
            <v>0</v>
          </cell>
          <cell r="QK39">
            <v>600</v>
          </cell>
          <cell r="QN39">
            <v>0</v>
          </cell>
          <cell r="QO39">
            <v>600</v>
          </cell>
          <cell r="QR39">
            <v>0</v>
          </cell>
          <cell r="QS39">
            <v>600</v>
          </cell>
          <cell r="QV39">
            <v>0</v>
          </cell>
          <cell r="QW39">
            <v>600</v>
          </cell>
          <cell r="QZ39">
            <v>0</v>
          </cell>
          <cell r="RA39">
            <v>600</v>
          </cell>
          <cell r="RD39">
            <v>0</v>
          </cell>
          <cell r="RE39">
            <v>600</v>
          </cell>
          <cell r="RH39">
            <v>0</v>
          </cell>
          <cell r="RI39">
            <v>600</v>
          </cell>
          <cell r="RL39">
            <v>0</v>
          </cell>
          <cell r="RM39">
            <v>600</v>
          </cell>
          <cell r="RP39">
            <v>0</v>
          </cell>
          <cell r="RQ39">
            <v>600</v>
          </cell>
          <cell r="RT39">
            <v>0</v>
          </cell>
          <cell r="RU39">
            <v>600</v>
          </cell>
        </row>
        <row r="40">
          <cell r="D40">
            <v>0</v>
          </cell>
          <cell r="E40">
            <v>0</v>
          </cell>
          <cell r="H40">
            <v>0</v>
          </cell>
          <cell r="I40">
            <v>0</v>
          </cell>
          <cell r="L40">
            <v>0</v>
          </cell>
          <cell r="M40">
            <v>0</v>
          </cell>
          <cell r="P40">
            <v>0</v>
          </cell>
          <cell r="Q40">
            <v>0</v>
          </cell>
          <cell r="T40">
            <v>0</v>
          </cell>
          <cell r="U40">
            <v>0</v>
          </cell>
          <cell r="X40">
            <v>0</v>
          </cell>
          <cell r="Y40">
            <v>0</v>
          </cell>
          <cell r="AB40">
            <v>0</v>
          </cell>
          <cell r="AC40">
            <v>0</v>
          </cell>
          <cell r="AF40">
            <v>0</v>
          </cell>
          <cell r="AG40">
            <v>0</v>
          </cell>
          <cell r="AJ40">
            <v>0</v>
          </cell>
          <cell r="AK40">
            <v>0</v>
          </cell>
          <cell r="AN40">
            <v>0</v>
          </cell>
          <cell r="AO40">
            <v>0</v>
          </cell>
          <cell r="AR40">
            <v>0</v>
          </cell>
          <cell r="AS40">
            <v>0</v>
          </cell>
          <cell r="AV40">
            <v>0</v>
          </cell>
          <cell r="AW40">
            <v>0</v>
          </cell>
        </row>
      </sheetData>
      <sheetData sheetId="8">
        <row r="4">
          <cell r="A4">
            <v>0</v>
          </cell>
          <cell r="B4">
            <v>0</v>
          </cell>
          <cell r="C4" t="str">
            <v>2.5 degree</v>
          </cell>
          <cell r="D4">
            <v>0</v>
          </cell>
          <cell r="E4" t="str">
            <v>2 degree (excluding Foresty Fund)</v>
          </cell>
          <cell r="F4" t="str">
            <v>Realistic low</v>
          </cell>
          <cell r="G4" t="str">
            <v>Expected offer (excluding Foresty Fund)</v>
          </cell>
          <cell r="H4" t="str">
            <v>Realistic High (excluding Foresty Fund)</v>
          </cell>
          <cell r="I4" t="str">
            <v>Ambitious ask (excluding Foresty Fund)</v>
          </cell>
        </row>
        <row r="5">
          <cell r="A5" t="str">
            <v>AAUs held back</v>
          </cell>
          <cell r="B5">
            <v>0</v>
          </cell>
          <cell r="C5">
            <v>0</v>
          </cell>
          <cell r="D5">
            <v>0</v>
          </cell>
          <cell r="E5">
            <v>0</v>
          </cell>
          <cell r="F5">
            <v>0</v>
          </cell>
          <cell r="G5">
            <v>0</v>
          </cell>
          <cell r="H5">
            <v>0</v>
          </cell>
          <cell r="I5">
            <v>0</v>
          </cell>
        </row>
        <row r="6">
          <cell r="A6" t="str">
            <v>Annex 1</v>
          </cell>
          <cell r="B6">
            <v>9.6804337334016187E-4</v>
          </cell>
          <cell r="C6">
            <v>1.6860714253123616E-3</v>
          </cell>
          <cell r="D6">
            <v>7.9972847939527268E-3</v>
          </cell>
          <cell r="E6">
            <v>1.0957224702829746E-2</v>
          </cell>
          <cell r="F6">
            <v>1.3700778512759832E-3</v>
          </cell>
          <cell r="G6">
            <v>2.6319465483330895E-3</v>
          </cell>
          <cell r="H6">
            <v>8.8604478442486975E-3</v>
          </cell>
          <cell r="I6">
            <v>1.0018735192076465E-2</v>
          </cell>
        </row>
        <row r="7">
          <cell r="A7" t="str">
            <v>Non Annex 1</v>
          </cell>
          <cell r="B7">
            <v>9.6814701817037757E-4</v>
          </cell>
          <cell r="C7">
            <v>1.2677400562925243E-3</v>
          </cell>
          <cell r="D7">
            <v>6.7060722834710621E-3</v>
          </cell>
          <cell r="E7">
            <v>9.1527999098812776E-3</v>
          </cell>
          <cell r="F7">
            <v>5.4513740238941238E-4</v>
          </cell>
          <cell r="G7">
            <v>5.4513740238941238E-4</v>
          </cell>
          <cell r="H7">
            <v>2.3962338611748049E-3</v>
          </cell>
          <cell r="I7">
            <v>5.0327561359230881E-3</v>
          </cell>
        </row>
        <row r="8">
          <cell r="A8" t="str">
            <v>International Bunkers</v>
          </cell>
          <cell r="B8">
            <v>0</v>
          </cell>
          <cell r="C8">
            <v>0</v>
          </cell>
          <cell r="D8">
            <v>0</v>
          </cell>
          <cell r="E8">
            <v>0</v>
          </cell>
          <cell r="F8">
            <v>0</v>
          </cell>
          <cell r="G8">
            <v>0</v>
          </cell>
          <cell r="H8">
            <v>0</v>
          </cell>
          <cell r="I8">
            <v>0</v>
          </cell>
        </row>
        <row r="9">
          <cell r="A9">
            <v>0</v>
          </cell>
          <cell r="B9">
            <v>0</v>
          </cell>
          <cell r="C9">
            <v>0</v>
          </cell>
          <cell r="D9">
            <v>0</v>
          </cell>
          <cell r="E9">
            <v>0</v>
          </cell>
          <cell r="F9">
            <v>0</v>
          </cell>
          <cell r="G9">
            <v>0</v>
          </cell>
          <cell r="H9">
            <v>0</v>
          </cell>
          <cell r="I9">
            <v>0</v>
          </cell>
        </row>
        <row r="10">
          <cell r="A10" t="str">
            <v>Brazil</v>
          </cell>
          <cell r="B10">
            <v>9.6804350024191032E-4</v>
          </cell>
          <cell r="C10">
            <v>1.5071196736070485E-3</v>
          </cell>
          <cell r="D10">
            <v>4.1494419737550109E-3</v>
          </cell>
          <cell r="E10">
            <v>6.0987328668798083E-3</v>
          </cell>
          <cell r="F10">
            <v>9.1264239989784994E-4</v>
          </cell>
          <cell r="G10">
            <v>9.1264239989784994E-4</v>
          </cell>
          <cell r="H10">
            <v>1.7037445051720386E-3</v>
          </cell>
          <cell r="I10">
            <v>1.7893474579556594E-3</v>
          </cell>
        </row>
        <row r="11">
          <cell r="A11" t="str">
            <v>Canada</v>
          </cell>
          <cell r="B11">
            <v>9.6804345448862049E-4</v>
          </cell>
          <cell r="C11">
            <v>1.7851927278378919E-3</v>
          </cell>
          <cell r="D11">
            <v>8.6927192872261819E-3</v>
          </cell>
          <cell r="E11">
            <v>1.1985688606405146E-2</v>
          </cell>
          <cell r="F11">
            <v>0</v>
          </cell>
          <cell r="G11">
            <v>0</v>
          </cell>
          <cell r="H11">
            <v>2.568601027166816E-4</v>
          </cell>
          <cell r="I11">
            <v>6.9101627537849425E-3</v>
          </cell>
        </row>
        <row r="12">
          <cell r="A12" t="str">
            <v>China</v>
          </cell>
          <cell r="B12">
            <v>9.6804343971701511E-4</v>
          </cell>
          <cell r="C12">
            <v>1.341749529239665E-3</v>
          </cell>
          <cell r="D12">
            <v>7.6887994087345268E-3</v>
          </cell>
          <cell r="E12">
            <v>1.0390890093949796E-2</v>
          </cell>
          <cell r="F12">
            <v>2.8010251092848139E-4</v>
          </cell>
          <cell r="G12">
            <v>2.8010251092848139E-4</v>
          </cell>
          <cell r="H12">
            <v>1.6438047773796635E-3</v>
          </cell>
          <cell r="I12">
            <v>9.5988224290340374E-3</v>
          </cell>
        </row>
        <row r="13">
          <cell r="A13" t="str">
            <v>EU</v>
          </cell>
          <cell r="B13">
            <v>9.6804347425077019E-4</v>
          </cell>
          <cell r="C13">
            <v>1.1356929661872181E-3</v>
          </cell>
          <cell r="D13">
            <v>5.6423450413378958E-3</v>
          </cell>
          <cell r="E13">
            <v>8.0131546380924432E-3</v>
          </cell>
          <cell r="F13">
            <v>1.2638633767417845E-4</v>
          </cell>
          <cell r="G13">
            <v>9.6804347425077019E-4</v>
          </cell>
          <cell r="H13">
            <v>6.1769085631569135E-3</v>
          </cell>
          <cell r="I13">
            <v>6.1769085631569135E-3</v>
          </cell>
        </row>
        <row r="14">
          <cell r="A14" t="str">
            <v>India</v>
          </cell>
          <cell r="B14">
            <v>9.6804596566088541E-4</v>
          </cell>
          <cell r="C14">
            <v>3.8345603058398067E-4</v>
          </cell>
          <cell r="D14">
            <v>3.2131523243949349E-3</v>
          </cell>
          <cell r="E14">
            <v>6.2055289664598202E-3</v>
          </cell>
          <cell r="F14">
            <v>0</v>
          </cell>
          <cell r="G14">
            <v>0</v>
          </cell>
          <cell r="H14">
            <v>3.0038454461015591E-4</v>
          </cell>
          <cell r="I14">
            <v>1.0734163944929338E-3</v>
          </cell>
        </row>
        <row r="15">
          <cell r="A15" t="str">
            <v>Indonesia</v>
          </cell>
          <cell r="B15">
            <v>9.5888688110956925E-4</v>
          </cell>
          <cell r="C15">
            <v>1.0153109669714373E-3</v>
          </cell>
          <cell r="D15">
            <v>4.5883176689368388E-3</v>
          </cell>
          <cell r="E15">
            <v>7.0192809753657865E-3</v>
          </cell>
          <cell r="F15">
            <v>1.3160396584183547E-3</v>
          </cell>
          <cell r="G15">
            <v>1.3160396584183547E-3</v>
          </cell>
          <cell r="H15">
            <v>3.5256466184118923E-3</v>
          </cell>
          <cell r="I15">
            <v>5.5925348109558525E-3</v>
          </cell>
        </row>
        <row r="16">
          <cell r="A16" t="str">
            <v>International Aviation</v>
          </cell>
          <cell r="B16">
            <v>0</v>
          </cell>
          <cell r="C16">
            <v>0</v>
          </cell>
          <cell r="D16">
            <v>0</v>
          </cell>
          <cell r="E16">
            <v>0</v>
          </cell>
          <cell r="F16">
            <v>0</v>
          </cell>
          <cell r="G16">
            <v>0</v>
          </cell>
          <cell r="H16">
            <v>0</v>
          </cell>
          <cell r="I16">
            <v>0</v>
          </cell>
        </row>
        <row r="17">
          <cell r="A17" t="str">
            <v>International Maritime</v>
          </cell>
          <cell r="B17">
            <v>0</v>
          </cell>
          <cell r="C17">
            <v>0</v>
          </cell>
          <cell r="D17">
            <v>0</v>
          </cell>
          <cell r="E17">
            <v>0</v>
          </cell>
          <cell r="F17">
            <v>0</v>
          </cell>
          <cell r="G17">
            <v>0</v>
          </cell>
          <cell r="H17">
            <v>0</v>
          </cell>
          <cell r="I17">
            <v>0</v>
          </cell>
        </row>
        <row r="18">
          <cell r="A18" t="str">
            <v>Japan</v>
          </cell>
          <cell r="B18">
            <v>9.6804337996991374E-4</v>
          </cell>
          <cell r="C18">
            <v>1.1951067888982736E-3</v>
          </cell>
          <cell r="D18">
            <v>5.8733127438011625E-3</v>
          </cell>
          <cell r="E18">
            <v>8.1929197846285357E-3</v>
          </cell>
          <cell r="F18">
            <v>8.47362289499162E-4</v>
          </cell>
          <cell r="G18">
            <v>8.47362289499162E-4</v>
          </cell>
          <cell r="H18">
            <v>2.6308634174770427E-3</v>
          </cell>
          <cell r="I18">
            <v>6.3159644808333838E-3</v>
          </cell>
        </row>
        <row r="19">
          <cell r="A19" t="str">
            <v>Mexico</v>
          </cell>
          <cell r="B19">
            <v>9.680435028857964E-4</v>
          </cell>
          <cell r="C19">
            <v>4.6949616123024407E-4</v>
          </cell>
          <cell r="D19">
            <v>4.6295046845601989E-3</v>
          </cell>
          <cell r="E19">
            <v>6.7499231631679693E-3</v>
          </cell>
          <cell r="F19">
            <v>1.6311262560138198E-3</v>
          </cell>
          <cell r="G19">
            <v>1.6311262560138198E-3</v>
          </cell>
          <cell r="H19">
            <v>3.4335453235400698E-3</v>
          </cell>
          <cell r="I19">
            <v>6.7496873466798479E-3</v>
          </cell>
        </row>
        <row r="20">
          <cell r="A20" t="str">
            <v>Middle East</v>
          </cell>
          <cell r="B20">
            <v>9.6804330027741939E-4</v>
          </cell>
          <cell r="C20">
            <v>3.6369836875024689E-3</v>
          </cell>
          <cell r="D20">
            <v>1.4616157555327814E-2</v>
          </cell>
          <cell r="E20">
            <v>1.4153979703035658E-2</v>
          </cell>
          <cell r="F20">
            <v>0</v>
          </cell>
          <cell r="G20">
            <v>0</v>
          </cell>
          <cell r="H20">
            <v>1.5520420145408273E-4</v>
          </cell>
          <cell r="I20">
            <v>1.5520420145408273E-4</v>
          </cell>
        </row>
        <row r="21">
          <cell r="A21" t="str">
            <v>Northern Africa</v>
          </cell>
          <cell r="B21">
            <v>9.6804337917498116E-4</v>
          </cell>
          <cell r="C21">
            <v>9.4963776596781958E-4</v>
          </cell>
          <cell r="D21">
            <v>5.2778950287437837E-3</v>
          </cell>
          <cell r="E21">
            <v>8.7285623200001397E-3</v>
          </cell>
          <cell r="F21">
            <v>0</v>
          </cell>
          <cell r="G21">
            <v>0</v>
          </cell>
          <cell r="H21">
            <v>7.9139647337248328E-5</v>
          </cell>
          <cell r="I21">
            <v>7.9139647337248328E-5</v>
          </cell>
        </row>
        <row r="22">
          <cell r="A22" t="str">
            <v>Oceania</v>
          </cell>
          <cell r="B22">
            <v>9.6804314488219741E-4</v>
          </cell>
          <cell r="C22">
            <v>1.498829965307077E-3</v>
          </cell>
          <cell r="D22">
            <v>4.8061946025723763E-3</v>
          </cell>
          <cell r="E22">
            <v>6.7995673196644436E-3</v>
          </cell>
          <cell r="F22">
            <v>3.1340737903556658E-4</v>
          </cell>
          <cell r="G22">
            <v>3.1340737903556658E-4</v>
          </cell>
          <cell r="H22">
            <v>7.8973836575667625E-4</v>
          </cell>
          <cell r="I22">
            <v>4.1648926755086168E-3</v>
          </cell>
        </row>
        <row r="23">
          <cell r="A23" t="str">
            <v>Rest of Central America</v>
          </cell>
          <cell r="B23">
            <v>9.6804333028309029E-4</v>
          </cell>
          <cell r="C23">
            <v>1.0092482105937145E-3</v>
          </cell>
          <cell r="D23">
            <v>4.7159126091620152E-3</v>
          </cell>
          <cell r="E23">
            <v>6.7669238456989139E-3</v>
          </cell>
          <cell r="F23">
            <v>3.7468697151042169E-4</v>
          </cell>
          <cell r="G23">
            <v>3.7468697151042169E-4</v>
          </cell>
          <cell r="H23">
            <v>1.5519816597794592E-3</v>
          </cell>
          <cell r="I23">
            <v>1.5519816597794592E-3</v>
          </cell>
        </row>
        <row r="24">
          <cell r="A24" t="str">
            <v>Rest of Europe</v>
          </cell>
          <cell r="B24">
            <v>9.6804359127300823E-4</v>
          </cell>
          <cell r="C24">
            <v>1.549439388395465E-3</v>
          </cell>
          <cell r="D24">
            <v>5.8884472711348097E-3</v>
          </cell>
          <cell r="E24">
            <v>1.0127812091445093E-2</v>
          </cell>
          <cell r="F24">
            <v>2.3169180898222199E-2</v>
          </cell>
          <cell r="G24">
            <v>2.3169180898222199E-2</v>
          </cell>
          <cell r="H24">
            <v>4.9096509553645286E-2</v>
          </cell>
          <cell r="I24">
            <v>4.9096509553645286E-2</v>
          </cell>
        </row>
        <row r="25">
          <cell r="A25" t="str">
            <v>Rest of FSU</v>
          </cell>
          <cell r="B25">
            <v>9.6804370820306599E-4</v>
          </cell>
          <cell r="C25">
            <v>1.2308338418024842E-3</v>
          </cell>
          <cell r="D25">
            <v>1.3757914397740273E-2</v>
          </cell>
          <cell r="E25">
            <v>1.6893308929870506E-2</v>
          </cell>
          <cell r="F25">
            <v>0</v>
          </cell>
          <cell r="G25">
            <v>0</v>
          </cell>
          <cell r="H25">
            <v>4.8454993305767341E-4</v>
          </cell>
          <cell r="I25">
            <v>4.8454993305767341E-4</v>
          </cell>
        </row>
        <row r="26">
          <cell r="A26" t="str">
            <v>Rest of South America</v>
          </cell>
          <cell r="B26">
            <v>9.7738406255320825E-4</v>
          </cell>
          <cell r="C26">
            <v>1.0196495751030924E-3</v>
          </cell>
          <cell r="D26">
            <v>4.1441330304292194E-3</v>
          </cell>
          <cell r="E26">
            <v>6.0371975887692246E-3</v>
          </cell>
          <cell r="F26">
            <v>5.6221460710634392E-5</v>
          </cell>
          <cell r="G26">
            <v>5.6221460710634392E-5</v>
          </cell>
          <cell r="H26">
            <v>4.0709319305761127E-4</v>
          </cell>
          <cell r="I26">
            <v>4.0709319305761127E-4</v>
          </cell>
        </row>
        <row r="27">
          <cell r="A27" t="str">
            <v>Rest of South Asia</v>
          </cell>
          <cell r="B27">
            <v>9.6804345681164572E-4</v>
          </cell>
          <cell r="C27">
            <v>8.3028234480090495E-4</v>
          </cell>
          <cell r="D27">
            <v>4.7731588115002511E-3</v>
          </cell>
          <cell r="E27">
            <v>7.0947494762077044E-3</v>
          </cell>
          <cell r="F27">
            <v>0</v>
          </cell>
          <cell r="G27">
            <v>0</v>
          </cell>
          <cell r="H27">
            <v>2.1950494978908061E-4</v>
          </cell>
          <cell r="I27">
            <v>2.1950494978908061E-4</v>
          </cell>
        </row>
        <row r="28">
          <cell r="A28" t="str">
            <v>Rest of South East Asia</v>
          </cell>
          <cell r="B28">
            <v>9.6804337172363335E-4</v>
          </cell>
          <cell r="C28">
            <v>9.9128597245234842E-4</v>
          </cell>
          <cell r="D28">
            <v>5.0659271672307549E-3</v>
          </cell>
          <cell r="E28">
            <v>7.1339370464290853E-3</v>
          </cell>
          <cell r="F28">
            <v>6.5513333877641877E-5</v>
          </cell>
          <cell r="G28">
            <v>6.5513333877641877E-5</v>
          </cell>
          <cell r="H28">
            <v>1.0374002330213825E-3</v>
          </cell>
          <cell r="I28">
            <v>1.0374002330213825E-3</v>
          </cell>
        </row>
        <row r="29">
          <cell r="A29" t="str">
            <v>Rest of Sub Saharan Africa</v>
          </cell>
          <cell r="B29">
            <v>9.6804349115551516E-4</v>
          </cell>
          <cell r="C29">
            <v>9.4961400219047544E-4</v>
          </cell>
          <cell r="D29">
            <v>4.7975043117005336E-3</v>
          </cell>
          <cell r="E29">
            <v>7.0620261737032149E-3</v>
          </cell>
          <cell r="F29">
            <v>0</v>
          </cell>
          <cell r="G29">
            <v>0</v>
          </cell>
          <cell r="H29">
            <v>3.0867961547643503E-4</v>
          </cell>
          <cell r="I29">
            <v>3.0867961547643503E-4</v>
          </cell>
        </row>
        <row r="30">
          <cell r="A30" t="str">
            <v>Russia</v>
          </cell>
          <cell r="B30">
            <v>9.6804338223365318E-4</v>
          </cell>
          <cell r="C30">
            <v>2.9745029290728191E-3</v>
          </cell>
          <cell r="D30">
            <v>1.30051053764662E-2</v>
          </cell>
          <cell r="E30">
            <v>1.6361983187844719E-2</v>
          </cell>
          <cell r="F30">
            <v>0</v>
          </cell>
          <cell r="G30">
            <v>0</v>
          </cell>
          <cell r="H30">
            <v>5.2856890442707751E-5</v>
          </cell>
          <cell r="I30">
            <v>7.8218579055957665E-3</v>
          </cell>
        </row>
        <row r="31">
          <cell r="A31" t="str">
            <v>South Africa</v>
          </cell>
          <cell r="B31">
            <v>9.6804346172091966E-4</v>
          </cell>
          <cell r="C31">
            <v>1.3028849028691434E-3</v>
          </cell>
          <cell r="D31">
            <v>7.3350165733237441E-3</v>
          </cell>
          <cell r="E31">
            <v>1.1147324026635784E-2</v>
          </cell>
          <cell r="F31">
            <v>1.9787858711656239E-4</v>
          </cell>
          <cell r="G31">
            <v>1.9787858711656239E-4</v>
          </cell>
          <cell r="H31">
            <v>1.0104463077744623E-3</v>
          </cell>
          <cell r="I31">
            <v>1.0104463077744623E-3</v>
          </cell>
        </row>
        <row r="32">
          <cell r="A32" t="str">
            <v>South Korea</v>
          </cell>
          <cell r="B32">
            <v>9.6804333498498303E-4</v>
          </cell>
          <cell r="C32">
            <v>1.8135689539414597E-3</v>
          </cell>
          <cell r="D32">
            <v>8.7634561122727113E-3</v>
          </cell>
          <cell r="E32">
            <v>1.2340148193938723E-2</v>
          </cell>
          <cell r="F32">
            <v>6.6100687966889641E-3</v>
          </cell>
          <cell r="G32">
            <v>6.6100687966889641E-3</v>
          </cell>
          <cell r="H32">
            <v>2.8790874380008203E-2</v>
          </cell>
          <cell r="I32">
            <v>1.0357388320970492E-2</v>
          </cell>
        </row>
        <row r="33">
          <cell r="A33" t="str">
            <v>Turkey</v>
          </cell>
          <cell r="B33">
            <v>9.6804337475738672E-4</v>
          </cell>
          <cell r="C33">
            <v>7.3942796501474983E-4</v>
          </cell>
          <cell r="D33">
            <v>3.1914667882255634E-3</v>
          </cell>
          <cell r="E33">
            <v>4.5309431466191456E-3</v>
          </cell>
          <cell r="F33">
            <v>4.353343880489771E-5</v>
          </cell>
          <cell r="G33">
            <v>4.353343880489771E-5</v>
          </cell>
          <cell r="H33">
            <v>1.8643481362505513E-3</v>
          </cell>
          <cell r="I33">
            <v>1.8643481362505513E-3</v>
          </cell>
        </row>
        <row r="34">
          <cell r="A34" t="str">
            <v>Ukraine</v>
          </cell>
          <cell r="B34">
            <v>9.6804362404511227E-4</v>
          </cell>
          <cell r="C34">
            <v>1.8527952831843041E-3</v>
          </cell>
          <cell r="D34">
            <v>1.740484935146867E-2</v>
          </cell>
          <cell r="E34">
            <v>2.903325470695305E-2</v>
          </cell>
          <cell r="F34">
            <v>0</v>
          </cell>
          <cell r="G34">
            <v>0</v>
          </cell>
          <cell r="H34">
            <v>3.4460931707942858E-4</v>
          </cell>
          <cell r="I34">
            <v>3.4460931707942858E-4</v>
          </cell>
        </row>
        <row r="35">
          <cell r="A35" t="str">
            <v>USA</v>
          </cell>
          <cell r="B35">
            <v>9.6804328138389516E-4</v>
          </cell>
          <cell r="C35">
            <v>2.2217481210824652E-3</v>
          </cell>
          <cell r="D35">
            <v>1.0532864629281444E-2</v>
          </cell>
          <cell r="E35">
            <v>1.4139520482566123E-2</v>
          </cell>
          <cell r="F35">
            <v>2.0997040982955973E-3</v>
          </cell>
          <cell r="G35">
            <v>4.5208641758917433E-3</v>
          </cell>
          <cell r="H35">
            <v>1.3831327756117229E-2</v>
          </cell>
          <cell r="I35">
            <v>1.3831327756117229E-2</v>
          </cell>
        </row>
      </sheetData>
      <sheetData sheetId="9">
        <row r="1">
          <cell r="B1" t="str">
            <v>2015 2 degrees (exclude forestry fund)</v>
          </cell>
          <cell r="C1" t="str">
            <v>2015 Late action 2 degrees (exclude forestry fund)</v>
          </cell>
          <cell r="D1" t="str">
            <v>2015 2.5 degrees (exclude forestry fund)</v>
          </cell>
          <cell r="E1" t="str">
            <v>2015 low ambition current expected (exclude forestry fund)</v>
          </cell>
          <cell r="F1" t="str">
            <v>2015 high ambition current expected (exclude forestry fund)</v>
          </cell>
          <cell r="G1" t="str">
            <v>2015 Stretch scenario (exclude forestry fund)</v>
          </cell>
          <cell r="H1" t="str">
            <v>2015 Credible ask (exclude forestry fund)</v>
          </cell>
        </row>
        <row r="2">
          <cell r="A2">
            <v>0</v>
          </cell>
          <cell r="B2" t="str">
            <v>Net Cost / GDP (%)2030</v>
          </cell>
          <cell r="C2" t="str">
            <v>Net Cost / GDP (%)2030</v>
          </cell>
          <cell r="D2" t="str">
            <v>Net Cost / GDP (%)2030</v>
          </cell>
          <cell r="E2" t="str">
            <v>Net Cost / GDP (%)2030</v>
          </cell>
          <cell r="F2" t="str">
            <v>Net Cost / GDP (%)2030</v>
          </cell>
          <cell r="G2" t="str">
            <v>Net Cost / GDP (%)2030</v>
          </cell>
          <cell r="H2" t="str">
            <v>Net Cost / GDP (%)2030</v>
          </cell>
        </row>
        <row r="3">
          <cell r="A3">
            <v>0</v>
          </cell>
          <cell r="B3" t="str">
            <v>2015 2 degrees (exclude forestry fund)</v>
          </cell>
          <cell r="C3" t="str">
            <v>2015 Late action 2 degrees (exclude forestry fund)</v>
          </cell>
          <cell r="D3" t="str">
            <v>2015 2.5 degrees (exclude forestry fund)</v>
          </cell>
          <cell r="E3" t="str">
            <v>2015 low ambition current expected (exclude forestry fund)</v>
          </cell>
          <cell r="F3" t="str">
            <v>2015 high ambition current expected (exclude forestry fund)</v>
          </cell>
          <cell r="G3" t="str">
            <v>2015 Stretch scenario (exclude forestry fund)</v>
          </cell>
          <cell r="H3" t="str">
            <v>2015 Credible ask (exclude forestry fund)</v>
          </cell>
        </row>
        <row r="4">
          <cell r="A4">
            <v>0</v>
          </cell>
          <cell r="B4">
            <v>0</v>
          </cell>
          <cell r="C4">
            <v>0</v>
          </cell>
          <cell r="D4">
            <v>0</v>
          </cell>
          <cell r="E4">
            <v>0</v>
          </cell>
          <cell r="F4">
            <v>0</v>
          </cell>
          <cell r="G4">
            <v>0</v>
          </cell>
          <cell r="H4">
            <v>0</v>
          </cell>
        </row>
        <row r="5">
          <cell r="A5" t="str">
            <v>Total</v>
          </cell>
          <cell r="B5">
            <v>7.0248101705634525E-3</v>
          </cell>
          <cell r="C5">
            <v>4.0588606272901903E-3</v>
          </cell>
          <cell r="D5">
            <v>1.3061765071344161E-3</v>
          </cell>
          <cell r="E5">
            <v>1.3364412154367503E-3</v>
          </cell>
          <cell r="F5">
            <v>2.3781714909955928E-3</v>
          </cell>
          <cell r="G5">
            <v>3.8865698948474412E-3</v>
          </cell>
          <cell r="H5">
            <v>8.8943880303296412E-3</v>
          </cell>
        </row>
        <row r="6">
          <cell r="A6" t="str">
            <v>Annex 1</v>
          </cell>
          <cell r="B6">
            <v>7.4476359397640263E-3</v>
          </cell>
          <cell r="C6">
            <v>4.088740701289657E-3</v>
          </cell>
          <cell r="D6">
            <v>1.340073687811307E-3</v>
          </cell>
          <cell r="E6">
            <v>2.3001866592804268E-3</v>
          </cell>
          <cell r="F6">
            <v>4.0709451391475028E-3</v>
          </cell>
          <cell r="G6">
            <v>6.7067968794382342E-3</v>
          </cell>
          <cell r="H6">
            <v>8.8606815190397925E-3</v>
          </cell>
        </row>
        <row r="7">
          <cell r="A7" t="str">
            <v>Non Annex 1</v>
          </cell>
          <cell r="B7">
            <v>6.4193918926137251E-3</v>
          </cell>
          <cell r="C7">
            <v>3.8587279963572499E-3</v>
          </cell>
          <cell r="D7">
            <v>1.2263237069775929E-3</v>
          </cell>
          <cell r="E7">
            <v>4.0421222239460039E-4</v>
          </cell>
          <cell r="F7">
            <v>1.0096409587927195E-3</v>
          </cell>
          <cell r="G7">
            <v>1.7656646161120977E-3</v>
          </cell>
          <cell r="H7">
            <v>8.6673572263894858E-3</v>
          </cell>
        </row>
        <row r="8">
          <cell r="A8">
            <v>0</v>
          </cell>
          <cell r="B8">
            <v>0</v>
          </cell>
          <cell r="C8">
            <v>0</v>
          </cell>
          <cell r="D8">
            <v>0</v>
          </cell>
          <cell r="E8">
            <v>0</v>
          </cell>
          <cell r="F8">
            <v>0</v>
          </cell>
          <cell r="G8">
            <v>0</v>
          </cell>
          <cell r="H8">
            <v>0</v>
          </cell>
        </row>
        <row r="9">
          <cell r="A9" t="str">
            <v>OECD</v>
          </cell>
          <cell r="B9">
            <v>0</v>
          </cell>
          <cell r="C9">
            <v>0</v>
          </cell>
          <cell r="D9">
            <v>0</v>
          </cell>
          <cell r="E9">
            <v>0</v>
          </cell>
          <cell r="F9">
            <v>0</v>
          </cell>
          <cell r="G9">
            <v>0</v>
          </cell>
          <cell r="H9">
            <v>0</v>
          </cell>
        </row>
        <row r="10">
          <cell r="A10" t="str">
            <v>EU</v>
          </cell>
          <cell r="B10">
            <v>3.8751003163795374E-3</v>
          </cell>
          <cell r="C10">
            <v>2.5980951259819362E-3</v>
          </cell>
          <cell r="D10">
            <v>9.3959710850493976E-4</v>
          </cell>
          <cell r="E10">
            <v>1.2792137856668445E-3</v>
          </cell>
          <cell r="F10">
            <v>8.9419767474342986E-4</v>
          </cell>
          <cell r="G10">
            <v>3.6618750610510524E-3</v>
          </cell>
          <cell r="H10">
            <v>4.6312510410581442E-3</v>
          </cell>
        </row>
        <row r="11">
          <cell r="A11" t="str">
            <v>Canada</v>
          </cell>
          <cell r="B11">
            <v>1.1191795938512357E-2</v>
          </cell>
          <cell r="C11">
            <v>7.5069291487527955E-3</v>
          </cell>
          <cell r="D11">
            <v>3.1747443870742769E-3</v>
          </cell>
          <cell r="E11">
            <v>6.0109838449904675E-3</v>
          </cell>
          <cell r="F11">
            <v>1.1649150360916127E-2</v>
          </cell>
          <cell r="G11">
            <v>1.5431053416046607E-2</v>
          </cell>
          <cell r="H11">
            <v>1.7395953586955955E-2</v>
          </cell>
        </row>
        <row r="12">
          <cell r="A12" t="str">
            <v>Japan</v>
          </cell>
          <cell r="B12">
            <v>7.0140728636638797E-3</v>
          </cell>
          <cell r="C12">
            <v>2.9131809744592629E-3</v>
          </cell>
          <cell r="D12">
            <v>9.1963973922817453E-4</v>
          </cell>
          <cell r="E12">
            <v>1.6991093907394092E-3</v>
          </cell>
          <cell r="F12">
            <v>2.6148727712803168E-3</v>
          </cell>
          <cell r="G12">
            <v>4.5691145429953431E-3</v>
          </cell>
          <cell r="H12">
            <v>1.2823404772140227E-2</v>
          </cell>
        </row>
        <row r="13">
          <cell r="A13" t="str">
            <v>Mexico</v>
          </cell>
          <cell r="B13">
            <v>8.7783560756683806E-3</v>
          </cell>
          <cell r="C13">
            <v>3.6116442266461673E-3</v>
          </cell>
          <cell r="D13">
            <v>9.16981365779553E-4</v>
          </cell>
          <cell r="E13">
            <v>2.9913311204385292E-3</v>
          </cell>
          <cell r="F13">
            <v>1.0242280370139493E-2</v>
          </cell>
          <cell r="G13">
            <v>1.0689846207879296E-2</v>
          </cell>
          <cell r="H13">
            <v>3.487332859340362E-2</v>
          </cell>
        </row>
        <row r="14">
          <cell r="A14" t="str">
            <v>Oceania</v>
          </cell>
          <cell r="B14">
            <v>6.0425111365722097E-3</v>
          </cell>
          <cell r="C14">
            <v>4.1005844237650439E-3</v>
          </cell>
          <cell r="D14">
            <v>1.320677404454886E-3</v>
          </cell>
          <cell r="E14">
            <v>8.2411520117119663E-3</v>
          </cell>
          <cell r="F14">
            <v>9.8110478660392072E-3</v>
          </cell>
          <cell r="G14">
            <v>1.7918322856955302E-2</v>
          </cell>
          <cell r="H14">
            <v>2.728008031114109E-2</v>
          </cell>
        </row>
        <row r="15">
          <cell r="A15" t="str">
            <v>Rest of Europe</v>
          </cell>
          <cell r="B15">
            <v>4.0111686112208342E-3</v>
          </cell>
          <cell r="C15">
            <v>2.474811258762265E-3</v>
          </cell>
          <cell r="D15">
            <v>7.8161541268032388E-4</v>
          </cell>
          <cell r="E15">
            <v>3.0320185699516874E-3</v>
          </cell>
          <cell r="F15">
            <v>9.8189395220463164E-3</v>
          </cell>
          <cell r="G15">
            <v>1.0259576983387029E-2</v>
          </cell>
          <cell r="H15">
            <v>1.3557559874651825E-2</v>
          </cell>
        </row>
        <row r="16">
          <cell r="A16" t="str">
            <v>South Korea</v>
          </cell>
          <cell r="B16">
            <v>6.0111468702409472E-3</v>
          </cell>
          <cell r="C16">
            <v>4.1528687911500349E-3</v>
          </cell>
          <cell r="D16">
            <v>1.4652779558519079E-3</v>
          </cell>
          <cell r="E16">
            <v>2.136813258645186E-3</v>
          </cell>
          <cell r="F16">
            <v>5.7608124285192484E-3</v>
          </cell>
          <cell r="G16">
            <v>1.8985272256100982E-2</v>
          </cell>
          <cell r="H16">
            <v>1.6819180894746932E-2</v>
          </cell>
        </row>
        <row r="17">
          <cell r="A17" t="str">
            <v>Turkey</v>
          </cell>
          <cell r="B17">
            <v>4.3441155670422768E-3</v>
          </cell>
          <cell r="C17">
            <v>2.2848248401474494E-3</v>
          </cell>
          <cell r="D17">
            <v>5.6155075827407056E-4</v>
          </cell>
          <cell r="E17">
            <v>2.4064166851191672E-5</v>
          </cell>
          <cell r="F17">
            <v>1.2772974617721402E-3</v>
          </cell>
          <cell r="G17">
            <v>1.4238831450015396E-3</v>
          </cell>
          <cell r="H17">
            <v>3.0680467735707483E-3</v>
          </cell>
        </row>
        <row r="18">
          <cell r="A18" t="str">
            <v>USA</v>
          </cell>
          <cell r="B18">
            <v>1.0662694186257803E-2</v>
          </cell>
          <cell r="C18">
            <v>5.2905141669835395E-3</v>
          </cell>
          <cell r="D18">
            <v>1.6182367136886062E-3</v>
          </cell>
          <cell r="E18">
            <v>3.2530721562042792E-3</v>
          </cell>
          <cell r="F18">
            <v>7.0778097500547527E-3</v>
          </cell>
          <cell r="G18">
            <v>1.0096785653612717E-2</v>
          </cell>
          <cell r="H18">
            <v>1.3003204634858379E-2</v>
          </cell>
        </row>
        <row r="19">
          <cell r="A19">
            <v>0</v>
          </cell>
          <cell r="B19">
            <v>0</v>
          </cell>
          <cell r="C19">
            <v>0</v>
          </cell>
          <cell r="D19">
            <v>0</v>
          </cell>
          <cell r="E19">
            <v>0</v>
          </cell>
          <cell r="F19">
            <v>0</v>
          </cell>
          <cell r="G19">
            <v>0</v>
          </cell>
          <cell r="H19">
            <v>0</v>
          </cell>
        </row>
        <row r="20">
          <cell r="A20" t="str">
            <v>BASICS</v>
          </cell>
          <cell r="B20">
            <v>0</v>
          </cell>
          <cell r="C20">
            <v>0</v>
          </cell>
          <cell r="D20">
            <v>0</v>
          </cell>
          <cell r="E20">
            <v>0</v>
          </cell>
          <cell r="F20">
            <v>0</v>
          </cell>
          <cell r="G20">
            <v>0</v>
          </cell>
          <cell r="H20">
            <v>0</v>
          </cell>
        </row>
        <row r="21">
          <cell r="A21" t="str">
            <v>Brazil</v>
          </cell>
          <cell r="B21">
            <v>1.2923251898200278E-2</v>
          </cell>
          <cell r="C21">
            <v>1.1053068709900259E-2</v>
          </cell>
          <cell r="D21">
            <v>3.8892748359482415E-3</v>
          </cell>
          <cell r="E21">
            <v>3.2900368369202016E-3</v>
          </cell>
          <cell r="F21">
            <v>6.1537840304207144E-3</v>
          </cell>
          <cell r="G21">
            <v>6.9308318644730645E-3</v>
          </cell>
          <cell r="H21">
            <v>2.5732897617730038E-2</v>
          </cell>
        </row>
        <row r="22">
          <cell r="A22" t="str">
            <v>South Africa</v>
          </cell>
          <cell r="B22">
            <v>6.7087498827965225E-3</v>
          </cell>
          <cell r="C22">
            <v>3.219667263983868E-3</v>
          </cell>
          <cell r="D22">
            <v>6.6759314379975874E-4</v>
          </cell>
          <cell r="E22">
            <v>-4.6259769878309357E-5</v>
          </cell>
          <cell r="F22">
            <v>-1.6798320150719324E-3</v>
          </cell>
          <cell r="G22">
            <v>-3.9201497445515397E-3</v>
          </cell>
          <cell r="H22">
            <v>4.5869412597562983E-4</v>
          </cell>
        </row>
        <row r="23">
          <cell r="A23" t="str">
            <v>India</v>
          </cell>
          <cell r="B23">
            <v>4.0011798860779737E-3</v>
          </cell>
          <cell r="C23">
            <v>1.8801466784045553E-3</v>
          </cell>
          <cell r="D23">
            <v>-8.2632160159144957E-5</v>
          </cell>
          <cell r="E23">
            <v>-1.29587355410445E-5</v>
          </cell>
          <cell r="F23">
            <v>6.6292616621110834E-4</v>
          </cell>
          <cell r="G23">
            <v>7.3962762915171052E-4</v>
          </cell>
          <cell r="H23">
            <v>7.3896112023598198E-3</v>
          </cell>
        </row>
        <row r="24">
          <cell r="A24" t="str">
            <v>China</v>
          </cell>
          <cell r="B24">
            <v>7.3317748917121417E-3</v>
          </cell>
          <cell r="C24">
            <v>4.5352681831635983E-3</v>
          </cell>
          <cell r="D24">
            <v>1.6337451386263583E-3</v>
          </cell>
          <cell r="E24">
            <v>2.3162666187724859E-4</v>
          </cell>
          <cell r="F24">
            <v>4.8034502075489481E-5</v>
          </cell>
          <cell r="G24">
            <v>1.2651561001077451E-3</v>
          </cell>
          <cell r="H24">
            <v>1.5735770876911595E-2</v>
          </cell>
        </row>
        <row r="25">
          <cell r="A25">
            <v>0</v>
          </cell>
          <cell r="B25">
            <v>0</v>
          </cell>
          <cell r="C25">
            <v>0</v>
          </cell>
          <cell r="D25">
            <v>0</v>
          </cell>
          <cell r="E25">
            <v>0</v>
          </cell>
          <cell r="F25">
            <v>0</v>
          </cell>
          <cell r="G25">
            <v>0</v>
          </cell>
          <cell r="H25">
            <v>0</v>
          </cell>
        </row>
        <row r="26">
          <cell r="A26" t="str">
            <v>Rest of the World</v>
          </cell>
          <cell r="B26">
            <v>0</v>
          </cell>
          <cell r="C26">
            <v>0</v>
          </cell>
          <cell r="D26">
            <v>0</v>
          </cell>
          <cell r="E26">
            <v>0</v>
          </cell>
          <cell r="F26">
            <v>0</v>
          </cell>
          <cell r="G26">
            <v>0</v>
          </cell>
          <cell r="H26">
            <v>0</v>
          </cell>
        </row>
        <row r="27">
          <cell r="A27" t="str">
            <v>Indonesia</v>
          </cell>
          <cell r="B27">
            <v>5.9389484538271984E-3</v>
          </cell>
          <cell r="C27">
            <v>2.8939560746760839E-3</v>
          </cell>
          <cell r="D27">
            <v>9.783510711272841E-4</v>
          </cell>
          <cell r="E27">
            <v>-1.2217091275216848E-5</v>
          </cell>
          <cell r="F27">
            <v>-4.6344150708719725E-4</v>
          </cell>
          <cell r="G27">
            <v>-1.0828647763993285E-3</v>
          </cell>
          <cell r="H27">
            <v>-8.2528612573904044E-3</v>
          </cell>
        </row>
        <row r="28">
          <cell r="A28" t="str">
            <v>Middle East</v>
          </cell>
          <cell r="B28">
            <v>7.2750001604030799E-3</v>
          </cell>
          <cell r="C28">
            <v>4.4948708440300132E-3</v>
          </cell>
          <cell r="D28">
            <v>1.4880277520643282E-3</v>
          </cell>
          <cell r="E28">
            <v>-1.5046816273950259E-5</v>
          </cell>
          <cell r="F28">
            <v>-2.901564471931843E-4</v>
          </cell>
          <cell r="G28">
            <v>-9.8767394754993337E-4</v>
          </cell>
          <cell r="H28">
            <v>-1.0990183017262133E-2</v>
          </cell>
        </row>
        <row r="29">
          <cell r="A29" t="str">
            <v>Northern Africa</v>
          </cell>
          <cell r="B29">
            <v>5.4325683255909566E-3</v>
          </cell>
          <cell r="C29">
            <v>3.1005455163159498E-3</v>
          </cell>
          <cell r="D29">
            <v>1.0674043363362549E-3</v>
          </cell>
          <cell r="E29">
            <v>-1.3492019811321641E-5</v>
          </cell>
          <cell r="F29">
            <v>-1.9375290290121576E-4</v>
          </cell>
          <cell r="G29">
            <v>-6.9333936713218431E-4</v>
          </cell>
          <cell r="H29">
            <v>-7.8256132187992794E-3</v>
          </cell>
        </row>
        <row r="30">
          <cell r="A30" t="str">
            <v>Rest of Central America</v>
          </cell>
          <cell r="B30">
            <v>5.5458613572609006E-3</v>
          </cell>
          <cell r="C30">
            <v>2.181495580476893E-3</v>
          </cell>
          <cell r="D30">
            <v>6.7159960881214246E-4</v>
          </cell>
          <cell r="E30">
            <v>5.8836986393357414E-4</v>
          </cell>
          <cell r="F30">
            <v>4.3079715066903987E-3</v>
          </cell>
          <cell r="G30">
            <v>4.7763589920623616E-3</v>
          </cell>
          <cell r="H30">
            <v>2.2232960821870977E-2</v>
          </cell>
        </row>
        <row r="31">
          <cell r="A31" t="str">
            <v>Rest of FSU</v>
          </cell>
          <cell r="B31">
            <v>1.1423205981493649E-2</v>
          </cell>
          <cell r="C31">
            <v>7.2429973111566952E-3</v>
          </cell>
          <cell r="D31">
            <v>1.5635473945309214E-3</v>
          </cell>
          <cell r="E31">
            <v>-3.4899852112079416E-5</v>
          </cell>
          <cell r="F31">
            <v>-1.23595463583439E-3</v>
          </cell>
          <cell r="G31">
            <v>-3.2763110597505553E-3</v>
          </cell>
          <cell r="H31">
            <v>-2.4927820511763458E-2</v>
          </cell>
        </row>
        <row r="32">
          <cell r="A32" t="str">
            <v>Rest of South America</v>
          </cell>
          <cell r="B32">
            <v>6.1313667979567138E-3</v>
          </cell>
          <cell r="C32">
            <v>3.0946027194033339E-3</v>
          </cell>
          <cell r="D32">
            <v>1.470617070040218E-3</v>
          </cell>
          <cell r="E32">
            <v>4.9056884394243893E-5</v>
          </cell>
          <cell r="F32">
            <v>9.3871020434168988E-4</v>
          </cell>
          <cell r="G32">
            <v>5.1338759280722304E-4</v>
          </cell>
          <cell r="H32">
            <v>-2.8460994410330885E-3</v>
          </cell>
        </row>
        <row r="33">
          <cell r="A33" t="str">
            <v>Rest of South Asia</v>
          </cell>
          <cell r="B33">
            <v>1.884509715618715E-3</v>
          </cell>
          <cell r="C33">
            <v>1.1003198754854812E-3</v>
          </cell>
          <cell r="D33">
            <v>3.1197574413720095E-4</v>
          </cell>
          <cell r="E33">
            <v>-6.9296180440760927E-6</v>
          </cell>
          <cell r="F33">
            <v>4.4527019406678368E-6</v>
          </cell>
          <cell r="G33">
            <v>-1.090704411222085E-4</v>
          </cell>
          <cell r="H33">
            <v>-2.4503168236315212E-3</v>
          </cell>
        </row>
        <row r="34">
          <cell r="A34" t="str">
            <v>Rest of South East Asia</v>
          </cell>
          <cell r="B34">
            <v>6.0967839571080488E-3</v>
          </cell>
          <cell r="C34">
            <v>3.0799153717436111E-3</v>
          </cell>
          <cell r="D34">
            <v>1.1122026156906262E-3</v>
          </cell>
          <cell r="E34">
            <v>4.9262124041716389E-5</v>
          </cell>
          <cell r="F34">
            <v>1.0109729851123204E-3</v>
          </cell>
          <cell r="G34">
            <v>1.0985924453582548E-3</v>
          </cell>
          <cell r="H34">
            <v>6.1869448237202524E-3</v>
          </cell>
        </row>
        <row r="35">
          <cell r="A35" t="str">
            <v>Rest of Sub Saharan Africa</v>
          </cell>
          <cell r="B35">
            <v>3.6580219296914289E-3</v>
          </cell>
          <cell r="C35">
            <v>2.5456607008073492E-3</v>
          </cell>
          <cell r="D35">
            <v>7.3410500061956427E-4</v>
          </cell>
          <cell r="E35">
            <v>-1.1482687115497437E-5</v>
          </cell>
          <cell r="F35">
            <v>4.4429903067055897E-4</v>
          </cell>
          <cell r="G35">
            <v>3.9698617558197691E-4</v>
          </cell>
          <cell r="H35">
            <v>-7.2629996704175984E-4</v>
          </cell>
        </row>
        <row r="36">
          <cell r="A36" t="str">
            <v>Russia</v>
          </cell>
          <cell r="B36">
            <v>9.6327483301499421E-3</v>
          </cell>
          <cell r="C36">
            <v>6.4110490176448676E-3</v>
          </cell>
          <cell r="D36">
            <v>2.14872357158217E-3</v>
          </cell>
          <cell r="E36">
            <v>8.5713442791242604E-6</v>
          </cell>
          <cell r="F36">
            <v>-3.2917219233997009E-4</v>
          </cell>
          <cell r="G36">
            <v>3.14429001114733E-4</v>
          </cell>
          <cell r="H36">
            <v>-4.307890052333679E-3</v>
          </cell>
        </row>
        <row r="37">
          <cell r="A37" t="str">
            <v>Ukraine</v>
          </cell>
          <cell r="B37">
            <v>6.46221935248599E-3</v>
          </cell>
          <cell r="C37">
            <v>3.0430178082647102E-3</v>
          </cell>
          <cell r="D37">
            <v>8.9773331643768167E-4</v>
          </cell>
          <cell r="E37">
            <v>-5.9482835839139212E-5</v>
          </cell>
          <cell r="F37">
            <v>-1.5078870591103558E-3</v>
          </cell>
          <cell r="G37">
            <v>-3.4887691624579499E-3</v>
          </cell>
          <cell r="H37">
            <v>-1.6449951411620804E-2</v>
          </cell>
        </row>
        <row r="38">
          <cell r="A38">
            <v>0</v>
          </cell>
          <cell r="B38">
            <v>0</v>
          </cell>
          <cell r="C38">
            <v>0</v>
          </cell>
          <cell r="D38">
            <v>0</v>
          </cell>
          <cell r="E38">
            <v>0</v>
          </cell>
          <cell r="F38">
            <v>0</v>
          </cell>
          <cell r="G38">
            <v>0</v>
          </cell>
          <cell r="H38">
            <v>0</v>
          </cell>
        </row>
        <row r="39">
          <cell r="A39" t="str">
            <v>International Aviation</v>
          </cell>
          <cell r="B39">
            <v>0</v>
          </cell>
          <cell r="C39">
            <v>0</v>
          </cell>
          <cell r="D39">
            <v>0</v>
          </cell>
          <cell r="E39">
            <v>0</v>
          </cell>
          <cell r="F39">
            <v>0</v>
          </cell>
          <cell r="G39">
            <v>0</v>
          </cell>
          <cell r="H39">
            <v>0</v>
          </cell>
        </row>
        <row r="40">
          <cell r="A40" t="str">
            <v>International Maritime</v>
          </cell>
          <cell r="B40">
            <v>0</v>
          </cell>
          <cell r="C40">
            <v>0</v>
          </cell>
          <cell r="D40">
            <v>0</v>
          </cell>
          <cell r="E40">
            <v>0</v>
          </cell>
          <cell r="F40">
            <v>0</v>
          </cell>
          <cell r="G40">
            <v>0</v>
          </cell>
          <cell r="H40">
            <v>0</v>
          </cell>
        </row>
      </sheetData>
      <sheetData sheetId="10">
        <row r="2">
          <cell r="F2" t="str">
            <v>GLOCAF BAU emissions (Mt)</v>
          </cell>
          <cell r="G2">
            <v>1990</v>
          </cell>
          <cell r="H2">
            <v>2000</v>
          </cell>
          <cell r="I2">
            <v>2005</v>
          </cell>
          <cell r="J2">
            <v>2010</v>
          </cell>
          <cell r="K2">
            <v>2020</v>
          </cell>
          <cell r="L2">
            <v>2025</v>
          </cell>
          <cell r="M2">
            <v>2030</v>
          </cell>
          <cell r="N2">
            <v>2050</v>
          </cell>
        </row>
        <row r="3">
          <cell r="F3" t="str">
            <v>Brazil</v>
          </cell>
          <cell r="G3">
            <v>1738.7275999999999</v>
          </cell>
          <cell r="H3">
            <v>1884.0663</v>
          </cell>
          <cell r="I3">
            <v>2257.2712000000001</v>
          </cell>
          <cell r="J3">
            <v>1392.6398999999999</v>
          </cell>
          <cell r="K3">
            <v>2520.6940110997398</v>
          </cell>
          <cell r="L3">
            <v>2498.3095797037763</v>
          </cell>
          <cell r="M3">
            <v>2576.0319714766924</v>
          </cell>
          <cell r="N3">
            <v>2445.7398628423184</v>
          </cell>
        </row>
        <row r="4">
          <cell r="F4" t="str">
            <v>Canada</v>
          </cell>
          <cell r="G4">
            <v>529.45129420000001</v>
          </cell>
          <cell r="H4">
            <v>665.38823420000006</v>
          </cell>
          <cell r="I4">
            <v>800.14233079999997</v>
          </cell>
          <cell r="J4">
            <v>804.04425089999995</v>
          </cell>
          <cell r="K4">
            <v>921.19799427812507</v>
          </cell>
          <cell r="L4">
            <v>927.94382808098931</v>
          </cell>
          <cell r="M4">
            <v>958.58372689869805</v>
          </cell>
          <cell r="N4">
            <v>1074.4091823807437</v>
          </cell>
        </row>
        <row r="5">
          <cell r="F5" t="str">
            <v>China</v>
          </cell>
          <cell r="G5">
            <v>3047.3018000000002</v>
          </cell>
          <cell r="H5">
            <v>4420.68</v>
          </cell>
          <cell r="I5">
            <v>6965.6751999999997</v>
          </cell>
          <cell r="J5">
            <v>9387.0095000000001</v>
          </cell>
          <cell r="K5">
            <v>14645.00487213735</v>
          </cell>
          <cell r="L5">
            <v>15859.639383973308</v>
          </cell>
          <cell r="M5">
            <v>16587.840836088631</v>
          </cell>
          <cell r="N5">
            <v>17466.138730661714</v>
          </cell>
        </row>
        <row r="6">
          <cell r="F6" t="str">
            <v>EU</v>
          </cell>
          <cell r="G6">
            <v>5319.5404079999998</v>
          </cell>
          <cell r="H6">
            <v>4573.9825728048645</v>
          </cell>
          <cell r="I6">
            <v>4671.9793794415982</v>
          </cell>
          <cell r="J6">
            <v>4274.5579165215067</v>
          </cell>
          <cell r="K6">
            <v>4036.9404695579292</v>
          </cell>
          <cell r="L6">
            <v>3975.5863510408512</v>
          </cell>
          <cell r="M6">
            <v>4007.1569046844825</v>
          </cell>
          <cell r="N6">
            <v>3934.9973397492176</v>
          </cell>
        </row>
        <row r="7">
          <cell r="F7" t="str">
            <v>India</v>
          </cell>
          <cell r="G7">
            <v>1035.3975</v>
          </cell>
          <cell r="H7">
            <v>1504.9526000000001</v>
          </cell>
          <cell r="I7">
            <v>1648.1214</v>
          </cell>
          <cell r="J7">
            <v>2304.0432000000001</v>
          </cell>
          <cell r="K7">
            <v>3887.9066307257808</v>
          </cell>
          <cell r="L7">
            <v>4645.8054819723966</v>
          </cell>
          <cell r="M7">
            <v>5476.8489626578121</v>
          </cell>
          <cell r="N7">
            <v>9105.2847642424476</v>
          </cell>
        </row>
        <row r="8">
          <cell r="F8" t="str">
            <v>Indonesia</v>
          </cell>
          <cell r="G8">
            <v>1076.7589</v>
          </cell>
          <cell r="H8">
            <v>1421.1142</v>
          </cell>
          <cell r="I8">
            <v>1673.4471000000001</v>
          </cell>
          <cell r="J8">
            <v>2033.0459000000001</v>
          </cell>
          <cell r="K8">
            <v>1006.1486603742594</v>
          </cell>
          <cell r="L8">
            <v>1126.7942910080944</v>
          </cell>
          <cell r="M8">
            <v>1232.9053881035759</v>
          </cell>
          <cell r="N8">
            <v>1663.272601874914</v>
          </cell>
        </row>
        <row r="9">
          <cell r="F9" t="str">
            <v>International Aviation</v>
          </cell>
          <cell r="G9">
            <v>248</v>
          </cell>
          <cell r="H9">
            <v>340.4670625</v>
          </cell>
          <cell r="I9">
            <v>405.039625</v>
          </cell>
          <cell r="J9">
            <v>439.91199999999998</v>
          </cell>
          <cell r="K9">
            <v>585.53437499999995</v>
          </cell>
          <cell r="L9">
            <v>689.65268749999996</v>
          </cell>
          <cell r="M9">
            <v>795.67031250000002</v>
          </cell>
          <cell r="N9">
            <v>1379.5398749999999</v>
          </cell>
        </row>
        <row r="10">
          <cell r="F10" t="str">
            <v>International Maritime</v>
          </cell>
          <cell r="G10">
            <v>286</v>
          </cell>
          <cell r="H10">
            <v>484.97831250000002</v>
          </cell>
          <cell r="I10">
            <v>555.19962499999997</v>
          </cell>
          <cell r="J10">
            <v>638.61006250000003</v>
          </cell>
          <cell r="K10">
            <v>712.27187500000002</v>
          </cell>
          <cell r="L10">
            <v>815.50043749999998</v>
          </cell>
          <cell r="M10">
            <v>914.78581250000002</v>
          </cell>
          <cell r="N10">
            <v>1368.2484999999999</v>
          </cell>
        </row>
        <row r="11">
          <cell r="F11" t="str">
            <v>Japan</v>
          </cell>
          <cell r="G11">
            <v>1197.138921</v>
          </cell>
          <cell r="H11">
            <v>1256.109598</v>
          </cell>
          <cell r="I11">
            <v>1262.578929</v>
          </cell>
          <cell r="J11">
            <v>1181.6090320000001</v>
          </cell>
          <cell r="K11">
            <v>1282.5162293669637</v>
          </cell>
          <cell r="L11">
            <v>1256.7452851430482</v>
          </cell>
          <cell r="M11">
            <v>1241.5103103989911</v>
          </cell>
          <cell r="N11">
            <v>1062.0171610601853</v>
          </cell>
        </row>
        <row r="12">
          <cell r="F12" t="str">
            <v>Mexico</v>
          </cell>
          <cell r="G12">
            <v>433.70339999999999</v>
          </cell>
          <cell r="H12">
            <v>576.66869999999994</v>
          </cell>
          <cell r="I12">
            <v>657.45519999999999</v>
          </cell>
          <cell r="J12">
            <v>706.00620000000004</v>
          </cell>
          <cell r="K12">
            <v>838.60982496602014</v>
          </cell>
          <cell r="L12">
            <v>890.74929872043128</v>
          </cell>
          <cell r="M12">
            <v>966.49616476969231</v>
          </cell>
          <cell r="N12">
            <v>1046.8842179233563</v>
          </cell>
        </row>
        <row r="13">
          <cell r="F13" t="str">
            <v>Middle East</v>
          </cell>
          <cell r="G13">
            <v>957.95329999999979</v>
          </cell>
          <cell r="H13">
            <v>1500.7977000000001</v>
          </cell>
          <cell r="I13">
            <v>1840.6275000000001</v>
          </cell>
          <cell r="J13">
            <v>2294.2312000000002</v>
          </cell>
          <cell r="K13">
            <v>2563.2595000671054</v>
          </cell>
          <cell r="L13">
            <v>2884.4587853322205</v>
          </cell>
          <cell r="M13">
            <v>3195.2713822718993</v>
          </cell>
          <cell r="N13">
            <v>4476.7942362663689</v>
          </cell>
        </row>
        <row r="14">
          <cell r="F14" t="str">
            <v>Northern Africa</v>
          </cell>
          <cell r="G14">
            <v>369.27879999999999</v>
          </cell>
          <cell r="H14">
            <v>476.14940000000001</v>
          </cell>
          <cell r="I14">
            <v>595.92050000000006</v>
          </cell>
          <cell r="J14">
            <v>715.10880000000009</v>
          </cell>
          <cell r="K14">
            <v>869.80595900825836</v>
          </cell>
          <cell r="L14">
            <v>955.86061335405475</v>
          </cell>
          <cell r="M14">
            <v>1069.9957958736693</v>
          </cell>
          <cell r="N14">
            <v>1458.0673745676768</v>
          </cell>
        </row>
        <row r="15">
          <cell r="F15" t="str">
            <v>Oceania</v>
          </cell>
          <cell r="G15">
            <v>571.20189999999991</v>
          </cell>
          <cell r="H15">
            <v>678.93089999999995</v>
          </cell>
          <cell r="I15">
            <v>744.07340000000011</v>
          </cell>
          <cell r="J15">
            <v>746.65420000000006</v>
          </cell>
          <cell r="K15">
            <v>793.50636809088542</v>
          </cell>
          <cell r="L15">
            <v>808.45581698528645</v>
          </cell>
          <cell r="M15">
            <v>817.7785587904948</v>
          </cell>
          <cell r="N15">
            <v>855.32215539986998</v>
          </cell>
        </row>
        <row r="16">
          <cell r="F16" t="str">
            <v>Rest of Central America</v>
          </cell>
          <cell r="G16">
            <v>271.31020000000001</v>
          </cell>
          <cell r="H16">
            <v>329.48919999999998</v>
          </cell>
          <cell r="I16">
            <v>314.8972</v>
          </cell>
          <cell r="J16">
            <v>353.77340000000004</v>
          </cell>
          <cell r="K16">
            <v>470.16965836686506</v>
          </cell>
          <cell r="L16">
            <v>479.1962850562191</v>
          </cell>
          <cell r="M16">
            <v>488.26318020727319</v>
          </cell>
          <cell r="N16">
            <v>572.68727798529858</v>
          </cell>
        </row>
        <row r="17">
          <cell r="F17" t="str">
            <v>Rest of Europe</v>
          </cell>
          <cell r="G17">
            <v>218.11189999999999</v>
          </cell>
          <cell r="H17">
            <v>177.29070000000002</v>
          </cell>
          <cell r="I17">
            <v>191.68310000000002</v>
          </cell>
          <cell r="J17">
            <v>119.56270000000001</v>
          </cell>
          <cell r="K17">
            <v>255.24377515398913</v>
          </cell>
          <cell r="L17">
            <v>259.77802168816521</v>
          </cell>
          <cell r="M17">
            <v>257.04377252450519</v>
          </cell>
          <cell r="N17">
            <v>261.98109167706076</v>
          </cell>
        </row>
        <row r="18">
          <cell r="F18" t="str">
            <v>Rest of FSU</v>
          </cell>
          <cell r="G18">
            <v>1006.8458000000001</v>
          </cell>
          <cell r="H18">
            <v>630.20800000000008</v>
          </cell>
          <cell r="I18">
            <v>713.84710000000007</v>
          </cell>
          <cell r="J18">
            <v>820.24099999999999</v>
          </cell>
          <cell r="K18">
            <v>934.32239398915522</v>
          </cell>
          <cell r="L18">
            <v>1007.8992503518708</v>
          </cell>
          <cell r="M18">
            <v>1050.0574130298191</v>
          </cell>
          <cell r="N18">
            <v>1201.4587027992748</v>
          </cell>
        </row>
        <row r="19">
          <cell r="F19" t="str">
            <v>Rest of South America</v>
          </cell>
          <cell r="G19">
            <v>1255.0819000000001</v>
          </cell>
          <cell r="H19">
            <v>1443.7682999999997</v>
          </cell>
          <cell r="I19">
            <v>1560.5543999999998</v>
          </cell>
          <cell r="J19">
            <v>1706.4106999999999</v>
          </cell>
          <cell r="K19">
            <v>2059.2626300868656</v>
          </cell>
          <cell r="L19">
            <v>2150.9927108192792</v>
          </cell>
          <cell r="M19">
            <v>2244.2850336105384</v>
          </cell>
          <cell r="N19">
            <v>2623.4917460084389</v>
          </cell>
        </row>
        <row r="20">
          <cell r="F20" t="str">
            <v>Rest of South Asia</v>
          </cell>
          <cell r="G20">
            <v>373.09629999999993</v>
          </cell>
          <cell r="H20">
            <v>482.79740000000004</v>
          </cell>
          <cell r="I20">
            <v>541.9</v>
          </cell>
          <cell r="J20">
            <v>595.66999999999996</v>
          </cell>
          <cell r="K20">
            <v>707.78095327988274</v>
          </cell>
          <cell r="L20">
            <v>816.32696275143201</v>
          </cell>
          <cell r="M20">
            <v>936.5429018609376</v>
          </cell>
          <cell r="N20">
            <v>1461.8849699070638</v>
          </cell>
        </row>
        <row r="21">
          <cell r="F21" t="str">
            <v>Rest of South East Asia</v>
          </cell>
          <cell r="G21">
            <v>762.16880000000003</v>
          </cell>
          <cell r="H21">
            <v>992.5139999999999</v>
          </cell>
          <cell r="I21">
            <v>1623.4377000000002</v>
          </cell>
          <cell r="J21">
            <v>1755.5398000000002</v>
          </cell>
          <cell r="K21">
            <v>2397.4445222220129</v>
          </cell>
          <cell r="L21">
            <v>2602.8577745795815</v>
          </cell>
          <cell r="M21">
            <v>2836.2327914072607</v>
          </cell>
          <cell r="N21">
            <v>4142.4714374680061</v>
          </cell>
        </row>
        <row r="22">
          <cell r="F22" t="str">
            <v>Rest of Sub Saharan Africa</v>
          </cell>
          <cell r="G22">
            <v>2410.9324999999999</v>
          </cell>
          <cell r="H22">
            <v>2504.3649</v>
          </cell>
          <cell r="I22">
            <v>2648.7985999999996</v>
          </cell>
          <cell r="J22">
            <v>2826.4043000000006</v>
          </cell>
          <cell r="K22">
            <v>2861.4644473994322</v>
          </cell>
          <cell r="L22">
            <v>3135.0434528984597</v>
          </cell>
          <cell r="M22">
            <v>3339.2422156176503</v>
          </cell>
          <cell r="N22">
            <v>4889.53574646367</v>
          </cell>
        </row>
        <row r="23">
          <cell r="F23" t="str">
            <v>Russia</v>
          </cell>
          <cell r="G23">
            <v>3436.4584639999998</v>
          </cell>
          <cell r="H23">
            <v>1589.1095600000001</v>
          </cell>
          <cell r="I23">
            <v>1588.217163</v>
          </cell>
          <cell r="J23">
            <v>1566.658081</v>
          </cell>
          <cell r="K23">
            <v>2492.3031638727298</v>
          </cell>
          <cell r="L23">
            <v>2566.5070041546824</v>
          </cell>
          <cell r="M23">
            <v>2642.8037115231605</v>
          </cell>
          <cell r="N23">
            <v>2737.0144793857503</v>
          </cell>
        </row>
        <row r="24">
          <cell r="F24" t="str">
            <v>South Africa</v>
          </cell>
          <cell r="G24">
            <v>331.45760000000001</v>
          </cell>
          <cell r="H24">
            <v>372.79300000000001</v>
          </cell>
          <cell r="I24">
            <v>410.45850000000002</v>
          </cell>
          <cell r="J24">
            <v>458.76499999999999</v>
          </cell>
          <cell r="K24">
            <v>554.22928439243765</v>
          </cell>
          <cell r="L24">
            <v>578.91642269052454</v>
          </cell>
          <cell r="M24">
            <v>626.97530099171172</v>
          </cell>
          <cell r="N24">
            <v>837.57349591180912</v>
          </cell>
        </row>
        <row r="25">
          <cell r="F25" t="str">
            <v>South Korea</v>
          </cell>
          <cell r="G25">
            <v>262.70710000000003</v>
          </cell>
          <cell r="H25">
            <v>493.32839999999999</v>
          </cell>
          <cell r="I25">
            <v>530.02700000000004</v>
          </cell>
          <cell r="J25">
            <v>629.56709999999998</v>
          </cell>
          <cell r="K25">
            <v>848.40602184027762</v>
          </cell>
          <cell r="L25">
            <v>820.14680521071546</v>
          </cell>
          <cell r="M25">
            <v>772.49926881040585</v>
          </cell>
          <cell r="N25">
            <v>740.15715635457127</v>
          </cell>
        </row>
        <row r="26">
          <cell r="F26" t="str">
            <v>Turkey</v>
          </cell>
          <cell r="G26">
            <v>173.05328900000001</v>
          </cell>
          <cell r="H26">
            <v>252.7147951</v>
          </cell>
          <cell r="I26">
            <v>285.97422349999999</v>
          </cell>
          <cell r="J26">
            <v>361.49951349999998</v>
          </cell>
          <cell r="K26">
            <v>553.64930302147127</v>
          </cell>
          <cell r="L26">
            <v>610.55736018016273</v>
          </cell>
          <cell r="M26">
            <v>656.72513532742823</v>
          </cell>
          <cell r="N26">
            <v>767.8214524537641</v>
          </cell>
        </row>
        <row r="27">
          <cell r="F27" t="str">
            <v>Ukraine</v>
          </cell>
          <cell r="G27">
            <v>860.15645400000005</v>
          </cell>
          <cell r="H27">
            <v>344.90964359999998</v>
          </cell>
          <cell r="I27">
            <v>378.8565711</v>
          </cell>
          <cell r="J27">
            <v>345.25630699999999</v>
          </cell>
          <cell r="K27">
            <v>417.49273480769273</v>
          </cell>
          <cell r="L27">
            <v>427.57146698945434</v>
          </cell>
          <cell r="M27">
            <v>432.46784454353394</v>
          </cell>
          <cell r="N27">
            <v>566.08238162362795</v>
          </cell>
        </row>
        <row r="28">
          <cell r="F28" t="str">
            <v>USA</v>
          </cell>
          <cell r="G28">
            <v>5388.7456419999999</v>
          </cell>
          <cell r="H28">
            <v>6394.6623159999999</v>
          </cell>
          <cell r="I28">
            <v>6197.43156</v>
          </cell>
          <cell r="J28">
            <v>5921.5477709999996</v>
          </cell>
          <cell r="K28">
            <v>6691.3330906614583</v>
          </cell>
          <cell r="L28">
            <v>6685.0153204895842</v>
          </cell>
          <cell r="M28">
            <v>6808.2576317749999</v>
          </cell>
          <cell r="N28">
            <v>6938.9085903828409</v>
          </cell>
        </row>
        <row r="30">
          <cell r="F30" t="str">
            <v>Total Mt</v>
          </cell>
          <cell r="G30">
            <v>33560.579772199999</v>
          </cell>
          <cell r="H30">
            <v>35792.235794704859</v>
          </cell>
          <cell r="I30">
            <v>41063.614506841594</v>
          </cell>
          <cell r="J30">
            <v>44378.367834421508</v>
          </cell>
          <cell r="K30">
            <v>55906.498748766702</v>
          </cell>
          <cell r="L30">
            <v>59476.310678174596</v>
          </cell>
          <cell r="M30">
            <v>62932.272328243853</v>
          </cell>
          <cell r="N30">
            <v>75077.784530389967</v>
          </cell>
        </row>
        <row r="31">
          <cell r="F31" t="str">
            <v>Total Gt</v>
          </cell>
          <cell r="G31">
            <v>33.560579772200001</v>
          </cell>
          <cell r="H31">
            <v>35.792235794704858</v>
          </cell>
          <cell r="I31">
            <v>41.063614506841596</v>
          </cell>
          <cell r="J31">
            <v>44.37836783442151</v>
          </cell>
          <cell r="K31">
            <v>55.906498748766701</v>
          </cell>
          <cell r="L31">
            <v>59.476310678174599</v>
          </cell>
          <cell r="M31">
            <v>62.932272328243855</v>
          </cell>
          <cell r="N31">
            <v>75.077784530389962</v>
          </cell>
        </row>
        <row r="33">
          <cell r="F33" t="str">
            <v>Peat emissions</v>
          </cell>
          <cell r="G33">
            <v>1.5</v>
          </cell>
          <cell r="H33">
            <v>1.5</v>
          </cell>
          <cell r="I33">
            <v>1.5</v>
          </cell>
          <cell r="J33">
            <v>1.5</v>
          </cell>
          <cell r="K33">
            <v>1.5</v>
          </cell>
          <cell r="L33">
            <v>1.5</v>
          </cell>
          <cell r="M33">
            <v>1.5</v>
          </cell>
          <cell r="N33">
            <v>1.5</v>
          </cell>
        </row>
        <row r="34">
          <cell r="F34" t="str">
            <v>Total including peat</v>
          </cell>
          <cell r="G34">
            <v>35.060579772200001</v>
          </cell>
          <cell r="H34">
            <v>37.292235794704858</v>
          </cell>
          <cell r="I34">
            <v>42.563614506841596</v>
          </cell>
          <cell r="J34">
            <v>45.87836783442151</v>
          </cell>
          <cell r="K34">
            <v>57.406498748766701</v>
          </cell>
          <cell r="L34">
            <v>60.976310678174599</v>
          </cell>
          <cell r="M34">
            <v>64.432272328243855</v>
          </cell>
          <cell r="N34">
            <v>76.577784530389962</v>
          </cell>
        </row>
        <row r="70">
          <cell r="F70" t="str">
            <v>GLOCAF BAU emissions (Mt) minus current policy</v>
          </cell>
          <cell r="G70">
            <v>1990</v>
          </cell>
          <cell r="H70">
            <v>2000</v>
          </cell>
          <cell r="I70">
            <v>2005</v>
          </cell>
          <cell r="J70">
            <v>2010</v>
          </cell>
          <cell r="K70">
            <v>2020</v>
          </cell>
          <cell r="L70">
            <v>2025</v>
          </cell>
          <cell r="M70">
            <v>2030</v>
          </cell>
          <cell r="N70">
            <v>2050</v>
          </cell>
        </row>
        <row r="71">
          <cell r="F71" t="str">
            <v>Brazil</v>
          </cell>
          <cell r="G71">
            <v>1738.7275999999999</v>
          </cell>
          <cell r="H71">
            <v>1884.0663</v>
          </cell>
          <cell r="I71">
            <v>2257.2712000000001</v>
          </cell>
          <cell r="J71">
            <v>1392.6398999999999</v>
          </cell>
          <cell r="K71">
            <v>1789</v>
          </cell>
          <cell r="L71">
            <v>2498.3095797037763</v>
          </cell>
          <cell r="M71">
            <v>2576.0319714766924</v>
          </cell>
          <cell r="N71">
            <v>2445.7398628423184</v>
          </cell>
        </row>
        <row r="72">
          <cell r="F72" t="str">
            <v>Canada</v>
          </cell>
          <cell r="G72">
            <v>529.45129420000001</v>
          </cell>
          <cell r="H72">
            <v>665.38823420000006</v>
          </cell>
          <cell r="I72">
            <v>800.14233079999997</v>
          </cell>
          <cell r="J72">
            <v>804.04425089999995</v>
          </cell>
          <cell r="K72">
            <v>873.85610000000008</v>
          </cell>
          <cell r="L72">
            <v>927.94382808098931</v>
          </cell>
          <cell r="M72">
            <v>958.58372689869805</v>
          </cell>
          <cell r="N72">
            <v>1074.4091823807437</v>
          </cell>
        </row>
        <row r="73">
          <cell r="F73" t="str">
            <v>China</v>
          </cell>
          <cell r="G73">
            <v>3047.3018000000002</v>
          </cell>
          <cell r="H73">
            <v>4420.68</v>
          </cell>
          <cell r="I73">
            <v>6965.6751999999997</v>
          </cell>
          <cell r="J73">
            <v>9387.0095000000001</v>
          </cell>
          <cell r="K73">
            <v>14046.00487213735</v>
          </cell>
          <cell r="L73">
            <v>15859.639383973308</v>
          </cell>
          <cell r="M73">
            <v>16587.840836088631</v>
          </cell>
          <cell r="N73">
            <v>17466.138730661714</v>
          </cell>
        </row>
        <row r="74">
          <cell r="F74" t="str">
            <v>EU</v>
          </cell>
          <cell r="G74">
            <v>5319.5404079999998</v>
          </cell>
          <cell r="H74">
            <v>4573.9825728048645</v>
          </cell>
          <cell r="I74">
            <v>4671.9793794415982</v>
          </cell>
          <cell r="J74">
            <v>4274.5579165215067</v>
          </cell>
          <cell r="K74">
            <v>4036.9404695579292</v>
          </cell>
          <cell r="L74">
            <v>3975.5863510408512</v>
          </cell>
          <cell r="M74">
            <v>4007.1569046844825</v>
          </cell>
          <cell r="N74">
            <v>3934.9973397492176</v>
          </cell>
        </row>
        <row r="75">
          <cell r="F75" t="str">
            <v>India</v>
          </cell>
          <cell r="G75">
            <v>1035.3975</v>
          </cell>
          <cell r="H75">
            <v>1504.9526000000001</v>
          </cell>
          <cell r="I75">
            <v>1648.1214</v>
          </cell>
          <cell r="J75">
            <v>2304.0432000000001</v>
          </cell>
          <cell r="K75">
            <v>3887.9066307257808</v>
          </cell>
          <cell r="L75">
            <v>4645.8054819723966</v>
          </cell>
          <cell r="M75">
            <v>5476.8489626578121</v>
          </cell>
          <cell r="N75">
            <v>9105.2847642424476</v>
          </cell>
        </row>
        <row r="76">
          <cell r="F76" t="str">
            <v>Indonesia</v>
          </cell>
          <cell r="G76">
            <v>1076.7589</v>
          </cell>
          <cell r="H76">
            <v>1421.1142</v>
          </cell>
          <cell r="I76">
            <v>1673.4471000000001</v>
          </cell>
          <cell r="J76">
            <v>2033.0459000000001</v>
          </cell>
          <cell r="K76">
            <v>1006.1486603742594</v>
          </cell>
          <cell r="L76">
            <v>1126.7942910080944</v>
          </cell>
          <cell r="M76">
            <v>1232.9053881035759</v>
          </cell>
          <cell r="N76">
            <v>1663.272601874914</v>
          </cell>
        </row>
        <row r="77">
          <cell r="F77" t="str">
            <v>International Aviation</v>
          </cell>
          <cell r="G77">
            <v>248</v>
          </cell>
          <cell r="H77">
            <v>340.4670625</v>
          </cell>
          <cell r="I77">
            <v>405.039625</v>
          </cell>
          <cell r="J77">
            <v>439.91199999999998</v>
          </cell>
          <cell r="K77">
            <v>575.58029062499998</v>
          </cell>
          <cell r="L77">
            <v>689.65268749999996</v>
          </cell>
          <cell r="M77">
            <v>795.67031250000002</v>
          </cell>
          <cell r="N77">
            <v>1379.5398749999999</v>
          </cell>
        </row>
        <row r="78">
          <cell r="F78" t="str">
            <v>International Maritime</v>
          </cell>
          <cell r="G78">
            <v>286</v>
          </cell>
          <cell r="H78">
            <v>484.97831250000002</v>
          </cell>
          <cell r="I78">
            <v>555.19962499999997</v>
          </cell>
          <cell r="J78">
            <v>638.61006250000003</v>
          </cell>
          <cell r="K78">
            <v>712.27187500000002</v>
          </cell>
          <cell r="L78">
            <v>815.50043749999998</v>
          </cell>
          <cell r="M78">
            <v>914.78581250000002</v>
          </cell>
          <cell r="N78">
            <v>1368.2484999999999</v>
          </cell>
        </row>
        <row r="79">
          <cell r="F79" t="str">
            <v>Japan</v>
          </cell>
          <cell r="G79">
            <v>1197.138921</v>
          </cell>
          <cell r="H79">
            <v>1256.109598</v>
          </cell>
          <cell r="I79">
            <v>1262.578929</v>
          </cell>
          <cell r="J79">
            <v>1181.6090320000001</v>
          </cell>
          <cell r="K79">
            <v>1282.5162293669637</v>
          </cell>
          <cell r="L79">
            <v>1256.7452851430482</v>
          </cell>
          <cell r="M79">
            <v>1241.5103103989911</v>
          </cell>
          <cell r="N79">
            <v>1062.0171610601853</v>
          </cell>
        </row>
        <row r="80">
          <cell r="F80" t="str">
            <v>Mexico</v>
          </cell>
          <cell r="G80">
            <v>433.70339999999999</v>
          </cell>
          <cell r="H80">
            <v>576.66869999999994</v>
          </cell>
          <cell r="I80">
            <v>657.45519999999999</v>
          </cell>
          <cell r="J80">
            <v>706.00620000000004</v>
          </cell>
          <cell r="K80">
            <v>830</v>
          </cell>
          <cell r="L80">
            <v>890.74929872043128</v>
          </cell>
          <cell r="M80">
            <v>966.49616476969231</v>
          </cell>
          <cell r="N80">
            <v>1046.8842179233563</v>
          </cell>
        </row>
        <row r="81">
          <cell r="F81" t="str">
            <v>Middle East</v>
          </cell>
          <cell r="G81">
            <v>957.95329999999979</v>
          </cell>
          <cell r="H81">
            <v>1500.7977000000001</v>
          </cell>
          <cell r="I81">
            <v>1840.6275000000001</v>
          </cell>
          <cell r="J81">
            <v>2294.2312000000002</v>
          </cell>
          <cell r="K81">
            <v>2537.6269050664341</v>
          </cell>
          <cell r="L81">
            <v>2884.4587853322205</v>
          </cell>
          <cell r="M81">
            <v>3195.2713822718993</v>
          </cell>
          <cell r="N81">
            <v>4476.7942362663689</v>
          </cell>
        </row>
        <row r="82">
          <cell r="F82" t="str">
            <v>Northern Africa</v>
          </cell>
          <cell r="G82">
            <v>369.27879999999999</v>
          </cell>
          <cell r="H82">
            <v>476.14940000000001</v>
          </cell>
          <cell r="I82">
            <v>595.92050000000006</v>
          </cell>
          <cell r="J82">
            <v>715.10880000000009</v>
          </cell>
          <cell r="K82">
            <v>869.80595900825836</v>
          </cell>
          <cell r="L82">
            <v>955.86061335405475</v>
          </cell>
          <cell r="M82">
            <v>1069.9957958736693</v>
          </cell>
          <cell r="N82">
            <v>1458.0673745676768</v>
          </cell>
        </row>
        <row r="83">
          <cell r="F83" t="str">
            <v>Oceania</v>
          </cell>
          <cell r="G83">
            <v>571.20189999999991</v>
          </cell>
          <cell r="H83">
            <v>678.93089999999995</v>
          </cell>
          <cell r="I83">
            <v>744.07340000000011</v>
          </cell>
          <cell r="J83">
            <v>746.65420000000006</v>
          </cell>
          <cell r="K83">
            <v>579</v>
          </cell>
          <cell r="L83">
            <v>808.45581698528645</v>
          </cell>
          <cell r="M83">
            <v>817.7785587904948</v>
          </cell>
          <cell r="N83">
            <v>855.32215539986998</v>
          </cell>
        </row>
        <row r="84">
          <cell r="F84" t="str">
            <v>Rest of Central America</v>
          </cell>
          <cell r="G84">
            <v>271.31020000000001</v>
          </cell>
          <cell r="H84">
            <v>329.48919999999998</v>
          </cell>
          <cell r="I84">
            <v>314.8972</v>
          </cell>
          <cell r="J84">
            <v>353.77340000000004</v>
          </cell>
          <cell r="K84">
            <v>470.16965836686506</v>
          </cell>
          <cell r="L84">
            <v>479.1962850562191</v>
          </cell>
          <cell r="M84">
            <v>488.26318020727319</v>
          </cell>
          <cell r="N84">
            <v>572.68727798529858</v>
          </cell>
        </row>
        <row r="85">
          <cell r="F85" t="str">
            <v>Rest of Europe</v>
          </cell>
          <cell r="G85">
            <v>218.11189999999999</v>
          </cell>
          <cell r="H85">
            <v>177.29070000000002</v>
          </cell>
          <cell r="I85">
            <v>191.68310000000002</v>
          </cell>
          <cell r="J85">
            <v>119.56270000000001</v>
          </cell>
          <cell r="K85">
            <v>204.36158000000003</v>
          </cell>
          <cell r="L85">
            <v>259.77802168816521</v>
          </cell>
          <cell r="M85">
            <v>257.04377252450519</v>
          </cell>
          <cell r="N85">
            <v>261.98109167706076</v>
          </cell>
        </row>
        <row r="86">
          <cell r="F86" t="str">
            <v>Rest of FSU</v>
          </cell>
          <cell r="G86">
            <v>1006.8458000000001</v>
          </cell>
          <cell r="H86">
            <v>630.20800000000008</v>
          </cell>
          <cell r="I86">
            <v>713.84710000000007</v>
          </cell>
          <cell r="J86">
            <v>820.24099999999999</v>
          </cell>
          <cell r="K86">
            <v>934.32239398915522</v>
          </cell>
          <cell r="L86">
            <v>1007.8992503518708</v>
          </cell>
          <cell r="M86">
            <v>1050.0574130298191</v>
          </cell>
          <cell r="N86">
            <v>1201.4587027992748</v>
          </cell>
        </row>
        <row r="87">
          <cell r="F87" t="str">
            <v>Rest of South America</v>
          </cell>
          <cell r="G87">
            <v>1255.0819000000001</v>
          </cell>
          <cell r="H87">
            <v>1443.7682999999997</v>
          </cell>
          <cell r="I87">
            <v>1560.5543999999998</v>
          </cell>
          <cell r="J87">
            <v>1706.4106999999999</v>
          </cell>
          <cell r="K87">
            <v>1920.037576883391</v>
          </cell>
          <cell r="L87">
            <v>2150.9927108192792</v>
          </cell>
          <cell r="M87">
            <v>2244.2850336105384</v>
          </cell>
          <cell r="N87">
            <v>2623.4917460084389</v>
          </cell>
        </row>
        <row r="88">
          <cell r="F88" t="str">
            <v>Rest of South Asia</v>
          </cell>
          <cell r="G88">
            <v>373.09629999999993</v>
          </cell>
          <cell r="H88">
            <v>482.79740000000004</v>
          </cell>
          <cell r="I88">
            <v>541.9</v>
          </cell>
          <cell r="J88">
            <v>595.66999999999996</v>
          </cell>
          <cell r="K88">
            <v>707.78095327988274</v>
          </cell>
          <cell r="L88">
            <v>816.32696275143201</v>
          </cell>
          <cell r="M88">
            <v>936.5429018609376</v>
          </cell>
          <cell r="N88">
            <v>1461.8849699070638</v>
          </cell>
        </row>
        <row r="89">
          <cell r="F89" t="str">
            <v>Rest of South East Asia</v>
          </cell>
          <cell r="G89">
            <v>762.16880000000003</v>
          </cell>
          <cell r="H89">
            <v>992.5139999999999</v>
          </cell>
          <cell r="I89">
            <v>1623.4377000000002</v>
          </cell>
          <cell r="J89">
            <v>1755.5398000000002</v>
          </cell>
          <cell r="K89">
            <v>2253.5978508886919</v>
          </cell>
          <cell r="L89">
            <v>2602.8577745795815</v>
          </cell>
          <cell r="M89">
            <v>2836.2327914072607</v>
          </cell>
          <cell r="N89">
            <v>4142.4714374680061</v>
          </cell>
        </row>
        <row r="90">
          <cell r="F90" t="str">
            <v>Rest of Sub Saharan Africa</v>
          </cell>
          <cell r="G90">
            <v>2410.9324999999999</v>
          </cell>
          <cell r="H90">
            <v>2504.3649</v>
          </cell>
          <cell r="I90">
            <v>2648.7985999999996</v>
          </cell>
          <cell r="J90">
            <v>2826.4043000000006</v>
          </cell>
          <cell r="K90">
            <v>2861.4644473994322</v>
          </cell>
          <cell r="L90">
            <v>3135.0434528984597</v>
          </cell>
          <cell r="M90">
            <v>3339.2422156176503</v>
          </cell>
          <cell r="N90">
            <v>4889.53574646367</v>
          </cell>
        </row>
        <row r="91">
          <cell r="F91" t="str">
            <v>Russia</v>
          </cell>
          <cell r="G91">
            <v>3436.4584639999998</v>
          </cell>
          <cell r="H91">
            <v>1589.1095600000001</v>
          </cell>
          <cell r="I91">
            <v>1588.217163</v>
          </cell>
          <cell r="J91">
            <v>1566.658081</v>
          </cell>
          <cell r="K91">
            <v>2492.3031638727298</v>
          </cell>
          <cell r="L91">
            <v>2566.5070041546824</v>
          </cell>
          <cell r="M91">
            <v>2642.8037115231605</v>
          </cell>
          <cell r="N91">
            <v>2737.0144793857503</v>
          </cell>
        </row>
        <row r="92">
          <cell r="F92" t="str">
            <v>South Africa</v>
          </cell>
          <cell r="G92">
            <v>331.45760000000001</v>
          </cell>
          <cell r="H92">
            <v>372.79300000000001</v>
          </cell>
          <cell r="I92">
            <v>410.45850000000002</v>
          </cell>
          <cell r="J92">
            <v>458.76499999999999</v>
          </cell>
          <cell r="K92">
            <v>554.22928439243765</v>
          </cell>
          <cell r="L92">
            <v>578.91642269052454</v>
          </cell>
          <cell r="M92">
            <v>626.97530099171172</v>
          </cell>
          <cell r="N92">
            <v>837.57349591180912</v>
          </cell>
        </row>
        <row r="93">
          <cell r="F93" t="str">
            <v>South Korea</v>
          </cell>
          <cell r="G93">
            <v>262.70710000000003</v>
          </cell>
          <cell r="H93">
            <v>493.32839999999999</v>
          </cell>
          <cell r="I93">
            <v>530.02700000000004</v>
          </cell>
          <cell r="J93">
            <v>629.56709999999998</v>
          </cell>
          <cell r="K93">
            <v>607</v>
          </cell>
          <cell r="L93">
            <v>820.14680521071546</v>
          </cell>
          <cell r="M93">
            <v>772.49926881040585</v>
          </cell>
          <cell r="N93">
            <v>740.15715635457127</v>
          </cell>
        </row>
        <row r="94">
          <cell r="F94" t="str">
            <v>Turkey</v>
          </cell>
          <cell r="G94">
            <v>173.05328900000001</v>
          </cell>
          <cell r="H94">
            <v>252.7147951</v>
          </cell>
          <cell r="I94">
            <v>285.97422349999999</v>
          </cell>
          <cell r="J94">
            <v>361.49951349999998</v>
          </cell>
          <cell r="K94">
            <v>553.64930302147127</v>
          </cell>
          <cell r="L94">
            <v>610.55736018016273</v>
          </cell>
          <cell r="M94">
            <v>656.72513532742823</v>
          </cell>
          <cell r="N94">
            <v>767.8214524537641</v>
          </cell>
        </row>
        <row r="95">
          <cell r="F95" t="str">
            <v>Ukraine</v>
          </cell>
          <cell r="G95">
            <v>860.15645400000005</v>
          </cell>
          <cell r="H95">
            <v>344.90964359999998</v>
          </cell>
          <cell r="I95">
            <v>378.8565711</v>
          </cell>
          <cell r="J95">
            <v>345.25630699999999</v>
          </cell>
          <cell r="K95">
            <v>417.49273480769273</v>
          </cell>
          <cell r="L95">
            <v>427.57146698945434</v>
          </cell>
          <cell r="M95">
            <v>432.46784454353394</v>
          </cell>
          <cell r="N95">
            <v>566.08238162362795</v>
          </cell>
        </row>
        <row r="96">
          <cell r="F96" t="str">
            <v>USA</v>
          </cell>
          <cell r="G96">
            <v>5388.7456419999999</v>
          </cell>
          <cell r="H96">
            <v>6394.6623159999999</v>
          </cell>
          <cell r="I96">
            <v>6197.43156</v>
          </cell>
          <cell r="J96">
            <v>5921.5477709999996</v>
          </cell>
          <cell r="K96">
            <v>5143.8681947999994</v>
          </cell>
          <cell r="L96">
            <v>6685.0153204895842</v>
          </cell>
          <cell r="M96">
            <v>6808.2576317749999</v>
          </cell>
          <cell r="N96">
            <v>6938.9085903828409</v>
          </cell>
        </row>
        <row r="98">
          <cell r="F98" t="str">
            <v>Total Mt</v>
          </cell>
          <cell r="G98">
            <v>33560.579772199999</v>
          </cell>
          <cell r="H98">
            <v>35792.235794704859</v>
          </cell>
          <cell r="I98">
            <v>41063.614506841594</v>
          </cell>
          <cell r="J98">
            <v>44378.367834421508</v>
          </cell>
          <cell r="K98">
            <v>52146.93513356374</v>
          </cell>
          <cell r="L98">
            <v>59476.310678174596</v>
          </cell>
          <cell r="M98">
            <v>62932.272328243853</v>
          </cell>
          <cell r="N98">
            <v>75077.784530389967</v>
          </cell>
        </row>
        <row r="99">
          <cell r="F99" t="str">
            <v>Total Gt</v>
          </cell>
          <cell r="G99">
            <v>33.560579772200001</v>
          </cell>
          <cell r="H99">
            <v>35.792235794704858</v>
          </cell>
          <cell r="I99">
            <v>41.063614506841596</v>
          </cell>
          <cell r="J99">
            <v>44.37836783442151</v>
          </cell>
          <cell r="K99">
            <v>52.146935133563737</v>
          </cell>
          <cell r="L99">
            <v>59.476310678174599</v>
          </cell>
          <cell r="M99">
            <v>62.932272328243855</v>
          </cell>
          <cell r="N99">
            <v>75.077784530389962</v>
          </cell>
        </row>
        <row r="101">
          <cell r="F101" t="str">
            <v>Peat</v>
          </cell>
          <cell r="G101">
            <v>1.5</v>
          </cell>
          <cell r="H101">
            <v>1.5</v>
          </cell>
          <cell r="I101">
            <v>1.5</v>
          </cell>
          <cell r="J101">
            <v>1.5</v>
          </cell>
          <cell r="K101">
            <v>1.5</v>
          </cell>
          <cell r="L101">
            <v>1.5</v>
          </cell>
          <cell r="M101">
            <v>1.5</v>
          </cell>
          <cell r="N101">
            <v>1.5</v>
          </cell>
        </row>
        <row r="102">
          <cell r="F102" t="str">
            <v>Total including peat</v>
          </cell>
          <cell r="G102">
            <v>35.060579772200001</v>
          </cell>
          <cell r="H102">
            <v>37.292235794704858</v>
          </cell>
          <cell r="I102">
            <v>42.563614506841596</v>
          </cell>
          <cell r="J102">
            <v>45.87836783442151</v>
          </cell>
          <cell r="K102">
            <v>53.646935133563737</v>
          </cell>
          <cell r="L102">
            <v>60.976310678174599</v>
          </cell>
          <cell r="M102">
            <v>64.432272328243855</v>
          </cell>
          <cell r="N102">
            <v>76.577784530389962</v>
          </cell>
        </row>
      </sheetData>
      <sheetData sheetId="11">
        <row r="2">
          <cell r="F2" t="str">
            <v>Country</v>
          </cell>
          <cell r="G2">
            <v>1990</v>
          </cell>
          <cell r="H2">
            <v>1995</v>
          </cell>
          <cell r="I2">
            <v>2000</v>
          </cell>
          <cell r="J2">
            <v>2005</v>
          </cell>
          <cell r="K2">
            <v>2010</v>
          </cell>
          <cell r="L2">
            <v>2015</v>
          </cell>
          <cell r="M2">
            <v>2020</v>
          </cell>
          <cell r="N2">
            <v>2025</v>
          </cell>
          <cell r="O2">
            <v>2030</v>
          </cell>
          <cell r="P2">
            <v>2035</v>
          </cell>
          <cell r="Q2">
            <v>2040</v>
          </cell>
          <cell r="R2">
            <v>2045</v>
          </cell>
          <cell r="S2">
            <v>2050</v>
          </cell>
        </row>
        <row r="3">
          <cell r="F3" t="str">
            <v>Brazil</v>
          </cell>
          <cell r="G3">
            <v>149.57</v>
          </cell>
          <cell r="H3">
            <v>161.99768749999998</v>
          </cell>
          <cell r="I3">
            <v>174.425375</v>
          </cell>
          <cell r="J3">
            <v>185.98695312500001</v>
          </cell>
          <cell r="K3">
            <v>194.94645312500001</v>
          </cell>
          <cell r="L3">
            <v>203.23035937500001</v>
          </cell>
          <cell r="M3">
            <v>210.80114062499999</v>
          </cell>
          <cell r="N3">
            <v>216.68172656249999</v>
          </cell>
          <cell r="O3">
            <v>222.56231249999999</v>
          </cell>
          <cell r="P3">
            <v>226.00228125000001</v>
          </cell>
          <cell r="Q3">
            <v>229.44225</v>
          </cell>
          <cell r="R3">
            <v>232.88221874999999</v>
          </cell>
          <cell r="S3">
            <v>236.32218750000001</v>
          </cell>
        </row>
        <row r="4">
          <cell r="F4" t="str">
            <v>Canada</v>
          </cell>
          <cell r="G4">
            <v>27.701000000000001</v>
          </cell>
          <cell r="H4">
            <v>29.2349150390625</v>
          </cell>
          <cell r="I4">
            <v>30.768830078124999</v>
          </cell>
          <cell r="J4">
            <v>32.311089843749997</v>
          </cell>
          <cell r="K4">
            <v>34.125578124999997</v>
          </cell>
          <cell r="L4">
            <v>35.894339843749997</v>
          </cell>
          <cell r="M4">
            <v>37.607421875</v>
          </cell>
          <cell r="N4">
            <v>39.122185546875002</v>
          </cell>
          <cell r="O4">
            <v>40.636949218749997</v>
          </cell>
          <cell r="P4">
            <v>41.858429687499999</v>
          </cell>
          <cell r="Q4">
            <v>43.079910156250001</v>
          </cell>
          <cell r="R4">
            <v>44.301390625000003</v>
          </cell>
          <cell r="S4">
            <v>45.522871093749998</v>
          </cell>
        </row>
        <row r="5">
          <cell r="F5" t="str">
            <v>China</v>
          </cell>
          <cell r="G5">
            <v>1148.1659999999999</v>
          </cell>
          <cell r="H5">
            <v>1208.7271249999999</v>
          </cell>
          <cell r="I5">
            <v>1269.2882500000001</v>
          </cell>
          <cell r="J5">
            <v>1310.579375</v>
          </cell>
          <cell r="K5">
            <v>1344.74325</v>
          </cell>
          <cell r="L5">
            <v>1378.256875</v>
          </cell>
          <cell r="M5">
            <v>1414.9345000000001</v>
          </cell>
          <cell r="N5">
            <v>1430.6302500000002</v>
          </cell>
          <cell r="O5">
            <v>1446.326</v>
          </cell>
          <cell r="P5">
            <v>1424.9664062500001</v>
          </cell>
          <cell r="Q5">
            <v>1403.6068125000002</v>
          </cell>
          <cell r="R5">
            <v>1382.2472187500002</v>
          </cell>
          <cell r="S5">
            <v>1360.8876250000001</v>
          </cell>
        </row>
        <row r="6">
          <cell r="F6" t="str">
            <v>EU</v>
          </cell>
          <cell r="G6">
            <v>477.16399999999993</v>
          </cell>
          <cell r="H6">
            <v>482.58487499999995</v>
          </cell>
          <cell r="I6">
            <v>488.00574999999998</v>
          </cell>
          <cell r="J6">
            <v>496.928</v>
          </cell>
          <cell r="K6">
            <v>506.6434375</v>
          </cell>
          <cell r="L6">
            <v>511.99115625000002</v>
          </cell>
          <cell r="M6">
            <v>516.07996875000003</v>
          </cell>
          <cell r="N6">
            <v>517.73051562499995</v>
          </cell>
          <cell r="O6">
            <v>519.38106249999998</v>
          </cell>
          <cell r="P6">
            <v>517.85806249999996</v>
          </cell>
          <cell r="Q6">
            <v>516.33506249999994</v>
          </cell>
          <cell r="R6">
            <v>514.81206249999991</v>
          </cell>
          <cell r="S6">
            <v>513.2890625</v>
          </cell>
        </row>
        <row r="7">
          <cell r="F7" t="str">
            <v>India</v>
          </cell>
          <cell r="G7">
            <v>862.16200000000003</v>
          </cell>
          <cell r="H7">
            <v>960.89018750000002</v>
          </cell>
          <cell r="I7">
            <v>1059.618375</v>
          </cell>
          <cell r="J7">
            <v>1145.9136249999999</v>
          </cell>
          <cell r="K7">
            <v>1225.7016249999999</v>
          </cell>
          <cell r="L7">
            <v>1303.1041250000001</v>
          </cell>
          <cell r="M7">
            <v>1375.8385000000001</v>
          </cell>
          <cell r="N7">
            <v>1438.4229375</v>
          </cell>
          <cell r="O7">
            <v>1501.0073749999999</v>
          </cell>
          <cell r="P7">
            <v>1549.5475624999999</v>
          </cell>
          <cell r="Q7">
            <v>1598.0877499999999</v>
          </cell>
          <cell r="R7">
            <v>1646.6279374999999</v>
          </cell>
          <cell r="S7">
            <v>1695.1681249999999</v>
          </cell>
        </row>
        <row r="8">
          <cell r="F8" t="str">
            <v>Indonesia</v>
          </cell>
          <cell r="G8">
            <v>177.38499999999999</v>
          </cell>
          <cell r="H8">
            <v>195.390203125</v>
          </cell>
          <cell r="I8">
            <v>213.39540625000001</v>
          </cell>
          <cell r="J8">
            <v>227.30318750000001</v>
          </cell>
          <cell r="K8">
            <v>239.8709375</v>
          </cell>
          <cell r="L8">
            <v>252.7169375</v>
          </cell>
          <cell r="M8">
            <v>267.09187500000002</v>
          </cell>
          <cell r="N8">
            <v>279.20682812500002</v>
          </cell>
          <cell r="O8">
            <v>291.32178125000002</v>
          </cell>
          <cell r="P8">
            <v>297.96117968750002</v>
          </cell>
          <cell r="Q8">
            <v>304.60057812500003</v>
          </cell>
          <cell r="R8">
            <v>311.23997656250003</v>
          </cell>
          <cell r="S8">
            <v>317.87937499999998</v>
          </cell>
        </row>
        <row r="9">
          <cell r="F9" t="str">
            <v>International Aviation</v>
          </cell>
          <cell r="G9">
            <v>0</v>
          </cell>
          <cell r="H9">
            <v>0</v>
          </cell>
          <cell r="I9">
            <v>0</v>
          </cell>
          <cell r="J9">
            <v>0</v>
          </cell>
          <cell r="K9">
            <v>0</v>
          </cell>
          <cell r="L9">
            <v>0</v>
          </cell>
          <cell r="M9">
            <v>0</v>
          </cell>
          <cell r="N9">
            <v>0</v>
          </cell>
          <cell r="O9">
            <v>0</v>
          </cell>
          <cell r="P9">
            <v>0</v>
          </cell>
          <cell r="Q9">
            <v>0</v>
          </cell>
          <cell r="R9">
            <v>0</v>
          </cell>
          <cell r="S9">
            <v>0</v>
          </cell>
        </row>
        <row r="10">
          <cell r="F10" t="str">
            <v>International Maritime</v>
          </cell>
          <cell r="G10">
            <v>0</v>
          </cell>
          <cell r="H10">
            <v>0</v>
          </cell>
          <cell r="I10">
            <v>0</v>
          </cell>
          <cell r="J10">
            <v>0</v>
          </cell>
          <cell r="K10">
            <v>0</v>
          </cell>
          <cell r="L10">
            <v>0</v>
          </cell>
          <cell r="M10">
            <v>0</v>
          </cell>
          <cell r="N10">
            <v>0</v>
          </cell>
          <cell r="O10">
            <v>0</v>
          </cell>
          <cell r="P10">
            <v>0</v>
          </cell>
          <cell r="Q10">
            <v>0</v>
          </cell>
          <cell r="R10">
            <v>0</v>
          </cell>
          <cell r="S10">
            <v>0</v>
          </cell>
        </row>
        <row r="11">
          <cell r="F11" t="str">
            <v>Japan</v>
          </cell>
          <cell r="G11">
            <v>123.191</v>
          </cell>
          <cell r="H11">
            <v>125.03730859375</v>
          </cell>
          <cell r="I11">
            <v>126.88361718749999</v>
          </cell>
          <cell r="J11">
            <v>127.78671875000001</v>
          </cell>
          <cell r="K11">
            <v>127.464140625</v>
          </cell>
          <cell r="L11">
            <v>128.13159375000001</v>
          </cell>
          <cell r="M11">
            <v>125.882546875</v>
          </cell>
          <cell r="N11">
            <v>123.0565</v>
          </cell>
          <cell r="O11">
            <v>120.230453125</v>
          </cell>
          <cell r="P11">
            <v>118.30695703124999</v>
          </cell>
          <cell r="Q11">
            <v>116.38346093749999</v>
          </cell>
          <cell r="R11">
            <v>114.45996484374999</v>
          </cell>
          <cell r="S11">
            <v>112.53646875</v>
          </cell>
        </row>
        <row r="12">
          <cell r="F12" t="str">
            <v>Mexico</v>
          </cell>
          <cell r="G12">
            <v>83.403999999999996</v>
          </cell>
          <cell r="H12">
            <v>89.255226562499999</v>
          </cell>
          <cell r="I12">
            <v>95.106453125000002</v>
          </cell>
          <cell r="J12">
            <v>101.31385937500001</v>
          </cell>
          <cell r="K12">
            <v>107.9162421875</v>
          </cell>
          <cell r="L12">
            <v>114.39671875000001</v>
          </cell>
          <cell r="M12">
            <v>120.7435703125</v>
          </cell>
          <cell r="N12">
            <v>126.16296484375</v>
          </cell>
          <cell r="O12">
            <v>131.58235937500001</v>
          </cell>
          <cell r="P12">
            <v>135.4450234375</v>
          </cell>
          <cell r="Q12">
            <v>139.30768749999999</v>
          </cell>
          <cell r="R12">
            <v>143.17035156249997</v>
          </cell>
          <cell r="S12">
            <v>147.03301562499999</v>
          </cell>
        </row>
        <row r="13">
          <cell r="F13" t="str">
            <v>Middle East</v>
          </cell>
          <cell r="G13">
            <v>135.815</v>
          </cell>
          <cell r="H13">
            <v>148.27134375</v>
          </cell>
          <cell r="I13">
            <v>160.7276875</v>
          </cell>
          <cell r="J13">
            <v>180.48984375000001</v>
          </cell>
          <cell r="K13">
            <v>204.298125</v>
          </cell>
          <cell r="L13">
            <v>225.82120312500001</v>
          </cell>
          <cell r="M13">
            <v>246.32232812500001</v>
          </cell>
          <cell r="N13">
            <v>264.45807031250001</v>
          </cell>
          <cell r="O13">
            <v>282.59381250000001</v>
          </cell>
          <cell r="P13">
            <v>297.38335156250002</v>
          </cell>
          <cell r="Q13">
            <v>312.17289062500004</v>
          </cell>
          <cell r="R13">
            <v>326.96242968750005</v>
          </cell>
          <cell r="S13">
            <v>341.75196875</v>
          </cell>
        </row>
        <row r="14">
          <cell r="F14" t="str">
            <v>Northern Africa</v>
          </cell>
          <cell r="G14">
            <v>120.691</v>
          </cell>
          <cell r="H14">
            <v>131.23079492187497</v>
          </cell>
          <cell r="I14">
            <v>141.77058984374997</v>
          </cell>
          <cell r="J14">
            <v>153.28328906249999</v>
          </cell>
          <cell r="K14">
            <v>165.44539453125</v>
          </cell>
          <cell r="L14">
            <v>177.99841796874998</v>
          </cell>
          <cell r="M14">
            <v>191.4482421875</v>
          </cell>
          <cell r="N14">
            <v>202.820689453125</v>
          </cell>
          <cell r="O14">
            <v>214.19313671875</v>
          </cell>
          <cell r="P14">
            <v>220.74865234375</v>
          </cell>
          <cell r="Q14">
            <v>227.30416796874999</v>
          </cell>
          <cell r="R14">
            <v>233.85968359374999</v>
          </cell>
          <cell r="S14">
            <v>240.41519921874999</v>
          </cell>
        </row>
        <row r="15">
          <cell r="F15" t="str">
            <v>Oceania</v>
          </cell>
          <cell r="G15">
            <v>26.911999999999999</v>
          </cell>
          <cell r="H15">
            <v>28.386129882812497</v>
          </cell>
          <cell r="I15">
            <v>29.860259765624999</v>
          </cell>
          <cell r="J15">
            <v>32.184699218749998</v>
          </cell>
          <cell r="K15">
            <v>34.97296875</v>
          </cell>
          <cell r="L15">
            <v>37.310761718750001</v>
          </cell>
          <cell r="M15">
            <v>39.496871093750002</v>
          </cell>
          <cell r="N15">
            <v>41.603935546875</v>
          </cell>
          <cell r="O15">
            <v>43.710999999999999</v>
          </cell>
          <cell r="P15">
            <v>45.894724609374997</v>
          </cell>
          <cell r="Q15">
            <v>48.078449218749995</v>
          </cell>
          <cell r="R15">
            <v>50.262173828124993</v>
          </cell>
          <cell r="S15">
            <v>52.445898437499999</v>
          </cell>
        </row>
        <row r="16">
          <cell r="F16" t="str">
            <v>Rest of Central America</v>
          </cell>
          <cell r="G16">
            <v>63.405000000000001</v>
          </cell>
          <cell r="H16">
            <v>66.364550781250003</v>
          </cell>
          <cell r="I16">
            <v>69.324101562500005</v>
          </cell>
          <cell r="J16">
            <v>74.309578125000002</v>
          </cell>
          <cell r="K16">
            <v>79.348023437500004</v>
          </cell>
          <cell r="L16">
            <v>84.745796874999996</v>
          </cell>
          <cell r="M16">
            <v>90.423546875</v>
          </cell>
          <cell r="N16">
            <v>95.731882812500004</v>
          </cell>
          <cell r="O16">
            <v>101.04021874999999</v>
          </cell>
          <cell r="P16">
            <v>105.50819140624999</v>
          </cell>
          <cell r="Q16">
            <v>109.97616406249999</v>
          </cell>
          <cell r="R16">
            <v>114.44413671874999</v>
          </cell>
          <cell r="S16">
            <v>118.912109375</v>
          </cell>
        </row>
        <row r="17">
          <cell r="F17" t="str">
            <v>Rest of Europe</v>
          </cell>
          <cell r="G17">
            <v>30.901999999999997</v>
          </cell>
          <cell r="H17">
            <v>31.092075607299805</v>
          </cell>
          <cell r="I17">
            <v>31.282151214599608</v>
          </cell>
          <cell r="J17">
            <v>31.80521942138672</v>
          </cell>
          <cell r="K17">
            <v>32.484929351806642</v>
          </cell>
          <cell r="L17">
            <v>32.15517901611328</v>
          </cell>
          <cell r="M17">
            <v>34.023819244384768</v>
          </cell>
          <cell r="N17">
            <v>35.893579483032227</v>
          </cell>
          <cell r="O17">
            <v>37.763339721679685</v>
          </cell>
          <cell r="P17">
            <v>38.719062133789059</v>
          </cell>
          <cell r="Q17">
            <v>39.674784545898433</v>
          </cell>
          <cell r="R17">
            <v>40.630506958007807</v>
          </cell>
          <cell r="S17">
            <v>41.586229370117188</v>
          </cell>
        </row>
        <row r="18">
          <cell r="F18" t="str">
            <v>Rest of FSU</v>
          </cell>
          <cell r="G18">
            <v>81.251999999999995</v>
          </cell>
          <cell r="H18">
            <v>83.740839843749995</v>
          </cell>
          <cell r="I18">
            <v>86.229679687499996</v>
          </cell>
          <cell r="J18">
            <v>88.746843749999996</v>
          </cell>
          <cell r="K18">
            <v>94.015687499999999</v>
          </cell>
          <cell r="L18">
            <v>100.59659375</v>
          </cell>
          <cell r="M18">
            <v>105.7669609375</v>
          </cell>
          <cell r="N18">
            <v>109.81140234375</v>
          </cell>
          <cell r="O18">
            <v>113.85584375000001</v>
          </cell>
          <cell r="P18">
            <v>117.05364257812501</v>
          </cell>
          <cell r="Q18">
            <v>120.25144140625001</v>
          </cell>
          <cell r="R18">
            <v>123.44924023437501</v>
          </cell>
          <cell r="S18">
            <v>126.6470390625</v>
          </cell>
        </row>
        <row r="19">
          <cell r="F19" t="str">
            <v>Rest of South America</v>
          </cell>
          <cell r="G19">
            <v>145.99100000000001</v>
          </cell>
          <cell r="H19">
            <v>159.71738281250001</v>
          </cell>
          <cell r="I19">
            <v>173.443765625</v>
          </cell>
          <cell r="J19">
            <v>185.88825</v>
          </cell>
          <cell r="K19">
            <v>197.96910937499999</v>
          </cell>
          <cell r="L19">
            <v>210.17893749999999</v>
          </cell>
          <cell r="M19">
            <v>222.87040625</v>
          </cell>
          <cell r="N19">
            <v>234.257265625</v>
          </cell>
          <cell r="O19">
            <v>245.644125</v>
          </cell>
          <cell r="P19">
            <v>254.3348046875</v>
          </cell>
          <cell r="Q19">
            <v>263.02548437500002</v>
          </cell>
          <cell r="R19">
            <v>271.71616406250001</v>
          </cell>
          <cell r="S19">
            <v>280.40684375000001</v>
          </cell>
        </row>
        <row r="20">
          <cell r="F20" t="str">
            <v>Rest of South Asia</v>
          </cell>
          <cell r="G20">
            <v>281.14800000000002</v>
          </cell>
          <cell r="H20">
            <v>311.10525000000001</v>
          </cell>
          <cell r="I20">
            <v>341.0625</v>
          </cell>
          <cell r="J20">
            <v>373.35181249999999</v>
          </cell>
          <cell r="K20">
            <v>404.35325</v>
          </cell>
          <cell r="L20">
            <v>439.37340625000002</v>
          </cell>
          <cell r="M20">
            <v>480.19262500000002</v>
          </cell>
          <cell r="N20">
            <v>524.72031250000009</v>
          </cell>
          <cell r="O20">
            <v>569.24800000000005</v>
          </cell>
          <cell r="P20">
            <v>619.1121875</v>
          </cell>
          <cell r="Q20">
            <v>668.97637499999996</v>
          </cell>
          <cell r="R20">
            <v>718.84056249999992</v>
          </cell>
          <cell r="S20">
            <v>768.70474999999999</v>
          </cell>
        </row>
        <row r="21">
          <cell r="F21" t="str">
            <v>Rest of South East Asia</v>
          </cell>
          <cell r="G21">
            <v>284.56299999999999</v>
          </cell>
          <cell r="H21">
            <v>322.14971875000003</v>
          </cell>
          <cell r="I21">
            <v>359.73643750000002</v>
          </cell>
          <cell r="J21">
            <v>383.39187500000003</v>
          </cell>
          <cell r="K21">
            <v>405.38637499999999</v>
          </cell>
          <cell r="L21">
            <v>427.50178125000002</v>
          </cell>
          <cell r="M21">
            <v>451.5331875</v>
          </cell>
          <cell r="N21">
            <v>471.81950000000001</v>
          </cell>
          <cell r="O21">
            <v>492.10581250000001</v>
          </cell>
          <cell r="P21">
            <v>503.87767187500003</v>
          </cell>
          <cell r="Q21">
            <v>515.64953125</v>
          </cell>
          <cell r="R21">
            <v>527.42139062499996</v>
          </cell>
          <cell r="S21">
            <v>539.19325000000003</v>
          </cell>
        </row>
        <row r="22">
          <cell r="F22" t="str">
            <v>Rest of Sub Saharan Africa</v>
          </cell>
          <cell r="G22">
            <v>480.7</v>
          </cell>
          <cell r="H22">
            <v>552.20240624999997</v>
          </cell>
          <cell r="I22">
            <v>623.7048125</v>
          </cell>
          <cell r="J22">
            <v>709.38193750000005</v>
          </cell>
          <cell r="K22">
            <v>805.78125</v>
          </cell>
          <cell r="L22">
            <v>918.12199999999996</v>
          </cell>
          <cell r="M22">
            <v>1052.0361250000001</v>
          </cell>
          <cell r="N22">
            <v>1203.0585624999999</v>
          </cell>
          <cell r="O22">
            <v>1354.0809999999999</v>
          </cell>
          <cell r="P22">
            <v>1533.18903125</v>
          </cell>
          <cell r="Q22">
            <v>1712.2970625</v>
          </cell>
          <cell r="R22">
            <v>1891.4050937500001</v>
          </cell>
          <cell r="S22">
            <v>2070.5131249999999</v>
          </cell>
        </row>
        <row r="23">
          <cell r="F23" t="str">
            <v>Russia</v>
          </cell>
          <cell r="G23">
            <v>148.065</v>
          </cell>
          <cell r="H23">
            <v>146.656953125</v>
          </cell>
          <cell r="I23">
            <v>145.24890625</v>
          </cell>
          <cell r="J23">
            <v>142.11862500000001</v>
          </cell>
          <cell r="K23">
            <v>141.36310937499999</v>
          </cell>
          <cell r="L23">
            <v>142.30631249999999</v>
          </cell>
          <cell r="M23">
            <v>138.53120312499999</v>
          </cell>
          <cell r="N23">
            <v>134.59458203125001</v>
          </cell>
          <cell r="O23">
            <v>130.65796093750001</v>
          </cell>
          <cell r="P23">
            <v>129.23440625000001</v>
          </cell>
          <cell r="Q23">
            <v>127.81085156250001</v>
          </cell>
          <cell r="R23">
            <v>126.387296875</v>
          </cell>
          <cell r="S23">
            <v>124.9637421875</v>
          </cell>
        </row>
        <row r="24">
          <cell r="F24" t="str">
            <v>South Africa</v>
          </cell>
          <cell r="G24">
            <v>36.744999999999997</v>
          </cell>
          <cell r="H24">
            <v>40.372605468749995</v>
          </cell>
          <cell r="I24">
            <v>44.0002109375</v>
          </cell>
          <cell r="J24">
            <v>47.198699218750001</v>
          </cell>
          <cell r="K24">
            <v>49.991539062500003</v>
          </cell>
          <cell r="L24">
            <v>52.48876953125</v>
          </cell>
          <cell r="M24">
            <v>53.684039062499998</v>
          </cell>
          <cell r="N24">
            <v>54.853904296875001</v>
          </cell>
          <cell r="O24">
            <v>56.023769531249997</v>
          </cell>
          <cell r="P24">
            <v>58.230607421874993</v>
          </cell>
          <cell r="Q24">
            <v>60.437445312499989</v>
          </cell>
          <cell r="R24">
            <v>62.644283203124985</v>
          </cell>
          <cell r="S24">
            <v>64.851121093749995</v>
          </cell>
        </row>
        <row r="25">
          <cell r="F25" t="str">
            <v>South Korea</v>
          </cell>
          <cell r="G25">
            <v>42.982999999999997</v>
          </cell>
          <cell r="H25">
            <v>44.9955</v>
          </cell>
          <cell r="I25">
            <v>47.008000000000003</v>
          </cell>
          <cell r="J25">
            <v>48.137999999999998</v>
          </cell>
          <cell r="K25">
            <v>49.41</v>
          </cell>
          <cell r="L25">
            <v>50.987250000000003</v>
          </cell>
          <cell r="M25">
            <v>51.8588515625</v>
          </cell>
          <cell r="N25">
            <v>52.427214843750001</v>
          </cell>
          <cell r="O25">
            <v>52.995578125000002</v>
          </cell>
          <cell r="P25">
            <v>53.554800781250002</v>
          </cell>
          <cell r="Q25">
            <v>54.114023437500002</v>
          </cell>
          <cell r="R25">
            <v>54.673246093750002</v>
          </cell>
          <cell r="S25">
            <v>55.232468750000002</v>
          </cell>
        </row>
        <row r="26">
          <cell r="F26" t="str">
            <v>Turkey</v>
          </cell>
          <cell r="G26">
            <v>56.085999999999999</v>
          </cell>
          <cell r="H26">
            <v>60.587394531249998</v>
          </cell>
          <cell r="I26">
            <v>65.088789062499998</v>
          </cell>
          <cell r="J26">
            <v>69.707789062499998</v>
          </cell>
          <cell r="K26">
            <v>74.422757812499995</v>
          </cell>
          <cell r="L26">
            <v>80.613007812500001</v>
          </cell>
          <cell r="M26">
            <v>91.291023437500002</v>
          </cell>
          <cell r="N26">
            <v>102.1575703125</v>
          </cell>
          <cell r="O26">
            <v>113.0241171875</v>
          </cell>
          <cell r="P26">
            <v>118.79001367187499</v>
          </cell>
          <cell r="Q26">
            <v>124.55591015624998</v>
          </cell>
          <cell r="R26">
            <v>130.32180664062497</v>
          </cell>
          <cell r="S26">
            <v>136.08770312499999</v>
          </cell>
        </row>
        <row r="27">
          <cell r="F27" t="str">
            <v>Ukraine</v>
          </cell>
          <cell r="G27">
            <v>51.582999999999998</v>
          </cell>
          <cell r="H27">
            <v>50.943974609374997</v>
          </cell>
          <cell r="I27">
            <v>50.304949218749996</v>
          </cell>
          <cell r="J27">
            <v>48.186710937500003</v>
          </cell>
          <cell r="K27">
            <v>46.923921874999998</v>
          </cell>
          <cell r="L27">
            <v>47.271429687500003</v>
          </cell>
          <cell r="M27">
            <v>45.995589843749997</v>
          </cell>
          <cell r="N27">
            <v>44.535759765625002</v>
          </cell>
          <cell r="O27">
            <v>43.0759296875</v>
          </cell>
          <cell r="P27">
            <v>41.755889648437503</v>
          </cell>
          <cell r="Q27">
            <v>40.435849609375005</v>
          </cell>
          <cell r="R27">
            <v>39.115809570312507</v>
          </cell>
          <cell r="S27">
            <v>37.795769531250002</v>
          </cell>
        </row>
        <row r="28">
          <cell r="F28" t="str">
            <v>USA</v>
          </cell>
          <cell r="G28">
            <v>254.86500000000001</v>
          </cell>
          <cell r="H28">
            <v>270.56259375000002</v>
          </cell>
          <cell r="I28">
            <v>286.26018749999997</v>
          </cell>
          <cell r="J28">
            <v>299.8083125</v>
          </cell>
          <cell r="K28">
            <v>313.84231249999999</v>
          </cell>
          <cell r="L28">
            <v>325.7324375</v>
          </cell>
          <cell r="M28">
            <v>338.98281250000002</v>
          </cell>
          <cell r="N28">
            <v>351.43534375000002</v>
          </cell>
          <cell r="O28">
            <v>363.88787500000001</v>
          </cell>
          <cell r="P28">
            <v>374.03535156250001</v>
          </cell>
          <cell r="Q28">
            <v>384.18282812500001</v>
          </cell>
          <cell r="R28">
            <v>394.33030468750002</v>
          </cell>
          <cell r="S28">
            <v>404.47778125000002</v>
          </cell>
        </row>
        <row r="29">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F30" t="str">
            <v>Total</v>
          </cell>
          <cell r="G30">
            <v>5290.4489999999987</v>
          </cell>
          <cell r="H30">
            <v>5701.497042404174</v>
          </cell>
          <cell r="I30">
            <v>6112.5450848083492</v>
          </cell>
          <cell r="J30">
            <v>6496.1142936401375</v>
          </cell>
          <cell r="K30">
            <v>6881.4204176330559</v>
          </cell>
          <cell r="L30">
            <v>7280.9253899536116</v>
          </cell>
          <cell r="M30">
            <v>7703.4371551818858</v>
          </cell>
          <cell r="N30">
            <v>8095.1934837799072</v>
          </cell>
          <cell r="O30">
            <v>8486.9498123779304</v>
          </cell>
          <cell r="P30">
            <v>8823.368291625975</v>
          </cell>
          <cell r="Q30">
            <v>9159.7867708740268</v>
          </cell>
          <cell r="R30">
            <v>9496.2052501220678</v>
          </cell>
          <cell r="S30">
            <v>9832.6237293701179</v>
          </cell>
        </row>
        <row r="31">
          <cell r="F31" t="str">
            <v>Annex I</v>
          </cell>
          <cell r="G31">
            <v>1196.4690000000001</v>
          </cell>
          <cell r="H31">
            <v>1225.0862201385498</v>
          </cell>
          <cell r="I31">
            <v>1253.7034402770996</v>
          </cell>
          <cell r="J31">
            <v>1280.8371647338865</v>
          </cell>
          <cell r="K31">
            <v>1312.2431559143065</v>
          </cell>
          <cell r="L31">
            <v>1341.4062180786132</v>
          </cell>
          <cell r="M31">
            <v>1367.8912567443849</v>
          </cell>
          <cell r="N31">
            <v>1390.1299720611573</v>
          </cell>
          <cell r="O31">
            <v>1412.3686873779297</v>
          </cell>
          <cell r="P31">
            <v>1426.4528970947265</v>
          </cell>
          <cell r="Q31">
            <v>1440.5371068115232</v>
          </cell>
          <cell r="R31">
            <v>1454.6213165283202</v>
          </cell>
          <cell r="S31">
            <v>1468.7055262451172</v>
          </cell>
        </row>
        <row r="32">
          <cell r="F32" t="str">
            <v>Non-Annex I</v>
          </cell>
          <cell r="G32">
            <v>4093.9800000000005</v>
          </cell>
          <cell r="H32">
            <v>4476.410822265625</v>
          </cell>
          <cell r="I32">
            <v>4858.8416445312496</v>
          </cell>
          <cell r="J32">
            <v>5215.2771289062512</v>
          </cell>
          <cell r="K32">
            <v>5569.1772617187489</v>
          </cell>
          <cell r="L32">
            <v>5939.5191718750002</v>
          </cell>
          <cell r="M32">
            <v>6335.5458984375</v>
          </cell>
          <cell r="N32">
            <v>6705.0635117187503</v>
          </cell>
          <cell r="O32">
            <v>7074.5811249999997</v>
          </cell>
          <cell r="P32">
            <v>7396.915394531251</v>
          </cell>
          <cell r="Q32">
            <v>7719.2496640625004</v>
          </cell>
          <cell r="R32">
            <v>8041.583933593749</v>
          </cell>
          <cell r="S32">
            <v>8363.9182031250002</v>
          </cell>
        </row>
        <row r="33">
          <cell r="F33" t="str">
            <v>BASICS</v>
          </cell>
          <cell r="G33">
            <v>2196.643</v>
          </cell>
          <cell r="H33">
            <v>2371.9876054687497</v>
          </cell>
          <cell r="I33">
            <v>2547.3322109375003</v>
          </cell>
          <cell r="J33">
            <v>2689.6786523437499</v>
          </cell>
          <cell r="K33">
            <v>2815.3828671874999</v>
          </cell>
          <cell r="L33">
            <v>2937.0801289062501</v>
          </cell>
          <cell r="M33">
            <v>3055.2581796874997</v>
          </cell>
          <cell r="N33">
            <v>3140.5888183593752</v>
          </cell>
          <cell r="O33">
            <v>3225.9194570312497</v>
          </cell>
          <cell r="P33">
            <v>3258.7468574218751</v>
          </cell>
          <cell r="Q33">
            <v>3291.5742578125</v>
          </cell>
          <cell r="R33">
            <v>3324.401658203125</v>
          </cell>
          <cell r="S33">
            <v>3357.2290585937499</v>
          </cell>
        </row>
        <row r="34">
          <cell r="F34" t="str">
            <v>OECD</v>
          </cell>
          <cell r="G34">
            <v>1123.2080000000001</v>
          </cell>
          <cell r="H34">
            <v>1161.7360189666747</v>
          </cell>
          <cell r="I34">
            <v>1200.2640379333495</v>
          </cell>
          <cell r="J34">
            <v>1239.9836881713866</v>
          </cell>
          <cell r="K34">
            <v>1281.2823668518065</v>
          </cell>
          <cell r="L34">
            <v>1317.2124446411133</v>
          </cell>
          <cell r="M34">
            <v>1355.9668856506348</v>
          </cell>
          <cell r="N34">
            <v>1389.5898099517822</v>
          </cell>
          <cell r="O34">
            <v>1423.2127342529297</v>
          </cell>
          <cell r="P34">
            <v>1444.462425415039</v>
          </cell>
          <cell r="Q34">
            <v>1465.7121165771482</v>
          </cell>
          <cell r="R34">
            <v>1486.9618077392577</v>
          </cell>
          <cell r="S34">
            <v>1508.2114989013671</v>
          </cell>
        </row>
        <row r="35">
          <cell r="F35" t="str">
            <v>Rest of World</v>
          </cell>
          <cell r="G35">
            <v>1970.5980000000002</v>
          </cell>
          <cell r="H35">
            <v>2167.77341796875</v>
          </cell>
          <cell r="I35">
            <v>2364.9488359375</v>
          </cell>
          <cell r="J35">
            <v>2566.4519531249998</v>
          </cell>
          <cell r="K35">
            <v>2784.7551835937502</v>
          </cell>
          <cell r="L35">
            <v>3026.6328164062502</v>
          </cell>
          <cell r="M35">
            <v>3292.2120898437506</v>
          </cell>
          <cell r="N35">
            <v>3565.0148554687498</v>
          </cell>
          <cell r="O35">
            <v>3837.8176210937499</v>
          </cell>
          <cell r="P35">
            <v>4120.1590087890627</v>
          </cell>
          <cell r="Q35">
            <v>4402.5003964843745</v>
          </cell>
          <cell r="R35">
            <v>4684.8417841796872</v>
          </cell>
          <cell r="S35">
            <v>4967.183171875</v>
          </cell>
        </row>
        <row r="38">
          <cell r="F38" t="str">
            <v>Country</v>
          </cell>
          <cell r="G38">
            <v>1990</v>
          </cell>
          <cell r="H38">
            <v>1995</v>
          </cell>
          <cell r="I38">
            <v>2000</v>
          </cell>
          <cell r="J38">
            <v>2005</v>
          </cell>
          <cell r="K38">
            <v>2010</v>
          </cell>
          <cell r="L38">
            <v>2015</v>
          </cell>
          <cell r="M38">
            <v>2020</v>
          </cell>
          <cell r="N38">
            <v>2025</v>
          </cell>
          <cell r="O38">
            <v>2030</v>
          </cell>
          <cell r="P38">
            <v>2035</v>
          </cell>
          <cell r="Q38">
            <v>2040</v>
          </cell>
          <cell r="R38">
            <v>2045</v>
          </cell>
          <cell r="S38">
            <v>2050</v>
          </cell>
          <cell r="T38" t="str">
            <v>Annex</v>
          </cell>
          <cell r="U38" t="str">
            <v>Country group</v>
          </cell>
        </row>
        <row r="39">
          <cell r="F39" t="str">
            <v>Brazil</v>
          </cell>
          <cell r="G39">
            <v>598399.9375</v>
          </cell>
          <cell r="H39">
            <v>683634.875</v>
          </cell>
          <cell r="I39">
            <v>768869.8125</v>
          </cell>
          <cell r="J39">
            <v>882044.375</v>
          </cell>
          <cell r="K39">
            <v>1096578.25</v>
          </cell>
          <cell r="L39">
            <v>1288939.125</v>
          </cell>
          <cell r="M39">
            <v>1637738.875</v>
          </cell>
          <cell r="N39">
            <v>2125596.5625</v>
          </cell>
          <cell r="O39">
            <v>2613454.25</v>
          </cell>
          <cell r="P39">
            <v>3552370.5625</v>
          </cell>
          <cell r="Q39">
            <v>4491286.875</v>
          </cell>
          <cell r="R39">
            <v>5430203.1875</v>
          </cell>
          <cell r="S39">
            <v>6369119.5</v>
          </cell>
          <cell r="T39">
            <v>0</v>
          </cell>
          <cell r="U39" t="str">
            <v>BASICS</v>
          </cell>
        </row>
        <row r="40">
          <cell r="F40" t="str">
            <v>Canada</v>
          </cell>
          <cell r="G40">
            <v>750573.9375</v>
          </cell>
          <cell r="H40">
            <v>875250.6875</v>
          </cell>
          <cell r="I40">
            <v>999927.4375</v>
          </cell>
          <cell r="J40">
            <v>1133756.875</v>
          </cell>
          <cell r="K40">
            <v>1203888</v>
          </cell>
          <cell r="L40">
            <v>1315039.75</v>
          </cell>
          <cell r="M40">
            <v>1428311.875</v>
          </cell>
          <cell r="N40">
            <v>1551178.1875</v>
          </cell>
          <cell r="O40">
            <v>1674044.5</v>
          </cell>
          <cell r="P40">
            <v>1863876.3125</v>
          </cell>
          <cell r="Q40">
            <v>2053708.125</v>
          </cell>
          <cell r="R40">
            <v>2243539.9375</v>
          </cell>
          <cell r="S40">
            <v>2433371.75</v>
          </cell>
          <cell r="T40">
            <v>1</v>
          </cell>
          <cell r="U40" t="str">
            <v>OECD</v>
          </cell>
        </row>
        <row r="41">
          <cell r="F41" t="str">
            <v>China</v>
          </cell>
          <cell r="G41">
            <v>525038.3125</v>
          </cell>
          <cell r="H41">
            <v>971041.53125</v>
          </cell>
          <cell r="I41">
            <v>1417044.75</v>
          </cell>
          <cell r="J41">
            <v>2256898</v>
          </cell>
          <cell r="K41">
            <v>3837993.25</v>
          </cell>
          <cell r="L41">
            <v>6307120.5</v>
          </cell>
          <cell r="M41">
            <v>10933033</v>
          </cell>
          <cell r="N41">
            <v>17215127.5</v>
          </cell>
          <cell r="O41">
            <v>23497222</v>
          </cell>
          <cell r="P41">
            <v>25596075.5</v>
          </cell>
          <cell r="Q41">
            <v>27694929</v>
          </cell>
          <cell r="R41">
            <v>29793782.5</v>
          </cell>
          <cell r="S41">
            <v>31892636</v>
          </cell>
          <cell r="T41">
            <v>0</v>
          </cell>
          <cell r="U41" t="str">
            <v>BASICS</v>
          </cell>
        </row>
        <row r="42">
          <cell r="F42" t="str">
            <v>EU</v>
          </cell>
          <cell r="G42">
            <v>10138562.866943365</v>
          </cell>
          <cell r="H42">
            <v>11350040.433471683</v>
          </cell>
          <cell r="I42">
            <v>12561518</v>
          </cell>
          <cell r="J42">
            <v>13812835</v>
          </cell>
          <cell r="K42">
            <v>14438165</v>
          </cell>
          <cell r="L42">
            <v>14662326</v>
          </cell>
          <cell r="M42">
            <v>15747635</v>
          </cell>
          <cell r="N42">
            <v>17232644.5</v>
          </cell>
          <cell r="O42">
            <v>18717654</v>
          </cell>
          <cell r="P42">
            <v>21163485</v>
          </cell>
          <cell r="Q42">
            <v>23609316</v>
          </cell>
          <cell r="R42">
            <v>26055147</v>
          </cell>
          <cell r="S42">
            <v>28500978</v>
          </cell>
          <cell r="T42">
            <v>1</v>
          </cell>
          <cell r="U42" t="str">
            <v>OECD</v>
          </cell>
        </row>
        <row r="43">
          <cell r="F43" t="str">
            <v>India</v>
          </cell>
          <cell r="G43">
            <v>341244.375</v>
          </cell>
          <cell r="H43">
            <v>472460.875</v>
          </cell>
          <cell r="I43">
            <v>603677.375</v>
          </cell>
          <cell r="J43">
            <v>837499.0625</v>
          </cell>
          <cell r="K43">
            <v>1251814.875</v>
          </cell>
          <cell r="L43">
            <v>1758269.5</v>
          </cell>
          <cell r="M43">
            <v>2765765.75</v>
          </cell>
          <cell r="N43">
            <v>4693880.625</v>
          </cell>
          <cell r="O43">
            <v>6621995.5</v>
          </cell>
          <cell r="P43">
            <v>12346653.125</v>
          </cell>
          <cell r="Q43">
            <v>18071310.75</v>
          </cell>
          <cell r="R43">
            <v>23795968.375</v>
          </cell>
          <cell r="S43">
            <v>29520626</v>
          </cell>
          <cell r="T43">
            <v>0</v>
          </cell>
          <cell r="U43" t="str">
            <v>BASICS</v>
          </cell>
        </row>
        <row r="44">
          <cell r="F44" t="str">
            <v>Indonesia</v>
          </cell>
          <cell r="G44">
            <v>150091.3125</v>
          </cell>
          <cell r="H44">
            <v>188504.6953125</v>
          </cell>
          <cell r="I44">
            <v>226918.078125</v>
          </cell>
          <cell r="J44">
            <v>285868.625</v>
          </cell>
          <cell r="K44">
            <v>377797.53125</v>
          </cell>
          <cell r="L44">
            <v>545745.9375</v>
          </cell>
          <cell r="M44">
            <v>799096.5</v>
          </cell>
          <cell r="N44">
            <v>1127015.3125</v>
          </cell>
          <cell r="O44">
            <v>1454934.125</v>
          </cell>
          <cell r="P44">
            <v>1805084.65625</v>
          </cell>
          <cell r="Q44">
            <v>2155235.1875</v>
          </cell>
          <cell r="R44">
            <v>2505385.71875</v>
          </cell>
          <cell r="S44">
            <v>2855536.25</v>
          </cell>
          <cell r="T44">
            <v>0</v>
          </cell>
          <cell r="U44" t="str">
            <v>Rest of World</v>
          </cell>
        </row>
        <row r="45">
          <cell r="F45" t="str">
            <v>International Aviation</v>
          </cell>
          <cell r="G45">
            <v>0</v>
          </cell>
          <cell r="H45">
            <v>0</v>
          </cell>
          <cell r="I45">
            <v>0</v>
          </cell>
          <cell r="J45">
            <v>0</v>
          </cell>
          <cell r="K45">
            <v>0</v>
          </cell>
          <cell r="L45">
            <v>0</v>
          </cell>
          <cell r="M45">
            <v>0</v>
          </cell>
          <cell r="N45">
            <v>0</v>
          </cell>
          <cell r="O45">
            <v>0</v>
          </cell>
          <cell r="P45">
            <v>0</v>
          </cell>
          <cell r="Q45">
            <v>0</v>
          </cell>
          <cell r="R45">
            <v>0</v>
          </cell>
          <cell r="S45">
            <v>0</v>
          </cell>
          <cell r="T45">
            <v>2</v>
          </cell>
          <cell r="U45" t="str">
            <v/>
          </cell>
        </row>
        <row r="46">
          <cell r="F46" t="str">
            <v>International Maritime</v>
          </cell>
          <cell r="G46">
            <v>0</v>
          </cell>
          <cell r="H46">
            <v>0</v>
          </cell>
          <cell r="I46">
            <v>0</v>
          </cell>
          <cell r="J46">
            <v>0</v>
          </cell>
          <cell r="K46">
            <v>0</v>
          </cell>
          <cell r="L46">
            <v>0</v>
          </cell>
          <cell r="M46">
            <v>0</v>
          </cell>
          <cell r="N46">
            <v>0</v>
          </cell>
          <cell r="O46">
            <v>0</v>
          </cell>
          <cell r="P46">
            <v>0</v>
          </cell>
          <cell r="Q46">
            <v>0</v>
          </cell>
          <cell r="R46">
            <v>0</v>
          </cell>
          <cell r="S46">
            <v>0</v>
          </cell>
          <cell r="T46">
            <v>2</v>
          </cell>
          <cell r="U46" t="str">
            <v/>
          </cell>
        </row>
        <row r="47">
          <cell r="F47" t="str">
            <v>Japan</v>
          </cell>
          <cell r="G47">
            <v>3768551.25</v>
          </cell>
          <cell r="H47">
            <v>4038321.875</v>
          </cell>
          <cell r="I47">
            <v>4308092.5</v>
          </cell>
          <cell r="J47">
            <v>4571867</v>
          </cell>
          <cell r="K47">
            <v>4638833.5</v>
          </cell>
          <cell r="L47">
            <v>4830114.5</v>
          </cell>
          <cell r="M47">
            <v>5044696.5</v>
          </cell>
          <cell r="N47">
            <v>5382286</v>
          </cell>
          <cell r="O47">
            <v>5719875.5</v>
          </cell>
          <cell r="P47">
            <v>6029182.125</v>
          </cell>
          <cell r="Q47">
            <v>6338488.75</v>
          </cell>
          <cell r="R47">
            <v>6647795.375</v>
          </cell>
          <cell r="S47">
            <v>6957102</v>
          </cell>
          <cell r="T47">
            <v>1</v>
          </cell>
          <cell r="U47" t="str">
            <v>OECD</v>
          </cell>
        </row>
        <row r="48">
          <cell r="F48" t="str">
            <v>Mexico</v>
          </cell>
          <cell r="G48">
            <v>549778.875</v>
          </cell>
          <cell r="H48">
            <v>662297.21875</v>
          </cell>
          <cell r="I48">
            <v>774815.5625</v>
          </cell>
          <cell r="J48">
            <v>848947.4375</v>
          </cell>
          <cell r="K48">
            <v>925742.875</v>
          </cell>
          <cell r="L48">
            <v>1108549.75</v>
          </cell>
          <cell r="M48">
            <v>1304629.875</v>
          </cell>
          <cell r="N48">
            <v>1574932.25</v>
          </cell>
          <cell r="O48">
            <v>1845234.625</v>
          </cell>
          <cell r="P48">
            <v>2291234.09375</v>
          </cell>
          <cell r="Q48">
            <v>2737233.5625</v>
          </cell>
          <cell r="R48">
            <v>3183233.03125</v>
          </cell>
          <cell r="S48">
            <v>3629232.5</v>
          </cell>
          <cell r="T48">
            <v>0</v>
          </cell>
          <cell r="U48" t="str">
            <v>OECD</v>
          </cell>
        </row>
        <row r="49">
          <cell r="F49" t="str">
            <v>Middle East</v>
          </cell>
          <cell r="G49">
            <v>521270.859375</v>
          </cell>
          <cell r="H49">
            <v>686361.3671875</v>
          </cell>
          <cell r="I49">
            <v>851451.875</v>
          </cell>
          <cell r="J49">
            <v>1070468.375</v>
          </cell>
          <cell r="K49">
            <v>1327141.875</v>
          </cell>
          <cell r="L49">
            <v>1581705.625</v>
          </cell>
          <cell r="M49">
            <v>1935572.125</v>
          </cell>
          <cell r="N49">
            <v>2477182.3125</v>
          </cell>
          <cell r="O49">
            <v>3018792.5</v>
          </cell>
          <cell r="P49">
            <v>4052349.625</v>
          </cell>
          <cell r="Q49">
            <v>5085906.75</v>
          </cell>
          <cell r="R49">
            <v>6119463.875</v>
          </cell>
          <cell r="S49">
            <v>7153021</v>
          </cell>
          <cell r="T49">
            <v>0</v>
          </cell>
          <cell r="U49" t="str">
            <v>Rest of World</v>
          </cell>
        </row>
        <row r="50">
          <cell r="F50" t="str">
            <v>Northern Africa</v>
          </cell>
          <cell r="G50">
            <v>203479.50390625003</v>
          </cell>
          <cell r="H50">
            <v>236061.525390625</v>
          </cell>
          <cell r="I50">
            <v>268643.54687499994</v>
          </cell>
          <cell r="J50">
            <v>332719.03125</v>
          </cell>
          <cell r="K50">
            <v>414638.390625</v>
          </cell>
          <cell r="L50">
            <v>488650.875</v>
          </cell>
          <cell r="M50">
            <v>637068.765625</v>
          </cell>
          <cell r="N50">
            <v>760422.2421875</v>
          </cell>
          <cell r="O50">
            <v>883775.71874999988</v>
          </cell>
          <cell r="P50">
            <v>859824.62109374988</v>
          </cell>
          <cell r="Q50">
            <v>835873.52343749988</v>
          </cell>
          <cell r="R50">
            <v>811922.42578124988</v>
          </cell>
          <cell r="S50">
            <v>787971.32812499988</v>
          </cell>
          <cell r="T50">
            <v>0</v>
          </cell>
          <cell r="U50" t="str">
            <v>Rest of World</v>
          </cell>
        </row>
        <row r="51">
          <cell r="F51" t="str">
            <v>Oceania</v>
          </cell>
          <cell r="G51">
            <v>499386.6875</v>
          </cell>
          <cell r="H51">
            <v>600074.375</v>
          </cell>
          <cell r="I51">
            <v>700762.0625</v>
          </cell>
          <cell r="J51">
            <v>825814.0625</v>
          </cell>
          <cell r="K51">
            <v>936100.0625</v>
          </cell>
          <cell r="L51">
            <v>1072508</v>
          </cell>
          <cell r="M51">
            <v>1231077.5</v>
          </cell>
          <cell r="N51">
            <v>1403770.6875</v>
          </cell>
          <cell r="O51">
            <v>1576463.875</v>
          </cell>
          <cell r="P51">
            <v>1715762.21875</v>
          </cell>
          <cell r="Q51">
            <v>1855060.5625</v>
          </cell>
          <cell r="R51">
            <v>1994358.90625</v>
          </cell>
          <cell r="S51">
            <v>2133657.25</v>
          </cell>
          <cell r="T51">
            <v>1</v>
          </cell>
          <cell r="U51" t="str">
            <v>OECD</v>
          </cell>
        </row>
        <row r="52">
          <cell r="F52" t="str">
            <v>Rest of Central America</v>
          </cell>
          <cell r="G52">
            <v>94383.3046875</v>
          </cell>
          <cell r="H52">
            <v>117823.69921875</v>
          </cell>
          <cell r="I52">
            <v>141264.09375</v>
          </cell>
          <cell r="J52">
            <v>167936.296875</v>
          </cell>
          <cell r="K52">
            <v>205891.78125</v>
          </cell>
          <cell r="L52">
            <v>240654.859375</v>
          </cell>
          <cell r="M52">
            <v>286609.15625</v>
          </cell>
          <cell r="N52">
            <v>370669.640625</v>
          </cell>
          <cell r="O52">
            <v>454730.125</v>
          </cell>
          <cell r="P52">
            <v>528458.65625</v>
          </cell>
          <cell r="Q52">
            <v>602187.1875</v>
          </cell>
          <cell r="R52">
            <v>675915.71875</v>
          </cell>
          <cell r="S52">
            <v>749644.25</v>
          </cell>
          <cell r="T52">
            <v>0</v>
          </cell>
          <cell r="U52" t="str">
            <v>Rest of World</v>
          </cell>
        </row>
        <row r="53">
          <cell r="F53" t="str">
            <v>Rest of Europe</v>
          </cell>
          <cell r="G53">
            <v>567521.11230468762</v>
          </cell>
          <cell r="H53">
            <v>629324.59033203125</v>
          </cell>
          <cell r="I53">
            <v>691128.068359375</v>
          </cell>
          <cell r="J53">
            <v>761640.80859375012</v>
          </cell>
          <cell r="K53">
            <v>827158.236328125</v>
          </cell>
          <cell r="L53">
            <v>887238.267578125</v>
          </cell>
          <cell r="M53">
            <v>904699.92968749988</v>
          </cell>
          <cell r="N53">
            <v>897930.5986328125</v>
          </cell>
          <cell r="O53">
            <v>891161.267578125</v>
          </cell>
          <cell r="P53">
            <v>878815.88525390625</v>
          </cell>
          <cell r="Q53">
            <v>866470.5029296875</v>
          </cell>
          <cell r="R53">
            <v>854125.12060546875</v>
          </cell>
          <cell r="S53">
            <v>841779.73828124988</v>
          </cell>
          <cell r="T53">
            <v>1</v>
          </cell>
          <cell r="U53" t="str">
            <v>OECD</v>
          </cell>
        </row>
        <row r="54">
          <cell r="F54" t="str">
            <v>Rest of FSU</v>
          </cell>
          <cell r="G54">
            <v>136679.984375</v>
          </cell>
          <cell r="H54">
            <v>118498.765625</v>
          </cell>
          <cell r="I54">
            <v>100317.546875</v>
          </cell>
          <cell r="J54">
            <v>151302.34375</v>
          </cell>
          <cell r="K54">
            <v>222280.203125</v>
          </cell>
          <cell r="L54">
            <v>307100.125</v>
          </cell>
          <cell r="M54">
            <v>400526.3125</v>
          </cell>
          <cell r="N54">
            <v>494097.125</v>
          </cell>
          <cell r="O54">
            <v>587667.9375</v>
          </cell>
          <cell r="P54">
            <v>734444.171875</v>
          </cell>
          <cell r="Q54">
            <v>881220.40625</v>
          </cell>
          <cell r="R54">
            <v>1027996.640625</v>
          </cell>
          <cell r="S54">
            <v>1174772.875</v>
          </cell>
          <cell r="T54">
            <v>0</v>
          </cell>
          <cell r="U54" t="str">
            <v>Rest of World</v>
          </cell>
        </row>
        <row r="55">
          <cell r="F55" t="str">
            <v>Rest of South America</v>
          </cell>
          <cell r="G55">
            <v>448382</v>
          </cell>
          <cell r="H55">
            <v>546822.15625</v>
          </cell>
          <cell r="I55">
            <v>645262.3125</v>
          </cell>
          <cell r="J55">
            <v>753015.125</v>
          </cell>
          <cell r="K55">
            <v>963528.5</v>
          </cell>
          <cell r="L55">
            <v>1207641</v>
          </cell>
          <cell r="M55">
            <v>1483494.875</v>
          </cell>
          <cell r="N55">
            <v>1744563.875</v>
          </cell>
          <cell r="O55">
            <v>2005632.875</v>
          </cell>
          <cell r="P55">
            <v>2175551.59375</v>
          </cell>
          <cell r="Q55">
            <v>2345470.3125</v>
          </cell>
          <cell r="R55">
            <v>2515389.03125</v>
          </cell>
          <cell r="S55">
            <v>2685307.75</v>
          </cell>
          <cell r="T55">
            <v>0</v>
          </cell>
          <cell r="U55" t="str">
            <v>Rest of World</v>
          </cell>
        </row>
        <row r="56">
          <cell r="F56" t="str">
            <v>Rest of South Asia</v>
          </cell>
          <cell r="G56">
            <v>104979.9609375</v>
          </cell>
          <cell r="H56">
            <v>133517.69921875</v>
          </cell>
          <cell r="I56">
            <v>162055.4375</v>
          </cell>
          <cell r="J56">
            <v>207610.3125</v>
          </cell>
          <cell r="K56">
            <v>268042.8125</v>
          </cell>
          <cell r="L56">
            <v>337582.4375</v>
          </cell>
          <cell r="M56">
            <v>472741.09375</v>
          </cell>
          <cell r="N56">
            <v>676930.359375</v>
          </cell>
          <cell r="O56">
            <v>881119.625</v>
          </cell>
          <cell r="P56">
            <v>972257.8125</v>
          </cell>
          <cell r="Q56">
            <v>1063396</v>
          </cell>
          <cell r="R56">
            <v>1154534.1875</v>
          </cell>
          <cell r="S56">
            <v>1245672.375</v>
          </cell>
          <cell r="T56">
            <v>0</v>
          </cell>
          <cell r="U56" t="str">
            <v>Rest of World</v>
          </cell>
        </row>
        <row r="57">
          <cell r="F57" t="str">
            <v>Rest of South East Asia</v>
          </cell>
          <cell r="G57">
            <v>542316</v>
          </cell>
          <cell r="H57">
            <v>747792.8125</v>
          </cell>
          <cell r="I57">
            <v>953269.625</v>
          </cell>
          <cell r="J57">
            <v>1186106.625</v>
          </cell>
          <cell r="K57">
            <v>1484776.375</v>
          </cell>
          <cell r="L57">
            <v>1954715.5</v>
          </cell>
          <cell r="M57">
            <v>2628284</v>
          </cell>
          <cell r="N57">
            <v>3473968.5</v>
          </cell>
          <cell r="O57">
            <v>4319653</v>
          </cell>
          <cell r="P57">
            <v>6097356.75</v>
          </cell>
          <cell r="Q57">
            <v>7875060.5</v>
          </cell>
          <cell r="R57">
            <v>9652764.25</v>
          </cell>
          <cell r="S57">
            <v>11430468</v>
          </cell>
          <cell r="T57">
            <v>0</v>
          </cell>
          <cell r="U57" t="str">
            <v>Rest of World</v>
          </cell>
        </row>
        <row r="58">
          <cell r="F58" t="str">
            <v>Rest of Sub Saharan Africa</v>
          </cell>
          <cell r="G58">
            <v>236841.671875</v>
          </cell>
          <cell r="H58">
            <v>273030.2109375</v>
          </cell>
          <cell r="I58">
            <v>309218.75</v>
          </cell>
          <cell r="J58">
            <v>401261.03125</v>
          </cell>
          <cell r="K58">
            <v>542375.25</v>
          </cell>
          <cell r="L58">
            <v>744025.3125</v>
          </cell>
          <cell r="M58">
            <v>1002099.3125</v>
          </cell>
          <cell r="N58">
            <v>1284571.28125</v>
          </cell>
          <cell r="O58">
            <v>1567043.25</v>
          </cell>
          <cell r="P58">
            <v>1923498.75</v>
          </cell>
          <cell r="Q58">
            <v>2279954.25</v>
          </cell>
          <cell r="R58">
            <v>2636409.75</v>
          </cell>
          <cell r="S58">
            <v>2992865.25</v>
          </cell>
          <cell r="T58">
            <v>0</v>
          </cell>
          <cell r="U58" t="str">
            <v>Rest of World</v>
          </cell>
        </row>
        <row r="59">
          <cell r="F59" t="str">
            <v>Russia</v>
          </cell>
          <cell r="G59">
            <v>843329.375</v>
          </cell>
          <cell r="H59">
            <v>705358.84375</v>
          </cell>
          <cell r="I59">
            <v>567388.3125</v>
          </cell>
          <cell r="J59">
            <v>764016</v>
          </cell>
          <cell r="K59">
            <v>907840.6875</v>
          </cell>
          <cell r="L59">
            <v>1128759.75</v>
          </cell>
          <cell r="M59">
            <v>1432703</v>
          </cell>
          <cell r="N59">
            <v>1847529.625</v>
          </cell>
          <cell r="O59">
            <v>2262356.25</v>
          </cell>
          <cell r="P59">
            <v>3035367.0625</v>
          </cell>
          <cell r="Q59">
            <v>3808377.875</v>
          </cell>
          <cell r="R59">
            <v>4581388.6875</v>
          </cell>
          <cell r="S59">
            <v>5354399.5</v>
          </cell>
          <cell r="T59">
            <v>1</v>
          </cell>
          <cell r="U59" t="str">
            <v>Rest of World</v>
          </cell>
        </row>
        <row r="60">
          <cell r="F60" t="str">
            <v>South Africa</v>
          </cell>
          <cell r="G60">
            <v>167688.734375</v>
          </cell>
          <cell r="H60">
            <v>186195.8203125</v>
          </cell>
          <cell r="I60">
            <v>204702.90625</v>
          </cell>
          <cell r="J60">
            <v>247051.5625</v>
          </cell>
          <cell r="K60">
            <v>289065.75</v>
          </cell>
          <cell r="L60">
            <v>337940.4375</v>
          </cell>
          <cell r="M60">
            <v>397423.625</v>
          </cell>
          <cell r="N60">
            <v>465648.59375</v>
          </cell>
          <cell r="O60">
            <v>533873.5625</v>
          </cell>
          <cell r="P60">
            <v>627964.109375</v>
          </cell>
          <cell r="Q60">
            <v>722054.65625</v>
          </cell>
          <cell r="R60">
            <v>816145.203125</v>
          </cell>
          <cell r="S60">
            <v>910235.75</v>
          </cell>
          <cell r="T60">
            <v>0</v>
          </cell>
          <cell r="U60" t="str">
            <v>BASICS</v>
          </cell>
        </row>
        <row r="61">
          <cell r="F61" t="str">
            <v>South Korea</v>
          </cell>
          <cell r="G61">
            <v>375898.03125</v>
          </cell>
          <cell r="H61">
            <v>527084.328125</v>
          </cell>
          <cell r="I61">
            <v>678270.625</v>
          </cell>
          <cell r="J61">
            <v>844865.75</v>
          </cell>
          <cell r="K61">
            <v>1019089.5</v>
          </cell>
          <cell r="L61">
            <v>1219631.375</v>
          </cell>
          <cell r="M61">
            <v>1530708.25</v>
          </cell>
          <cell r="N61">
            <v>1824655.875</v>
          </cell>
          <cell r="O61">
            <v>2118603.5</v>
          </cell>
          <cell r="P61">
            <v>2285004</v>
          </cell>
          <cell r="Q61">
            <v>2451404.5</v>
          </cell>
          <cell r="R61">
            <v>2617805</v>
          </cell>
          <cell r="S61">
            <v>2784205.5</v>
          </cell>
          <cell r="T61">
            <v>0</v>
          </cell>
          <cell r="U61" t="str">
            <v>OECD</v>
          </cell>
        </row>
        <row r="62">
          <cell r="F62" t="str">
            <v>Turkey</v>
          </cell>
          <cell r="G62">
            <v>270672.65625</v>
          </cell>
          <cell r="H62">
            <v>328628.390625</v>
          </cell>
          <cell r="I62">
            <v>386584.125</v>
          </cell>
          <cell r="J62">
            <v>482985.90625</v>
          </cell>
          <cell r="K62">
            <v>565098.625</v>
          </cell>
          <cell r="L62">
            <v>702201.5625</v>
          </cell>
          <cell r="M62">
            <v>834166.5</v>
          </cell>
          <cell r="N62">
            <v>956277.375</v>
          </cell>
          <cell r="O62">
            <v>1078388.25</v>
          </cell>
          <cell r="P62">
            <v>1149672.59375</v>
          </cell>
          <cell r="Q62">
            <v>1220956.9375</v>
          </cell>
          <cell r="R62">
            <v>1292241.28125</v>
          </cell>
          <cell r="S62">
            <v>1363525.625</v>
          </cell>
          <cell r="T62">
            <v>1</v>
          </cell>
          <cell r="U62" t="str">
            <v>OECD</v>
          </cell>
        </row>
        <row r="63">
          <cell r="F63" t="str">
            <v>Ukraine</v>
          </cell>
          <cell r="G63">
            <v>137031.78125</v>
          </cell>
          <cell r="H63">
            <v>98283.970703125</v>
          </cell>
          <cell r="I63">
            <v>59536.16015625</v>
          </cell>
          <cell r="J63">
            <v>86141.53125</v>
          </cell>
          <cell r="K63">
            <v>90576.7421875</v>
          </cell>
          <cell r="L63">
            <v>102118.3125</v>
          </cell>
          <cell r="M63">
            <v>118880.2890625</v>
          </cell>
          <cell r="N63">
            <v>149276.76171875</v>
          </cell>
          <cell r="O63">
            <v>179673.234375</v>
          </cell>
          <cell r="P63">
            <v>205556.95703125</v>
          </cell>
          <cell r="Q63">
            <v>231440.6796875</v>
          </cell>
          <cell r="R63">
            <v>257324.40234375</v>
          </cell>
          <cell r="S63">
            <v>283208.125</v>
          </cell>
          <cell r="T63">
            <v>1</v>
          </cell>
          <cell r="U63" t="str">
            <v>Rest of World</v>
          </cell>
        </row>
        <row r="64">
          <cell r="F64" t="str">
            <v>USA</v>
          </cell>
          <cell r="G64">
            <v>7973388.5</v>
          </cell>
          <cell r="H64">
            <v>9565744.25</v>
          </cell>
          <cell r="I64">
            <v>11158100</v>
          </cell>
          <cell r="J64">
            <v>12564300</v>
          </cell>
          <cell r="K64">
            <v>13017000</v>
          </cell>
          <cell r="L64">
            <v>14693174</v>
          </cell>
          <cell r="M64">
            <v>17025996</v>
          </cell>
          <cell r="N64">
            <v>19188336</v>
          </cell>
          <cell r="O64">
            <v>21350676</v>
          </cell>
          <cell r="P64">
            <v>23850551.5</v>
          </cell>
          <cell r="Q64">
            <v>26350427</v>
          </cell>
          <cell r="R64">
            <v>28850302.5</v>
          </cell>
          <cell r="S64">
            <v>31350178</v>
          </cell>
          <cell r="T64">
            <v>1</v>
          </cell>
          <cell r="U64" t="str">
            <v>OECD</v>
          </cell>
        </row>
        <row r="66">
          <cell r="F66" t="str">
            <v>Total</v>
          </cell>
          <cell r="G66">
            <v>29945491.030029304</v>
          </cell>
          <cell r="H66">
            <v>34742154.996459961</v>
          </cell>
          <cell r="I66">
            <v>39538818.962890625</v>
          </cell>
          <cell r="J66">
            <v>45476951.13671875</v>
          </cell>
          <cell r="K66">
            <v>50851418.072265625</v>
          </cell>
          <cell r="L66">
            <v>58821752.501953125</v>
          </cell>
          <cell r="M66">
            <v>71982958.109375</v>
          </cell>
          <cell r="N66">
            <v>69732180.790039063</v>
          </cell>
          <cell r="O66">
            <v>105854025.47070313</v>
          </cell>
          <cell r="P66">
            <v>125740397.68212891</v>
          </cell>
          <cell r="Q66">
            <v>145626769.89355469</v>
          </cell>
          <cell r="R66">
            <v>165513142.10498047</v>
          </cell>
          <cell r="S66">
            <v>185399514.31640625</v>
          </cell>
        </row>
        <row r="67">
          <cell r="F67" t="str">
            <v>Annex I</v>
          </cell>
          <cell r="G67">
            <v>24949018.166748054</v>
          </cell>
          <cell r="H67">
            <v>28191027.41638184</v>
          </cell>
          <cell r="I67">
            <v>31433036.666015625</v>
          </cell>
          <cell r="J67">
            <v>35003357.18359375</v>
          </cell>
          <cell r="K67">
            <v>36624660.853515625</v>
          </cell>
          <cell r="L67">
            <v>39393480.142578125</v>
          </cell>
          <cell r="M67">
            <v>43768166.59375</v>
          </cell>
          <cell r="N67">
            <v>48609229.735351563</v>
          </cell>
          <cell r="O67">
            <v>53450292.876953125</v>
          </cell>
          <cell r="P67">
            <v>59892269.654785156</v>
          </cell>
          <cell r="Q67">
            <v>66334246.432617188</v>
          </cell>
          <cell r="R67">
            <v>72776223.210449219</v>
          </cell>
          <cell r="S67">
            <v>79218199.98828125</v>
          </cell>
        </row>
        <row r="68">
          <cell r="F68" t="str">
            <v>Non-Annex I</v>
          </cell>
          <cell r="G68">
            <v>4996472.86328125</v>
          </cell>
          <cell r="H68">
            <v>6551127.580078125</v>
          </cell>
          <cell r="I68">
            <v>8105782.296875</v>
          </cell>
          <cell r="J68">
            <v>10473593.953125</v>
          </cell>
          <cell r="K68">
            <v>14226757.21875</v>
          </cell>
          <cell r="L68">
            <v>19428272.359375</v>
          </cell>
          <cell r="M68">
            <v>28214791.515625</v>
          </cell>
          <cell r="N68">
            <v>40309262.0546875</v>
          </cell>
          <cell r="O68">
            <v>52403732.59375</v>
          </cell>
          <cell r="P68">
            <v>65848128.02734375</v>
          </cell>
          <cell r="Q68">
            <v>79292523.4609375</v>
          </cell>
          <cell r="R68">
            <v>92736918.89453125</v>
          </cell>
          <cell r="S68">
            <v>106181314.328125</v>
          </cell>
        </row>
        <row r="69">
          <cell r="F69" t="str">
            <v>BASICS</v>
          </cell>
          <cell r="G69">
            <v>1632371.359375</v>
          </cell>
          <cell r="H69">
            <v>2313333.1015625</v>
          </cell>
          <cell r="I69">
            <v>2994294.84375</v>
          </cell>
          <cell r="J69">
            <v>4223493</v>
          </cell>
          <cell r="K69">
            <v>6475452.125</v>
          </cell>
          <cell r="L69">
            <v>9692269.5625</v>
          </cell>
          <cell r="M69">
            <v>15733961.25</v>
          </cell>
          <cell r="N69">
            <v>24500253.28125</v>
          </cell>
          <cell r="O69">
            <v>33266545.3125</v>
          </cell>
          <cell r="P69">
            <v>42123063.296875</v>
          </cell>
          <cell r="Q69">
            <v>50979581.28125</v>
          </cell>
          <cell r="R69">
            <v>59836099.265625</v>
          </cell>
          <cell r="S69">
            <v>68692617.25</v>
          </cell>
        </row>
        <row r="70">
          <cell r="F70" t="str">
            <v>OECD</v>
          </cell>
          <cell r="G70">
            <v>24894333.916748054</v>
          </cell>
          <cell r="H70">
            <v>28576766.148803715</v>
          </cell>
          <cell r="I70">
            <v>32259198.380859375</v>
          </cell>
          <cell r="J70">
            <v>35847012.83984375</v>
          </cell>
          <cell r="K70">
            <v>37571075.798828125</v>
          </cell>
          <cell r="L70">
            <v>40490783.205078125</v>
          </cell>
          <cell r="M70">
            <v>45051921.4296875</v>
          </cell>
          <cell r="N70">
            <v>50012011.473632813</v>
          </cell>
          <cell r="O70">
            <v>54972101.517578125</v>
          </cell>
          <cell r="P70">
            <v>61227583.729003906</v>
          </cell>
          <cell r="Q70">
            <v>67483065.940429688</v>
          </cell>
          <cell r="R70">
            <v>73738548.151855469</v>
          </cell>
          <cell r="S70">
            <v>79994030.36328125</v>
          </cell>
        </row>
        <row r="71">
          <cell r="F71" t="str">
            <v>Rest of World</v>
          </cell>
          <cell r="G71">
            <v>3418785.75390625</v>
          </cell>
          <cell r="H71">
            <v>3852055.74609375</v>
          </cell>
          <cell r="I71">
            <v>4285325.73828125</v>
          </cell>
          <cell r="J71">
            <v>5406445.296875</v>
          </cell>
          <cell r="K71">
            <v>6804890.1484375</v>
          </cell>
          <cell r="L71">
            <v>8638699.734375</v>
          </cell>
          <cell r="M71">
            <v>11197075.4296875</v>
          </cell>
          <cell r="N71">
            <v>14406227.03515625</v>
          </cell>
          <cell r="O71">
            <v>17615378.640625</v>
          </cell>
          <cell r="P71">
            <v>22389750.65625</v>
          </cell>
          <cell r="Q71">
            <v>27164122.671875</v>
          </cell>
          <cell r="R71">
            <v>31938494.6875</v>
          </cell>
          <cell r="S71">
            <v>36712866.703125</v>
          </cell>
        </row>
      </sheetData>
      <sheetData sheetId="12">
        <row r="2">
          <cell r="A2">
            <v>0</v>
          </cell>
        </row>
      </sheetData>
      <sheetData sheetId="13">
        <row r="3">
          <cell r="A3" t="str">
            <v>Reduction on 1990</v>
          </cell>
        </row>
        <row r="4">
          <cell r="A4" t="str">
            <v>Reduction on 2005</v>
          </cell>
        </row>
        <row r="5">
          <cell r="A5" t="str">
            <v>Reduction on 2010</v>
          </cell>
        </row>
        <row r="6">
          <cell r="A6" t="str">
            <v>Reduction on 2025</v>
          </cell>
        </row>
        <row r="7">
          <cell r="A7" t="str">
            <v>Reduction on 2030</v>
          </cell>
        </row>
        <row r="8">
          <cell r="A8" t="str">
            <v>Abatement amount</v>
          </cell>
        </row>
        <row r="9">
          <cell r="A9" t="str">
            <v>Emissions amount</v>
          </cell>
        </row>
        <row r="12">
          <cell r="A12" t="str">
            <v>Brazil</v>
          </cell>
        </row>
        <row r="13">
          <cell r="A13" t="str">
            <v>Canada</v>
          </cell>
        </row>
        <row r="14">
          <cell r="A14" t="str">
            <v>China</v>
          </cell>
        </row>
        <row r="15">
          <cell r="A15" t="str">
            <v>EU</v>
          </cell>
        </row>
        <row r="16">
          <cell r="A16" t="str">
            <v>India</v>
          </cell>
        </row>
        <row r="17">
          <cell r="A17" t="str">
            <v>Indonesia</v>
          </cell>
        </row>
        <row r="18">
          <cell r="A18" t="str">
            <v>International Aviation</v>
          </cell>
        </row>
        <row r="19">
          <cell r="A19" t="str">
            <v>International Maritime</v>
          </cell>
        </row>
        <row r="20">
          <cell r="A20" t="str">
            <v>Japan</v>
          </cell>
        </row>
        <row r="21">
          <cell r="A21" t="str">
            <v>Mexico</v>
          </cell>
        </row>
        <row r="22">
          <cell r="A22" t="str">
            <v>Middle East</v>
          </cell>
        </row>
        <row r="23">
          <cell r="A23" t="str">
            <v>Northern Africa</v>
          </cell>
        </row>
        <row r="24">
          <cell r="A24" t="str">
            <v>Oceania</v>
          </cell>
        </row>
        <row r="25">
          <cell r="A25" t="str">
            <v>Rest of Central America</v>
          </cell>
        </row>
        <row r="26">
          <cell r="A26" t="str">
            <v>Rest of Europe</v>
          </cell>
        </row>
        <row r="27">
          <cell r="A27" t="str">
            <v>Rest of FSU</v>
          </cell>
        </row>
        <row r="28">
          <cell r="A28" t="str">
            <v>Rest of South America</v>
          </cell>
        </row>
        <row r="29">
          <cell r="A29" t="str">
            <v>Rest of South Asia</v>
          </cell>
        </row>
        <row r="30">
          <cell r="A30" t="str">
            <v>Rest of South East Asia</v>
          </cell>
        </row>
        <row r="31">
          <cell r="A31" t="str">
            <v>Rest of Sub Saharan Africa</v>
          </cell>
        </row>
        <row r="32">
          <cell r="A32" t="str">
            <v>Russia</v>
          </cell>
        </row>
        <row r="33">
          <cell r="A33" t="str">
            <v>South Africa</v>
          </cell>
        </row>
        <row r="34">
          <cell r="A34" t="str">
            <v>South Korea</v>
          </cell>
        </row>
        <row r="35">
          <cell r="A35" t="str">
            <v>Turkey</v>
          </cell>
        </row>
        <row r="36">
          <cell r="A36" t="str">
            <v>Ukraine</v>
          </cell>
        </row>
        <row r="37">
          <cell r="A37" t="str">
            <v>USA</v>
          </cell>
        </row>
      </sheetData>
      <sheetData sheetId="14"/>
      <sheetData sheetId="15"/>
      <sheetData sheetId="16"/>
      <sheetData sheetId="17">
        <row r="3">
          <cell r="C3" t="str">
            <v>Pledge Scenario (Low)</v>
          </cell>
        </row>
      </sheetData>
      <sheetData sheetId="18">
        <row r="2">
          <cell r="F2" t="str">
            <v>GLOCAF BAU emissions (Mt)</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er Instructions"/>
      <sheetName val="country results table"/>
      <sheetName val="country results"/>
      <sheetName val="global chart"/>
      <sheetName val="Global results 2020 excl REDD"/>
      <sheetName val="Global results 2020 incl REDD"/>
      <sheetName val="Scenario List"/>
      <sheetName val="Load scenarios"/>
      <sheetName val="Create scenarios"/>
      <sheetName val="2020 targets chart"/>
      <sheetName val="2020 assumptions chart"/>
      <sheetName val="2030 targets chart"/>
      <sheetName val="2030 BU assumptions chart"/>
      <sheetName val="2030 TD assumptions chart"/>
      <sheetName val="scenario description tables"/>
      <sheetName val="2020 carbon market tables"/>
      <sheetName val="2030 BU carbon market table"/>
      <sheetName val="2030TD carbon market table"/>
      <sheetName val="flows cost tables"/>
      <sheetName val="efficiency factors"/>
      <sheetName val="Carbon mkt assumptions"/>
      <sheetName val="2020 targets"/>
      <sheetName val="2030 targets"/>
      <sheetName val="Global results 2030 excl REDD"/>
      <sheetName val="Global results 2030 incl REDD"/>
      <sheetName val="cost data"/>
      <sheetName val="Input data BAU"/>
      <sheetName val="Input data Population GDP"/>
      <sheetName val="Globalresults_created"/>
      <sheetName val="Scenario_2Degrees"/>
      <sheetName val="Scenario_Notquite2degs"/>
      <sheetName val="Scenario_OurAsks"/>
      <sheetName val="Scenario_HighAmb"/>
      <sheetName val="Scenario_2.5degs"/>
      <sheetName val="Scenario_EU40pcCost"/>
      <sheetName val="Scenario_ExpectAmb"/>
      <sheetName val="Scenario_LowAmb"/>
      <sheetName val="Scenario_ExpectAmb2"/>
      <sheetName val="Scenario_OurAsks3"/>
      <sheetName val="Scenario_OurAsks4"/>
      <sheetName val="Scenario_OurAsks7"/>
      <sheetName val="Scenario_OurAsks8"/>
      <sheetName val="Scenario_OurAsks9"/>
      <sheetName val="Scenario_OurAsks10"/>
      <sheetName val="Scenario_OurAsks11"/>
      <sheetName val="Scenario_OurAsks12"/>
      <sheetName val="Scenario_OurAsks13"/>
      <sheetName val="Scenario_OurAsks14"/>
      <sheetName val="Scenario_OurAsks15"/>
      <sheetName val="Scenario_OurAsks16"/>
      <sheetName val="Scenario_OurAsks17"/>
      <sheetName val="Scenario_OurAsks18"/>
      <sheetName val="Scenario_ExpectAmbTEST"/>
      <sheetName val="Scenario_ExpectAmbTEST2"/>
      <sheetName val="Scenario_ExpectAmbTEST3"/>
      <sheetName val="Scenario_ExpectAmbThurTEST"/>
      <sheetName val="Scenario_ExpectAmbThurTEST2"/>
      <sheetName val="ScenarioTemplate"/>
      <sheetName val="2014 scenarios"/>
      <sheetName val="Run1new"/>
      <sheetName val="Run1newnoREDD"/>
      <sheetName val="Run2new"/>
      <sheetName val="Run2newnoREDD"/>
      <sheetName val="Run7new"/>
      <sheetName val="Run7newnoREDD"/>
      <sheetName val="Run8new"/>
      <sheetName val="Run8newnoREDD"/>
      <sheetName val="Run10new"/>
      <sheetName val="Run10newnoREDD"/>
      <sheetName val="Run11new2"/>
      <sheetName val="Run11new2noREDD"/>
      <sheetName val="Run12"/>
      <sheetName val="Run17"/>
      <sheetName val="Run27"/>
      <sheetName val="Run31"/>
      <sheetName val="Run4new"/>
      <sheetName val="Run4newnoREDD"/>
      <sheetName val="Run5new"/>
      <sheetName val="Run5newnoREDD"/>
      <sheetName val="Run36"/>
      <sheetName val="2020 BAU &amp; targets new"/>
      <sheetName val="Lookups"/>
      <sheetName val="Country outputs"/>
      <sheetName val="Historical and BAU old"/>
      <sheetName val="Historical and BAU"/>
      <sheetName val="2DegreeConsistent"/>
      <sheetName val="Target converter new"/>
      <sheetName val="Target converter"/>
      <sheetName val="Lookup"/>
      <sheetName val="Trajectories"/>
      <sheetName val="notes"/>
    </sheetNames>
    <sheetDataSet>
      <sheetData sheetId="0"/>
      <sheetData sheetId="1"/>
      <sheetData sheetId="2"/>
      <sheetData sheetId="3"/>
      <sheetData sheetId="4"/>
      <sheetData sheetId="5">
        <row r="1">
          <cell r="A1" t="str">
            <v>Overview of 2020 GLOCAF scenarios including REDD</v>
          </cell>
          <cell r="B1">
            <v>0</v>
          </cell>
          <cell r="C1" t="str">
            <v>Run_1new</v>
          </cell>
          <cell r="D1">
            <v>0</v>
          </cell>
          <cell r="E1" t="str">
            <v>Current actionOverall total</v>
          </cell>
          <cell r="F1" t="str">
            <v>Current actionAllowed emissions in 2020 (Mt)</v>
          </cell>
          <cell r="G1" t="str">
            <v>Current actionMitigation needed in 2020 (Mt)</v>
          </cell>
          <cell r="H1" t="str">
            <v>Current actionCost as % GDP</v>
          </cell>
          <cell r="I1" t="str">
            <v>Run_2new</v>
          </cell>
          <cell r="J1">
            <v>0</v>
          </cell>
          <cell r="K1" t="str">
            <v>Low accordOverall total</v>
          </cell>
          <cell r="L1" t="str">
            <v>Low accordAllowed emissions in 2020 (Mt)</v>
          </cell>
          <cell r="M1" t="str">
            <v>Low accordMitigation needed in 2020 (Mt)</v>
          </cell>
          <cell r="N1" t="str">
            <v>Low accordCost as % GDP</v>
          </cell>
          <cell r="O1" t="str">
            <v>Run_4new</v>
          </cell>
          <cell r="P1">
            <v>0</v>
          </cell>
          <cell r="Q1" t="str">
            <v>High accordOverall total</v>
          </cell>
          <cell r="R1" t="str">
            <v>High accordAllowed emissions in 2020 (Mt)</v>
          </cell>
          <cell r="S1" t="str">
            <v>High accordMitigation needed in 2020 (Mt)</v>
          </cell>
          <cell r="T1" t="str">
            <v>High accordCost as % GDP</v>
          </cell>
          <cell r="U1" t="str">
            <v>Run_5new</v>
          </cell>
          <cell r="V1">
            <v>0</v>
          </cell>
          <cell r="W1" t="str">
            <v>High accord plusOverall total</v>
          </cell>
          <cell r="X1" t="str">
            <v>High accord plusAllowed emissions in 2020 (Mt)</v>
          </cell>
          <cell r="Y1" t="str">
            <v>High accord plusMitigation needed in 2020 (Mt)</v>
          </cell>
          <cell r="Z1" t="str">
            <v>High accord plusCost as % GDP</v>
          </cell>
          <cell r="AA1" t="str">
            <v>Run_36</v>
          </cell>
          <cell r="AB1">
            <v>0</v>
          </cell>
          <cell r="AC1">
            <v>0</v>
          </cell>
          <cell r="AD1" t="str">
            <v>2 
degreesAllowed emissions in 2020 (Mt)</v>
          </cell>
          <cell r="AE1" t="str">
            <v>2 
degreesMitigation needed in 2020 (Mt)</v>
          </cell>
          <cell r="AF1" t="str">
            <v>2 
degreesCost as % GDP</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
          <cell r="F2" t="str">
            <v>GLOCAF BAU emissions (Mt)</v>
          </cell>
          <cell r="G2">
            <v>1990</v>
          </cell>
          <cell r="H2">
            <v>1995</v>
          </cell>
          <cell r="I2">
            <v>2000</v>
          </cell>
          <cell r="J2">
            <v>2005</v>
          </cell>
          <cell r="K2">
            <v>2010</v>
          </cell>
          <cell r="L2">
            <v>2015</v>
          </cell>
          <cell r="M2">
            <v>2020</v>
          </cell>
          <cell r="N2">
            <v>2025</v>
          </cell>
          <cell r="O2">
            <v>2030</v>
          </cell>
          <cell r="P2">
            <v>2035</v>
          </cell>
          <cell r="Q2">
            <v>2040</v>
          </cell>
          <cell r="R2">
            <v>2045</v>
          </cell>
          <cell r="S2">
            <v>2050</v>
          </cell>
        </row>
        <row r="3">
          <cell r="F3" t="str">
            <v>Brazil</v>
          </cell>
          <cell r="G3">
            <v>1850.6022605629237</v>
          </cell>
          <cell r="H3">
            <v>1929.9396496404497</v>
          </cell>
          <cell r="I3">
            <v>2009.2770387179758</v>
          </cell>
          <cell r="J3">
            <v>2369.7286429207188</v>
          </cell>
          <cell r="K3">
            <v>2192.7184010018227</v>
          </cell>
          <cell r="L3">
            <v>2270.2016391666666</v>
          </cell>
          <cell r="M3">
            <v>2341.5577757000001</v>
          </cell>
          <cell r="N3">
            <v>2350.0996494500005</v>
          </cell>
          <cell r="O3">
            <v>2358.6415232000004</v>
          </cell>
          <cell r="P3">
            <v>2275.4982468083335</v>
          </cell>
          <cell r="Q3">
            <v>2192.3549704166671</v>
          </cell>
          <cell r="R3">
            <v>2109.2116940250007</v>
          </cell>
          <cell r="S3">
            <v>2026.0684176333339</v>
          </cell>
        </row>
        <row r="4">
          <cell r="F4" t="str">
            <v>Canada</v>
          </cell>
          <cell r="G4">
            <v>715.23390408371722</v>
          </cell>
          <cell r="H4">
            <v>775.08141947408353</v>
          </cell>
          <cell r="I4">
            <v>834.92893486444996</v>
          </cell>
          <cell r="J4">
            <v>842.97304182421863</v>
          </cell>
          <cell r="K4">
            <v>810.85684653359351</v>
          </cell>
          <cell r="L4">
            <v>861.49979863333317</v>
          </cell>
          <cell r="M4">
            <v>916.55336586666647</v>
          </cell>
          <cell r="N4">
            <v>928.9238620499998</v>
          </cell>
          <cell r="O4">
            <v>941.29435823333324</v>
          </cell>
          <cell r="P4">
            <v>998.63594862516652</v>
          </cell>
          <cell r="Q4">
            <v>1055.9775390169998</v>
          </cell>
          <cell r="R4">
            <v>1113.3191294088331</v>
          </cell>
          <cell r="S4">
            <v>1170.6607198006664</v>
          </cell>
        </row>
        <row r="5">
          <cell r="F5" t="str">
            <v>China</v>
          </cell>
          <cell r="G5">
            <v>3676.7378322496061</v>
          </cell>
          <cell r="H5">
            <v>4321.5397231247771</v>
          </cell>
          <cell r="I5">
            <v>4966.341613999949</v>
          </cell>
          <cell r="J5">
            <v>7683.418852888205</v>
          </cell>
          <cell r="K5">
            <v>10537.933013508184</v>
          </cell>
          <cell r="L5">
            <v>12746.420437204715</v>
          </cell>
          <cell r="M5">
            <v>15051.034485574852</v>
          </cell>
          <cell r="N5">
            <v>15918.386466313514</v>
          </cell>
          <cell r="O5">
            <v>16785.738447052176</v>
          </cell>
          <cell r="P5">
            <v>16442.330998625133</v>
          </cell>
          <cell r="Q5">
            <v>16098.923550198091</v>
          </cell>
          <cell r="R5">
            <v>15755.516101771049</v>
          </cell>
          <cell r="S5">
            <v>15412.108653344007</v>
          </cell>
        </row>
        <row r="6">
          <cell r="F6" t="str">
            <v>EU</v>
          </cell>
          <cell r="G6">
            <v>5538.4346601664138</v>
          </cell>
          <cell r="H6">
            <v>5291.1393724176651</v>
          </cell>
          <cell r="I6">
            <v>5043.8440846689164</v>
          </cell>
          <cell r="J6">
            <v>5089.3716775006478</v>
          </cell>
          <cell r="K6">
            <v>4612.4526386820662</v>
          </cell>
          <cell r="L6">
            <v>4344.907600048894</v>
          </cell>
          <cell r="M6">
            <v>4354.7979027568126</v>
          </cell>
          <cell r="N6">
            <v>4275.6369663523983</v>
          </cell>
          <cell r="O6">
            <v>4196.476029947984</v>
          </cell>
          <cell r="P6">
            <v>4129.7181846699905</v>
          </cell>
          <cell r="Q6">
            <v>4062.960339391997</v>
          </cell>
          <cell r="R6">
            <v>3996.2024941140035</v>
          </cell>
          <cell r="S6">
            <v>3929.4446488360095</v>
          </cell>
        </row>
        <row r="7">
          <cell r="F7" t="str">
            <v>India</v>
          </cell>
          <cell r="G7">
            <v>1253.2076248983772</v>
          </cell>
          <cell r="H7">
            <v>1512.2830255365602</v>
          </cell>
          <cell r="I7">
            <v>1771.3584261747433</v>
          </cell>
          <cell r="J7">
            <v>2089.1047765956355</v>
          </cell>
          <cell r="K7">
            <v>2725.5829587296871</v>
          </cell>
          <cell r="L7">
            <v>3234.1823925000008</v>
          </cell>
          <cell r="M7">
            <v>3742.8432292999992</v>
          </cell>
          <cell r="N7">
            <v>4519.7369121833326</v>
          </cell>
          <cell r="O7">
            <v>5296.6305950666665</v>
          </cell>
          <cell r="P7">
            <v>6243.4300206500002</v>
          </cell>
          <cell r="Q7">
            <v>7190.2294462333339</v>
          </cell>
          <cell r="R7">
            <v>8137.0288718166676</v>
          </cell>
          <cell r="S7">
            <v>9083.8282974000012</v>
          </cell>
        </row>
        <row r="8">
          <cell r="F8" t="str">
            <v>Indonesia</v>
          </cell>
          <cell r="G8">
            <v>987.3533398258661</v>
          </cell>
          <cell r="H8">
            <v>1070.0206687633804</v>
          </cell>
          <cell r="I8">
            <v>1152.6879977008946</v>
          </cell>
          <cell r="J8">
            <v>919.93834895972145</v>
          </cell>
          <cell r="K8">
            <v>826.0835766923899</v>
          </cell>
          <cell r="L8">
            <v>948.05745125360329</v>
          </cell>
          <cell r="M8">
            <v>1067.0662522692148</v>
          </cell>
          <cell r="N8">
            <v>1170.5917280284416</v>
          </cell>
          <cell r="O8">
            <v>1274.1172037876686</v>
          </cell>
          <cell r="P8">
            <v>1345.1684162140987</v>
          </cell>
          <cell r="Q8">
            <v>1416.2196286405288</v>
          </cell>
          <cell r="R8">
            <v>1487.2708410669588</v>
          </cell>
          <cell r="S8">
            <v>1558.3220534933885</v>
          </cell>
        </row>
        <row r="9">
          <cell r="F9" t="str">
            <v>International Aviation</v>
          </cell>
          <cell r="G9">
            <v>248</v>
          </cell>
          <cell r="H9">
            <v>293.45095312500001</v>
          </cell>
          <cell r="I9">
            <v>338.90190625000002</v>
          </cell>
          <cell r="J9">
            <v>386.26428125000001</v>
          </cell>
          <cell r="K9">
            <v>401</v>
          </cell>
          <cell r="L9">
            <v>459.30500000000001</v>
          </cell>
          <cell r="M9">
            <v>540.05966666666666</v>
          </cell>
          <cell r="N9">
            <v>641.19366666666656</v>
          </cell>
          <cell r="O9">
            <v>742.32766666666657</v>
          </cell>
          <cell r="P9">
            <v>827.20824999999991</v>
          </cell>
          <cell r="Q9">
            <v>912.08883333333324</v>
          </cell>
          <cell r="R9">
            <v>996.96941666666658</v>
          </cell>
          <cell r="S9">
            <v>1081.8499999999999</v>
          </cell>
        </row>
        <row r="10">
          <cell r="F10" t="str">
            <v>International Maritime</v>
          </cell>
          <cell r="G10">
            <v>286</v>
          </cell>
          <cell r="H10">
            <v>374.79470312500001</v>
          </cell>
          <cell r="I10">
            <v>463.58940625000002</v>
          </cell>
          <cell r="J10">
            <v>545.18181249999998</v>
          </cell>
          <cell r="K10">
            <v>561</v>
          </cell>
          <cell r="L10">
            <v>641.03966666666668</v>
          </cell>
          <cell r="M10">
            <v>666.2883333333333</v>
          </cell>
          <cell r="N10">
            <v>651.81600000000003</v>
          </cell>
          <cell r="O10">
            <v>637.34366666666665</v>
          </cell>
          <cell r="P10">
            <v>627.66458333333333</v>
          </cell>
          <cell r="Q10">
            <v>617.9855</v>
          </cell>
          <cell r="R10">
            <v>608.30641666666668</v>
          </cell>
          <cell r="S10">
            <v>598.62733333333324</v>
          </cell>
        </row>
        <row r="11">
          <cell r="F11" t="str">
            <v>Japan</v>
          </cell>
          <cell r="G11">
            <v>1226.8528606288737</v>
          </cell>
          <cell r="H11">
            <v>1288.969014262053</v>
          </cell>
          <cell r="I11">
            <v>1351.085167895232</v>
          </cell>
          <cell r="J11">
            <v>1359.9921395385743</v>
          </cell>
          <cell r="K11">
            <v>1325.6364845981182</v>
          </cell>
          <cell r="L11">
            <v>1389.4516009473334</v>
          </cell>
          <cell r="M11">
            <v>1363.3684827543332</v>
          </cell>
          <cell r="N11">
            <v>1346.9526928646665</v>
          </cell>
          <cell r="O11">
            <v>1330.536902975</v>
          </cell>
          <cell r="P11">
            <v>1327.2419158036082</v>
          </cell>
          <cell r="Q11">
            <v>1323.9469286322164</v>
          </cell>
          <cell r="R11">
            <v>1320.6519414608247</v>
          </cell>
          <cell r="S11">
            <v>1317.3569542894331</v>
          </cell>
        </row>
        <row r="12">
          <cell r="F12" t="str">
            <v>Mexico</v>
          </cell>
          <cell r="G12">
            <v>583.51516034542283</v>
          </cell>
          <cell r="H12">
            <v>628.77175381293705</v>
          </cell>
          <cell r="I12">
            <v>674.02834728045116</v>
          </cell>
          <cell r="J12">
            <v>711.16651735538449</v>
          </cell>
          <cell r="K12">
            <v>714.93260951789796</v>
          </cell>
          <cell r="L12">
            <v>777.56760084999996</v>
          </cell>
          <cell r="M12">
            <v>787.85886589333325</v>
          </cell>
          <cell r="N12">
            <v>819.73134896250008</v>
          </cell>
          <cell r="O12">
            <v>851.6038320316668</v>
          </cell>
          <cell r="P12">
            <v>916.3779157030001</v>
          </cell>
          <cell r="Q12">
            <v>981.1519993743334</v>
          </cell>
          <cell r="R12">
            <v>1045.9260830456667</v>
          </cell>
          <cell r="S12">
            <v>1110.7001667169998</v>
          </cell>
        </row>
        <row r="13">
          <cell r="F13" t="str">
            <v>Middle East</v>
          </cell>
          <cell r="G13">
            <v>900.75011139228729</v>
          </cell>
          <cell r="H13">
            <v>1114.8030322821867</v>
          </cell>
          <cell r="I13">
            <v>1328.8559531720862</v>
          </cell>
          <cell r="J13">
            <v>1671.1261257342619</v>
          </cell>
          <cell r="K13">
            <v>2173.0666003501888</v>
          </cell>
          <cell r="L13">
            <v>2333.1366737305398</v>
          </cell>
          <cell r="M13">
            <v>2696.1116917317627</v>
          </cell>
          <cell r="N13">
            <v>3002.6233131767167</v>
          </cell>
          <cell r="O13">
            <v>3309.1349346216707</v>
          </cell>
          <cell r="P13">
            <v>3703.1211152637807</v>
          </cell>
          <cell r="Q13">
            <v>4097.1072959058902</v>
          </cell>
          <cell r="R13">
            <v>4491.0934765479997</v>
          </cell>
          <cell r="S13">
            <v>4885.0796571901101</v>
          </cell>
        </row>
        <row r="14">
          <cell r="F14" t="str">
            <v>Northern Africa</v>
          </cell>
          <cell r="G14">
            <v>360.65091943111759</v>
          </cell>
          <cell r="H14">
            <v>402.3275360995126</v>
          </cell>
          <cell r="I14">
            <v>444.00415276790756</v>
          </cell>
          <cell r="J14">
            <v>534.63439041281492</v>
          </cell>
          <cell r="K14">
            <v>628.43590285030086</v>
          </cell>
          <cell r="L14">
            <v>723.25541920696094</v>
          </cell>
          <cell r="M14">
            <v>828.62572634732692</v>
          </cell>
          <cell r="N14">
            <v>902.0211160672095</v>
          </cell>
          <cell r="O14">
            <v>975.41650578709198</v>
          </cell>
          <cell r="P14">
            <v>981.47585236349539</v>
          </cell>
          <cell r="Q14">
            <v>987.53519893989881</v>
          </cell>
          <cell r="R14">
            <v>993.59454551630222</v>
          </cell>
          <cell r="S14">
            <v>999.65389209270575</v>
          </cell>
        </row>
        <row r="15">
          <cell r="F15" t="str">
            <v>Oceania</v>
          </cell>
          <cell r="G15">
            <v>531.98523543578676</v>
          </cell>
          <cell r="H15">
            <v>577.8911108898667</v>
          </cell>
          <cell r="I15">
            <v>623.79698634394674</v>
          </cell>
          <cell r="J15">
            <v>885.63498040717184</v>
          </cell>
          <cell r="K15">
            <v>797.37166591393225</v>
          </cell>
          <cell r="L15">
            <v>794.81216726666673</v>
          </cell>
          <cell r="M15">
            <v>833.35266376666664</v>
          </cell>
          <cell r="N15">
            <v>826.1833633166666</v>
          </cell>
          <cell r="O15">
            <v>819.01406286666668</v>
          </cell>
          <cell r="P15">
            <v>836.89790107500005</v>
          </cell>
          <cell r="Q15">
            <v>854.78173928333342</v>
          </cell>
          <cell r="R15">
            <v>872.6655774916668</v>
          </cell>
          <cell r="S15">
            <v>890.54941570000005</v>
          </cell>
        </row>
        <row r="16">
          <cell r="F16" t="str">
            <v>Rest of Central America</v>
          </cell>
          <cell r="G16">
            <v>327.07763225772493</v>
          </cell>
          <cell r="H16">
            <v>366.85643571705532</v>
          </cell>
          <cell r="I16">
            <v>406.63523917638577</v>
          </cell>
          <cell r="J16">
            <v>393.87758906631655</v>
          </cell>
          <cell r="K16">
            <v>408.52783182464105</v>
          </cell>
          <cell r="L16">
            <v>391.76838815669657</v>
          </cell>
          <cell r="M16">
            <v>401.65345351855001</v>
          </cell>
          <cell r="N16">
            <v>426.91063001037492</v>
          </cell>
          <cell r="O16">
            <v>452.16780650219988</v>
          </cell>
          <cell r="P16">
            <v>467.64053907791157</v>
          </cell>
          <cell r="Q16">
            <v>483.11327165362326</v>
          </cell>
          <cell r="R16">
            <v>498.58600422933495</v>
          </cell>
          <cell r="S16">
            <v>514.05873680504658</v>
          </cell>
        </row>
        <row r="17">
          <cell r="F17" t="str">
            <v>Rest of Europe</v>
          </cell>
          <cell r="G17">
            <v>203.4172889660521</v>
          </cell>
          <cell r="H17">
            <v>192.43470544881109</v>
          </cell>
          <cell r="I17">
            <v>181.4521219315701</v>
          </cell>
          <cell r="J17">
            <v>185.6362834592733</v>
          </cell>
          <cell r="K17">
            <v>191.81806418539978</v>
          </cell>
          <cell r="L17">
            <v>235.65836974240537</v>
          </cell>
          <cell r="M17">
            <v>292.611301110103</v>
          </cell>
          <cell r="N17">
            <v>299.8614426312073</v>
          </cell>
          <cell r="O17">
            <v>307.11158415231165</v>
          </cell>
          <cell r="P17">
            <v>294.92998953844108</v>
          </cell>
          <cell r="Q17">
            <v>282.74839492457045</v>
          </cell>
          <cell r="R17">
            <v>270.56680031069982</v>
          </cell>
          <cell r="S17">
            <v>258.38520569682925</v>
          </cell>
        </row>
        <row r="18">
          <cell r="F18" t="str">
            <v>Rest of FSU</v>
          </cell>
          <cell r="G18">
            <v>793.73324388205481</v>
          </cell>
          <cell r="H18">
            <v>679.00126394842732</v>
          </cell>
          <cell r="I18">
            <v>564.26928401479984</v>
          </cell>
          <cell r="J18">
            <v>656.26435438879423</v>
          </cell>
          <cell r="K18">
            <v>738.72017752862541</v>
          </cell>
          <cell r="L18">
            <v>868.3677041630491</v>
          </cell>
          <cell r="M18">
            <v>938.64473701723148</v>
          </cell>
          <cell r="N18">
            <v>975.37779693838138</v>
          </cell>
          <cell r="O18">
            <v>1012.1108568595313</v>
          </cell>
          <cell r="P18">
            <v>1053.4171303785045</v>
          </cell>
          <cell r="Q18">
            <v>1094.7234038974775</v>
          </cell>
          <cell r="R18">
            <v>1136.0296774164506</v>
          </cell>
          <cell r="S18">
            <v>1177.3359509354236</v>
          </cell>
        </row>
        <row r="19">
          <cell r="F19" t="str">
            <v>Rest of South America</v>
          </cell>
          <cell r="G19">
            <v>1363.1366102381094</v>
          </cell>
          <cell r="H19">
            <v>1422.3523007297363</v>
          </cell>
          <cell r="I19">
            <v>1481.5679912213629</v>
          </cell>
          <cell r="J19">
            <v>1667.7761968466682</v>
          </cell>
          <cell r="K19">
            <v>1706.1564203767989</v>
          </cell>
          <cell r="L19">
            <v>1791.7932407000003</v>
          </cell>
          <cell r="M19">
            <v>1837.2306910333334</v>
          </cell>
          <cell r="N19">
            <v>1913.3488485666667</v>
          </cell>
          <cell r="O19">
            <v>1989.4670060999999</v>
          </cell>
          <cell r="P19">
            <v>2027.9831331416665</v>
          </cell>
          <cell r="Q19">
            <v>2066.4992601833333</v>
          </cell>
          <cell r="R19">
            <v>2105.0153872249998</v>
          </cell>
          <cell r="S19">
            <v>2143.5315142666664</v>
          </cell>
        </row>
        <row r="20">
          <cell r="F20" t="str">
            <v>Rest of South Asia</v>
          </cell>
          <cell r="G20">
            <v>405.69559860985925</v>
          </cell>
          <cell r="H20">
            <v>455.27092606604856</v>
          </cell>
          <cell r="I20">
            <v>504.84625352223782</v>
          </cell>
          <cell r="J20">
            <v>534.40878512688607</v>
          </cell>
          <cell r="K20">
            <v>547.94173131852222</v>
          </cell>
          <cell r="L20">
            <v>598.20352459999992</v>
          </cell>
          <cell r="M20">
            <v>678.29504423333321</v>
          </cell>
          <cell r="N20">
            <v>797.99435723333329</v>
          </cell>
          <cell r="O20">
            <v>917.69367023333336</v>
          </cell>
          <cell r="P20">
            <v>997.98295400833331</v>
          </cell>
          <cell r="Q20">
            <v>1078.2722377833334</v>
          </cell>
          <cell r="R20">
            <v>1158.5615215583334</v>
          </cell>
          <cell r="S20">
            <v>1238.8508053333333</v>
          </cell>
        </row>
        <row r="21">
          <cell r="F21" t="str">
            <v>Rest of South East Asia</v>
          </cell>
          <cell r="G21">
            <v>1378.018867881688</v>
          </cell>
          <cell r="H21">
            <v>1564.5398703018595</v>
          </cell>
          <cell r="I21">
            <v>1751.0608727220308</v>
          </cell>
          <cell r="J21">
            <v>2076.5523551777273</v>
          </cell>
          <cell r="K21">
            <v>2067.1106239524097</v>
          </cell>
          <cell r="L21">
            <v>2262.4298730945347</v>
          </cell>
          <cell r="M21">
            <v>2490.1075272666098</v>
          </cell>
          <cell r="N21">
            <v>2689.8191786207894</v>
          </cell>
          <cell r="O21">
            <v>2889.530829974969</v>
          </cell>
          <cell r="P21">
            <v>3123.1097458643417</v>
          </cell>
          <cell r="Q21">
            <v>3356.6886617537143</v>
          </cell>
          <cell r="R21">
            <v>3590.267577643087</v>
          </cell>
          <cell r="S21">
            <v>3823.8464935324591</v>
          </cell>
        </row>
        <row r="22">
          <cell r="F22" t="str">
            <v>Rest of Sub Saharan Africa</v>
          </cell>
          <cell r="G22">
            <v>2283.7546036102272</v>
          </cell>
          <cell r="H22">
            <v>2280.4687726366146</v>
          </cell>
          <cell r="I22">
            <v>2277.1829416630026</v>
          </cell>
          <cell r="J22">
            <v>2518.6336974325809</v>
          </cell>
          <cell r="K22">
            <v>2064.5184522747945</v>
          </cell>
          <cell r="L22">
            <v>2043.7540929686661</v>
          </cell>
          <cell r="M22">
            <v>2156.9835948903328</v>
          </cell>
          <cell r="N22">
            <v>2280.6327139267328</v>
          </cell>
          <cell r="O22">
            <v>2404.2818329631327</v>
          </cell>
          <cell r="P22">
            <v>2616.1929705665161</v>
          </cell>
          <cell r="Q22">
            <v>2828.1041081698995</v>
          </cell>
          <cell r="R22">
            <v>3040.0152457732829</v>
          </cell>
          <cell r="S22">
            <v>3251.9263833766668</v>
          </cell>
        </row>
        <row r="23">
          <cell r="F23" t="str">
            <v>Russia</v>
          </cell>
          <cell r="G23">
            <v>3058.7239061351179</v>
          </cell>
          <cell r="H23">
            <v>2631.7570327642234</v>
          </cell>
          <cell r="I23">
            <v>2204.7901593933293</v>
          </cell>
          <cell r="J23">
            <v>2267.7683807366238</v>
          </cell>
          <cell r="K23">
            <v>2441.1387647152487</v>
          </cell>
          <cell r="L23">
            <v>2414.2061495551725</v>
          </cell>
          <cell r="M23">
            <v>2561.9059282347089</v>
          </cell>
          <cell r="N23">
            <v>2638.2863497552371</v>
          </cell>
          <cell r="O23">
            <v>2714.6667712757653</v>
          </cell>
          <cell r="P23">
            <v>2752.2603767983787</v>
          </cell>
          <cell r="Q23">
            <v>2789.8539823209921</v>
          </cell>
          <cell r="R23">
            <v>2827.4475878436056</v>
          </cell>
          <cell r="S23">
            <v>2865.041193366219</v>
          </cell>
        </row>
        <row r="24">
          <cell r="F24" t="str">
            <v>South Africa</v>
          </cell>
          <cell r="G24">
            <v>625.51776177763827</v>
          </cell>
          <cell r="H24">
            <v>649.0421580084078</v>
          </cell>
          <cell r="I24">
            <v>672.56655423917721</v>
          </cell>
          <cell r="J24">
            <v>757.90910322909679</v>
          </cell>
          <cell r="K24">
            <v>533.21162569151466</v>
          </cell>
          <cell r="L24">
            <v>506.30663171843673</v>
          </cell>
          <cell r="M24">
            <v>557.21078273375633</v>
          </cell>
          <cell r="N24">
            <v>598.45053829512153</v>
          </cell>
          <cell r="O24">
            <v>639.69029385648685</v>
          </cell>
          <cell r="P24">
            <v>690.14932879342098</v>
          </cell>
          <cell r="Q24">
            <v>740.60836373035511</v>
          </cell>
          <cell r="R24">
            <v>791.06739866728924</v>
          </cell>
          <cell r="S24">
            <v>841.52643360422337</v>
          </cell>
        </row>
        <row r="25">
          <cell r="F25" t="str">
            <v>South Korea</v>
          </cell>
          <cell r="G25">
            <v>314.43363471657904</v>
          </cell>
          <cell r="H25">
            <v>456.41033023003826</v>
          </cell>
          <cell r="I25">
            <v>598.38702574349747</v>
          </cell>
          <cell r="J25">
            <v>646.37341005051235</v>
          </cell>
          <cell r="K25">
            <v>779.22662863868788</v>
          </cell>
          <cell r="L25">
            <v>812.23022340075011</v>
          </cell>
          <cell r="M25">
            <v>867.75512255853926</v>
          </cell>
          <cell r="N25">
            <v>846.17439956569808</v>
          </cell>
          <cell r="O25">
            <v>824.59367657285691</v>
          </cell>
          <cell r="P25">
            <v>791.19395716885924</v>
          </cell>
          <cell r="Q25">
            <v>757.79423776486146</v>
          </cell>
          <cell r="R25">
            <v>724.39451836086369</v>
          </cell>
          <cell r="S25">
            <v>690.99479895686602</v>
          </cell>
        </row>
        <row r="26">
          <cell r="F26" t="str">
            <v>Turkey</v>
          </cell>
          <cell r="G26">
            <v>215.15162114666961</v>
          </cell>
          <cell r="H26">
            <v>257.76611667139309</v>
          </cell>
          <cell r="I26">
            <v>300.3806121961166</v>
          </cell>
          <cell r="J26">
            <v>321.60915948721254</v>
          </cell>
          <cell r="K26">
            <v>379.90169129813478</v>
          </cell>
          <cell r="L26">
            <v>486.84272732666665</v>
          </cell>
          <cell r="M26">
            <v>559.38704942999993</v>
          </cell>
          <cell r="N26">
            <v>601.29557552999995</v>
          </cell>
          <cell r="O26">
            <v>643.20410163000008</v>
          </cell>
          <cell r="P26">
            <v>661.735657382</v>
          </cell>
          <cell r="Q26">
            <v>680.26721313399992</v>
          </cell>
          <cell r="R26">
            <v>698.79876888599983</v>
          </cell>
          <cell r="S26">
            <v>717.33032463799987</v>
          </cell>
        </row>
        <row r="27">
          <cell r="F27" t="str">
            <v>Ukraine</v>
          </cell>
          <cell r="G27">
            <v>940.7738918734201</v>
          </cell>
          <cell r="H27">
            <v>684.25025111662501</v>
          </cell>
          <cell r="I27">
            <v>427.72661035982998</v>
          </cell>
          <cell r="J27">
            <v>437.51832808866027</v>
          </cell>
          <cell r="K27">
            <v>414.37912972438698</v>
          </cell>
          <cell r="L27">
            <v>429.77523748644484</v>
          </cell>
          <cell r="M27">
            <v>447.5548241767263</v>
          </cell>
          <cell r="N27">
            <v>459.62525334688178</v>
          </cell>
          <cell r="O27">
            <v>471.69568251703731</v>
          </cell>
          <cell r="P27">
            <v>488.8555212257005</v>
          </cell>
          <cell r="Q27">
            <v>506.01535993436369</v>
          </cell>
          <cell r="R27">
            <v>523.17519864302687</v>
          </cell>
          <cell r="S27">
            <v>540.33503735169018</v>
          </cell>
        </row>
        <row r="28">
          <cell r="F28" t="str">
            <v>USA</v>
          </cell>
          <cell r="G28">
            <v>6029.496724557911</v>
          </cell>
          <cell r="H28">
            <v>6453.380515835308</v>
          </cell>
          <cell r="I28">
            <v>6877.264307112704</v>
          </cell>
          <cell r="J28">
            <v>6958.7367780234363</v>
          </cell>
          <cell r="K28">
            <v>6530.3931037500006</v>
          </cell>
          <cell r="L28">
            <v>6472.9164739999987</v>
          </cell>
          <cell r="M28">
            <v>6816.7915626666672</v>
          </cell>
          <cell r="N28">
            <v>6841.9695800333338</v>
          </cell>
          <cell r="O28">
            <v>6867.1475974000014</v>
          </cell>
          <cell r="P28">
            <v>6880.761198696584</v>
          </cell>
          <cell r="Q28">
            <v>6894.3747999931666</v>
          </cell>
          <cell r="R28">
            <v>6907.9884012897492</v>
          </cell>
          <cell r="S28">
            <v>6921.6020025863327</v>
          </cell>
        </row>
        <row r="29">
          <cell r="F29">
            <v>0</v>
          </cell>
          <cell r="G29">
            <v>0</v>
          </cell>
          <cell r="H29">
            <v>0</v>
          </cell>
          <cell r="I29">
            <v>0</v>
          </cell>
          <cell r="J29">
            <v>0</v>
          </cell>
          <cell r="K29">
            <v>0</v>
          </cell>
          <cell r="L29">
            <v>0</v>
          </cell>
          <cell r="M29">
            <v>0</v>
          </cell>
          <cell r="N29">
            <v>0</v>
          </cell>
          <cell r="O29">
            <v>0</v>
          </cell>
          <cell r="P29">
            <v>0</v>
          </cell>
          <cell r="Q29">
            <v>0</v>
          </cell>
          <cell r="R29">
            <v>0</v>
          </cell>
          <cell r="S29">
            <v>0</v>
          </cell>
        </row>
        <row r="30">
          <cell r="F30" t="str">
            <v>Total Mt</v>
          </cell>
          <cell r="G30">
            <v>36098.25529467345</v>
          </cell>
          <cell r="H30">
            <v>37674.54264202802</v>
          </cell>
          <cell r="I30">
            <v>39250.829989382597</v>
          </cell>
          <cell r="J30">
            <v>44511.600009001144</v>
          </cell>
          <cell r="K30">
            <v>47110.114943657354</v>
          </cell>
          <cell r="L30">
            <v>50838.090084388205</v>
          </cell>
          <cell r="M30">
            <v>55795.650060830856</v>
          </cell>
          <cell r="N30">
            <v>58723.64374988588</v>
          </cell>
          <cell r="O30">
            <v>61651.637438940867</v>
          </cell>
          <cell r="P30">
            <v>63500.981851775592</v>
          </cell>
          <cell r="Q30">
            <v>65350.326264610318</v>
          </cell>
          <cell r="R30">
            <v>67199.670677445029</v>
          </cell>
          <cell r="S30">
            <v>69049.015090279747</v>
          </cell>
        </row>
        <row r="31">
          <cell r="F31" t="str">
            <v>Total Gt</v>
          </cell>
          <cell r="G31">
            <v>36.09825529467345</v>
          </cell>
          <cell r="H31">
            <v>37.674542642028022</v>
          </cell>
          <cell r="I31">
            <v>39.250829989382595</v>
          </cell>
          <cell r="J31">
            <v>44.511600009001143</v>
          </cell>
          <cell r="K31">
            <v>47.110114943657351</v>
          </cell>
          <cell r="L31">
            <v>50.838090084388206</v>
          </cell>
          <cell r="M31">
            <v>55.795650060830859</v>
          </cell>
          <cell r="N31">
            <v>58.723643749885881</v>
          </cell>
          <cell r="O31">
            <v>61.651637438940867</v>
          </cell>
          <cell r="P31">
            <v>63.500981851775592</v>
          </cell>
          <cell r="Q31">
            <v>65.350326264610317</v>
          </cell>
          <cell r="R31">
            <v>67.199670677445027</v>
          </cell>
          <cell r="S31">
            <v>69.049015090279752</v>
          </cell>
        </row>
        <row r="32">
          <cell r="F32">
            <v>0</v>
          </cell>
          <cell r="G32">
            <v>0</v>
          </cell>
          <cell r="H32">
            <v>0</v>
          </cell>
          <cell r="I32">
            <v>0</v>
          </cell>
          <cell r="J32">
            <v>0</v>
          </cell>
          <cell r="K32">
            <v>0</v>
          </cell>
          <cell r="L32">
            <v>0</v>
          </cell>
          <cell r="M32">
            <v>0</v>
          </cell>
          <cell r="N32">
            <v>0</v>
          </cell>
          <cell r="O32">
            <v>0</v>
          </cell>
          <cell r="P32">
            <v>0</v>
          </cell>
          <cell r="Q32">
            <v>0</v>
          </cell>
          <cell r="R32">
            <v>0</v>
          </cell>
          <cell r="S32">
            <v>0</v>
          </cell>
        </row>
        <row r="33">
          <cell r="F33" t="str">
            <v>Peat emissions</v>
          </cell>
          <cell r="G33">
            <v>1.5</v>
          </cell>
          <cell r="H33">
            <v>1.5</v>
          </cell>
          <cell r="I33">
            <v>1.5</v>
          </cell>
          <cell r="J33">
            <v>1.5</v>
          </cell>
          <cell r="K33">
            <v>1.5</v>
          </cell>
          <cell r="L33">
            <v>1.5</v>
          </cell>
          <cell r="M33">
            <v>1.5</v>
          </cell>
          <cell r="N33">
            <v>1.5</v>
          </cell>
          <cell r="O33">
            <v>1.5</v>
          </cell>
          <cell r="P33">
            <v>1.5</v>
          </cell>
          <cell r="Q33">
            <v>1.5</v>
          </cell>
          <cell r="R33">
            <v>1.5</v>
          </cell>
          <cell r="S33">
            <v>1.5</v>
          </cell>
        </row>
        <row r="34">
          <cell r="F34" t="str">
            <v>Total including peat</v>
          </cell>
          <cell r="G34">
            <v>37.59825529467345</v>
          </cell>
          <cell r="H34">
            <v>39.174542642028022</v>
          </cell>
          <cell r="I34">
            <v>40.750829989382595</v>
          </cell>
          <cell r="J34">
            <v>46.011600009001143</v>
          </cell>
          <cell r="K34">
            <v>48.610114943657351</v>
          </cell>
          <cell r="L34">
            <v>52.338090084388206</v>
          </cell>
          <cell r="M34">
            <v>57.295650060830859</v>
          </cell>
          <cell r="N34">
            <v>60.223643749885881</v>
          </cell>
          <cell r="O34">
            <v>63.151637438940867</v>
          </cell>
          <cell r="P34">
            <v>65.000981851775592</v>
          </cell>
          <cell r="Q34">
            <v>66.850326264610317</v>
          </cell>
          <cell r="R34">
            <v>68.699670677445027</v>
          </cell>
          <cell r="S34">
            <v>70.549015090279752</v>
          </cell>
        </row>
        <row r="70">
          <cell r="F70" t="str">
            <v>GLOCAF BAU emissions (Mt) minus current policy</v>
          </cell>
          <cell r="G70">
            <v>1990</v>
          </cell>
          <cell r="H70">
            <v>1995</v>
          </cell>
          <cell r="I70">
            <v>2000</v>
          </cell>
          <cell r="J70">
            <v>2005</v>
          </cell>
          <cell r="K70">
            <v>2010</v>
          </cell>
          <cell r="L70">
            <v>2015</v>
          </cell>
          <cell r="M70">
            <v>2020</v>
          </cell>
          <cell r="N70">
            <v>2025</v>
          </cell>
          <cell r="O70">
            <v>2030</v>
          </cell>
          <cell r="P70">
            <v>2035</v>
          </cell>
          <cell r="Q70">
            <v>2040</v>
          </cell>
          <cell r="R70">
            <v>2045</v>
          </cell>
          <cell r="S70">
            <v>2050</v>
          </cell>
        </row>
        <row r="71">
          <cell r="F71" t="str">
            <v>Brazil</v>
          </cell>
          <cell r="G71">
            <v>1850.6022605629237</v>
          </cell>
          <cell r="H71">
            <v>1929.9396496404497</v>
          </cell>
          <cell r="I71">
            <v>2009.2770387179758</v>
          </cell>
          <cell r="J71">
            <v>2369.7286429207188</v>
          </cell>
          <cell r="K71">
            <v>2192.7184010018227</v>
          </cell>
          <cell r="L71">
            <v>2004.3522091666664</v>
          </cell>
          <cell r="M71">
            <v>1809.8589156999999</v>
          </cell>
          <cell r="N71">
            <v>2350.0996494500005</v>
          </cell>
          <cell r="O71">
            <v>2358.6415232000004</v>
          </cell>
          <cell r="P71">
            <v>2275.4982468083335</v>
          </cell>
          <cell r="Q71">
            <v>2192.3549704166671</v>
          </cell>
          <cell r="R71">
            <v>2109.2116940250007</v>
          </cell>
          <cell r="S71">
            <v>2026.0684176333339</v>
          </cell>
        </row>
        <row r="72">
          <cell r="F72" t="str">
            <v>Canada</v>
          </cell>
          <cell r="G72">
            <v>715.23390408371722</v>
          </cell>
          <cell r="H72">
            <v>775.08141947408353</v>
          </cell>
          <cell r="I72">
            <v>834.92893486444996</v>
          </cell>
          <cell r="J72">
            <v>842.97304182421863</v>
          </cell>
          <cell r="K72">
            <v>810.85684653359351</v>
          </cell>
          <cell r="L72">
            <v>812.18235570000002</v>
          </cell>
          <cell r="M72">
            <v>817.91848000000005</v>
          </cell>
          <cell r="N72">
            <v>928.9238620499998</v>
          </cell>
          <cell r="O72">
            <v>941.29435823333324</v>
          </cell>
          <cell r="P72">
            <v>998.63594862516652</v>
          </cell>
          <cell r="Q72">
            <v>1055.9775390169998</v>
          </cell>
          <cell r="R72">
            <v>1113.3191294088331</v>
          </cell>
          <cell r="S72">
            <v>1170.6607198006664</v>
          </cell>
        </row>
        <row r="73">
          <cell r="F73" t="str">
            <v>China</v>
          </cell>
          <cell r="G73">
            <v>3676.7378322496061</v>
          </cell>
          <cell r="H73">
            <v>4321.5397231247771</v>
          </cell>
          <cell r="I73">
            <v>4966.341613999949</v>
          </cell>
          <cell r="J73">
            <v>7683.418852888205</v>
          </cell>
          <cell r="K73">
            <v>10537.933013508184</v>
          </cell>
          <cell r="L73">
            <v>12368.420437204715</v>
          </cell>
          <cell r="M73">
            <v>14295.034485574852</v>
          </cell>
          <cell r="N73">
            <v>15918.386466313514</v>
          </cell>
          <cell r="O73">
            <v>16785.738447052176</v>
          </cell>
          <cell r="P73">
            <v>16442.330998625133</v>
          </cell>
          <cell r="Q73">
            <v>16098.923550198091</v>
          </cell>
          <cell r="R73">
            <v>15755.516101771049</v>
          </cell>
          <cell r="S73">
            <v>15412.108653344007</v>
          </cell>
        </row>
        <row r="74">
          <cell r="F74" t="str">
            <v>EU</v>
          </cell>
          <cell r="G74">
            <v>5538.4346601664138</v>
          </cell>
          <cell r="H74">
            <v>5291.1393724176651</v>
          </cell>
          <cell r="I74">
            <v>5043.8440846689164</v>
          </cell>
          <cell r="J74">
            <v>5089.3716775006478</v>
          </cell>
          <cell r="K74">
            <v>4612.4526386820662</v>
          </cell>
          <cell r="L74">
            <v>4343.7528581230454</v>
          </cell>
          <cell r="M74">
            <v>4352.4884189051145</v>
          </cell>
          <cell r="N74">
            <v>4275.6369663523983</v>
          </cell>
          <cell r="O74">
            <v>4196.476029947984</v>
          </cell>
          <cell r="P74">
            <v>4129.7181846699905</v>
          </cell>
          <cell r="Q74">
            <v>4062.960339391997</v>
          </cell>
          <cell r="R74">
            <v>3996.2024941140035</v>
          </cell>
          <cell r="S74">
            <v>3929.4446488360095</v>
          </cell>
        </row>
        <row r="75">
          <cell r="F75" t="str">
            <v>India</v>
          </cell>
          <cell r="G75">
            <v>1253.2076248983772</v>
          </cell>
          <cell r="H75">
            <v>1512.2830255365602</v>
          </cell>
          <cell r="I75">
            <v>1771.3584261747433</v>
          </cell>
          <cell r="J75">
            <v>2089.1047765956355</v>
          </cell>
          <cell r="K75">
            <v>2725.5829587296871</v>
          </cell>
          <cell r="L75">
            <v>3234.1823925000008</v>
          </cell>
          <cell r="M75">
            <v>3742.8432292999992</v>
          </cell>
          <cell r="N75">
            <v>4519.7369121833326</v>
          </cell>
          <cell r="O75">
            <v>5296.6305950666665</v>
          </cell>
          <cell r="P75">
            <v>6243.4300206500002</v>
          </cell>
          <cell r="Q75">
            <v>7190.2294462333339</v>
          </cell>
          <cell r="R75">
            <v>8137.0288718166676</v>
          </cell>
          <cell r="S75">
            <v>9083.8282974000012</v>
          </cell>
        </row>
        <row r="76">
          <cell r="F76" t="str">
            <v>Indonesia</v>
          </cell>
          <cell r="G76">
            <v>987.3533398258661</v>
          </cell>
          <cell r="H76">
            <v>1070.0206687633804</v>
          </cell>
          <cell r="I76">
            <v>1152.6879977008946</v>
          </cell>
          <cell r="J76">
            <v>919.93834895972145</v>
          </cell>
          <cell r="K76">
            <v>826.0835766923899</v>
          </cell>
          <cell r="L76">
            <v>889.36880737879642</v>
          </cell>
          <cell r="M76">
            <v>949.6889645196012</v>
          </cell>
          <cell r="N76">
            <v>1170.5917280284416</v>
          </cell>
          <cell r="O76">
            <v>1274.1172037876686</v>
          </cell>
          <cell r="P76">
            <v>1345.1684162140987</v>
          </cell>
          <cell r="Q76">
            <v>1416.2196286405288</v>
          </cell>
          <cell r="R76">
            <v>1487.2708410669588</v>
          </cell>
          <cell r="S76">
            <v>1558.3220534933885</v>
          </cell>
        </row>
        <row r="77">
          <cell r="F77" t="str">
            <v>International Aviation</v>
          </cell>
          <cell r="G77">
            <v>248</v>
          </cell>
          <cell r="H77">
            <v>293.45095312500001</v>
          </cell>
          <cell r="I77">
            <v>338.90190625000002</v>
          </cell>
          <cell r="J77">
            <v>386.26428125000001</v>
          </cell>
          <cell r="K77">
            <v>401</v>
          </cell>
          <cell r="L77">
            <v>454.71449283333334</v>
          </cell>
          <cell r="M77">
            <v>530.87865233333332</v>
          </cell>
          <cell r="N77">
            <v>641.19366666666656</v>
          </cell>
          <cell r="O77">
            <v>742.32766666666657</v>
          </cell>
          <cell r="P77">
            <v>827.20824999999991</v>
          </cell>
          <cell r="Q77">
            <v>912.08883333333324</v>
          </cell>
          <cell r="R77">
            <v>996.96941666666658</v>
          </cell>
          <cell r="S77">
            <v>1081.8499999999999</v>
          </cell>
        </row>
        <row r="78">
          <cell r="F78" t="str">
            <v>International Maritime</v>
          </cell>
          <cell r="G78">
            <v>286</v>
          </cell>
          <cell r="H78">
            <v>374.79470312500001</v>
          </cell>
          <cell r="I78">
            <v>463.58940625000002</v>
          </cell>
          <cell r="J78">
            <v>545.18181249999998</v>
          </cell>
          <cell r="K78">
            <v>561</v>
          </cell>
          <cell r="L78">
            <v>641.03966666666668</v>
          </cell>
          <cell r="M78">
            <v>666.2883333333333</v>
          </cell>
          <cell r="N78">
            <v>651.81600000000003</v>
          </cell>
          <cell r="O78">
            <v>637.34366666666665</v>
          </cell>
          <cell r="P78">
            <v>627.66458333333333</v>
          </cell>
          <cell r="Q78">
            <v>617.9855</v>
          </cell>
          <cell r="R78">
            <v>608.30641666666668</v>
          </cell>
          <cell r="S78">
            <v>598.62733333333324</v>
          </cell>
        </row>
        <row r="79">
          <cell r="F79" t="str">
            <v>Japan</v>
          </cell>
          <cell r="G79">
            <v>1226.8528606288737</v>
          </cell>
          <cell r="H79">
            <v>1288.969014262053</v>
          </cell>
          <cell r="I79">
            <v>1351.085167895232</v>
          </cell>
          <cell r="J79">
            <v>1359.9921395385743</v>
          </cell>
          <cell r="K79">
            <v>1325.6364845981182</v>
          </cell>
          <cell r="L79">
            <v>1337.6805177078622</v>
          </cell>
          <cell r="M79">
            <v>1259.8263162753908</v>
          </cell>
          <cell r="N79">
            <v>1346.9526928646665</v>
          </cell>
          <cell r="O79">
            <v>1330.536902975</v>
          </cell>
          <cell r="P79">
            <v>1327.2419158036082</v>
          </cell>
          <cell r="Q79">
            <v>1323.9469286322164</v>
          </cell>
          <cell r="R79">
            <v>1320.6519414608247</v>
          </cell>
          <cell r="S79">
            <v>1317.3569542894331</v>
          </cell>
        </row>
        <row r="80">
          <cell r="F80" t="str">
            <v>Mexico</v>
          </cell>
          <cell r="G80">
            <v>583.51516034542283</v>
          </cell>
          <cell r="H80">
            <v>628.77175381293705</v>
          </cell>
          <cell r="I80">
            <v>674.02834728045116</v>
          </cell>
          <cell r="J80">
            <v>711.16651735538449</v>
          </cell>
          <cell r="K80">
            <v>714.93260951789796</v>
          </cell>
          <cell r="L80">
            <v>777.56760084999996</v>
          </cell>
          <cell r="M80">
            <v>787.85886589333325</v>
          </cell>
          <cell r="N80">
            <v>819.73134896250008</v>
          </cell>
          <cell r="O80">
            <v>851.6038320316668</v>
          </cell>
          <cell r="P80">
            <v>916.3779157030001</v>
          </cell>
          <cell r="Q80">
            <v>981.1519993743334</v>
          </cell>
          <cell r="R80">
            <v>1045.9260830456667</v>
          </cell>
          <cell r="S80">
            <v>1110.7001667169998</v>
          </cell>
        </row>
        <row r="81">
          <cell r="F81" t="str">
            <v>Middle East</v>
          </cell>
          <cell r="G81">
            <v>900.75011139228729</v>
          </cell>
          <cell r="H81">
            <v>1114.8030322821867</v>
          </cell>
          <cell r="I81">
            <v>1328.8559531720862</v>
          </cell>
          <cell r="J81">
            <v>1671.1261257342619</v>
          </cell>
          <cell r="K81">
            <v>2173.0666003501888</v>
          </cell>
          <cell r="L81">
            <v>2320.115265668112</v>
          </cell>
          <cell r="M81">
            <v>2670.0688756069071</v>
          </cell>
          <cell r="N81">
            <v>3002.6233131767167</v>
          </cell>
          <cell r="O81">
            <v>3309.1349346216707</v>
          </cell>
          <cell r="P81">
            <v>3703.1211152637807</v>
          </cell>
          <cell r="Q81">
            <v>4097.1072959058902</v>
          </cell>
          <cell r="R81">
            <v>4491.0934765479997</v>
          </cell>
          <cell r="S81">
            <v>4885.0796571901101</v>
          </cell>
        </row>
        <row r="82">
          <cell r="F82" t="str">
            <v>Northern Africa</v>
          </cell>
          <cell r="G82">
            <v>360.65091943111759</v>
          </cell>
          <cell r="H82">
            <v>402.3275360995126</v>
          </cell>
          <cell r="I82">
            <v>444.00415276790756</v>
          </cell>
          <cell r="J82">
            <v>534.63439041281492</v>
          </cell>
          <cell r="K82">
            <v>628.43590285030086</v>
          </cell>
          <cell r="L82">
            <v>723.25541920696094</v>
          </cell>
          <cell r="M82">
            <v>828.62572634732692</v>
          </cell>
          <cell r="N82">
            <v>902.0211160672095</v>
          </cell>
          <cell r="O82">
            <v>975.41650578709198</v>
          </cell>
          <cell r="P82">
            <v>981.47585236349539</v>
          </cell>
          <cell r="Q82">
            <v>987.53519893989881</v>
          </cell>
          <cell r="R82">
            <v>993.59454551630222</v>
          </cell>
          <cell r="S82">
            <v>999.65389209270575</v>
          </cell>
        </row>
        <row r="83">
          <cell r="F83" t="str">
            <v>Oceania</v>
          </cell>
          <cell r="G83">
            <v>531.98523543578676</v>
          </cell>
          <cell r="H83">
            <v>577.8911108898667</v>
          </cell>
          <cell r="I83">
            <v>623.79698634394674</v>
          </cell>
          <cell r="J83">
            <v>885.63498040717184</v>
          </cell>
          <cell r="K83">
            <v>797.37166591393225</v>
          </cell>
          <cell r="L83">
            <v>674.31216726666673</v>
          </cell>
          <cell r="M83">
            <v>592.35266376666664</v>
          </cell>
          <cell r="N83">
            <v>826.1833633166666</v>
          </cell>
          <cell r="O83">
            <v>819.01406286666668</v>
          </cell>
          <cell r="P83">
            <v>836.89790107500005</v>
          </cell>
          <cell r="Q83">
            <v>854.78173928333342</v>
          </cell>
          <cell r="R83">
            <v>872.6655774916668</v>
          </cell>
          <cell r="S83">
            <v>890.54941570000005</v>
          </cell>
        </row>
        <row r="84">
          <cell r="F84" t="str">
            <v>Rest of Central America</v>
          </cell>
          <cell r="G84">
            <v>327.07763225772493</v>
          </cell>
          <cell r="H84">
            <v>366.85643571705532</v>
          </cell>
          <cell r="I84">
            <v>406.63523917638577</v>
          </cell>
          <cell r="J84">
            <v>393.87758906631655</v>
          </cell>
          <cell r="K84">
            <v>408.52783182464105</v>
          </cell>
          <cell r="L84">
            <v>391.76838815669657</v>
          </cell>
          <cell r="M84">
            <v>401.65345351855001</v>
          </cell>
          <cell r="N84">
            <v>426.91063001037492</v>
          </cell>
          <cell r="O84">
            <v>452.16780650219988</v>
          </cell>
          <cell r="P84">
            <v>467.64053907791157</v>
          </cell>
          <cell r="Q84">
            <v>483.11327165362326</v>
          </cell>
          <cell r="R84">
            <v>498.58600422933495</v>
          </cell>
          <cell r="S84">
            <v>514.05873680504658</v>
          </cell>
        </row>
        <row r="85">
          <cell r="F85" t="str">
            <v>Rest of Europe</v>
          </cell>
          <cell r="G85">
            <v>203.4172889660521</v>
          </cell>
          <cell r="H85">
            <v>192.43470544881109</v>
          </cell>
          <cell r="I85">
            <v>181.4521219315701</v>
          </cell>
          <cell r="J85">
            <v>185.6362834592733</v>
          </cell>
          <cell r="K85">
            <v>191.81806418539978</v>
          </cell>
          <cell r="L85">
            <v>178.46631705723541</v>
          </cell>
          <cell r="M85">
            <v>178.22719573976309</v>
          </cell>
          <cell r="N85">
            <v>299.8614426312073</v>
          </cell>
          <cell r="O85">
            <v>307.11158415231165</v>
          </cell>
          <cell r="P85">
            <v>294.92998953844108</v>
          </cell>
          <cell r="Q85">
            <v>282.74839492457045</v>
          </cell>
          <cell r="R85">
            <v>270.56680031069982</v>
          </cell>
          <cell r="S85">
            <v>258.38520569682925</v>
          </cell>
        </row>
        <row r="86">
          <cell r="F86" t="str">
            <v>Rest of FSU</v>
          </cell>
          <cell r="G86">
            <v>793.73324388205481</v>
          </cell>
          <cell r="H86">
            <v>679.00126394842732</v>
          </cell>
          <cell r="I86">
            <v>564.26928401479984</v>
          </cell>
          <cell r="J86">
            <v>656.26435438879423</v>
          </cell>
          <cell r="K86">
            <v>738.72017752862541</v>
          </cell>
          <cell r="L86">
            <v>868.3677041630491</v>
          </cell>
          <cell r="M86">
            <v>938.64473701723148</v>
          </cell>
          <cell r="N86">
            <v>975.37779693838138</v>
          </cell>
          <cell r="O86">
            <v>1012.1108568595313</v>
          </cell>
          <cell r="P86">
            <v>1053.4171303785045</v>
          </cell>
          <cell r="Q86">
            <v>1094.7234038974775</v>
          </cell>
          <cell r="R86">
            <v>1136.0296774164506</v>
          </cell>
          <cell r="S86">
            <v>1177.3359509354236</v>
          </cell>
        </row>
        <row r="87">
          <cell r="F87" t="str">
            <v>Rest of South America</v>
          </cell>
          <cell r="G87">
            <v>1363.1366102381094</v>
          </cell>
          <cell r="H87">
            <v>1422.3523007297363</v>
          </cell>
          <cell r="I87">
            <v>1481.5679912213629</v>
          </cell>
          <cell r="J87">
            <v>1667.7761968466682</v>
          </cell>
          <cell r="K87">
            <v>1706.1564203767989</v>
          </cell>
          <cell r="L87">
            <v>1719.9487353450002</v>
          </cell>
          <cell r="M87">
            <v>1693.5416803233329</v>
          </cell>
          <cell r="N87">
            <v>1913.3488485666667</v>
          </cell>
          <cell r="O87">
            <v>1989.4670060999999</v>
          </cell>
          <cell r="P87">
            <v>2027.9831331416665</v>
          </cell>
          <cell r="Q87">
            <v>2066.4992601833333</v>
          </cell>
          <cell r="R87">
            <v>2105.0153872249998</v>
          </cell>
          <cell r="S87">
            <v>2143.5315142666664</v>
          </cell>
        </row>
        <row r="88">
          <cell r="F88" t="str">
            <v>Rest of South Asia</v>
          </cell>
          <cell r="G88">
            <v>405.69559860985925</v>
          </cell>
          <cell r="H88">
            <v>455.27092606604856</v>
          </cell>
          <cell r="I88">
            <v>504.84625352223782</v>
          </cell>
          <cell r="J88">
            <v>534.40878512688607</v>
          </cell>
          <cell r="K88">
            <v>547.94173131852222</v>
          </cell>
          <cell r="L88">
            <v>598.20352459999992</v>
          </cell>
          <cell r="M88">
            <v>678.29504423333321</v>
          </cell>
          <cell r="N88">
            <v>797.99435723333329</v>
          </cell>
          <cell r="O88">
            <v>917.69367023333336</v>
          </cell>
          <cell r="P88">
            <v>997.98295400833331</v>
          </cell>
          <cell r="Q88">
            <v>1078.2722377833334</v>
          </cell>
          <cell r="R88">
            <v>1158.5615215583334</v>
          </cell>
          <cell r="S88">
            <v>1238.8508053333333</v>
          </cell>
        </row>
        <row r="89">
          <cell r="F89" t="str">
            <v>Rest of South East Asia</v>
          </cell>
          <cell r="G89">
            <v>1378.018867881688</v>
          </cell>
          <cell r="H89">
            <v>1564.5398703018595</v>
          </cell>
          <cell r="I89">
            <v>1751.0608727220308</v>
          </cell>
          <cell r="J89">
            <v>2076.5523551777273</v>
          </cell>
          <cell r="K89">
            <v>2067.1106239524097</v>
          </cell>
          <cell r="L89">
            <v>2185.080256850069</v>
          </cell>
          <cell r="M89">
            <v>2335.4082947776783</v>
          </cell>
          <cell r="N89">
            <v>2689.8191786207894</v>
          </cell>
          <cell r="O89">
            <v>2889.530829974969</v>
          </cell>
          <cell r="P89">
            <v>3123.1097458643417</v>
          </cell>
          <cell r="Q89">
            <v>3356.6886617537143</v>
          </cell>
          <cell r="R89">
            <v>3590.267577643087</v>
          </cell>
          <cell r="S89">
            <v>3823.8464935324591</v>
          </cell>
        </row>
        <row r="90">
          <cell r="F90" t="str">
            <v>Rest of Sub Saharan Africa</v>
          </cell>
          <cell r="G90">
            <v>2283.7546036102272</v>
          </cell>
          <cell r="H90">
            <v>2280.4687726366146</v>
          </cell>
          <cell r="I90">
            <v>2277.1829416630026</v>
          </cell>
          <cell r="J90">
            <v>2518.6336974325809</v>
          </cell>
          <cell r="K90">
            <v>2064.5184522747945</v>
          </cell>
          <cell r="L90">
            <v>2043.7540929686661</v>
          </cell>
          <cell r="M90">
            <v>2156.9835948903328</v>
          </cell>
          <cell r="N90">
            <v>2280.6327139267328</v>
          </cell>
          <cell r="O90">
            <v>2404.2818329631327</v>
          </cell>
          <cell r="P90">
            <v>2616.1929705665161</v>
          </cell>
          <cell r="Q90">
            <v>2828.1041081698995</v>
          </cell>
          <cell r="R90">
            <v>3040.0152457732829</v>
          </cell>
          <cell r="S90">
            <v>3251.9263833766668</v>
          </cell>
        </row>
        <row r="91">
          <cell r="F91" t="str">
            <v>Russia</v>
          </cell>
          <cell r="G91">
            <v>3058.7239061351179</v>
          </cell>
          <cell r="H91">
            <v>2631.7570327642234</v>
          </cell>
          <cell r="I91">
            <v>2204.7901593933293</v>
          </cell>
          <cell r="J91">
            <v>2267.7683807366238</v>
          </cell>
          <cell r="K91">
            <v>2441.1387647152487</v>
          </cell>
          <cell r="L91">
            <v>2414.2061495551725</v>
          </cell>
          <cell r="M91">
            <v>2561.9059282347089</v>
          </cell>
          <cell r="N91">
            <v>2638.2863497552371</v>
          </cell>
          <cell r="O91">
            <v>2714.6667712757653</v>
          </cell>
          <cell r="P91">
            <v>2752.2603767983787</v>
          </cell>
          <cell r="Q91">
            <v>2789.8539823209921</v>
          </cell>
          <cell r="R91">
            <v>2827.4475878436056</v>
          </cell>
          <cell r="S91">
            <v>2865.041193366219</v>
          </cell>
        </row>
        <row r="92">
          <cell r="F92" t="str">
            <v>South Africa</v>
          </cell>
          <cell r="G92">
            <v>625.51776177763827</v>
          </cell>
          <cell r="H92">
            <v>649.0421580084078</v>
          </cell>
          <cell r="I92">
            <v>672.56655423917721</v>
          </cell>
          <cell r="J92">
            <v>757.90910322909679</v>
          </cell>
          <cell r="K92">
            <v>533.21162569151466</v>
          </cell>
          <cell r="L92">
            <v>506.30663171843673</v>
          </cell>
          <cell r="M92">
            <v>557.21078273375633</v>
          </cell>
          <cell r="N92">
            <v>598.45053829512153</v>
          </cell>
          <cell r="O92">
            <v>639.69029385648685</v>
          </cell>
          <cell r="P92">
            <v>690.14932879342098</v>
          </cell>
          <cell r="Q92">
            <v>740.60836373035511</v>
          </cell>
          <cell r="R92">
            <v>791.06739866728924</v>
          </cell>
          <cell r="S92">
            <v>841.52643360422337</v>
          </cell>
        </row>
        <row r="93">
          <cell r="F93" t="str">
            <v>South Korea</v>
          </cell>
          <cell r="G93">
            <v>314.43363471657904</v>
          </cell>
          <cell r="H93">
            <v>456.41033023003826</v>
          </cell>
          <cell r="I93">
            <v>598.38702574349747</v>
          </cell>
          <cell r="J93">
            <v>646.37341005051235</v>
          </cell>
          <cell r="K93">
            <v>779.22662863868788</v>
          </cell>
          <cell r="L93">
            <v>688.35266212148053</v>
          </cell>
          <cell r="M93">
            <v>620</v>
          </cell>
          <cell r="N93">
            <v>846.17439956569808</v>
          </cell>
          <cell r="O93">
            <v>824.59367657285691</v>
          </cell>
          <cell r="P93">
            <v>791.19395716885924</v>
          </cell>
          <cell r="Q93">
            <v>757.79423776486146</v>
          </cell>
          <cell r="R93">
            <v>724.39451836086369</v>
          </cell>
          <cell r="S93">
            <v>690.99479895686602</v>
          </cell>
        </row>
        <row r="94">
          <cell r="F94" t="str">
            <v>Turkey</v>
          </cell>
          <cell r="G94">
            <v>215.15162114666961</v>
          </cell>
          <cell r="H94">
            <v>257.76611667139309</v>
          </cell>
          <cell r="I94">
            <v>300.3806121961166</v>
          </cell>
          <cell r="J94">
            <v>321.60915948721254</v>
          </cell>
          <cell r="K94">
            <v>379.90169129813478</v>
          </cell>
          <cell r="L94">
            <v>486.84272732666665</v>
          </cell>
          <cell r="M94">
            <v>559.38704942999993</v>
          </cell>
          <cell r="N94">
            <v>601.29557552999995</v>
          </cell>
          <cell r="O94">
            <v>643.20410163000008</v>
          </cell>
          <cell r="P94">
            <v>661.735657382</v>
          </cell>
          <cell r="Q94">
            <v>680.26721313399992</v>
          </cell>
          <cell r="R94">
            <v>698.79876888599983</v>
          </cell>
          <cell r="S94">
            <v>717.33032463799987</v>
          </cell>
        </row>
        <row r="95">
          <cell r="F95" t="str">
            <v>Ukraine</v>
          </cell>
          <cell r="G95">
            <v>940.7738918734201</v>
          </cell>
          <cell r="H95">
            <v>684.25025111662501</v>
          </cell>
          <cell r="I95">
            <v>427.72661035982998</v>
          </cell>
          <cell r="J95">
            <v>437.51832808866027</v>
          </cell>
          <cell r="K95">
            <v>414.37912972438698</v>
          </cell>
          <cell r="L95">
            <v>429.77523748644484</v>
          </cell>
          <cell r="M95">
            <v>447.5548241767263</v>
          </cell>
          <cell r="N95">
            <v>459.62525334688178</v>
          </cell>
          <cell r="O95">
            <v>471.69568251703731</v>
          </cell>
          <cell r="P95">
            <v>488.8555212257005</v>
          </cell>
          <cell r="Q95">
            <v>506.01535993436369</v>
          </cell>
          <cell r="R95">
            <v>523.17519864302687</v>
          </cell>
          <cell r="S95">
            <v>540.33503735169018</v>
          </cell>
        </row>
        <row r="96">
          <cell r="F96" t="str">
            <v>USA</v>
          </cell>
          <cell r="G96">
            <v>6029.496724557911</v>
          </cell>
          <cell r="H96">
            <v>6453.380515835308</v>
          </cell>
          <cell r="I96">
            <v>6877.264307112704</v>
          </cell>
          <cell r="J96">
            <v>6958.7367780234363</v>
          </cell>
          <cell r="K96">
            <v>6530.3931037500006</v>
          </cell>
          <cell r="L96">
            <v>5952.3964555463908</v>
          </cell>
          <cell r="M96">
            <v>5775.7515257594514</v>
          </cell>
          <cell r="N96">
            <v>6841.9695800333338</v>
          </cell>
          <cell r="O96">
            <v>6867.1475974000014</v>
          </cell>
          <cell r="P96">
            <v>6880.761198696584</v>
          </cell>
          <cell r="Q96">
            <v>6894.3747999931666</v>
          </cell>
          <cell r="R96">
            <v>6907.9884012897492</v>
          </cell>
          <cell r="S96">
            <v>6921.6020025863327</v>
          </cell>
        </row>
        <row r="97">
          <cell r="F97">
            <v>0</v>
          </cell>
          <cell r="G97">
            <v>0</v>
          </cell>
          <cell r="H97">
            <v>0</v>
          </cell>
          <cell r="I97">
            <v>0</v>
          </cell>
          <cell r="J97">
            <v>0</v>
          </cell>
          <cell r="K97">
            <v>0</v>
          </cell>
          <cell r="L97">
            <v>0</v>
          </cell>
          <cell r="M97">
            <v>0</v>
          </cell>
          <cell r="N97">
            <v>0</v>
          </cell>
          <cell r="O97">
            <v>0</v>
          </cell>
          <cell r="P97">
            <v>0</v>
          </cell>
          <cell r="Q97">
            <v>0</v>
          </cell>
          <cell r="R97">
            <v>0</v>
          </cell>
          <cell r="S97">
            <v>0</v>
          </cell>
        </row>
        <row r="98">
          <cell r="F98" t="str">
            <v>Total Mt</v>
          </cell>
          <cell r="G98">
            <v>36098.25529467345</v>
          </cell>
          <cell r="H98">
            <v>37674.54264202802</v>
          </cell>
          <cell r="I98">
            <v>39250.829989382597</v>
          </cell>
          <cell r="J98">
            <v>44511.600009001144</v>
          </cell>
          <cell r="K98">
            <v>47110.114943657354</v>
          </cell>
          <cell r="L98">
            <v>49044.413073168136</v>
          </cell>
          <cell r="M98">
            <v>52208.296038390719</v>
          </cell>
          <cell r="N98">
            <v>58723.64374988588</v>
          </cell>
          <cell r="O98">
            <v>61651.637438940867</v>
          </cell>
          <cell r="P98">
            <v>63500.981851775592</v>
          </cell>
          <cell r="Q98">
            <v>65350.326264610318</v>
          </cell>
          <cell r="R98">
            <v>67199.670677445029</v>
          </cell>
          <cell r="S98">
            <v>69049.015090279747</v>
          </cell>
        </row>
        <row r="99">
          <cell r="F99" t="str">
            <v>Total Gt</v>
          </cell>
          <cell r="G99">
            <v>36.09825529467345</v>
          </cell>
          <cell r="H99">
            <v>37.674542642028022</v>
          </cell>
          <cell r="I99">
            <v>39.250829989382595</v>
          </cell>
          <cell r="J99">
            <v>44.511600009001143</v>
          </cell>
          <cell r="K99">
            <v>47.110114943657351</v>
          </cell>
          <cell r="L99">
            <v>49.044413073168137</v>
          </cell>
          <cell r="M99">
            <v>52.208296038390721</v>
          </cell>
          <cell r="N99">
            <v>58.723643749885881</v>
          </cell>
          <cell r="O99">
            <v>61.651637438940867</v>
          </cell>
          <cell r="P99">
            <v>63.500981851775592</v>
          </cell>
          <cell r="Q99">
            <v>65.350326264610317</v>
          </cell>
          <cell r="R99">
            <v>67.199670677445027</v>
          </cell>
          <cell r="S99">
            <v>69.049015090279752</v>
          </cell>
        </row>
        <row r="100">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row>
        <row r="101">
          <cell r="F101" t="str">
            <v>Peat</v>
          </cell>
          <cell r="G101">
            <v>1.5</v>
          </cell>
          <cell r="H101">
            <v>1.5</v>
          </cell>
          <cell r="I101">
            <v>1.5</v>
          </cell>
          <cell r="J101">
            <v>1.5</v>
          </cell>
          <cell r="K101">
            <v>1.5</v>
          </cell>
          <cell r="L101">
            <v>1.5</v>
          </cell>
          <cell r="M101">
            <v>1.5</v>
          </cell>
          <cell r="N101">
            <v>1.5</v>
          </cell>
          <cell r="O101">
            <v>1.5</v>
          </cell>
          <cell r="P101">
            <v>1.5</v>
          </cell>
          <cell r="Q101">
            <v>1.5</v>
          </cell>
          <cell r="R101">
            <v>1.5</v>
          </cell>
          <cell r="S101">
            <v>1.5</v>
          </cell>
        </row>
        <row r="102">
          <cell r="F102" t="str">
            <v>Total including peat</v>
          </cell>
          <cell r="G102">
            <v>37.59825529467345</v>
          </cell>
          <cell r="H102">
            <v>39.174542642028022</v>
          </cell>
          <cell r="I102">
            <v>40.750829989382595</v>
          </cell>
          <cell r="J102">
            <v>46.011600009001143</v>
          </cell>
          <cell r="K102">
            <v>48.610114943657351</v>
          </cell>
          <cell r="L102">
            <v>52.338090084388206</v>
          </cell>
          <cell r="M102">
            <v>57.295650060830859</v>
          </cell>
          <cell r="N102">
            <v>60.223643749885881</v>
          </cell>
          <cell r="O102">
            <v>63.151637438940867</v>
          </cell>
          <cell r="P102">
            <v>65.000981851775592</v>
          </cell>
          <cell r="Q102">
            <v>66.850326264610317</v>
          </cell>
          <cell r="R102">
            <v>68.699670677445027</v>
          </cell>
          <cell r="S102">
            <v>70.549015090279752</v>
          </cell>
        </row>
      </sheetData>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2">
          <cell r="E42" t="str">
            <v>EU</v>
          </cell>
          <cell r="F42" t="str">
            <v>OECD</v>
          </cell>
        </row>
        <row r="43">
          <cell r="E43" t="str">
            <v>Canada</v>
          </cell>
          <cell r="F43" t="str">
            <v>OECD</v>
          </cell>
        </row>
        <row r="44">
          <cell r="E44" t="str">
            <v>Japan</v>
          </cell>
          <cell r="F44" t="str">
            <v>OECD</v>
          </cell>
        </row>
        <row r="45">
          <cell r="E45" t="str">
            <v>Mexico</v>
          </cell>
          <cell r="F45" t="str">
            <v>OECD</v>
          </cell>
        </row>
        <row r="46">
          <cell r="E46" t="str">
            <v>Oceania</v>
          </cell>
          <cell r="F46" t="str">
            <v>OECD</v>
          </cell>
        </row>
        <row r="47">
          <cell r="E47" t="str">
            <v>Rest of Europe</v>
          </cell>
          <cell r="F47" t="str">
            <v>OECD</v>
          </cell>
        </row>
        <row r="48">
          <cell r="E48" t="str">
            <v>South Korea</v>
          </cell>
          <cell r="F48" t="str">
            <v>OECD</v>
          </cell>
        </row>
        <row r="49">
          <cell r="E49" t="str">
            <v>Turkey</v>
          </cell>
          <cell r="F49" t="str">
            <v>OECD</v>
          </cell>
        </row>
        <row r="50">
          <cell r="E50" t="str">
            <v>USA</v>
          </cell>
          <cell r="F50" t="str">
            <v>OECD</v>
          </cell>
        </row>
        <row r="51">
          <cell r="E51" t="str">
            <v>Brazil</v>
          </cell>
          <cell r="F51" t="str">
            <v>BASICS</v>
          </cell>
        </row>
        <row r="52">
          <cell r="E52" t="str">
            <v>South Africa</v>
          </cell>
          <cell r="F52" t="str">
            <v>BASICS</v>
          </cell>
        </row>
        <row r="53">
          <cell r="E53" t="str">
            <v>India</v>
          </cell>
          <cell r="F53" t="str">
            <v>BASICS</v>
          </cell>
        </row>
        <row r="54">
          <cell r="E54" t="str">
            <v>China</v>
          </cell>
          <cell r="F54" t="str">
            <v>BASICS</v>
          </cell>
        </row>
        <row r="55">
          <cell r="E55" t="str">
            <v>Indonesia</v>
          </cell>
          <cell r="F55" t="str">
            <v>Rest of World</v>
          </cell>
        </row>
        <row r="56">
          <cell r="E56" t="str">
            <v>Middle East</v>
          </cell>
          <cell r="F56" t="str">
            <v>Rest of World</v>
          </cell>
        </row>
        <row r="57">
          <cell r="E57" t="str">
            <v>Northern Africa</v>
          </cell>
          <cell r="F57" t="str">
            <v>Rest of World</v>
          </cell>
        </row>
        <row r="58">
          <cell r="E58" t="str">
            <v>Rest of Central America</v>
          </cell>
          <cell r="F58" t="str">
            <v>Rest of World</v>
          </cell>
        </row>
        <row r="59">
          <cell r="E59" t="str">
            <v>Rest of FSU</v>
          </cell>
          <cell r="F59" t="str">
            <v>Rest of World</v>
          </cell>
        </row>
        <row r="60">
          <cell r="E60" t="str">
            <v>Rest of South America</v>
          </cell>
          <cell r="F60" t="str">
            <v>Rest of World</v>
          </cell>
        </row>
        <row r="61">
          <cell r="E61" t="str">
            <v>Rest of South Asia</v>
          </cell>
          <cell r="F61" t="str">
            <v>Rest of World</v>
          </cell>
        </row>
        <row r="62">
          <cell r="E62" t="str">
            <v>Rest of South East Asia</v>
          </cell>
          <cell r="F62" t="str">
            <v>Rest of World</v>
          </cell>
        </row>
        <row r="63">
          <cell r="E63" t="str">
            <v>Rest of Sub Saharan Africa</v>
          </cell>
          <cell r="F63" t="str">
            <v>Rest of World</v>
          </cell>
        </row>
        <row r="64">
          <cell r="E64" t="str">
            <v>Russia</v>
          </cell>
          <cell r="F64" t="str">
            <v>Rest of World</v>
          </cell>
        </row>
        <row r="65">
          <cell r="E65" t="str">
            <v>Ukraine</v>
          </cell>
          <cell r="F65" t="str">
            <v>Rest of World</v>
          </cell>
        </row>
        <row r="157">
          <cell r="A157" t="str">
            <v>Lower ambition</v>
          </cell>
          <cell r="C157" t="str">
            <v>results2030exclREDD</v>
          </cell>
          <cell r="D157" t="str">
            <v>Lower ambition</v>
          </cell>
          <cell r="E157" t="str">
            <v>Lower ambitionAllowed emissions in 2030 (Mt)</v>
          </cell>
          <cell r="F157" t="str">
            <v>scenarios2030exclREDD</v>
          </cell>
          <cell r="G157">
            <v>29</v>
          </cell>
        </row>
        <row r="158">
          <cell r="A158" t="str">
            <v>Expected ambition</v>
          </cell>
          <cell r="C158" t="str">
            <v>results2030exclREDD</v>
          </cell>
          <cell r="D158" t="str">
            <v>Expected ambition</v>
          </cell>
          <cell r="E158" t="str">
            <v>Expected ambitionAllowed emissions in 2030 (Mt)</v>
          </cell>
          <cell r="F158" t="str">
            <v>scenarios2030exclREDD</v>
          </cell>
          <cell r="G158">
            <v>29</v>
          </cell>
        </row>
        <row r="159">
          <cell r="A159" t="str">
            <v>Equal to 40% EU cost</v>
          </cell>
          <cell r="C159" t="str">
            <v>results2030exclREDD</v>
          </cell>
          <cell r="D159" t="str">
            <v>Equal to 40% EU cost</v>
          </cell>
          <cell r="E159" t="str">
            <v>Equal to 40% EU costAllowed emissions in 2030 (Mt)</v>
          </cell>
          <cell r="F159" t="str">
            <v>scenarios2030exclREDD</v>
          </cell>
          <cell r="G159">
            <v>29</v>
          </cell>
        </row>
        <row r="160">
          <cell r="A160" t="str">
            <v>2.5 
degrees</v>
          </cell>
          <cell r="C160" t="str">
            <v>results2030exclREDD</v>
          </cell>
          <cell r="D160" t="str">
            <v>2.5 
degrees</v>
          </cell>
          <cell r="E160" t="str">
            <v>2.5 
degreesAllowed emissions in 2030 (Mt)</v>
          </cell>
          <cell r="F160" t="str">
            <v>scenarios2030exclREDD</v>
          </cell>
          <cell r="G160">
            <v>29</v>
          </cell>
        </row>
        <row r="161">
          <cell r="A161" t="str">
            <v>Higher ambition</v>
          </cell>
          <cell r="C161" t="str">
            <v>results2030exclREDD</v>
          </cell>
          <cell r="D161" t="str">
            <v>Higher ambition</v>
          </cell>
          <cell r="E161" t="str">
            <v>Higher ambitionAllowed emissions in 2030 (Mt)</v>
          </cell>
          <cell r="F161" t="str">
            <v>scenarios2030exclREDD</v>
          </cell>
          <cell r="G161">
            <v>29</v>
          </cell>
        </row>
        <row r="162">
          <cell r="A162" t="str">
            <v>Our asks</v>
          </cell>
          <cell r="C162" t="str">
            <v>results2030exclREDD</v>
          </cell>
          <cell r="D162" t="str">
            <v>Our asks</v>
          </cell>
          <cell r="E162" t="str">
            <v>Our asksAllowed emissions in 2030 (Mt)</v>
          </cell>
          <cell r="F162" t="str">
            <v>scenarios2030exclREDD</v>
          </cell>
          <cell r="G162">
            <v>29</v>
          </cell>
        </row>
        <row r="163">
          <cell r="A163" t="str">
            <v>Not quite 
2 degrees</v>
          </cell>
          <cell r="C163" t="str">
            <v>results2030exclREDD</v>
          </cell>
          <cell r="D163" t="str">
            <v>Not quite 
2 degrees</v>
          </cell>
          <cell r="E163" t="str">
            <v>Not quite 
2 degreesAllowed emissions in 2030 (Mt)</v>
          </cell>
          <cell r="F163" t="str">
            <v>scenarios2030exclREDD</v>
          </cell>
          <cell r="G163">
            <v>29</v>
          </cell>
        </row>
        <row r="164">
          <cell r="A164" t="str">
            <v>2 
degrees</v>
          </cell>
          <cell r="C164" t="str">
            <v>results2030exclREDD</v>
          </cell>
          <cell r="D164" t="str">
            <v>2 
degrees</v>
          </cell>
          <cell r="E164" t="str">
            <v>2 
degreesAllowed emissions in 2030 (Mt)</v>
          </cell>
          <cell r="F164" t="str">
            <v>scenarios2030exclREDD</v>
          </cell>
          <cell r="G164">
            <v>29</v>
          </cell>
        </row>
        <row r="165">
          <cell r="A165" t="str">
            <v>Lower ambition (incl REDD)</v>
          </cell>
          <cell r="B165">
            <v>0</v>
          </cell>
          <cell r="C165" t="str">
            <v>results2030inclREDD</v>
          </cell>
          <cell r="D165" t="str">
            <v>Lower ambition</v>
          </cell>
          <cell r="E165" t="str">
            <v>Lower ambitionAllowed emissions in 2030 (Mt)</v>
          </cell>
          <cell r="F165" t="str">
            <v>scenarios2030exclREDD</v>
          </cell>
          <cell r="G165">
            <v>29</v>
          </cell>
        </row>
        <row r="166">
          <cell r="A166" t="str">
            <v>Expected ambition (incl REDD)</v>
          </cell>
          <cell r="B166">
            <v>0</v>
          </cell>
          <cell r="C166" t="str">
            <v>results2030inclREDD</v>
          </cell>
          <cell r="D166" t="str">
            <v>Expected ambition</v>
          </cell>
          <cell r="E166" t="str">
            <v>Expected ambitionAllowed emissions in 2030 (Mt)</v>
          </cell>
          <cell r="F166" t="str">
            <v>scenarios2030exclREDD</v>
          </cell>
          <cell r="G166">
            <v>29</v>
          </cell>
        </row>
        <row r="167">
          <cell r="A167" t="str">
            <v>Higher ambition (incl REDD)</v>
          </cell>
          <cell r="B167">
            <v>0</v>
          </cell>
          <cell r="C167" t="str">
            <v>results2030inclREDD</v>
          </cell>
          <cell r="D167" t="str">
            <v>Higher ambition</v>
          </cell>
          <cell r="E167" t="str">
            <v>Higher ambitionAllowed emissions in 2030 (Mt)</v>
          </cell>
          <cell r="F167" t="str">
            <v>scenarios2030exclREDD</v>
          </cell>
          <cell r="G167">
            <v>29</v>
          </cell>
        </row>
        <row r="168">
          <cell r="A168" t="str">
            <v>Our asks (incl REDD)</v>
          </cell>
          <cell r="C168" t="str">
            <v>results2030inclREDD</v>
          </cell>
          <cell r="D168" t="str">
            <v>Our asks</v>
          </cell>
          <cell r="E168" t="str">
            <v>Our asksAllowed emissions in 2030 (Mt)</v>
          </cell>
          <cell r="F168" t="str">
            <v>scenarios2030exclREDD</v>
          </cell>
          <cell r="G168">
            <v>29</v>
          </cell>
        </row>
        <row r="169">
          <cell r="A169" t="str">
            <v>OurAsks3</v>
          </cell>
          <cell r="B169">
            <v>0</v>
          </cell>
          <cell r="C169" t="str">
            <v>CreatedScenariosTotals</v>
          </cell>
          <cell r="E169" t="str">
            <v>OurAsks3</v>
          </cell>
          <cell r="F169" t="str">
            <v>CreatedScenarioTitles</v>
          </cell>
          <cell r="G169">
            <v>10</v>
          </cell>
        </row>
        <row r="170">
          <cell r="A170" t="str">
            <v>OurAsks4</v>
          </cell>
          <cell r="B170">
            <v>1</v>
          </cell>
          <cell r="C170" t="str">
            <v>CreatedScenariosTotals</v>
          </cell>
          <cell r="E170" t="str">
            <v>OurAsks4</v>
          </cell>
          <cell r="F170" t="str">
            <v>CreatedScenarioTitles</v>
          </cell>
          <cell r="G170">
            <v>10</v>
          </cell>
        </row>
        <row r="171">
          <cell r="A171" t="str">
            <v>OurAsks7</v>
          </cell>
          <cell r="B171">
            <v>2</v>
          </cell>
          <cell r="C171" t="str">
            <v>CreatedScenariosTotals</v>
          </cell>
          <cell r="E171" t="str">
            <v>OurAsks7</v>
          </cell>
          <cell r="F171" t="str">
            <v>CreatedScenarioTitles</v>
          </cell>
          <cell r="G171">
            <v>10</v>
          </cell>
        </row>
        <row r="172">
          <cell r="A172" t="str">
            <v>OurAsks8</v>
          </cell>
          <cell r="B172">
            <v>3</v>
          </cell>
          <cell r="C172" t="str">
            <v>CreatedScenariosTotals</v>
          </cell>
          <cell r="E172" t="str">
            <v>OurAsks8</v>
          </cell>
          <cell r="F172" t="str">
            <v>CreatedScenarioTitles</v>
          </cell>
          <cell r="G172">
            <v>10</v>
          </cell>
        </row>
        <row r="173">
          <cell r="A173" t="str">
            <v>OurAsks9</v>
          </cell>
          <cell r="B173">
            <v>4</v>
          </cell>
          <cell r="C173" t="str">
            <v>CreatedScenariosTotals</v>
          </cell>
          <cell r="E173" t="str">
            <v>OurAsks9</v>
          </cell>
          <cell r="F173" t="str">
            <v>CreatedScenarioTitles</v>
          </cell>
          <cell r="G173">
            <v>10</v>
          </cell>
        </row>
        <row r="174">
          <cell r="A174" t="str">
            <v>OurAsks10</v>
          </cell>
          <cell r="B174">
            <v>5</v>
          </cell>
          <cell r="C174" t="str">
            <v>CreatedScenariosTotals</v>
          </cell>
          <cell r="E174" t="str">
            <v>OurAsks10</v>
          </cell>
          <cell r="F174" t="str">
            <v>CreatedScenarioTitles</v>
          </cell>
          <cell r="G174">
            <v>10</v>
          </cell>
        </row>
        <row r="175">
          <cell r="A175" t="str">
            <v>OurAsks11</v>
          </cell>
          <cell r="B175">
            <v>6</v>
          </cell>
          <cell r="C175" t="str">
            <v>CreatedScenariosTotals</v>
          </cell>
          <cell r="E175" t="str">
            <v>OurAsks11</v>
          </cell>
          <cell r="F175" t="str">
            <v>CreatedScenarioTitles</v>
          </cell>
          <cell r="G175">
            <v>10</v>
          </cell>
        </row>
        <row r="176">
          <cell r="A176" t="str">
            <v>OurAsks14</v>
          </cell>
          <cell r="B176">
            <v>7</v>
          </cell>
          <cell r="C176" t="str">
            <v>CreatedScenariosTotals</v>
          </cell>
          <cell r="E176" t="str">
            <v>OurAsks14</v>
          </cell>
          <cell r="F176" t="str">
            <v>CreatedScenarioTitles</v>
          </cell>
          <cell r="G176">
            <v>10</v>
          </cell>
        </row>
        <row r="177">
          <cell r="A177" t="str">
            <v>OurAsks15</v>
          </cell>
          <cell r="B177">
            <v>8</v>
          </cell>
          <cell r="C177" t="str">
            <v>CreatedScenariosTotals</v>
          </cell>
          <cell r="E177" t="str">
            <v>OurAsks15</v>
          </cell>
          <cell r="F177" t="str">
            <v>CreatedScenarioTitles</v>
          </cell>
          <cell r="G177">
            <v>10</v>
          </cell>
        </row>
        <row r="178">
          <cell r="A178" t="str">
            <v>OurAsks16</v>
          </cell>
          <cell r="B178">
            <v>9</v>
          </cell>
          <cell r="C178" t="str">
            <v>CreatedScenariosTotals</v>
          </cell>
          <cell r="E178" t="str">
            <v>OurAsks16</v>
          </cell>
          <cell r="F178" t="str">
            <v>CreatedScenarioTitles</v>
          </cell>
          <cell r="G178">
            <v>10</v>
          </cell>
        </row>
        <row r="179">
          <cell r="A179" t="str">
            <v>OurAsks17</v>
          </cell>
          <cell r="B179">
            <v>10</v>
          </cell>
          <cell r="C179" t="str">
            <v>CreatedScenariosTotals</v>
          </cell>
          <cell r="E179" t="str">
            <v>OurAsks17</v>
          </cell>
          <cell r="F179" t="str">
            <v>CreatedScenarioTitles</v>
          </cell>
          <cell r="G179">
            <v>10</v>
          </cell>
        </row>
        <row r="180">
          <cell r="A180" t="str">
            <v>OurAsks18</v>
          </cell>
          <cell r="B180">
            <v>11</v>
          </cell>
          <cell r="C180" t="str">
            <v>CreatedScenariosTotals</v>
          </cell>
          <cell r="E180" t="str">
            <v>OurAsks18</v>
          </cell>
          <cell r="F180" t="str">
            <v>CreatedScenarioTitles</v>
          </cell>
          <cell r="G180">
            <v>10</v>
          </cell>
        </row>
        <row r="181">
          <cell r="A181" t="str">
            <v>ExpectAmbTEST</v>
          </cell>
          <cell r="B181">
            <v>12</v>
          </cell>
          <cell r="C181" t="str">
            <v>CreatedScenariosTotals</v>
          </cell>
          <cell r="E181" t="str">
            <v>ExpectAmbTEST</v>
          </cell>
          <cell r="F181" t="str">
            <v>CreatedScenarioTitles</v>
          </cell>
          <cell r="G181">
            <v>10</v>
          </cell>
        </row>
        <row r="182">
          <cell r="A182" t="str">
            <v>ExpectAmbTEST2</v>
          </cell>
          <cell r="B182">
            <v>13</v>
          </cell>
          <cell r="C182" t="str">
            <v>CreatedScenariosTotals</v>
          </cell>
          <cell r="E182" t="str">
            <v>ExpectAmbTEST2</v>
          </cell>
          <cell r="F182" t="str">
            <v>CreatedScenarioTitles</v>
          </cell>
          <cell r="G182">
            <v>10</v>
          </cell>
        </row>
        <row r="183">
          <cell r="A183" t="str">
            <v>ExpectAmbTEST3</v>
          </cell>
          <cell r="B183">
            <v>14</v>
          </cell>
          <cell r="C183" t="str">
            <v>CreatedScenariosTotals</v>
          </cell>
          <cell r="E183" t="str">
            <v>ExpectAmbTEST3</v>
          </cell>
          <cell r="F183" t="str">
            <v>CreatedScenarioTitles</v>
          </cell>
          <cell r="G183">
            <v>10</v>
          </cell>
        </row>
        <row r="184">
          <cell r="A184" t="str">
            <v>ExpectAmbThurTEST</v>
          </cell>
          <cell r="B184">
            <v>15</v>
          </cell>
          <cell r="C184" t="str">
            <v>CreatedScenariosTotals</v>
          </cell>
          <cell r="E184" t="str">
            <v>ExpectAmbThurTEST</v>
          </cell>
          <cell r="F184" t="str">
            <v>CreatedScenarioTitles</v>
          </cell>
          <cell r="G184">
            <v>10</v>
          </cell>
        </row>
        <row r="185">
          <cell r="A185" t="str">
            <v>ExpectAmbThurTEST2</v>
          </cell>
          <cell r="B185">
            <v>16</v>
          </cell>
          <cell r="C185" t="str">
            <v>CreatedScenariosTotals</v>
          </cell>
          <cell r="E185" t="str">
            <v>ExpectAmbThurTEST2</v>
          </cell>
          <cell r="F185" t="str">
            <v>CreatedScenarioTitles</v>
          </cell>
          <cell r="G185">
            <v>10</v>
          </cell>
        </row>
        <row r="186">
          <cell r="A186" t="str">
            <v/>
          </cell>
          <cell r="B186">
            <v>17</v>
          </cell>
          <cell r="C186" t="str">
            <v>CreatedScenariosTotals</v>
          </cell>
          <cell r="E186" t="str">
            <v/>
          </cell>
          <cell r="F186" t="str">
            <v>CreatedScenarioTitles</v>
          </cell>
          <cell r="G186">
            <v>10</v>
          </cell>
        </row>
        <row r="187">
          <cell r="A187" t="str">
            <v/>
          </cell>
          <cell r="B187">
            <v>18</v>
          </cell>
          <cell r="C187" t="str">
            <v>CreatedScenariosTotals</v>
          </cell>
          <cell r="E187" t="str">
            <v/>
          </cell>
          <cell r="F187" t="str">
            <v>CreatedScenarioTitles</v>
          </cell>
          <cell r="G187">
            <v>10</v>
          </cell>
        </row>
        <row r="188">
          <cell r="A188" t="str">
            <v/>
          </cell>
          <cell r="B188">
            <v>19</v>
          </cell>
          <cell r="C188" t="str">
            <v>CreatedScenariosTotals</v>
          </cell>
          <cell r="E188" t="str">
            <v/>
          </cell>
          <cell r="F188" t="str">
            <v>CreatedScenarioTitles</v>
          </cell>
          <cell r="G188">
            <v>10</v>
          </cell>
        </row>
        <row r="189">
          <cell r="A189" t="str">
            <v/>
          </cell>
          <cell r="B189">
            <v>20</v>
          </cell>
          <cell r="C189" t="str">
            <v>CreatedScenariosTotals</v>
          </cell>
          <cell r="E189" t="str">
            <v/>
          </cell>
          <cell r="F189" t="str">
            <v>CreatedScenarioTitles</v>
          </cell>
          <cell r="G189">
            <v>10</v>
          </cell>
        </row>
        <row r="190">
          <cell r="A190" t="str">
            <v/>
          </cell>
          <cell r="B190">
            <v>21</v>
          </cell>
          <cell r="C190" t="str">
            <v>CreatedScenariosTotals</v>
          </cell>
          <cell r="E190" t="str">
            <v/>
          </cell>
          <cell r="F190" t="str">
            <v>CreatedScenarioTitles</v>
          </cell>
          <cell r="G190">
            <v>10</v>
          </cell>
        </row>
        <row r="191">
          <cell r="A191" t="str">
            <v/>
          </cell>
          <cell r="B191">
            <v>22</v>
          </cell>
          <cell r="C191" t="str">
            <v>CreatedScenariosTotals</v>
          </cell>
          <cell r="E191" t="str">
            <v/>
          </cell>
          <cell r="F191" t="str">
            <v>CreatedScenarioTitles</v>
          </cell>
          <cell r="G191">
            <v>10</v>
          </cell>
        </row>
        <row r="192">
          <cell r="A192" t="str">
            <v/>
          </cell>
          <cell r="B192">
            <v>23</v>
          </cell>
          <cell r="C192" t="str">
            <v>CreatedScenariosTotals</v>
          </cell>
          <cell r="E192" t="str">
            <v/>
          </cell>
          <cell r="F192" t="str">
            <v>CreatedScenarioTitles</v>
          </cell>
          <cell r="G192">
            <v>10</v>
          </cell>
        </row>
        <row r="193">
          <cell r="A193" t="str">
            <v/>
          </cell>
          <cell r="B193">
            <v>24</v>
          </cell>
          <cell r="C193" t="str">
            <v>CreatedScenariosTotals</v>
          </cell>
          <cell r="E193" t="str">
            <v/>
          </cell>
          <cell r="F193" t="str">
            <v>CreatedScenarioTitles</v>
          </cell>
          <cell r="G193">
            <v>10</v>
          </cell>
        </row>
        <row r="194">
          <cell r="A194" t="str">
            <v/>
          </cell>
          <cell r="B194">
            <v>25</v>
          </cell>
          <cell r="C194" t="str">
            <v>CreatedScenariosTotals</v>
          </cell>
          <cell r="E194" t="str">
            <v/>
          </cell>
          <cell r="F194" t="str">
            <v>CreatedScenarioTitles</v>
          </cell>
          <cell r="G194">
            <v>10</v>
          </cell>
        </row>
        <row r="195">
          <cell r="A195" t="str">
            <v/>
          </cell>
          <cell r="B195">
            <v>26</v>
          </cell>
          <cell r="C195" t="str">
            <v>CreatedScenariosTotals</v>
          </cell>
          <cell r="E195" t="str">
            <v/>
          </cell>
          <cell r="F195" t="str">
            <v>CreatedScenarioTitles</v>
          </cell>
          <cell r="G195">
            <v>10</v>
          </cell>
        </row>
        <row r="196">
          <cell r="A196" t="str">
            <v/>
          </cell>
          <cell r="B196">
            <v>27</v>
          </cell>
          <cell r="C196" t="str">
            <v>CreatedScenariosTotals</v>
          </cell>
          <cell r="E196" t="str">
            <v/>
          </cell>
          <cell r="F196" t="str">
            <v>CreatedScenarioTitles</v>
          </cell>
          <cell r="G196">
            <v>10</v>
          </cell>
        </row>
        <row r="197">
          <cell r="A197" t="str">
            <v/>
          </cell>
          <cell r="B197">
            <v>28</v>
          </cell>
          <cell r="C197" t="str">
            <v>CreatedScenariosTotals</v>
          </cell>
          <cell r="E197" t="str">
            <v/>
          </cell>
          <cell r="F197" t="str">
            <v>CreatedScenarioTitles</v>
          </cell>
          <cell r="G197">
            <v>10</v>
          </cell>
        </row>
        <row r="198">
          <cell r="A198" t="str">
            <v/>
          </cell>
          <cell r="B198">
            <v>29</v>
          </cell>
          <cell r="C198" t="str">
            <v>CreatedScenariosTotals</v>
          </cell>
          <cell r="E198" t="str">
            <v/>
          </cell>
          <cell r="F198" t="str">
            <v>CreatedScenarioTitles</v>
          </cell>
          <cell r="G198">
            <v>10</v>
          </cell>
        </row>
        <row r="199">
          <cell r="A199" t="str">
            <v/>
          </cell>
          <cell r="B199">
            <v>30</v>
          </cell>
          <cell r="C199" t="str">
            <v>CreatedScenariosTotals</v>
          </cell>
          <cell r="E199" t="str">
            <v/>
          </cell>
          <cell r="F199" t="str">
            <v>CreatedScenarioTitles</v>
          </cell>
          <cell r="G199">
            <v>10</v>
          </cell>
        </row>
        <row r="200">
          <cell r="A200" t="str">
            <v/>
          </cell>
          <cell r="B200">
            <v>31</v>
          </cell>
          <cell r="C200" t="str">
            <v>CreatedScenariosTotals</v>
          </cell>
          <cell r="E200" t="str">
            <v/>
          </cell>
          <cell r="F200" t="str">
            <v>CreatedScenarioTitles</v>
          </cell>
          <cell r="G200">
            <v>10</v>
          </cell>
        </row>
        <row r="201">
          <cell r="A201" t="str">
            <v/>
          </cell>
          <cell r="B201">
            <v>32</v>
          </cell>
          <cell r="C201" t="str">
            <v>CreatedScenariosTotals</v>
          </cell>
          <cell r="E201" t="str">
            <v/>
          </cell>
          <cell r="F201" t="str">
            <v>CreatedScenarioTitles</v>
          </cell>
          <cell r="G201">
            <v>10</v>
          </cell>
        </row>
        <row r="202">
          <cell r="A202" t="str">
            <v/>
          </cell>
          <cell r="B202">
            <v>33</v>
          </cell>
          <cell r="C202" t="str">
            <v>CreatedScenariosTotals</v>
          </cell>
          <cell r="E202" t="str">
            <v/>
          </cell>
          <cell r="F202" t="str">
            <v>CreatedScenarioTitles</v>
          </cell>
          <cell r="G202">
            <v>10</v>
          </cell>
        </row>
        <row r="203">
          <cell r="A203" t="str">
            <v/>
          </cell>
          <cell r="B203">
            <v>34</v>
          </cell>
          <cell r="C203" t="str">
            <v>CreatedScenariosTotals</v>
          </cell>
          <cell r="E203" t="str">
            <v/>
          </cell>
          <cell r="F203" t="str">
            <v>CreatedScenarioTitles</v>
          </cell>
          <cell r="G203">
            <v>10</v>
          </cell>
        </row>
        <row r="204">
          <cell r="A204" t="str">
            <v/>
          </cell>
          <cell r="B204">
            <v>35</v>
          </cell>
          <cell r="C204" t="str">
            <v>CreatedScenariosTotals</v>
          </cell>
          <cell r="E204" t="str">
            <v/>
          </cell>
          <cell r="F204" t="str">
            <v>CreatedScenarioTitles</v>
          </cell>
          <cell r="G204">
            <v>10</v>
          </cell>
        </row>
        <row r="205">
          <cell r="A205" t="str">
            <v/>
          </cell>
          <cell r="B205">
            <v>36</v>
          </cell>
          <cell r="C205" t="str">
            <v>CreatedScenariosTotals</v>
          </cell>
          <cell r="E205" t="str">
            <v/>
          </cell>
          <cell r="F205" t="str">
            <v>CreatedScenarioTitles</v>
          </cell>
          <cell r="G205">
            <v>10</v>
          </cell>
        </row>
        <row r="206">
          <cell r="A206" t="str">
            <v/>
          </cell>
          <cell r="B206">
            <v>37</v>
          </cell>
          <cell r="C206" t="str">
            <v>CreatedScenariosTotals</v>
          </cell>
          <cell r="E206" t="str">
            <v/>
          </cell>
          <cell r="F206" t="str">
            <v>CreatedScenarioTitles</v>
          </cell>
          <cell r="G206">
            <v>10</v>
          </cell>
        </row>
        <row r="207">
          <cell r="A207" t="str">
            <v/>
          </cell>
          <cell r="B207">
            <v>38</v>
          </cell>
          <cell r="C207" t="str">
            <v>CreatedScenariosTotals</v>
          </cell>
          <cell r="E207" t="str">
            <v/>
          </cell>
          <cell r="F207" t="str">
            <v>CreatedScenarioTitles</v>
          </cell>
          <cell r="G207">
            <v>10</v>
          </cell>
        </row>
        <row r="208">
          <cell r="A208" t="str">
            <v/>
          </cell>
          <cell r="B208">
            <v>39</v>
          </cell>
          <cell r="C208" t="str">
            <v>CreatedScenariosTotals</v>
          </cell>
          <cell r="E208" t="str">
            <v/>
          </cell>
          <cell r="F208" t="str">
            <v>CreatedScenarioTitles</v>
          </cell>
          <cell r="G208">
            <v>10</v>
          </cell>
        </row>
        <row r="209">
          <cell r="A209" t="str">
            <v/>
          </cell>
          <cell r="B209">
            <v>40</v>
          </cell>
          <cell r="C209" t="str">
            <v>CreatedScenariosTotals</v>
          </cell>
          <cell r="E209" t="str">
            <v/>
          </cell>
          <cell r="F209" t="str">
            <v>CreatedScenarioTitles</v>
          </cell>
          <cell r="G209">
            <v>10</v>
          </cell>
        </row>
        <row r="210">
          <cell r="A210" t="str">
            <v/>
          </cell>
          <cell r="B210">
            <v>41</v>
          </cell>
          <cell r="C210" t="str">
            <v>CreatedScenariosTotals</v>
          </cell>
          <cell r="E210" t="str">
            <v/>
          </cell>
          <cell r="F210" t="str">
            <v>CreatedScenarioTitles</v>
          </cell>
          <cell r="G210">
            <v>10</v>
          </cell>
        </row>
        <row r="211">
          <cell r="A211" t="str">
            <v/>
          </cell>
          <cell r="B211">
            <v>42</v>
          </cell>
          <cell r="C211" t="str">
            <v>CreatedScenariosTotals</v>
          </cell>
          <cell r="E211" t="str">
            <v/>
          </cell>
          <cell r="F211" t="str">
            <v>CreatedScenarioTitles</v>
          </cell>
          <cell r="G211">
            <v>10</v>
          </cell>
        </row>
        <row r="212">
          <cell r="A212" t="str">
            <v/>
          </cell>
          <cell r="B212">
            <v>43</v>
          </cell>
          <cell r="C212" t="str">
            <v>CreatedScenariosTotals</v>
          </cell>
          <cell r="E212" t="str">
            <v/>
          </cell>
          <cell r="F212" t="str">
            <v>CreatedScenarioTitles</v>
          </cell>
          <cell r="G212">
            <v>10</v>
          </cell>
        </row>
        <row r="213">
          <cell r="A213" t="str">
            <v/>
          </cell>
          <cell r="B213">
            <v>44</v>
          </cell>
          <cell r="C213" t="str">
            <v>CreatedScenariosTotals</v>
          </cell>
          <cell r="E213" t="str">
            <v/>
          </cell>
          <cell r="F213" t="str">
            <v>CreatedScenarioTitles</v>
          </cell>
          <cell r="G213">
            <v>10</v>
          </cell>
        </row>
        <row r="214">
          <cell r="A214" t="str">
            <v/>
          </cell>
          <cell r="B214">
            <v>45</v>
          </cell>
          <cell r="C214" t="str">
            <v>CreatedScenariosTotals</v>
          </cell>
          <cell r="E214" t="str">
            <v/>
          </cell>
          <cell r="F214" t="str">
            <v>CreatedScenarioTitles</v>
          </cell>
          <cell r="G214">
            <v>10</v>
          </cell>
        </row>
        <row r="215">
          <cell r="A215" t="str">
            <v/>
          </cell>
          <cell r="B215">
            <v>46</v>
          </cell>
          <cell r="C215" t="str">
            <v>CreatedScenariosTotals</v>
          </cell>
          <cell r="E215" t="str">
            <v/>
          </cell>
          <cell r="F215" t="str">
            <v>CreatedScenarioTitles</v>
          </cell>
          <cell r="G215">
            <v>10</v>
          </cell>
        </row>
        <row r="216">
          <cell r="A216" t="str">
            <v/>
          </cell>
          <cell r="B216">
            <v>47</v>
          </cell>
          <cell r="C216" t="str">
            <v>CreatedScenariosTotals</v>
          </cell>
          <cell r="E216" t="str">
            <v/>
          </cell>
          <cell r="F216" t="str">
            <v>CreatedScenarioTitles</v>
          </cell>
          <cell r="G216">
            <v>10</v>
          </cell>
        </row>
        <row r="217">
          <cell r="A217" t="str">
            <v/>
          </cell>
          <cell r="B217">
            <v>48</v>
          </cell>
          <cell r="C217" t="str">
            <v>CreatedScenariosTotals</v>
          </cell>
          <cell r="E217" t="str">
            <v/>
          </cell>
          <cell r="F217" t="str">
            <v>CreatedScenarioTitles</v>
          </cell>
          <cell r="G217">
            <v>10</v>
          </cell>
        </row>
        <row r="218">
          <cell r="A218" t="str">
            <v/>
          </cell>
          <cell r="B218">
            <v>49</v>
          </cell>
          <cell r="C218" t="str">
            <v>CreatedScenariosTotals</v>
          </cell>
          <cell r="E218" t="str">
            <v/>
          </cell>
          <cell r="F218" t="str">
            <v>CreatedScenarioTitles</v>
          </cell>
          <cell r="G218">
            <v>10</v>
          </cell>
        </row>
        <row r="219">
          <cell r="A219" t="str">
            <v/>
          </cell>
          <cell r="B219">
            <v>50</v>
          </cell>
          <cell r="C219" t="str">
            <v>CreatedScenariosTotals</v>
          </cell>
          <cell r="E219" t="str">
            <v/>
          </cell>
          <cell r="F219" t="str">
            <v>CreatedScenarioTitles</v>
          </cell>
          <cell r="G219">
            <v>10</v>
          </cell>
        </row>
      </sheetData>
      <sheetData sheetId="82"/>
      <sheetData sheetId="83"/>
      <sheetData sheetId="84"/>
      <sheetData sheetId="85"/>
      <sheetData sheetId="86"/>
      <sheetData sheetId="87"/>
      <sheetData sheetId="88"/>
      <sheetData sheetId="89"/>
      <sheetData sheetId="9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t;&gt;CommonData"/>
      <sheetName val="IEA_WorldBal2019"/>
      <sheetName val="GDP_OECD (2019)andCAT"/>
      <sheetName val="UN POP 2019"/>
      <sheetName val="Summary table_Report"/>
      <sheetName val="Output Main_BraHi_IDNexclPeat"/>
      <sheetName val="&gt;&gt;TotalGHG"/>
      <sheetName val="Summary_NatTotal"/>
      <sheetName val="Summary_PerCap"/>
      <sheetName val="Summary_PerGDP"/>
      <sheetName val="&gt;&gt;Indicators"/>
      <sheetName val="Values_REinElec"/>
      <sheetName val="Values_REinTPES"/>
      <sheetName val="Values_TPES"/>
      <sheetName val="Values_GHGperGDP"/>
      <sheetName val="Values_TPESperGDP"/>
      <sheetName val="Values_TPESperCap"/>
      <sheetName val="&gt;&gt;Figs"/>
      <sheetName val="FigA_GHGperGDP"/>
      <sheetName val="FigB_GHGperCap"/>
      <sheetName val="FigC_REinTPES"/>
      <sheetName val="FigD_REinElec"/>
      <sheetName val="FigE_TPESperGDP"/>
      <sheetName val="FigF_TPESperCap"/>
      <sheetName val="&gt;&gt;RawData_NC"/>
      <sheetName val="GDPdeflator"/>
      <sheetName val="Values_NDC"/>
      <sheetName val="&gt;&gt;Not used"/>
      <sheetName val="Values_CurrentPol_NC"/>
      <sheetName val="Values_GDP"/>
      <sheetName val="Values_GDP_2010"/>
      <sheetName val="Styles"/>
      <sheetName val="Instr_default_template"/>
      <sheetName val="Admin"/>
      <sheetName val="&gt;&gt; Other data"/>
      <sheetName val="OECD (2019) PBL-CLIMA countries"/>
      <sheetName val="OECD (2019) Real GDP_RA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4">
          <cell r="E4">
            <v>1960</v>
          </cell>
          <cell r="F4">
            <v>1961</v>
          </cell>
          <cell r="G4">
            <v>1962</v>
          </cell>
          <cell r="H4">
            <v>1963</v>
          </cell>
          <cell r="I4">
            <v>1964</v>
          </cell>
          <cell r="J4">
            <v>1965</v>
          </cell>
          <cell r="K4">
            <v>1966</v>
          </cell>
          <cell r="L4">
            <v>1967</v>
          </cell>
          <cell r="M4">
            <v>1968</v>
          </cell>
          <cell r="N4">
            <v>1969</v>
          </cell>
          <cell r="O4">
            <v>1970</v>
          </cell>
          <cell r="P4">
            <v>1971</v>
          </cell>
          <cell r="Q4">
            <v>1972</v>
          </cell>
          <cell r="R4">
            <v>1973</v>
          </cell>
          <cell r="S4">
            <v>1974</v>
          </cell>
          <cell r="T4">
            <v>1975</v>
          </cell>
          <cell r="U4">
            <v>1976</v>
          </cell>
          <cell r="V4">
            <v>1977</v>
          </cell>
          <cell r="W4">
            <v>1978</v>
          </cell>
          <cell r="X4">
            <v>1979</v>
          </cell>
          <cell r="Y4">
            <v>1980</v>
          </cell>
          <cell r="Z4">
            <v>1981</v>
          </cell>
          <cell r="AA4">
            <v>1982</v>
          </cell>
          <cell r="AB4">
            <v>1983</v>
          </cell>
          <cell r="AC4">
            <v>1984</v>
          </cell>
          <cell r="AD4">
            <v>1985</v>
          </cell>
          <cell r="AE4">
            <v>1986</v>
          </cell>
          <cell r="AF4">
            <v>1987</v>
          </cell>
          <cell r="AG4">
            <v>1988</v>
          </cell>
          <cell r="AH4">
            <v>1989</v>
          </cell>
          <cell r="AI4">
            <v>1990</v>
          </cell>
          <cell r="AJ4">
            <v>1991</v>
          </cell>
          <cell r="AK4">
            <v>1992</v>
          </cell>
          <cell r="AL4">
            <v>1993</v>
          </cell>
          <cell r="AM4">
            <v>1994</v>
          </cell>
          <cell r="AN4">
            <v>1995</v>
          </cell>
          <cell r="AO4">
            <v>1996</v>
          </cell>
          <cell r="AP4">
            <v>1997</v>
          </cell>
          <cell r="AQ4">
            <v>1998</v>
          </cell>
          <cell r="AR4">
            <v>1999</v>
          </cell>
          <cell r="AS4">
            <v>2000</v>
          </cell>
          <cell r="AT4">
            <v>2001</v>
          </cell>
          <cell r="AU4">
            <v>2002</v>
          </cell>
          <cell r="AV4">
            <v>2003</v>
          </cell>
          <cell r="AW4">
            <v>2004</v>
          </cell>
          <cell r="AX4">
            <v>2005</v>
          </cell>
          <cell r="AY4">
            <v>2006</v>
          </cell>
          <cell r="AZ4">
            <v>2007</v>
          </cell>
          <cell r="BA4">
            <v>2008</v>
          </cell>
          <cell r="BB4">
            <v>2009</v>
          </cell>
          <cell r="BC4">
            <v>2010</v>
          </cell>
          <cell r="BD4">
            <v>2011</v>
          </cell>
          <cell r="BE4">
            <v>2012</v>
          </cell>
          <cell r="BF4">
            <v>2013</v>
          </cell>
          <cell r="BG4">
            <v>2014</v>
          </cell>
          <cell r="BH4">
            <v>2015</v>
          </cell>
          <cell r="BI4">
            <v>2016</v>
          </cell>
          <cell r="BJ4">
            <v>2017</v>
          </cell>
          <cell r="BK4">
            <v>2018</v>
          </cell>
          <cell r="BL4">
            <v>2019</v>
          </cell>
        </row>
        <row r="5">
          <cell r="AE5">
            <v>56.923883658059061</v>
          </cell>
          <cell r="AF5">
            <v>58.973540497708456</v>
          </cell>
          <cell r="AG5">
            <v>60.797167240053525</v>
          </cell>
          <cell r="AH5">
            <v>63.209487548281871</v>
          </cell>
          <cell r="AI5">
            <v>66.885585724383489</v>
          </cell>
          <cell r="AJ5">
            <v>70.639290862023074</v>
          </cell>
          <cell r="AK5">
            <v>73.318338819131199</v>
          </cell>
          <cell r="AL5">
            <v>77.201659765178803</v>
          </cell>
          <cell r="AM5">
            <v>82.067794370947368</v>
          </cell>
          <cell r="AN5">
            <v>84.834004146223165</v>
          </cell>
          <cell r="AO5">
            <v>87.616738218631042</v>
          </cell>
          <cell r="AP5">
            <v>90.863455291575391</v>
          </cell>
          <cell r="AQ5">
            <v>96.832407082428702</v>
          </cell>
          <cell r="AR5">
            <v>98.962604666100432</v>
          </cell>
          <cell r="AS5">
            <v>100</v>
          </cell>
          <cell r="AT5">
            <v>105.62905789662709</v>
          </cell>
          <cell r="AU5">
            <v>110.41138795260987</v>
          </cell>
          <cell r="AV5">
            <v>112.72794191803617</v>
          </cell>
          <cell r="AW5">
            <v>115.17522311859179</v>
          </cell>
          <cell r="AX5">
            <v>119.01377759977312</v>
          </cell>
          <cell r="AY5">
            <v>122.51908507265303</v>
          </cell>
          <cell r="AZ5">
            <v>129.80873422029686</v>
          </cell>
          <cell r="BA5">
            <v>136.39377312607493</v>
          </cell>
          <cell r="BB5">
            <v>138.74939216898491</v>
          </cell>
          <cell r="BC5">
            <v>137.80998389694042</v>
          </cell>
          <cell r="BD5">
            <v>142.09215442092153</v>
          </cell>
          <cell r="BE5">
            <v>143.21338383838383</v>
          </cell>
          <cell r="BF5">
            <v>139.98788245986066</v>
          </cell>
          <cell r="BG5">
            <v>142.47521778311804</v>
          </cell>
          <cell r="BH5">
            <v>145.38322269161134</v>
          </cell>
          <cell r="BI5">
            <v>143.27184759600846</v>
          </cell>
          <cell r="BJ5">
            <v>144.25544613548195</v>
          </cell>
        </row>
        <row r="6">
          <cell r="AU6">
            <v>100</v>
          </cell>
          <cell r="AV6">
            <v>111.65523822034014</v>
          </cell>
          <cell r="AW6">
            <v>124.24038255080777</v>
          </cell>
          <cell r="AX6">
            <v>137.79845414227171</v>
          </cell>
          <cell r="AY6">
            <v>147.71960012592479</v>
          </cell>
          <cell r="AZ6">
            <v>180.99751151577649</v>
          </cell>
          <cell r="BA6">
            <v>184.79174198315545</v>
          </cell>
          <cell r="BB6">
            <v>180.79394923664941</v>
          </cell>
          <cell r="BC6">
            <v>187.69057005143048</v>
          </cell>
          <cell r="BD6">
            <v>218.83471710361476</v>
          </cell>
          <cell r="BE6">
            <v>234.81349523410651</v>
          </cell>
          <cell r="BF6">
            <v>246.1380463781864</v>
          </cell>
          <cell r="BG6">
            <v>247.53351259258616</v>
          </cell>
          <cell r="BH6">
            <v>253.5920512782599</v>
          </cell>
          <cell r="BI6">
            <v>266.53212556171798</v>
          </cell>
          <cell r="BJ6">
            <v>271.72343212029131</v>
          </cell>
          <cell r="BK6">
            <v>273.87504374984792</v>
          </cell>
        </row>
        <row r="7">
          <cell r="Y7">
            <v>4.2870563229330792E-8</v>
          </cell>
          <cell r="Z7">
            <v>4.1970150146819191E-8</v>
          </cell>
          <cell r="AA7">
            <v>4.1970150146819191E-8</v>
          </cell>
          <cell r="AB7">
            <v>4.1975507031946737E-8</v>
          </cell>
          <cell r="AC7">
            <v>4.1976005747797197E-8</v>
          </cell>
          <cell r="AD7">
            <v>4.9966224802638148E-8</v>
          </cell>
          <cell r="AE7">
            <v>4.5462738021859271E-8</v>
          </cell>
          <cell r="AF7">
            <v>4.9928684326955017E-8</v>
          </cell>
          <cell r="AG7">
            <v>5.1033992783203188E-8</v>
          </cell>
          <cell r="AH7">
            <v>5.9342154664356289E-8</v>
          </cell>
          <cell r="AI7">
            <v>6.7654471268900396E-8</v>
          </cell>
          <cell r="AJ7">
            <v>1.3957792768042213E-7</v>
          </cell>
          <cell r="AK7">
            <v>8.0468873780616415E-7</v>
          </cell>
          <cell r="AL7">
            <v>8.1899889455624201E-6</v>
          </cell>
          <cell r="AM7">
            <v>1.8640242482500092E-4</v>
          </cell>
          <cell r="AN7">
            <v>3.5891696476373957E-3</v>
          </cell>
          <cell r="AO7">
            <v>0.17588839434496445</v>
          </cell>
          <cell r="AP7">
            <v>0.34377918240954902</v>
          </cell>
          <cell r="AQ7">
            <v>0.47908842828388637</v>
          </cell>
          <cell r="AR7">
            <v>3.1500117486577612</v>
          </cell>
          <cell r="AS7">
            <v>16.317659093602575</v>
          </cell>
          <cell r="AT7">
            <v>33.671836371729704</v>
          </cell>
          <cell r="AU7">
            <v>100.00000196878503</v>
          </cell>
          <cell r="AV7">
            <v>193.92685825773148</v>
          </cell>
          <cell r="AW7">
            <v>258.77634610694406</v>
          </cell>
          <cell r="AX7">
            <v>368.43427347466877</v>
          </cell>
          <cell r="AY7">
            <v>431.50321203776764</v>
          </cell>
          <cell r="AZ7">
            <v>450.09416343615874</v>
          </cell>
          <cell r="BA7">
            <v>537.27704550001056</v>
          </cell>
          <cell r="BB7">
            <v>447.22359906162563</v>
          </cell>
          <cell r="BC7">
            <v>588.94504206743829</v>
          </cell>
          <cell r="BD7">
            <v>776.06196809039545</v>
          </cell>
          <cell r="BE7">
            <v>832.37077609691551</v>
          </cell>
          <cell r="BF7">
            <v>856.0079766316635</v>
          </cell>
          <cell r="BG7">
            <v>886.48890377337364</v>
          </cell>
          <cell r="BH7">
            <v>855.29876452537542</v>
          </cell>
          <cell r="BI7">
            <v>1041.5340792438101</v>
          </cell>
          <cell r="BJ7">
            <v>1277.0718531713062</v>
          </cell>
          <cell r="BK7">
            <v>1722.0659066919718</v>
          </cell>
        </row>
        <row r="8">
          <cell r="Y8">
            <v>2.7095728896281335</v>
          </cell>
          <cell r="Z8">
            <v>2.6515996271433524</v>
          </cell>
          <cell r="AA8">
            <v>2.6511297875541162</v>
          </cell>
          <cell r="AB8">
            <v>2.6506855862111407</v>
          </cell>
          <cell r="AC8">
            <v>2.6499338449667511</v>
          </cell>
          <cell r="AD8">
            <v>2.6592410048195134</v>
          </cell>
          <cell r="AE8">
            <v>2.5949591606133775</v>
          </cell>
          <cell r="AF8">
            <v>2.5949512176293297</v>
          </cell>
          <cell r="AG8">
            <v>2.594936203757312</v>
          </cell>
          <cell r="AH8">
            <v>2.5950316756493099</v>
          </cell>
          <cell r="AI8">
            <v>2.5838375183105207</v>
          </cell>
          <cell r="AJ8">
            <v>3.50146795555262</v>
          </cell>
          <cell r="AK8">
            <v>11.65935112730468</v>
          </cell>
          <cell r="AL8">
            <v>26.30942074924927</v>
          </cell>
          <cell r="AM8">
            <v>35.739368360684772</v>
          </cell>
          <cell r="AN8">
            <v>39.302820223971693</v>
          </cell>
          <cell r="AO8">
            <v>54.305536744533121</v>
          </cell>
          <cell r="AP8">
            <v>60.409306283515775</v>
          </cell>
          <cell r="AQ8">
            <v>64.475000693169846</v>
          </cell>
          <cell r="AR8">
            <v>65.831218534478424</v>
          </cell>
          <cell r="AS8">
            <v>69.546589044450286</v>
          </cell>
          <cell r="AT8">
            <v>72.19904929751759</v>
          </cell>
          <cell r="AU8">
            <v>74.830090892386465</v>
          </cell>
          <cell r="AV8">
            <v>78.719089586133933</v>
          </cell>
          <cell r="AW8">
            <v>81.204207113567122</v>
          </cell>
          <cell r="AX8">
            <v>83.886780878914138</v>
          </cell>
          <cell r="AY8">
            <v>85.967731511556607</v>
          </cell>
          <cell r="AZ8">
            <v>89.741628685191415</v>
          </cell>
          <cell r="BA8">
            <v>93.4364538934379</v>
          </cell>
          <cell r="BB8">
            <v>95.700038685391405</v>
          </cell>
          <cell r="BC8">
            <v>100</v>
          </cell>
          <cell r="BD8">
            <v>102.31477921120361</v>
          </cell>
          <cell r="BE8">
            <v>103.38134168187661</v>
          </cell>
          <cell r="BF8">
            <v>103.67988153372067</v>
          </cell>
          <cell r="BG8">
            <v>105.29143599896994</v>
          </cell>
          <cell r="BH8">
            <v>105.87359368750506</v>
          </cell>
          <cell r="BI8">
            <v>105.16813363961397</v>
          </cell>
          <cell r="BJ8">
            <v>106.70259680282281</v>
          </cell>
          <cell r="BK8">
            <v>107.54883706752688</v>
          </cell>
        </row>
        <row r="9">
          <cell r="O9">
            <v>5.5408182427810857</v>
          </cell>
          <cell r="P9">
            <v>5.9755436940201978</v>
          </cell>
          <cell r="Q9">
            <v>6.4845451496313959</v>
          </cell>
          <cell r="R9">
            <v>7.2529270380301742</v>
          </cell>
          <cell r="S9">
            <v>8.4094208541998157</v>
          </cell>
          <cell r="T9">
            <v>9.8206726569607241</v>
          </cell>
          <cell r="U9">
            <v>11.440087555324501</v>
          </cell>
          <cell r="V9">
            <v>14.115133817226615</v>
          </cell>
          <cell r="W9">
            <v>17.027232919440948</v>
          </cell>
          <cell r="X9">
            <v>19.9102310550807</v>
          </cell>
          <cell r="Y9">
            <v>22.569205348868124</v>
          </cell>
          <cell r="Z9">
            <v>25.356766994938123</v>
          </cell>
          <cell r="AA9">
            <v>28.800811793517145</v>
          </cell>
          <cell r="AB9">
            <v>32.223568021127178</v>
          </cell>
          <cell r="AC9">
            <v>35.724573091450701</v>
          </cell>
          <cell r="AD9">
            <v>38.795265825467709</v>
          </cell>
          <cell r="AE9">
            <v>43.01573112288051</v>
          </cell>
          <cell r="AF9">
            <v>45.572671700451366</v>
          </cell>
          <cell r="AG9">
            <v>48.277922453316499</v>
          </cell>
          <cell r="AH9">
            <v>51.607267992283944</v>
          </cell>
          <cell r="AI9">
            <v>55.388142188721964</v>
          </cell>
          <cell r="AJ9">
            <v>59.229392400768376</v>
          </cell>
          <cell r="AK9">
            <v>63.204141386444221</v>
          </cell>
          <cell r="AL9">
            <v>66.071859754463091</v>
          </cell>
          <cell r="AM9">
            <v>68.635350654660371</v>
          </cell>
          <cell r="AN9">
            <v>72.021217285411765</v>
          </cell>
          <cell r="AO9">
            <v>72.595353362488666</v>
          </cell>
          <cell r="AP9">
            <v>74.212894110117247</v>
          </cell>
          <cell r="AQ9">
            <v>75.325758676474535</v>
          </cell>
          <cell r="AR9">
            <v>77.383641557394583</v>
          </cell>
          <cell r="AS9">
            <v>100</v>
          </cell>
          <cell r="AT9">
            <v>102.76951809893593</v>
          </cell>
          <cell r="AU9">
            <v>106.264100862641</v>
          </cell>
          <cell r="AV9">
            <v>109.32436186302046</v>
          </cell>
          <cell r="AW9">
            <v>112.98713090351282</v>
          </cell>
          <cell r="AX9">
            <v>116.48927649728576</v>
          </cell>
          <cell r="AY9">
            <v>120.21750697001299</v>
          </cell>
          <cell r="AZ9">
            <v>124.86969693101702</v>
          </cell>
          <cell r="BA9">
            <v>127.34220815490598</v>
          </cell>
          <cell r="BB9">
            <v>127.3421906036895</v>
          </cell>
          <cell r="BC9">
            <v>129.37959279553473</v>
          </cell>
          <cell r="BD9">
            <v>132.61391144148581</v>
          </cell>
          <cell r="BE9">
            <v>134.07254991617131</v>
          </cell>
          <cell r="BF9">
            <v>134.07303340312663</v>
          </cell>
          <cell r="BG9">
            <v>133.93846822909208</v>
          </cell>
          <cell r="BH9">
            <v>133.32842469535763</v>
          </cell>
          <cell r="BI9">
            <v>134.26158682310191</v>
          </cell>
          <cell r="BJ9">
            <v>135.68982052335937</v>
          </cell>
          <cell r="BK9">
            <v>136.90559405643984</v>
          </cell>
        </row>
        <row r="11">
          <cell r="T11">
            <v>27.951442029959818</v>
          </cell>
          <cell r="U11">
            <v>31.24253743305777</v>
          </cell>
          <cell r="V11">
            <v>32.884568997259322</v>
          </cell>
          <cell r="W11">
            <v>31.680628261474741</v>
          </cell>
          <cell r="X11">
            <v>33.914435868815957</v>
          </cell>
          <cell r="Y11">
            <v>37.141725458413376</v>
          </cell>
          <cell r="Z11">
            <v>39.76188253164716</v>
          </cell>
          <cell r="AA11">
            <v>40.283903853376316</v>
          </cell>
          <cell r="AB11">
            <v>38.826425275667745</v>
          </cell>
          <cell r="AC11">
            <v>36.458996734855567</v>
          </cell>
          <cell r="AD11">
            <v>36.728987597004846</v>
          </cell>
          <cell r="AE11">
            <v>36.105151142778588</v>
          </cell>
          <cell r="AF11">
            <v>37.435837106258631</v>
          </cell>
          <cell r="AG11">
            <v>38.327201507786029</v>
          </cell>
          <cell r="AH11">
            <v>38.998416822814228</v>
          </cell>
          <cell r="AI11">
            <v>40.299365202255814</v>
          </cell>
          <cell r="AJ11">
            <v>40.626132091066722</v>
          </cell>
          <cell r="AK11">
            <v>41.360175657209417</v>
          </cell>
          <cell r="AL11">
            <v>41.888773718055496</v>
          </cell>
          <cell r="AM11">
            <v>41.778826191787303</v>
          </cell>
          <cell r="AN11">
            <v>43.411325366761574</v>
          </cell>
          <cell r="AO11">
            <v>45.917480240596618</v>
          </cell>
          <cell r="AP11">
            <v>45.480207752177229</v>
          </cell>
          <cell r="AQ11">
            <v>43.545277181551384</v>
          </cell>
          <cell r="AR11">
            <v>47.221969297779836</v>
          </cell>
          <cell r="AS11">
            <v>52.633387773405303</v>
          </cell>
          <cell r="AT11">
            <v>51.396867556560302</v>
          </cell>
          <cell r="AU11">
            <v>53.334960965228461</v>
          </cell>
          <cell r="AV11">
            <v>55.506977540260912</v>
          </cell>
          <cell r="AW11">
            <v>60.225859973350957</v>
          </cell>
          <cell r="AX11">
            <v>70.178795758649102</v>
          </cell>
          <cell r="AY11">
            <v>78.573883654311388</v>
          </cell>
          <cell r="AZ11">
            <v>88.422303329243334</v>
          </cell>
          <cell r="BA11">
            <v>104.80992100824564</v>
          </cell>
          <cell r="BB11">
            <v>88.896651785122557</v>
          </cell>
          <cell r="BC11">
            <v>100</v>
          </cell>
          <cell r="BD11">
            <v>113.16538942477104</v>
          </cell>
          <cell r="BE11">
            <v>115.69761672080026</v>
          </cell>
          <cell r="BF11">
            <v>114.6943448187524</v>
          </cell>
          <cell r="BG11">
            <v>113.53122735446468</v>
          </cell>
          <cell r="BH11">
            <v>95.995874789798208</v>
          </cell>
          <cell r="BI11">
            <v>92.926650021933938</v>
          </cell>
          <cell r="BJ11">
            <v>98.790403667531521</v>
          </cell>
          <cell r="BK11">
            <v>105.44985649515412</v>
          </cell>
        </row>
        <row r="12">
          <cell r="E12">
            <v>7.1889505309150238E-11</v>
          </cell>
          <cell r="F12">
            <v>8.6490765284921056E-11</v>
          </cell>
          <cell r="G12">
            <v>1.1146224208135555E-10</v>
          </cell>
          <cell r="H12">
            <v>1.3998671649232972E-10</v>
          </cell>
          <cell r="I12">
            <v>1.8026735846121957E-10</v>
          </cell>
          <cell r="J12">
            <v>2.1854340937164095E-10</v>
          </cell>
          <cell r="K12">
            <v>2.7449808907547543E-10</v>
          </cell>
          <cell r="L12">
            <v>3.5415266631661676E-10</v>
          </cell>
          <cell r="M12">
            <v>3.9054295262810525E-10</v>
          </cell>
          <cell r="N12">
            <v>4.2098901743493338E-10</v>
          </cell>
          <cell r="O12">
            <v>4.482180593281814E-10</v>
          </cell>
          <cell r="P12">
            <v>5.883806149939365E-10</v>
          </cell>
          <cell r="Q12">
            <v>9.663844814808353E-10</v>
          </cell>
          <cell r="R12">
            <v>1.5997073284813848E-9</v>
          </cell>
          <cell r="S12">
            <v>2.0897047438487001E-9</v>
          </cell>
          <cell r="T12">
            <v>6.2209959491128011E-9</v>
          </cell>
          <cell r="U12">
            <v>3.3489038319795048E-8</v>
          </cell>
          <cell r="V12">
            <v>8.6879666953827193E-8</v>
          </cell>
          <cell r="W12">
            <v>2.2707927254860106E-7</v>
          </cell>
          <cell r="X12">
            <v>5.6174199205529963E-7</v>
          </cell>
          <cell r="Y12">
            <v>1.09983703146405E-6</v>
          </cell>
          <cell r="Z12">
            <v>2.2577054942312263E-6</v>
          </cell>
          <cell r="AA12">
            <v>6.6497396431321456E-6</v>
          </cell>
          <cell r="AB12">
            <v>3.1929292020908206E-5</v>
          </cell>
          <cell r="AC12">
            <v>2.2707994471063815E-4</v>
          </cell>
          <cell r="AD12">
            <v>1.6064713869075977E-3</v>
          </cell>
          <cell r="AE12">
            <v>2.8481490535760298E-3</v>
          </cell>
          <cell r="AF12">
            <v>6.4806760228146047E-3</v>
          </cell>
          <cell r="AG12">
            <v>3.1188016452943609E-2</v>
          </cell>
          <cell r="AH12">
            <v>0.98120342610931044</v>
          </cell>
          <cell r="AI12">
            <v>21.373719250036892</v>
          </cell>
          <cell r="AJ12">
            <v>51.404303205225297</v>
          </cell>
          <cell r="AK12">
            <v>59.665999493437937</v>
          </cell>
          <cell r="AL12">
            <v>57.541236225240688</v>
          </cell>
          <cell r="AM12">
            <v>59.180781521561968</v>
          </cell>
          <cell r="AN12">
            <v>61.053926279983486</v>
          </cell>
          <cell r="AO12">
            <v>61.021948982906395</v>
          </cell>
          <cell r="AP12">
            <v>60.738860148682313</v>
          </cell>
          <cell r="AQ12">
            <v>59.703092742716443</v>
          </cell>
          <cell r="AR12">
            <v>58.606610582543183</v>
          </cell>
          <cell r="AS12">
            <v>59.214529394291993</v>
          </cell>
          <cell r="AT12">
            <v>58.565675696624297</v>
          </cell>
          <cell r="AU12">
            <v>76.460537411274913</v>
          </cell>
          <cell r="AV12">
            <v>84.485608346643161</v>
          </cell>
          <cell r="AW12">
            <v>99.999999896931683</v>
          </cell>
          <cell r="AX12">
            <v>110.31751108453818</v>
          </cell>
          <cell r="AY12">
            <v>125.47629818381994</v>
          </cell>
          <cell r="AZ12">
            <v>144.22236305610539</v>
          </cell>
          <cell r="BA12">
            <v>177.64036473978294</v>
          </cell>
          <cell r="BB12">
            <v>204.95727717064062</v>
          </cell>
          <cell r="BC12">
            <v>247.8243463954839</v>
          </cell>
          <cell r="BD12">
            <v>306.56732140841649</v>
          </cell>
          <cell r="BE12">
            <v>374.97745336405166</v>
          </cell>
          <cell r="BF12">
            <v>464.78004777668866</v>
          </cell>
          <cell r="BG12">
            <v>652.00726257167958</v>
          </cell>
          <cell r="BH12">
            <v>825.31073821073107</v>
          </cell>
          <cell r="BI12">
            <v>1164.6733967392504</v>
          </cell>
          <cell r="BJ12">
            <v>1467.5756341004435</v>
          </cell>
          <cell r="BK12">
            <v>2060.0662928760075</v>
          </cell>
          <cell r="BN12" t="str">
            <v>Argentina</v>
          </cell>
        </row>
        <row r="13">
          <cell r="AI13">
            <v>1.9277095965554733E-3</v>
          </cell>
          <cell r="AJ13">
            <v>3.4580431475173161E-3</v>
          </cell>
          <cell r="AK13">
            <v>2.3127644849624443E-2</v>
          </cell>
          <cell r="AL13">
            <v>0.34487170221982777</v>
          </cell>
          <cell r="AM13">
            <v>14.509775987462319</v>
          </cell>
          <cell r="AN13">
            <v>37.894299402304263</v>
          </cell>
          <cell r="AO13">
            <v>45.318463499344396</v>
          </cell>
          <cell r="AP13">
            <v>53.356143691754752</v>
          </cell>
          <cell r="AQ13">
            <v>59.064449526581861</v>
          </cell>
          <cell r="AR13">
            <v>59.096228610001432</v>
          </cell>
          <cell r="AS13">
            <v>58.284437902844132</v>
          </cell>
          <cell r="AT13">
            <v>60.656113241841091</v>
          </cell>
          <cell r="AU13">
            <v>62.093534421879738</v>
          </cell>
          <cell r="AV13">
            <v>64.925681625891769</v>
          </cell>
          <cell r="AW13">
            <v>69.022188754545127</v>
          </cell>
          <cell r="AX13">
            <v>71.258394645635846</v>
          </cell>
          <cell r="AY13">
            <v>74.550431051675062</v>
          </cell>
          <cell r="AZ13">
            <v>77.705979617782134</v>
          </cell>
          <cell r="BA13">
            <v>82.360227723725345</v>
          </cell>
          <cell r="BB13">
            <v>84.466125256053147</v>
          </cell>
          <cell r="BC13">
            <v>91.028058207142465</v>
          </cell>
          <cell r="BD13">
            <v>94.925470031615461</v>
          </cell>
          <cell r="BE13">
            <v>100</v>
          </cell>
          <cell r="BF13">
            <v>103.36682464224465</v>
          </cell>
          <cell r="BG13">
            <v>105.75375319523897</v>
          </cell>
          <cell r="BH13">
            <v>107.03750847987943</v>
          </cell>
          <cell r="BI13">
            <v>107.32498455016446</v>
          </cell>
          <cell r="BJ13">
            <v>109.63316063645385</v>
          </cell>
          <cell r="BK13">
            <v>112.46510282073467</v>
          </cell>
        </row>
        <row r="14">
          <cell r="AU14">
            <v>69.742198100407066</v>
          </cell>
          <cell r="AV14">
            <v>70.92866756393002</v>
          </cell>
          <cell r="AW14">
            <v>68.540829986613119</v>
          </cell>
          <cell r="AX14">
            <v>67.607526881720432</v>
          </cell>
          <cell r="AY14">
            <v>69.565217391304344</v>
          </cell>
          <cell r="AZ14">
            <v>71.526822558459429</v>
          </cell>
          <cell r="BA14">
            <v>79.519774011299432</v>
          </cell>
          <cell r="BB14">
            <v>100</v>
          </cell>
          <cell r="BC14">
            <v>84.581497797356832</v>
          </cell>
          <cell r="BD14">
            <v>84.040995607613468</v>
          </cell>
          <cell r="BE14">
            <v>98.621745788667695</v>
          </cell>
          <cell r="BF14">
            <v>100.94488188976378</v>
          </cell>
          <cell r="BG14">
            <v>100.31201248049922</v>
          </cell>
          <cell r="BH14">
            <v>101.84899845916794</v>
          </cell>
          <cell r="BI14">
            <v>103.32278481012658</v>
          </cell>
          <cell r="BJ14">
            <v>106.0200668896321</v>
          </cell>
        </row>
        <row r="15">
          <cell r="V15">
            <v>26.841850928088</v>
          </cell>
          <cell r="W15">
            <v>29.159720472830941</v>
          </cell>
          <cell r="X15">
            <v>33.488623362584569</v>
          </cell>
          <cell r="Y15">
            <v>37.305917598822845</v>
          </cell>
          <cell r="Z15">
            <v>40.421936696754386</v>
          </cell>
          <cell r="AA15">
            <v>44.978579181380915</v>
          </cell>
          <cell r="AB15">
            <v>47.305088279244828</v>
          </cell>
          <cell r="AC15">
            <v>49.123609295535857</v>
          </cell>
          <cell r="AD15">
            <v>52.764287635770422</v>
          </cell>
          <cell r="AE15">
            <v>57.051354436552707</v>
          </cell>
          <cell r="AF15">
            <v>62.115486267761376</v>
          </cell>
          <cell r="AG15">
            <v>69.799541423004229</v>
          </cell>
          <cell r="AH15">
            <v>72.996853628677684</v>
          </cell>
          <cell r="AI15">
            <v>74.201489225085638</v>
          </cell>
          <cell r="AJ15">
            <v>76.135306089070212</v>
          </cell>
          <cell r="AK15">
            <v>78.009460605010915</v>
          </cell>
          <cell r="AL15">
            <v>79.423669802700985</v>
          </cell>
          <cell r="AM15">
            <v>82.001227653458358</v>
          </cell>
          <cell r="AN15">
            <v>83.971830778005668</v>
          </cell>
          <cell r="AO15">
            <v>86.471783752707879</v>
          </cell>
          <cell r="AP15">
            <v>88.051949545405535</v>
          </cell>
          <cell r="AQ15">
            <v>89.909952503208601</v>
          </cell>
          <cell r="AR15">
            <v>91.261853031039536</v>
          </cell>
          <cell r="AS15">
            <v>92.678308876962419</v>
          </cell>
          <cell r="AT15">
            <v>94.053529454346503</v>
          </cell>
          <cell r="AU15">
            <v>94.713311189393124</v>
          </cell>
          <cell r="AV15">
            <v>93.801123232684475</v>
          </cell>
          <cell r="AW15">
            <v>95.340798294934288</v>
          </cell>
          <cell r="AX15">
            <v>99.593394058994903</v>
          </cell>
          <cell r="AY15">
            <v>100</v>
          </cell>
          <cell r="AZ15">
            <v>103.73882516466873</v>
          </cell>
          <cell r="BA15">
            <v>108.28280740670102</v>
          </cell>
          <cell r="BB15">
            <v>110.21891445601393</v>
          </cell>
          <cell r="BC15">
            <v>111.80632451102936</v>
          </cell>
          <cell r="BD15">
            <v>113.14731230742854</v>
          </cell>
          <cell r="BE15">
            <v>115.95393665728476</v>
          </cell>
          <cell r="BF15">
            <v>114.30263191281453</v>
          </cell>
          <cell r="BG15">
            <v>116.78274782656818</v>
          </cell>
          <cell r="BH15">
            <v>119.62252640165141</v>
          </cell>
          <cell r="BI15">
            <v>122.07804057133818</v>
          </cell>
          <cell r="BJ15">
            <v>122.16201796086588</v>
          </cell>
          <cell r="BK15">
            <v>125.18898563219807</v>
          </cell>
        </row>
        <row r="16">
          <cell r="E16">
            <v>6.5304001385761294</v>
          </cell>
          <cell r="F16">
            <v>6.7411371083291396</v>
          </cell>
          <cell r="G16">
            <v>6.7356844899507013</v>
          </cell>
          <cell r="H16">
            <v>6.8563920753760419</v>
          </cell>
          <cell r="I16">
            <v>7.0816159660920794</v>
          </cell>
          <cell r="J16">
            <v>7.2930410658672438</v>
          </cell>
          <cell r="K16">
            <v>7.4887198619624824</v>
          </cell>
          <cell r="L16">
            <v>7.8531107774122528</v>
          </cell>
          <cell r="M16">
            <v>8.029832091247215</v>
          </cell>
          <cell r="N16">
            <v>8.4115827077241203</v>
          </cell>
          <cell r="O16">
            <v>8.8433839604326305</v>
          </cell>
          <cell r="P16">
            <v>9.3019928886386651</v>
          </cell>
          <cell r="Q16">
            <v>9.8776945828559235</v>
          </cell>
          <cell r="R16">
            <v>10.765215810680386</v>
          </cell>
          <cell r="S16">
            <v>12.528451549739025</v>
          </cell>
          <cell r="T16">
            <v>14.594472645234067</v>
          </cell>
          <cell r="U16">
            <v>16.640410082528309</v>
          </cell>
          <cell r="V16">
            <v>18.540446866569148</v>
          </cell>
          <cell r="W16">
            <v>20.067554902703343</v>
          </cell>
          <cell r="X16">
            <v>21.800122799986767</v>
          </cell>
          <cell r="Y16">
            <v>23.98377102442732</v>
          </cell>
          <cell r="Z16">
            <v>26.268372736266528</v>
          </cell>
          <cell r="AA16">
            <v>29.34418997904643</v>
          </cell>
          <cell r="AB16">
            <v>32.324804845038074</v>
          </cell>
          <cell r="AC16">
            <v>34.86654084658938</v>
          </cell>
          <cell r="AD16">
            <v>36.480259582990485</v>
          </cell>
          <cell r="AE16">
            <v>38.835655585417939</v>
          </cell>
          <cell r="AF16">
            <v>41.573200472617849</v>
          </cell>
          <cell r="AG16">
            <v>44.572150456397623</v>
          </cell>
          <cell r="AH16">
            <v>48.692548513558094</v>
          </cell>
          <cell r="AI16">
            <v>51.661513546289171</v>
          </cell>
          <cell r="AJ16">
            <v>53.230991316811171</v>
          </cell>
          <cell r="AK16">
            <v>54.029998119841558</v>
          </cell>
          <cell r="AL16">
            <v>54.5129851368348</v>
          </cell>
          <cell r="AM16">
            <v>55.071056872693561</v>
          </cell>
          <cell r="AN16">
            <v>56.318616560326774</v>
          </cell>
          <cell r="AO16">
            <v>57.836815680427968</v>
          </cell>
          <cell r="AP16">
            <v>58.550110027066552</v>
          </cell>
          <cell r="AQ16">
            <v>59.295448312576639</v>
          </cell>
          <cell r="AR16">
            <v>59.507124357924987</v>
          </cell>
          <cell r="AS16">
            <v>61.04225120647169</v>
          </cell>
          <cell r="AT16">
            <v>63.862938507105781</v>
          </cell>
          <cell r="AU16">
            <v>65.689636102201078</v>
          </cell>
          <cell r="AV16">
            <v>67.734919136873643</v>
          </cell>
          <cell r="AW16">
            <v>69.977682925243485</v>
          </cell>
          <cell r="AX16">
            <v>72.634844086893651</v>
          </cell>
          <cell r="AY16">
            <v>76.333673213769984</v>
          </cell>
          <cell r="AZ16">
            <v>80.159242458557202</v>
          </cell>
          <cell r="BA16">
            <v>83.786886319253469</v>
          </cell>
          <cell r="BB16">
            <v>87.977818177756177</v>
          </cell>
          <cell r="BC16">
            <v>89.004677288950845</v>
          </cell>
          <cell r="BD16">
            <v>94.569955713162273</v>
          </cell>
          <cell r="BE16">
            <v>96.341676539903759</v>
          </cell>
          <cell r="BF16">
            <v>96.193116679095397</v>
          </cell>
          <cell r="BG16">
            <v>97.582490299926988</v>
          </cell>
          <cell r="BH16">
            <v>96.8976377952756</v>
          </cell>
          <cell r="BI16">
            <v>96.416380965859162</v>
          </cell>
          <cell r="BJ16">
            <v>100</v>
          </cell>
          <cell r="BK16">
            <v>101.82636322804466</v>
          </cell>
          <cell r="BN16" t="str">
            <v>Australia</v>
          </cell>
        </row>
        <row r="17">
          <cell r="E17">
            <v>17.96467080040982</v>
          </cell>
          <cell r="F17">
            <v>18.878561218747354</v>
          </cell>
          <cell r="G17">
            <v>19.509143527405882</v>
          </cell>
          <cell r="H17">
            <v>20.226741744177808</v>
          </cell>
          <cell r="I17">
            <v>20.870718364937737</v>
          </cell>
          <cell r="J17">
            <v>21.981335996267045</v>
          </cell>
          <cell r="K17">
            <v>22.667673775599365</v>
          </cell>
          <cell r="L17">
            <v>23.403865999521539</v>
          </cell>
          <cell r="M17">
            <v>24.068075194448063</v>
          </cell>
          <cell r="N17">
            <v>24.725993569940371</v>
          </cell>
          <cell r="O17">
            <v>26.32116420329605</v>
          </cell>
          <cell r="P17">
            <v>27.95422723134951</v>
          </cell>
          <cell r="Q17">
            <v>30.078729511597675</v>
          </cell>
          <cell r="R17">
            <v>32.498726664585327</v>
          </cell>
          <cell r="S17">
            <v>35.586800724522163</v>
          </cell>
          <cell r="T17">
            <v>37.884916599380752</v>
          </cell>
          <cell r="U17">
            <v>40.015912504758852</v>
          </cell>
          <cell r="V17">
            <v>42.096224949397474</v>
          </cell>
          <cell r="W17">
            <v>44.619058035275764</v>
          </cell>
          <cell r="X17">
            <v>46.454851816096024</v>
          </cell>
          <cell r="Y17">
            <v>49.047324794411438</v>
          </cell>
          <cell r="Z17">
            <v>52.341670592402636</v>
          </cell>
          <cell r="AA17">
            <v>55.144718804404079</v>
          </cell>
          <cell r="AB17">
            <v>57.059775687920308</v>
          </cell>
          <cell r="AC17">
            <v>59.884105177357704</v>
          </cell>
          <cell r="AD17">
            <v>61.65846852656864</v>
          </cell>
          <cell r="AE17">
            <v>63.478008459990946</v>
          </cell>
          <cell r="AF17">
            <v>65.024934681314406</v>
          </cell>
          <cell r="AG17">
            <v>66.017771064311944</v>
          </cell>
          <cell r="AH17">
            <v>67.975040132798512</v>
          </cell>
          <cell r="AI17">
            <v>70.014074107548268</v>
          </cell>
          <cell r="AJ17">
            <v>72.563896700443223</v>
          </cell>
          <cell r="AK17">
            <v>75.08846224400709</v>
          </cell>
          <cell r="AL17">
            <v>77.158714685019334</v>
          </cell>
          <cell r="AM17">
            <v>79.106928146698522</v>
          </cell>
          <cell r="AN17">
            <v>80.541863002433644</v>
          </cell>
          <cell r="AO17">
            <v>81.336170297710154</v>
          </cell>
          <cell r="AP17">
            <v>82.366698295512052</v>
          </cell>
          <cell r="AQ17">
            <v>82.730676891880165</v>
          </cell>
          <cell r="AR17">
            <v>82.942757535105315</v>
          </cell>
          <cell r="AS17">
            <v>84.074130824431663</v>
          </cell>
          <cell r="AT17">
            <v>85.711140831291857</v>
          </cell>
          <cell r="AU17">
            <v>86.693047796696419</v>
          </cell>
          <cell r="AV17">
            <v>87.826602898042609</v>
          </cell>
          <cell r="AW17">
            <v>89.354540345662045</v>
          </cell>
          <cell r="AX17">
            <v>91.622173317001028</v>
          </cell>
          <cell r="AY17">
            <v>93.355813136292241</v>
          </cell>
          <cell r="AZ17">
            <v>95.429410043561873</v>
          </cell>
          <cell r="BA17">
            <v>97.296315399641784</v>
          </cell>
          <cell r="BB17">
            <v>99.134502207470561</v>
          </cell>
          <cell r="BC17">
            <v>100</v>
          </cell>
          <cell r="BD17">
            <v>101.83340989561151</v>
          </cell>
          <cell r="BE17">
            <v>103.925309382352</v>
          </cell>
          <cell r="BF17">
            <v>105.61294072858441</v>
          </cell>
          <cell r="BG17">
            <v>107.91076718901297</v>
          </cell>
          <cell r="BH17">
            <v>110.2501083178536</v>
          </cell>
          <cell r="BI17">
            <v>111.80608568307173</v>
          </cell>
          <cell r="BJ17">
            <v>113.20605626521947</v>
          </cell>
          <cell r="BK17">
            <v>115.02327865921167</v>
          </cell>
        </row>
        <row r="18">
          <cell r="AI18">
            <v>2.5548922844867675E-3</v>
          </cell>
          <cell r="AJ18">
            <v>4.6894923271928127E-3</v>
          </cell>
          <cell r="AK18">
            <v>5.4648024884236653E-2</v>
          </cell>
          <cell r="AL18">
            <v>0.46293682355432614</v>
          </cell>
          <cell r="AM18">
            <v>6.8795531020956462</v>
          </cell>
          <cell r="AN18">
            <v>44.418272513511823</v>
          </cell>
          <cell r="AO18">
            <v>56.15320786244633</v>
          </cell>
          <cell r="AP18">
            <v>61.343170374921343</v>
          </cell>
          <cell r="AQ18">
            <v>60.751126600958372</v>
          </cell>
          <cell r="AR18">
            <v>62.064652442277655</v>
          </cell>
          <cell r="AS18">
            <v>69.818249020426293</v>
          </cell>
          <cell r="AT18">
            <v>71.574185035076155</v>
          </cell>
          <cell r="AU18">
            <v>74.590597586032942</v>
          </cell>
          <cell r="AV18">
            <v>79.783196016701268</v>
          </cell>
          <cell r="AW18">
            <v>87.164709849483472</v>
          </cell>
          <cell r="AX18">
            <v>99.998402900332977</v>
          </cell>
          <cell r="AY18">
            <v>111.32741050431147</v>
          </cell>
          <cell r="AZ18">
            <v>134.24135564338627</v>
          </cell>
          <cell r="BA18">
            <v>171.79005397169161</v>
          </cell>
          <cell r="BB18">
            <v>139.32305934286114</v>
          </cell>
          <cell r="BC18">
            <v>158.58818608576792</v>
          </cell>
          <cell r="BD18">
            <v>197.61190178974567</v>
          </cell>
          <cell r="BE18">
            <v>203.2339259660755</v>
          </cell>
          <cell r="BF18">
            <v>204.07504708857562</v>
          </cell>
          <cell r="BG18">
            <v>201.36101169627955</v>
          </cell>
          <cell r="BH18">
            <v>183.6200294709943</v>
          </cell>
          <cell r="BI18">
            <v>210.48150903857027</v>
          </cell>
          <cell r="BJ18">
            <v>245.70337498148609</v>
          </cell>
          <cell r="BK18">
            <v>274.86339447191739</v>
          </cell>
        </row>
        <row r="19">
          <cell r="E19">
            <v>2.2120371634090472</v>
          </cell>
          <cell r="F19">
            <v>2.6561575168019984</v>
          </cell>
          <cell r="G19">
            <v>2.561401316510965</v>
          </cell>
          <cell r="H19">
            <v>2.6814580204484892</v>
          </cell>
          <cell r="I19">
            <v>2.8267184355473027</v>
          </cell>
          <cell r="J19">
            <v>2.7976212198711541</v>
          </cell>
          <cell r="K19">
            <v>2.8858031908327786</v>
          </cell>
          <cell r="L19">
            <v>2.7323365761965595</v>
          </cell>
          <cell r="M19">
            <v>2.8158589999541697</v>
          </cell>
          <cell r="N19">
            <v>2.9668419758755524</v>
          </cell>
          <cell r="O19">
            <v>3.1206582484011367</v>
          </cell>
          <cell r="P19">
            <v>3.1637301648216392</v>
          </cell>
          <cell r="Q19">
            <v>3.2994798141567876</v>
          </cell>
          <cell r="R19">
            <v>3.4812957511769618</v>
          </cell>
          <cell r="S19">
            <v>3.9148973211460456</v>
          </cell>
          <cell r="T19">
            <v>4.7404280309669584</v>
          </cell>
          <cell r="U19">
            <v>5.1232151411202427</v>
          </cell>
          <cell r="V19">
            <v>5.8560462699533034</v>
          </cell>
          <cell r="W19">
            <v>6.5885032751402699</v>
          </cell>
          <cell r="X19">
            <v>8.3101258019472919</v>
          </cell>
          <cell r="Y19">
            <v>9.6716588378559596</v>
          </cell>
          <cell r="Z19">
            <v>9.0852356883902452</v>
          </cell>
          <cell r="AA19">
            <v>9.6005522143176112</v>
          </cell>
          <cell r="AB19">
            <v>10.217728398768587</v>
          </cell>
          <cell r="AC19">
            <v>11.976832443367719</v>
          </cell>
          <cell r="AD19">
            <v>12.583918794340196</v>
          </cell>
          <cell r="AE19">
            <v>12.048169244035471</v>
          </cell>
          <cell r="AF19">
            <v>11.636387508627703</v>
          </cell>
          <cell r="AG19">
            <v>12.04263971084462</v>
          </cell>
          <cell r="AH19">
            <v>13.819794310715494</v>
          </cell>
          <cell r="AI19">
            <v>14.646986604048253</v>
          </cell>
          <cell r="AJ19">
            <v>15.246508387633018</v>
          </cell>
          <cell r="AK19">
            <v>16.070088285769287</v>
          </cell>
          <cell r="AL19">
            <v>17.314338281524492</v>
          </cell>
          <cell r="AM19">
            <v>18.463741184493852</v>
          </cell>
          <cell r="AN19">
            <v>21.436904204313453</v>
          </cell>
          <cell r="AO19">
            <v>24.535203850971065</v>
          </cell>
          <cell r="AP19">
            <v>32.484067481949594</v>
          </cell>
          <cell r="AQ19">
            <v>36.203673821609009</v>
          </cell>
          <cell r="AR19">
            <v>41.617621984485822</v>
          </cell>
          <cell r="AS19">
            <v>57.825560420009921</v>
          </cell>
          <cell r="AT19">
            <v>65.757149516979922</v>
          </cell>
          <cell r="AU19">
            <v>66.433040016136502</v>
          </cell>
          <cell r="AV19">
            <v>74.368963993602861</v>
          </cell>
          <cell r="AW19">
            <v>84.145626493339734</v>
          </cell>
          <cell r="AX19">
            <v>100</v>
          </cell>
          <cell r="AY19">
            <v>102.84566633376673</v>
          </cell>
          <cell r="AZ19">
            <v>111.35447040198174</v>
          </cell>
          <cell r="BA19">
            <v>138.31984372659102</v>
          </cell>
          <cell r="BB19">
            <v>152.78643242530993</v>
          </cell>
          <cell r="BC19">
            <v>165.86732189991113</v>
          </cell>
          <cell r="BD19">
            <v>179.74087536798783</v>
          </cell>
          <cell r="BE19">
            <v>205.4302315645561</v>
          </cell>
          <cell r="BF19">
            <v>221.77314977206083</v>
          </cell>
          <cell r="BG19">
            <v>233.53789062499999</v>
          </cell>
          <cell r="BH19">
            <v>283.36096355513536</v>
          </cell>
          <cell r="BI19">
            <v>286.03851339638464</v>
          </cell>
          <cell r="BJ19">
            <v>318.84908767088496</v>
          </cell>
          <cell r="BK19">
            <v>313.96957313015952</v>
          </cell>
        </row>
        <row r="20">
          <cell r="E20">
            <v>15.847937606602441</v>
          </cell>
          <cell r="F20">
            <v>16.056412264505894</v>
          </cell>
          <cell r="G20">
            <v>16.324183758733227</v>
          </cell>
          <cell r="H20">
            <v>16.818120372253237</v>
          </cell>
          <cell r="I20">
            <v>17.598889259053045</v>
          </cell>
          <cell r="J20">
            <v>18.496558080251248</v>
          </cell>
          <cell r="K20">
            <v>19.252330205514927</v>
          </cell>
          <cell r="L20">
            <v>19.867140074415534</v>
          </cell>
          <cell r="M20">
            <v>20.387716615352993</v>
          </cell>
          <cell r="N20">
            <v>21.208082920765332</v>
          </cell>
          <cell r="O20">
            <v>22.744058116298184</v>
          </cell>
          <cell r="P20">
            <v>23.962733865982919</v>
          </cell>
          <cell r="Q20">
            <v>25.476656332630419</v>
          </cell>
          <cell r="R20">
            <v>27.210848943083914</v>
          </cell>
          <cell r="S20">
            <v>30.521957827836417</v>
          </cell>
          <cell r="T20">
            <v>34.456153128174805</v>
          </cell>
          <cell r="U20">
            <v>37.066297775595487</v>
          </cell>
          <cell r="V20">
            <v>39.838137622692905</v>
          </cell>
          <cell r="W20">
            <v>41.600277939152427</v>
          </cell>
          <cell r="X20">
            <v>43.474471121583271</v>
          </cell>
          <cell r="Y20">
            <v>45.268487126615121</v>
          </cell>
          <cell r="Z20">
            <v>47.594923878866354</v>
          </cell>
          <cell r="AA20">
            <v>51.198057981450276</v>
          </cell>
          <cell r="AB20">
            <v>54.071727891640442</v>
          </cell>
          <cell r="AC20">
            <v>57.012536377318682</v>
          </cell>
          <cell r="AD20">
            <v>59.650930060215991</v>
          </cell>
          <cell r="AE20">
            <v>61.319235579161855</v>
          </cell>
          <cell r="AF20">
            <v>62.351919375665155</v>
          </cell>
          <cell r="AG20">
            <v>63.704326361379849</v>
          </cell>
          <cell r="AH20">
            <v>66.760514549673658</v>
          </cell>
          <cell r="AI20">
            <v>68.638089402769083</v>
          </cell>
          <cell r="AJ20">
            <v>70.612549545270554</v>
          </cell>
          <cell r="AK20">
            <v>73.030693650830202</v>
          </cell>
          <cell r="AL20">
            <v>75.946978543875943</v>
          </cell>
          <cell r="AM20">
            <v>77.537539999385245</v>
          </cell>
          <cell r="AN20">
            <v>78.48409459883905</v>
          </cell>
          <cell r="AO20">
            <v>78.832627792624237</v>
          </cell>
          <cell r="AP20">
            <v>79.541536378165915</v>
          </cell>
          <cell r="AQ20">
            <v>80.942086360335878</v>
          </cell>
          <cell r="AR20">
            <v>81.402299188885422</v>
          </cell>
          <cell r="AS20">
            <v>83.049549455213267</v>
          </cell>
          <cell r="AT20">
            <v>84.794904423356499</v>
          </cell>
          <cell r="AU20">
            <v>86.219333678938582</v>
          </cell>
          <cell r="AV20">
            <v>87.911799142138179</v>
          </cell>
          <cell r="AW20">
            <v>89.652831506233923</v>
          </cell>
          <cell r="AX20">
            <v>91.567850022477245</v>
          </cell>
          <cell r="AY20">
            <v>93.682960068330615</v>
          </cell>
          <cell r="AZ20">
            <v>95.563641234002105</v>
          </cell>
          <cell r="BA20">
            <v>97.393908664653466</v>
          </cell>
          <cell r="BB20">
            <v>98.151730648544344</v>
          </cell>
          <cell r="BC20">
            <v>100</v>
          </cell>
          <cell r="BD20">
            <v>102.00184372466015</v>
          </cell>
          <cell r="BE20">
            <v>104.01606098403336</v>
          </cell>
          <cell r="BF20">
            <v>105.10427012611221</v>
          </cell>
          <cell r="BG20">
            <v>105.85147343374626</v>
          </cell>
          <cell r="BH20">
            <v>106.90629742827338</v>
          </cell>
          <cell r="BI20">
            <v>108.83655323365524</v>
          </cell>
          <cell r="BJ20">
            <v>110.65201171538752</v>
          </cell>
          <cell r="BK20">
            <v>111.89805009968252</v>
          </cell>
        </row>
        <row r="21">
          <cell r="E21">
            <v>9.7428539390265492</v>
          </cell>
          <cell r="F21">
            <v>9.8443194953898772</v>
          </cell>
          <cell r="G21">
            <v>10.216490012333654</v>
          </cell>
          <cell r="H21">
            <v>10.476912545045124</v>
          </cell>
          <cell r="I21">
            <v>10.438810949438308</v>
          </cell>
          <cell r="J21">
            <v>10.653602059127062</v>
          </cell>
          <cell r="K21">
            <v>10.774697888755247</v>
          </cell>
          <cell r="L21">
            <v>10.789898016995052</v>
          </cell>
          <cell r="M21">
            <v>11.143108020868238</v>
          </cell>
          <cell r="N21">
            <v>11.528012759144449</v>
          </cell>
          <cell r="O21">
            <v>12.10983697439508</v>
          </cell>
          <cell r="P21">
            <v>12.300359074626119</v>
          </cell>
          <cell r="Q21">
            <v>12.954396974982721</v>
          </cell>
          <cell r="R21">
            <v>13.579153852122056</v>
          </cell>
          <cell r="S21">
            <v>15.605260005809132</v>
          </cell>
          <cell r="T21">
            <v>17.828531373891408</v>
          </cell>
          <cell r="U21">
            <v>20.330842418146588</v>
          </cell>
          <cell r="V21">
            <v>21.383347118751139</v>
          </cell>
          <cell r="W21">
            <v>24.020867291525519</v>
          </cell>
          <cell r="X21">
            <v>27.144705616722636</v>
          </cell>
          <cell r="Y21">
            <v>29.910159324700686</v>
          </cell>
          <cell r="Z21">
            <v>32.144133650813011</v>
          </cell>
          <cell r="AA21">
            <v>37.334859646806649</v>
          </cell>
          <cell r="AB21">
            <v>39.106850392595184</v>
          </cell>
          <cell r="AC21">
            <v>39.870834375413509</v>
          </cell>
          <cell r="AD21">
            <v>37.926341065325119</v>
          </cell>
          <cell r="AE21">
            <v>36.559410279167928</v>
          </cell>
          <cell r="AF21">
            <v>37.666597340721509</v>
          </cell>
          <cell r="AG21">
            <v>37.436640162498477</v>
          </cell>
          <cell r="AH21">
            <v>38.269580868896682</v>
          </cell>
          <cell r="AI21">
            <v>39.102555389272524</v>
          </cell>
          <cell r="AJ21">
            <v>39.398413203395748</v>
          </cell>
          <cell r="AK21">
            <v>40.590268180153885</v>
          </cell>
          <cell r="AL21">
            <v>41.555635385683146</v>
          </cell>
          <cell r="AM21">
            <v>56.112621329233015</v>
          </cell>
          <cell r="AN21">
            <v>64.585319602797995</v>
          </cell>
          <cell r="AO21">
            <v>69.046417292084158</v>
          </cell>
          <cell r="AP21">
            <v>71.578700979650876</v>
          </cell>
          <cell r="AQ21">
            <v>75.323415698569846</v>
          </cell>
          <cell r="AR21">
            <v>81.758491311216432</v>
          </cell>
          <cell r="AS21">
            <v>85.305227813272396</v>
          </cell>
          <cell r="AT21">
            <v>86.987514389444783</v>
          </cell>
          <cell r="AU21">
            <v>90.078273746562289</v>
          </cell>
          <cell r="AV21">
            <v>92.838152889688743</v>
          </cell>
          <cell r="AW21">
            <v>93.553188156039496</v>
          </cell>
          <cell r="AX21">
            <v>97.57017982979707</v>
          </cell>
          <cell r="AY21">
            <v>99.611024672149355</v>
          </cell>
          <cell r="AZ21">
            <v>100</v>
          </cell>
          <cell r="BA21">
            <v>106.43806857942617</v>
          </cell>
          <cell r="BB21">
            <v>109.13117103035039</v>
          </cell>
          <cell r="BC21">
            <v>110.09695114172726</v>
          </cell>
          <cell r="BD21">
            <v>114.20783645655878</v>
          </cell>
          <cell r="BE21">
            <v>122.99349881796688</v>
          </cell>
          <cell r="BF21">
            <v>124.7236236319025</v>
          </cell>
          <cell r="BG21">
            <v>124.41351064105555</v>
          </cell>
          <cell r="BH21">
            <v>124.50775031420194</v>
          </cell>
          <cell r="BI21">
            <v>124.15913448323816</v>
          </cell>
          <cell r="BJ21">
            <v>124.19850213857544</v>
          </cell>
          <cell r="BK21">
            <v>124.19125859931933</v>
          </cell>
        </row>
        <row r="22">
          <cell r="E22">
            <v>18.756758441208234</v>
          </cell>
          <cell r="F22">
            <v>19.113250937997513</v>
          </cell>
          <cell r="G22">
            <v>19.497498300821846</v>
          </cell>
          <cell r="H22">
            <v>20.501136852222913</v>
          </cell>
          <cell r="I22">
            <v>20.872661853684701</v>
          </cell>
          <cell r="J22">
            <v>20.735722159823258</v>
          </cell>
          <cell r="K22">
            <v>21.213290090462884</v>
          </cell>
          <cell r="L22">
            <v>20.277570081685298</v>
          </cell>
          <cell r="M22">
            <v>20.224061894276574</v>
          </cell>
          <cell r="N22">
            <v>21.622182477139475</v>
          </cell>
          <cell r="O22">
            <v>22.007798364638635</v>
          </cell>
          <cell r="P22">
            <v>22.751106324015318</v>
          </cell>
          <cell r="Q22">
            <v>24.411173844141945</v>
          </cell>
          <cell r="R22">
            <v>25.064870651642597</v>
          </cell>
          <cell r="S22">
            <v>27.825693311224686</v>
          </cell>
          <cell r="T22">
            <v>30.100765397143007</v>
          </cell>
          <cell r="U22">
            <v>32.125194079476131</v>
          </cell>
          <cell r="V22">
            <v>38.120390197008696</v>
          </cell>
          <cell r="W22">
            <v>43.660169380591249</v>
          </cell>
          <cell r="X22">
            <v>47.045371752350654</v>
          </cell>
          <cell r="Y22">
            <v>51.135669747714552</v>
          </cell>
          <cell r="Z22">
            <v>58.082255851383678</v>
          </cell>
          <cell r="AA22">
            <v>63.336676663710143</v>
          </cell>
          <cell r="AB22">
            <v>66.762758258008986</v>
          </cell>
          <cell r="AC22">
            <v>71.103062112918053</v>
          </cell>
          <cell r="AD22">
            <v>71.641359723398878</v>
          </cell>
          <cell r="AE22">
            <v>67.095230534401566</v>
          </cell>
          <cell r="AF22">
            <v>67.925415369739738</v>
          </cell>
          <cell r="AG22">
            <v>70.24069159837795</v>
          </cell>
          <cell r="AH22">
            <v>73.634455188388955</v>
          </cell>
          <cell r="AI22">
            <v>74.967250183269641</v>
          </cell>
          <cell r="AJ22">
            <v>71.992714062164382</v>
          </cell>
          <cell r="AK22">
            <v>72.156180444637741</v>
          </cell>
          <cell r="AL22">
            <v>71.115803931852284</v>
          </cell>
          <cell r="AM22">
            <v>81.52641936299284</v>
          </cell>
          <cell r="AN22">
            <v>87.04540660257409</v>
          </cell>
          <cell r="AO22">
            <v>87.34893841949031</v>
          </cell>
          <cell r="AP22">
            <v>88.708262467886641</v>
          </cell>
          <cell r="AQ22">
            <v>95.751978854814652</v>
          </cell>
          <cell r="AR22">
            <v>100</v>
          </cell>
          <cell r="AS22">
            <v>99.18022803217994</v>
          </cell>
          <cell r="AT22">
            <v>102.33379183862708</v>
          </cell>
          <cell r="AU22">
            <v>106.2613073073089</v>
          </cell>
          <cell r="AV22">
            <v>107.83905356367048</v>
          </cell>
          <cell r="AW22">
            <v>107.93678519684697</v>
          </cell>
          <cell r="AX22">
            <v>111.97296955971893</v>
          </cell>
          <cell r="AY22">
            <v>111.23078905177306</v>
          </cell>
          <cell r="AZ22">
            <v>112.3375264192608</v>
          </cell>
          <cell r="BA22">
            <v>120.91920174301463</v>
          </cell>
          <cell r="BB22">
            <v>123.82787739110105</v>
          </cell>
          <cell r="BC22">
            <v>132.25572779336142</v>
          </cell>
          <cell r="BD22">
            <v>141.12472596075142</v>
          </cell>
          <cell r="BE22">
            <v>149.34379227703658</v>
          </cell>
          <cell r="BF22">
            <v>146.16400111733171</v>
          </cell>
          <cell r="BG22">
            <v>145.25723026178053</v>
          </cell>
          <cell r="BH22">
            <v>140.79285126725156</v>
          </cell>
          <cell r="BI22">
            <v>139.22968794792737</v>
          </cell>
          <cell r="BJ22">
            <v>145.52972778623271</v>
          </cell>
          <cell r="BK22">
            <v>152.8732311853345</v>
          </cell>
        </row>
        <row r="23">
          <cell r="E23">
            <v>2.1813002230935226</v>
          </cell>
          <cell r="F23">
            <v>2.3177946827290024</v>
          </cell>
          <cell r="G23">
            <v>2.3183097777336283</v>
          </cell>
          <cell r="H23">
            <v>2.4380286629641224</v>
          </cell>
          <cell r="I23">
            <v>2.2248663405605091</v>
          </cell>
          <cell r="J23">
            <v>2.4013361743722124</v>
          </cell>
          <cell r="K23">
            <v>2.5525288344514334</v>
          </cell>
          <cell r="L23">
            <v>2.93009796673359</v>
          </cell>
          <cell r="M23">
            <v>2.7610434920950064</v>
          </cell>
          <cell r="N23">
            <v>3.0876118694904222</v>
          </cell>
          <cell r="O23">
            <v>3.1033682322475458</v>
          </cell>
          <cell r="P23">
            <v>3.1953289444536779</v>
          </cell>
          <cell r="Q23">
            <v>3.3359879525350142</v>
          </cell>
          <cell r="R23">
            <v>5.3844774848037291</v>
          </cell>
          <cell r="S23">
            <v>7.7828700472890731</v>
          </cell>
          <cell r="T23">
            <v>14.053509485615351</v>
          </cell>
          <cell r="U23">
            <v>11.575816837976845</v>
          </cell>
          <cell r="V23">
            <v>11.204215067475765</v>
          </cell>
          <cell r="W23">
            <v>14.074610106560071</v>
          </cell>
          <cell r="X23">
            <v>15.843015336461628</v>
          </cell>
          <cell r="Y23">
            <v>18.62426730787082</v>
          </cell>
          <cell r="Z23">
            <v>20.467080880845014</v>
          </cell>
          <cell r="AA23">
            <v>22.4842779891836</v>
          </cell>
          <cell r="AB23">
            <v>24.392688615919756</v>
          </cell>
          <cell r="AC23">
            <v>26.313750992192492</v>
          </cell>
          <cell r="AD23">
            <v>31.180509683116437</v>
          </cell>
          <cell r="AE23">
            <v>33.754275200458153</v>
          </cell>
          <cell r="AF23">
            <v>37.507626106386169</v>
          </cell>
          <cell r="AG23">
            <v>40.319135983171833</v>
          </cell>
          <cell r="AH23">
            <v>43.680934756021514</v>
          </cell>
          <cell r="AI23">
            <v>46.534494596815065</v>
          </cell>
          <cell r="AJ23">
            <v>47.804668516015539</v>
          </cell>
          <cell r="AK23">
            <v>49.039062452324409</v>
          </cell>
          <cell r="AL23">
            <v>49.115327106192566</v>
          </cell>
          <cell r="AM23">
            <v>51.063347223570574</v>
          </cell>
          <cell r="AN23">
            <v>54.711792082643562</v>
          </cell>
          <cell r="AO23">
            <v>65.185387038385684</v>
          </cell>
          <cell r="AP23">
            <v>67.66258310708325</v>
          </cell>
          <cell r="AQ23">
            <v>70.867226867662822</v>
          </cell>
          <cell r="AR23">
            <v>73.546743458827692</v>
          </cell>
          <cell r="AS23">
            <v>76.081649168581194</v>
          </cell>
          <cell r="AT23">
            <v>78.562793578678068</v>
          </cell>
          <cell r="AU23">
            <v>81.621138985860981</v>
          </cell>
          <cell r="AV23">
            <v>86.368074775587445</v>
          </cell>
          <cell r="AW23">
            <v>90.308304135233215</v>
          </cell>
          <cell r="AX23">
            <v>94.450168709156557</v>
          </cell>
          <cell r="AY23">
            <v>100</v>
          </cell>
          <cell r="AZ23">
            <v>106.4712601029623</v>
          </cell>
          <cell r="BA23">
            <v>114.84092975744807</v>
          </cell>
          <cell r="BB23">
            <v>122.60917757096131</v>
          </cell>
          <cell r="BC23">
            <v>131.36917261862308</v>
          </cell>
          <cell r="BD23">
            <v>141.69406184709527</v>
          </cell>
          <cell r="BE23">
            <v>153.26281202632066</v>
          </cell>
          <cell r="BF23">
            <v>164.25934011636519</v>
          </cell>
          <cell r="BG23">
            <v>173.57085474438293</v>
          </cell>
          <cell r="BH23">
            <v>183.76426177263019</v>
          </cell>
          <cell r="BI23">
            <v>196.12762946826678</v>
          </cell>
          <cell r="BJ23">
            <v>208.44186212116816</v>
          </cell>
          <cell r="BK23">
            <v>220.10925069838015</v>
          </cell>
        </row>
        <row r="24">
          <cell r="Y24">
            <v>6.110712158496847E-2</v>
          </cell>
          <cell r="Z24">
            <v>6.2830915823614261E-2</v>
          </cell>
          <cell r="AA24">
            <v>6.403505323795268E-2</v>
          </cell>
          <cell r="AB24">
            <v>6.3621853143091558E-2</v>
          </cell>
          <cell r="AC24">
            <v>6.5363023251810606E-2</v>
          </cell>
          <cell r="AD24">
            <v>6.5512820352029669E-2</v>
          </cell>
          <cell r="AE24">
            <v>6.6394288545884889E-2</v>
          </cell>
          <cell r="AF24">
            <v>6.6436673863080359E-2</v>
          </cell>
          <cell r="AG24">
            <v>6.2855907328409719E-2</v>
          </cell>
          <cell r="AH24">
            <v>6.7085911351135799E-2</v>
          </cell>
          <cell r="AI24">
            <v>8.4654370258785E-2</v>
          </cell>
          <cell r="AJ24">
            <v>0.27642856904376023</v>
          </cell>
          <cell r="AK24">
            <v>0.44112097671389799</v>
          </cell>
          <cell r="AL24">
            <v>0.66649433250479972</v>
          </cell>
          <cell r="AM24">
            <v>1.1510688263164821</v>
          </cell>
          <cell r="AN24">
            <v>2.6995017776609895</v>
          </cell>
          <cell r="AO24">
            <v>4.582981845243757</v>
          </cell>
          <cell r="AP24">
            <v>40.305959956309756</v>
          </cell>
          <cell r="AQ24">
            <v>52.868300565580398</v>
          </cell>
          <cell r="AR24">
            <v>54.569373370667186</v>
          </cell>
          <cell r="AS24">
            <v>58.496604709420943</v>
          </cell>
          <cell r="AT24">
            <v>62.069814664551316</v>
          </cell>
          <cell r="AU24">
            <v>64.41214689373183</v>
          </cell>
          <cell r="AV24">
            <v>65.875043485823596</v>
          </cell>
          <cell r="AW24">
            <v>69.60323175371667</v>
          </cell>
          <cell r="AX24">
            <v>74.135580183896792</v>
          </cell>
          <cell r="AY24">
            <v>79.133384087408047</v>
          </cell>
          <cell r="AZ24">
            <v>87.910383049574946</v>
          </cell>
          <cell r="BA24">
            <v>95.057291054233801</v>
          </cell>
          <cell r="BB24">
            <v>98.904656463516105</v>
          </cell>
          <cell r="BC24">
            <v>100</v>
          </cell>
          <cell r="BD24">
            <v>105.97862816604571</v>
          </cell>
          <cell r="BE24">
            <v>107.62685515705127</v>
          </cell>
          <cell r="BF24">
            <v>106.87033962027697</v>
          </cell>
          <cell r="BG24">
            <v>107.36462130884441</v>
          </cell>
          <cell r="BH24">
            <v>109.73318450371474</v>
          </cell>
          <cell r="BI24">
            <v>112.19790122102975</v>
          </cell>
          <cell r="BJ24">
            <v>116.0155877736558</v>
          </cell>
          <cell r="BK24">
            <v>120.21433010980493</v>
          </cell>
        </row>
        <row r="25">
          <cell r="Y25">
            <v>40.398225129216947</v>
          </cell>
          <cell r="Z25">
            <v>48.038242552635573</v>
          </cell>
          <cell r="AA25">
            <v>54.631008150533532</v>
          </cell>
          <cell r="AB25">
            <v>52.615141891543558</v>
          </cell>
          <cell r="AC25">
            <v>52.394958010177561</v>
          </cell>
          <cell r="AD25">
            <v>51.438752894764441</v>
          </cell>
          <cell r="AE25">
            <v>42.492190481860405</v>
          </cell>
          <cell r="AF25">
            <v>42.772234613337986</v>
          </cell>
          <cell r="AG25">
            <v>43.631711744985438</v>
          </cell>
          <cell r="AH25">
            <v>45.365924098283941</v>
          </cell>
          <cell r="AI25">
            <v>47.555599145530195</v>
          </cell>
          <cell r="AJ25">
            <v>46.660353168092009</v>
          </cell>
          <cell r="AK25">
            <v>45.012005133142459</v>
          </cell>
          <cell r="AL25">
            <v>43.650025246158414</v>
          </cell>
          <cell r="AM25">
            <v>46.850091307766498</v>
          </cell>
          <cell r="AN25">
            <v>47.36107049030489</v>
          </cell>
          <cell r="AO25">
            <v>47.454240101587615</v>
          </cell>
          <cell r="AP25">
            <v>47.896378427638986</v>
          </cell>
          <cell r="AQ25">
            <v>44.516134356053755</v>
          </cell>
          <cell r="AR25">
            <v>45.698675970069395</v>
          </cell>
          <cell r="AS25">
            <v>59.404387017920172</v>
          </cell>
          <cell r="AT25">
            <v>57.40609699447414</v>
          </cell>
          <cell r="AU25">
            <v>59.45241905116233</v>
          </cell>
          <cell r="AV25">
            <v>64.473142367739484</v>
          </cell>
          <cell r="AW25">
            <v>71.559434911669413</v>
          </cell>
          <cell r="AX25">
            <v>81.388117787947394</v>
          </cell>
          <cell r="AY25">
            <v>88.584887644025727</v>
          </cell>
          <cell r="AZ25">
            <v>96.057410035234653</v>
          </cell>
          <cell r="BA25">
            <v>106.97419395531496</v>
          </cell>
          <cell r="BB25">
            <v>93.074229351808384</v>
          </cell>
          <cell r="BC25">
            <v>99.999896568130595</v>
          </cell>
          <cell r="BD25">
            <v>109.73630831643003</v>
          </cell>
          <cell r="BE25">
            <v>113.04008603832617</v>
          </cell>
          <cell r="BF25">
            <v>113.47495826377296</v>
          </cell>
          <cell r="BG25">
            <v>111.57923740111993</v>
          </cell>
          <cell r="BH25">
            <v>101.12606929923096</v>
          </cell>
          <cell r="BI25">
            <v>101.26399931856274</v>
          </cell>
          <cell r="BJ25">
            <v>107.18044432287624</v>
          </cell>
          <cell r="BK25">
            <v>112.18429672629775</v>
          </cell>
        </row>
        <row r="26">
          <cell r="E26">
            <v>8.7088048168733145</v>
          </cell>
          <cell r="F26">
            <v>8.809879315181627</v>
          </cell>
          <cell r="G26">
            <v>8.9058746272877745</v>
          </cell>
          <cell r="H26">
            <v>9.0255485810240934</v>
          </cell>
          <cell r="I26">
            <v>9.1614102586166855</v>
          </cell>
          <cell r="J26">
            <v>9.3457128884085865</v>
          </cell>
          <cell r="K26">
            <v>9.6981694920490487</v>
          </cell>
          <cell r="L26">
            <v>10.155251255618749</v>
          </cell>
          <cell r="M26">
            <v>10.67961570383938</v>
          </cell>
          <cell r="N26">
            <v>11.632811218230479</v>
          </cell>
          <cell r="O26">
            <v>12.347687679123801</v>
          </cell>
          <cell r="P26">
            <v>12.913526835885088</v>
          </cell>
          <cell r="Q26">
            <v>13.789923853505465</v>
          </cell>
          <cell r="R26">
            <v>14.555405764421133</v>
          </cell>
          <cell r="S26">
            <v>16.481479957599142</v>
          </cell>
          <cell r="T26">
            <v>18.237808807188941</v>
          </cell>
          <cell r="U26">
            <v>18.673631390195268</v>
          </cell>
          <cell r="V26">
            <v>18.996443021519791</v>
          </cell>
          <cell r="W26">
            <v>19.423460983893598</v>
          </cell>
          <cell r="X26">
            <v>21.084962586822424</v>
          </cell>
          <cell r="Y26">
            <v>23.194906458865415</v>
          </cell>
          <cell r="Z26">
            <v>27.297697524219888</v>
          </cell>
          <cell r="AA26">
            <v>28.306349506073548</v>
          </cell>
          <cell r="AB26">
            <v>29.998210681635712</v>
          </cell>
          <cell r="AC26">
            <v>30.949584575188361</v>
          </cell>
          <cell r="AD26">
            <v>33.568144478012854</v>
          </cell>
          <cell r="AE26">
            <v>35.132549929297006</v>
          </cell>
          <cell r="AF26">
            <v>37.446501806405472</v>
          </cell>
          <cell r="AG26">
            <v>38.002324218419957</v>
          </cell>
          <cell r="AH26">
            <v>38.691371468241975</v>
          </cell>
          <cell r="AI26">
            <v>40.654459856374316</v>
          </cell>
          <cell r="AJ26">
            <v>41.693807233483433</v>
          </cell>
          <cell r="AK26">
            <v>43.322186010473267</v>
          </cell>
          <cell r="AL26">
            <v>42.953088156865341</v>
          </cell>
          <cell r="AM26">
            <v>43.890911677667951</v>
          </cell>
          <cell r="AN26">
            <v>44.243107839240032</v>
          </cell>
          <cell r="AO26">
            <v>44.678567787594446</v>
          </cell>
          <cell r="AP26">
            <v>76.809133120175446</v>
          </cell>
          <cell r="AQ26">
            <v>79.151222269585048</v>
          </cell>
          <cell r="AR26">
            <v>83.069942528984171</v>
          </cell>
          <cell r="AS26">
            <v>83.835771999900359</v>
          </cell>
          <cell r="AT26">
            <v>84.13210568211818</v>
          </cell>
          <cell r="AU26">
            <v>87.464472199188108</v>
          </cell>
          <cell r="AV26">
            <v>88.474405521864028</v>
          </cell>
          <cell r="AW26">
            <v>89.531258805767393</v>
          </cell>
          <cell r="AX26">
            <v>94.058629579479643</v>
          </cell>
          <cell r="AY26">
            <v>94.837380325202034</v>
          </cell>
          <cell r="AZ26">
            <v>97.632725868441867</v>
          </cell>
          <cell r="BA26">
            <v>99.086420566598107</v>
          </cell>
          <cell r="BB26">
            <v>98.059336844307836</v>
          </cell>
          <cell r="BC26">
            <v>97.674279107791591</v>
          </cell>
          <cell r="BD26">
            <v>96.835905572383282</v>
          </cell>
          <cell r="BE26">
            <v>100</v>
          </cell>
          <cell r="BF26">
            <v>99.541984732824432</v>
          </cell>
          <cell r="BG26">
            <v>102.78218128265499</v>
          </cell>
          <cell r="BH26">
            <v>109.47076243258047</v>
          </cell>
          <cell r="BI26">
            <v>111.79120121623025</v>
          </cell>
          <cell r="BJ26">
            <v>113.21690885564544</v>
          </cell>
        </row>
        <row r="27">
          <cell r="AM27">
            <v>49.94255893800085</v>
          </cell>
          <cell r="AN27">
            <v>54.361192119881409</v>
          </cell>
          <cell r="AO27">
            <v>45.088932543404987</v>
          </cell>
          <cell r="AP27">
            <v>50.955670762302084</v>
          </cell>
          <cell r="AQ27">
            <v>50.149590223189321</v>
          </cell>
          <cell r="AR27">
            <v>54.339954078065112</v>
          </cell>
          <cell r="AS27">
            <v>69.983222826018689</v>
          </cell>
          <cell r="AT27">
            <v>72.057398084602525</v>
          </cell>
          <cell r="AU27">
            <v>75.27091197188021</v>
          </cell>
          <cell r="AV27">
            <v>75.957752240600513</v>
          </cell>
          <cell r="AW27">
            <v>82.370189033117811</v>
          </cell>
          <cell r="AX27">
            <v>80.098787817757483</v>
          </cell>
          <cell r="AY27">
            <v>86.343919422619052</v>
          </cell>
          <cell r="AZ27">
            <v>91.696479663592029</v>
          </cell>
          <cell r="BA27">
            <v>98.438706467550404</v>
          </cell>
          <cell r="BB27">
            <v>98.619542270639698</v>
          </cell>
          <cell r="BC27">
            <v>100</v>
          </cell>
          <cell r="BD27">
            <v>102.43309259916096</v>
          </cell>
          <cell r="BE27">
            <v>103.24811702889873</v>
          </cell>
          <cell r="BF27">
            <v>103.01552948656681</v>
          </cell>
          <cell r="BG27">
            <v>104.0520129423075</v>
          </cell>
          <cell r="BH27">
            <v>105.47404053628186</v>
          </cell>
          <cell r="BI27">
            <v>106.96232318706767</v>
          </cell>
          <cell r="BJ27">
            <v>108.78509641568019</v>
          </cell>
          <cell r="BK27">
            <v>110.26567619179102</v>
          </cell>
        </row>
        <row r="28">
          <cell r="AI28">
            <v>1.0710269058777234E-6</v>
          </cell>
          <cell r="AJ28">
            <v>2.2531911157154988E-6</v>
          </cell>
          <cell r="AK28">
            <v>2.5478562665548166E-5</v>
          </cell>
          <cell r="AL28">
            <v>2.9522379924148647E-4</v>
          </cell>
          <cell r="AM28">
            <v>6.0395367566349559E-3</v>
          </cell>
          <cell r="AN28">
            <v>4.5991318621978215E-2</v>
          </cell>
          <cell r="AO28">
            <v>7.0695246042001877E-2</v>
          </cell>
          <cell r="AP28">
            <v>0.12134808924510705</v>
          </cell>
          <cell r="AQ28">
            <v>0.21427699760061436</v>
          </cell>
          <cell r="AR28">
            <v>0.89309245901544898</v>
          </cell>
          <cell r="AS28">
            <v>2.5479102700416667</v>
          </cell>
          <cell r="AT28">
            <v>4.5743798120993553</v>
          </cell>
          <cell r="AU28">
            <v>6.6279899399232027</v>
          </cell>
          <cell r="AV28">
            <v>8.6618099621900981</v>
          </cell>
          <cell r="AW28">
            <v>10.625885977597793</v>
          </cell>
          <cell r="AX28">
            <v>12.64184613048241</v>
          </cell>
          <cell r="AY28">
            <v>14.000669581267648</v>
          </cell>
          <cell r="AZ28">
            <v>15.802934095765206</v>
          </cell>
          <cell r="BA28">
            <v>19.15529523635184</v>
          </cell>
          <cell r="BB28">
            <v>20.928819246265981</v>
          </cell>
          <cell r="BC28">
            <v>23.878975939748944</v>
          </cell>
          <cell r="BD28">
            <v>39.837989969869156</v>
          </cell>
          <cell r="BE28">
            <v>69.826980750986934</v>
          </cell>
          <cell r="BF28">
            <v>84.67030846552224</v>
          </cell>
          <cell r="BG28">
            <v>100</v>
          </cell>
          <cell r="BH28">
            <v>116.02249377785965</v>
          </cell>
          <cell r="BI28">
            <v>125.70099396840695</v>
          </cell>
          <cell r="BJ28">
            <v>136.54037596693536</v>
          </cell>
          <cell r="BK28">
            <v>152.32137666269057</v>
          </cell>
        </row>
        <row r="29">
          <cell r="E29">
            <v>23.172560997454131</v>
          </cell>
          <cell r="F29">
            <v>23.581099468191184</v>
          </cell>
          <cell r="G29">
            <v>23.901086637421479</v>
          </cell>
          <cell r="H29">
            <v>24.125197397258354</v>
          </cell>
          <cell r="I29">
            <v>24.640552870215888</v>
          </cell>
          <cell r="J29">
            <v>26.023039245740598</v>
          </cell>
          <cell r="K29">
            <v>27.525592298729396</v>
          </cell>
          <cell r="L29">
            <v>28.38506342429638</v>
          </cell>
          <cell r="M29">
            <v>28.861750291984706</v>
          </cell>
          <cell r="N29">
            <v>28.924072113935949</v>
          </cell>
          <cell r="O29">
            <v>31.055672795475171</v>
          </cell>
          <cell r="P29">
            <v>32.628302145470478</v>
          </cell>
          <cell r="Q29">
            <v>32.225265888931069</v>
          </cell>
          <cell r="R29">
            <v>36.954733201006256</v>
          </cell>
          <cell r="S29">
            <v>44.977835992716905</v>
          </cell>
          <cell r="T29">
            <v>52.568876420829469</v>
          </cell>
          <cell r="U29">
            <v>53.177352993287009</v>
          </cell>
          <cell r="V29">
            <v>54.369852713848218</v>
          </cell>
          <cell r="W29">
            <v>58.365592134562029</v>
          </cell>
          <cell r="X29">
            <v>60.458252043602435</v>
          </cell>
          <cell r="Y29">
            <v>69.496025351712674</v>
          </cell>
          <cell r="Z29">
            <v>68.075246928873455</v>
          </cell>
          <cell r="AA29">
            <v>63.323598517350213</v>
          </cell>
          <cell r="AB29">
            <v>68.225323251083609</v>
          </cell>
          <cell r="AC29">
            <v>74.665166035185678</v>
          </cell>
          <cell r="AD29">
            <v>73.317432529511038</v>
          </cell>
          <cell r="AE29">
            <v>76.398495883837185</v>
          </cell>
          <cell r="AF29">
            <v>83.718646083982691</v>
          </cell>
          <cell r="AG29">
            <v>86.838283747691165</v>
          </cell>
          <cell r="AH29">
            <v>88.614461858213218</v>
          </cell>
          <cell r="AI29">
            <v>88.767646282225087</v>
          </cell>
          <cell r="AJ29">
            <v>85.944680645472985</v>
          </cell>
          <cell r="AK29">
            <v>89.374436493751162</v>
          </cell>
          <cell r="AL29">
            <v>90.850491520123683</v>
          </cell>
          <cell r="AM29">
            <v>94.110096089350705</v>
          </cell>
          <cell r="AN29">
            <v>99.830463468270096</v>
          </cell>
          <cell r="AO29">
            <v>101.79636879022891</v>
          </cell>
          <cell r="AP29">
            <v>100.29354724120236</v>
          </cell>
          <cell r="AQ29">
            <v>101.80100360045579</v>
          </cell>
          <cell r="AR29">
            <v>99.526309909507319</v>
          </cell>
          <cell r="AS29">
            <v>100</v>
          </cell>
          <cell r="AT29">
            <v>99.777393316535168</v>
          </cell>
          <cell r="AU29">
            <v>101.52505009016448</v>
          </cell>
          <cell r="AV29">
            <v>98.620742226168645</v>
          </cell>
          <cell r="AW29">
            <v>100.66070375819483</v>
          </cell>
          <cell r="AX29">
            <v>103.35884830581233</v>
          </cell>
          <cell r="AY29">
            <v>107.98825049745699</v>
          </cell>
          <cell r="AZ29">
            <v>113.22057298687432</v>
          </cell>
          <cell r="BA29">
            <v>116.31518711796005</v>
          </cell>
          <cell r="BB29">
            <v>112.71984862712915</v>
          </cell>
          <cell r="BC29">
            <v>114.05393117021478</v>
          </cell>
          <cell r="BD29">
            <v>118.82236437358671</v>
          </cell>
          <cell r="BE29">
            <v>121.42813105339086</v>
          </cell>
          <cell r="BF29">
            <v>123.83732987105016</v>
          </cell>
          <cell r="BG29">
            <v>125.70279481444973</v>
          </cell>
          <cell r="BH29">
            <v>126.52427251792284</v>
          </cell>
          <cell r="BI29">
            <v>130.46049693951741</v>
          </cell>
          <cell r="BJ29">
            <v>132.5962740002706</v>
          </cell>
          <cell r="BK29">
            <v>132.98189270191918</v>
          </cell>
        </row>
        <row r="30">
          <cell r="E30">
            <v>6.4181708117851022</v>
          </cell>
          <cell r="F30">
            <v>6.47843977939573</v>
          </cell>
          <cell r="G30">
            <v>6.5417046291829335</v>
          </cell>
          <cell r="H30">
            <v>6.6248367053753876</v>
          </cell>
          <cell r="I30">
            <v>6.6553807161808125</v>
          </cell>
          <cell r="J30">
            <v>6.7526240143330449</v>
          </cell>
          <cell r="K30">
            <v>6.9287737079682259</v>
          </cell>
          <cell r="L30">
            <v>7.1699182874712202</v>
          </cell>
          <cell r="M30">
            <v>7.8138927159337541</v>
          </cell>
          <cell r="N30">
            <v>8.304688249779165</v>
          </cell>
          <cell r="O30">
            <v>8.8253522911816891</v>
          </cell>
          <cell r="P30">
            <v>9.6678390922271475</v>
          </cell>
          <cell r="Q30">
            <v>10.588775281726075</v>
          </cell>
          <cell r="R30">
            <v>11.945431370384997</v>
          </cell>
          <cell r="S30">
            <v>13.735328562961231</v>
          </cell>
          <cell r="T30">
            <v>14.60848713624155</v>
          </cell>
          <cell r="U30">
            <v>15.01513617169355</v>
          </cell>
          <cell r="V30">
            <v>16.406904323010536</v>
          </cell>
          <cell r="W30">
            <v>17.213912408658533</v>
          </cell>
          <cell r="X30">
            <v>18.318247445329142</v>
          </cell>
          <cell r="Y30">
            <v>20.123343498088357</v>
          </cell>
          <cell r="Z30">
            <v>23.687065140378216</v>
          </cell>
          <cell r="AA30">
            <v>26.578922272581206</v>
          </cell>
          <cell r="AB30">
            <v>29.501907641597057</v>
          </cell>
          <cell r="AC30">
            <v>32.539587047254585</v>
          </cell>
          <cell r="AD30">
            <v>35.017179895155579</v>
          </cell>
          <cell r="AE30">
            <v>37.060480215112356</v>
          </cell>
          <cell r="AF30">
            <v>39.465021311159063</v>
          </cell>
          <cell r="AG30">
            <v>41.396050317990742</v>
          </cell>
          <cell r="AH30">
            <v>43.729426928447872</v>
          </cell>
          <cell r="AI30">
            <v>46.367873522962142</v>
          </cell>
          <cell r="AJ30">
            <v>49.349601603736808</v>
          </cell>
          <cell r="AK30">
            <v>50.738242139211579</v>
          </cell>
          <cell r="AL30">
            <v>53.374755616862913</v>
          </cell>
          <cell r="AM30">
            <v>54.420668220975578</v>
          </cell>
          <cell r="AN30">
            <v>56.694615997623288</v>
          </cell>
          <cell r="AO30">
            <v>73.342819836609365</v>
          </cell>
          <cell r="AP30">
            <v>76.294064453430281</v>
          </cell>
          <cell r="AQ30">
            <v>78.385705292703861</v>
          </cell>
          <cell r="AR30">
            <v>80.511642822230911</v>
          </cell>
          <cell r="AS30">
            <v>77.100883480646559</v>
          </cell>
          <cell r="AT30">
            <v>76.045221133416845</v>
          </cell>
          <cell r="AU30">
            <v>82.570237260865326</v>
          </cell>
          <cell r="AV30">
            <v>84.902631773208199</v>
          </cell>
          <cell r="AW30">
            <v>88.886384974292596</v>
          </cell>
          <cell r="AX30">
            <v>94.897214450796739</v>
          </cell>
          <cell r="AY30">
            <v>100</v>
          </cell>
          <cell r="AZ30">
            <v>105.86640576511965</v>
          </cell>
          <cell r="BA30">
            <v>108.0740777820603</v>
          </cell>
          <cell r="BB30">
            <v>108.43468309477761</v>
          </cell>
          <cell r="BC30">
            <v>109.5720626636834</v>
          </cell>
          <cell r="BD30">
            <v>109.53637227247917</v>
          </cell>
          <cell r="BE30">
            <v>114.82655448195894</v>
          </cell>
          <cell r="BF30">
            <v>118.55370566607294</v>
          </cell>
        </row>
        <row r="31">
          <cell r="E31">
            <v>7.3459256376718496E-5</v>
          </cell>
          <cell r="F31">
            <v>7.8269495802603135E-5</v>
          </cell>
          <cell r="G31">
            <v>8.1057041241935099E-5</v>
          </cell>
          <cell r="H31">
            <v>8.1725125260448424E-5</v>
          </cell>
          <cell r="I31">
            <v>8.8578547724249763E-5</v>
          </cell>
          <cell r="J31">
            <v>9.3796732270184059E-5</v>
          </cell>
          <cell r="K31">
            <v>9.6906916005948769E-5</v>
          </cell>
          <cell r="L31">
            <v>1.0294659944258438E-4</v>
          </cell>
          <cell r="M31">
            <v>1.0767028793465987E-4</v>
          </cell>
          <cell r="N31">
            <v>1.1167455484132076E-4</v>
          </cell>
          <cell r="O31">
            <v>1.1609749387117857E-4</v>
          </cell>
          <cell r="P31">
            <v>1.1904478231170535E-4</v>
          </cell>
          <cell r="Q31">
            <v>1.416368020598743E-4</v>
          </cell>
          <cell r="R31">
            <v>2.0246203140048615E-4</v>
          </cell>
          <cell r="S31">
            <v>3.2706923318360083E-4</v>
          </cell>
          <cell r="T31">
            <v>3.489674264796656E-4</v>
          </cell>
          <cell r="U31">
            <v>3.7897485936108893E-4</v>
          </cell>
          <cell r="V31">
            <v>4.2650065042536554E-4</v>
          </cell>
          <cell r="W31">
            <v>4.8665349523557117E-4</v>
          </cell>
          <cell r="X31">
            <v>5.8299713273143709E-4</v>
          </cell>
          <cell r="Y31">
            <v>7.2733334434162177E-4</v>
          </cell>
          <cell r="Z31">
            <v>9.4097406891105971E-4</v>
          </cell>
          <cell r="AA31">
            <v>2.4352856841799082E-3</v>
          </cell>
          <cell r="AB31">
            <v>8.9038098594240115E-3</v>
          </cell>
          <cell r="AC31">
            <v>0.13742706445859937</v>
          </cell>
          <cell r="AD31">
            <v>17.094033518684533</v>
          </cell>
          <cell r="AE31">
            <v>56.413454661536797</v>
          </cell>
          <cell r="AF31">
            <v>64.296050218147343</v>
          </cell>
          <cell r="AG31">
            <v>75.988114475772733</v>
          </cell>
          <cell r="AH31">
            <v>86.008232432363229</v>
          </cell>
          <cell r="AI31">
            <v>100</v>
          </cell>
          <cell r="AJ31">
            <v>117.68943692698524</v>
          </cell>
          <cell r="AK31">
            <v>133.22351000341015</v>
          </cell>
          <cell r="AL31">
            <v>141.95918785706766</v>
          </cell>
          <cell r="AM31">
            <v>153.24807198777359</v>
          </cell>
          <cell r="AN31">
            <v>170.76016734511478</v>
          </cell>
          <cell r="AO31">
            <v>190.53454637966237</v>
          </cell>
          <cell r="AP31">
            <v>201.4046233062713</v>
          </cell>
          <cell r="AQ31">
            <v>215.60592547008804</v>
          </cell>
          <cell r="AR31">
            <v>220.80539479229279</v>
          </cell>
          <cell r="AS31">
            <v>232.27713573801347</v>
          </cell>
          <cell r="AT31">
            <v>236.6209337210274</v>
          </cell>
          <cell r="AU31">
            <v>243.29543866408301</v>
          </cell>
          <cell r="AV31">
            <v>258.69601837771478</v>
          </cell>
          <cell r="AW31">
            <v>279.30816683623453</v>
          </cell>
          <cell r="AX31">
            <v>295.90129403340109</v>
          </cell>
          <cell r="AY31">
            <v>336.33229813812596</v>
          </cell>
          <cell r="AZ31">
            <v>361.13127364519738</v>
          </cell>
          <cell r="BA31">
            <v>398.62097100366452</v>
          </cell>
          <cell r="BB31">
            <v>388.97475840052806</v>
          </cell>
          <cell r="BC31">
            <v>423.11706624250485</v>
          </cell>
          <cell r="BD31">
            <v>484.90210264910189</v>
          </cell>
          <cell r="BE31">
            <v>519.33149006617009</v>
          </cell>
          <cell r="BF31">
            <v>550.4674253902075</v>
          </cell>
          <cell r="BG31">
            <v>561.74925911266473</v>
          </cell>
          <cell r="BH31">
            <v>535.79305424830363</v>
          </cell>
          <cell r="BI31">
            <v>528.5337584442168</v>
          </cell>
          <cell r="BJ31">
            <v>560.57028845550758</v>
          </cell>
          <cell r="BK31">
            <v>577.70279528630874</v>
          </cell>
        </row>
        <row r="32">
          <cell r="E32">
            <v>2.3750041639609191E-13</v>
          </cell>
          <cell r="F32">
            <v>3.1184405255400781E-13</v>
          </cell>
          <cell r="G32">
            <v>5.5767308347056771E-13</v>
          </cell>
          <cell r="H32">
            <v>9.467414480384067E-13</v>
          </cell>
          <cell r="I32">
            <v>1.8351132483132621E-12</v>
          </cell>
          <cell r="J32">
            <v>2.778083767987708E-12</v>
          </cell>
          <cell r="K32">
            <v>3.8728124160697081E-12</v>
          </cell>
          <cell r="L32">
            <v>5.00541006515728E-12</v>
          </cell>
          <cell r="M32">
            <v>6.3403869125947413E-12</v>
          </cell>
          <cell r="N32">
            <v>7.6664168695292033E-12</v>
          </cell>
          <cell r="O32">
            <v>8.9767826749139191E-12</v>
          </cell>
          <cell r="P32">
            <v>1.0794930626867673E-11</v>
          </cell>
          <cell r="Q32">
            <v>1.2861556183555129E-11</v>
          </cell>
          <cell r="R32">
            <v>1.5776608988153633E-11</v>
          </cell>
          <cell r="S32">
            <v>2.1266898212393328E-11</v>
          </cell>
          <cell r="T32">
            <v>2.8468354263079281E-11</v>
          </cell>
          <cell r="U32">
            <v>4.2026973120473596E-11</v>
          </cell>
          <cell r="V32">
            <v>6.1434846608846362E-11</v>
          </cell>
          <cell r="W32">
            <v>8.6659871948170806E-11</v>
          </cell>
          <cell r="X32">
            <v>1.3560586522830489E-10</v>
          </cell>
          <cell r="Y32">
            <v>2.539991089279314E-10</v>
          </cell>
          <cell r="Z32">
            <v>5.263217994646834E-10</v>
          </cell>
          <cell r="AA32">
            <v>1.0780773817900372E-9</v>
          </cell>
          <cell r="AB32">
            <v>2.5894947366874663E-9</v>
          </cell>
          <cell r="AC32">
            <v>8.0995713547745341E-9</v>
          </cell>
          <cell r="AD32">
            <v>2.6868181511341976E-8</v>
          </cell>
          <cell r="AE32">
            <v>6.5900003143267032E-8</v>
          </cell>
          <cell r="AF32">
            <v>2.0040416661444635E-7</v>
          </cell>
          <cell r="AG32">
            <v>1.5052634628502803E-6</v>
          </cell>
          <cell r="AH32">
            <v>1.9705725040332489E-5</v>
          </cell>
          <cell r="AI32">
            <v>5.5184742804378873E-4</v>
          </cell>
          <cell r="AJ32">
            <v>2.8377995840963466E-3</v>
          </cell>
          <cell r="AK32">
            <v>3.0312928360397465E-2</v>
          </cell>
          <cell r="AL32">
            <v>0.63698003089166255</v>
          </cell>
          <cell r="AM32">
            <v>15.305615931397604</v>
          </cell>
          <cell r="AN32">
            <v>29.003750408136487</v>
          </cell>
          <cell r="AO32">
            <v>34.357199864733772</v>
          </cell>
          <cell r="AP32">
            <v>37.01267588645667</v>
          </cell>
          <cell r="AQ32">
            <v>38.835313878672956</v>
          </cell>
          <cell r="AR32">
            <v>41.946217039505278</v>
          </cell>
          <cell r="AS32">
            <v>44.297749292894771</v>
          </cell>
          <cell r="AT32">
            <v>47.941280953340268</v>
          </cell>
          <cell r="AU32">
            <v>52.638621469854996</v>
          </cell>
          <cell r="AV32">
            <v>60.055940950691834</v>
          </cell>
          <cell r="AW32">
            <v>64.711513983879826</v>
          </cell>
          <cell r="AX32">
            <v>69.520372491003599</v>
          </cell>
          <cell r="AY32">
            <v>74.229873078100454</v>
          </cell>
          <cell r="AZ32">
            <v>79.009562880134283</v>
          </cell>
          <cell r="BA32">
            <v>85.945459016471162</v>
          </cell>
          <cell r="BB32">
            <v>92.231065324281005</v>
          </cell>
          <cell r="BC32">
            <v>100</v>
          </cell>
          <cell r="BD32">
            <v>108.3185922188201</v>
          </cell>
          <cell r="BE32">
            <v>116.92247549984836</v>
          </cell>
          <cell r="BF32">
            <v>125.69697455146837</v>
          </cell>
          <cell r="BG32">
            <v>135.56010018415526</v>
          </cell>
          <cell r="BH32">
            <v>145.81678937823855</v>
          </cell>
          <cell r="BI32">
            <v>157.62796141480325</v>
          </cell>
          <cell r="BJ32">
            <v>163.10208196620431</v>
          </cell>
          <cell r="BK32">
            <v>168.0366391341945</v>
          </cell>
          <cell r="BN32" t="str">
            <v>Brazil</v>
          </cell>
        </row>
        <row r="33">
          <cell r="S33">
            <v>100</v>
          </cell>
          <cell r="T33">
            <v>129.3607284851515</v>
          </cell>
          <cell r="U33">
            <v>133.26869353871598</v>
          </cell>
          <cell r="V33">
            <v>146.26283860273605</v>
          </cell>
          <cell r="W33">
            <v>156.08805381034995</v>
          </cell>
          <cell r="X33">
            <v>175.40915359196524</v>
          </cell>
          <cell r="Y33">
            <v>215.69937452790441</v>
          </cell>
          <cell r="Z33">
            <v>242.06914082358924</v>
          </cell>
          <cell r="AA33">
            <v>266.04278074866312</v>
          </cell>
          <cell r="AB33">
            <v>281.04549082202715</v>
          </cell>
          <cell r="AC33">
            <v>295.79961464354528</v>
          </cell>
          <cell r="AD33">
            <v>306.29050705299272</v>
          </cell>
          <cell r="AE33">
            <v>319.96372430471587</v>
          </cell>
          <cell r="AF33">
            <v>343.52746993633576</v>
          </cell>
          <cell r="AG33">
            <v>353.18518518518516</v>
          </cell>
          <cell r="AH33">
            <v>376.98823011769883</v>
          </cell>
          <cell r="AI33">
            <v>462.91661926970767</v>
          </cell>
          <cell r="AJ33">
            <v>477.9093169172487</v>
          </cell>
          <cell r="AK33">
            <v>496.60175639557087</v>
          </cell>
          <cell r="AL33">
            <v>517.47768137809635</v>
          </cell>
          <cell r="AM33">
            <v>524.21856069784349</v>
          </cell>
          <cell r="AN33">
            <v>540.25650160313501</v>
          </cell>
          <cell r="AO33">
            <v>554.08338092518557</v>
          </cell>
          <cell r="AP33">
            <v>559.14940021810253</v>
          </cell>
          <cell r="AQ33">
            <v>607.73678124671505</v>
          </cell>
          <cell r="AR33">
            <v>634.7652975691534</v>
          </cell>
          <cell r="AS33">
            <v>626.24134817935601</v>
          </cell>
          <cell r="AT33">
            <v>640.49527332511309</v>
          </cell>
          <cell r="AU33">
            <v>646.19775739041791</v>
          </cell>
          <cell r="AV33">
            <v>653.53222909598878</v>
          </cell>
          <cell r="AW33">
            <v>691.5969693987995</v>
          </cell>
          <cell r="AX33">
            <v>737.6360367180846</v>
          </cell>
          <cell r="AY33">
            <v>748.07451191115888</v>
          </cell>
          <cell r="AZ33">
            <v>822.36205227492735</v>
          </cell>
          <cell r="BA33">
            <v>840.64340335765144</v>
          </cell>
          <cell r="BB33">
            <v>820.12814645308913</v>
          </cell>
          <cell r="BC33">
            <v>827.07686689793684</v>
          </cell>
          <cell r="BD33">
            <v>845.43805550516959</v>
          </cell>
          <cell r="BE33">
            <v>842.24473184408066</v>
          </cell>
          <cell r="BF33">
            <v>834.23765599565934</v>
          </cell>
          <cell r="BG33">
            <v>833.33634719710665</v>
          </cell>
          <cell r="BH33">
            <v>821.5322580645161</v>
          </cell>
          <cell r="BI33">
            <v>795.68692902319049</v>
          </cell>
          <cell r="BJ33">
            <v>812.93529915184081</v>
          </cell>
        </row>
        <row r="34">
          <cell r="S34">
            <v>27.115059358007382</v>
          </cell>
          <cell r="T34">
            <v>28.611529682220954</v>
          </cell>
          <cell r="U34">
            <v>30.221536731234771</v>
          </cell>
          <cell r="V34">
            <v>32.754433768807615</v>
          </cell>
          <cell r="W34">
            <v>32.043194388603226</v>
          </cell>
          <cell r="X34">
            <v>36.103672651444576</v>
          </cell>
          <cell r="Y34">
            <v>67.193977500370167</v>
          </cell>
          <cell r="Z34">
            <v>73.255946030955997</v>
          </cell>
          <cell r="AA34">
            <v>69.711498594475472</v>
          </cell>
          <cell r="AB34">
            <v>61.750420835742325</v>
          </cell>
          <cell r="AC34">
            <v>60.963614533272349</v>
          </cell>
          <cell r="AD34">
            <v>59.460897374723487</v>
          </cell>
          <cell r="AE34">
            <v>40.490048160971206</v>
          </cell>
          <cell r="AF34">
            <v>44.834614421504448</v>
          </cell>
          <cell r="AG34">
            <v>41.396215102494885</v>
          </cell>
          <cell r="AH34">
            <v>44.996878573197506</v>
          </cell>
          <cell r="AI34">
            <v>48.781099757165528</v>
          </cell>
          <cell r="AJ34">
            <v>47.397042968528609</v>
          </cell>
          <cell r="AK34">
            <v>48.215530823138231</v>
          </cell>
          <cell r="AL34">
            <v>46.792454480425128</v>
          </cell>
          <cell r="AM34">
            <v>42.691738526990179</v>
          </cell>
          <cell r="AN34">
            <v>43.918271121324175</v>
          </cell>
          <cell r="AO34">
            <v>45.889655070181817</v>
          </cell>
          <cell r="AP34">
            <v>49.829214676790002</v>
          </cell>
          <cell r="AQ34">
            <v>44.024821947841232</v>
          </cell>
          <cell r="AR34">
            <v>49.12904944866866</v>
          </cell>
          <cell r="AS34">
            <v>63.384191556727252</v>
          </cell>
          <cell r="AT34">
            <v>59.839812185207379</v>
          </cell>
          <cell r="AU34">
            <v>60.063738464259039</v>
          </cell>
          <cell r="AV34">
            <v>63.730396088182083</v>
          </cell>
          <cell r="AW34">
            <v>73.85471174764713</v>
          </cell>
          <cell r="AX34">
            <v>87.714522656556255</v>
          </cell>
          <cell r="AY34">
            <v>96.527833586688573</v>
          </cell>
          <cell r="AZ34">
            <v>97.609377471995757</v>
          </cell>
          <cell r="BA34">
            <v>109.99867216855421</v>
          </cell>
          <cell r="BB34">
            <v>85.698407381341795</v>
          </cell>
          <cell r="BC34">
            <v>100</v>
          </cell>
          <cell r="BD34">
            <v>120.18050541516246</v>
          </cell>
          <cell r="BE34">
            <v>121.64869423008126</v>
          </cell>
          <cell r="BF34">
            <v>118.2131481384784</v>
          </cell>
          <cell r="BG34">
            <v>115.84193358643924</v>
          </cell>
          <cell r="BH34">
            <v>95.606345791879534</v>
          </cell>
          <cell r="BI34">
            <v>86.828719649492086</v>
          </cell>
          <cell r="BJ34">
            <v>91.131293671885246</v>
          </cell>
          <cell r="BK34">
            <v>99.529636048620034</v>
          </cell>
        </row>
        <row r="35">
          <cell r="Y35">
            <v>22.528412242842585</v>
          </cell>
          <cell r="Z35">
            <v>23.515740807689511</v>
          </cell>
          <cell r="AA35">
            <v>25.271520379238861</v>
          </cell>
          <cell r="AB35">
            <v>26.949658888412344</v>
          </cell>
          <cell r="AC35">
            <v>29.655960833316875</v>
          </cell>
          <cell r="AD35">
            <v>31.528021428387916</v>
          </cell>
          <cell r="AE35">
            <v>33.635655564880004</v>
          </cell>
          <cell r="AF35">
            <v>33.771500207487293</v>
          </cell>
          <cell r="AG35">
            <v>38.735760053548326</v>
          </cell>
          <cell r="AH35">
            <v>40.868394178177446</v>
          </cell>
          <cell r="AI35">
            <v>43.201509249424042</v>
          </cell>
          <cell r="AJ35">
            <v>46.987752980597044</v>
          </cell>
          <cell r="AK35">
            <v>51.356090971035819</v>
          </cell>
          <cell r="AL35">
            <v>55.560338065557481</v>
          </cell>
          <cell r="AM35">
            <v>62.700947165296007</v>
          </cell>
          <cell r="AN35">
            <v>67.747006379535705</v>
          </cell>
          <cell r="AO35">
            <v>73.20479126483599</v>
          </cell>
          <cell r="AP35">
            <v>82.344700469739237</v>
          </cell>
          <cell r="AQ35">
            <v>90.998824394163378</v>
          </cell>
          <cell r="AR35">
            <v>97.764867405605955</v>
          </cell>
          <cell r="AS35">
            <v>99.999976692073858</v>
          </cell>
          <cell r="AT35">
            <v>105.26628419000194</v>
          </cell>
          <cell r="AU35">
            <v>110.4045604573642</v>
          </cell>
          <cell r="AV35">
            <v>113.81062336589567</v>
          </cell>
          <cell r="AW35">
            <v>118.12510737301803</v>
          </cell>
          <cell r="AX35">
            <v>125.04479818081799</v>
          </cell>
          <cell r="AY35">
            <v>131.81121597903848</v>
          </cell>
          <cell r="AZ35">
            <v>135.91141530611736</v>
          </cell>
          <cell r="BA35">
            <v>143.59458608750393</v>
          </cell>
          <cell r="BB35">
            <v>150.56072008263243</v>
          </cell>
          <cell r="BC35">
            <v>159.57254798379998</v>
          </cell>
          <cell r="BD35">
            <v>173.30721994410104</v>
          </cell>
          <cell r="BE35">
            <v>189.21810379977862</v>
          </cell>
          <cell r="BF35">
            <v>200.31460020586832</v>
          </cell>
          <cell r="BG35">
            <v>216.88637548843741</v>
          </cell>
          <cell r="BH35">
            <v>222.73949886077139</v>
          </cell>
          <cell r="BI35">
            <v>232.74287205177671</v>
          </cell>
          <cell r="BJ35">
            <v>245.52682298475088</v>
          </cell>
          <cell r="BK35">
            <v>252.76733318471386</v>
          </cell>
        </row>
        <row r="36">
          <cell r="E36">
            <v>1.9847613338471566</v>
          </cell>
          <cell r="F36">
            <v>2.023145556733474</v>
          </cell>
          <cell r="G36">
            <v>2.0506752129816919</v>
          </cell>
          <cell r="H36">
            <v>2.0748081077018417</v>
          </cell>
          <cell r="I36">
            <v>2.1276638208906755</v>
          </cell>
          <cell r="J36">
            <v>2.2094996359040993</v>
          </cell>
          <cell r="K36">
            <v>2.3374018695034238</v>
          </cell>
          <cell r="L36">
            <v>2.5146131859989698</v>
          </cell>
          <cell r="M36">
            <v>2.5690834656816963</v>
          </cell>
          <cell r="N36">
            <v>2.6097868746089716</v>
          </cell>
          <cell r="O36">
            <v>2.7658154199484568</v>
          </cell>
          <cell r="P36">
            <v>2.8948180302402</v>
          </cell>
          <cell r="Q36">
            <v>3.2067468945456867</v>
          </cell>
          <cell r="R36">
            <v>3.5244268781674992</v>
          </cell>
          <cell r="S36">
            <v>3.9754451122079177</v>
          </cell>
          <cell r="T36">
            <v>4.630092864167513</v>
          </cell>
          <cell r="U36">
            <v>5.1540124058273502</v>
          </cell>
          <cell r="V36">
            <v>5.4084857541338645</v>
          </cell>
          <cell r="W36">
            <v>6.0827514702698879</v>
          </cell>
          <cell r="X36">
            <v>7.4122196353159113</v>
          </cell>
          <cell r="Y36">
            <v>8.1675457579433424</v>
          </cell>
          <cell r="Z36">
            <v>8.1603319497703186</v>
          </cell>
          <cell r="AA36">
            <v>8.4618903559413337</v>
          </cell>
          <cell r="AB36">
            <v>9.2019237412888621</v>
          </cell>
          <cell r="AC36">
            <v>10.621503142624592</v>
          </cell>
          <cell r="AD36">
            <v>13.05315389880465</v>
          </cell>
          <cell r="AE36">
            <v>14.888590484923647</v>
          </cell>
          <cell r="AF36">
            <v>16.778558557212587</v>
          </cell>
          <cell r="AG36">
            <v>20.586797987602395</v>
          </cell>
          <cell r="AH36">
            <v>23.396644189488573</v>
          </cell>
          <cell r="AI36">
            <v>24.870637051298822</v>
          </cell>
          <cell r="AJ36">
            <v>26.158366523355607</v>
          </cell>
          <cell r="AK36">
            <v>27.895093911176289</v>
          </cell>
          <cell r="AL36">
            <v>31.539504353976621</v>
          </cell>
          <cell r="AM36">
            <v>34.524341493460227</v>
          </cell>
          <cell r="AN36">
            <v>36.994659918925556</v>
          </cell>
          <cell r="AO36">
            <v>42.955311804454162</v>
          </cell>
          <cell r="AP36">
            <v>45.099043235306411</v>
          </cell>
          <cell r="AQ36">
            <v>49.594187063472418</v>
          </cell>
          <cell r="AR36">
            <v>56.654022973099771</v>
          </cell>
          <cell r="AS36">
            <v>64.682445811210982</v>
          </cell>
          <cell r="AT36">
            <v>70.059384394882201</v>
          </cell>
          <cell r="AU36">
            <v>70.89124900098048</v>
          </cell>
          <cell r="AV36">
            <v>73.201654588680697</v>
          </cell>
          <cell r="AW36">
            <v>80.579494621644372</v>
          </cell>
          <cell r="AX36">
            <v>93.04651758089291</v>
          </cell>
          <cell r="AY36">
            <v>100.00000575228974</v>
          </cell>
          <cell r="AZ36">
            <v>104.92761313612225</v>
          </cell>
          <cell r="BA36">
            <v>109.89005279888617</v>
          </cell>
          <cell r="BB36">
            <v>116.9917257932167</v>
          </cell>
          <cell r="BC36">
            <v>127.42738753342108</v>
          </cell>
          <cell r="BD36">
            <v>145.21386267374859</v>
          </cell>
          <cell r="BE36">
            <v>145.49524619045516</v>
          </cell>
          <cell r="BF36">
            <v>148.85490472592272</v>
          </cell>
          <cell r="BG36">
            <v>166.57438879975336</v>
          </cell>
          <cell r="BH36">
            <v>169.68156166286798</v>
          </cell>
          <cell r="BI36">
            <v>189.96395930832168</v>
          </cell>
          <cell r="BJ36">
            <v>194.93138293036645</v>
          </cell>
          <cell r="BK36">
            <v>196.7284200055951</v>
          </cell>
        </row>
        <row r="37">
          <cell r="E37">
            <v>7.2986897659111412</v>
          </cell>
          <cell r="F37">
            <v>7.6369853885758783</v>
          </cell>
          <cell r="G37">
            <v>8.0103382726035957</v>
          </cell>
          <cell r="H37">
            <v>8.3847795887490548</v>
          </cell>
          <cell r="I37">
            <v>9.0171572379518619</v>
          </cell>
          <cell r="J37">
            <v>9.4715442980789959</v>
          </cell>
          <cell r="K37">
            <v>9.8954348380515178</v>
          </cell>
          <cell r="L37">
            <v>9.8188028857047485</v>
          </cell>
          <cell r="M37">
            <v>11.406739067755886</v>
          </cell>
          <cell r="N37">
            <v>10.967273033216292</v>
          </cell>
          <cell r="O37">
            <v>11.459800071473516</v>
          </cell>
          <cell r="P37">
            <v>12.025715744426234</v>
          </cell>
          <cell r="Q37">
            <v>12.584218495265183</v>
          </cell>
          <cell r="R37">
            <v>12.861007155669322</v>
          </cell>
          <cell r="S37">
            <v>13.553057912755692</v>
          </cell>
          <cell r="T37">
            <v>16.172351188637546</v>
          </cell>
          <cell r="U37">
            <v>20.376616993004482</v>
          </cell>
          <cell r="V37">
            <v>22.693940184635554</v>
          </cell>
          <cell r="W37">
            <v>24.788226331384898</v>
          </cell>
          <cell r="X37">
            <v>27.49674509203529</v>
          </cell>
          <cell r="Y37">
            <v>32.519129842869255</v>
          </cell>
          <cell r="Z37">
            <v>37.030426144108766</v>
          </cell>
          <cell r="AA37">
            <v>44.775056137220268</v>
          </cell>
          <cell r="AB37">
            <v>49.746377497225303</v>
          </cell>
          <cell r="AC37">
            <v>50.45247810919966</v>
          </cell>
          <cell r="AD37">
            <v>67.679565228751343</v>
          </cell>
          <cell r="AE37">
            <v>65.358807741206377</v>
          </cell>
          <cell r="AF37">
            <v>63.853364870052566</v>
          </cell>
          <cell r="AG37">
            <v>65.528912883913634</v>
          </cell>
          <cell r="AH37">
            <v>67.138437187660969</v>
          </cell>
          <cell r="AI37">
            <v>68.371532008275949</v>
          </cell>
          <cell r="AJ37">
            <v>68.105009105392952</v>
          </cell>
          <cell r="AK37">
            <v>70.000131113396236</v>
          </cell>
          <cell r="AL37">
            <v>67.59701238988275</v>
          </cell>
          <cell r="AM37">
            <v>84.09918014261639</v>
          </cell>
          <cell r="AN37">
            <v>92.423296690162132</v>
          </cell>
          <cell r="AO37">
            <v>89.148697020526029</v>
          </cell>
          <cell r="AP37">
            <v>89.882730454117734</v>
          </cell>
          <cell r="AQ37">
            <v>89.510477445260051</v>
          </cell>
          <cell r="AR37">
            <v>93.166725782423327</v>
          </cell>
          <cell r="AS37">
            <v>101.09204748249023</v>
          </cell>
          <cell r="AT37">
            <v>101.52263761007691</v>
          </cell>
          <cell r="AU37">
            <v>99.114640741410113</v>
          </cell>
          <cell r="AV37">
            <v>100.43922726673127</v>
          </cell>
          <cell r="AW37">
            <v>95.979940577941747</v>
          </cell>
          <cell r="AX37">
            <v>100</v>
          </cell>
          <cell r="AY37">
            <v>103.33404593869069</v>
          </cell>
          <cell r="AZ37">
            <v>105.23356507679871</v>
          </cell>
          <cell r="BA37">
            <v>112.68101890226436</v>
          </cell>
          <cell r="BB37">
            <v>113.48288902376396</v>
          </cell>
          <cell r="BC37">
            <v>118.26200449558529</v>
          </cell>
          <cell r="BD37">
            <v>123.00326432464668</v>
          </cell>
          <cell r="BE37">
            <v>130.60614059135321</v>
          </cell>
          <cell r="BF37">
            <v>133.86581520552812</v>
          </cell>
          <cell r="BG37">
            <v>149.87499263960481</v>
          </cell>
          <cell r="BH37">
            <v>153.86083520791922</v>
          </cell>
          <cell r="BI37">
            <v>158.55749956154781</v>
          </cell>
          <cell r="BJ37">
            <v>175.06976060076678</v>
          </cell>
          <cell r="BK37">
            <v>175.86699816667789</v>
          </cell>
        </row>
        <row r="38">
          <cell r="F38">
            <v>12.387847028257157</v>
          </cell>
          <cell r="G38">
            <v>12.549727794366003</v>
          </cell>
          <cell r="H38">
            <v>12.818848151764161</v>
          </cell>
          <cell r="I38">
            <v>13.182106451106328</v>
          </cell>
          <cell r="J38">
            <v>13.681058055890505</v>
          </cell>
          <cell r="K38">
            <v>14.358455651424471</v>
          </cell>
          <cell r="L38">
            <v>14.991531674414171</v>
          </cell>
          <cell r="M38">
            <v>15.599996099516163</v>
          </cell>
          <cell r="N38">
            <v>16.353189277546843</v>
          </cell>
          <cell r="O38">
            <v>16.876218905763064</v>
          </cell>
          <cell r="P38">
            <v>17.716736128635404</v>
          </cell>
          <cell r="Q38">
            <v>18.750695645509992</v>
          </cell>
          <cell r="R38">
            <v>20.591752262454293</v>
          </cell>
          <cell r="S38">
            <v>23.815627819629732</v>
          </cell>
          <cell r="T38">
            <v>26.456736041790545</v>
          </cell>
          <cell r="U38">
            <v>28.783437850539229</v>
          </cell>
          <cell r="V38">
            <v>30.745683960028913</v>
          </cell>
          <cell r="W38">
            <v>32.861187743393749</v>
          </cell>
          <cell r="X38">
            <v>36.175219390145905</v>
          </cell>
          <cell r="Y38">
            <v>39.821401825686607</v>
          </cell>
          <cell r="Z38">
            <v>44.123700719279931</v>
          </cell>
          <cell r="AA38">
            <v>48.016571827298037</v>
          </cell>
          <cell r="AB38">
            <v>50.782168737652732</v>
          </cell>
          <cell r="AC38">
            <v>52.581734602676612</v>
          </cell>
          <cell r="AD38">
            <v>54.33001214747032</v>
          </cell>
          <cell r="AE38">
            <v>56.006413836020819</v>
          </cell>
          <cell r="AF38">
            <v>58.686510389245441</v>
          </cell>
          <cell r="AG38">
            <v>61.364712941746632</v>
          </cell>
          <cell r="AH38">
            <v>64.261219000399237</v>
          </cell>
          <cell r="AI38">
            <v>66.455009842974789</v>
          </cell>
          <cell r="AJ38">
            <v>68.48335254432267</v>
          </cell>
          <cell r="AK38">
            <v>69.499514236539184</v>
          </cell>
          <cell r="AL38">
            <v>70.40123507365864</v>
          </cell>
          <cell r="AM38">
            <v>71.43554713595519</v>
          </cell>
          <cell r="AN38">
            <v>73.040224250430981</v>
          </cell>
          <cell r="AO38">
            <v>74.308716599639666</v>
          </cell>
          <cell r="AP38">
            <v>75.156822832351324</v>
          </cell>
          <cell r="AQ38">
            <v>75.009474291599474</v>
          </cell>
          <cell r="AR38">
            <v>76.4393759001711</v>
          </cell>
          <cell r="AS38">
            <v>79.760854715584102</v>
          </cell>
          <cell r="AT38">
            <v>81.068720539395628</v>
          </cell>
          <cell r="AU38">
            <v>82.071923830488501</v>
          </cell>
          <cell r="AV38">
            <v>84.745418901785655</v>
          </cell>
          <cell r="AW38">
            <v>87.524083807745853</v>
          </cell>
          <cell r="AX38">
            <v>90.277100568558197</v>
          </cell>
          <cell r="AY38">
            <v>92.626359037649777</v>
          </cell>
          <cell r="AZ38">
            <v>95.690982903590481</v>
          </cell>
          <cell r="BA38">
            <v>99.516242831934804</v>
          </cell>
          <cell r="BB38">
            <v>97.211871846217974</v>
          </cell>
          <cell r="BC38">
            <v>100</v>
          </cell>
          <cell r="BD38">
            <v>103.2363821041927</v>
          </cell>
          <cell r="BE38">
            <v>104.47990124681945</v>
          </cell>
          <cell r="BF38">
            <v>106.28628320727304</v>
          </cell>
          <cell r="BG38">
            <v>108.36730086026829</v>
          </cell>
          <cell r="BH38">
            <v>107.3893892366544</v>
          </cell>
          <cell r="BI38">
            <v>108.24579930216261</v>
          </cell>
          <cell r="BJ38">
            <v>111.02052648490417</v>
          </cell>
          <cell r="BK38">
            <v>113.13002875196301</v>
          </cell>
          <cell r="BN38" t="str">
            <v>Canada</v>
          </cell>
        </row>
        <row r="40">
          <cell r="Y40">
            <v>55.124879238820945</v>
          </cell>
          <cell r="Z40">
            <v>58.245557820197391</v>
          </cell>
          <cell r="AA40">
            <v>62.525465286350254</v>
          </cell>
          <cell r="AB40">
            <v>64.005370607706396</v>
          </cell>
          <cell r="AC40">
            <v>66.411740783322557</v>
          </cell>
          <cell r="AD40">
            <v>67.919772514517518</v>
          </cell>
          <cell r="AE40">
            <v>69.980861809724175</v>
          </cell>
          <cell r="AF40">
            <v>71.515879713975195</v>
          </cell>
          <cell r="AG40">
            <v>73.511343279795355</v>
          </cell>
          <cell r="AH40">
            <v>76.053704008826841</v>
          </cell>
          <cell r="AI40">
            <v>79.554928480692652</v>
          </cell>
          <cell r="AJ40">
            <v>83.858137967004922</v>
          </cell>
          <cell r="AK40">
            <v>85.639817337398725</v>
          </cell>
          <cell r="AL40">
            <v>87.62839446991471</v>
          </cell>
          <cell r="AM40">
            <v>88.666253859596438</v>
          </cell>
          <cell r="AN40">
            <v>89.320395985539363</v>
          </cell>
          <cell r="AO40">
            <v>89.465302139441576</v>
          </cell>
          <cell r="AP40">
            <v>89.097670964507131</v>
          </cell>
          <cell r="AQ40">
            <v>88.993338835093411</v>
          </cell>
          <cell r="AR40">
            <v>89.095794596391329</v>
          </cell>
          <cell r="AS40">
            <v>90.433389551991681</v>
          </cell>
          <cell r="AT40">
            <v>91.354458344241991</v>
          </cell>
          <cell r="AU40">
            <v>91.122760888874765</v>
          </cell>
          <cell r="AV40">
            <v>92.149639520869272</v>
          </cell>
          <cell r="AW40">
            <v>92.466119264852992</v>
          </cell>
          <cell r="AX40">
            <v>93.104309723387786</v>
          </cell>
          <cell r="AY40">
            <v>95.05557468710397</v>
          </cell>
          <cell r="AZ40">
            <v>97.350845094235069</v>
          </cell>
          <cell r="BA40">
            <v>99.324412959466983</v>
          </cell>
          <cell r="BB40">
            <v>99.683813474120825</v>
          </cell>
          <cell r="BC40">
            <v>100</v>
          </cell>
          <cell r="BD40">
            <v>100.34228652878269</v>
          </cell>
          <cell r="BE40">
            <v>100.16767216777107</v>
          </cell>
          <cell r="BF40">
            <v>100.19301065429913</v>
          </cell>
          <cell r="BG40">
            <v>99.566395792898803</v>
          </cell>
          <cell r="BH40">
            <v>98.942790042790179</v>
          </cell>
          <cell r="BI40">
            <v>98.296595843984036</v>
          </cell>
          <cell r="BJ40">
            <v>97.930755276371002</v>
          </cell>
          <cell r="BK40">
            <v>98.5509756941387</v>
          </cell>
        </row>
        <row r="41">
          <cell r="AQ41">
            <v>72.497197847639569</v>
          </cell>
          <cell r="AR41">
            <v>75.331570753476569</v>
          </cell>
          <cell r="AS41">
            <v>78.263714734523489</v>
          </cell>
          <cell r="AT41">
            <v>80.847697348338244</v>
          </cell>
          <cell r="AU41">
            <v>84.391030050510324</v>
          </cell>
          <cell r="AV41">
            <v>88.065175401334486</v>
          </cell>
          <cell r="AW41">
            <v>91.409513258884758</v>
          </cell>
          <cell r="AX41">
            <v>93.699056165216987</v>
          </cell>
          <cell r="AY41">
            <v>96.771384133738962</v>
          </cell>
          <cell r="AZ41">
            <v>100</v>
          </cell>
        </row>
        <row r="42">
          <cell r="E42">
            <v>2.8364139658709966E-5</v>
          </cell>
          <cell r="F42">
            <v>3.0227374771399844E-5</v>
          </cell>
          <cell r="G42">
            <v>3.4141371359582033E-5</v>
          </cell>
          <cell r="H42">
            <v>4.9102266193312596E-5</v>
          </cell>
          <cell r="I42">
            <v>7.2639124257171793E-5</v>
          </cell>
          <cell r="J42">
            <v>1.0085222939804093E-4</v>
          </cell>
          <cell r="K42">
            <v>1.2967716896669109E-4</v>
          </cell>
          <cell r="L42">
            <v>1.6228434726536675E-4</v>
          </cell>
          <cell r="M42">
            <v>2.1659876016477463E-4</v>
          </cell>
          <cell r="N42">
            <v>3.0358597576903322E-4</v>
          </cell>
          <cell r="O42">
            <v>4.2676837139552003E-4</v>
          </cell>
          <cell r="P42">
            <v>5.0218547669637654E-4</v>
          </cell>
          <cell r="Q42">
            <v>9.4207416046022106E-4</v>
          </cell>
          <cell r="R42">
            <v>4.8498949152810319E-3</v>
          </cell>
          <cell r="S42">
            <v>3.7761692217687201E-2</v>
          </cell>
          <cell r="T42">
            <v>0.16887074429764856</v>
          </cell>
          <cell r="U42">
            <v>0.58650246338852996</v>
          </cell>
          <cell r="V42">
            <v>1.1834072626269463</v>
          </cell>
          <cell r="W42">
            <v>1.8494837866232763</v>
          </cell>
          <cell r="X42">
            <v>2.7368232938190258</v>
          </cell>
          <cell r="Y42">
            <v>3.5337221926341345</v>
          </cell>
          <cell r="Z42">
            <v>3.9425333021222655</v>
          </cell>
          <cell r="AA42">
            <v>4.244387342414119</v>
          </cell>
          <cell r="AB42">
            <v>5.5586055381570123</v>
          </cell>
          <cell r="AC42">
            <v>6.4333928684893058</v>
          </cell>
          <cell r="AD42">
            <v>9.1149536191446305</v>
          </cell>
          <cell r="AE42">
            <v>11.07055749848486</v>
          </cell>
          <cell r="AF42">
            <v>13.932121584349941</v>
          </cell>
          <cell r="AG42">
            <v>16.957883196744085</v>
          </cell>
          <cell r="AH42">
            <v>19.290614996604905</v>
          </cell>
          <cell r="AI42">
            <v>23.625396957887535</v>
          </cell>
          <cell r="AJ42">
            <v>28.679101439228138</v>
          </cell>
          <cell r="AK42">
            <v>32.540563784776467</v>
          </cell>
          <cell r="AL42">
            <v>36.498934526652967</v>
          </cell>
          <cell r="AM42">
            <v>41.77813492418862</v>
          </cell>
          <cell r="AN42">
            <v>46.658121096051822</v>
          </cell>
          <cell r="AO42">
            <v>48.231135146796774</v>
          </cell>
          <cell r="AP42">
            <v>49.707794907124949</v>
          </cell>
          <cell r="AQ42">
            <v>50.226017323846293</v>
          </cell>
          <cell r="AR42">
            <v>51.370890507819809</v>
          </cell>
          <cell r="AS42">
            <v>53.565372339734331</v>
          </cell>
          <cell r="AT42">
            <v>55.633478458236084</v>
          </cell>
          <cell r="AU42">
            <v>57.52060665361379</v>
          </cell>
          <cell r="AV42">
            <v>60.154393290975129</v>
          </cell>
          <cell r="AW42">
            <v>64.876201590947915</v>
          </cell>
          <cell r="AX42">
            <v>69.834617438548534</v>
          </cell>
          <cell r="AY42">
            <v>78.328048337458725</v>
          </cell>
          <cell r="AZ42">
            <v>82.50921429294182</v>
          </cell>
          <cell r="BA42">
            <v>82.465122153276127</v>
          </cell>
          <cell r="BB42">
            <v>86.303679789118519</v>
          </cell>
          <cell r="BC42">
            <v>94.038469086663284</v>
          </cell>
          <cell r="BD42">
            <v>96.965799102927292</v>
          </cell>
          <cell r="BE42">
            <v>98.061668667842198</v>
          </cell>
          <cell r="BF42">
            <v>100</v>
          </cell>
          <cell r="BG42">
            <v>105.9063490569844</v>
          </cell>
          <cell r="BH42">
            <v>111.15246036914668</v>
          </cell>
          <cell r="BI42">
            <v>116.12068600233974</v>
          </cell>
          <cell r="BJ42">
            <v>121.92136908712344</v>
          </cell>
          <cell r="BK42">
            <v>124.38272776237828</v>
          </cell>
          <cell r="BN42" t="str">
            <v>Chile</v>
          </cell>
        </row>
        <row r="43">
          <cell r="E43">
            <v>14.85558138570687</v>
          </cell>
          <cell r="F43">
            <v>17.121650840667961</v>
          </cell>
          <cell r="G43">
            <v>17.101966948749634</v>
          </cell>
          <cell r="H43">
            <v>16.653619961889991</v>
          </cell>
          <cell r="I43">
            <v>16.593327448723777</v>
          </cell>
          <cell r="J43">
            <v>16.73765302573883</v>
          </cell>
          <cell r="K43">
            <v>16.476199029703658</v>
          </cell>
          <cell r="L43">
            <v>16.610232460079416</v>
          </cell>
          <cell r="M43">
            <v>16.83672556260856</v>
          </cell>
          <cell r="N43">
            <v>16.198187910582355</v>
          </cell>
          <cell r="O43">
            <v>15.774674876077166</v>
          </cell>
          <cell r="P43">
            <v>15.87972433546145</v>
          </cell>
          <cell r="Q43">
            <v>15.891504807112492</v>
          </cell>
          <cell r="R43">
            <v>15.924633035559467</v>
          </cell>
          <cell r="S43">
            <v>15.968861422338145</v>
          </cell>
          <cell r="T43">
            <v>15.788225629185874</v>
          </cell>
          <cell r="U43">
            <v>15.771444919887234</v>
          </cell>
          <cell r="V43">
            <v>15.94394853336242</v>
          </cell>
          <cell r="W43">
            <v>16.239012050784645</v>
          </cell>
          <cell r="X43">
            <v>16.822268963229373</v>
          </cell>
          <cell r="Y43">
            <v>17.4578475955398</v>
          </cell>
          <cell r="Z43">
            <v>17.859345810310774</v>
          </cell>
          <cell r="AA43">
            <v>17.847816584244452</v>
          </cell>
          <cell r="AB43">
            <v>18.043689291657486</v>
          </cell>
          <cell r="AC43">
            <v>18.944411139289262</v>
          </cell>
          <cell r="AD43">
            <v>20.876180873669885</v>
          </cell>
          <cell r="AE43">
            <v>21.852950590020026</v>
          </cell>
          <cell r="AF43">
            <v>22.957153172972809</v>
          </cell>
          <cell r="AG43">
            <v>25.733969553829304</v>
          </cell>
          <cell r="AH43">
            <v>27.953215413822559</v>
          </cell>
          <cell r="AI43">
            <v>29.553422316144712</v>
          </cell>
          <cell r="AJ43">
            <v>31.528768816060786</v>
          </cell>
          <cell r="AK43">
            <v>34.113575365856768</v>
          </cell>
          <cell r="AL43">
            <v>39.29959096070629</v>
          </cell>
          <cell r="AM43">
            <v>47.395546207584808</v>
          </cell>
          <cell r="AN43">
            <v>53.874772885228836</v>
          </cell>
          <cell r="AO43">
            <v>57.377223560935931</v>
          </cell>
          <cell r="AP43">
            <v>58.307974168975505</v>
          </cell>
          <cell r="AQ43">
            <v>57.787523394678821</v>
          </cell>
          <cell r="AR43">
            <v>57.054540872016332</v>
          </cell>
          <cell r="AS43">
            <v>58.230698197899585</v>
          </cell>
          <cell r="AT43">
            <v>59.420418332145772</v>
          </cell>
          <cell r="AU43">
            <v>59.779823123455088</v>
          </cell>
          <cell r="AV43">
            <v>61.337351270072006</v>
          </cell>
          <cell r="AW43">
            <v>65.602948061627814</v>
          </cell>
          <cell r="AX43">
            <v>68.163194807967955</v>
          </cell>
          <cell r="AY43">
            <v>70.840584334083161</v>
          </cell>
          <cell r="AZ43">
            <v>76.33014861209378</v>
          </cell>
          <cell r="BA43">
            <v>82.277642613852478</v>
          </cell>
          <cell r="BB43">
            <v>82.104420282481613</v>
          </cell>
          <cell r="BC43">
            <v>87.754144389986806</v>
          </cell>
          <cell r="BD43">
            <v>94.840814897829816</v>
          </cell>
          <cell r="BE43">
            <v>97.055462380560442</v>
          </cell>
          <cell r="BF43">
            <v>99.152849500888067</v>
          </cell>
          <cell r="BG43">
            <v>99.937339901701534</v>
          </cell>
          <cell r="BH43">
            <v>100</v>
          </cell>
          <cell r="BI43">
            <v>101.07275629010253</v>
          </cell>
          <cell r="BJ43">
            <v>104.99859386175572</v>
          </cell>
          <cell r="BK43">
            <v>108.04506732722355</v>
          </cell>
          <cell r="BN43" t="str">
            <v>China</v>
          </cell>
        </row>
        <row r="44">
          <cell r="E44">
            <v>6.6434752950132303</v>
          </cell>
          <cell r="F44">
            <v>6.842119422576741</v>
          </cell>
          <cell r="G44">
            <v>7.0477127827829094</v>
          </cell>
          <cell r="H44">
            <v>7.2601250074803545</v>
          </cell>
          <cell r="I44">
            <v>7.4711171596473243</v>
          </cell>
          <cell r="J44">
            <v>7.7011429805115768</v>
          </cell>
          <cell r="K44">
            <v>7.7043469043276263</v>
          </cell>
          <cell r="L44">
            <v>7.7989371647611359</v>
          </cell>
          <cell r="M44">
            <v>8.2507919845242075</v>
          </cell>
          <cell r="N44">
            <v>8.4037548896611849</v>
          </cell>
          <cell r="O44">
            <v>8.6550984508135471</v>
          </cell>
          <cell r="P44">
            <v>8.5736458497751205</v>
          </cell>
          <cell r="Q44">
            <v>8.7889829474084209</v>
          </cell>
          <cell r="R44">
            <v>9.9515868843552742</v>
          </cell>
          <cell r="S44">
            <v>12.60808053782495</v>
          </cell>
          <cell r="T44">
            <v>13.151987289751069</v>
          </cell>
          <cell r="U44">
            <v>15.548670415027321</v>
          </cell>
          <cell r="V44">
            <v>20.019114022041656</v>
          </cell>
          <cell r="W44">
            <v>20.906622332658586</v>
          </cell>
          <cell r="X44">
            <v>22.274207526090645</v>
          </cell>
          <cell r="Y44">
            <v>27.652020270518296</v>
          </cell>
          <cell r="Z44">
            <v>28.475218469376813</v>
          </cell>
          <cell r="AA44">
            <v>30.83903678731253</v>
          </cell>
          <cell r="AB44">
            <v>33.628977188741295</v>
          </cell>
          <cell r="AC44">
            <v>39.651891992445719</v>
          </cell>
          <cell r="AD44">
            <v>39.788158522676959</v>
          </cell>
          <cell r="AE44">
            <v>38.984276643206087</v>
          </cell>
          <cell r="AF44">
            <v>37.395586748583369</v>
          </cell>
          <cell r="AG44">
            <v>37.2531372309872</v>
          </cell>
          <cell r="AH44">
            <v>36.875984038747298</v>
          </cell>
          <cell r="AI44">
            <v>35.207982408626684</v>
          </cell>
          <cell r="AJ44">
            <v>35.441583594145897</v>
          </cell>
          <cell r="AK44">
            <v>35.433135335744055</v>
          </cell>
          <cell r="AL44">
            <v>37.613759328204651</v>
          </cell>
          <cell r="AM44">
            <v>55.061303844876576</v>
          </cell>
          <cell r="AN44">
            <v>61.142158533321876</v>
          </cell>
          <cell r="AO44">
            <v>64.188924004523884</v>
          </cell>
          <cell r="AP44">
            <v>68.169712694520385</v>
          </cell>
          <cell r="AQ44">
            <v>70.650737971523867</v>
          </cell>
          <cell r="AR44">
            <v>71.206181406981486</v>
          </cell>
          <cell r="AS44">
            <v>72.80534320647169</v>
          </cell>
          <cell r="AT44">
            <v>78.190327379739642</v>
          </cell>
          <cell r="AU44">
            <v>83.403516609643162</v>
          </cell>
          <cell r="AV44">
            <v>87.407733526090283</v>
          </cell>
          <cell r="AW44">
            <v>84.881107754978927</v>
          </cell>
          <cell r="AX44">
            <v>85.985670086180193</v>
          </cell>
          <cell r="AY44">
            <v>87.485275389912829</v>
          </cell>
          <cell r="AZ44">
            <v>90.051343123101418</v>
          </cell>
          <cell r="BA44">
            <v>97.708021110336816</v>
          </cell>
          <cell r="BB44">
            <v>100</v>
          </cell>
          <cell r="BC44">
            <v>105.38642328995678</v>
          </cell>
          <cell r="BD44">
            <v>107.10993848611021</v>
          </cell>
          <cell r="BE44">
            <v>110.48911276610139</v>
          </cell>
          <cell r="BF44">
            <v>114.58879118268837</v>
          </cell>
          <cell r="BG44">
            <v>119.06848207252716</v>
          </cell>
          <cell r="BH44">
            <v>122.76693049609719</v>
          </cell>
          <cell r="BI44">
            <v>121.45509977569735</v>
          </cell>
          <cell r="BJ44">
            <v>119.33911359181451</v>
          </cell>
          <cell r="BK44">
            <v>119.85312392244039</v>
          </cell>
        </row>
        <row r="45">
          <cell r="E45">
            <v>7.0777418126719089</v>
          </cell>
          <cell r="F45">
            <v>7.4361904432940742</v>
          </cell>
          <cell r="G45">
            <v>7.6674529223252978</v>
          </cell>
          <cell r="H45">
            <v>7.6472017204249694</v>
          </cell>
          <cell r="I45">
            <v>7.9852870569772136</v>
          </cell>
          <cell r="J45">
            <v>8.2050766303466869</v>
          </cell>
          <cell r="K45">
            <v>8.2205330839445327</v>
          </cell>
          <cell r="L45">
            <v>10.162978061257334</v>
          </cell>
          <cell r="M45">
            <v>10.747423480834609</v>
          </cell>
          <cell r="N45">
            <v>11.317247725660639</v>
          </cell>
          <cell r="O45">
            <v>12.209499916284447</v>
          </cell>
          <cell r="P45">
            <v>12.629521936942927</v>
          </cell>
          <cell r="Q45">
            <v>13.636901035582897</v>
          </cell>
          <cell r="R45">
            <v>14.527326994458445</v>
          </cell>
          <cell r="S45">
            <v>16.075372449053202</v>
          </cell>
          <cell r="T45">
            <v>17.038298965712713</v>
          </cell>
          <cell r="U45">
            <v>20.390489471204088</v>
          </cell>
          <cell r="V45">
            <v>21.590423660163911</v>
          </cell>
          <cell r="W45">
            <v>22.326615358506501</v>
          </cell>
          <cell r="X45">
            <v>25.196203153763395</v>
          </cell>
          <cell r="Y45">
            <v>28.785627710121492</v>
          </cell>
          <cell r="Z45">
            <v>31.318818742741357</v>
          </cell>
          <cell r="AA45">
            <v>35.228018493762903</v>
          </cell>
          <cell r="AB45">
            <v>39.72419583356389</v>
          </cell>
          <cell r="AC45">
            <v>45.107695041080135</v>
          </cell>
          <cell r="AD45">
            <v>50.153950570309838</v>
          </cell>
          <cell r="AE45">
            <v>50.243844348243393</v>
          </cell>
          <cell r="AF45">
            <v>49.041856262712272</v>
          </cell>
          <cell r="AG45">
            <v>49.44100727638461</v>
          </cell>
          <cell r="AH45">
            <v>48.541634237538268</v>
          </cell>
          <cell r="AI45">
            <v>49.339221068075709</v>
          </cell>
          <cell r="AJ45">
            <v>51.099996525536852</v>
          </cell>
          <cell r="AK45">
            <v>50.447106673914256</v>
          </cell>
          <cell r="AL45">
            <v>70.525172656746065</v>
          </cell>
          <cell r="AM45">
            <v>77.308802320435206</v>
          </cell>
          <cell r="AN45">
            <v>81.1686699534051</v>
          </cell>
          <cell r="AO45">
            <v>82.03941829146008</v>
          </cell>
          <cell r="AP45">
            <v>86.624522252154819</v>
          </cell>
          <cell r="AQ45">
            <v>90.356557045797885</v>
          </cell>
          <cell r="AR45">
            <v>89.344774641447486</v>
          </cell>
          <cell r="AS45">
            <v>94.003940955586955</v>
          </cell>
          <cell r="AT45">
            <v>95.377031295227582</v>
          </cell>
          <cell r="AU45">
            <v>97.133547830394946</v>
          </cell>
          <cell r="AV45">
            <v>97.323745529417934</v>
          </cell>
          <cell r="AW45">
            <v>99.256601732803205</v>
          </cell>
          <cell r="AX45">
            <v>100</v>
          </cell>
          <cell r="AY45">
            <v>103.35866370349129</v>
          </cell>
          <cell r="AZ45">
            <v>104.34859464272381</v>
          </cell>
          <cell r="BA45">
            <v>111.24894161754987</v>
          </cell>
          <cell r="BB45">
            <v>113.07918903393113</v>
          </cell>
          <cell r="BC45">
            <v>115.23880680829022</v>
          </cell>
          <cell r="BD45">
            <v>118.31595092915934</v>
          </cell>
          <cell r="BE45">
            <v>121.47605170095758</v>
          </cell>
          <cell r="BF45">
            <v>123.95556603172837</v>
          </cell>
          <cell r="BG45">
            <v>126.55376758633533</v>
          </cell>
          <cell r="BH45">
            <v>126.78048499091858</v>
          </cell>
          <cell r="BI45">
            <v>128.16827440544134</v>
          </cell>
          <cell r="BJ45">
            <v>130.06833231800746</v>
          </cell>
          <cell r="BK45">
            <v>131.81339617120238</v>
          </cell>
        </row>
        <row r="46">
          <cell r="E46">
            <v>1.0469340019563196E-14</v>
          </cell>
          <cell r="F46">
            <v>1.1107915127648228E-14</v>
          </cell>
          <cell r="G46">
            <v>1.3467322050144864E-14</v>
          </cell>
          <cell r="H46">
            <v>2.5298256908242869E-14</v>
          </cell>
          <cell r="I46">
            <v>2.6195833385199383E-14</v>
          </cell>
          <cell r="J46">
            <v>3.6399666236277408E-14</v>
          </cell>
          <cell r="K46">
            <v>3.8210120333580227E-14</v>
          </cell>
          <cell r="L46">
            <v>6.0591473010515456E-14</v>
          </cell>
          <cell r="M46">
            <v>9.6875334433176278E-14</v>
          </cell>
          <cell r="N46">
            <v>1.1405235988327192E-13</v>
          </cell>
          <cell r="O46">
            <v>1.1081675271448872E-13</v>
          </cell>
          <cell r="P46">
            <v>1.1990782309817197E-13</v>
          </cell>
          <cell r="Q46">
            <v>1.3211611635222118E-13</v>
          </cell>
          <cell r="R46">
            <v>1.5574779146559989E-13</v>
          </cell>
          <cell r="S46">
            <v>1.8415357672739497E-13</v>
          </cell>
          <cell r="T46">
            <v>2.0674078263150164E-13</v>
          </cell>
          <cell r="U46">
            <v>3.254005404657061E-13</v>
          </cell>
          <cell r="V46">
            <v>4.4668268687447249E-13</v>
          </cell>
          <cell r="W46">
            <v>5.7360443896055523E-13</v>
          </cell>
          <cell r="X46">
            <v>1.157361884386916E-12</v>
          </cell>
          <cell r="Y46">
            <v>1.7523333220212794E-12</v>
          </cell>
          <cell r="Z46">
            <v>2.3346375770504164E-12</v>
          </cell>
          <cell r="AA46">
            <v>3.3498613475177416E-12</v>
          </cell>
          <cell r="AB46">
            <v>5.96997124193457E-12</v>
          </cell>
          <cell r="AC46">
            <v>1.1319257800759501E-11</v>
          </cell>
          <cell r="AD46">
            <v>1.4240861175737294E-11</v>
          </cell>
          <cell r="AE46">
            <v>1.8292849934739785E-11</v>
          </cell>
          <cell r="AF46">
            <v>3.1787009331415379E-11</v>
          </cell>
          <cell r="AG46">
            <v>6.0899518660077719E-11</v>
          </cell>
          <cell r="AH46">
            <v>1.2804869695001855E-10</v>
          </cell>
          <cell r="AI46">
            <v>2.6756454796449433E-10</v>
          </cell>
          <cell r="AJ46">
            <v>6.5244268372921308E-9</v>
          </cell>
          <cell r="AK46">
            <v>2.5806115323147502E-7</v>
          </cell>
          <cell r="AL46">
            <v>4.5357901533661402E-6</v>
          </cell>
          <cell r="AM46">
            <v>1.2185789532063265E-3</v>
          </cell>
          <cell r="AN46">
            <v>6.9021208616472001E-3</v>
          </cell>
          <cell r="AO46">
            <v>5.0950684843525051E-2</v>
          </cell>
          <cell r="AP46">
            <v>0.14910352834145002</v>
          </cell>
          <cell r="AQ46">
            <v>0.18926512486677735</v>
          </cell>
          <cell r="AR46">
            <v>1.0256324279040632</v>
          </cell>
          <cell r="AS46">
            <v>28.001023470437787</v>
          </cell>
          <cell r="AT46">
            <v>48.458490396213094</v>
          </cell>
          <cell r="AU46">
            <v>63.829262469569727</v>
          </cell>
          <cell r="AV46">
            <v>72.392247508651096</v>
          </cell>
          <cell r="AW46">
            <v>77.000345809216626</v>
          </cell>
          <cell r="AX46">
            <v>100</v>
          </cell>
          <cell r="AY46">
            <v>113.32522538383944</v>
          </cell>
          <cell r="AZ46">
            <v>136.29790875666308</v>
          </cell>
          <cell r="BA46">
            <v>164.19170733289178</v>
          </cell>
          <cell r="BB46">
            <v>217.8133187770373</v>
          </cell>
          <cell r="BC46">
            <v>263.08870343693212</v>
          </cell>
          <cell r="BD46">
            <v>299.37300319605112</v>
          </cell>
          <cell r="BE46">
            <v>317.15573627177196</v>
          </cell>
          <cell r="BF46">
            <v>325.94504597410804</v>
          </cell>
          <cell r="BG46">
            <v>329.18373590730965</v>
          </cell>
          <cell r="BH46">
            <v>325.37870860439222</v>
          </cell>
          <cell r="BI46">
            <v>339.53023927246511</v>
          </cell>
          <cell r="BJ46">
            <v>485.76136285492117</v>
          </cell>
          <cell r="BK46">
            <v>632.16076750804882</v>
          </cell>
          <cell r="BN46" t="str">
            <v>DRCongo</v>
          </cell>
        </row>
        <row r="47">
          <cell r="E47">
            <v>18.92249994144132</v>
          </cell>
          <cell r="F47">
            <v>20.113473893359089</v>
          </cell>
          <cell r="G47">
            <v>20.969064850542441</v>
          </cell>
          <cell r="H47">
            <v>22.599178391791085</v>
          </cell>
          <cell r="I47">
            <v>23.470589876960609</v>
          </cell>
          <cell r="J47">
            <v>24.180689149489009</v>
          </cell>
          <cell r="K47">
            <v>26.605373488657953</v>
          </cell>
          <cell r="L47">
            <v>28.072939807292453</v>
          </cell>
          <cell r="M47">
            <v>27.779652879535021</v>
          </cell>
          <cell r="N47">
            <v>28.612179469449263</v>
          </cell>
          <cell r="O47">
            <v>29.6738215737535</v>
          </cell>
          <cell r="P47">
            <v>32.14061188712396</v>
          </cell>
          <cell r="Q47">
            <v>34.527943925391405</v>
          </cell>
          <cell r="R47">
            <v>37.234443976383645</v>
          </cell>
          <cell r="S47">
            <v>40.255550428079026</v>
          </cell>
          <cell r="T47">
            <v>43.598695208482475</v>
          </cell>
          <cell r="U47">
            <v>47.381209589228583</v>
          </cell>
          <cell r="V47">
            <v>54.263108279752949</v>
          </cell>
          <cell r="W47">
            <v>53.81362357645807</v>
          </cell>
          <cell r="X47">
            <v>63.016613082310215</v>
          </cell>
          <cell r="Y47">
            <v>75.710685003178369</v>
          </cell>
          <cell r="Z47">
            <v>96.75002334989567</v>
          </cell>
          <cell r="AA47">
            <v>102.59830893663849</v>
          </cell>
          <cell r="AB47">
            <v>109.10137093842226</v>
          </cell>
          <cell r="AC47">
            <v>122.31506850324767</v>
          </cell>
          <cell r="AD47">
            <v>125.37115960364508</v>
          </cell>
          <cell r="AE47">
            <v>88.79705436313867</v>
          </cell>
          <cell r="AF47">
            <v>95.56918087508005</v>
          </cell>
          <cell r="AG47">
            <v>89.618706329125686</v>
          </cell>
          <cell r="AH47">
            <v>101.03976819616953</v>
          </cell>
          <cell r="AI47">
            <v>100</v>
          </cell>
          <cell r="AJ47">
            <v>98.519364303385302</v>
          </cell>
          <cell r="AK47">
            <v>96.973331041984906</v>
          </cell>
          <cell r="AL47">
            <v>95.876728867108469</v>
          </cell>
          <cell r="AM47">
            <v>131.11413586963528</v>
          </cell>
          <cell r="AN47">
            <v>135.56667950198946</v>
          </cell>
          <cell r="AO47">
            <v>159.95773348823289</v>
          </cell>
          <cell r="AP47">
            <v>167.89886344637378</v>
          </cell>
          <cell r="AQ47">
            <v>137.30418200854314</v>
          </cell>
          <cell r="AR47">
            <v>177.61029411764704</v>
          </cell>
          <cell r="AS47">
            <v>261.15832402998342</v>
          </cell>
          <cell r="AT47">
            <v>224.79148375768219</v>
          </cell>
          <cell r="AU47">
            <v>220.88252269269111</v>
          </cell>
          <cell r="AV47">
            <v>211.49162069324456</v>
          </cell>
          <cell r="AW47">
            <v>247.03752137611912</v>
          </cell>
          <cell r="AX47">
            <v>299.72927557879012</v>
          </cell>
          <cell r="AY47">
            <v>355.23725834797892</v>
          </cell>
          <cell r="AZ47">
            <v>359.22462931994778</v>
          </cell>
          <cell r="BA47">
            <v>449.13020349237945</v>
          </cell>
          <cell r="BB47">
            <v>356.48697269885639</v>
          </cell>
          <cell r="BC47">
            <v>430.35847123286095</v>
          </cell>
          <cell r="BD47">
            <v>476.27895423647584</v>
          </cell>
          <cell r="BE47">
            <v>470.70678609562219</v>
          </cell>
          <cell r="BF47">
            <v>453.48718546906673</v>
          </cell>
          <cell r="BG47">
            <v>427.77916108259058</v>
          </cell>
          <cell r="BH47">
            <v>300.76696554541059</v>
          </cell>
          <cell r="BI47">
            <v>327.75519341740988</v>
          </cell>
          <cell r="BJ47">
            <v>319.72429310035062</v>
          </cell>
          <cell r="BK47">
            <v>390.81662109540974</v>
          </cell>
        </row>
        <row r="48">
          <cell r="E48">
            <v>3.1872166192658362E-2</v>
          </cell>
          <cell r="F48">
            <v>3.4495044118220505E-2</v>
          </cell>
          <cell r="G48">
            <v>3.6788287097166056E-2</v>
          </cell>
          <cell r="H48">
            <v>4.5330755278475333E-2</v>
          </cell>
          <cell r="I48">
            <v>5.2737746024586127E-2</v>
          </cell>
          <cell r="J48">
            <v>5.7275554543544688E-2</v>
          </cell>
          <cell r="K48">
            <v>6.5939826609053037E-2</v>
          </cell>
          <cell r="L48">
            <v>7.3015291021437959E-2</v>
          </cell>
          <cell r="M48">
            <v>7.9201420986268659E-2</v>
          </cell>
          <cell r="N48">
            <v>8.5889709793570371E-2</v>
          </cell>
          <cell r="O48">
            <v>9.6098392565677343E-2</v>
          </cell>
          <cell r="P48">
            <v>0.10648413080210346</v>
          </cell>
          <cell r="Q48">
            <v>0.12029758317880157</v>
          </cell>
          <cell r="R48">
            <v>0.14455089848847538</v>
          </cell>
          <cell r="S48">
            <v>0.18123379683141264</v>
          </cell>
          <cell r="T48">
            <v>0.22256772204428429</v>
          </cell>
          <cell r="U48">
            <v>0.27922802934149649</v>
          </cell>
          <cell r="V48">
            <v>0.36063086594806798</v>
          </cell>
          <cell r="W48">
            <v>0.42229849649804485</v>
          </cell>
          <cell r="X48">
            <v>0.52382169670418255</v>
          </cell>
          <cell r="Y48">
            <v>0.6684799614120196</v>
          </cell>
          <cell r="Z48">
            <v>0.82066528917705395</v>
          </cell>
          <cell r="AA48">
            <v>1.0239150077108861</v>
          </cell>
          <cell r="AB48">
            <v>1.23282004225972</v>
          </cell>
          <cell r="AC48">
            <v>1.5062623224371738</v>
          </cell>
          <cell r="AD48">
            <v>1.8810732285642462</v>
          </cell>
          <cell r="AE48">
            <v>2.4297620934972826</v>
          </cell>
          <cell r="AF48">
            <v>2.997766035602317</v>
          </cell>
          <cell r="AG48">
            <v>3.8296477965663538</v>
          </cell>
          <cell r="AH48">
            <v>4.7750276104805103</v>
          </cell>
          <cell r="AI48">
            <v>7.2740909869040289</v>
          </cell>
          <cell r="AJ48">
            <v>9.2385155622700932</v>
          </cell>
          <cell r="AK48">
            <v>11.332368293381737</v>
          </cell>
          <cell r="AL48">
            <v>14.147507433795733</v>
          </cell>
          <cell r="AM48">
            <v>17.273594190513528</v>
          </cell>
          <cell r="AN48">
            <v>20.529832048268513</v>
          </cell>
          <cell r="AO48">
            <v>23.992881883075281</v>
          </cell>
          <cell r="AP48">
            <v>28.033247906733138</v>
          </cell>
          <cell r="AQ48">
            <v>32.174612349534037</v>
          </cell>
          <cell r="AR48">
            <v>36.235994630039556</v>
          </cell>
          <cell r="AS48">
            <v>48.438600078879844</v>
          </cell>
          <cell r="AT48">
            <v>51.596045178403408</v>
          </cell>
          <cell r="AU48">
            <v>54.675395482763768</v>
          </cell>
          <cell r="AV48">
            <v>58.409186355119601</v>
          </cell>
          <cell r="AW48">
            <v>62.663146910098931</v>
          </cell>
          <cell r="AX48">
            <v>65.520486307538107</v>
          </cell>
          <cell r="AY48">
            <v>69.309870311666913</v>
          </cell>
          <cell r="AZ48">
            <v>72.865520957153862</v>
          </cell>
          <cell r="BA48">
            <v>78.506353740868718</v>
          </cell>
          <cell r="BB48">
            <v>81.838605994882514</v>
          </cell>
          <cell r="BC48">
            <v>84.900634343219153</v>
          </cell>
          <cell r="BD48">
            <v>89.986937058562972</v>
          </cell>
          <cell r="BE48">
            <v>93.299285707888288</v>
          </cell>
          <cell r="BF48">
            <v>95.621807280781965</v>
          </cell>
          <cell r="BG48">
            <v>97.609271621942014</v>
          </cell>
          <cell r="BH48">
            <v>100</v>
          </cell>
          <cell r="BI48">
            <v>105.14833430514592</v>
          </cell>
          <cell r="BJ48">
            <v>110.52186550402961</v>
          </cell>
          <cell r="BK48">
            <v>114.19580659254358</v>
          </cell>
          <cell r="BN48" t="str">
            <v>Colombia</v>
          </cell>
        </row>
        <row r="49">
          <cell r="Y49">
            <v>29.61747045651212</v>
          </cell>
          <cell r="Z49">
            <v>33.932001170200586</v>
          </cell>
          <cell r="AA49">
            <v>36.147661037214171</v>
          </cell>
          <cell r="AB49">
            <v>41.644804380061593</v>
          </cell>
          <cell r="AC49">
            <v>44.209984278021551</v>
          </cell>
          <cell r="AD49">
            <v>47.336229105185076</v>
          </cell>
          <cell r="AE49">
            <v>50.835453952764517</v>
          </cell>
          <cell r="AF49">
            <v>52.473992685361928</v>
          </cell>
          <cell r="AG49">
            <v>53.490574592203764</v>
          </cell>
          <cell r="AH49">
            <v>56.678963333732234</v>
          </cell>
          <cell r="AI49">
            <v>57.912247868579733</v>
          </cell>
          <cell r="AJ49">
            <v>62.614088339962315</v>
          </cell>
          <cell r="AK49">
            <v>58.378539981965574</v>
          </cell>
          <cell r="AL49">
            <v>60.032301102450667</v>
          </cell>
          <cell r="AM49">
            <v>65.685494432720688</v>
          </cell>
          <cell r="AN49">
            <v>71.151167671525599</v>
          </cell>
          <cell r="AO49">
            <v>73.42708031313424</v>
          </cell>
          <cell r="AP49">
            <v>74.105815681902641</v>
          </cell>
          <cell r="AQ49">
            <v>75.103764888254972</v>
          </cell>
          <cell r="AR49">
            <v>79.468315357028757</v>
          </cell>
          <cell r="AS49">
            <v>75.924009011751821</v>
          </cell>
          <cell r="AT49">
            <v>82.476238833441755</v>
          </cell>
          <cell r="AU49">
            <v>85.916038968339194</v>
          </cell>
          <cell r="AV49">
            <v>90.30792011542259</v>
          </cell>
          <cell r="AW49">
            <v>93.367879122025371</v>
          </cell>
          <cell r="AX49">
            <v>93.662811126848837</v>
          </cell>
          <cell r="AY49">
            <v>96.576439864483348</v>
          </cell>
          <cell r="AZ49">
            <v>100</v>
          </cell>
          <cell r="BA49">
            <v>103.1092199345569</v>
          </cell>
          <cell r="BB49">
            <v>104.16691131857594</v>
          </cell>
          <cell r="BC49">
            <v>105.88924819378582</v>
          </cell>
          <cell r="BD49">
            <v>109.16006798428994</v>
          </cell>
          <cell r="BE49">
            <v>113.78658725654812</v>
          </cell>
          <cell r="BF49">
            <v>115.7430501319852</v>
          </cell>
          <cell r="BG49">
            <v>116.71715939342928</v>
          </cell>
          <cell r="BH49">
            <v>118.86910137192848</v>
          </cell>
          <cell r="BI49">
            <v>120.89246855262459</v>
          </cell>
          <cell r="BJ49">
            <v>120.48689612762031</v>
          </cell>
          <cell r="BK49">
            <v>126.03188274104022</v>
          </cell>
        </row>
        <row r="50">
          <cell r="Y50">
            <v>37.785342444654233</v>
          </cell>
          <cell r="Z50">
            <v>41.404413165631325</v>
          </cell>
          <cell r="AA50">
            <v>48.606027126943808</v>
          </cell>
          <cell r="AB50">
            <v>53.74067942349</v>
          </cell>
          <cell r="AC50">
            <v>58.451906544478419</v>
          </cell>
          <cell r="AD50">
            <v>60.595137967430531</v>
          </cell>
          <cell r="AE50">
            <v>71.31647563826175</v>
          </cell>
          <cell r="AF50">
            <v>76.281803347239858</v>
          </cell>
          <cell r="AG50">
            <v>80.409875421394034</v>
          </cell>
          <cell r="AH50">
            <v>83.292456110164991</v>
          </cell>
          <cell r="AI50">
            <v>85.245922680800888</v>
          </cell>
          <cell r="AJ50">
            <v>89.331264451070439</v>
          </cell>
          <cell r="AK50">
            <v>85.654528135560994</v>
          </cell>
          <cell r="AL50">
            <v>127.92853835220789</v>
          </cell>
          <cell r="AM50">
            <v>90.608633774026814</v>
          </cell>
          <cell r="AN50">
            <v>89.207009444221541</v>
          </cell>
          <cell r="AO50">
            <v>88.719817897901905</v>
          </cell>
          <cell r="AP50">
            <v>87.978748863677808</v>
          </cell>
          <cell r="AQ50">
            <v>87.683148640230499</v>
          </cell>
          <cell r="AR50">
            <v>94.357658477652009</v>
          </cell>
          <cell r="AS50">
            <v>86.902362257783622</v>
          </cell>
          <cell r="AT50">
            <v>91.382470198113879</v>
          </cell>
          <cell r="AU50">
            <v>91.050560893528456</v>
          </cell>
          <cell r="AV50">
            <v>95.531249828371799</v>
          </cell>
          <cell r="AW50">
            <v>89.481688558550118</v>
          </cell>
          <cell r="AX50">
            <v>87.875596765236722</v>
          </cell>
          <cell r="AY50">
            <v>91.952823149363155</v>
          </cell>
          <cell r="AZ50">
            <v>100</v>
          </cell>
          <cell r="BA50">
            <v>103.54593264765997</v>
          </cell>
          <cell r="BB50">
            <v>105.79766437077906</v>
          </cell>
          <cell r="BC50">
            <v>106.332033606184</v>
          </cell>
          <cell r="BD50">
            <v>109.17791575035231</v>
          </cell>
          <cell r="BE50">
            <v>109.78166530217652</v>
          </cell>
          <cell r="BF50">
            <v>111.34979856464278</v>
          </cell>
          <cell r="BG50">
            <v>111.1863657953631</v>
          </cell>
          <cell r="BH50">
            <v>113.11685704345894</v>
          </cell>
          <cell r="BI50">
            <v>112.85478017512349</v>
          </cell>
          <cell r="BJ50">
            <v>113.47488338788649</v>
          </cell>
          <cell r="BK50">
            <v>115.09122545511421</v>
          </cell>
        </row>
        <row r="51">
          <cell r="E51">
            <v>0.1287079581542932</v>
          </cell>
          <cell r="F51">
            <v>0.12937236612836664</v>
          </cell>
          <cell r="G51">
            <v>0.13347192532504237</v>
          </cell>
          <cell r="H51">
            <v>0.13338411319653809</v>
          </cell>
          <cell r="I51">
            <v>0.13638682530106377</v>
          </cell>
          <cell r="J51">
            <v>0.13725219890677584</v>
          </cell>
          <cell r="K51">
            <v>0.14006465871003113</v>
          </cell>
          <cell r="L51">
            <v>0.14325505248034681</v>
          </cell>
          <cell r="M51">
            <v>0.14610945047230184</v>
          </cell>
          <cell r="N51">
            <v>0.15278382010824196</v>
          </cell>
          <cell r="O51">
            <v>0.16396373559888378</v>
          </cell>
          <cell r="P51">
            <v>0.16797027100210277</v>
          </cell>
          <cell r="Q51">
            <v>0.17874235425560636</v>
          </cell>
          <cell r="R51">
            <v>0.20526847238577783</v>
          </cell>
          <cell r="S51">
            <v>0.25291749773679384</v>
          </cell>
          <cell r="T51">
            <v>0.31498570217786476</v>
          </cell>
          <cell r="U51">
            <v>0.36727894083343388</v>
          </cell>
          <cell r="V51">
            <v>0.42949150578937584</v>
          </cell>
          <cell r="W51">
            <v>0.46345776219732393</v>
          </cell>
          <cell r="X51">
            <v>0.50586400015081823</v>
          </cell>
          <cell r="Y51">
            <v>0.60111606881789748</v>
          </cell>
          <cell r="Z51">
            <v>0.84818768876337902</v>
          </cell>
          <cell r="AA51">
            <v>1.5621232920264692</v>
          </cell>
          <cell r="AB51">
            <v>2.0140691124266157</v>
          </cell>
          <cell r="AC51">
            <v>2.3503080075499674</v>
          </cell>
          <cell r="AD51">
            <v>2.8331838329436785</v>
          </cell>
          <cell r="AE51">
            <v>3.3445713479346773</v>
          </cell>
          <cell r="AF51">
            <v>3.6838574841934681</v>
          </cell>
          <cell r="AG51">
            <v>4.3778694683367307</v>
          </cell>
          <cell r="AH51">
            <v>5.0454209901052822</v>
          </cell>
          <cell r="AI51">
            <v>5.9812406450773539</v>
          </cell>
          <cell r="AJ51">
            <v>9.8182144438196541</v>
          </cell>
          <cell r="AK51">
            <v>11.751604852521419</v>
          </cell>
          <cell r="AL51">
            <v>12.971099456238285</v>
          </cell>
          <cell r="AM51">
            <v>15.002111983958368</v>
          </cell>
          <cell r="AN51">
            <v>18.185269042372283</v>
          </cell>
          <cell r="AO51">
            <v>20.959998439964373</v>
          </cell>
          <cell r="AP51">
            <v>24.021334963998473</v>
          </cell>
          <cell r="AQ51">
            <v>26.939663648741629</v>
          </cell>
          <cell r="AR51">
            <v>30.011058066602057</v>
          </cell>
          <cell r="AS51">
            <v>32.836475398373885</v>
          </cell>
          <cell r="AT51">
            <v>36.040996133300126</v>
          </cell>
          <cell r="AU51">
            <v>39.5949999311065</v>
          </cell>
          <cell r="AV51">
            <v>43.840587448411355</v>
          </cell>
          <cell r="AW51">
            <v>49.735338579941583</v>
          </cell>
          <cell r="AX51">
            <v>56.252205979786453</v>
          </cell>
          <cell r="AY51">
            <v>63.58608646479874</v>
          </cell>
          <cell r="AZ51">
            <v>70.285057367285859</v>
          </cell>
          <cell r="BA51">
            <v>78.30999021274674</v>
          </cell>
          <cell r="BB51">
            <v>86.005746145204412</v>
          </cell>
          <cell r="BC51">
            <v>91.65702299954188</v>
          </cell>
          <cell r="BD51">
            <v>95.82594358133683</v>
          </cell>
          <cell r="BE51">
            <v>100</v>
          </cell>
          <cell r="BF51">
            <v>104.01324420448628</v>
          </cell>
          <cell r="BG51">
            <v>110.04346606517514</v>
          </cell>
          <cell r="BH51">
            <v>114.19971395290436</v>
          </cell>
          <cell r="BI51">
            <v>116.48767355459179</v>
          </cell>
          <cell r="BJ51">
            <v>119.45777827311366</v>
          </cell>
          <cell r="BK51">
            <v>122.2657055082401</v>
          </cell>
        </row>
        <row r="53">
          <cell r="O53">
            <v>39.366410947232644</v>
          </cell>
          <cell r="P53">
            <v>44.034158257450883</v>
          </cell>
          <cell r="Q53">
            <v>47.098342860552684</v>
          </cell>
          <cell r="R53">
            <v>48.629766182812709</v>
          </cell>
          <cell r="S53">
            <v>54.39671234524728</v>
          </cell>
          <cell r="T53">
            <v>56.751658205803047</v>
          </cell>
          <cell r="U53">
            <v>57.048579439063175</v>
          </cell>
          <cell r="V53">
            <v>54.656005161348574</v>
          </cell>
          <cell r="W53">
            <v>59.75060893871693</v>
          </cell>
          <cell r="X53">
            <v>61.500115145047019</v>
          </cell>
          <cell r="Y53">
            <v>64.818248430104191</v>
          </cell>
          <cell r="Z53">
            <v>63.173843358797178</v>
          </cell>
          <cell r="AA53">
            <v>61.766614697017715</v>
          </cell>
          <cell r="AB53">
            <v>62.752782868252851</v>
          </cell>
          <cell r="AC53">
            <v>64.374559372769866</v>
          </cell>
          <cell r="AD53">
            <v>62.985655611348093</v>
          </cell>
          <cell r="AE53">
            <v>60.520358602940441</v>
          </cell>
          <cell r="AF53">
            <v>60.889826548604042</v>
          </cell>
          <cell r="AG53">
            <v>61.640732314959678</v>
          </cell>
          <cell r="AH53">
            <v>62.025890701985794</v>
          </cell>
          <cell r="AI53">
            <v>65.289243117709844</v>
          </cell>
          <cell r="AJ53">
            <v>60.465776042174745</v>
          </cell>
          <cell r="AK53">
            <v>62.730655520988229</v>
          </cell>
          <cell r="AL53">
            <v>74.634105937443024</v>
          </cell>
          <cell r="AM53">
            <v>94.249465335742784</v>
          </cell>
          <cell r="AN53">
            <v>104.15382801369375</v>
          </cell>
          <cell r="AO53">
            <v>101.37123676822068</v>
          </cell>
          <cell r="AP53">
            <v>100.00010233714877</v>
          </cell>
          <cell r="AQ53">
            <v>101.29920919256369</v>
          </cell>
          <cell r="AR53">
            <v>105.13753340423723</v>
          </cell>
          <cell r="AS53">
            <v>106.96814970095505</v>
          </cell>
          <cell r="AT53">
            <v>107.45478965147672</v>
          </cell>
          <cell r="AU53">
            <v>112.32590412814125</v>
          </cell>
          <cell r="AV53">
            <v>115.66592673017877</v>
          </cell>
          <cell r="AW53">
            <v>116.36683744646632</v>
          </cell>
          <cell r="AX53">
            <v>116.80912530178158</v>
          </cell>
          <cell r="AY53">
            <v>128.91704674889152</v>
          </cell>
          <cell r="AZ53">
            <v>133.5448792593082</v>
          </cell>
          <cell r="BA53">
            <v>133.08477365894868</v>
          </cell>
          <cell r="BB53">
            <v>133.92876404979182</v>
          </cell>
          <cell r="BC53">
            <v>135.53865278860536</v>
          </cell>
          <cell r="BD53">
            <v>141.39902850935624</v>
          </cell>
          <cell r="BE53">
            <v>145.51947793561737</v>
          </cell>
          <cell r="BF53">
            <v>149.38713862478943</v>
          </cell>
          <cell r="BG53">
            <v>154.56078491491644</v>
          </cell>
          <cell r="BH53">
            <v>159.87706422018348</v>
          </cell>
          <cell r="BI53">
            <v>166.79445052939028</v>
          </cell>
          <cell r="BJ53">
            <v>173.70195670498771</v>
          </cell>
        </row>
        <row r="54">
          <cell r="AS54">
            <v>100</v>
          </cell>
          <cell r="AT54">
            <v>101.78999848147274</v>
          </cell>
          <cell r="AU54">
            <v>102.20733767165126</v>
          </cell>
          <cell r="AV54">
            <v>103.86309758703396</v>
          </cell>
          <cell r="AW54">
            <v>105.29640807350292</v>
          </cell>
          <cell r="AX54">
            <v>109.61356114550659</v>
          </cell>
          <cell r="AY54">
            <v>113.04446650591713</v>
          </cell>
          <cell r="AZ54">
            <v>116.43580003316994</v>
          </cell>
          <cell r="BA54">
            <v>124.46986949578442</v>
          </cell>
          <cell r="BB54">
            <v>126.71032673104054</v>
          </cell>
          <cell r="BC54">
            <v>130.23287553312491</v>
          </cell>
          <cell r="BD54">
            <v>133.27120671098572</v>
          </cell>
          <cell r="BE54">
            <v>137.51456182921703</v>
          </cell>
          <cell r="BF54">
            <v>139.34666999863933</v>
          </cell>
          <cell r="BG54">
            <v>141.435057792506</v>
          </cell>
          <cell r="BH54">
            <v>140.7519276327935</v>
          </cell>
          <cell r="BI54">
            <v>140.81836034324039</v>
          </cell>
          <cell r="BJ54">
            <v>143.05103638717875</v>
          </cell>
        </row>
        <row r="55">
          <cell r="AQ55">
            <v>40.456371638344194</v>
          </cell>
          <cell r="AR55">
            <v>42.41829774956603</v>
          </cell>
          <cell r="AS55">
            <v>43.893935685797189</v>
          </cell>
          <cell r="AT55">
            <v>44.761523223352398</v>
          </cell>
          <cell r="AU55">
            <v>45.904713329272042</v>
          </cell>
          <cell r="AV55">
            <v>46.669733360006546</v>
          </cell>
          <cell r="AW55">
            <v>48.723072714514373</v>
          </cell>
          <cell r="AX55">
            <v>52.280731488818866</v>
          </cell>
          <cell r="AY55">
            <v>91.241155189955066</v>
          </cell>
          <cell r="AZ55">
            <v>93.437635032809368</v>
          </cell>
          <cell r="BA55">
            <v>96.285192368733675</v>
          </cell>
          <cell r="BB55">
            <v>96.870398177174522</v>
          </cell>
          <cell r="BC55">
            <v>96.670431102531722</v>
          </cell>
          <cell r="BD55">
            <v>96.226584963105992</v>
          </cell>
          <cell r="BE55">
            <v>97.440397580654846</v>
          </cell>
          <cell r="BF55">
            <v>98.783326972811835</v>
          </cell>
          <cell r="BG55">
            <v>99.659263521404526</v>
          </cell>
          <cell r="BH55">
            <v>100.00000003222948</v>
          </cell>
          <cell r="BI55">
            <v>100.92269004068513</v>
          </cell>
          <cell r="BJ55">
            <v>102.80267614214398</v>
          </cell>
        </row>
        <row r="56">
          <cell r="T56">
            <v>15.76268178418195</v>
          </cell>
          <cell r="U56">
            <v>17.028227216269386</v>
          </cell>
          <cell r="V56">
            <v>18.543209134513287</v>
          </cell>
          <cell r="W56">
            <v>20.596506890108877</v>
          </cell>
          <cell r="X56">
            <v>23.302209236078163</v>
          </cell>
          <cell r="Y56">
            <v>26.600250941434005</v>
          </cell>
          <cell r="Z56">
            <v>29.895716744298834</v>
          </cell>
          <cell r="AA56">
            <v>32.990700826566254</v>
          </cell>
          <cell r="AB56">
            <v>34.654951074557708</v>
          </cell>
          <cell r="AC56">
            <v>37.490391355004107</v>
          </cell>
          <cell r="AD56">
            <v>39.615237500698889</v>
          </cell>
          <cell r="AE56">
            <v>41.259534858803512</v>
          </cell>
          <cell r="AF56">
            <v>42.85291567267506</v>
          </cell>
          <cell r="AG56">
            <v>44.221506094046248</v>
          </cell>
          <cell r="AH56">
            <v>46.322798823744385</v>
          </cell>
          <cell r="AI56">
            <v>48.839574364707445</v>
          </cell>
          <cell r="AJ56">
            <v>50.738460024761508</v>
          </cell>
          <cell r="AK56">
            <v>53.803764356003228</v>
          </cell>
          <cell r="AL56">
            <v>56.388030710226047</v>
          </cell>
          <cell r="AM56">
            <v>59.360233852392255</v>
          </cell>
          <cell r="AN56">
            <v>67.366271066436099</v>
          </cell>
          <cell r="AO56">
            <v>69.145428533548468</v>
          </cell>
          <cell r="AP56">
            <v>70.692126764677582</v>
          </cell>
          <cell r="AQ56">
            <v>72.081675454320518</v>
          </cell>
          <cell r="AR56">
            <v>73.740978029014286</v>
          </cell>
          <cell r="AS56">
            <v>75.763987760463777</v>
          </cell>
          <cell r="AT56">
            <v>78.537200452365425</v>
          </cell>
          <cell r="AU56">
            <v>78.770032338249052</v>
          </cell>
          <cell r="AV56">
            <v>83.013908797272279</v>
          </cell>
          <cell r="AW56">
            <v>85.262949329966247</v>
          </cell>
          <cell r="AX56">
            <v>86.984876849314261</v>
          </cell>
          <cell r="AY56">
            <v>89.669422877107081</v>
          </cell>
          <cell r="AZ56">
            <v>93.3801525089319</v>
          </cell>
          <cell r="BA56">
            <v>97.784109383810573</v>
          </cell>
          <cell r="BB56">
            <v>98.048587621644955</v>
          </cell>
          <cell r="BC56">
            <v>100</v>
          </cell>
          <cell r="BD56">
            <v>101.8248606493038</v>
          </cell>
          <cell r="BE56">
            <v>103.56037061223711</v>
          </cell>
          <cell r="BF56">
            <v>102.32527050031986</v>
          </cell>
          <cell r="BG56">
            <v>100.65284388903368</v>
          </cell>
          <cell r="BH56">
            <v>99.478336326761237</v>
          </cell>
          <cell r="BI56">
            <v>98.891136957662312</v>
          </cell>
          <cell r="BJ56">
            <v>100.59176986755813</v>
          </cell>
          <cell r="BK56">
            <v>102.17173808045263</v>
          </cell>
        </row>
        <row r="57">
          <cell r="AI57">
            <v>26.323201609559987</v>
          </cell>
          <cell r="AJ57">
            <v>35.850196986192344</v>
          </cell>
          <cell r="AK57">
            <v>40.280299980848774</v>
          </cell>
          <cell r="AL57">
            <v>48.742708817174908</v>
          </cell>
          <cell r="AM57">
            <v>54.758517659870954</v>
          </cell>
          <cell r="AN57">
            <v>59.745576645986311</v>
          </cell>
          <cell r="AO57">
            <v>65.704174357210277</v>
          </cell>
          <cell r="AP57">
            <v>71.200187858209219</v>
          </cell>
          <cell r="AQ57">
            <v>78.279141113244208</v>
          </cell>
          <cell r="AR57">
            <v>80.626055278622317</v>
          </cell>
          <cell r="AS57">
            <v>82.050156469563873</v>
          </cell>
          <cell r="AT57">
            <v>86.061347522364713</v>
          </cell>
          <cell r="AU57">
            <v>88.398308012415654</v>
          </cell>
          <cell r="AV57">
            <v>89.42025370264075</v>
          </cell>
          <cell r="AW57">
            <v>92.882957750750663</v>
          </cell>
          <cell r="AX57">
            <v>92.951375296617954</v>
          </cell>
          <cell r="AY57">
            <v>93.593598714286259</v>
          </cell>
          <cell r="AZ57">
            <v>96.886359043346999</v>
          </cell>
          <cell r="BA57">
            <v>98.876540601104708</v>
          </cell>
          <cell r="BB57">
            <v>101.4460625085336</v>
          </cell>
          <cell r="BC57">
            <v>100</v>
          </cell>
          <cell r="BD57">
            <v>100.02095261238162</v>
          </cell>
          <cell r="BE57">
            <v>101.48123318868194</v>
          </cell>
          <cell r="BF57">
            <v>102.93434084268391</v>
          </cell>
          <cell r="BG57">
            <v>105.48708857045044</v>
          </cell>
          <cell r="BH57">
            <v>106.71696099584909</v>
          </cell>
          <cell r="BI57">
            <v>108.06747613183806</v>
          </cell>
          <cell r="BJ57">
            <v>109.62577170549304</v>
          </cell>
          <cell r="BK57">
            <v>112.41430071344082</v>
          </cell>
        </row>
        <row r="58">
          <cell r="O58">
            <v>34.738641122676746</v>
          </cell>
          <cell r="P58">
            <v>37.386189842596856</v>
          </cell>
          <cell r="Q58">
            <v>39.080478558117491</v>
          </cell>
          <cell r="R58">
            <v>41.542358660697396</v>
          </cell>
          <cell r="S58">
            <v>44.56468581007163</v>
          </cell>
          <cell r="T58">
            <v>47.089998840390415</v>
          </cell>
          <cell r="U58">
            <v>48.646885771375878</v>
          </cell>
          <cell r="V58">
            <v>50.155288634888741</v>
          </cell>
          <cell r="W58">
            <v>51.933715834504213</v>
          </cell>
          <cell r="X58">
            <v>54.155513252720901</v>
          </cell>
          <cell r="Y58">
            <v>57.107632858814739</v>
          </cell>
          <cell r="Z58">
            <v>59.492012884689551</v>
          </cell>
          <cell r="AA58">
            <v>62.217376828888796</v>
          </cell>
          <cell r="AB58">
            <v>63.96440252806125</v>
          </cell>
          <cell r="AC58">
            <v>65.236748097070077</v>
          </cell>
          <cell r="AD58">
            <v>66.62285004456578</v>
          </cell>
          <cell r="AE58">
            <v>68.621231159929437</v>
          </cell>
          <cell r="AF58">
            <v>69.499352071585236</v>
          </cell>
          <cell r="AG58">
            <v>70.674211710598428</v>
          </cell>
          <cell r="AH58">
            <v>72.708969439663036</v>
          </cell>
          <cell r="AI58">
            <v>75.178633930871769</v>
          </cell>
          <cell r="AJ58">
            <v>77.497954739300894</v>
          </cell>
          <cell r="AK58">
            <v>81.595119024374725</v>
          </cell>
          <cell r="AL58">
            <v>84.969508019866851</v>
          </cell>
          <cell r="AM58">
            <v>86.808398399633873</v>
          </cell>
          <cell r="AN58">
            <v>88.523320362207926</v>
          </cell>
          <cell r="AO58">
            <v>89.074003386904039</v>
          </cell>
          <cell r="AP58">
            <v>89.307749148979681</v>
          </cell>
          <cell r="AQ58">
            <v>89.850849628615478</v>
          </cell>
          <cell r="AR58">
            <v>90.136555301071468</v>
          </cell>
          <cell r="AS58">
            <v>89.731131996378409</v>
          </cell>
          <cell r="AT58">
            <v>90.876998281948005</v>
          </cell>
          <cell r="AU58">
            <v>92.104339075773524</v>
          </cell>
          <cell r="AV58">
            <v>93.215915016080487</v>
          </cell>
          <cell r="AW58">
            <v>94.235443426003329</v>
          </cell>
          <cell r="AX58">
            <v>94.820357507026969</v>
          </cell>
          <cell r="AY58">
            <v>95.108654399935986</v>
          </cell>
          <cell r="AZ58">
            <v>96.7230165930834</v>
          </cell>
          <cell r="BA58">
            <v>97.534321211853452</v>
          </cell>
          <cell r="BB58">
            <v>99.247993578175411</v>
          </cell>
          <cell r="BC58">
            <v>100</v>
          </cell>
          <cell r="BD58">
            <v>101.07047690808513</v>
          </cell>
          <cell r="BE58">
            <v>102.62725947980175</v>
          </cell>
          <cell r="BF58">
            <v>104.64428590506998</v>
          </cell>
          <cell r="BG58">
            <v>106.48484320834379</v>
          </cell>
          <cell r="BH58">
            <v>108.59228097675523</v>
          </cell>
          <cell r="BI58">
            <v>110.07377491189257</v>
          </cell>
          <cell r="BJ58">
            <v>111.75939460722917</v>
          </cell>
          <cell r="BK58">
            <v>113.84217380292742</v>
          </cell>
        </row>
        <row r="59">
          <cell r="BF59">
            <v>100</v>
          </cell>
          <cell r="BG59">
            <v>100.84036890440073</v>
          </cell>
          <cell r="BH59">
            <v>103.22858561027462</v>
          </cell>
          <cell r="BI59">
            <v>102.53277800421327</v>
          </cell>
          <cell r="BJ59">
            <v>102.99299137548444</v>
          </cell>
          <cell r="BK59">
            <v>103.5963818597925</v>
          </cell>
        </row>
        <row r="60">
          <cell r="V60">
            <v>26.626421880685204</v>
          </cell>
          <cell r="W60">
            <v>29.999863632624923</v>
          </cell>
          <cell r="X60">
            <v>35.387470202508695</v>
          </cell>
          <cell r="Y60">
            <v>41.300671922511306</v>
          </cell>
          <cell r="Z60">
            <v>42.026722300635775</v>
          </cell>
          <cell r="AA60">
            <v>44.008228776000678</v>
          </cell>
          <cell r="AB60">
            <v>47.29101148677163</v>
          </cell>
          <cell r="AC60">
            <v>50.212606936263526</v>
          </cell>
          <cell r="AD60">
            <v>54.196579905694463</v>
          </cell>
          <cell r="AE60">
            <v>57.254068555494399</v>
          </cell>
          <cell r="AF60">
            <v>60.514040816465297</v>
          </cell>
          <cell r="AG60">
            <v>63.236482402491703</v>
          </cell>
          <cell r="AH60">
            <v>68.55303384767754</v>
          </cell>
          <cell r="AI60">
            <v>70.751694229310914</v>
          </cell>
          <cell r="AJ60">
            <v>76.166115771435159</v>
          </cell>
          <cell r="AK60">
            <v>79.50655551939218</v>
          </cell>
          <cell r="AL60">
            <v>81.637429421145626</v>
          </cell>
          <cell r="AM60">
            <v>87.874497837097138</v>
          </cell>
          <cell r="AN60">
            <v>88.563414545261196</v>
          </cell>
          <cell r="AO60">
            <v>91.454603566484352</v>
          </cell>
          <cell r="AP60">
            <v>92.776131969317106</v>
          </cell>
          <cell r="AQ60">
            <v>95.132633885189506</v>
          </cell>
          <cell r="AR60">
            <v>97.545191527397165</v>
          </cell>
          <cell r="AS60">
            <v>95.806539245400316</v>
          </cell>
          <cell r="AT60">
            <v>97.803286658463122</v>
          </cell>
          <cell r="AU60">
            <v>98.576674868359277</v>
          </cell>
          <cell r="AV60">
            <v>95.501765611448434</v>
          </cell>
          <cell r="AW60">
            <v>99.123082924901851</v>
          </cell>
          <cell r="AX60">
            <v>97.687302282750537</v>
          </cell>
          <cell r="AY60">
            <v>100</v>
          </cell>
          <cell r="AZ60">
            <v>101.52516893721837</v>
          </cell>
          <cell r="BA60">
            <v>103.05671322897709</v>
          </cell>
          <cell r="BB60">
            <v>111.30521542836978</v>
          </cell>
          <cell r="BC60">
            <v>111.63545814687961</v>
          </cell>
          <cell r="BD60">
            <v>113.5172303779006</v>
          </cell>
          <cell r="BE60">
            <v>111.29082198853462</v>
          </cell>
          <cell r="BF60">
            <v>115.65323088119229</v>
          </cell>
          <cell r="BG60">
            <v>115.54956454712821</v>
          </cell>
          <cell r="BH60">
            <v>122.48968271102028</v>
          </cell>
          <cell r="BI60">
            <v>127.12830836531531</v>
          </cell>
          <cell r="BJ60">
            <v>121.29290507001582</v>
          </cell>
          <cell r="BK60">
            <v>122.33094677559212</v>
          </cell>
        </row>
        <row r="61">
          <cell r="E61">
            <v>7.9514476776935821</v>
          </cell>
          <cell r="F61">
            <v>8.2938867416533615</v>
          </cell>
          <cell r="G61">
            <v>8.8442611611338133</v>
          </cell>
          <cell r="H61">
            <v>9.3548832351832782</v>
          </cell>
          <cell r="I61">
            <v>9.7862398219922877</v>
          </cell>
          <cell r="J61">
            <v>10.513990589545836</v>
          </cell>
          <cell r="K61">
            <v>11.232375684685225</v>
          </cell>
          <cell r="L61">
            <v>11.934399570339469</v>
          </cell>
          <cell r="M61">
            <v>12.769707192531651</v>
          </cell>
          <cell r="N61">
            <v>13.660247354214789</v>
          </cell>
          <cell r="O61">
            <v>15.126854593328897</v>
          </cell>
          <cell r="P61">
            <v>16.25316797261479</v>
          </cell>
          <cell r="Q61">
            <v>17.813658967203679</v>
          </cell>
          <cell r="R61">
            <v>19.705523123097862</v>
          </cell>
          <cell r="S61">
            <v>22.319745122160928</v>
          </cell>
          <cell r="T61">
            <v>25.300727497798942</v>
          </cell>
          <cell r="U61">
            <v>27.673958103367475</v>
          </cell>
          <cell r="V61">
            <v>30.130263769423088</v>
          </cell>
          <cell r="W61">
            <v>32.82834914620291</v>
          </cell>
          <cell r="X61">
            <v>35.148835737254082</v>
          </cell>
          <cell r="Y61">
            <v>38.245641366057669</v>
          </cell>
          <cell r="Z61">
            <v>42.335614008769682</v>
          </cell>
          <cell r="AA61">
            <v>46.630365726737367</v>
          </cell>
          <cell r="AB61">
            <v>50.074410171902983</v>
          </cell>
          <cell r="AC61">
            <v>53.058539875167263</v>
          </cell>
          <cell r="AD61">
            <v>55.335257420452024</v>
          </cell>
          <cell r="AE61">
            <v>56.616592827380373</v>
          </cell>
          <cell r="AF61">
            <v>59.308535637734735</v>
          </cell>
          <cell r="AG61">
            <v>61.648007664679128</v>
          </cell>
          <cell r="AH61">
            <v>64.709007035053062</v>
          </cell>
          <cell r="AI61">
            <v>66.393024799294295</v>
          </cell>
          <cell r="AJ61">
            <v>68.158715912661194</v>
          </cell>
          <cell r="AK61">
            <v>69.287363652980275</v>
          </cell>
          <cell r="AL61">
            <v>69.689173393282687</v>
          </cell>
          <cell r="AM61">
            <v>70.780159083184927</v>
          </cell>
          <cell r="AN61">
            <v>71.687837180236357</v>
          </cell>
          <cell r="AO61">
            <v>73.13176188612124</v>
          </cell>
          <cell r="AP61">
            <v>74.604576721163184</v>
          </cell>
          <cell r="AQ61">
            <v>75.523811716831034</v>
          </cell>
          <cell r="AR61">
            <v>76.796201939452786</v>
          </cell>
          <cell r="AS61">
            <v>79.113891553306203</v>
          </cell>
          <cell r="AT61">
            <v>81.106307034610097</v>
          </cell>
          <cell r="AU61">
            <v>83.010397212581324</v>
          </cell>
          <cell r="AV61">
            <v>84.240470049632037</v>
          </cell>
          <cell r="AW61">
            <v>86.005925436199632</v>
          </cell>
          <cell r="AX61">
            <v>88.505622323039887</v>
          </cell>
          <cell r="AY61">
            <v>90.343158002962269</v>
          </cell>
          <cell r="AZ61">
            <v>92.540557067252024</v>
          </cell>
          <cell r="BA61">
            <v>96.366824965670645</v>
          </cell>
          <cell r="BB61">
            <v>96.876626914149682</v>
          </cell>
          <cell r="BC61">
            <v>100</v>
          </cell>
          <cell r="BD61">
            <v>100.63864345723414</v>
          </cell>
          <cell r="BE61">
            <v>103.02899603403861</v>
          </cell>
          <cell r="BF61">
            <v>103.94406959288298</v>
          </cell>
          <cell r="BG61">
            <v>105.01688525051782</v>
          </cell>
          <cell r="BH61">
            <v>105.47167218702633</v>
          </cell>
          <cell r="BI61">
            <v>106.23007894346142</v>
          </cell>
          <cell r="BJ61">
            <v>107.730561767729</v>
          </cell>
          <cell r="BK61">
            <v>108.34471588661125</v>
          </cell>
        </row>
        <row r="62">
          <cell r="E62">
            <v>0.5044708491825397</v>
          </cell>
          <cell r="F62">
            <v>0.50236246172701948</v>
          </cell>
          <cell r="G62">
            <v>0.54074390291915653</v>
          </cell>
          <cell r="H62">
            <v>0.57962556941310328</v>
          </cell>
          <cell r="I62">
            <v>0.59183396723992443</v>
          </cell>
          <cell r="J62">
            <v>0.58557911468179591</v>
          </cell>
          <cell r="K62">
            <v>0.571767001314338</v>
          </cell>
          <cell r="L62">
            <v>0.58198051837991327</v>
          </cell>
          <cell r="M62">
            <v>0.6054490450779374</v>
          </cell>
          <cell r="N62">
            <v>0.62258618286036116</v>
          </cell>
          <cell r="O62">
            <v>0.63573337466514501</v>
          </cell>
          <cell r="P62">
            <v>0.64326197992291023</v>
          </cell>
          <cell r="Q62">
            <v>0.6948990778241767</v>
          </cell>
          <cell r="R62">
            <v>0.72621398730592412</v>
          </cell>
          <cell r="S62">
            <v>0.85482051058248065</v>
          </cell>
          <cell r="T62">
            <v>0.99968513793537284</v>
          </cell>
          <cell r="U62">
            <v>1.0283486245345399</v>
          </cell>
          <cell r="V62">
            <v>1.137110434477048</v>
          </cell>
          <cell r="W62">
            <v>1.1490280211748378</v>
          </cell>
          <cell r="X62">
            <v>1.2766940440369408</v>
          </cell>
          <cell r="Y62">
            <v>1.4539554083329123</v>
          </cell>
          <cell r="Z62">
            <v>1.5592540470480478</v>
          </cell>
          <cell r="AA62">
            <v>1.6763856046083707</v>
          </cell>
          <cell r="AB62">
            <v>1.7869666753213966</v>
          </cell>
          <cell r="AC62">
            <v>2.219131886607649</v>
          </cell>
          <cell r="AD62">
            <v>3.0705526339731635</v>
          </cell>
          <cell r="AE62">
            <v>3.3587937332794757</v>
          </cell>
          <cell r="AF62">
            <v>3.8432308321800122</v>
          </cell>
          <cell r="AG62">
            <v>5.5164148684651009</v>
          </cell>
          <cell r="AH62">
            <v>6.8187747969971371</v>
          </cell>
          <cell r="AI62">
            <v>10.259478310659983</v>
          </cell>
          <cell r="AJ62">
            <v>20.822785042736488</v>
          </cell>
          <cell r="AK62">
            <v>21.982258112315751</v>
          </cell>
          <cell r="AL62">
            <v>23.077801772237553</v>
          </cell>
          <cell r="AM62">
            <v>25.416939066213224</v>
          </cell>
          <cell r="AN62">
            <v>27.870280134654667</v>
          </cell>
          <cell r="AO62">
            <v>28.893046073057445</v>
          </cell>
          <cell r="AP62">
            <v>31.623824017061651</v>
          </cell>
          <cell r="AQ62">
            <v>33.680859293706369</v>
          </cell>
          <cell r="AR62">
            <v>34.972235443088699</v>
          </cell>
          <cell r="AS62">
            <v>37.492951218694678</v>
          </cell>
          <cell r="AT62">
            <v>39.757802483599505</v>
          </cell>
          <cell r="AU62">
            <v>42.509308335263412</v>
          </cell>
          <cell r="AV62">
            <v>56.733577829568226</v>
          </cell>
          <cell r="AW62">
            <v>82.358041492029415</v>
          </cell>
          <cell r="AX62">
            <v>87.119367283279502</v>
          </cell>
          <cell r="AY62">
            <v>92.905177709125624</v>
          </cell>
          <cell r="AZ62">
            <v>100</v>
          </cell>
          <cell r="BA62">
            <v>110.3916875139185</v>
          </cell>
          <cell r="BB62">
            <v>114.25335053980912</v>
          </cell>
          <cell r="BC62">
            <v>120.47263263641213</v>
          </cell>
          <cell r="BD62">
            <v>130.18363660628836</v>
          </cell>
          <cell r="BE62">
            <v>136.82063474236844</v>
          </cell>
          <cell r="BF62">
            <v>143.24137968019198</v>
          </cell>
          <cell r="BG62">
            <v>146.17302428934065</v>
          </cell>
          <cell r="BH62">
            <v>147.10970548419124</v>
          </cell>
          <cell r="BI62">
            <v>148.39234597450513</v>
          </cell>
          <cell r="BJ62">
            <v>153.84225294687596</v>
          </cell>
          <cell r="BK62">
            <v>160.24409293629787</v>
          </cell>
        </row>
        <row r="63">
          <cell r="E63">
            <v>1.6098950367064113</v>
          </cell>
          <cell r="F63">
            <v>1.6657860892584746</v>
          </cell>
          <cell r="G63">
            <v>1.7049533686085945</v>
          </cell>
          <cell r="H63">
            <v>1.7143192211930145</v>
          </cell>
          <cell r="I63">
            <v>1.7433800660429952</v>
          </cell>
          <cell r="J63">
            <v>1.7695539794051913</v>
          </cell>
          <cell r="K63">
            <v>1.8017211889738927</v>
          </cell>
          <cell r="L63">
            <v>1.8253605100156316</v>
          </cell>
          <cell r="M63">
            <v>1.882714364863955</v>
          </cell>
          <cell r="N63">
            <v>1.9188828995436409</v>
          </cell>
          <cell r="O63">
            <v>2.0136842678536393</v>
          </cell>
          <cell r="P63">
            <v>2.3590706654777494</v>
          </cell>
          <cell r="Q63">
            <v>2.2504009949174311</v>
          </cell>
          <cell r="R63">
            <v>2.4670608631475699</v>
          </cell>
          <cell r="S63">
            <v>3.6733695089357914</v>
          </cell>
          <cell r="T63">
            <v>3.8906133938554821</v>
          </cell>
          <cell r="U63">
            <v>4.3123789463803766</v>
          </cell>
          <cell r="V63">
            <v>4.8267206707099124</v>
          </cell>
          <cell r="W63">
            <v>5.3135012940664801</v>
          </cell>
          <cell r="X63">
            <v>6.0567452429747179</v>
          </cell>
          <cell r="Y63">
            <v>7.6231430454102815</v>
          </cell>
          <cell r="Z63">
            <v>8.7173689594542925</v>
          </cell>
          <cell r="AA63">
            <v>8.886467977498782</v>
          </cell>
          <cell r="AB63">
            <v>9.4911739850008914</v>
          </cell>
          <cell r="AC63">
            <v>10.291612670893905</v>
          </cell>
          <cell r="AD63">
            <v>10.803365828142789</v>
          </cell>
          <cell r="AE63">
            <v>11.063223859206083</v>
          </cell>
          <cell r="AF63">
            <v>12.041436372161558</v>
          </cell>
          <cell r="AG63">
            <v>13.132506523905915</v>
          </cell>
          <cell r="AH63">
            <v>15.235201195458806</v>
          </cell>
          <cell r="AI63">
            <v>19.845311913625629</v>
          </cell>
          <cell r="AJ63">
            <v>30.519828185561732</v>
          </cell>
          <cell r="AK63">
            <v>37.21164066690708</v>
          </cell>
          <cell r="AL63">
            <v>42.281512614811128</v>
          </cell>
          <cell r="AM63">
            <v>54.575981733869597</v>
          </cell>
          <cell r="AN63">
            <v>70.172180516987424</v>
          </cell>
          <cell r="AO63">
            <v>87.028874402584819</v>
          </cell>
          <cell r="AP63">
            <v>93.122604030446894</v>
          </cell>
          <cell r="AQ63">
            <v>90.206852699589291</v>
          </cell>
          <cell r="AR63">
            <v>100</v>
          </cell>
          <cell r="AS63">
            <v>122.65476746786956</v>
          </cell>
          <cell r="AT63">
            <v>122.0641749820159</v>
          </cell>
          <cell r="AU63">
            <v>123.66503212006793</v>
          </cell>
          <cell r="AV63">
            <v>133.96488950522769</v>
          </cell>
          <cell r="AW63">
            <v>150.37006354168702</v>
          </cell>
          <cell r="AX63">
            <v>174.60493404090042</v>
          </cell>
          <cell r="AY63">
            <v>193.04943126081321</v>
          </cell>
          <cell r="AZ63">
            <v>205.44950154662973</v>
          </cell>
          <cell r="BA63">
            <v>236.99725878604235</v>
          </cell>
          <cell r="BB63">
            <v>210.47775497446361</v>
          </cell>
          <cell r="BC63">
            <v>244.32619213017719</v>
          </cell>
          <cell r="BD63">
            <v>288.89351213893246</v>
          </cell>
          <cell r="BE63">
            <v>310.50661108983212</v>
          </cell>
          <cell r="BF63">
            <v>310.31458093173268</v>
          </cell>
          <cell r="BG63">
            <v>309.41426067325119</v>
          </cell>
          <cell r="BH63">
            <v>289.262521775783</v>
          </cell>
          <cell r="BI63">
            <v>293.6339895586118</v>
          </cell>
          <cell r="BJ63">
            <v>306.63896120108762</v>
          </cell>
          <cell r="BK63">
            <v>339.85577206714112</v>
          </cell>
        </row>
        <row r="69">
          <cell r="E69">
            <v>20.875082231853021</v>
          </cell>
          <cell r="F69">
            <v>18.511930453521476</v>
          </cell>
          <cell r="G69">
            <v>16.661891570103261</v>
          </cell>
          <cell r="H69">
            <v>19.608617979437643</v>
          </cell>
          <cell r="I69">
            <v>22.457315121832018</v>
          </cell>
          <cell r="J69">
            <v>23.129817007284537</v>
          </cell>
          <cell r="K69">
            <v>23.619510846573689</v>
          </cell>
          <cell r="L69">
            <v>23.731275410125363</v>
          </cell>
          <cell r="M69">
            <v>23.547299778526419</v>
          </cell>
          <cell r="N69">
            <v>27.11429245091831</v>
          </cell>
          <cell r="O69">
            <v>23.335541448485479</v>
          </cell>
          <cell r="P69">
            <v>21.123572399780237</v>
          </cell>
          <cell r="Q69">
            <v>23.267540179115183</v>
          </cell>
          <cell r="R69">
            <v>24.942217699010861</v>
          </cell>
          <cell r="S69">
            <v>38.031783522271937</v>
          </cell>
          <cell r="T69">
            <v>40.152370713349441</v>
          </cell>
          <cell r="U69">
            <v>43.96432179085761</v>
          </cell>
          <cell r="V69">
            <v>52.476130182745052</v>
          </cell>
          <cell r="W69">
            <v>53.677779641591606</v>
          </cell>
          <cell r="X69">
            <v>61.522497786216391</v>
          </cell>
          <cell r="Y69">
            <v>74.833316034205978</v>
          </cell>
          <cell r="Z69">
            <v>86.42607867221632</v>
          </cell>
          <cell r="AA69">
            <v>78.490285732253085</v>
          </cell>
          <cell r="AB69">
            <v>67.780423395054854</v>
          </cell>
          <cell r="AC69">
            <v>65.122512429377835</v>
          </cell>
          <cell r="AD69">
            <v>63.533432189377201</v>
          </cell>
          <cell r="AE69">
            <v>54.835435689927294</v>
          </cell>
          <cell r="AF69">
            <v>50.064196761790846</v>
          </cell>
          <cell r="AG69">
            <v>44.24984047761604</v>
          </cell>
          <cell r="AH69">
            <v>46.625162362483238</v>
          </cell>
          <cell r="AI69">
            <v>49.335776417327516</v>
          </cell>
          <cell r="AJ69">
            <v>52.734676118097433</v>
          </cell>
          <cell r="AK69">
            <v>55.003970219762934</v>
          </cell>
          <cell r="AL69">
            <v>56.457049093218423</v>
          </cell>
          <cell r="AM69">
            <v>64.930529143619907</v>
          </cell>
          <cell r="AN69">
            <v>68.321560589620773</v>
          </cell>
          <cell r="AO69">
            <v>69.339657614096538</v>
          </cell>
          <cell r="AP69">
            <v>74.197714013288703</v>
          </cell>
          <cell r="AQ69">
            <v>71.391052492152895</v>
          </cell>
          <cell r="AR69">
            <v>52.61521080396637</v>
          </cell>
          <cell r="AS69">
            <v>48.55643960176544</v>
          </cell>
          <cell r="AT69">
            <v>62.353411028915517</v>
          </cell>
          <cell r="AU69">
            <v>69.888974262942128</v>
          </cell>
          <cell r="AV69">
            <v>77.292381656499799</v>
          </cell>
          <cell r="AW69">
            <v>80.586454681569776</v>
          </cell>
          <cell r="AX69">
            <v>86.817981800116868</v>
          </cell>
          <cell r="AY69">
            <v>93.76421101844042</v>
          </cell>
          <cell r="AZ69">
            <v>100</v>
          </cell>
          <cell r="BA69">
            <v>113.84731889942654</v>
          </cell>
          <cell r="BB69">
            <v>114.59363083494748</v>
          </cell>
          <cell r="BC69">
            <v>123.14813701691656</v>
          </cell>
          <cell r="BD69">
            <v>130.12159330682033</v>
          </cell>
          <cell r="BE69">
            <v>136.60848402048444</v>
          </cell>
          <cell r="BF69">
            <v>140.83658355664741</v>
          </cell>
          <cell r="BG69">
            <v>145.10492221693406</v>
          </cell>
          <cell r="BH69">
            <v>141.49032848416243</v>
          </cell>
          <cell r="BI69">
            <v>144.18097475337828</v>
          </cell>
          <cell r="BJ69">
            <v>146.98731071479517</v>
          </cell>
          <cell r="BK69">
            <v>150.69341971353529</v>
          </cell>
        </row>
        <row r="70">
          <cell r="E70">
            <v>0.74464040313029878</v>
          </cell>
          <cell r="F70">
            <v>0.756628900921545</v>
          </cell>
          <cell r="G70">
            <v>0.75962535468382519</v>
          </cell>
          <cell r="H70">
            <v>0.76657874570160256</v>
          </cell>
          <cell r="I70">
            <v>0.77318891698833225</v>
          </cell>
          <cell r="J70">
            <v>0.81544027131269214</v>
          </cell>
          <cell r="K70">
            <v>0.83787464465972938</v>
          </cell>
          <cell r="L70">
            <v>0.86160336598105003</v>
          </cell>
          <cell r="M70">
            <v>0.87712455743346307</v>
          </cell>
          <cell r="N70">
            <v>0.88419690224955172</v>
          </cell>
          <cell r="O70">
            <v>0.99486452228611455</v>
          </cell>
          <cell r="P70">
            <v>1.0080636853913363</v>
          </cell>
          <cell r="Q70">
            <v>1.0423287138075272</v>
          </cell>
          <cell r="R70">
            <v>1.1189671316030061</v>
          </cell>
          <cell r="S70">
            <v>1.2244295590431664</v>
          </cell>
          <cell r="T70">
            <v>1.3427569531581425</v>
          </cell>
          <cell r="U70">
            <v>1.4976208587400528</v>
          </cell>
          <cell r="V70">
            <v>1.6823960793182775</v>
          </cell>
          <cell r="W70">
            <v>1.8430248923087436</v>
          </cell>
          <cell r="X70">
            <v>2.2761332656845403</v>
          </cell>
          <cell r="Y70">
            <v>2.5590763537743166</v>
          </cell>
          <cell r="Z70">
            <v>2.5028218318424202</v>
          </cell>
          <cell r="AA70">
            <v>3.1217911693534579</v>
          </cell>
          <cell r="AB70">
            <v>3.5186290298644929</v>
          </cell>
          <cell r="AC70">
            <v>3.8088262915663829</v>
          </cell>
          <cell r="AD70">
            <v>4.2497376137548928</v>
          </cell>
          <cell r="AE70">
            <v>4.7968986260797069</v>
          </cell>
          <cell r="AF70">
            <v>5.3950417859631932</v>
          </cell>
          <cell r="AG70">
            <v>6.1189244493369968</v>
          </cell>
          <cell r="AH70">
            <v>7.289927793545675</v>
          </cell>
          <cell r="AI70">
            <v>8.583383426892679</v>
          </cell>
          <cell r="AJ70">
            <v>9.9674772802173504</v>
          </cell>
          <cell r="AK70">
            <v>11.796587175502426</v>
          </cell>
          <cell r="AL70">
            <v>12.790933940950666</v>
          </cell>
          <cell r="AM70">
            <v>13.871623521474705</v>
          </cell>
          <cell r="AN70">
            <v>15.452952744170942</v>
          </cell>
          <cell r="AO70">
            <v>16.551297235842458</v>
          </cell>
          <cell r="AP70">
            <v>18.185949269283917</v>
          </cell>
          <cell r="AQ70">
            <v>18.618353218179649</v>
          </cell>
          <cell r="AR70">
            <v>18.789536952459905</v>
          </cell>
          <cell r="AS70">
            <v>19.530672761630832</v>
          </cell>
          <cell r="AT70">
            <v>19.895447106768639</v>
          </cell>
          <cell r="AU70">
            <v>20.525253215364607</v>
          </cell>
          <cell r="AV70">
            <v>21.916350939679631</v>
          </cell>
          <cell r="AW70">
            <v>24.473969005937217</v>
          </cell>
          <cell r="AX70">
            <v>25.994470499703343</v>
          </cell>
          <cell r="AY70">
            <v>27.907657739667101</v>
          </cell>
          <cell r="AZ70">
            <v>31.42283369949347</v>
          </cell>
          <cell r="BA70">
            <v>35.257671442045435</v>
          </cell>
          <cell r="BB70">
            <v>39.201433183639182</v>
          </cell>
          <cell r="BC70">
            <v>43.16346896836162</v>
          </cell>
          <cell r="BD70">
            <v>48.197614146297774</v>
          </cell>
          <cell r="BE70">
            <v>57.587896253602381</v>
          </cell>
          <cell r="BF70">
            <v>62.605342248700765</v>
          </cell>
          <cell r="BG70">
            <v>69.646956064145456</v>
          </cell>
          <cell r="BH70">
            <v>76.56351847142794</v>
          </cell>
          <cell r="BI70">
            <v>81.34541791851828</v>
          </cell>
          <cell r="BJ70">
            <v>100</v>
          </cell>
          <cell r="BK70">
            <v>121.42622591943959</v>
          </cell>
        </row>
        <row r="72">
          <cell r="AK72">
            <v>52.885344539180053</v>
          </cell>
          <cell r="AL72">
            <v>52.153849977764381</v>
          </cell>
          <cell r="AM72">
            <v>57.594616549315056</v>
          </cell>
          <cell r="AN72">
            <v>63.24467168812685</v>
          </cell>
          <cell r="AO72">
            <v>68.984021340951671</v>
          </cell>
          <cell r="AP72">
            <v>71.672433144146481</v>
          </cell>
          <cell r="AQ72">
            <v>78.201199258437143</v>
          </cell>
          <cell r="AR72">
            <v>80.014342034792705</v>
          </cell>
          <cell r="AS72">
            <v>100</v>
          </cell>
          <cell r="AT72">
            <v>115.0772699362827</v>
          </cell>
          <cell r="AU72">
            <v>133.6607154333924</v>
          </cell>
          <cell r="AV72">
            <v>162.89611207467112</v>
          </cell>
          <cell r="AW72">
            <v>203.29318433046191</v>
          </cell>
          <cell r="AX72">
            <v>218.79162523617262</v>
          </cell>
          <cell r="AY72">
            <v>243.72075121837051</v>
          </cell>
          <cell r="AZ72">
            <v>261.48362753114679</v>
          </cell>
          <cell r="BA72">
            <v>303.52031107352093</v>
          </cell>
          <cell r="BB72">
            <v>393.0724828082819</v>
          </cell>
          <cell r="BC72">
            <v>438.56573842494112</v>
          </cell>
          <cell r="BD72">
            <v>497.07413835854209</v>
          </cell>
        </row>
        <row r="73">
          <cell r="E73">
            <v>2.5722365809426204</v>
          </cell>
          <cell r="F73">
            <v>2.6356779604162948</v>
          </cell>
          <cell r="G73">
            <v>2.7963447145883888</v>
          </cell>
          <cell r="H73">
            <v>3.0157284350724698</v>
          </cell>
          <cell r="I73">
            <v>3.20434173011621</v>
          </cell>
          <cell r="J73">
            <v>3.498015376596844</v>
          </cell>
          <cell r="K73">
            <v>3.7839341761673286</v>
          </cell>
          <cell r="L73">
            <v>4.1069958466124152</v>
          </cell>
          <cell r="M73">
            <v>4.3497657146742394</v>
          </cell>
          <cell r="N73">
            <v>4.5730500911400513</v>
          </cell>
          <cell r="O73">
            <v>4.9740608129977071</v>
          </cell>
          <cell r="P73">
            <v>5.3643266857345884</v>
          </cell>
          <cell r="Q73">
            <v>5.8212560022677913</v>
          </cell>
          <cell r="R73">
            <v>6.5110512801841418</v>
          </cell>
          <cell r="S73">
            <v>7.5492455319192686</v>
          </cell>
          <cell r="T73">
            <v>8.8161434464290487</v>
          </cell>
          <cell r="U73">
            <v>10.269918604583298</v>
          </cell>
          <cell r="V73">
            <v>12.671340860326088</v>
          </cell>
          <cell r="W73">
            <v>15.285570549138475</v>
          </cell>
          <cell r="X73">
            <v>17.873667028542712</v>
          </cell>
          <cell r="Y73">
            <v>20.260664350725165</v>
          </cell>
          <cell r="Z73">
            <v>22.763097963604476</v>
          </cell>
          <cell r="AA73">
            <v>25.854855535913568</v>
          </cell>
          <cell r="AB73">
            <v>28.927510098944865</v>
          </cell>
          <cell r="AC73">
            <v>32.070407039549274</v>
          </cell>
          <cell r="AD73">
            <v>34.827012284661436</v>
          </cell>
          <cell r="AE73">
            <v>38.615779037308037</v>
          </cell>
          <cell r="AF73">
            <v>40.911177529581728</v>
          </cell>
          <cell r="AG73">
            <v>43.339716658699508</v>
          </cell>
          <cell r="AH73">
            <v>46.328507639904991</v>
          </cell>
          <cell r="AI73">
            <v>49.722650472125594</v>
          </cell>
          <cell r="AJ73">
            <v>53.170985636967693</v>
          </cell>
          <cell r="AK73">
            <v>56.739168832893952</v>
          </cell>
          <cell r="AL73">
            <v>59.313561803823113</v>
          </cell>
          <cell r="AM73">
            <v>61.614834283413892</v>
          </cell>
          <cell r="AN73">
            <v>64.654373988317261</v>
          </cell>
          <cell r="AO73">
            <v>66.898347117634714</v>
          </cell>
          <cell r="AP73">
            <v>68.491750697743299</v>
          </cell>
          <cell r="AQ73">
            <v>70.226482249510738</v>
          </cell>
          <cell r="AR73">
            <v>72.097903964246811</v>
          </cell>
          <cell r="AS73">
            <v>74.459884989002404</v>
          </cell>
          <cell r="AT73">
            <v>77.497748279220019</v>
          </cell>
          <cell r="AU73">
            <v>80.686769225467842</v>
          </cell>
          <cell r="AV73">
            <v>83.84881016113934</v>
          </cell>
          <cell r="AW73">
            <v>87.136753174237086</v>
          </cell>
          <cell r="AX73">
            <v>90.752485154414558</v>
          </cell>
          <cell r="AY73">
            <v>94.362800625356911</v>
          </cell>
          <cell r="AZ73">
            <v>97.506157246605625</v>
          </cell>
          <cell r="BA73">
            <v>99.588344088669288</v>
          </cell>
          <cell r="BB73">
            <v>99.839838339426137</v>
          </cell>
          <cell r="BC73">
            <v>100</v>
          </cell>
          <cell r="BD73">
            <v>100.02896819945819</v>
          </cell>
          <cell r="BE73">
            <v>100.09693802897166</v>
          </cell>
          <cell r="BF73">
            <v>100.45089115640262</v>
          </cell>
          <cell r="BG73">
            <v>100.25502811105315</v>
          </cell>
          <cell r="BH73">
            <v>100.76949676067588</v>
          </cell>
          <cell r="BI73">
            <v>101.06554237416753</v>
          </cell>
          <cell r="BJ73">
            <v>102.3153257316703</v>
          </cell>
          <cell r="BK73">
            <v>103.32593324872836</v>
          </cell>
        </row>
        <row r="74">
          <cell r="AN74">
            <v>35.035035739095875</v>
          </cell>
          <cell r="AO74">
            <v>43.673944177742406</v>
          </cell>
          <cell r="AP74">
            <v>48.115573458254005</v>
          </cell>
          <cell r="AQ74">
            <v>51.913447091598705</v>
          </cell>
          <cell r="AR74">
            <v>55.778736880344361</v>
          </cell>
          <cell r="AS74">
            <v>57.876312528358895</v>
          </cell>
          <cell r="AT74">
            <v>61.537548647474857</v>
          </cell>
          <cell r="AU74">
            <v>64.643931639417062</v>
          </cell>
          <cell r="AV74">
            <v>67.419350301219538</v>
          </cell>
          <cell r="AW74">
            <v>70.700923188001241</v>
          </cell>
          <cell r="AX74">
            <v>74.993674614049581</v>
          </cell>
          <cell r="AY74">
            <v>81.651541841372591</v>
          </cell>
          <cell r="AZ74">
            <v>91.050009140645898</v>
          </cell>
          <cell r="BA74">
            <v>97.872211099499879</v>
          </cell>
          <cell r="BB74">
            <v>98.293734739170986</v>
          </cell>
          <cell r="BC74">
            <v>100</v>
          </cell>
          <cell r="BD74">
            <v>105.26089642358522</v>
          </cell>
          <cell r="BE74">
            <v>108.58687982170115</v>
          </cell>
          <cell r="BF74">
            <v>112.44795045026304</v>
          </cell>
          <cell r="BG74">
            <v>115.80790739222533</v>
          </cell>
          <cell r="BH74">
            <v>116.99531438271021</v>
          </cell>
          <cell r="BI74">
            <v>118.6926605291148</v>
          </cell>
          <cell r="BJ74">
            <v>123.28363453961761</v>
          </cell>
          <cell r="BK74">
            <v>128.9579241692758</v>
          </cell>
        </row>
        <row r="75">
          <cell r="Z75">
            <v>6.259098629412259</v>
          </cell>
          <cell r="AA75">
            <v>6.5263954085190301</v>
          </cell>
          <cell r="AB75">
            <v>6.7027959351190587</v>
          </cell>
          <cell r="AC75">
            <v>6.5195428385336571</v>
          </cell>
          <cell r="AD75">
            <v>8.591959676515911</v>
          </cell>
          <cell r="AE75">
            <v>8.1388922862150856</v>
          </cell>
          <cell r="AF75">
            <v>7.6408334241573481</v>
          </cell>
          <cell r="AG75">
            <v>7.8781197898799835</v>
          </cell>
          <cell r="AH75">
            <v>8.3180916590705252</v>
          </cell>
          <cell r="AI75">
            <v>8.5902075974772192</v>
          </cell>
          <cell r="AJ75">
            <v>10.229587733194027</v>
          </cell>
          <cell r="AK75">
            <v>11.818470432741233</v>
          </cell>
          <cell r="AL75">
            <v>13.399411164341085</v>
          </cell>
          <cell r="AM75">
            <v>13.792158856755169</v>
          </cell>
          <cell r="AN75">
            <v>15.54464146636507</v>
          </cell>
          <cell r="AO75">
            <v>15.581814598739729</v>
          </cell>
          <cell r="AP75">
            <v>15.61401528540188</v>
          </cell>
          <cell r="AQ75">
            <v>15.590571335794174</v>
          </cell>
          <cell r="AR75">
            <v>15.937106545193224</v>
          </cell>
          <cell r="AS75">
            <v>17.445508889325811</v>
          </cell>
          <cell r="AT75">
            <v>16.441461350909815</v>
          </cell>
          <cell r="AU75">
            <v>15.846044644425373</v>
          </cell>
          <cell r="AV75">
            <v>17.869264190408895</v>
          </cell>
          <cell r="AW75">
            <v>18.568195881155244</v>
          </cell>
          <cell r="AX75">
            <v>20.401900277092853</v>
          </cell>
          <cell r="AY75">
            <v>22.758799163867216</v>
          </cell>
          <cell r="AZ75">
            <v>26.677996262700937</v>
          </cell>
          <cell r="BA75">
            <v>34.764543274524776</v>
          </cell>
          <cell r="BB75">
            <v>43.158934267592336</v>
          </cell>
          <cell r="BC75">
            <v>43.782396284509737</v>
          </cell>
          <cell r="BD75">
            <v>52.565965934995461</v>
          </cell>
          <cell r="BE75">
            <v>70.197329470874379</v>
          </cell>
          <cell r="BF75">
            <v>73.638388030042492</v>
          </cell>
          <cell r="BG75">
            <v>81.725199904310074</v>
          </cell>
          <cell r="BH75">
            <v>90.581386153143001</v>
          </cell>
          <cell r="BI75">
            <v>99.999971239032391</v>
          </cell>
          <cell r="BJ75">
            <v>106.72208698293795</v>
          </cell>
          <cell r="BK75">
            <v>120.08141556538894</v>
          </cell>
          <cell r="BN75" t="str">
            <v>Ethiopia</v>
          </cell>
        </row>
        <row r="76">
          <cell r="BC76">
            <v>100</v>
          </cell>
          <cell r="BD76">
            <v>101.74059411032938</v>
          </cell>
          <cell r="BE76">
            <v>103.40264880254946</v>
          </cell>
          <cell r="BN76" t="str">
            <v>EU</v>
          </cell>
        </row>
        <row r="78">
          <cell r="E78">
            <v>6.8932231932645349</v>
          </cell>
          <cell r="F78">
            <v>7.2614438748214658</v>
          </cell>
          <cell r="G78">
            <v>7.5500096598057533</v>
          </cell>
          <cell r="H78">
            <v>7.9385792201053293</v>
          </cell>
          <cell r="I78">
            <v>8.5082332783865837</v>
          </cell>
          <cell r="J78">
            <v>8.93562650471676</v>
          </cell>
          <cell r="K78">
            <v>9.3577315278272497</v>
          </cell>
          <cell r="L78">
            <v>10.046653746613224</v>
          </cell>
          <cell r="M78">
            <v>11.258658596896581</v>
          </cell>
          <cell r="N78">
            <v>11.725929620744598</v>
          </cell>
          <cell r="O78">
            <v>12.564121183932864</v>
          </cell>
          <cell r="P78">
            <v>13.489355192057101</v>
          </cell>
          <cell r="Q78">
            <v>14.601427123433863</v>
          </cell>
          <cell r="R78">
            <v>16.612341895509065</v>
          </cell>
          <cell r="S78">
            <v>20.278917955649572</v>
          </cell>
          <cell r="T78">
            <v>23.030360171704164</v>
          </cell>
          <cell r="U78">
            <v>26.053021551672668</v>
          </cell>
          <cell r="V78">
            <v>28.506867629086745</v>
          </cell>
          <cell r="W78">
            <v>30.631823951257097</v>
          </cell>
          <cell r="X78">
            <v>33.175790650734037</v>
          </cell>
          <cell r="Y78">
            <v>36.372471734177083</v>
          </cell>
          <cell r="Z78">
            <v>40.61107439073794</v>
          </cell>
          <cell r="AA78">
            <v>44.293573807110796</v>
          </cell>
          <cell r="AB78">
            <v>47.926110152834049</v>
          </cell>
          <cell r="AC78">
            <v>51.979673730336863</v>
          </cell>
          <cell r="AD78">
            <v>54.696371092613617</v>
          </cell>
          <cell r="AE78">
            <v>57.314599967113075</v>
          </cell>
          <cell r="AF78">
            <v>59.765177043453711</v>
          </cell>
          <cell r="AG78">
            <v>64.354227454136904</v>
          </cell>
          <cell r="AH78">
            <v>68.558913640135316</v>
          </cell>
          <cell r="AI78">
            <v>72.125405165513584</v>
          </cell>
          <cell r="AJ78">
            <v>73.249663072776286</v>
          </cell>
          <cell r="AK78">
            <v>73.930279769632236</v>
          </cell>
          <cell r="AL78">
            <v>75.263758448169924</v>
          </cell>
          <cell r="AM78">
            <v>76.650509213126384</v>
          </cell>
          <cell r="AN78">
            <v>79.867098865478113</v>
          </cell>
          <cell r="AO78">
            <v>79.787358792948439</v>
          </cell>
          <cell r="AP78">
            <v>81.477720878215322</v>
          </cell>
          <cell r="AQ78">
            <v>84.012841091492774</v>
          </cell>
          <cell r="AR78">
            <v>84.808697162864661</v>
          </cell>
          <cell r="AS78">
            <v>86.191497302186718</v>
          </cell>
          <cell r="AT78">
            <v>89.064629311035887</v>
          </cell>
          <cell r="AU78">
            <v>89.928803609547842</v>
          </cell>
          <cell r="AV78">
            <v>90.120938971602527</v>
          </cell>
          <cell r="AW78">
            <v>90.668642404755502</v>
          </cell>
          <cell r="AX78">
            <v>91.506073054785517</v>
          </cell>
          <cell r="AY78">
            <v>92.341024228191145</v>
          </cell>
          <cell r="AZ78">
            <v>94.894290088138206</v>
          </cell>
          <cell r="BA78">
            <v>97.814077964047669</v>
          </cell>
          <cell r="BB78">
            <v>99.650453584639777</v>
          </cell>
          <cell r="BC78">
            <v>100</v>
          </cell>
          <cell r="BD78">
            <v>102.58402376113804</v>
          </cell>
          <cell r="BE78">
            <v>105.61390896163829</v>
          </cell>
          <cell r="BF78">
            <v>108.30887561987652</v>
          </cell>
          <cell r="BG78">
            <v>110.1424260129829</v>
          </cell>
          <cell r="BH78">
            <v>111.98216409671072</v>
          </cell>
          <cell r="BI78">
            <v>112.1385273297212</v>
          </cell>
          <cell r="BJ78">
            <v>112.77776658541008</v>
          </cell>
          <cell r="BK78">
            <v>114.99066087327027</v>
          </cell>
        </row>
        <row r="79">
          <cell r="E79">
            <v>5.0438109772283006</v>
          </cell>
          <cell r="F79">
            <v>5.0745267133852616</v>
          </cell>
          <cell r="G79">
            <v>5.1456982103203499</v>
          </cell>
          <cell r="H79">
            <v>5.0958225277905358</v>
          </cell>
          <cell r="I79">
            <v>5.2558691997179432</v>
          </cell>
          <cell r="J79">
            <v>5.6737599247863191</v>
          </cell>
          <cell r="K79">
            <v>5.8146323886722806</v>
          </cell>
          <cell r="L79">
            <v>5.6054092662129653</v>
          </cell>
          <cell r="M79">
            <v>5.789890842686698</v>
          </cell>
          <cell r="N79">
            <v>6.1658997766514689</v>
          </cell>
          <cell r="O79">
            <v>6.5871101361970874</v>
          </cell>
          <cell r="P79">
            <v>6.8083883341012923</v>
          </cell>
          <cell r="Q79">
            <v>7.8109488389552562</v>
          </cell>
          <cell r="R79">
            <v>9.0605015668135742</v>
          </cell>
          <cell r="S79">
            <v>11.746551828239861</v>
          </cell>
          <cell r="T79">
            <v>14.603154491777357</v>
          </cell>
          <cell r="U79">
            <v>15.758475350874157</v>
          </cell>
          <cell r="V79">
            <v>15.753427947981418</v>
          </cell>
          <cell r="W79">
            <v>16.451601700649583</v>
          </cell>
          <cell r="X79">
            <v>17.790984228043456</v>
          </cell>
          <cell r="Y79">
            <v>20.87090684102969</v>
          </cell>
          <cell r="Z79">
            <v>21.075068356144193</v>
          </cell>
          <cell r="AA79">
            <v>23.626957415248199</v>
          </cell>
          <cell r="AB79">
            <v>25.239816211257832</v>
          </cell>
          <cell r="AC79">
            <v>25.998902749856935</v>
          </cell>
          <cell r="AD79">
            <v>28.136916078906143</v>
          </cell>
          <cell r="AE79">
            <v>28.993254709707557</v>
          </cell>
          <cell r="AF79">
            <v>31.121362610842677</v>
          </cell>
          <cell r="AG79">
            <v>33.401940922879994</v>
          </cell>
          <cell r="AH79">
            <v>34.353327231490908</v>
          </cell>
          <cell r="AI79">
            <v>36.647947201301371</v>
          </cell>
          <cell r="AJ79">
            <v>38.844306557019202</v>
          </cell>
          <cell r="AK79">
            <v>41.277953647764853</v>
          </cell>
          <cell r="AL79">
            <v>44.265130776757175</v>
          </cell>
          <cell r="AM79">
            <v>44.637670857972743</v>
          </cell>
          <cell r="AN79">
            <v>45.154086011971003</v>
          </cell>
          <cell r="AO79">
            <v>46.46174425100682</v>
          </cell>
          <cell r="AP79">
            <v>48.064959271310251</v>
          </cell>
          <cell r="AQ79">
            <v>51.663860981511689</v>
          </cell>
          <cell r="AR79">
            <v>55.182735396194595</v>
          </cell>
          <cell r="AS79">
            <v>52.607618984963075</v>
          </cell>
          <cell r="AT79">
            <v>54.37579567909944</v>
          </cell>
          <cell r="AU79">
            <v>56.180536668207317</v>
          </cell>
          <cell r="AV79">
            <v>60.604097732498964</v>
          </cell>
          <cell r="AW79">
            <v>61.961091800670566</v>
          </cell>
          <cell r="AX79">
            <v>66.185436501579161</v>
          </cell>
          <cell r="AY79">
            <v>68.650914825354874</v>
          </cell>
          <cell r="AZ79">
            <v>70.679587518870022</v>
          </cell>
          <cell r="BA79">
            <v>71.63799328128448</v>
          </cell>
          <cell r="BB79">
            <v>72.63425912251337</v>
          </cell>
          <cell r="BC79">
            <v>75.70653237524003</v>
          </cell>
          <cell r="BD79">
            <v>82.816390671878011</v>
          </cell>
          <cell r="BE79">
            <v>85.778330691742681</v>
          </cell>
          <cell r="BF79">
            <v>88.884617629502671</v>
          </cell>
          <cell r="BG79">
            <v>100</v>
          </cell>
          <cell r="BH79">
            <v>102.37160427185898</v>
          </cell>
          <cell r="BI79">
            <v>104.78935565729381</v>
          </cell>
          <cell r="BJ79">
            <v>105.16258929027831</v>
          </cell>
          <cell r="BK79">
            <v>105.16258929027946</v>
          </cell>
        </row>
        <row r="80">
          <cell r="E80">
            <v>10.268854952574147</v>
          </cell>
          <cell r="F80">
            <v>10.617695207040532</v>
          </cell>
          <cell r="G80">
            <v>11.113843323380227</v>
          </cell>
          <cell r="H80">
            <v>11.826713343255113</v>
          </cell>
          <cell r="I80">
            <v>12.317154946626326</v>
          </cell>
          <cell r="J80">
            <v>12.653978231239204</v>
          </cell>
          <cell r="K80">
            <v>13.020131959443601</v>
          </cell>
          <cell r="L80">
            <v>13.43437519375142</v>
          </cell>
          <cell r="M80">
            <v>14.005262894794379</v>
          </cell>
          <cell r="N80">
            <v>14.925763616954244</v>
          </cell>
          <cell r="O80">
            <v>16.032826373355764</v>
          </cell>
          <cell r="P80">
            <v>16.978825520327639</v>
          </cell>
          <cell r="Q80">
            <v>18.134230053393281</v>
          </cell>
          <cell r="R80">
            <v>19.559504491697101</v>
          </cell>
          <cell r="S80">
            <v>21.873868047087626</v>
          </cell>
          <cell r="T80">
            <v>24.882268656476082</v>
          </cell>
          <cell r="U80">
            <v>27.556915653821434</v>
          </cell>
          <cell r="V80">
            <v>29.975078431557133</v>
          </cell>
          <cell r="W80">
            <v>32.756493319792938</v>
          </cell>
          <cell r="X80">
            <v>36.133783456643478</v>
          </cell>
          <cell r="Y80">
            <v>40.356716090954222</v>
          </cell>
          <cell r="Z80">
            <v>45.075212225478332</v>
          </cell>
          <cell r="AA80">
            <v>50.52695322777101</v>
          </cell>
          <cell r="AB80">
            <v>55.40297847756932</v>
          </cell>
          <cell r="AC80">
            <v>59.318600037029448</v>
          </cell>
          <cell r="AD80">
            <v>62.553693274020162</v>
          </cell>
          <cell r="AE80">
            <v>65.715889812435762</v>
          </cell>
          <cell r="AF80">
            <v>67.329780720950993</v>
          </cell>
          <cell r="AG80">
            <v>69.479890849717208</v>
          </cell>
          <cell r="AH80">
            <v>71.762477258128726</v>
          </cell>
          <cell r="AI80">
            <v>73.669323113505442</v>
          </cell>
          <cell r="AJ80">
            <v>75.545743280199503</v>
          </cell>
          <cell r="AK80">
            <v>77.031770164495413</v>
          </cell>
          <cell r="AL80">
            <v>78.282383239140358</v>
          </cell>
          <cell r="AM80">
            <v>79.006440071718743</v>
          </cell>
          <cell r="AN80">
            <v>79.895043620399292</v>
          </cell>
          <cell r="AO80">
            <v>80.98008067215531</v>
          </cell>
          <cell r="AP80">
            <v>81.691249092668116</v>
          </cell>
          <cell r="AQ80">
            <v>82.467530547335571</v>
          </cell>
          <cell r="AR80">
            <v>82.635608560911521</v>
          </cell>
          <cell r="AS80">
            <v>83.919179431432894</v>
          </cell>
          <cell r="AT80">
            <v>85.604557016512146</v>
          </cell>
          <cell r="AU80">
            <v>87.374367659552419</v>
          </cell>
          <cell r="AV80">
            <v>88.998978880604852</v>
          </cell>
          <cell r="AW80">
            <v>90.44314345663625</v>
          </cell>
          <cell r="AX80">
            <v>92.194431487976189</v>
          </cell>
          <cell r="AY80">
            <v>94.181523322468195</v>
          </cell>
          <cell r="AZ80">
            <v>96.589403014259673</v>
          </cell>
          <cell r="BA80">
            <v>98.875745518502185</v>
          </cell>
          <cell r="BB80">
            <v>98.941623953960317</v>
          </cell>
          <cell r="BC80">
            <v>100</v>
          </cell>
          <cell r="BD80">
            <v>100.94796020689319</v>
          </cell>
          <cell r="BE80">
            <v>102.1207988843738</v>
          </cell>
          <cell r="BF80">
            <v>102.91540135834532</v>
          </cell>
          <cell r="BG80">
            <v>103.50916584185303</v>
          </cell>
          <cell r="BH80">
            <v>104.68735766315589</v>
          </cell>
          <cell r="BI80">
            <v>105.23441124206681</v>
          </cell>
          <cell r="BJ80">
            <v>105.71521366070907</v>
          </cell>
          <cell r="BK80">
            <v>106.55019029314548</v>
          </cell>
        </row>
        <row r="82">
          <cell r="AE82">
            <v>67.312537492501491</v>
          </cell>
          <cell r="AF82">
            <v>69.176052163604027</v>
          </cell>
          <cell r="AG82">
            <v>72.080924855491318</v>
          </cell>
          <cell r="AH82">
            <v>75.488553880513678</v>
          </cell>
          <cell r="AI82">
            <v>79.224973089343379</v>
          </cell>
          <cell r="AJ82">
            <v>83.266533066132254</v>
          </cell>
          <cell r="AK82">
            <v>85.789980732177256</v>
          </cell>
          <cell r="AL82">
            <v>88.374164810690431</v>
          </cell>
          <cell r="AM82">
            <v>90.685176892073443</v>
          </cell>
          <cell r="AN82">
            <v>92.884284200392614</v>
          </cell>
          <cell r="AO82">
            <v>94.461026345583505</v>
          </cell>
          <cell r="AP82">
            <v>95.071804610952853</v>
          </cell>
          <cell r="AQ82">
            <v>98.031087527900183</v>
          </cell>
          <cell r="AR82">
            <v>97.139613335381853</v>
          </cell>
          <cell r="AS82">
            <v>98.190707625930557</v>
          </cell>
          <cell r="AT82">
            <v>99.328888774869256</v>
          </cell>
          <cell r="AU82">
            <v>99.350042529807865</v>
          </cell>
          <cell r="AV82">
            <v>98.959318445166716</v>
          </cell>
          <cell r="AW82">
            <v>100</v>
          </cell>
          <cell r="AX82">
            <v>102.08712870640626</v>
          </cell>
          <cell r="AY82">
            <v>103.53774943822384</v>
          </cell>
          <cell r="AZ82">
            <v>106.93398345897629</v>
          </cell>
          <cell r="BA82">
            <v>112.05352271177193</v>
          </cell>
          <cell r="BB82">
            <v>117.95342476372804</v>
          </cell>
          <cell r="BC82">
            <v>122.42988338980869</v>
          </cell>
          <cell r="BD82">
            <v>124.04865710746056</v>
          </cell>
          <cell r="BE82">
            <v>132.9363799893122</v>
          </cell>
          <cell r="BF82">
            <v>133.99448573290445</v>
          </cell>
          <cell r="BG82">
            <v>137.79593683214344</v>
          </cell>
          <cell r="BH82">
            <v>130.15548222367127</v>
          </cell>
          <cell r="BI82">
            <v>135.28550584495312</v>
          </cell>
          <cell r="BJ82">
            <v>133.68621117992677</v>
          </cell>
          <cell r="BK82">
            <v>135.00461562943295</v>
          </cell>
        </row>
        <row r="83">
          <cell r="E83">
            <v>5.5001569699198756</v>
          </cell>
          <cell r="F83">
            <v>5.6804766459718099</v>
          </cell>
          <cell r="G83">
            <v>5.7589195183940838</v>
          </cell>
          <cell r="H83">
            <v>4.5873936254084846</v>
          </cell>
          <cell r="I83">
            <v>6.1260326585155092</v>
          </cell>
          <cell r="J83">
            <v>5.9386307515755865</v>
          </cell>
          <cell r="K83">
            <v>6.1841590528694761</v>
          </cell>
          <cell r="L83">
            <v>6.5691065413214345</v>
          </cell>
          <cell r="M83">
            <v>6.9935283098265852</v>
          </cell>
          <cell r="N83">
            <v>7.3403461144442517</v>
          </cell>
          <cell r="O83">
            <v>7.3095020185186561</v>
          </cell>
          <cell r="P83">
            <v>7.7849241341891835</v>
          </cell>
          <cell r="Q83">
            <v>7.2184176484212648</v>
          </cell>
          <cell r="R83">
            <v>9.7273702794743997</v>
          </cell>
          <cell r="S83">
            <v>16.090088706740318</v>
          </cell>
          <cell r="T83">
            <v>16.793586836498164</v>
          </cell>
          <cell r="U83">
            <v>19.256355461910381</v>
          </cell>
          <cell r="V83">
            <v>21.142646428522909</v>
          </cell>
          <cell r="W83">
            <v>21.747130353310432</v>
          </cell>
          <cell r="X83">
            <v>25.875391595380538</v>
          </cell>
          <cell r="Y83">
            <v>35.392645762160555</v>
          </cell>
          <cell r="Z83">
            <v>39.088369439487309</v>
          </cell>
          <cell r="AA83">
            <v>45.695722487535697</v>
          </cell>
          <cell r="AB83">
            <v>47.032250223900377</v>
          </cell>
          <cell r="AC83">
            <v>52.680925586819981</v>
          </cell>
          <cell r="AD83">
            <v>52.008689703519096</v>
          </cell>
          <cell r="AE83">
            <v>41.185778078319977</v>
          </cell>
          <cell r="AF83">
            <v>41.594869506460071</v>
          </cell>
          <cell r="AG83">
            <v>42.682631248212047</v>
          </cell>
          <cell r="AH83">
            <v>45.981155572586985</v>
          </cell>
          <cell r="AI83">
            <v>53.0430064583134</v>
          </cell>
          <cell r="AJ83">
            <v>47.014083958250275</v>
          </cell>
          <cell r="AK83">
            <v>47.1146315498614</v>
          </cell>
          <cell r="AL83">
            <v>46.874591557939191</v>
          </cell>
          <cell r="AM83">
            <v>68.695390302407532</v>
          </cell>
          <cell r="AN83">
            <v>69.615300913443491</v>
          </cell>
          <cell r="AO83">
            <v>79.056999140275749</v>
          </cell>
          <cell r="AP83">
            <v>79.805302760437385</v>
          </cell>
          <cell r="AQ83">
            <v>65.610811210381286</v>
          </cell>
          <cell r="AR83">
            <v>78.20240236886103</v>
          </cell>
          <cell r="AS83">
            <v>100.16894387136152</v>
          </cell>
          <cell r="AT83">
            <v>100</v>
          </cell>
          <cell r="AU83">
            <v>100.85580781423627</v>
          </cell>
          <cell r="AV83">
            <v>100.6368292851927</v>
          </cell>
          <cell r="AW83">
            <v>108.45155938758366</v>
          </cell>
          <cell r="AX83">
            <v>130.24432859255901</v>
          </cell>
          <cell r="AY83">
            <v>143.09701773450152</v>
          </cell>
          <cell r="AZ83">
            <v>149.15197005444131</v>
          </cell>
          <cell r="BA83">
            <v>179.69674091069635</v>
          </cell>
          <cell r="BB83">
            <v>147.21739039297435</v>
          </cell>
          <cell r="BC83">
            <v>171.60295034852135</v>
          </cell>
          <cell r="BD83">
            <v>193.36431134759414</v>
          </cell>
          <cell r="BE83">
            <v>187.67572144424994</v>
          </cell>
          <cell r="BF83">
            <v>176.11879139753515</v>
          </cell>
          <cell r="BG83">
            <v>174.61933303241392</v>
          </cell>
          <cell r="BH83">
            <v>159.03076403584379</v>
          </cell>
          <cell r="BI83">
            <v>152.24054165940331</v>
          </cell>
          <cell r="BJ83">
            <v>158.04539006370305</v>
          </cell>
          <cell r="BK83">
            <v>170.33109893161276</v>
          </cell>
        </row>
        <row r="84">
          <cell r="E84">
            <v>5.5087222790710211</v>
          </cell>
          <cell r="F84">
            <v>5.6947163853196647</v>
          </cell>
          <cell r="G84">
            <v>5.9064253576860368</v>
          </cell>
          <cell r="H84">
            <v>6.0229470398490053</v>
          </cell>
          <cell r="I84">
            <v>6.2671524085839341</v>
          </cell>
          <cell r="J84">
            <v>6.5677146663825052</v>
          </cell>
          <cell r="K84">
            <v>6.851351846135187</v>
          </cell>
          <cell r="L84">
            <v>7.0492072886132613</v>
          </cell>
          <cell r="M84">
            <v>7.3457752278220028</v>
          </cell>
          <cell r="N84">
            <v>7.7462405608896709</v>
          </cell>
          <cell r="O84">
            <v>8.4709806708630691</v>
          </cell>
          <cell r="P84">
            <v>9.1492441679730945</v>
          </cell>
          <cell r="Q84">
            <v>9.8087687989803545</v>
          </cell>
          <cell r="R84">
            <v>10.635689528189973</v>
          </cell>
          <cell r="S84">
            <v>12.234704668379624</v>
          </cell>
          <cell r="T84">
            <v>15.388708979531421</v>
          </cell>
          <cell r="U84">
            <v>17.71465784193801</v>
          </cell>
          <cell r="V84">
            <v>20.146342949155688</v>
          </cell>
          <cell r="W84">
            <v>22.455059631152192</v>
          </cell>
          <cell r="X84">
            <v>25.615518076959077</v>
          </cell>
          <cell r="Y84">
            <v>30.661696668620841</v>
          </cell>
          <cell r="Z84">
            <v>34.203295270275284</v>
          </cell>
          <cell r="AA84">
            <v>36.735195314126898</v>
          </cell>
          <cell r="AB84">
            <v>38.617065978452139</v>
          </cell>
          <cell r="AC84">
            <v>40.556663102209029</v>
          </cell>
          <cell r="AD84">
            <v>42.772244664152133</v>
          </cell>
          <cell r="AE84">
            <v>44.630820927375325</v>
          </cell>
          <cell r="AF84">
            <v>47.100105653470756</v>
          </cell>
          <cell r="AG84">
            <v>49.976624787532792</v>
          </cell>
          <cell r="AH84">
            <v>53.94735791423345</v>
          </cell>
          <cell r="AI84">
            <v>58.198549995944425</v>
          </cell>
          <cell r="AJ84">
            <v>61.92483326870574</v>
          </cell>
          <cell r="AK84">
            <v>64.000503385948974</v>
          </cell>
          <cell r="AL84">
            <v>65.726247939755481</v>
          </cell>
          <cell r="AM84">
            <v>66.610826430093667</v>
          </cell>
          <cell r="AN84">
            <v>73.855916487152157</v>
          </cell>
          <cell r="AO84">
            <v>76.870977372677956</v>
          </cell>
          <cell r="AP84">
            <v>77.420474443852399</v>
          </cell>
          <cell r="AQ84">
            <v>78.255565761897856</v>
          </cell>
          <cell r="AR84">
            <v>78.872298648850119</v>
          </cell>
          <cell r="AS84">
            <v>80.541202545360122</v>
          </cell>
          <cell r="AT84">
            <v>81.199540182396973</v>
          </cell>
          <cell r="AU84">
            <v>82.972683184908803</v>
          </cell>
          <cell r="AV84">
            <v>84.967262128433646</v>
          </cell>
          <cell r="AW84">
            <v>87.063941648131276</v>
          </cell>
          <cell r="AX84">
            <v>89.285933292372917</v>
          </cell>
          <cell r="AY84">
            <v>91.904217813929364</v>
          </cell>
          <cell r="AZ84">
            <v>94.241259912195019</v>
          </cell>
          <cell r="BA84">
            <v>96.921374446173289</v>
          </cell>
          <cell r="BB84">
            <v>98.491425198049825</v>
          </cell>
          <cell r="BC84">
            <v>100</v>
          </cell>
          <cell r="BD84">
            <v>101.91932899577991</v>
          </cell>
          <cell r="BE84">
            <v>103.51215798992675</v>
          </cell>
          <cell r="BF84">
            <v>105.4431785982181</v>
          </cell>
          <cell r="BG84">
            <v>107.24767699929268</v>
          </cell>
          <cell r="BH84">
            <v>107.71466601890762</v>
          </cell>
          <cell r="BI84">
            <v>109.93419701761142</v>
          </cell>
          <cell r="BJ84">
            <v>112.35727767602364</v>
          </cell>
          <cell r="BK84">
            <v>114.49001204465826</v>
          </cell>
        </row>
        <row r="85">
          <cell r="J85">
            <v>3.1340004721327517E-5</v>
          </cell>
          <cell r="K85">
            <v>3.1385666228994009E-5</v>
          </cell>
          <cell r="L85">
            <v>3.1649411459331106E-5</v>
          </cell>
          <cell r="M85">
            <v>3.1645808775053378E-5</v>
          </cell>
          <cell r="N85">
            <v>3.277312033704509E-5</v>
          </cell>
          <cell r="O85">
            <v>3.2689058252805301E-5</v>
          </cell>
          <cell r="P85">
            <v>3.3579799603859868E-5</v>
          </cell>
          <cell r="Q85">
            <v>3.3197686458774739E-5</v>
          </cell>
          <cell r="R85">
            <v>3.3220949022934955E-5</v>
          </cell>
          <cell r="S85">
            <v>3.381965522447042E-5</v>
          </cell>
          <cell r="T85">
            <v>3.4119610070448501E-5</v>
          </cell>
          <cell r="U85">
            <v>3.4220167846622148E-5</v>
          </cell>
          <cell r="V85">
            <v>3.4712257825805094E-5</v>
          </cell>
          <cell r="W85">
            <v>3.4824912856426982E-5</v>
          </cell>
          <cell r="X85">
            <v>3.5778137505839657E-5</v>
          </cell>
          <cell r="Y85">
            <v>3.6130940177089544E-5</v>
          </cell>
          <cell r="Z85">
            <v>3.7360436064139978E-5</v>
          </cell>
          <cell r="AA85">
            <v>3.8711807985655795E-5</v>
          </cell>
          <cell r="AB85">
            <v>3.7686158373262548E-5</v>
          </cell>
          <cell r="AC85">
            <v>3.7912676236222684E-5</v>
          </cell>
          <cell r="AD85">
            <v>3.6127385340551122E-5</v>
          </cell>
          <cell r="AE85">
            <v>3.8500771362942081E-5</v>
          </cell>
          <cell r="AF85">
            <v>3.9400774196184126E-5</v>
          </cell>
          <cell r="AG85">
            <v>3.8378514496674218E-5</v>
          </cell>
          <cell r="AH85">
            <v>4.078752628592001E-5</v>
          </cell>
          <cell r="AI85">
            <v>4.986048817385594E-5</v>
          </cell>
          <cell r="AJ85">
            <v>8.0889005560044806E-5</v>
          </cell>
          <cell r="AK85">
            <v>1.140789434699458E-3</v>
          </cell>
          <cell r="AL85">
            <v>0.17732869183619662</v>
          </cell>
          <cell r="AM85">
            <v>10.89080995604219</v>
          </cell>
          <cell r="AN85">
            <v>28.612894133608702</v>
          </cell>
          <cell r="AO85">
            <v>40.924978137869061</v>
          </cell>
          <cell r="AP85">
            <v>43.600280842170804</v>
          </cell>
          <cell r="AQ85">
            <v>46.625769445657284</v>
          </cell>
          <cell r="AR85">
            <v>51.160038946466379</v>
          </cell>
          <cell r="AS85">
            <v>53.554544412828875</v>
          </cell>
          <cell r="AT85">
            <v>56.434679348916305</v>
          </cell>
          <cell r="AU85">
            <v>59.775998063591508</v>
          </cell>
          <cell r="AV85">
            <v>61.822158697158699</v>
          </cell>
          <cell r="AW85">
            <v>67.034901572788357</v>
          </cell>
          <cell r="AX85">
            <v>72.355845562826502</v>
          </cell>
          <cell r="AY85">
            <v>78.468515631223767</v>
          </cell>
          <cell r="AZ85">
            <v>85.89494753442105</v>
          </cell>
          <cell r="BA85">
            <v>94.137068238011352</v>
          </cell>
          <cell r="BB85">
            <v>92.125778560891661</v>
          </cell>
          <cell r="BC85">
            <v>100</v>
          </cell>
          <cell r="BD85">
            <v>109.45358409805182</v>
          </cell>
          <cell r="BE85">
            <v>110.62619959583664</v>
          </cell>
          <cell r="BF85">
            <v>109.78290649317724</v>
          </cell>
          <cell r="BG85">
            <v>113.93322806578701</v>
          </cell>
          <cell r="BH85">
            <v>120.64005835289827</v>
          </cell>
          <cell r="BI85">
            <v>125.69675567655023</v>
          </cell>
          <cell r="BJ85">
            <v>133.35564936117433</v>
          </cell>
          <cell r="BK85">
            <v>138.21898448803796</v>
          </cell>
        </row>
        <row r="86">
          <cell r="E86">
            <v>4.3167058586974491E-4</v>
          </cell>
          <cell r="F86">
            <v>4.4665322383038905E-4</v>
          </cell>
          <cell r="G86">
            <v>4.5531896554247135E-4</v>
          </cell>
          <cell r="H86">
            <v>4.8603318521572354E-4</v>
          </cell>
          <cell r="I86">
            <v>5.3431968898948927E-4</v>
          </cell>
          <cell r="J86">
            <v>6.2518927595938247E-4</v>
          </cell>
          <cell r="K86">
            <v>6.7615792534535474E-4</v>
          </cell>
          <cell r="L86">
            <v>6.4993410977613308E-4</v>
          </cell>
          <cell r="M86">
            <v>7.3193315877003427E-4</v>
          </cell>
          <cell r="N86">
            <v>8.1271528102913528E-4</v>
          </cell>
          <cell r="O86">
            <v>8.3619588107451031E-4</v>
          </cell>
          <cell r="P86">
            <v>8.7952765677587062E-4</v>
          </cell>
          <cell r="Q86">
            <v>1.0156130955469554E-3</v>
          </cell>
          <cell r="R86">
            <v>1.2276984201595811E-3</v>
          </cell>
          <cell r="S86">
            <v>1.5293283762042417E-3</v>
          </cell>
          <cell r="T86">
            <v>1.9799224047330655E-3</v>
          </cell>
          <cell r="U86">
            <v>2.5352639049833628E-3</v>
          </cell>
          <cell r="V86">
            <v>4.2402487170582967E-3</v>
          </cell>
          <cell r="W86">
            <v>7.3486348937057749E-3</v>
          </cell>
          <cell r="X86">
            <v>1.0137403488714338E-2</v>
          </cell>
          <cell r="Y86">
            <v>1.5320266082984849E-2</v>
          </cell>
          <cell r="Z86">
            <v>2.690752960811936E-2</v>
          </cell>
          <cell r="AA86">
            <v>3.4412195428739148E-2</v>
          </cell>
          <cell r="AB86">
            <v>7.6760260756445403E-2</v>
          </cell>
          <cell r="AC86">
            <v>0.10386616976054412</v>
          </cell>
          <cell r="AD86">
            <v>0.12531288752250097</v>
          </cell>
          <cell r="AE86">
            <v>0.17757562415890929</v>
          </cell>
          <cell r="AF86">
            <v>0.24718792696448566</v>
          </cell>
          <cell r="AG86">
            <v>0.32975574977322292</v>
          </cell>
          <cell r="AH86">
            <v>0.42305786740827267</v>
          </cell>
          <cell r="AI86">
            <v>0.55491056459167964</v>
          </cell>
          <cell r="AJ86">
            <v>0.66612218456054506</v>
          </cell>
          <cell r="AK86">
            <v>0.74039536020298335</v>
          </cell>
          <cell r="AL86">
            <v>0.9755242869716555</v>
          </cell>
          <cell r="AM86">
            <v>1.2694392861021297</v>
          </cell>
          <cell r="AN86">
            <v>1.8158736240380831</v>
          </cell>
          <cell r="AO86">
            <v>2.5392766897139802</v>
          </cell>
          <cell r="AP86">
            <v>3.0333734030275505</v>
          </cell>
          <cell r="AQ86">
            <v>3.5505170113865794</v>
          </cell>
          <cell r="AR86">
            <v>4.0465656007424471</v>
          </cell>
          <cell r="AS86">
            <v>5.1484500226508416</v>
          </cell>
          <cell r="AT86">
            <v>6.9410344737879495</v>
          </cell>
          <cell r="AU86">
            <v>8.524880304302302</v>
          </cell>
          <cell r="AV86">
            <v>10.971896666832064</v>
          </cell>
          <cell r="AW86">
            <v>12.546380419970834</v>
          </cell>
          <cell r="AX86">
            <v>14.423785442631168</v>
          </cell>
          <cell r="AY86">
            <v>26.071652914752548</v>
          </cell>
          <cell r="AZ86">
            <v>30.928251342234585</v>
          </cell>
          <cell r="BA86">
            <v>36.931508757688562</v>
          </cell>
          <cell r="BB86">
            <v>42.717408942124365</v>
          </cell>
          <cell r="BC86">
            <v>49.806638392592184</v>
          </cell>
          <cell r="BD86">
            <v>56.737143531879333</v>
          </cell>
          <cell r="BE86">
            <v>65.364184355841701</v>
          </cell>
          <cell r="BF86">
            <v>100</v>
          </cell>
          <cell r="BG86">
            <v>122.1640000428833</v>
          </cell>
          <cell r="BH86">
            <v>138.76413542832208</v>
          </cell>
          <cell r="BI86">
            <v>159.9248067481623</v>
          </cell>
          <cell r="BJ86">
            <v>176.48142617728547</v>
          </cell>
          <cell r="BK86">
            <v>194.50053783191893</v>
          </cell>
        </row>
        <row r="88">
          <cell r="AE88">
            <v>4.0223797938014636</v>
          </cell>
          <cell r="AF88">
            <v>5.1188801277833003</v>
          </cell>
          <cell r="AG88">
            <v>6.2273039584816354</v>
          </cell>
          <cell r="AH88">
            <v>7.616962545279887</v>
          </cell>
          <cell r="AI88">
            <v>8.9331113031100813</v>
          </cell>
          <cell r="AJ88">
            <v>11.239521881729415</v>
          </cell>
          <cell r="AK88">
            <v>14.186548530064943</v>
          </cell>
          <cell r="AL88">
            <v>14.282131433093436</v>
          </cell>
          <cell r="AM88">
            <v>14.486080504058634</v>
          </cell>
          <cell r="AN88">
            <v>15.348196161422681</v>
          </cell>
          <cell r="AO88">
            <v>15.585474399020679</v>
          </cell>
          <cell r="AP88">
            <v>15.808989843337965</v>
          </cell>
          <cell r="AQ88">
            <v>16.334581913429698</v>
          </cell>
          <cell r="AR88">
            <v>17.025154999420703</v>
          </cell>
          <cell r="AS88">
            <v>18.09776086874907</v>
          </cell>
          <cell r="AT88">
            <v>18.414910792960086</v>
          </cell>
          <cell r="AU88">
            <v>18.494605440190181</v>
          </cell>
          <cell r="AV88">
            <v>21.437225991253346</v>
          </cell>
          <cell r="AW88">
            <v>24.978995145568984</v>
          </cell>
          <cell r="AX88">
            <v>31.820953081517473</v>
          </cell>
          <cell r="AY88">
            <v>63.841266420589704</v>
          </cell>
          <cell r="AZ88">
            <v>72.52893705409393</v>
          </cell>
          <cell r="BA88">
            <v>84.642060044854986</v>
          </cell>
          <cell r="BB88">
            <v>86.136736936144104</v>
          </cell>
          <cell r="BC88">
            <v>99.999998850630163</v>
          </cell>
          <cell r="BD88">
            <v>108.99928639634578</v>
          </cell>
          <cell r="BE88">
            <v>121.54974684967176</v>
          </cell>
          <cell r="BF88">
            <v>126.82536568387171</v>
          </cell>
          <cell r="BG88">
            <v>130.12930964254966</v>
          </cell>
          <cell r="BH88">
            <v>134.01127654491012</v>
          </cell>
          <cell r="BI88">
            <v>141.59785542598547</v>
          </cell>
          <cell r="BJ88">
            <v>146.01076076966561</v>
          </cell>
          <cell r="BK88">
            <v>147.67443594446681</v>
          </cell>
        </row>
        <row r="89">
          <cell r="K89">
            <v>0.93910195081080616</v>
          </cell>
          <cell r="L89">
            <v>1.0193924912537817</v>
          </cell>
          <cell r="M89">
            <v>0.93084790516697546</v>
          </cell>
          <cell r="N89">
            <v>0.99720312727895277</v>
          </cell>
          <cell r="O89">
            <v>1.0876408413318241</v>
          </cell>
          <cell r="P89">
            <v>1.1437996355712465</v>
          </cell>
          <cell r="Q89">
            <v>1.1799068585169654</v>
          </cell>
          <cell r="R89">
            <v>1.1675708356424632</v>
          </cell>
          <cell r="S89">
            <v>1.4120277700345647</v>
          </cell>
          <cell r="T89">
            <v>1.5962774291039217</v>
          </cell>
          <cell r="U89">
            <v>1.7829331978398741</v>
          </cell>
          <cell r="V89">
            <v>2.1857941174252207</v>
          </cell>
          <cell r="W89">
            <v>2.3270042294945079</v>
          </cell>
          <cell r="X89">
            <v>2.5735955500616208</v>
          </cell>
          <cell r="Y89">
            <v>2.5690252393243762</v>
          </cell>
          <cell r="Z89">
            <v>2.6091926393391187</v>
          </cell>
          <cell r="AA89">
            <v>2.9871972939957789</v>
          </cell>
          <cell r="AB89">
            <v>3.0673465479442616</v>
          </cell>
          <cell r="AC89">
            <v>3.3434570095099576</v>
          </cell>
          <cell r="AD89">
            <v>4.6614180206155851</v>
          </cell>
          <cell r="AE89">
            <v>6.5500749291788178</v>
          </cell>
          <cell r="AF89">
            <v>7.7617085689770979</v>
          </cell>
          <cell r="AG89">
            <v>8.5150715994691009</v>
          </cell>
          <cell r="AH89">
            <v>9.6847505764993755</v>
          </cell>
          <cell r="AI89">
            <v>10.843485793045248</v>
          </cell>
          <cell r="AJ89">
            <v>25.377646510992246</v>
          </cell>
          <cell r="AK89">
            <v>25.872518486548699</v>
          </cell>
          <cell r="AL89">
            <v>27.202966882362524</v>
          </cell>
          <cell r="AM89">
            <v>28.230530676664678</v>
          </cell>
          <cell r="AN89">
            <v>29.349377418082739</v>
          </cell>
          <cell r="AO89">
            <v>31.805500476599395</v>
          </cell>
          <cell r="AP89">
            <v>29.906992188637144</v>
          </cell>
          <cell r="AQ89">
            <v>31.525505133922699</v>
          </cell>
          <cell r="AR89">
            <v>30.757703178767393</v>
          </cell>
          <cell r="AS89">
            <v>31.439596164911592</v>
          </cell>
          <cell r="AT89">
            <v>32.00721840058506</v>
          </cell>
          <cell r="AU89">
            <v>35.333198817619774</v>
          </cell>
          <cell r="AV89">
            <v>39.889040724718974</v>
          </cell>
          <cell r="AW89">
            <v>46.608885414298371</v>
          </cell>
          <cell r="AX89">
            <v>48.283689186143938</v>
          </cell>
          <cell r="AY89">
            <v>49.216638428692875</v>
          </cell>
          <cell r="AZ89">
            <v>51.330824537023787</v>
          </cell>
          <cell r="BA89">
            <v>52.362959218089024</v>
          </cell>
          <cell r="BB89">
            <v>55.074903452296553</v>
          </cell>
          <cell r="BC89">
            <v>57.44241431359309</v>
          </cell>
          <cell r="BD89">
            <v>59.576883912410018</v>
          </cell>
          <cell r="BE89">
            <v>62.228871072689607</v>
          </cell>
          <cell r="BF89">
            <v>100</v>
          </cell>
          <cell r="BG89">
            <v>107.90897580490689</v>
          </cell>
          <cell r="BH89">
            <v>114.95456615909887</v>
          </cell>
          <cell r="BI89">
            <v>122.28521451871588</v>
          </cell>
          <cell r="BJ89">
            <v>128.27337925921455</v>
          </cell>
          <cell r="BK89">
            <v>135.58493808220067</v>
          </cell>
        </row>
        <row r="90">
          <cell r="O90">
            <v>2.8984670430281839E-2</v>
          </cell>
          <cell r="P90">
            <v>2.9508502746317094E-2</v>
          </cell>
          <cell r="Q90">
            <v>3.0976372369655957E-2</v>
          </cell>
          <cell r="R90">
            <v>3.4208417080837404E-2</v>
          </cell>
          <cell r="S90">
            <v>3.7261322075429044E-2</v>
          </cell>
          <cell r="T90">
            <v>3.9945271762264006E-2</v>
          </cell>
          <cell r="U90">
            <v>4.0549919505523994E-2</v>
          </cell>
          <cell r="V90">
            <v>4.1793114042509065E-2</v>
          </cell>
          <cell r="W90">
            <v>4.4441075708341375E-2</v>
          </cell>
          <cell r="X90">
            <v>4.6343159942842695E-2</v>
          </cell>
          <cell r="Y90">
            <v>5.1689694206204964E-2</v>
          </cell>
          <cell r="Z90">
            <v>5.2628916687667476E-2</v>
          </cell>
          <cell r="AA90">
            <v>6.1334947535949515E-2</v>
          </cell>
          <cell r="AB90">
            <v>7.5630325033413479E-2</v>
          </cell>
          <cell r="AC90">
            <v>0.12055611512030304</v>
          </cell>
          <cell r="AD90">
            <v>0.1595120215605256</v>
          </cell>
          <cell r="AE90">
            <v>0.33959282380331129</v>
          </cell>
          <cell r="AF90">
            <v>0.65970475995604794</v>
          </cell>
          <cell r="AG90">
            <v>1.1844658495169018</v>
          </cell>
          <cell r="AH90">
            <v>2.3600875568743236</v>
          </cell>
          <cell r="AI90">
            <v>3.0739205287929643</v>
          </cell>
          <cell r="AJ90">
            <v>5.1609394120895544</v>
          </cell>
          <cell r="AK90">
            <v>8.5145792309214716</v>
          </cell>
          <cell r="AL90">
            <v>12.691736894305569</v>
          </cell>
          <cell r="AM90">
            <v>15.642499821317829</v>
          </cell>
          <cell r="AN90">
            <v>22.639395969731392</v>
          </cell>
          <cell r="AO90">
            <v>31.521671720159812</v>
          </cell>
          <cell r="AP90">
            <v>42.282601424577877</v>
          </cell>
          <cell r="AQ90">
            <v>45.696851526098584</v>
          </cell>
          <cell r="AR90">
            <v>51.320336352294305</v>
          </cell>
          <cell r="AS90">
            <v>92.838322425198854</v>
          </cell>
          <cell r="AT90">
            <v>99.122716304722516</v>
          </cell>
          <cell r="AU90">
            <v>100.90376755488404</v>
          </cell>
          <cell r="AV90">
            <v>95.846646473388148</v>
          </cell>
          <cell r="AW90">
            <v>94.51746998504305</v>
          </cell>
          <cell r="AX90">
            <v>100</v>
          </cell>
          <cell r="AY90">
            <v>97.727295711928193</v>
          </cell>
          <cell r="AZ90">
            <v>102.00875821604491</v>
          </cell>
          <cell r="BA90">
            <v>114.7345615014404</v>
          </cell>
          <cell r="BB90">
            <v>111.9142047577168</v>
          </cell>
          <cell r="BC90">
            <v>115.23285600697339</v>
          </cell>
          <cell r="BD90">
            <v>131.40183973568713</v>
          </cell>
          <cell r="BE90">
            <v>130.28422399216635</v>
          </cell>
          <cell r="BF90">
            <v>129.06978026083823</v>
          </cell>
          <cell r="BG90">
            <v>128.87842509062023</v>
          </cell>
          <cell r="BH90">
            <v>144.47527747801078</v>
          </cell>
          <cell r="BI90">
            <v>153.28306782152671</v>
          </cell>
          <cell r="BJ90">
            <v>162.38593099835165</v>
          </cell>
          <cell r="BK90">
            <v>161.69595757309895</v>
          </cell>
        </row>
        <row r="91">
          <cell r="Y91">
            <v>8.3804266763439976</v>
          </cell>
          <cell r="Z91">
            <v>9.5907973046380608</v>
          </cell>
          <cell r="AA91">
            <v>13.467206395613371</v>
          </cell>
          <cell r="AB91">
            <v>16.800309530185203</v>
          </cell>
          <cell r="AC91">
            <v>21.107433744095825</v>
          </cell>
          <cell r="AD91">
            <v>32.246836857197621</v>
          </cell>
          <cell r="AE91">
            <v>31.304129695230277</v>
          </cell>
          <cell r="AF91">
            <v>31.779379805748693</v>
          </cell>
          <cell r="AG91">
            <v>33.043240816100791</v>
          </cell>
          <cell r="AH91">
            <v>31.45853280372215</v>
          </cell>
          <cell r="AI91">
            <v>34.715285856635681</v>
          </cell>
          <cell r="AJ91">
            <v>35.94841187939366</v>
          </cell>
          <cell r="AK91">
            <v>30.4038365022137</v>
          </cell>
          <cell r="AL91">
            <v>29.585026093369244</v>
          </cell>
          <cell r="AM91">
            <v>36.841152175872509</v>
          </cell>
          <cell r="AN91">
            <v>39.670859952178731</v>
          </cell>
          <cell r="AO91">
            <v>39.996635610847349</v>
          </cell>
          <cell r="AP91">
            <v>34.738208465286306</v>
          </cell>
          <cell r="AQ91">
            <v>23.772775115745624</v>
          </cell>
          <cell r="AR91">
            <v>33.08162940715664</v>
          </cell>
          <cell r="AS91">
            <v>54.497029580108837</v>
          </cell>
          <cell r="AT91">
            <v>47.97290273266286</v>
          </cell>
          <cell r="AU91">
            <v>47.213544322400921</v>
          </cell>
          <cell r="AV91">
            <v>47.513643950618501</v>
          </cell>
          <cell r="AW91">
            <v>55.554265550028717</v>
          </cell>
          <cell r="AX91">
            <v>88.514083907425004</v>
          </cell>
          <cell r="AY91">
            <v>100</v>
          </cell>
          <cell r="AZ91">
            <v>103.0376538593557</v>
          </cell>
          <cell r="BA91">
            <v>123.48036450002017</v>
          </cell>
          <cell r="BB91">
            <v>97.759119386380917</v>
          </cell>
          <cell r="BC91">
            <v>122.10752787065179</v>
          </cell>
          <cell r="BD91">
            <v>142.92088612743001</v>
          </cell>
          <cell r="BE91">
            <v>149.85938364266835</v>
          </cell>
          <cell r="BF91">
            <v>148.25188136182928</v>
          </cell>
          <cell r="BG91">
            <v>146.36338567231692</v>
          </cell>
          <cell r="BH91">
            <v>116.80859257350153</v>
          </cell>
          <cell r="BI91">
            <v>109.46667946802347</v>
          </cell>
          <cell r="BJ91">
            <v>123.33457242166372</v>
          </cell>
          <cell r="BK91">
            <v>131.47772839006123</v>
          </cell>
        </row>
        <row r="92">
          <cell r="E92">
            <v>0.91785965075407983</v>
          </cell>
          <cell r="F92">
            <v>0.93155676362106832</v>
          </cell>
          <cell r="G92">
            <v>0.97446800490046603</v>
          </cell>
          <cell r="H92">
            <v>0.98806947302153925</v>
          </cell>
          <cell r="I92">
            <v>1.0248094094970017</v>
          </cell>
          <cell r="J92">
            <v>1.0658737049574443</v>
          </cell>
          <cell r="K92">
            <v>1.1176180439729411</v>
          </cell>
          <cell r="L92">
            <v>1.1448860576940494</v>
          </cell>
          <cell r="M92">
            <v>1.1648042016626818</v>
          </cell>
          <cell r="N92">
            <v>1.204288958610944</v>
          </cell>
          <cell r="O92">
            <v>1.300522170086607</v>
          </cell>
          <cell r="P92">
            <v>1.3392136573211615</v>
          </cell>
          <cell r="Q92">
            <v>1.4067985035160973</v>
          </cell>
          <cell r="R92">
            <v>1.7009653674604646</v>
          </cell>
          <cell r="S92">
            <v>2.0884528513962142</v>
          </cell>
          <cell r="T92">
            <v>2.3624580275587386</v>
          </cell>
          <cell r="U92">
            <v>2.7507158976031354</v>
          </cell>
          <cell r="V92">
            <v>3.1290604154379045</v>
          </cell>
          <cell r="W92">
            <v>3.5604966983153479</v>
          </cell>
          <cell r="X92">
            <v>4.2779620838546011</v>
          </cell>
          <cell r="Y92">
            <v>5.1010184913168679</v>
          </cell>
          <cell r="Z92">
            <v>6.2034523541889399</v>
          </cell>
          <cell r="AA92">
            <v>7.8915823027646788</v>
          </cell>
          <cell r="AB92">
            <v>9.5182115645398984</v>
          </cell>
          <cell r="AC92">
            <v>11.604456398140526</v>
          </cell>
          <cell r="AD92">
            <v>13.812314845719605</v>
          </cell>
          <cell r="AE92">
            <v>16.420356130180974</v>
          </cell>
          <cell r="AF92">
            <v>18.924900424574194</v>
          </cell>
          <cell r="AG92">
            <v>22.081549229304514</v>
          </cell>
          <cell r="AH92">
            <v>25.283147076785607</v>
          </cell>
          <cell r="AI92">
            <v>30.514381303743278</v>
          </cell>
          <cell r="AJ92">
            <v>36.552488676604398</v>
          </cell>
          <cell r="AK92">
            <v>41.961823592099371</v>
          </cell>
          <cell r="AL92">
            <v>48.016389030826829</v>
          </cell>
          <cell r="AM92">
            <v>53.385528261646776</v>
          </cell>
          <cell r="AN92">
            <v>58.612951645883129</v>
          </cell>
          <cell r="AO92">
            <v>63.088460800266418</v>
          </cell>
          <cell r="AP92">
            <v>67.222887521381097</v>
          </cell>
          <cell r="AQ92">
            <v>70.653653754885809</v>
          </cell>
          <cell r="AR92">
            <v>73.213247380926319</v>
          </cell>
          <cell r="AS92">
            <v>74.379293132169408</v>
          </cell>
          <cell r="AT92">
            <v>76.963789113484623</v>
          </cell>
          <cell r="AU92">
            <v>79.541130415274836</v>
          </cell>
          <cell r="AV92">
            <v>82.288142464903842</v>
          </cell>
          <cell r="AW92">
            <v>84.808349775163109</v>
          </cell>
          <cell r="AX92">
            <v>86.708327762062979</v>
          </cell>
          <cell r="AY92">
            <v>89.73882076585241</v>
          </cell>
          <cell r="AZ92">
            <v>92.810281595514368</v>
          </cell>
          <cell r="BA92">
            <v>96.842501527322923</v>
          </cell>
          <cell r="BB92">
            <v>99.331132164698261</v>
          </cell>
          <cell r="BC92">
            <v>100</v>
          </cell>
          <cell r="BD92">
            <v>100.79835614092126</v>
          </cell>
          <cell r="BE92">
            <v>100.42500706593924</v>
          </cell>
          <cell r="BF92">
            <v>98.062709630847948</v>
          </cell>
          <cell r="BG92">
            <v>96.26611134175613</v>
          </cell>
          <cell r="BH92">
            <v>95.932781699893283</v>
          </cell>
          <cell r="BI92">
            <v>95.698572411961351</v>
          </cell>
          <cell r="BJ92">
            <v>96.271943020198023</v>
          </cell>
          <cell r="BK92">
            <v>96.801211182281435</v>
          </cell>
        </row>
        <row r="93">
          <cell r="V93">
            <v>29.835463755769609</v>
          </cell>
          <cell r="W93">
            <v>34.989028852954171</v>
          </cell>
          <cell r="X93">
            <v>38.355529049542163</v>
          </cell>
          <cell r="Y93">
            <v>41.826421848762244</v>
          </cell>
          <cell r="Z93">
            <v>42.959371847344592</v>
          </cell>
          <cell r="AA93">
            <v>44.74803010824791</v>
          </cell>
          <cell r="AB93">
            <v>45.371587070846857</v>
          </cell>
          <cell r="AC93">
            <v>48.371741632632158</v>
          </cell>
          <cell r="AD93">
            <v>52.603342774671006</v>
          </cell>
          <cell r="AE93">
            <v>54.883726018893967</v>
          </cell>
          <cell r="AF93">
            <v>57.660486065639439</v>
          </cell>
          <cell r="AG93">
            <v>61.559170549276701</v>
          </cell>
          <cell r="AH93">
            <v>67.097274069270313</v>
          </cell>
          <cell r="AI93">
            <v>67.107964082636329</v>
          </cell>
          <cell r="AJ93">
            <v>71.584004637532729</v>
          </cell>
          <cell r="AK93">
            <v>74.455654631213292</v>
          </cell>
          <cell r="AL93">
            <v>75.857970908561299</v>
          </cell>
          <cell r="AM93">
            <v>78.278418914907249</v>
          </cell>
          <cell r="AN93">
            <v>80.668376956612349</v>
          </cell>
          <cell r="AO93">
            <v>82.824710846159661</v>
          </cell>
          <cell r="AP93">
            <v>84.302889441895331</v>
          </cell>
          <cell r="AQ93">
            <v>85.767966653112197</v>
          </cell>
          <cell r="AR93">
            <v>86.729845249480746</v>
          </cell>
          <cell r="AS93">
            <v>89.212946540526232</v>
          </cell>
          <cell r="AT93">
            <v>91.125829970478122</v>
          </cell>
          <cell r="AU93">
            <v>91.464951708657225</v>
          </cell>
          <cell r="AV93">
            <v>91.394457751984007</v>
          </cell>
          <cell r="AW93">
            <v>93.250814464441135</v>
          </cell>
          <cell r="AX93">
            <v>95.549699131650343</v>
          </cell>
          <cell r="AY93">
            <v>100</v>
          </cell>
          <cell r="AZ93">
            <v>102.3194437271099</v>
          </cell>
          <cell r="BA93">
            <v>110.34919641217644</v>
          </cell>
          <cell r="BB93">
            <v>110.33827206414151</v>
          </cell>
          <cell r="BC93">
            <v>110.86757270070508</v>
          </cell>
          <cell r="BD93">
            <v>111.1165314758407</v>
          </cell>
          <cell r="BE93">
            <v>115.4795475401428</v>
          </cell>
          <cell r="BF93">
            <v>118.85486476926165</v>
          </cell>
          <cell r="BG93">
            <v>119.77398396837906</v>
          </cell>
          <cell r="BH93">
            <v>123.08013839147118</v>
          </cell>
          <cell r="BI93">
            <v>126.33833968381171</v>
          </cell>
          <cell r="BJ93">
            <v>127.64560981446347</v>
          </cell>
          <cell r="BK93">
            <v>130.47431645333748</v>
          </cell>
        </row>
        <row r="94">
          <cell r="O94">
            <v>12.76163291513279</v>
          </cell>
          <cell r="P94">
            <v>14.222551997027743</v>
          </cell>
          <cell r="Q94">
            <v>15.033236532160704</v>
          </cell>
          <cell r="R94">
            <v>16.185262407766665</v>
          </cell>
          <cell r="S94">
            <v>18.702654926422216</v>
          </cell>
          <cell r="T94">
            <v>21.774725707619424</v>
          </cell>
          <cell r="U94">
            <v>24.647680996981382</v>
          </cell>
          <cell r="V94">
            <v>26.368608519033049</v>
          </cell>
          <cell r="W94">
            <v>28.814888411127949</v>
          </cell>
          <cell r="X94">
            <v>30.976716097885244</v>
          </cell>
          <cell r="Y94">
            <v>34.557392367461802</v>
          </cell>
          <cell r="Z94">
            <v>39.71570717578912</v>
          </cell>
          <cell r="AA94">
            <v>44.885448966584768</v>
          </cell>
          <cell r="AB94">
            <v>49.247026561785688</v>
          </cell>
          <cell r="AC94">
            <v>53.61564642781439</v>
          </cell>
          <cell r="AD94">
            <v>57.595891348638709</v>
          </cell>
          <cell r="AE94">
            <v>59.97436386392453</v>
          </cell>
          <cell r="AF94">
            <v>62.745616154105186</v>
          </cell>
          <cell r="AG94">
            <v>66.730112391000205</v>
          </cell>
          <cell r="AH94">
            <v>70.300079305248175</v>
          </cell>
          <cell r="AI94">
            <v>73.880170573595422</v>
          </cell>
          <cell r="AJ94">
            <v>76.263009326384278</v>
          </cell>
          <cell r="AK94">
            <v>77.441790010177201</v>
          </cell>
          <cell r="AL94">
            <v>78.248746204408675</v>
          </cell>
          <cell r="AM94">
            <v>78.615243237626871</v>
          </cell>
          <cell r="AN94">
            <v>80.23147223957892</v>
          </cell>
          <cell r="AO94">
            <v>81.017821855693839</v>
          </cell>
          <cell r="AP94">
            <v>81.420240354251291</v>
          </cell>
          <cell r="AQ94">
            <v>82.216877751697794</v>
          </cell>
          <cell r="AR94">
            <v>83.088751828118319</v>
          </cell>
          <cell r="AS94">
            <v>84.842001942609627</v>
          </cell>
          <cell r="AT94">
            <v>87.728544747060269</v>
          </cell>
          <cell r="AU94">
            <v>90.450834890115033</v>
          </cell>
          <cell r="AV94">
            <v>96.359968094590144</v>
          </cell>
          <cell r="AW94">
            <v>95.841123546192691</v>
          </cell>
          <cell r="AX94">
            <v>92.746243948932744</v>
          </cell>
          <cell r="AY94">
            <v>94.822260241421915</v>
          </cell>
          <cell r="AZ94">
            <v>94.777205119871226</v>
          </cell>
          <cell r="BA94">
            <v>92.869013776514336</v>
          </cell>
          <cell r="BB94">
            <v>98.012689878448882</v>
          </cell>
          <cell r="BC94">
            <v>100</v>
          </cell>
          <cell r="BD94">
            <v>102.88404565929714</v>
          </cell>
          <cell r="BE94">
            <v>106.42874241378826</v>
          </cell>
          <cell r="BF94">
            <v>107.56473357586134</v>
          </cell>
          <cell r="BG94">
            <v>108.66692100171677</v>
          </cell>
          <cell r="BH94">
            <v>117.51738598637078</v>
          </cell>
          <cell r="BI94">
            <v>120.49592337528698</v>
          </cell>
          <cell r="BJ94">
            <v>120.83374158191427</v>
          </cell>
        </row>
        <row r="95">
          <cell r="E95">
            <v>3.513720568361931</v>
          </cell>
          <cell r="F95">
            <v>3.4757595592564727</v>
          </cell>
          <cell r="G95">
            <v>3.5656253993926823</v>
          </cell>
          <cell r="H95">
            <v>3.5943409089124958</v>
          </cell>
          <cell r="I95">
            <v>3.5339353149093906</v>
          </cell>
          <cell r="J95">
            <v>3.4704287556046922</v>
          </cell>
          <cell r="K95">
            <v>3.4356252394988012</v>
          </cell>
          <cell r="L95">
            <v>3.4489416273048148</v>
          </cell>
          <cell r="M95">
            <v>3.513486102443355</v>
          </cell>
          <cell r="N95">
            <v>3.5730832776447619</v>
          </cell>
          <cell r="O95">
            <v>3.7517796568772868</v>
          </cell>
          <cell r="P95">
            <v>3.7041624938150814</v>
          </cell>
          <cell r="Q95">
            <v>3.6536577417427449</v>
          </cell>
          <cell r="R95">
            <v>4.1834664241823756</v>
          </cell>
          <cell r="S95">
            <v>4.8394035055905356</v>
          </cell>
          <cell r="T95">
            <v>5.4741440803220156</v>
          </cell>
          <cell r="U95">
            <v>6.1034136193807624</v>
          </cell>
          <cell r="V95">
            <v>7.1075999947398198</v>
          </cell>
          <cell r="W95">
            <v>7.4982308117298748</v>
          </cell>
          <cell r="X95">
            <v>8.1421181257887838</v>
          </cell>
          <cell r="Y95">
            <v>8.9567277073755207</v>
          </cell>
          <cell r="Z95">
            <v>9.7223584692098726</v>
          </cell>
          <cell r="AA95">
            <v>10.206333060441247</v>
          </cell>
          <cell r="AB95">
            <v>10.875968071677919</v>
          </cell>
          <cell r="AC95">
            <v>11.324460408630319</v>
          </cell>
          <cell r="AD95">
            <v>13.451164075063952</v>
          </cell>
          <cell r="AE95">
            <v>19.028365458539596</v>
          </cell>
          <cell r="AF95">
            <v>20.550355901806789</v>
          </cell>
          <cell r="AG95">
            <v>22.945561112443098</v>
          </cell>
          <cell r="AH95">
            <v>25.448668711765627</v>
          </cell>
          <cell r="AI95">
            <v>35.763334561484356</v>
          </cell>
          <cell r="AJ95">
            <v>47.556312751573664</v>
          </cell>
          <cell r="AK95">
            <v>51.770460653756636</v>
          </cell>
          <cell r="AL95">
            <v>59.279430279991672</v>
          </cell>
          <cell r="AM95">
            <v>66.228330026896401</v>
          </cell>
          <cell r="AN95">
            <v>71.968881293005467</v>
          </cell>
          <cell r="AO95">
            <v>78.374114965025953</v>
          </cell>
          <cell r="AP95">
            <v>84.845731742993436</v>
          </cell>
          <cell r="AQ95">
            <v>92.90814239110621</v>
          </cell>
          <cell r="AR95">
            <v>97.592160287228424</v>
          </cell>
          <cell r="AS95">
            <v>104.25781671421264</v>
          </cell>
          <cell r="AT95">
            <v>100</v>
          </cell>
          <cell r="AU95">
            <v>106.44950275134973</v>
          </cell>
          <cell r="AV95">
            <v>111.1929277407621</v>
          </cell>
          <cell r="AW95">
            <v>117.95004910666262</v>
          </cell>
          <cell r="AX95">
            <v>124.5960301597046</v>
          </cell>
          <cell r="AY95">
            <v>130.81820275367207</v>
          </cell>
          <cell r="AZ95">
            <v>140.15337476261013</v>
          </cell>
          <cell r="BA95">
            <v>153.3848300006091</v>
          </cell>
          <cell r="BB95">
            <v>158.81971353672392</v>
          </cell>
          <cell r="BC95">
            <v>166.98605481575109</v>
          </cell>
          <cell r="BD95">
            <v>178.56325325901105</v>
          </cell>
          <cell r="BE95">
            <v>184.49603145449075</v>
          </cell>
          <cell r="BF95">
            <v>190.70697017206447</v>
          </cell>
          <cell r="BG95">
            <v>196.45910750429866</v>
          </cell>
          <cell r="BH95">
            <v>202.80655886628605</v>
          </cell>
          <cell r="BI95">
            <v>210.30804334668619</v>
          </cell>
          <cell r="BJ95">
            <v>217.91946802962121</v>
          </cell>
          <cell r="BK95">
            <v>224.32093615885441</v>
          </cell>
        </row>
        <row r="96">
          <cell r="AU96">
            <v>77.905638665132344</v>
          </cell>
          <cell r="AV96">
            <v>81.18586088939567</v>
          </cell>
          <cell r="AW96">
            <v>82.644096850224983</v>
          </cell>
          <cell r="AX96">
            <v>86.858443708609272</v>
          </cell>
          <cell r="AY96">
            <v>90.660641273940172</v>
          </cell>
          <cell r="AZ96">
            <v>93.383137673425836</v>
          </cell>
          <cell r="BA96">
            <v>96.95761644985312</v>
          </cell>
          <cell r="BB96">
            <v>100</v>
          </cell>
          <cell r="BC96">
            <v>100.28682646998566</v>
          </cell>
          <cell r="BD96">
            <v>100.83896050746878</v>
          </cell>
          <cell r="BE96">
            <v>104.27196149217809</v>
          </cell>
          <cell r="BF96">
            <v>105.10143785700217</v>
          </cell>
          <cell r="BG96">
            <v>107.2216844143272</v>
          </cell>
          <cell r="BH96">
            <v>109.93453985367732</v>
          </cell>
          <cell r="BI96">
            <v>111.25408104474745</v>
          </cell>
          <cell r="BJ96">
            <v>112.30592294422081</v>
          </cell>
        </row>
        <row r="97">
          <cell r="E97">
            <v>0.198758636561534</v>
          </cell>
          <cell r="F97">
            <v>0.20729234587977724</v>
          </cell>
          <cell r="G97">
            <v>0.21506593456628392</v>
          </cell>
          <cell r="H97">
            <v>0.221033978581889</v>
          </cell>
          <cell r="I97">
            <v>0.21996116178386171</v>
          </cell>
          <cell r="J97">
            <v>0.21603003396825077</v>
          </cell>
          <cell r="K97">
            <v>0.22018072499628061</v>
          </cell>
          <cell r="L97">
            <v>0.23089120975992994</v>
          </cell>
          <cell r="M97">
            <v>0.24692747442606744</v>
          </cell>
          <cell r="N97">
            <v>0.25042355669248367</v>
          </cell>
          <cell r="O97">
            <v>0.25802671760247331</v>
          </cell>
          <cell r="P97">
            <v>0.26355266662486515</v>
          </cell>
          <cell r="Q97">
            <v>0.28960662251935609</v>
          </cell>
          <cell r="R97">
            <v>0.3077633205173565</v>
          </cell>
          <cell r="S97">
            <v>0.42308886706232129</v>
          </cell>
          <cell r="T97">
            <v>0.48510585968450676</v>
          </cell>
          <cell r="U97">
            <v>0.45708345914948922</v>
          </cell>
          <cell r="V97">
            <v>0.46476047390607556</v>
          </cell>
          <cell r="W97">
            <v>0.53348825700554936</v>
          </cell>
          <cell r="X97">
            <v>0.5685007715876883</v>
          </cell>
          <cell r="Y97">
            <v>0.6354633020807583</v>
          </cell>
          <cell r="Z97">
            <v>0.6630471089409139</v>
          </cell>
          <cell r="AA97">
            <v>0.69157407793133507</v>
          </cell>
          <cell r="AB97">
            <v>0.75326030453015969</v>
          </cell>
          <cell r="AC97">
            <v>0.89850208984026825</v>
          </cell>
          <cell r="AD97">
            <v>1.0288756316801186</v>
          </cell>
          <cell r="AE97">
            <v>1.1553590447024042</v>
          </cell>
          <cell r="AF97">
            <v>1.833679826677356</v>
          </cell>
          <cell r="AG97">
            <v>2.2672724501027703</v>
          </cell>
          <cell r="AH97">
            <v>5.9526333472061337</v>
          </cell>
          <cell r="AI97">
            <v>9.3125739987095955</v>
          </cell>
          <cell r="AJ97">
            <v>21.841491664359719</v>
          </cell>
          <cell r="AK97">
            <v>24.309742654617182</v>
          </cell>
          <cell r="AL97">
            <v>28.430460101965355</v>
          </cell>
          <cell r="AM97">
            <v>33.142068884730072</v>
          </cell>
          <cell r="AN97">
            <v>37.235680712909492</v>
          </cell>
          <cell r="AO97">
            <v>38.699258841830662</v>
          </cell>
          <cell r="AP97">
            <v>39.257787329362131</v>
          </cell>
          <cell r="AQ97">
            <v>40.423780044393034</v>
          </cell>
          <cell r="AR97">
            <v>44.955490716093237</v>
          </cell>
          <cell r="AS97">
            <v>47.916278993932458</v>
          </cell>
          <cell r="AT97">
            <v>48.070555779846885</v>
          </cell>
          <cell r="AU97">
            <v>49.329404214298449</v>
          </cell>
          <cell r="AV97">
            <v>51.657045092918196</v>
          </cell>
          <cell r="AW97">
            <v>55.156932754468983</v>
          </cell>
          <cell r="AX97">
            <v>59.366746432011254</v>
          </cell>
          <cell r="AY97">
            <v>100</v>
          </cell>
          <cell r="AZ97">
            <v>112.69264686451552</v>
          </cell>
          <cell r="BA97">
            <v>122.51075058245759</v>
          </cell>
          <cell r="BB97">
            <v>127.41343516540134</v>
          </cell>
          <cell r="BC97">
            <v>134.71959488955505</v>
          </cell>
          <cell r="BD97">
            <v>145.39554313695655</v>
          </cell>
          <cell r="BE97">
            <v>153.67336159164549</v>
          </cell>
          <cell r="BF97">
            <v>153.57988417432915</v>
          </cell>
          <cell r="BG97">
            <v>153.12613722083111</v>
          </cell>
          <cell r="BH97">
            <v>154.23738316447029</v>
          </cell>
          <cell r="BI97">
            <v>163.61208717162538</v>
          </cell>
          <cell r="BJ97">
            <v>162.61912405951071</v>
          </cell>
          <cell r="BK97">
            <v>160.95246084578832</v>
          </cell>
        </row>
        <row r="99">
          <cell r="F99">
            <v>7.5497493543976901</v>
          </cell>
          <cell r="G99">
            <v>7.6973515156348302</v>
          </cell>
          <cell r="H99">
            <v>7.9810481679640555</v>
          </cell>
          <cell r="I99">
            <v>8.3766091925675905</v>
          </cell>
          <cell r="J99">
            <v>8.5759592867811119</v>
          </cell>
          <cell r="K99">
            <v>8.6234067347345427</v>
          </cell>
          <cell r="L99">
            <v>9.1962561283613127</v>
          </cell>
          <cell r="M99">
            <v>9.5021610188974197</v>
          </cell>
          <cell r="N99">
            <v>10.033087457221169</v>
          </cell>
          <cell r="O99">
            <v>10.921466216056531</v>
          </cell>
          <cell r="P99">
            <v>11.754055173264492</v>
          </cell>
          <cell r="Q99">
            <v>12.82967317450076</v>
          </cell>
          <cell r="R99">
            <v>14.659435146888766</v>
          </cell>
          <cell r="S99">
            <v>16.361703085656494</v>
          </cell>
          <cell r="T99">
            <v>17.091168523216059</v>
          </cell>
          <cell r="U99">
            <v>18.738206287606367</v>
          </cell>
          <cell r="V99">
            <v>19.461182000451448</v>
          </cell>
          <cell r="W99">
            <v>21.041916050157969</v>
          </cell>
          <cell r="X99">
            <v>24.778961487296193</v>
          </cell>
          <cell r="Y99">
            <v>28.68043518200481</v>
          </cell>
          <cell r="Z99">
            <v>31.725184142708311</v>
          </cell>
          <cell r="AA99">
            <v>34.797760927727246</v>
          </cell>
          <cell r="AB99">
            <v>36.399379497969633</v>
          </cell>
          <cell r="AC99">
            <v>39.909029008047561</v>
          </cell>
          <cell r="AD99">
            <v>42.048672372373744</v>
          </cell>
          <cell r="AE99">
            <v>43.634192925686079</v>
          </cell>
          <cell r="AF99">
            <v>47.391641006248534</v>
          </cell>
          <cell r="AG99">
            <v>51.563011673909386</v>
          </cell>
          <cell r="AH99">
            <v>58.039085883153398</v>
          </cell>
          <cell r="AI99">
            <v>62.429653397785167</v>
          </cell>
          <cell r="AJ99">
            <v>68.135948031929104</v>
          </cell>
          <cell r="AK99">
            <v>74.880901023764139</v>
          </cell>
          <cell r="AL99">
            <v>81.330379496927648</v>
          </cell>
          <cell r="AM99">
            <v>86.471492525263187</v>
          </cell>
          <cell r="AN99">
            <v>90.051060850531329</v>
          </cell>
          <cell r="AO99">
            <v>95.349395470039028</v>
          </cell>
          <cell r="AP99">
            <v>100.84179077731616</v>
          </cell>
          <cell r="AQ99">
            <v>102.07191136788909</v>
          </cell>
          <cell r="AR99">
            <v>97.891439468045021</v>
          </cell>
          <cell r="AS99">
            <v>94.568752669134753</v>
          </cell>
          <cell r="AT99">
            <v>92.891113223572816</v>
          </cell>
          <cell r="AU99">
            <v>89.731147060227201</v>
          </cell>
          <cell r="AV99">
            <v>84.340371155109708</v>
          </cell>
          <cell r="AW99">
            <v>81.311819751202137</v>
          </cell>
          <cell r="AX99">
            <v>81.189785021350687</v>
          </cell>
          <cell r="AY99">
            <v>80.755594900317249</v>
          </cell>
          <cell r="AZ99">
            <v>83.289277506300593</v>
          </cell>
          <cell r="BA99">
            <v>84.356629444071999</v>
          </cell>
          <cell r="BB99">
            <v>84.039936120845653</v>
          </cell>
          <cell r="BC99">
            <v>84.267383185062798</v>
          </cell>
          <cell r="BD99">
            <v>87.552043188774832</v>
          </cell>
          <cell r="BE99">
            <v>90.655620975242883</v>
          </cell>
          <cell r="BF99">
            <v>92.298730706575924</v>
          </cell>
          <cell r="BG99">
            <v>94.92951499105942</v>
          </cell>
          <cell r="BH99">
            <v>98.388310306264529</v>
          </cell>
          <cell r="BI99">
            <v>100</v>
          </cell>
          <cell r="BJ99">
            <v>102.95083513873738</v>
          </cell>
          <cell r="BK99">
            <v>106.79188261933365</v>
          </cell>
        </row>
        <row r="100">
          <cell r="E100">
            <v>2.9775213108669516</v>
          </cell>
          <cell r="F100">
            <v>3.1022513182390776</v>
          </cell>
          <cell r="G100">
            <v>3.1929603652045073</v>
          </cell>
          <cell r="H100">
            <v>3.2610663824604647</v>
          </cell>
          <cell r="I100">
            <v>3.4464421327716641</v>
          </cell>
          <cell r="J100">
            <v>3.5180282486705865</v>
          </cell>
          <cell r="K100">
            <v>3.6096962960246328</v>
          </cell>
          <cell r="L100">
            <v>3.7043107663915804</v>
          </cell>
          <cell r="M100">
            <v>3.7579744204128427</v>
          </cell>
          <cell r="N100">
            <v>3.8558759789216248</v>
          </cell>
          <cell r="O100">
            <v>4.027291848376394</v>
          </cell>
          <cell r="P100">
            <v>3.9154322028010267</v>
          </cell>
          <cell r="Q100">
            <v>4.066745013552441</v>
          </cell>
          <cell r="R100">
            <v>4.2841452723365103</v>
          </cell>
          <cell r="S100">
            <v>4.9172966787660846</v>
          </cell>
          <cell r="T100">
            <v>5.231256282496199</v>
          </cell>
          <cell r="U100">
            <v>5.6775969622193214</v>
          </cell>
          <cell r="V100">
            <v>6.3702342521408575</v>
          </cell>
          <cell r="W100">
            <v>11.152615675470365</v>
          </cell>
          <cell r="X100">
            <v>12.08440045581764</v>
          </cell>
          <cell r="Y100">
            <v>13.449025910333248</v>
          </cell>
          <cell r="Z100">
            <v>13.875269691766064</v>
          </cell>
          <cell r="AA100">
            <v>14.94922231123326</v>
          </cell>
          <cell r="AB100">
            <v>15.544921631279021</v>
          </cell>
          <cell r="AC100">
            <v>16.052294771011979</v>
          </cell>
          <cell r="AD100">
            <v>16.31900100047022</v>
          </cell>
          <cell r="AE100">
            <v>16.666379968637518</v>
          </cell>
          <cell r="AF100">
            <v>17.040123986179175</v>
          </cell>
          <cell r="AG100">
            <v>18.603983147573427</v>
          </cell>
          <cell r="AH100">
            <v>20.744128167464218</v>
          </cell>
          <cell r="AI100">
            <v>25.931962352129112</v>
          </cell>
          <cell r="AJ100">
            <v>32.747834028679371</v>
          </cell>
          <cell r="AK100">
            <v>33.951046392929698</v>
          </cell>
          <cell r="AL100">
            <v>37.654635111297672</v>
          </cell>
          <cell r="AM100">
            <v>45.689682642664458</v>
          </cell>
          <cell r="AN100">
            <v>56.524519676335352</v>
          </cell>
          <cell r="AO100">
            <v>66.808352164851684</v>
          </cell>
          <cell r="AP100">
            <v>78.039908530516271</v>
          </cell>
          <cell r="AQ100">
            <v>86.077234740296049</v>
          </cell>
          <cell r="AR100">
            <v>92.598211296805658</v>
          </cell>
          <cell r="AS100">
            <v>100</v>
          </cell>
          <cell r="AT100">
            <v>108.08434938014906</v>
          </cell>
          <cell r="AU100">
            <v>113.63117325493218</v>
          </cell>
          <cell r="AV100">
            <v>120.17603426441319</v>
          </cell>
          <cell r="AW100">
            <v>127.9297725886556</v>
          </cell>
          <cell r="AX100">
            <v>137.24199074285005</v>
          </cell>
          <cell r="AY100">
            <v>144.58260296064643</v>
          </cell>
          <cell r="AZ100">
            <v>154.16193368389855</v>
          </cell>
          <cell r="BA100">
            <v>166.17194015409177</v>
          </cell>
          <cell r="BB100">
            <v>178.89029581597484</v>
          </cell>
          <cell r="BC100">
            <v>187.25528349886568</v>
          </cell>
          <cell r="BD100">
            <v>201.87468779807941</v>
          </cell>
          <cell r="BE100">
            <v>209.10137248842949</v>
          </cell>
          <cell r="BF100">
            <v>211.97448916115871</v>
          </cell>
          <cell r="BG100">
            <v>226.49337808938284</v>
          </cell>
          <cell r="BH100">
            <v>242.19564389436101</v>
          </cell>
          <cell r="BI100">
            <v>251.10376471922584</v>
          </cell>
          <cell r="BJ100">
            <v>262.17044449705963</v>
          </cell>
          <cell r="BK100">
            <v>266.85273627113713</v>
          </cell>
        </row>
        <row r="102">
          <cell r="AN102">
            <v>53.839037666071654</v>
          </cell>
          <cell r="AO102">
            <v>55.874694111522459</v>
          </cell>
          <cell r="AP102">
            <v>59.757811050933263</v>
          </cell>
          <cell r="AQ102">
            <v>64.69125109834809</v>
          </cell>
          <cell r="AR102">
            <v>67.113370821590792</v>
          </cell>
          <cell r="AS102">
            <v>70.086239817225646</v>
          </cell>
          <cell r="AT102">
            <v>73.020752901681021</v>
          </cell>
          <cell r="AU102">
            <v>75.529041729413322</v>
          </cell>
          <cell r="AV102">
            <v>78.620302125730959</v>
          </cell>
          <cell r="AW102">
            <v>81.556744070322864</v>
          </cell>
          <cell r="AX102">
            <v>84.344762790152501</v>
          </cell>
          <cell r="AY102">
            <v>87.695287820931895</v>
          </cell>
          <cell r="AZ102">
            <v>91.311843463702374</v>
          </cell>
          <cell r="BA102">
            <v>96.506748222496654</v>
          </cell>
          <cell r="BB102">
            <v>99.192804023618976</v>
          </cell>
          <cell r="BC102">
            <v>100</v>
          </cell>
          <cell r="BD102">
            <v>101.65632757135496</v>
          </cell>
          <cell r="BE102">
            <v>103.22899332834881</v>
          </cell>
          <cell r="BF102">
            <v>104.04014371978403</v>
          </cell>
          <cell r="BG102">
            <v>104.06371739703924</v>
          </cell>
          <cell r="BH102">
            <v>104.09035855410926</v>
          </cell>
          <cell r="BI102">
            <v>104.00853253178464</v>
          </cell>
          <cell r="BJ102">
            <v>105.16762945430247</v>
          </cell>
          <cell r="BK102">
            <v>107.00043344119017</v>
          </cell>
        </row>
        <row r="103">
          <cell r="E103">
            <v>17.752000283165394</v>
          </cell>
          <cell r="F103">
            <v>18.146205579627413</v>
          </cell>
          <cell r="G103">
            <v>17.491598111330976</v>
          </cell>
          <cell r="H103">
            <v>18.650425985240215</v>
          </cell>
          <cell r="I103">
            <v>20.917576235364855</v>
          </cell>
          <cell r="J103">
            <v>22.235569308208845</v>
          </cell>
          <cell r="K103">
            <v>23.358103247508623</v>
          </cell>
          <cell r="L103">
            <v>23.874814112220168</v>
          </cell>
          <cell r="M103">
            <v>23.066204904940165</v>
          </cell>
          <cell r="N103">
            <v>23.659462392112442</v>
          </cell>
          <cell r="O103">
            <v>19.869612576019218</v>
          </cell>
          <cell r="P103">
            <v>20.4407466317416</v>
          </cell>
          <cell r="Q103">
            <v>20.756278502458077</v>
          </cell>
          <cell r="R103">
            <v>24.863444848482509</v>
          </cell>
          <cell r="S103">
            <v>28.469716959061202</v>
          </cell>
          <cell r="T103">
            <v>33.929744060941424</v>
          </cell>
          <cell r="U103">
            <v>40.362911405165647</v>
          </cell>
          <cell r="V103">
            <v>41.930565187400305</v>
          </cell>
          <cell r="W103">
            <v>40.613283319412979</v>
          </cell>
          <cell r="X103">
            <v>41.882485202130795</v>
          </cell>
          <cell r="Y103">
            <v>49.950391008295135</v>
          </cell>
          <cell r="Z103">
            <v>54.969335739472683</v>
          </cell>
          <cell r="AA103">
            <v>56.800341357637848</v>
          </cell>
          <cell r="AB103">
            <v>61.993649278638316</v>
          </cell>
          <cell r="AC103">
            <v>69.139610241138087</v>
          </cell>
          <cell r="AD103">
            <v>76.035428308023313</v>
          </cell>
          <cell r="AE103">
            <v>88.151368475826814</v>
          </cell>
          <cell r="AF103">
            <v>78.475921292912204</v>
          </cell>
          <cell r="AG103">
            <v>100</v>
          </cell>
          <cell r="AH103">
            <v>107.82070964758344</v>
          </cell>
          <cell r="AI103">
            <v>120.75461251581187</v>
          </cell>
          <cell r="AJ103">
            <v>138.39717392006202</v>
          </cell>
          <cell r="AK103">
            <v>167.33348472798562</v>
          </cell>
          <cell r="AL103">
            <v>198.01682753189996</v>
          </cell>
          <cell r="AM103">
            <v>310.30799585708382</v>
          </cell>
          <cell r="AN103">
            <v>359.84363227375911</v>
          </cell>
          <cell r="AO103">
            <v>395.74375626141455</v>
          </cell>
          <cell r="AP103">
            <v>446.11003056175036</v>
          </cell>
          <cell r="AQ103">
            <v>509.2676905709011</v>
          </cell>
          <cell r="AR103">
            <v>545.0763519316547</v>
          </cell>
          <cell r="AS103">
            <v>605.34084313867027</v>
          </cell>
          <cell r="AT103">
            <v>675.75697259173091</v>
          </cell>
          <cell r="AU103">
            <v>743.29358328976605</v>
          </cell>
          <cell r="AV103">
            <v>943.25827105842336</v>
          </cell>
          <cell r="AW103">
            <v>1146.1162959397723</v>
          </cell>
          <cell r="AX103">
            <v>1347.511213308527</v>
          </cell>
          <cell r="AY103">
            <v>1546.1192022157304</v>
          </cell>
          <cell r="AZ103">
            <v>1670.437248769892</v>
          </cell>
          <cell r="BA103">
            <v>1885.8376542199451</v>
          </cell>
          <cell r="BB103">
            <v>1955.6573459094338</v>
          </cell>
          <cell r="BC103">
            <v>2062.2613314443433</v>
          </cell>
          <cell r="BD103">
            <v>2217.1428022575451</v>
          </cell>
          <cell r="BE103">
            <v>2334.3312926153271</v>
          </cell>
          <cell r="BF103">
            <v>2488.3762579836375</v>
          </cell>
          <cell r="BG103">
            <v>2600.4216529578393</v>
          </cell>
          <cell r="BH103">
            <v>2779.2952280579998</v>
          </cell>
          <cell r="BI103">
            <v>3111.7624266656494</v>
          </cell>
          <cell r="BJ103">
            <v>3527.5502251340604</v>
          </cell>
          <cell r="BK103">
            <v>3979.2995736094199</v>
          </cell>
        </row>
        <row r="104">
          <cell r="AJ104">
            <v>13.594153761239216</v>
          </cell>
          <cell r="AK104">
            <v>16.518144716200318</v>
          </cell>
          <cell r="AL104">
            <v>20.032950722758162</v>
          </cell>
          <cell r="AM104">
            <v>23.937585272140343</v>
          </cell>
          <cell r="AN104">
            <v>30.336769424645283</v>
          </cell>
          <cell r="AO104">
            <v>37.021171110851128</v>
          </cell>
          <cell r="AP104">
            <v>44.42971014376846</v>
          </cell>
          <cell r="AQ104">
            <v>50.456692656971939</v>
          </cell>
          <cell r="AR104">
            <v>54.529130804269656</v>
          </cell>
          <cell r="AS104">
            <v>59.908271232881582</v>
          </cell>
          <cell r="AT104">
            <v>66.634061103713876</v>
          </cell>
          <cell r="AU104">
            <v>72.192041990024762</v>
          </cell>
          <cell r="AV104">
            <v>76.193769023870701</v>
          </cell>
          <cell r="AW104">
            <v>79.993685627347205</v>
          </cell>
          <cell r="AX104">
            <v>81.936564060930067</v>
          </cell>
          <cell r="AY104">
            <v>84.833205049980108</v>
          </cell>
          <cell r="AZ104">
            <v>89.432961911466762</v>
          </cell>
          <cell r="BA104">
            <v>93.904102769722925</v>
          </cell>
          <cell r="BB104">
            <v>97.697536988323733</v>
          </cell>
          <cell r="BC104">
            <v>100</v>
          </cell>
          <cell r="BD104">
            <v>102.27291127227389</v>
          </cell>
          <cell r="BE104">
            <v>105.71796147483532</v>
          </cell>
          <cell r="BF104">
            <v>108.82865854177174</v>
          </cell>
          <cell r="BG104">
            <v>112.478494897735</v>
          </cell>
          <cell r="BH104">
            <v>114.62193095772921</v>
          </cell>
          <cell r="BI104">
            <v>115.63729962483097</v>
          </cell>
          <cell r="BJ104">
            <v>120.06141650345718</v>
          </cell>
          <cell r="BK104">
            <v>125.49853393222676</v>
          </cell>
        </row>
        <row r="109">
          <cell r="E109">
            <v>7.0854776054680879E-2</v>
          </cell>
          <cell r="F109">
            <v>8.0729108636212701E-2</v>
          </cell>
          <cell r="G109">
            <v>0.22512663377105904</v>
          </cell>
          <cell r="H109">
            <v>0.55345376193825813</v>
          </cell>
          <cell r="I109">
            <v>1.1884376792524778</v>
          </cell>
          <cell r="J109">
            <v>3.907808188547341</v>
          </cell>
          <cell r="K109">
            <v>5.0651784918926086E-2</v>
          </cell>
          <cell r="L109">
            <v>0.13408633736418399</v>
          </cell>
          <cell r="M109">
            <v>0.29897606953881706</v>
          </cell>
          <cell r="N109">
            <v>0.36281703337721094</v>
          </cell>
          <cell r="O109">
            <v>0.4145296059250887</v>
          </cell>
          <cell r="P109">
            <v>0.42582444790963159</v>
          </cell>
          <cell r="Q109">
            <v>0.49446666347637386</v>
          </cell>
          <cell r="R109">
            <v>0.67681845064734425</v>
          </cell>
          <cell r="S109">
            <v>0.99702462092877597</v>
          </cell>
          <cell r="T109">
            <v>1.1213342326241542</v>
          </cell>
          <cell r="U109">
            <v>1.2834432194287582</v>
          </cell>
          <cell r="V109">
            <v>1.4504495056557412</v>
          </cell>
          <cell r="W109">
            <v>1.6254447671280821</v>
          </cell>
          <cell r="X109">
            <v>2.1323752923649546</v>
          </cell>
          <cell r="Y109">
            <v>2.7538667283765781</v>
          </cell>
          <cell r="Z109">
            <v>3.0334038817647935</v>
          </cell>
          <cell r="AA109">
            <v>3.2745747756723587</v>
          </cell>
          <cell r="AB109">
            <v>3.8840615664314826</v>
          </cell>
          <cell r="AC109">
            <v>4.2888518477131852</v>
          </cell>
          <cell r="AD109">
            <v>4.5543902637830653</v>
          </cell>
          <cell r="AE109">
            <v>4.657035812818842</v>
          </cell>
          <cell r="AF109">
            <v>5.4023392420144303</v>
          </cell>
          <cell r="AG109">
            <v>5.8144896093463467</v>
          </cell>
          <cell r="AH109">
            <v>6.3659956719710049</v>
          </cell>
          <cell r="AI109">
            <v>6.9449161161367723</v>
          </cell>
          <cell r="AJ109">
            <v>7.5537796126271708</v>
          </cell>
          <cell r="AK109">
            <v>8.1043637506256818</v>
          </cell>
          <cell r="AL109">
            <v>9.6565583600587779</v>
          </cell>
          <cell r="AM109">
            <v>10.407507651161808</v>
          </cell>
          <cell r="AN109">
            <v>11.435982254254746</v>
          </cell>
          <cell r="AO109">
            <v>12.428226370167108</v>
          </cell>
          <cell r="AP109">
            <v>13.990625474040927</v>
          </cell>
          <cell r="AQ109">
            <v>24.521532787070608</v>
          </cell>
          <cell r="AR109">
            <v>27.994075103764761</v>
          </cell>
          <cell r="AS109">
            <v>33.71815153176437</v>
          </cell>
          <cell r="AT109">
            <v>38.538402525120297</v>
          </cell>
          <cell r="AU109">
            <v>40.810646659729038</v>
          </cell>
          <cell r="AV109">
            <v>43.050101975901022</v>
          </cell>
          <cell r="AW109">
            <v>46.73119868279926</v>
          </cell>
          <cell r="AX109">
            <v>53.428614579945801</v>
          </cell>
          <cell r="AY109">
            <v>60.955330275835109</v>
          </cell>
          <cell r="AZ109">
            <v>67.818034003707709</v>
          </cell>
          <cell r="BA109">
            <v>80.126838477659987</v>
          </cell>
          <cell r="BB109">
            <v>86.757135993057332</v>
          </cell>
          <cell r="BC109">
            <v>100</v>
          </cell>
          <cell r="BD109">
            <v>107.46594303367571</v>
          </cell>
          <cell r="BE109">
            <v>111.50008423618169</v>
          </cell>
          <cell r="BF109">
            <v>117.03716759416045</v>
          </cell>
          <cell r="BG109">
            <v>123.40770491393252</v>
          </cell>
          <cell r="BH109">
            <v>128.31963103081696</v>
          </cell>
          <cell r="BI109">
            <v>131.44924942022502</v>
          </cell>
          <cell r="BJ109">
            <v>137.06868628655457</v>
          </cell>
          <cell r="BK109">
            <v>142.32045410459153</v>
          </cell>
          <cell r="BN109" t="str">
            <v>Indonesia</v>
          </cell>
        </row>
        <row r="111">
          <cell r="AC111">
            <v>23.82209660425038</v>
          </cell>
          <cell r="AD111">
            <v>25.089936241762185</v>
          </cell>
          <cell r="AE111">
            <v>25.634773405134254</v>
          </cell>
          <cell r="AF111">
            <v>27.011559642520449</v>
          </cell>
          <cell r="AG111">
            <v>28.210112816672272</v>
          </cell>
          <cell r="AH111">
            <v>30.319911248744546</v>
          </cell>
          <cell r="AI111">
            <v>33.063669097028047</v>
          </cell>
          <cell r="AJ111">
            <v>35.34190582743971</v>
          </cell>
          <cell r="AK111">
            <v>36.669184950303887</v>
          </cell>
          <cell r="AL111">
            <v>37.47149289300463</v>
          </cell>
          <cell r="AM111">
            <v>38.422434785619735</v>
          </cell>
          <cell r="AN111">
            <v>39.551624008833983</v>
          </cell>
          <cell r="AO111">
            <v>40.561966516525956</v>
          </cell>
          <cell r="AP111">
            <v>41.641596578878378</v>
          </cell>
          <cell r="AQ111">
            <v>42.632154795955771</v>
          </cell>
          <cell r="AR111">
            <v>43.612723134585053</v>
          </cell>
          <cell r="AS111">
            <v>45.037575358286745</v>
          </cell>
          <cell r="AT111">
            <v>46.823451785800998</v>
          </cell>
          <cell r="AU111">
            <v>48.136157143735446</v>
          </cell>
          <cell r="AV111">
            <v>49.507455213867921</v>
          </cell>
          <cell r="AW111">
            <v>52.205053328228082</v>
          </cell>
          <cell r="AX111">
            <v>53.717273904423202</v>
          </cell>
          <cell r="AY111">
            <v>55.630286031848854</v>
          </cell>
          <cell r="AZ111">
            <v>62.121057851694296</v>
          </cell>
          <cell r="BA111">
            <v>85.727183089798928</v>
          </cell>
          <cell r="BB111">
            <v>91.696052242127308</v>
          </cell>
          <cell r="BC111">
            <v>96.470469672176989</v>
          </cell>
          <cell r="BD111">
            <v>101.15387837898726</v>
          </cell>
          <cell r="BE111">
            <v>97.405311017300065</v>
          </cell>
          <cell r="BF111">
            <v>98.89711416838702</v>
          </cell>
          <cell r="BG111">
            <v>98.404103542119842</v>
          </cell>
          <cell r="BH111">
            <v>97.790356129032261</v>
          </cell>
          <cell r="BI111">
            <v>100</v>
          </cell>
        </row>
        <row r="112">
          <cell r="E112">
            <v>2.3924311932446876</v>
          </cell>
          <cell r="F112">
            <v>2.4437590735635237</v>
          </cell>
          <cell r="G112">
            <v>2.5514217321389197</v>
          </cell>
          <cell r="H112">
            <v>2.7645579073754241</v>
          </cell>
          <cell r="I112">
            <v>3.0009739691478483</v>
          </cell>
          <cell r="J112">
            <v>3.2500658943566156</v>
          </cell>
          <cell r="K112">
            <v>3.6813726021662156</v>
          </cell>
          <cell r="L112">
            <v>3.9985672017313378</v>
          </cell>
          <cell r="M112">
            <v>4.0951479376312143</v>
          </cell>
          <cell r="N112">
            <v>4.2320636534442357</v>
          </cell>
          <cell r="O112">
            <v>4.2981787921393355</v>
          </cell>
          <cell r="P112">
            <v>4.5270499808787505</v>
          </cell>
          <cell r="Q112">
            <v>5.017764212884317</v>
          </cell>
          <cell r="R112">
            <v>5.9124173038644905</v>
          </cell>
          <cell r="S112">
            <v>6.8978703878439944</v>
          </cell>
          <cell r="T112">
            <v>6.7841464714287065</v>
          </cell>
          <cell r="U112">
            <v>7.1899645708973852</v>
          </cell>
          <cell r="V112">
            <v>7.5952793631245266</v>
          </cell>
          <cell r="W112">
            <v>7.7821446782385824</v>
          </cell>
          <cell r="X112">
            <v>9.0061237558086571</v>
          </cell>
          <cell r="Y112">
            <v>10.042577370247612</v>
          </cell>
          <cell r="Z112">
            <v>11.129945668043312</v>
          </cell>
          <cell r="AA112">
            <v>12.031010832153202</v>
          </cell>
          <cell r="AB112">
            <v>13.06000629791054</v>
          </cell>
          <cell r="AC112">
            <v>14.094781006487045</v>
          </cell>
          <cell r="AD112">
            <v>15.108729311195743</v>
          </cell>
          <cell r="AE112">
            <v>16.134521447477574</v>
          </cell>
          <cell r="AF112">
            <v>17.639532393423828</v>
          </cell>
          <cell r="AG112">
            <v>19.091709608009076</v>
          </cell>
          <cell r="AH112">
            <v>20.702440658281247</v>
          </cell>
          <cell r="AI112">
            <v>22.911039931572095</v>
          </cell>
          <cell r="AJ112">
            <v>26.06172466098759</v>
          </cell>
          <cell r="AK112">
            <v>28.398197984306577</v>
          </cell>
          <cell r="AL112">
            <v>31.198766603786183</v>
          </cell>
          <cell r="AM112">
            <v>34.312417480247362</v>
          </cell>
          <cell r="AN112">
            <v>37.422049701186985</v>
          </cell>
          <cell r="AO112">
            <v>40.256776809794964</v>
          </cell>
          <cell r="AP112">
            <v>42.863914877731602</v>
          </cell>
          <cell r="AQ112">
            <v>46.29738626672841</v>
          </cell>
          <cell r="AR112">
            <v>47.717973192928916</v>
          </cell>
          <cell r="AS112">
            <v>49.457279077376384</v>
          </cell>
          <cell r="AT112">
            <v>51.047635265168026</v>
          </cell>
          <cell r="AU112">
            <v>52.944403966965162</v>
          </cell>
          <cell r="AV112">
            <v>54.992186610501193</v>
          </cell>
          <cell r="AW112">
            <v>58.140712870275422</v>
          </cell>
          <cell r="AX112">
            <v>61.40933288292355</v>
          </cell>
          <cell r="AY112">
            <v>66.568289296121733</v>
          </cell>
          <cell r="AZ112">
            <v>71.191062587205607</v>
          </cell>
          <cell r="BA112">
            <v>77.736341781229683</v>
          </cell>
          <cell r="BB112">
            <v>83.209281097382615</v>
          </cell>
          <cell r="BC112">
            <v>91.967905980254756</v>
          </cell>
          <cell r="BD112">
            <v>99.999998860848763</v>
          </cell>
          <cell r="BE112">
            <v>107.93438624839366</v>
          </cell>
          <cell r="BF112">
            <v>114.61175137192674</v>
          </cell>
          <cell r="BG112">
            <v>118.43033632602631</v>
          </cell>
          <cell r="BH112">
            <v>121.130060189769</v>
          </cell>
          <cell r="BI112">
            <v>124.91443876981758</v>
          </cell>
          <cell r="BJ112">
            <v>129.70553805153074</v>
          </cell>
          <cell r="BK112">
            <v>135.13337637450581</v>
          </cell>
          <cell r="BN112" t="str">
            <v>India</v>
          </cell>
        </row>
        <row r="114">
          <cell r="O114">
            <v>8.1827999381402137</v>
          </cell>
          <cell r="P114">
            <v>9.0452003548552824</v>
          </cell>
          <cell r="Q114">
            <v>10.25591294010332</v>
          </cell>
          <cell r="R114">
            <v>11.822254861035878</v>
          </cell>
          <cell r="S114">
            <v>12.541947256412014</v>
          </cell>
          <cell r="T114">
            <v>15.0670617575416</v>
          </cell>
          <cell r="U114">
            <v>18.234599979733165</v>
          </cell>
          <cell r="V114">
            <v>20.654074369861824</v>
          </cell>
          <cell r="W114">
            <v>22.828214782452505</v>
          </cell>
          <cell r="X114">
            <v>25.950215960041234</v>
          </cell>
          <cell r="Y114">
            <v>29.766142776238663</v>
          </cell>
          <cell r="Z114">
            <v>34.958115450293512</v>
          </cell>
          <cell r="AA114">
            <v>40.265512174610116</v>
          </cell>
          <cell r="AB114">
            <v>44.577496898122398</v>
          </cell>
          <cell r="AC114">
            <v>47.421216397411051</v>
          </cell>
          <cell r="AD114">
            <v>49.880635909606049</v>
          </cell>
          <cell r="AE114">
            <v>53.147665865020222</v>
          </cell>
          <cell r="AF114">
            <v>54.315538639492232</v>
          </cell>
          <cell r="AG114">
            <v>56.078790888337558</v>
          </cell>
          <cell r="AH114">
            <v>59.175329659136608</v>
          </cell>
          <cell r="AI114">
            <v>58.743832231354368</v>
          </cell>
          <cell r="AJ114">
            <v>59.802041494233535</v>
          </cell>
          <cell r="AK114">
            <v>61.483806234752237</v>
          </cell>
          <cell r="AL114">
            <v>64.666055934611208</v>
          </cell>
          <cell r="AM114">
            <v>65.761842805207976</v>
          </cell>
          <cell r="AN114">
            <v>67.757054507907725</v>
          </cell>
          <cell r="AO114">
            <v>69.28704619288628</v>
          </cell>
          <cell r="AP114">
            <v>71.974292713300855</v>
          </cell>
          <cell r="AQ114">
            <v>76.671751570979723</v>
          </cell>
          <cell r="AR114">
            <v>80.013806003774391</v>
          </cell>
          <cell r="AS114">
            <v>85.536983287294689</v>
          </cell>
          <cell r="AT114">
            <v>91.427399315274187</v>
          </cell>
          <cell r="AU114">
            <v>96.22684140408893</v>
          </cell>
          <cell r="AV114">
            <v>99.999068066473001</v>
          </cell>
          <cell r="AW114">
            <v>100.51655630818779</v>
          </cell>
          <cell r="AX114">
            <v>103.64892789879923</v>
          </cell>
          <cell r="AY114">
            <v>107.22918805147543</v>
          </cell>
          <cell r="AZ114">
            <v>108.52729570401152</v>
          </cell>
          <cell r="BA114">
            <v>108.18299618910585</v>
          </cell>
          <cell r="BB114">
            <v>103.24745847671639</v>
          </cell>
          <cell r="BC114">
            <v>100</v>
          </cell>
          <cell r="BD114">
            <v>101.49643910437034</v>
          </cell>
          <cell r="BE114">
            <v>103.81022547521638</v>
          </cell>
          <cell r="BF114">
            <v>105.08454059136811</v>
          </cell>
          <cell r="BG114">
            <v>104.96810302344113</v>
          </cell>
          <cell r="BH114">
            <v>113.14465725801115</v>
          </cell>
          <cell r="BI114">
            <v>112.80570944975825</v>
          </cell>
          <cell r="BJ114">
            <v>114.07952967130885</v>
          </cell>
          <cell r="BK114">
            <v>115.01378074150412</v>
          </cell>
        </row>
        <row r="115">
          <cell r="E115">
            <v>3.8076942098633618E-2</v>
          </cell>
          <cell r="F115">
            <v>3.6009675111832937E-2</v>
          </cell>
          <cell r="G115">
            <v>3.515815512589085E-2</v>
          </cell>
          <cell r="H115">
            <v>3.4415400724246786E-2</v>
          </cell>
          <cell r="I115">
            <v>3.4403139281154405E-2</v>
          </cell>
          <cell r="J115">
            <v>3.3809525721297369E-2</v>
          </cell>
          <cell r="K115">
            <v>3.3299693544035065E-2</v>
          </cell>
          <cell r="L115">
            <v>3.3192414456179001E-2</v>
          </cell>
          <cell r="M115">
            <v>3.2997191396686026E-2</v>
          </cell>
          <cell r="N115">
            <v>3.2047964197846723E-2</v>
          </cell>
          <cell r="O115">
            <v>3.2490410495419376E-2</v>
          </cell>
          <cell r="P115">
            <v>3.5524358719559793E-2</v>
          </cell>
          <cell r="Q115">
            <v>3.8785220213497215E-2</v>
          </cell>
          <cell r="R115">
            <v>5.1289729583155599E-2</v>
          </cell>
          <cell r="S115">
            <v>8.0676435289903203E-2</v>
          </cell>
          <cell r="T115">
            <v>9.3378387856516379E-2</v>
          </cell>
          <cell r="U115">
            <v>0.10833345085954346</v>
          </cell>
          <cell r="V115">
            <v>0.13382264376881986</v>
          </cell>
          <cell r="W115">
            <v>0.1504463063664517</v>
          </cell>
          <cell r="X115">
            <v>0.19484658809519423</v>
          </cell>
          <cell r="Y115">
            <v>0.28504188461999957</v>
          </cell>
          <cell r="Z115">
            <v>0.35795666367372325</v>
          </cell>
          <cell r="AA115">
            <v>0.37214482573588603</v>
          </cell>
          <cell r="AB115">
            <v>0.43956603348681844</v>
          </cell>
          <cell r="AC115">
            <v>0.52691927941243888</v>
          </cell>
          <cell r="AD115">
            <v>0.54675581939771034</v>
          </cell>
          <cell r="AE115">
            <v>0.6165337752746779</v>
          </cell>
          <cell r="AF115">
            <v>0.74318529848867421</v>
          </cell>
          <cell r="AG115">
            <v>0.88594996001882587</v>
          </cell>
          <cell r="AH115">
            <v>1.0390681323892064</v>
          </cell>
          <cell r="AI115">
            <v>1.2732692655749123</v>
          </cell>
          <cell r="AJ115">
            <v>1.6041800348435751</v>
          </cell>
          <cell r="AK115">
            <v>2.0842180082256312</v>
          </cell>
          <cell r="AL115">
            <v>3.0465355106605156</v>
          </cell>
          <cell r="AM115">
            <v>4.0725355840404402</v>
          </cell>
          <cell r="AN115">
            <v>5.6240553878168678</v>
          </cell>
          <cell r="AO115">
            <v>7.3267790567532058</v>
          </cell>
          <cell r="AP115">
            <v>8.5376366154361474</v>
          </cell>
          <cell r="AQ115">
            <v>9.3296569388524464</v>
          </cell>
          <cell r="AR115">
            <v>12.427665878837615</v>
          </cell>
          <cell r="AS115">
            <v>15.523952017571615</v>
          </cell>
          <cell r="AT115">
            <v>18.107685806219123</v>
          </cell>
          <cell r="AU115">
            <v>23.404600318863235</v>
          </cell>
          <cell r="AV115">
            <v>26.455916853013171</v>
          </cell>
          <cell r="AW115">
            <v>32.980746677514887</v>
          </cell>
          <cell r="AX115">
            <v>39.63170724317456</v>
          </cell>
          <cell r="AY115">
            <v>45.411037822748</v>
          </cell>
          <cell r="AZ115">
            <v>55.827903649788745</v>
          </cell>
          <cell r="BA115">
            <v>66.670788414508507</v>
          </cell>
          <cell r="BB115">
            <v>69.736655898739045</v>
          </cell>
          <cell r="BC115">
            <v>80.812668120874122</v>
          </cell>
          <cell r="BD115">
            <v>100.00000001178802</v>
          </cell>
          <cell r="BE115">
            <v>124.01610945823683</v>
          </cell>
          <cell r="BF115">
            <v>168.12547787238708</v>
          </cell>
          <cell r="BG115">
            <v>186.34710756637557</v>
          </cell>
          <cell r="BH115">
            <v>187.14697906219754</v>
          </cell>
          <cell r="BI115">
            <v>190.15478563654764</v>
          </cell>
          <cell r="BJ115">
            <v>213.4472165918726</v>
          </cell>
        </row>
        <row r="116">
          <cell r="M116">
            <v>8.0171841308888034E-3</v>
          </cell>
          <cell r="N116">
            <v>8.063264272398115E-3</v>
          </cell>
          <cell r="O116">
            <v>8.4142556546540782E-3</v>
          </cell>
          <cell r="P116">
            <v>9.3103766409845454E-3</v>
          </cell>
          <cell r="Q116">
            <v>8.9954910224408439E-3</v>
          </cell>
          <cell r="R116">
            <v>9.7829662278191894E-3</v>
          </cell>
          <cell r="S116">
            <v>1.8424510162328989E-2</v>
          </cell>
          <cell r="T116">
            <v>1.9140190639053513E-2</v>
          </cell>
          <cell r="U116">
            <v>2.1549149137415468E-2</v>
          </cell>
          <cell r="V116">
            <v>2.3628733236595163E-2</v>
          </cell>
          <cell r="W116">
            <v>2.4178562040236475E-2</v>
          </cell>
          <cell r="X116">
            <v>3.1835189549829356E-2</v>
          </cell>
          <cell r="Y116">
            <v>3.6037992183827555E-2</v>
          </cell>
          <cell r="Z116">
            <v>2.6119403672208292E-2</v>
          </cell>
          <cell r="AA116">
            <v>2.8296252350574966E-2</v>
          </cell>
          <cell r="AB116">
            <v>3.2311970242162869E-2</v>
          </cell>
          <cell r="AC116">
            <v>3.7814488914218264E-2</v>
          </cell>
          <cell r="AD116">
            <v>3.84531937811146E-2</v>
          </cell>
          <cell r="AE116">
            <v>3.5864709854937872E-2</v>
          </cell>
          <cell r="AF116">
            <v>3.9413221335290384E-2</v>
          </cell>
          <cell r="AG116">
            <v>4.3524513028045948E-2</v>
          </cell>
          <cell r="AH116">
            <v>4.7181264008162353E-2</v>
          </cell>
          <cell r="AI116">
            <v>8.192809002932662E-2</v>
          </cell>
          <cell r="AJ116">
            <v>0.17297184002341737</v>
          </cell>
          <cell r="AK116">
            <v>0.35372874801576032</v>
          </cell>
          <cell r="AL116">
            <v>0.75863379692008925</v>
          </cell>
          <cell r="AM116">
            <v>3.7661466226663678</v>
          </cell>
          <cell r="AN116">
            <v>14.890126023205349</v>
          </cell>
          <cell r="AO116">
            <v>13.022287941369736</v>
          </cell>
          <cell r="AP116">
            <v>24.937525015975108</v>
          </cell>
          <cell r="AQ116">
            <v>20.982242709297957</v>
          </cell>
          <cell r="AR116">
            <v>35.910698053950135</v>
          </cell>
          <cell r="AS116">
            <v>51.595823008849564</v>
          </cell>
          <cell r="AT116">
            <v>41.495149998423642</v>
          </cell>
          <cell r="AU116">
            <v>44.255976511958977</v>
          </cell>
          <cell r="AV116">
            <v>47.70981664953878</v>
          </cell>
          <cell r="AW116">
            <v>55.687708968066687</v>
          </cell>
          <cell r="AX116">
            <v>73.678694052196988</v>
          </cell>
          <cell r="AY116">
            <v>86.944565508518423</v>
          </cell>
          <cell r="AZ116">
            <v>100</v>
          </cell>
          <cell r="BA116">
            <v>130.17540867056999</v>
          </cell>
          <cell r="BB116">
            <v>104.76360612450777</v>
          </cell>
          <cell r="BC116">
            <v>122.14047387296758</v>
          </cell>
          <cell r="BD116">
            <v>152.29626973867883</v>
          </cell>
          <cell r="BE116">
            <v>156.36222891926025</v>
          </cell>
          <cell r="BF116">
            <v>156.39273693906793</v>
          </cell>
          <cell r="BG116">
            <v>155.30559775479253</v>
          </cell>
          <cell r="BH116">
            <v>114.77083674079265</v>
          </cell>
          <cell r="BI116">
            <v>98.129065413371805</v>
          </cell>
          <cell r="BJ116">
            <v>113.43719961785797</v>
          </cell>
          <cell r="BK116">
            <v>131.70058875633273</v>
          </cell>
        </row>
        <row r="117">
          <cell r="E117">
            <v>3.580300251702153E-2</v>
          </cell>
          <cell r="F117">
            <v>4.0558617039165384E-2</v>
          </cell>
          <cell r="G117">
            <v>4.5080023875352655E-2</v>
          </cell>
          <cell r="H117">
            <v>4.8788120812367435E-2</v>
          </cell>
          <cell r="I117">
            <v>5.6682778865685846E-2</v>
          </cell>
          <cell r="J117">
            <v>6.3662223878287405E-2</v>
          </cell>
          <cell r="K117">
            <v>7.0308415078849745E-2</v>
          </cell>
          <cell r="L117">
            <v>7.2251178441734773E-2</v>
          </cell>
          <cell r="M117">
            <v>8.2159047234286936E-2</v>
          </cell>
          <cell r="N117">
            <v>9.930882914284142E-2</v>
          </cell>
          <cell r="O117">
            <v>0.11203003830339503</v>
          </cell>
          <cell r="P117">
            <v>0.12609346766433333</v>
          </cell>
          <cell r="Q117">
            <v>0.14921204418226322</v>
          </cell>
          <cell r="R117">
            <v>0.19614877052415777</v>
          </cell>
          <cell r="S117">
            <v>0.27008090012862285</v>
          </cell>
          <cell r="T117">
            <v>0.3831564601578723</v>
          </cell>
          <cell r="U117">
            <v>0.50858979090142209</v>
          </cell>
          <cell r="V117">
            <v>0.67492897263839335</v>
          </cell>
          <cell r="W117">
            <v>0.98707541776311203</v>
          </cell>
          <cell r="X117">
            <v>1.3907634529929376</v>
          </cell>
          <cell r="Y117">
            <v>2.120577606979317</v>
          </cell>
          <cell r="Z117">
            <v>3.163592352069605</v>
          </cell>
          <cell r="AA117">
            <v>4.860745236588647</v>
          </cell>
          <cell r="AB117">
            <v>8.6183476061650257</v>
          </cell>
          <cell r="AC117">
            <v>10.93502499660293</v>
          </cell>
          <cell r="AD117">
            <v>14.443477944942632</v>
          </cell>
          <cell r="AE117">
            <v>17.994583908859205</v>
          </cell>
          <cell r="AF117">
            <v>21.58387157387514</v>
          </cell>
          <cell r="AG117">
            <v>26.577363536242597</v>
          </cell>
          <cell r="AH117">
            <v>32.655184800513368</v>
          </cell>
          <cell r="AI117">
            <v>37.609483200137959</v>
          </cell>
          <cell r="AJ117">
            <v>40.75564517430972</v>
          </cell>
          <cell r="AK117">
            <v>42.161425356587138</v>
          </cell>
          <cell r="AL117">
            <v>42.93375837944162</v>
          </cell>
          <cell r="AM117">
            <v>44.051485963207902</v>
          </cell>
          <cell r="AN117">
            <v>45.371959963046017</v>
          </cell>
          <cell r="AO117">
            <v>46.50004475547366</v>
          </cell>
          <cell r="AP117">
            <v>48.780910563810025</v>
          </cell>
          <cell r="AQ117">
            <v>51.074050161241381</v>
          </cell>
          <cell r="AR117">
            <v>52.855178980050219</v>
          </cell>
          <cell r="AS117">
            <v>54.961082026655525</v>
          </cell>
          <cell r="AT117">
            <v>59.742278107889724</v>
          </cell>
          <cell r="AU117">
            <v>63.239499982933324</v>
          </cell>
          <cell r="AV117">
            <v>63.549673452121134</v>
          </cell>
          <cell r="AW117">
            <v>65.236511514950763</v>
          </cell>
          <cell r="AX117">
            <v>66.89986232423874</v>
          </cell>
          <cell r="AY117">
            <v>72.529834603317596</v>
          </cell>
          <cell r="AZ117">
            <v>75.644008765113895</v>
          </cell>
          <cell r="BA117">
            <v>84.746306543657141</v>
          </cell>
          <cell r="BB117">
            <v>93.962721742960653</v>
          </cell>
          <cell r="BC117">
            <v>100</v>
          </cell>
          <cell r="BD117">
            <v>103.1394159582194</v>
          </cell>
          <cell r="BE117">
            <v>106.68728526706197</v>
          </cell>
          <cell r="BF117">
            <v>108.97349412204254</v>
          </cell>
          <cell r="BG117">
            <v>112.99802529867446</v>
          </cell>
          <cell r="BH117">
            <v>119.35216297525551</v>
          </cell>
          <cell r="BI117">
            <v>121.61225394331292</v>
          </cell>
          <cell r="BJ117">
            <v>121.54218079445099</v>
          </cell>
          <cell r="BK117">
            <v>124.4704960279974</v>
          </cell>
        </row>
        <row r="118">
          <cell r="E118">
            <v>7.5149634401147939E-4</v>
          </cell>
          <cell r="F118">
            <v>8.1621828861547902E-4</v>
          </cell>
          <cell r="G118">
            <v>8.8887470978884977E-4</v>
          </cell>
          <cell r="H118">
            <v>9.5729545499605552E-4</v>
          </cell>
          <cell r="I118">
            <v>1.0093099171676948E-3</v>
          </cell>
          <cell r="J118">
            <v>9.9526932714625346E-4</v>
          </cell>
          <cell r="K118">
            <v>1.0821645049391216E-3</v>
          </cell>
          <cell r="L118">
            <v>1.0638956472308685E-3</v>
          </cell>
          <cell r="M118">
            <v>1.049008569202681E-3</v>
          </cell>
          <cell r="N118">
            <v>1.0657534886452031E-3</v>
          </cell>
          <cell r="O118">
            <v>1.3659372633994158E-3</v>
          </cell>
          <cell r="P118">
            <v>1.5630489652367044E-3</v>
          </cell>
          <cell r="Q118">
            <v>1.8222596348513667E-3</v>
          </cell>
          <cell r="R118">
            <v>2.2275264558649205E-3</v>
          </cell>
          <cell r="S118">
            <v>3.0183142058955322E-3</v>
          </cell>
          <cell r="T118">
            <v>4.1220465978127965E-3</v>
          </cell>
          <cell r="U118">
            <v>5.4152324963641276E-3</v>
          </cell>
          <cell r="V118">
            <v>7.6658980070733757E-3</v>
          </cell>
          <cell r="W118">
            <v>1.1969801550508981E-2</v>
          </cell>
          <cell r="X118">
            <v>2.1169986445487392E-2</v>
          </cell>
          <cell r="Y118">
            <v>4.7710205091831201E-2</v>
          </cell>
          <cell r="Z118">
            <v>0.10716728420579971</v>
          </cell>
          <cell r="AA118">
            <v>0.24353161759004568</v>
          </cell>
          <cell r="AB118">
            <v>0.60863673121090234</v>
          </cell>
          <cell r="AC118">
            <v>2.9504901932755825</v>
          </cell>
          <cell r="AD118">
            <v>10.755619538237999</v>
          </cell>
          <cell r="AE118">
            <v>16.150631082383697</v>
          </cell>
          <cell r="AF118">
            <v>19.409646169106683</v>
          </cell>
          <cell r="AG118">
            <v>23.12954908461445</v>
          </cell>
          <cell r="AH118">
            <v>27.455437782123106</v>
          </cell>
          <cell r="AI118">
            <v>31.829656281403988</v>
          </cell>
          <cell r="AJ118">
            <v>38.23689277089855</v>
          </cell>
          <cell r="AK118">
            <v>42.847546160611614</v>
          </cell>
          <cell r="AL118">
            <v>47.599445096346052</v>
          </cell>
          <cell r="AM118">
            <v>53.567429968399068</v>
          </cell>
          <cell r="AN118">
            <v>58.425607728363715</v>
          </cell>
          <cell r="AO118">
            <v>64.49579435902389</v>
          </cell>
          <cell r="AP118">
            <v>69.976313167375352</v>
          </cell>
          <cell r="AQ118">
            <v>75.169479635430164</v>
          </cell>
          <cell r="AR118">
            <v>80.147515011688441</v>
          </cell>
          <cell r="AS118">
            <v>82.822139366287729</v>
          </cell>
          <cell r="AT118">
            <v>84.364388816098398</v>
          </cell>
          <cell r="AU118">
            <v>88.02383458208331</v>
          </cell>
          <cell r="AV118">
            <v>87.819705661276288</v>
          </cell>
          <cell r="AW118">
            <v>88.489690918784959</v>
          </cell>
          <cell r="AX118">
            <v>89.689359707585865</v>
          </cell>
          <cell r="AY118">
            <v>91.179030702360535</v>
          </cell>
          <cell r="AZ118">
            <v>92.26191995178111</v>
          </cell>
          <cell r="BA118">
            <v>94.638130352800218</v>
          </cell>
          <cell r="BB118">
            <v>98.486097587588347</v>
          </cell>
          <cell r="BC118">
            <v>100</v>
          </cell>
          <cell r="BD118">
            <v>102.08396491431817</v>
          </cell>
          <cell r="BE118">
            <v>105.96707850852339</v>
          </cell>
          <cell r="BF118">
            <v>108.41303644728168</v>
          </cell>
          <cell r="BG118">
            <v>109.42982505581791</v>
          </cell>
          <cell r="BH118">
            <v>112.33647032095429</v>
          </cell>
          <cell r="BI118">
            <v>113.43746602631622</v>
          </cell>
          <cell r="BJ118">
            <v>113.68472777864471</v>
          </cell>
          <cell r="BK118">
            <v>114.87120276397947</v>
          </cell>
        </row>
        <row r="119">
          <cell r="E119">
            <v>3.1595165461604386</v>
          </cell>
          <cell r="F119">
            <v>3.2474193163801193</v>
          </cell>
          <cell r="G119">
            <v>3.4355660208081598</v>
          </cell>
          <cell r="H119">
            <v>3.7261413816296947</v>
          </cell>
          <cell r="I119">
            <v>3.9679608007505833</v>
          </cell>
          <cell r="J119">
            <v>4.1344977105233358</v>
          </cell>
          <cell r="K119">
            <v>4.2267960838543503</v>
          </cell>
          <cell r="L119">
            <v>4.3441006217860254</v>
          </cell>
          <cell r="M119">
            <v>4.4194469240720586</v>
          </cell>
          <cell r="N119">
            <v>4.5984927135972606</v>
          </cell>
          <cell r="O119">
            <v>5.0856139568174203</v>
          </cell>
          <cell r="P119">
            <v>5.450702026663552</v>
          </cell>
          <cell r="Q119">
            <v>5.7577386090970872</v>
          </cell>
          <cell r="R119">
            <v>6.4911957792935073</v>
          </cell>
          <cell r="S119">
            <v>7.805427935241803</v>
          </cell>
          <cell r="T119">
            <v>9.1310306650393827</v>
          </cell>
          <cell r="U119">
            <v>10.724786012734421</v>
          </cell>
          <cell r="V119">
            <v>12.706421591311942</v>
          </cell>
          <cell r="W119">
            <v>14.478328781401251</v>
          </cell>
          <cell r="X119">
            <v>16.71537930976784</v>
          </cell>
          <cell r="Y119">
            <v>20.194818351761885</v>
          </cell>
          <cell r="Z119">
            <v>23.988864506899667</v>
          </cell>
          <cell r="AA119">
            <v>28.19673927087733</v>
          </cell>
          <cell r="AB119">
            <v>32.453527458046196</v>
          </cell>
          <cell r="AC119">
            <v>35.946125828677332</v>
          </cell>
          <cell r="AD119">
            <v>39.244054346342296</v>
          </cell>
          <cell r="AE119">
            <v>42.182813098676576</v>
          </cell>
          <cell r="AF119">
            <v>44.717697698704242</v>
          </cell>
          <cell r="AG119">
            <v>47.691604644211779</v>
          </cell>
          <cell r="AH119">
            <v>50.647238362573354</v>
          </cell>
          <cell r="AI119">
            <v>55.16196530485611</v>
          </cell>
          <cell r="AJ119">
            <v>59.343975210612001</v>
          </cell>
          <cell r="AK119">
            <v>61.936188641810041</v>
          </cell>
          <cell r="AL119">
            <v>64.342999103428639</v>
          </cell>
          <cell r="AM119">
            <v>66.622332837792328</v>
          </cell>
          <cell r="AN119">
            <v>69.903645603976614</v>
          </cell>
          <cell r="AO119">
            <v>73.086967598580813</v>
          </cell>
          <cell r="AP119">
            <v>74.988674663115944</v>
          </cell>
          <cell r="AQ119">
            <v>76.885744753705168</v>
          </cell>
          <cell r="AR119">
            <v>78.131812523876548</v>
          </cell>
          <cell r="AS119">
            <v>79.667352597246889</v>
          </cell>
          <cell r="AT119">
            <v>82.046313279304513</v>
          </cell>
          <cell r="AU119">
            <v>84.798309520960586</v>
          </cell>
          <cell r="AV119">
            <v>87.496025366185364</v>
          </cell>
          <cell r="AW119">
            <v>89.704185336939432</v>
          </cell>
          <cell r="AX119">
            <v>91.398009769854824</v>
          </cell>
          <cell r="AY119">
            <v>93.133520758365876</v>
          </cell>
          <cell r="AZ119">
            <v>95.400959444343542</v>
          </cell>
          <cell r="BA119">
            <v>97.76745404126244</v>
          </cell>
          <cell r="BB119">
            <v>99.681571006781908</v>
          </cell>
          <cell r="BC119">
            <v>100</v>
          </cell>
          <cell r="BD119">
            <v>101.46839087315296</v>
          </cell>
          <cell r="BE119">
            <v>102.86880954873835</v>
          </cell>
          <cell r="BF119">
            <v>104.11551754869134</v>
          </cell>
          <cell r="BG119">
            <v>105.11388832034349</v>
          </cell>
          <cell r="BH119">
            <v>106.0946763839743</v>
          </cell>
          <cell r="BI119">
            <v>107.31742261988985</v>
          </cell>
          <cell r="BJ119">
            <v>107.8856350056348</v>
          </cell>
          <cell r="BK119">
            <v>108.80054587858325</v>
          </cell>
        </row>
        <row r="120">
          <cell r="K120">
            <v>0.1850506524300074</v>
          </cell>
          <cell r="L120">
            <v>0.1929000960486098</v>
          </cell>
          <cell r="M120">
            <v>0.19817555133319883</v>
          </cell>
          <cell r="N120">
            <v>0.20631196692388093</v>
          </cell>
          <cell r="O120">
            <v>0.21709367727503753</v>
          </cell>
          <cell r="P120">
            <v>0.23212184629589841</v>
          </cell>
          <cell r="Q120">
            <v>0.22073438280382837</v>
          </cell>
          <cell r="R120">
            <v>0.27911540732118273</v>
          </cell>
          <cell r="S120">
            <v>0.36588166631458602</v>
          </cell>
          <cell r="T120">
            <v>0.44177540990573583</v>
          </cell>
          <cell r="U120">
            <v>0.4909500055330836</v>
          </cell>
          <cell r="V120">
            <v>0.55225246098041669</v>
          </cell>
          <cell r="W120">
            <v>0.69901412740132085</v>
          </cell>
          <cell r="X120">
            <v>0.80901758627389342</v>
          </cell>
          <cell r="Y120">
            <v>0.9569708097035039</v>
          </cell>
          <cell r="Z120">
            <v>1.0366323411501903</v>
          </cell>
          <cell r="AA120">
            <v>1.1228261270890425</v>
          </cell>
          <cell r="AB120">
            <v>1.3132641394101157</v>
          </cell>
          <cell r="AC120">
            <v>1.7849780559893318</v>
          </cell>
          <cell r="AD120">
            <v>2.294211703676913</v>
          </cell>
          <cell r="AE120">
            <v>2.910462712488401</v>
          </cell>
          <cell r="AF120">
            <v>3.2254502921345325</v>
          </cell>
          <cell r="AG120">
            <v>3.6142969245813674</v>
          </cell>
          <cell r="AH120">
            <v>4.061357308955464</v>
          </cell>
          <cell r="AI120">
            <v>5.0814527245571721</v>
          </cell>
          <cell r="AJ120">
            <v>7.3092778442997979</v>
          </cell>
          <cell r="AK120">
            <v>11.697456439818586</v>
          </cell>
          <cell r="AL120">
            <v>17.874462038246971</v>
          </cell>
          <cell r="AM120">
            <v>23.434715010189532</v>
          </cell>
          <cell r="AN120">
            <v>29.337182090843939</v>
          </cell>
          <cell r="AO120">
            <v>34.873726728878374</v>
          </cell>
          <cell r="AP120">
            <v>38.224638230158689</v>
          </cell>
          <cell r="AQ120">
            <v>42.266921416081651</v>
          </cell>
          <cell r="AR120">
            <v>45.190127404753774</v>
          </cell>
          <cell r="AS120">
            <v>49.974442458771122</v>
          </cell>
          <cell r="AT120">
            <v>53.876131787593451</v>
          </cell>
          <cell r="AU120">
            <v>58.770157938580603</v>
          </cell>
          <cell r="AV120">
            <v>65.601633486095324</v>
          </cell>
          <cell r="AW120">
            <v>74.037084823962317</v>
          </cell>
          <cell r="AX120">
            <v>82.528208449910963</v>
          </cell>
          <cell r="AY120">
            <v>89.830463557426597</v>
          </cell>
          <cell r="AZ120">
            <v>100</v>
          </cell>
          <cell r="BA120">
            <v>113.54680952548999</v>
          </cell>
          <cell r="BB120">
            <v>126.7709329944261</v>
          </cell>
          <cell r="BC120">
            <v>139.20845021778848</v>
          </cell>
          <cell r="BD120">
            <v>147.28391192657065</v>
          </cell>
          <cell r="BE120">
            <v>156.96529416823535</v>
          </cell>
          <cell r="BF120">
            <v>170.17931463967122</v>
          </cell>
          <cell r="BG120">
            <v>181.97826764367059</v>
          </cell>
          <cell r="BH120">
            <v>194.10924548651158</v>
          </cell>
          <cell r="BI120">
            <v>203.18650951614484</v>
          </cell>
          <cell r="BJ120">
            <v>216.79349974747649</v>
          </cell>
          <cell r="BK120">
            <v>227.23334279411614</v>
          </cell>
        </row>
        <row r="121">
          <cell r="T121">
            <v>14.067532873120548</v>
          </cell>
          <cell r="U121">
            <v>14.72784759871241</v>
          </cell>
          <cell r="V121">
            <v>16.828178695553845</v>
          </cell>
          <cell r="W121">
            <v>16.022185952589158</v>
          </cell>
          <cell r="X121">
            <v>18.13694398552866</v>
          </cell>
          <cell r="Y121">
            <v>18.06729245314078</v>
          </cell>
          <cell r="Z121">
            <v>21.460622718884387</v>
          </cell>
          <cell r="AA121">
            <v>22.760288419487576</v>
          </cell>
          <cell r="AB121">
            <v>24.165077554828702</v>
          </cell>
          <cell r="AC121">
            <v>23.775720165831359</v>
          </cell>
          <cell r="AD121">
            <v>23.713844896527391</v>
          </cell>
          <cell r="AE121">
            <v>25.194841132909861</v>
          </cell>
          <cell r="AF121">
            <v>24.991693032551719</v>
          </cell>
          <cell r="AG121">
            <v>26.162411256459539</v>
          </cell>
          <cell r="AH121">
            <v>31.204053005129811</v>
          </cell>
          <cell r="AI121">
            <v>35.179748901026919</v>
          </cell>
          <cell r="AJ121">
            <v>37.0148195031326</v>
          </cell>
          <cell r="AK121">
            <v>38.074989664594398</v>
          </cell>
          <cell r="AL121">
            <v>39.147747618383214</v>
          </cell>
          <cell r="AM121">
            <v>41.838891558377014</v>
          </cell>
          <cell r="AN121">
            <v>42.62239846871185</v>
          </cell>
          <cell r="AO121">
            <v>43.500900145694068</v>
          </cell>
          <cell r="AP121">
            <v>44.039661646418494</v>
          </cell>
          <cell r="AQ121">
            <v>46.690327890532537</v>
          </cell>
          <cell r="AR121">
            <v>46.502073241711187</v>
          </cell>
          <cell r="AS121">
            <v>46.312500509565695</v>
          </cell>
          <cell r="AT121">
            <v>46.673997926920862</v>
          </cell>
          <cell r="AU121">
            <v>47.104446651317375</v>
          </cell>
          <cell r="AV121">
            <v>48.116633564335721</v>
          </cell>
          <cell r="AW121">
            <v>49.604307560057123</v>
          </cell>
          <cell r="AX121">
            <v>50.599673164820594</v>
          </cell>
          <cell r="AY121">
            <v>55.989365791855285</v>
          </cell>
          <cell r="AZ121">
            <v>58.817187443182526</v>
          </cell>
          <cell r="BA121">
            <v>71.2246478142836</v>
          </cell>
          <cell r="BB121">
            <v>72.863296926640629</v>
          </cell>
          <cell r="BC121">
            <v>78.871841854397644</v>
          </cell>
          <cell r="BD121">
            <v>83.776991657822236</v>
          </cell>
          <cell r="BE121">
            <v>87.350443947912893</v>
          </cell>
          <cell r="BF121">
            <v>92.380140385356228</v>
          </cell>
          <cell r="BG121">
            <v>96.06824912052781</v>
          </cell>
          <cell r="BH121">
            <v>98.669780005652427</v>
          </cell>
          <cell r="BI121">
            <v>100.00143731853855</v>
          </cell>
          <cell r="BJ121">
            <v>101.70523322917546</v>
          </cell>
          <cell r="BK121">
            <v>103.50157750484988</v>
          </cell>
        </row>
        <row r="122">
          <cell r="E122">
            <v>22.822009100797796</v>
          </cell>
          <cell r="F122">
            <v>24.598866283715989</v>
          </cell>
          <cell r="G122">
            <v>25.631914754546131</v>
          </cell>
          <cell r="H122">
            <v>27.044353486362109</v>
          </cell>
          <cell r="I122">
            <v>28.485467541762578</v>
          </cell>
          <cell r="J122">
            <v>29.948725356245159</v>
          </cell>
          <cell r="K122">
            <v>31.437437304914528</v>
          </cell>
          <cell r="L122">
            <v>33.165047114744276</v>
          </cell>
          <cell r="M122">
            <v>34.796390406494254</v>
          </cell>
          <cell r="N122">
            <v>36.339053128058083</v>
          </cell>
          <cell r="O122">
            <v>44.687112281717283</v>
          </cell>
          <cell r="P122">
            <v>46.96229043868798</v>
          </cell>
          <cell r="Q122">
            <v>49.594255197294558</v>
          </cell>
          <cell r="R122">
            <v>55.895401792746334</v>
          </cell>
          <cell r="S122">
            <v>67.527263090518858</v>
          </cell>
          <cell r="T122">
            <v>72.373992458452278</v>
          </cell>
          <cell r="U122">
            <v>78.169619619614807</v>
          </cell>
          <cell r="V122">
            <v>83.445370600367625</v>
          </cell>
          <cell r="W122">
            <v>87.286993767135968</v>
          </cell>
          <cell r="X122">
            <v>89.688809772678994</v>
          </cell>
          <cell r="Y122">
            <v>94.56607280509823</v>
          </cell>
          <cell r="Z122">
            <v>97.33386341951929</v>
          </cell>
          <cell r="AA122">
            <v>99.032308893944048</v>
          </cell>
          <cell r="AB122">
            <v>99.968817481893922</v>
          </cell>
          <cell r="AC122">
            <v>101.44173987448539</v>
          </cell>
          <cell r="AD122">
            <v>102.72005751756461</v>
          </cell>
          <cell r="AE122">
            <v>104.37611249468046</v>
          </cell>
          <cell r="AF122">
            <v>104.2113089772982</v>
          </cell>
          <cell r="AG122">
            <v>104.86293544608212</v>
          </cell>
          <cell r="AH122">
            <v>107.07437942144766</v>
          </cell>
          <cell r="AI122">
            <v>109.86399377323093</v>
          </cell>
          <cell r="AJ122">
            <v>113.08064455878626</v>
          </cell>
          <cell r="AK122">
            <v>114.96529037486994</v>
          </cell>
          <cell r="AL122">
            <v>115.618722460369</v>
          </cell>
          <cell r="AM122">
            <v>115.92570756751969</v>
          </cell>
          <cell r="AN122">
            <v>115.30729063869782</v>
          </cell>
          <cell r="AO122">
            <v>114.73480484712744</v>
          </cell>
          <cell r="AP122">
            <v>115.31287336731626</v>
          </cell>
          <cell r="AQ122">
            <v>115.26084464449093</v>
          </cell>
          <cell r="AR122">
            <v>113.7515126281194</v>
          </cell>
          <cell r="AS122">
            <v>112.17754940602109</v>
          </cell>
          <cell r="AT122">
            <v>110.93852941968679</v>
          </cell>
          <cell r="AU122">
            <v>109.32072832856608</v>
          </cell>
          <cell r="AV122">
            <v>107.55303276557196</v>
          </cell>
          <cell r="AW122">
            <v>106.36915794691846</v>
          </cell>
          <cell r="AX122">
            <v>105.26564744311557</v>
          </cell>
          <cell r="AY122">
            <v>104.33575408507181</v>
          </cell>
          <cell r="AZ122">
            <v>103.57464586486813</v>
          </cell>
          <cell r="BA122">
            <v>102.55868691858645</v>
          </cell>
          <cell r="BB122">
            <v>101.93177380815305</v>
          </cell>
          <cell r="BC122">
            <v>100</v>
          </cell>
          <cell r="BD122">
            <v>98.32567422563892</v>
          </cell>
          <cell r="BE122">
            <v>97.576870160869944</v>
          </cell>
          <cell r="BF122">
            <v>97.251766460452586</v>
          </cell>
          <cell r="BG122">
            <v>98.949115346862044</v>
          </cell>
          <cell r="BH122">
            <v>101.0719664799619</v>
          </cell>
          <cell r="BI122">
            <v>101.34241528187403</v>
          </cell>
          <cell r="BJ122">
            <v>101.11937605502668</v>
          </cell>
          <cell r="BK122">
            <v>101.02496436738357</v>
          </cell>
          <cell r="BN122" t="str">
            <v>Japan</v>
          </cell>
        </row>
        <row r="123">
          <cell r="AI123">
            <v>1.3885077208645176E-3</v>
          </cell>
          <cell r="AJ123">
            <v>2.7264251092000251E-3</v>
          </cell>
          <cell r="AK123">
            <v>4.2865301493452232E-2</v>
          </cell>
          <cell r="AL123">
            <v>0.57587888950997335</v>
          </cell>
          <cell r="AM123">
            <v>9.4831521009408828</v>
          </cell>
          <cell r="AN123">
            <v>24.740469724569746</v>
          </cell>
          <cell r="AO123">
            <v>34.364421191350495</v>
          </cell>
          <cell r="AP123">
            <v>39.909371403840716</v>
          </cell>
          <cell r="AQ123">
            <v>42.169377136381883</v>
          </cell>
          <cell r="AR123">
            <v>47.769529719006258</v>
          </cell>
          <cell r="AS123">
            <v>56.094040325406866</v>
          </cell>
          <cell r="AT123">
            <v>61.79119374513472</v>
          </cell>
          <cell r="AU123">
            <v>65.377075190231864</v>
          </cell>
          <cell r="AV123">
            <v>73.051379275201029</v>
          </cell>
          <cell r="AW123">
            <v>84.835755294426093</v>
          </cell>
          <cell r="AX123">
            <v>100</v>
          </cell>
          <cell r="AY123">
            <v>121.55170890955789</v>
          </cell>
          <cell r="AZ123">
            <v>140.42516101599119</v>
          </cell>
          <cell r="BA123">
            <v>169.82532851141531</v>
          </cell>
          <cell r="BB123">
            <v>177.79197914813594</v>
          </cell>
          <cell r="BC123">
            <v>212.53659512695856</v>
          </cell>
          <cell r="BD123">
            <v>256.19789916630577</v>
          </cell>
          <cell r="BE123">
            <v>268.45842847229136</v>
          </cell>
          <cell r="BF123">
            <v>293.95951322593845</v>
          </cell>
          <cell r="BG123">
            <v>310.92462085700458</v>
          </cell>
          <cell r="BH123">
            <v>316.59448639765151</v>
          </cell>
          <cell r="BI123">
            <v>359.77301525891721</v>
          </cell>
          <cell r="BJ123">
            <v>390.70742790024724</v>
          </cell>
          <cell r="BK123">
            <v>415.49701330147701</v>
          </cell>
          <cell r="BN123" t="str">
            <v>Kazakhstan</v>
          </cell>
        </row>
        <row r="124">
          <cell r="E124">
            <v>1.6686690380948599</v>
          </cell>
          <cell r="F124">
            <v>1.8132120977232034</v>
          </cell>
          <cell r="G124">
            <v>1.813544063049868</v>
          </cell>
          <cell r="H124">
            <v>1.7794980982293607</v>
          </cell>
          <cell r="I124">
            <v>1.827379588379267</v>
          </cell>
          <cell r="J124">
            <v>1.7898822380299246</v>
          </cell>
          <cell r="K124">
            <v>1.8205570405552194</v>
          </cell>
          <cell r="L124">
            <v>1.8642651403587185</v>
          </cell>
          <cell r="M124">
            <v>1.8955631850657719</v>
          </cell>
          <cell r="N124">
            <v>1.8921536986898764</v>
          </cell>
          <cell r="O124">
            <v>2.1819495461777936</v>
          </cell>
          <cell r="P124">
            <v>1.9807921718599371</v>
          </cell>
          <cell r="Q124">
            <v>2.0046655874621662</v>
          </cell>
          <cell r="R124">
            <v>2.2092184861408377</v>
          </cell>
          <cell r="S124">
            <v>2.563781974685809</v>
          </cell>
          <cell r="T124">
            <v>2.8672083562156092</v>
          </cell>
          <cell r="U124">
            <v>3.4092876959033616</v>
          </cell>
          <cell r="V124">
            <v>3.9854512007121237</v>
          </cell>
          <cell r="W124">
            <v>4.1082427747717514</v>
          </cell>
          <cell r="X124">
            <v>4.3398919622821293</v>
          </cell>
          <cell r="Y124">
            <v>4.7543828934542054</v>
          </cell>
          <cell r="Z124">
            <v>5.2703797423604986</v>
          </cell>
          <cell r="AA124">
            <v>5.881351347070531</v>
          </cell>
          <cell r="AB124">
            <v>6.5775879243013975</v>
          </cell>
          <cell r="AC124">
            <v>7.2478914908123917</v>
          </cell>
          <cell r="AD124">
            <v>7.8498856080240529</v>
          </cell>
          <cell r="AE124">
            <v>8.5337459443958199</v>
          </cell>
          <cell r="AF124">
            <v>8.9947348111071825</v>
          </cell>
          <cell r="AG124">
            <v>9.5754010956860292</v>
          </cell>
          <cell r="AH124">
            <v>10.510822926161243</v>
          </cell>
          <cell r="AI124">
            <v>11.628880049385932</v>
          </cell>
          <cell r="AJ124">
            <v>13.086206866209229</v>
          </cell>
          <cell r="AK124">
            <v>15.559138010488279</v>
          </cell>
          <cell r="AL124">
            <v>19.557600542336512</v>
          </cell>
          <cell r="AM124">
            <v>22.885602972886787</v>
          </cell>
          <cell r="AN124">
            <v>25.453612695006651</v>
          </cell>
          <cell r="AO124">
            <v>36.141272581615844</v>
          </cell>
          <cell r="AP124">
            <v>40.27410528672425</v>
          </cell>
          <cell r="AQ124">
            <v>43.065665695188088</v>
          </cell>
          <cell r="AR124">
            <v>44.871813465213435</v>
          </cell>
          <cell r="AS124">
            <v>47.59995173789072</v>
          </cell>
          <cell r="AT124">
            <v>48.348756240829061</v>
          </cell>
          <cell r="AU124">
            <v>48.799949520362759</v>
          </cell>
          <cell r="AV124">
            <v>51.824235252374841</v>
          </cell>
          <cell r="AW124">
            <v>55.517666386251186</v>
          </cell>
          <cell r="AX124">
            <v>58.237837571189431</v>
          </cell>
          <cell r="AY124">
            <v>71.941278355231418</v>
          </cell>
          <cell r="AZ124">
            <v>77.789734216325968</v>
          </cell>
          <cell r="BA124">
            <v>89.575792950914106</v>
          </cell>
          <cell r="BB124">
            <v>100</v>
          </cell>
          <cell r="BC124">
            <v>102.09167565659205</v>
          </cell>
          <cell r="BD124">
            <v>113.11137191995451</v>
          </cell>
          <cell r="BE124">
            <v>123.72097049900417</v>
          </cell>
          <cell r="BF124">
            <v>130.11579126038814</v>
          </cell>
          <cell r="BG124">
            <v>140.6139048369887</v>
          </cell>
          <cell r="BH124">
            <v>154.71042260971814</v>
          </cell>
          <cell r="BI124">
            <v>163.29819417963483</v>
          </cell>
          <cell r="BJ124">
            <v>180.59190094643444</v>
          </cell>
          <cell r="BK124">
            <v>185.7204356728235</v>
          </cell>
        </row>
        <row r="125">
          <cell r="AF125">
            <v>0.11857845887802559</v>
          </cell>
          <cell r="AG125">
            <v>0.11635237779612977</v>
          </cell>
          <cell r="AH125">
            <v>0.12448079062231431</v>
          </cell>
          <cell r="AI125">
            <v>0.13440900356422217</v>
          </cell>
          <cell r="AJ125">
            <v>0.31523614537311484</v>
          </cell>
          <cell r="AK125">
            <v>2.9337842635864702</v>
          </cell>
          <cell r="AL125">
            <v>25.067071866869512</v>
          </cell>
          <cell r="AM125">
            <v>70.407120304318198</v>
          </cell>
          <cell r="AN125">
            <v>100</v>
          </cell>
          <cell r="AO125">
            <v>135.34290787730856</v>
          </cell>
          <cell r="AP125">
            <v>161.47713821888277</v>
          </cell>
          <cell r="AQ125">
            <v>176.13523540259794</v>
          </cell>
          <cell r="AR125">
            <v>242.3170641631267</v>
          </cell>
          <cell r="AS125">
            <v>308.18423439967233</v>
          </cell>
          <cell r="AT125">
            <v>330.78151360632802</v>
          </cell>
          <cell r="AU125">
            <v>337.48137916342171</v>
          </cell>
          <cell r="AV125">
            <v>350.89607995180552</v>
          </cell>
          <cell r="AW125">
            <v>368.82124720480715</v>
          </cell>
          <cell r="AX125">
            <v>395.11325069352125</v>
          </cell>
          <cell r="AY125">
            <v>432.22077726748597</v>
          </cell>
          <cell r="AZ125">
            <v>496.52032635301919</v>
          </cell>
          <cell r="BA125">
            <v>606.82722502651427</v>
          </cell>
          <cell r="BB125">
            <v>631.31454670347148</v>
          </cell>
          <cell r="BC125">
            <v>694.66004111598579</v>
          </cell>
          <cell r="BD125">
            <v>850.83241505877277</v>
          </cell>
          <cell r="BE125">
            <v>925.5192691997662</v>
          </cell>
          <cell r="BF125">
            <v>955.03944720625623</v>
          </cell>
          <cell r="BG125">
            <v>1035.6474946429746</v>
          </cell>
          <cell r="BH125">
            <v>1070.8928877030623</v>
          </cell>
          <cell r="BI125">
            <v>1136.0783733297371</v>
          </cell>
          <cell r="BJ125">
            <v>1208.4204785339582</v>
          </cell>
          <cell r="BK125">
            <v>1226.1843211124324</v>
          </cell>
        </row>
        <row r="126">
          <cell r="AL126">
            <v>49.544716047564634</v>
          </cell>
          <cell r="AM126">
            <v>79.254350385488607</v>
          </cell>
          <cell r="AN126">
            <v>85.598011375792453</v>
          </cell>
          <cell r="AO126">
            <v>88.193772774090121</v>
          </cell>
          <cell r="AP126">
            <v>93.489875714615124</v>
          </cell>
          <cell r="AQ126">
            <v>103.17331147153996</v>
          </cell>
          <cell r="AR126">
            <v>104.47489674250383</v>
          </cell>
          <cell r="AS126">
            <v>100</v>
          </cell>
          <cell r="AT126">
            <v>102.64654100410749</v>
          </cell>
          <cell r="AU126">
            <v>103.37855581081376</v>
          </cell>
          <cell r="AV126">
            <v>105.23680354237457</v>
          </cell>
          <cell r="AW126">
            <v>110.31315118577854</v>
          </cell>
          <cell r="AX126">
            <v>117.01652708549534</v>
          </cell>
          <cell r="AY126">
            <v>122.43569046918088</v>
          </cell>
          <cell r="AZ126">
            <v>130.41608979742065</v>
          </cell>
          <cell r="BA126">
            <v>146.39699914235896</v>
          </cell>
          <cell r="BB126">
            <v>150.06334313482455</v>
          </cell>
          <cell r="BC126">
            <v>154.74620912063287</v>
          </cell>
          <cell r="BD126">
            <v>159.95197411463434</v>
          </cell>
          <cell r="BE126">
            <v>162.25611129673973</v>
          </cell>
          <cell r="BF126">
            <v>163.52396035248236</v>
          </cell>
          <cell r="BG126">
            <v>167.82823129747277</v>
          </cell>
          <cell r="BH126">
            <v>170.71365289097042</v>
          </cell>
          <cell r="BI126">
            <v>176.48521849357459</v>
          </cell>
          <cell r="BJ126">
            <v>182.35077189273724</v>
          </cell>
          <cell r="BK126">
            <v>187.93553519784118</v>
          </cell>
        </row>
        <row r="127">
          <cell r="O127">
            <v>11.181884125652603</v>
          </cell>
          <cell r="P127">
            <v>11.977294330372137</v>
          </cell>
          <cell r="Q127">
            <v>12.603431111153624</v>
          </cell>
          <cell r="R127">
            <v>14.652154709244449</v>
          </cell>
          <cell r="S127">
            <v>16.555420051249666</v>
          </cell>
          <cell r="T127">
            <v>18.121726562065955</v>
          </cell>
          <cell r="U127">
            <v>19.783871204881276</v>
          </cell>
          <cell r="V127">
            <v>21.543913688705459</v>
          </cell>
          <cell r="W127">
            <v>24.098164329958166</v>
          </cell>
          <cell r="X127">
            <v>26.309034553378474</v>
          </cell>
          <cell r="Y127">
            <v>28.099173553719009</v>
          </cell>
          <cell r="Z127">
            <v>30.76923076923077</v>
          </cell>
          <cell r="AA127">
            <v>32</v>
          </cell>
          <cell r="AB127">
            <v>33.870967741935488</v>
          </cell>
          <cell r="AC127">
            <v>36.153846153846153</v>
          </cell>
          <cell r="AD127">
            <v>38.016528925619831</v>
          </cell>
          <cell r="AE127">
            <v>40</v>
          </cell>
          <cell r="AF127">
            <v>44.036697247706428</v>
          </cell>
          <cell r="AG127">
            <v>46.218487394957982</v>
          </cell>
          <cell r="AH127">
            <v>45.217391304347828</v>
          </cell>
          <cell r="AI127">
            <v>44.736842105263165</v>
          </cell>
          <cell r="AJ127">
            <v>53.508771929824562</v>
          </cell>
          <cell r="AK127">
            <v>56.521739130434781</v>
          </cell>
          <cell r="AL127">
            <v>59.482758620689658</v>
          </cell>
          <cell r="AM127">
            <v>63.559322033898304</v>
          </cell>
          <cell r="AN127">
            <v>64.406779661016941</v>
          </cell>
          <cell r="AO127">
            <v>70.833333333333343</v>
          </cell>
          <cell r="AP127">
            <v>74.590163934426229</v>
          </cell>
          <cell r="AQ127">
            <v>80</v>
          </cell>
          <cell r="AR127">
            <v>83.59375</v>
          </cell>
          <cell r="AS127">
            <v>85.294117647058826</v>
          </cell>
          <cell r="AT127">
            <v>91.044776119402997</v>
          </cell>
          <cell r="AU127">
            <v>95.548882906513882</v>
          </cell>
          <cell r="AV127">
            <v>98.070707818320884</v>
          </cell>
          <cell r="AW127">
            <v>99.745403213093141</v>
          </cell>
          <cell r="AX127">
            <v>100.25617181536511</v>
          </cell>
          <cell r="AY127">
            <v>100</v>
          </cell>
          <cell r="AZ127">
            <v>106.14911863748652</v>
          </cell>
          <cell r="BA127">
            <v>114.97740124583753</v>
          </cell>
          <cell r="BB127">
            <v>115.17287225022213</v>
          </cell>
          <cell r="BC127">
            <v>116.53030624610601</v>
          </cell>
          <cell r="BD127">
            <v>118.71782084804703</v>
          </cell>
          <cell r="BE127">
            <v>118.24857448095656</v>
          </cell>
          <cell r="BF127">
            <v>118.4090754704164</v>
          </cell>
          <cell r="BG127">
            <v>123.98119414680258</v>
          </cell>
          <cell r="BH127">
            <v>128.30009068736521</v>
          </cell>
          <cell r="BI127">
            <v>128.52978996999573</v>
          </cell>
          <cell r="BJ127">
            <v>129.30900973549154</v>
          </cell>
          <cell r="BK127">
            <v>131.93717277486911</v>
          </cell>
        </row>
        <row r="128">
          <cell r="V128">
            <v>27.278521108399804</v>
          </cell>
          <cell r="W128">
            <v>29.165330623908257</v>
          </cell>
          <cell r="X128">
            <v>32.263974120234465</v>
          </cell>
          <cell r="Y128">
            <v>34.616303985046557</v>
          </cell>
          <cell r="Z128">
            <v>40.279110187666944</v>
          </cell>
          <cell r="AA128">
            <v>42.600425367583775</v>
          </cell>
          <cell r="AB128">
            <v>42.518842322070903</v>
          </cell>
          <cell r="AC128">
            <v>44.32856140525486</v>
          </cell>
          <cell r="AD128">
            <v>45.974844466905722</v>
          </cell>
          <cell r="AE128">
            <v>48.822730577864107</v>
          </cell>
          <cell r="AF128">
            <v>51.804970325865526</v>
          </cell>
          <cell r="AG128">
            <v>55.43625213351222</v>
          </cell>
          <cell r="AH128">
            <v>58.59005364721088</v>
          </cell>
          <cell r="AI128">
            <v>63.044793095937969</v>
          </cell>
          <cell r="AJ128">
            <v>65.212466164847882</v>
          </cell>
          <cell r="AK128">
            <v>68.666982946736638</v>
          </cell>
          <cell r="AL128">
            <v>70.034146702014709</v>
          </cell>
          <cell r="AM128">
            <v>74.427021599596117</v>
          </cell>
          <cell r="AN128">
            <v>75.010164958935448</v>
          </cell>
          <cell r="AO128">
            <v>75.495262118919214</v>
          </cell>
          <cell r="AP128">
            <v>79.205620295963413</v>
          </cell>
          <cell r="AQ128">
            <v>81.423309030811751</v>
          </cell>
          <cell r="AR128">
            <v>83.687654484694292</v>
          </cell>
          <cell r="AS128">
            <v>80.81825201903213</v>
          </cell>
          <cell r="AT128">
            <v>83.999255701166391</v>
          </cell>
          <cell r="AU128">
            <v>85.748121433867752</v>
          </cell>
          <cell r="AV128">
            <v>86.845362134578878</v>
          </cell>
          <cell r="AW128">
            <v>90.91246583680055</v>
          </cell>
          <cell r="AX128">
            <v>90.469054561265622</v>
          </cell>
          <cell r="AY128">
            <v>100.00000001311852</v>
          </cell>
          <cell r="AZ128">
            <v>110.20679739919908</v>
          </cell>
          <cell r="BA128">
            <v>113.41785624122008</v>
          </cell>
          <cell r="BB128">
            <v>113.48034693788243</v>
          </cell>
          <cell r="BC128">
            <v>115.12654183240497</v>
          </cell>
          <cell r="BD128">
            <v>120.77093933429617</v>
          </cell>
          <cell r="BE128">
            <v>118.84552712235153</v>
          </cell>
          <cell r="BF128">
            <v>119.59932570682463</v>
          </cell>
          <cell r="BG128">
            <v>121.71260297542463</v>
          </cell>
          <cell r="BH128">
            <v>121.68339754036876</v>
          </cell>
          <cell r="BI128">
            <v>121.8052831551702</v>
          </cell>
          <cell r="BJ128">
            <v>124.54331199995767</v>
          </cell>
          <cell r="BK128">
            <v>126.74863834684776</v>
          </cell>
        </row>
        <row r="129">
          <cell r="E129">
            <v>0.91485075993407805</v>
          </cell>
          <cell r="F129">
            <v>1.0337785514079536</v>
          </cell>
          <cell r="G129">
            <v>1.2070774733868785</v>
          </cell>
          <cell r="H129">
            <v>1.5669528584423553</v>
          </cell>
          <cell r="I129">
            <v>2.041977040182442</v>
          </cell>
          <cell r="J129">
            <v>2.1413281747064143</v>
          </cell>
          <cell r="K129">
            <v>2.4518159171364888</v>
          </cell>
          <cell r="L129">
            <v>2.768490684565343</v>
          </cell>
          <cell r="M129">
            <v>3.1517664083495829</v>
          </cell>
          <cell r="N129">
            <v>3.5964976463988689</v>
          </cell>
          <cell r="O129">
            <v>4.1312638580931269</v>
          </cell>
          <cell r="P129">
            <v>4.59472769951795</v>
          </cell>
          <cell r="Q129">
            <v>5.320373992391259</v>
          </cell>
          <cell r="R129">
            <v>5.9970023146133888</v>
          </cell>
          <cell r="S129">
            <v>7.830123902352744</v>
          </cell>
          <cell r="T129">
            <v>9.6777313881631546</v>
          </cell>
          <cell r="U129">
            <v>11.738510053296149</v>
          </cell>
          <cell r="V129">
            <v>13.434058122395923</v>
          </cell>
          <cell r="W129">
            <v>16.385532228090831</v>
          </cell>
          <cell r="X129">
            <v>19.422173621593469</v>
          </cell>
          <cell r="Y129">
            <v>24.205868825315058</v>
          </cell>
          <cell r="Z129">
            <v>28.221605171023821</v>
          </cell>
          <cell r="AA129">
            <v>30.049096549500842</v>
          </cell>
          <cell r="AB129">
            <v>31.505795109566893</v>
          </cell>
          <cell r="AC129">
            <v>32.898757289709238</v>
          </cell>
          <cell r="AD129">
            <v>34.212708016493082</v>
          </cell>
          <cell r="AE129">
            <v>35.90824516426121</v>
          </cell>
          <cell r="AF129">
            <v>37.685212762288735</v>
          </cell>
          <cell r="AG129">
            <v>40.363071364775834</v>
          </cell>
          <cell r="AH129">
            <v>42.801759102617901</v>
          </cell>
          <cell r="AI129">
            <v>47.12843140736954</v>
          </cell>
          <cell r="AJ129">
            <v>51.598384982724014</v>
          </cell>
          <cell r="AK129">
            <v>55.593612461615905</v>
          </cell>
          <cell r="AL129">
            <v>59.039233479703135</v>
          </cell>
          <cell r="AM129">
            <v>63.822543806119782</v>
          </cell>
          <cell r="AN129">
            <v>68.252434352753525</v>
          </cell>
          <cell r="AO129">
            <v>71.156853764286538</v>
          </cell>
          <cell r="AP129">
            <v>74.04876452308271</v>
          </cell>
          <cell r="AQ129">
            <v>77.467554134047987</v>
          </cell>
          <cell r="AR129">
            <v>76.549933903068265</v>
          </cell>
          <cell r="AS129">
            <v>77.381908713935587</v>
          </cell>
          <cell r="AT129">
            <v>80.206680850989429</v>
          </cell>
          <cell r="AU129">
            <v>82.661400648108668</v>
          </cell>
          <cell r="AV129">
            <v>85.467806468870776</v>
          </cell>
          <cell r="AW129">
            <v>88.018254456986554</v>
          </cell>
          <cell r="AX129">
            <v>88.926225724195433</v>
          </cell>
          <cell r="AY129">
            <v>88.801871241990355</v>
          </cell>
          <cell r="AZ129">
            <v>90.930657535521732</v>
          </cell>
          <cell r="BA129">
            <v>93.61917062915748</v>
          </cell>
          <cell r="BB129">
            <v>96.935440104285902</v>
          </cell>
          <cell r="BC129">
            <v>100</v>
          </cell>
          <cell r="BD129">
            <v>101.58460367985889</v>
          </cell>
          <cell r="BE129">
            <v>102.64464127830315</v>
          </cell>
          <cell r="BF129">
            <v>103.52054260596107</v>
          </cell>
          <cell r="BG129">
            <v>104.14211935703869</v>
          </cell>
          <cell r="BH129">
            <v>106.63596784893909</v>
          </cell>
          <cell r="BI129">
            <v>108.7451937566029</v>
          </cell>
          <cell r="BJ129">
            <v>111.2084657325122</v>
          </cell>
          <cell r="BK129">
            <v>111.56514361907665</v>
          </cell>
          <cell r="BN129" t="str">
            <v>South Korea</v>
          </cell>
        </row>
        <row r="130">
          <cell r="J130">
            <v>6.045998603140232</v>
          </cell>
          <cell r="K130">
            <v>6.1376789039071404</v>
          </cell>
          <cell r="L130">
            <v>6.1213238668557306</v>
          </cell>
          <cell r="M130">
            <v>6.1047647733991548</v>
          </cell>
          <cell r="N130">
            <v>6.1796590467784069</v>
          </cell>
          <cell r="O130">
            <v>6.2149789749859181</v>
          </cell>
          <cell r="P130">
            <v>7.7715940601305222</v>
          </cell>
          <cell r="Q130">
            <v>7.8868000690525992</v>
          </cell>
          <cell r="R130">
            <v>9.0782741291411835</v>
          </cell>
          <cell r="S130">
            <v>23.858500554333158</v>
          </cell>
          <cell r="T130">
            <v>23.715970499346717</v>
          </cell>
          <cell r="U130">
            <v>23.936968140884751</v>
          </cell>
          <cell r="V130">
            <v>25.28223281631492</v>
          </cell>
          <cell r="W130">
            <v>24.787284231887355</v>
          </cell>
          <cell r="X130">
            <v>34.90173460676958</v>
          </cell>
          <cell r="Y130">
            <v>49.758253059451128</v>
          </cell>
          <cell r="Z130">
            <v>55.457268377058696</v>
          </cell>
          <cell r="AA130">
            <v>56.243016700852962</v>
          </cell>
          <cell r="AB130">
            <v>49.881620283149672</v>
          </cell>
          <cell r="AC130">
            <v>50.055862186308133</v>
          </cell>
          <cell r="AD130">
            <v>52.488334359171077</v>
          </cell>
          <cell r="AE130">
            <v>38.999074774422063</v>
          </cell>
          <cell r="AF130">
            <v>43.205580858905151</v>
          </cell>
          <cell r="AG130">
            <v>44.487042285661857</v>
          </cell>
          <cell r="AH130">
            <v>43.720228834985107</v>
          </cell>
          <cell r="AK130">
            <v>46.36732746082302</v>
          </cell>
          <cell r="AL130">
            <v>42.942441705516728</v>
          </cell>
          <cell r="AM130">
            <v>40.421515913713208</v>
          </cell>
          <cell r="AN130">
            <v>42.382686301784155</v>
          </cell>
          <cell r="AO130">
            <v>48.956776170736369</v>
          </cell>
          <cell r="AP130">
            <v>46.64628818615428</v>
          </cell>
          <cell r="AQ130">
            <v>38.64737096827966</v>
          </cell>
          <cell r="AR130">
            <v>45.63198297581819</v>
          </cell>
          <cell r="AS130">
            <v>54.998618355797902</v>
          </cell>
          <cell r="AT130">
            <v>50.499624435883426</v>
          </cell>
          <cell r="AU130">
            <v>53.101892043321996</v>
          </cell>
          <cell r="AV130">
            <v>55.716928230574467</v>
          </cell>
          <cell r="AW130">
            <v>61.762189394971955</v>
          </cell>
          <cell r="AX130">
            <v>75.57073990125329</v>
          </cell>
          <cell r="AY130">
            <v>87.793099138285271</v>
          </cell>
          <cell r="AZ130">
            <v>91.574162409521648</v>
          </cell>
          <cell r="BA130">
            <v>108.66371821023999</v>
          </cell>
          <cell r="BB130">
            <v>89.955793418583511</v>
          </cell>
          <cell r="BC130">
            <v>100</v>
          </cell>
          <cell r="BD130">
            <v>117.2277817455831</v>
          </cell>
          <cell r="BE130">
            <v>126.00427753826895</v>
          </cell>
          <cell r="BF130">
            <v>126.28568652617906</v>
          </cell>
          <cell r="BG130">
            <v>117.75141004342704</v>
          </cell>
          <cell r="BH130">
            <v>87.185005715673086</v>
          </cell>
          <cell r="BI130">
            <v>81.223370534727053</v>
          </cell>
          <cell r="BJ130">
            <v>92.310433930321651</v>
          </cell>
          <cell r="BK130">
            <v>107.59185869904142</v>
          </cell>
        </row>
        <row r="132">
          <cell r="AC132">
            <v>0.41328372422334769</v>
          </cell>
          <cell r="AD132">
            <v>0.68115227974157133</v>
          </cell>
          <cell r="AE132">
            <v>1.0293263922504039</v>
          </cell>
          <cell r="AF132">
            <v>1.1778346880761443</v>
          </cell>
          <cell r="AG132">
            <v>1.4822949275891368</v>
          </cell>
          <cell r="AH132">
            <v>2.3015077668489772</v>
          </cell>
          <cell r="AI132">
            <v>3.1739490793929557</v>
          </cell>
          <cell r="AJ132">
            <v>3.585666148935839</v>
          </cell>
          <cell r="AK132">
            <v>3.8005852938044273</v>
          </cell>
          <cell r="AL132">
            <v>4.2255887597903374</v>
          </cell>
          <cell r="AM132">
            <v>4.5509842581355766</v>
          </cell>
          <cell r="AN132">
            <v>5.4468620938579004</v>
          </cell>
          <cell r="AO132">
            <v>6.1944554776940519</v>
          </cell>
          <cell r="AP132">
            <v>7.3932570934403401</v>
          </cell>
          <cell r="AQ132">
            <v>13.640888995480568</v>
          </cell>
          <cell r="AR132">
            <v>31.097675695222165</v>
          </cell>
          <cell r="AS132">
            <v>38.809207844381561</v>
          </cell>
          <cell r="AT132">
            <v>42.250837038001642</v>
          </cell>
          <cell r="AU132">
            <v>44.920441279839814</v>
          </cell>
          <cell r="AV132">
            <v>50.962280989242416</v>
          </cell>
          <cell r="AW132">
            <v>56.410367222533267</v>
          </cell>
          <cell r="AX132">
            <v>61.284404862006483</v>
          </cell>
          <cell r="AY132">
            <v>67.906246843316637</v>
          </cell>
          <cell r="AZ132">
            <v>72.957307699146014</v>
          </cell>
          <cell r="BA132">
            <v>79.423842653993788</v>
          </cell>
          <cell r="BB132">
            <v>77.095077184841927</v>
          </cell>
          <cell r="BC132">
            <v>84.185180782280057</v>
          </cell>
          <cell r="BD132">
            <v>92.998289618371643</v>
          </cell>
          <cell r="BE132">
            <v>100</v>
          </cell>
          <cell r="BF132">
            <v>106.4739720842641</v>
          </cell>
          <cell r="BG132">
            <v>112.57126710864458</v>
          </cell>
          <cell r="BH132">
            <v>115.21509933191653</v>
          </cell>
          <cell r="BI132">
            <v>118.69749992691614</v>
          </cell>
          <cell r="BJ132">
            <v>120.94228240975451</v>
          </cell>
          <cell r="BK132">
            <v>122.98039879987445</v>
          </cell>
        </row>
        <row r="133">
          <cell r="AG133">
            <v>7.7726081441775392</v>
          </cell>
          <cell r="AH133">
            <v>13.446336590844854</v>
          </cell>
          <cell r="AI133">
            <v>15.530767302578004</v>
          </cell>
          <cell r="AJ133">
            <v>22.932056942116922</v>
          </cell>
          <cell r="AK133">
            <v>45.27563600336493</v>
          </cell>
          <cell r="AL133">
            <v>56.478194684941187</v>
          </cell>
          <cell r="AM133">
            <v>60.925127934179457</v>
          </cell>
          <cell r="AN133">
            <v>67.431325741027422</v>
          </cell>
          <cell r="AO133">
            <v>68.603356176983326</v>
          </cell>
          <cell r="AP133">
            <v>76.524826014992726</v>
          </cell>
          <cell r="AQ133">
            <v>79.599530977328328</v>
          </cell>
          <cell r="AR133">
            <v>80.246556135133901</v>
          </cell>
          <cell r="AS133">
            <v>78.57102156695835</v>
          </cell>
          <cell r="AT133">
            <v>77.37269441628986</v>
          </cell>
          <cell r="AU133">
            <v>81.180350108121033</v>
          </cell>
          <cell r="AV133">
            <v>82.464016414975248</v>
          </cell>
          <cell r="AW133">
            <v>81.686099697877395</v>
          </cell>
          <cell r="AX133">
            <v>80.796105168334137</v>
          </cell>
          <cell r="AY133">
            <v>81.509829644936204</v>
          </cell>
          <cell r="AZ133">
            <v>84.097199335968241</v>
          </cell>
          <cell r="BA133">
            <v>90.452463571119523</v>
          </cell>
          <cell r="BB133">
            <v>99.763327935122248</v>
          </cell>
          <cell r="BC133">
            <v>100</v>
          </cell>
          <cell r="BD133">
            <v>103.36187064381627</v>
          </cell>
          <cell r="BE133">
            <v>111.05751594796713</v>
          </cell>
          <cell r="BF133">
            <v>114.67233935057402</v>
          </cell>
          <cell r="BG133">
            <v>115.9845827282046</v>
          </cell>
          <cell r="BH133">
            <v>119.51782067102015</v>
          </cell>
          <cell r="BI133">
            <v>120.60719815866941</v>
          </cell>
          <cell r="BJ133">
            <v>124.9891445478207</v>
          </cell>
          <cell r="BK133">
            <v>132.32154306891411</v>
          </cell>
        </row>
        <row r="134">
          <cell r="AS134">
            <v>90.725234061242446</v>
          </cell>
          <cell r="AT134">
            <v>91.378480690546979</v>
          </cell>
          <cell r="AU134">
            <v>90.105826231059922</v>
          </cell>
          <cell r="AV134">
            <v>104.08258368594554</v>
          </cell>
          <cell r="AW134">
            <v>121.62911418614462</v>
          </cell>
          <cell r="AX134">
            <v>122.22511006055616</v>
          </cell>
          <cell r="AY134">
            <v>133.39023378456343</v>
          </cell>
          <cell r="AZ134">
            <v>149.42059525116753</v>
          </cell>
          <cell r="BA134">
            <v>175.30972739438963</v>
          </cell>
          <cell r="BB134">
            <v>170.53632032971382</v>
          </cell>
          <cell r="BC134">
            <v>181.64164775702565</v>
          </cell>
          <cell r="BD134">
            <v>201.48317833916357</v>
          </cell>
          <cell r="BE134">
            <v>211.69922589349946</v>
          </cell>
          <cell r="BF134">
            <v>219.51230335326338</v>
          </cell>
          <cell r="BG134">
            <v>223.45661945813902</v>
          </cell>
          <cell r="BH134">
            <v>225.80206107458895</v>
          </cell>
          <cell r="BI134">
            <v>236.75526656750066</v>
          </cell>
          <cell r="BJ134">
            <v>231.58923211980468</v>
          </cell>
          <cell r="BK134">
            <v>226.25348189415041</v>
          </cell>
        </row>
        <row r="135">
          <cell r="AR135">
            <v>56.581892166836226</v>
          </cell>
          <cell r="AS135">
            <v>64.111201962387582</v>
          </cell>
          <cell r="AT135">
            <v>68.717538953256096</v>
          </cell>
          <cell r="AU135">
            <v>87.44117251579938</v>
          </cell>
          <cell r="AV135">
            <v>100</v>
          </cell>
          <cell r="AW135">
            <v>122.60535307517084</v>
          </cell>
          <cell r="AX135">
            <v>157.63190714958387</v>
          </cell>
          <cell r="AY135">
            <v>172.54498960399587</v>
          </cell>
          <cell r="AZ135">
            <v>191.55974023055663</v>
          </cell>
          <cell r="BA135">
            <v>233.37637891787776</v>
          </cell>
          <cell r="BB135">
            <v>174.302292232003</v>
          </cell>
          <cell r="BC135">
            <v>198.98535806566812</v>
          </cell>
          <cell r="BD135">
            <v>235.30161192045642</v>
          </cell>
          <cell r="BE135">
            <v>256.43327347184453</v>
          </cell>
          <cell r="BF135">
            <v>239.33450389262916</v>
          </cell>
          <cell r="BG135">
            <v>197.90802559649779</v>
          </cell>
          <cell r="BH135">
            <v>159.51681273531761</v>
          </cell>
          <cell r="BI135">
            <v>155.43706901770059</v>
          </cell>
          <cell r="BJ135">
            <v>177.85056497614411</v>
          </cell>
          <cell r="BK135">
            <v>205.94887742971184</v>
          </cell>
        </row>
        <row r="136">
          <cell r="V136">
            <v>28.266376265856437</v>
          </cell>
          <cell r="W136">
            <v>29.854962334944489</v>
          </cell>
          <cell r="X136">
            <v>34.805576527906688</v>
          </cell>
          <cell r="Y136">
            <v>42.139677455129167</v>
          </cell>
          <cell r="Z136">
            <v>45.561184372120898</v>
          </cell>
          <cell r="AA136">
            <v>48.553488943500582</v>
          </cell>
          <cell r="AB136">
            <v>49.856120044032316</v>
          </cell>
          <cell r="AC136">
            <v>51.210856408387137</v>
          </cell>
          <cell r="AD136">
            <v>52.46398895227545</v>
          </cell>
          <cell r="AE136">
            <v>54.818256801230113</v>
          </cell>
          <cell r="AF136">
            <v>58.248921766263237</v>
          </cell>
          <cell r="AG136">
            <v>58.523334599789848</v>
          </cell>
          <cell r="AH136">
            <v>60.841834902525392</v>
          </cell>
          <cell r="AI136">
            <v>65.910263049709457</v>
          </cell>
          <cell r="AJ136">
            <v>69.512169836174337</v>
          </cell>
          <cell r="AK136">
            <v>70.73752871080579</v>
          </cell>
          <cell r="AL136">
            <v>71.450420093207342</v>
          </cell>
          <cell r="AM136">
            <v>73.297947723050612</v>
          </cell>
          <cell r="AN136">
            <v>76.997514881290684</v>
          </cell>
          <cell r="AO136">
            <v>77.365875743837634</v>
          </cell>
          <cell r="AP136">
            <v>79.606319064732475</v>
          </cell>
          <cell r="AQ136">
            <v>81.512810973088307</v>
          </cell>
          <cell r="AR136">
            <v>83.437323727233348</v>
          </cell>
          <cell r="AS136">
            <v>84.366851912801039</v>
          </cell>
          <cell r="AT136">
            <v>83.575512184201173</v>
          </cell>
          <cell r="AU136">
            <v>83.93108550427884</v>
          </cell>
          <cell r="AV136">
            <v>88.321819339739278</v>
          </cell>
          <cell r="AW136">
            <v>88.956519880838343</v>
          </cell>
          <cell r="AX136">
            <v>95.090320640901155</v>
          </cell>
          <cell r="AY136">
            <v>99.99899783316512</v>
          </cell>
          <cell r="AZ136">
            <v>110.48224857653754</v>
          </cell>
          <cell r="BA136">
            <v>105.84401874622296</v>
          </cell>
          <cell r="BB136">
            <v>106.74005958698436</v>
          </cell>
          <cell r="BC136">
            <v>116.4412148921367</v>
          </cell>
          <cell r="BD136">
            <v>115.41418001635112</v>
          </cell>
          <cell r="BE136">
            <v>115.26513874053319</v>
          </cell>
          <cell r="BF136">
            <v>121.15034419962869</v>
          </cell>
          <cell r="BG136">
            <v>126.15637494568033</v>
          </cell>
          <cell r="BH136">
            <v>133.84972255294014</v>
          </cell>
          <cell r="BI136">
            <v>132.55284297227894</v>
          </cell>
          <cell r="BJ136">
            <v>137.08972121970859</v>
          </cell>
          <cell r="BK136">
            <v>141.24782051663837</v>
          </cell>
        </row>
        <row r="140">
          <cell r="O140">
            <v>34.282173098012827</v>
          </cell>
          <cell r="P140">
            <v>37.108294399620981</v>
          </cell>
          <cell r="Q140">
            <v>40.167400459822879</v>
          </cell>
          <cell r="R140">
            <v>43.478684941442083</v>
          </cell>
          <cell r="S140">
            <v>47.062940355353255</v>
          </cell>
          <cell r="T140">
            <v>50.942667822407607</v>
          </cell>
          <cell r="U140">
            <v>52.078905917638451</v>
          </cell>
          <cell r="V140">
            <v>53.240493521016454</v>
          </cell>
          <cell r="W140">
            <v>54.427978175424883</v>
          </cell>
          <cell r="X140">
            <v>55.641962407552533</v>
          </cell>
          <cell r="Y140">
            <v>56.88301609147949</v>
          </cell>
          <cell r="Z140">
            <v>60.87205649477395</v>
          </cell>
          <cell r="AA140">
            <v>65.240760897435948</v>
          </cell>
          <cell r="AB140">
            <v>67.339983292197331</v>
          </cell>
          <cell r="AC140">
            <v>69.327480429620266</v>
          </cell>
          <cell r="AD140">
            <v>71.306919456318113</v>
          </cell>
          <cell r="AE140">
            <v>73.944009672897792</v>
          </cell>
          <cell r="AF140">
            <v>75.807059064299949</v>
          </cell>
          <cell r="AG140">
            <v>77.706262586373526</v>
          </cell>
          <cell r="AH140">
            <v>80.149210715054991</v>
          </cell>
          <cell r="AI140">
            <v>84.479227281577835</v>
          </cell>
          <cell r="AJ140">
            <v>89.438268579369094</v>
          </cell>
          <cell r="AK140">
            <v>93.0368656623275</v>
          </cell>
          <cell r="AL140">
            <v>96.10883644518313</v>
          </cell>
          <cell r="AM140">
            <v>96.928028847140382</v>
          </cell>
          <cell r="AN140">
            <v>98.668809700910259</v>
          </cell>
          <cell r="AO140">
            <v>99.473376250197731</v>
          </cell>
          <cell r="AP140">
            <v>99.985371799386712</v>
          </cell>
          <cell r="AQ140">
            <v>100</v>
          </cell>
          <cell r="AR140">
            <v>100.81919190574642</v>
          </cell>
          <cell r="AS140">
            <v>102.3844340337829</v>
          </cell>
          <cell r="AT140">
            <v>103.39379603674739</v>
          </cell>
          <cell r="AU140">
            <v>104.06670434227026</v>
          </cell>
          <cell r="AV140">
            <v>104.7249857914841</v>
          </cell>
          <cell r="AW140">
            <v>105.57343337387567</v>
          </cell>
          <cell r="AX140">
            <v>106.83035861143107</v>
          </cell>
          <cell r="AY140">
            <v>108.23505013890365</v>
          </cell>
          <cell r="AZ140">
            <v>115.35879797467106</v>
          </cell>
          <cell r="BA140">
            <v>112.91700743414528</v>
          </cell>
          <cell r="BB140">
            <v>101.73747434960818</v>
          </cell>
        </row>
        <row r="141">
          <cell r="F141">
            <v>1.0263494238223472</v>
          </cell>
          <cell r="G141">
            <v>1.0022650318309612</v>
          </cell>
          <cell r="H141">
            <v>1.0354497259698501</v>
          </cell>
          <cell r="I141">
            <v>1.0520035689816143</v>
          </cell>
          <cell r="J141">
            <v>1.064286202059215</v>
          </cell>
          <cell r="K141">
            <v>1.0450913281351879</v>
          </cell>
          <cell r="L141">
            <v>1.0643092571407959</v>
          </cell>
          <cell r="M141">
            <v>1.1930733666355091</v>
          </cell>
          <cell r="N141">
            <v>1.2085652477430022</v>
          </cell>
          <cell r="O141">
            <v>1.3597382739937816</v>
          </cell>
          <cell r="P141">
            <v>1.3801133087444106</v>
          </cell>
          <cell r="Q141">
            <v>1.5038661374272368</v>
          </cell>
          <cell r="R141">
            <v>1.695587933001206</v>
          </cell>
          <cell r="S141">
            <v>2.1089509511937226</v>
          </cell>
          <cell r="T141">
            <v>2.2217860414261983</v>
          </cell>
          <cell r="U141">
            <v>2.4434219333019316</v>
          </cell>
          <cell r="V141">
            <v>2.8023870925120273</v>
          </cell>
          <cell r="W141">
            <v>3.108348515267382</v>
          </cell>
          <cell r="X141">
            <v>3.5869501389468734</v>
          </cell>
          <cell r="Y141">
            <v>4.303533533627979</v>
          </cell>
          <cell r="Z141">
            <v>5.2023394799443352</v>
          </cell>
          <cell r="AA141">
            <v>5.8318777207040071</v>
          </cell>
          <cell r="AB141">
            <v>6.817863388544362</v>
          </cell>
          <cell r="AC141">
            <v>8.2019248287563062</v>
          </cell>
          <cell r="AD141">
            <v>8.2498163237821398</v>
          </cell>
          <cell r="AE141">
            <v>8.7379814620528311</v>
          </cell>
          <cell r="AF141">
            <v>9.4153053607518942</v>
          </cell>
          <cell r="AG141">
            <v>10.367855008424552</v>
          </cell>
          <cell r="AH141">
            <v>11.500352114939922</v>
          </cell>
          <cell r="AI141">
            <v>13.807699419411614</v>
          </cell>
          <cell r="AJ141">
            <v>15.274632604127685</v>
          </cell>
          <cell r="AK141">
            <v>16.711014164483046</v>
          </cell>
          <cell r="AL141">
            <v>18.362796697723418</v>
          </cell>
          <cell r="AM141">
            <v>20.156949324009325</v>
          </cell>
          <cell r="AN141">
            <v>22.032238935625166</v>
          </cell>
          <cell r="AO141">
            <v>24.4155666437034</v>
          </cell>
          <cell r="AP141">
            <v>26.594526275446491</v>
          </cell>
          <cell r="AQ141">
            <v>29.044988511625057</v>
          </cell>
          <cell r="AR141">
            <v>30.25404458504654</v>
          </cell>
          <cell r="AS141">
            <v>32.455761564653443</v>
          </cell>
          <cell r="AT141">
            <v>36.890776523843222</v>
          </cell>
          <cell r="AU141">
            <v>39.88319777983736</v>
          </cell>
          <cell r="AV141">
            <v>43.372444904781872</v>
          </cell>
          <cell r="AW141">
            <v>47.189867373791387</v>
          </cell>
          <cell r="AX141">
            <v>52.106450709498077</v>
          </cell>
          <cell r="AY141">
            <v>57.982510500450722</v>
          </cell>
          <cell r="AZ141">
            <v>66.116553834320413</v>
          </cell>
          <cell r="BA141">
            <v>76.911414173667524</v>
          </cell>
          <cell r="BB141">
            <v>81.433715060811323</v>
          </cell>
          <cell r="BC141">
            <v>100</v>
          </cell>
          <cell r="BD141">
            <v>103.83139408196725</v>
          </cell>
          <cell r="BE141">
            <v>115.07470622685776</v>
          </cell>
          <cell r="BF141">
            <v>122.25181595434552</v>
          </cell>
          <cell r="BG141">
            <v>125.81191576415691</v>
          </cell>
          <cell r="BH141">
            <v>126.62848829658535</v>
          </cell>
          <cell r="BI141">
            <v>132.76127797219326</v>
          </cell>
          <cell r="BJ141">
            <v>143.59035461801074</v>
          </cell>
          <cell r="BK141">
            <v>149.82208536342429</v>
          </cell>
        </row>
        <row r="144">
          <cell r="E144">
            <v>1.3863702736386456</v>
          </cell>
          <cell r="F144">
            <v>1.4050712537463557</v>
          </cell>
          <cell r="G144">
            <v>1.4284999596269461</v>
          </cell>
          <cell r="H144">
            <v>1.4512225664335965</v>
          </cell>
          <cell r="I144">
            <v>1.4802540717657788</v>
          </cell>
          <cell r="J144">
            <v>1.5310613600643894</v>
          </cell>
          <cell r="K144">
            <v>1.588277157756689</v>
          </cell>
          <cell r="L144">
            <v>1.4967206744877608</v>
          </cell>
          <cell r="M144">
            <v>1.5575980183143296</v>
          </cell>
          <cell r="N144">
            <v>1.6467424994801687</v>
          </cell>
          <cell r="O144">
            <v>1.6793779805927296</v>
          </cell>
          <cell r="P144">
            <v>1.779897086188641</v>
          </cell>
          <cell r="Q144">
            <v>2.0280525081385572</v>
          </cell>
          <cell r="R144">
            <v>2.1693067212733421</v>
          </cell>
          <cell r="S144">
            <v>2.3823401107456457</v>
          </cell>
          <cell r="T144">
            <v>2.9722592691003595</v>
          </cell>
          <cell r="U144">
            <v>3.107287440537791</v>
          </cell>
          <cell r="V144">
            <v>3.3396781628311834</v>
          </cell>
          <cell r="W144">
            <v>3.8922761486652342</v>
          </cell>
          <cell r="X144">
            <v>3.9867956193495986</v>
          </cell>
          <cell r="Y144">
            <v>5.6397011854951256</v>
          </cell>
          <cell r="Z144">
            <v>6.3490129299195788</v>
          </cell>
          <cell r="AA144">
            <v>6.0409179388370466</v>
          </cell>
          <cell r="AB144">
            <v>6.7390572639123292</v>
          </cell>
          <cell r="AC144">
            <v>7.2851197029424188</v>
          </cell>
          <cell r="AD144">
            <v>8.6480038314921206</v>
          </cell>
          <cell r="AE144">
            <v>10.053587446902279</v>
          </cell>
          <cell r="AF144">
            <v>11.23345470533404</v>
          </cell>
          <cell r="AG144">
            <v>13.489256082043216</v>
          </cell>
          <cell r="AH144">
            <v>15.49096508940862</v>
          </cell>
          <cell r="AI144">
            <v>17.348936556566436</v>
          </cell>
          <cell r="AJ144">
            <v>20.441770032780482</v>
          </cell>
          <cell r="AK144">
            <v>23.291146355778526</v>
          </cell>
          <cell r="AL144">
            <v>25.92257390221755</v>
          </cell>
          <cell r="AM144">
            <v>27.935886016910121</v>
          </cell>
          <cell r="AN144">
            <v>31.516293997021684</v>
          </cell>
          <cell r="AO144">
            <v>33.407915944206664</v>
          </cell>
          <cell r="AP144">
            <v>36.420956087639752</v>
          </cell>
          <cell r="AQ144">
            <v>40.034728566322492</v>
          </cell>
          <cell r="AR144">
            <v>43.29005344558189</v>
          </cell>
          <cell r="AS144">
            <v>46.017421276986767</v>
          </cell>
          <cell r="AT144">
            <v>51.297025116325834</v>
          </cell>
          <cell r="AU144">
            <v>58.584758881287357</v>
          </cell>
          <cell r="AV144">
            <v>60.013531697738841</v>
          </cell>
          <cell r="AW144">
            <v>65.77506630864363</v>
          </cell>
          <cell r="AX144">
            <v>69.670820180480973</v>
          </cell>
          <cell r="AY144">
            <v>76.157862495209756</v>
          </cell>
          <cell r="AZ144">
            <v>72.064844116660055</v>
          </cell>
          <cell r="BA144">
            <v>81.115317027848846</v>
          </cell>
          <cell r="BB144">
            <v>82.126387678499839</v>
          </cell>
          <cell r="BC144">
            <v>89.092719067963273</v>
          </cell>
          <cell r="BD144">
            <v>97.578846845262163</v>
          </cell>
          <cell r="BE144">
            <v>100.00020827421336</v>
          </cell>
          <cell r="BF144">
            <v>108.89984516439404</v>
          </cell>
          <cell r="BG144">
            <v>122.86351189277428</v>
          </cell>
          <cell r="BH144">
            <v>134.95043937874132</v>
          </cell>
          <cell r="BI144">
            <v>139.56306101334079</v>
          </cell>
          <cell r="BJ144">
            <v>143.67065061337368</v>
          </cell>
          <cell r="BK144">
            <v>152.240654792474</v>
          </cell>
        </row>
        <row r="146">
          <cell r="AN146">
            <v>53.239491769310533</v>
          </cell>
          <cell r="AO146">
            <v>63.34532367908178</v>
          </cell>
          <cell r="AP146">
            <v>70.59872143885633</v>
          </cell>
          <cell r="AQ146">
            <v>72.964055096813397</v>
          </cell>
          <cell r="AR146">
            <v>72.045215297458469</v>
          </cell>
          <cell r="AS146">
            <v>72.967736323278217</v>
          </cell>
          <cell r="AT146">
            <v>72.732780566004678</v>
          </cell>
          <cell r="AU146">
            <v>72.963114627815898</v>
          </cell>
          <cell r="AV146">
            <v>72.37359733338053</v>
          </cell>
          <cell r="AW146">
            <v>74.319177259673154</v>
          </cell>
          <cell r="AX146">
            <v>79.445983100984321</v>
          </cell>
          <cell r="AY146">
            <v>84.803810379295967</v>
          </cell>
          <cell r="AZ146">
            <v>92.069790290311076</v>
          </cell>
          <cell r="BA146">
            <v>101.0049857004387</v>
          </cell>
          <cell r="BB146">
            <v>97.676736007940974</v>
          </cell>
          <cell r="BC146">
            <v>100</v>
          </cell>
          <cell r="BD146">
            <v>105.22825069698247</v>
          </cell>
          <cell r="BE146">
            <v>108.06784904841604</v>
          </cell>
          <cell r="BF146">
            <v>109.45942078710674</v>
          </cell>
          <cell r="BG146">
            <v>110.58408390807202</v>
          </cell>
          <cell r="BH146">
            <v>110.95969139173366</v>
          </cell>
          <cell r="BI146">
            <v>112.50800433026325</v>
          </cell>
          <cell r="BJ146">
            <v>117.32740476106957</v>
          </cell>
          <cell r="BK146">
            <v>121.22083142910185</v>
          </cell>
        </row>
        <row r="147">
          <cell r="E147">
            <v>13.588225107562351</v>
          </cell>
          <cell r="F147">
            <v>13.09108486743914</v>
          </cell>
          <cell r="G147">
            <v>13.600939118233374</v>
          </cell>
          <cell r="H147">
            <v>14.028818269143359</v>
          </cell>
          <cell r="I147">
            <v>14.847305003734181</v>
          </cell>
          <cell r="J147">
            <v>15.262648768144956</v>
          </cell>
          <cell r="K147">
            <v>15.862928475595183</v>
          </cell>
          <cell r="L147">
            <v>15.931292492112201</v>
          </cell>
          <cell r="M147">
            <v>16.730510117998104</v>
          </cell>
          <cell r="N147">
            <v>17.616058327766638</v>
          </cell>
          <cell r="O147">
            <v>20.600795982872881</v>
          </cell>
          <cell r="P147">
            <v>20.433066277250969</v>
          </cell>
          <cell r="Q147">
            <v>21.615897588796308</v>
          </cell>
          <cell r="R147">
            <v>24.253523185866076</v>
          </cell>
          <cell r="S147">
            <v>28.371942496044312</v>
          </cell>
          <cell r="T147">
            <v>28.129277862525743</v>
          </cell>
          <cell r="U147">
            <v>31.565461029136742</v>
          </cell>
          <cell r="V147">
            <v>31.935473629771415</v>
          </cell>
          <cell r="W147">
            <v>33.573757828977271</v>
          </cell>
          <cell r="X147">
            <v>35.707177177988022</v>
          </cell>
          <cell r="Y147">
            <v>38.535671557247007</v>
          </cell>
          <cell r="Z147">
            <v>41.303306267018662</v>
          </cell>
          <cell r="AA147">
            <v>45.768763848374</v>
          </cell>
          <cell r="AB147">
            <v>48.889596136759799</v>
          </cell>
          <cell r="AC147">
            <v>51.044398670757786</v>
          </cell>
          <cell r="AD147">
            <v>52.622938509202974</v>
          </cell>
          <cell r="AE147">
            <v>52.578855184724524</v>
          </cell>
          <cell r="AF147">
            <v>52.611994025514996</v>
          </cell>
          <cell r="AG147">
            <v>54.072732920938982</v>
          </cell>
          <cell r="AH147">
            <v>56.246988382930539</v>
          </cell>
          <cell r="AI147">
            <v>57.660693318876298</v>
          </cell>
          <cell r="AJ147">
            <v>58.711755131802988</v>
          </cell>
          <cell r="AK147">
            <v>60.901160953173616</v>
          </cell>
          <cell r="AL147">
            <v>64.538646830996015</v>
          </cell>
          <cell r="AM147">
            <v>66.824846030142012</v>
          </cell>
          <cell r="AN147">
            <v>68.383248581568495</v>
          </cell>
          <cell r="AO147">
            <v>71.452201164804123</v>
          </cell>
          <cell r="AP147">
            <v>70.766369221543485</v>
          </cell>
          <cell r="AQ147">
            <v>69.348442998062922</v>
          </cell>
          <cell r="AR147">
            <v>73.371165485973378</v>
          </cell>
          <cell r="AS147">
            <v>74.959638350264413</v>
          </cell>
          <cell r="AT147">
            <v>75.302205181011402</v>
          </cell>
          <cell r="AU147">
            <v>76.567890153972954</v>
          </cell>
          <cell r="AV147">
            <v>78.622066089659896</v>
          </cell>
          <cell r="AW147">
            <v>80.945303968450261</v>
          </cell>
          <cell r="AX147">
            <v>84.341527939768469</v>
          </cell>
          <cell r="AY147">
            <v>90.275389986393989</v>
          </cell>
          <cell r="AZ147">
            <v>91.620616339118357</v>
          </cell>
          <cell r="BA147">
            <v>95.178900680977591</v>
          </cell>
          <cell r="BB147">
            <v>96.509518554058317</v>
          </cell>
          <cell r="BC147">
            <v>100</v>
          </cell>
          <cell r="BD147">
            <v>104.77359094506021</v>
          </cell>
          <cell r="BE147">
            <v>107.45212444757104</v>
          </cell>
          <cell r="BF147">
            <v>109.27442948749267</v>
          </cell>
          <cell r="BG147">
            <v>112.26432735155878</v>
          </cell>
          <cell r="BH147">
            <v>111.83770606818395</v>
          </cell>
          <cell r="BI147">
            <v>112.85478002825231</v>
          </cell>
          <cell r="BJ147">
            <v>115.29937340026832</v>
          </cell>
          <cell r="BK147">
            <v>119.62895755690496</v>
          </cell>
        </row>
        <row r="148">
          <cell r="AM148">
            <v>36.703322884914648</v>
          </cell>
          <cell r="AN148">
            <v>42.080544330194471</v>
          </cell>
          <cell r="AO148">
            <v>47.383720841900171</v>
          </cell>
          <cell r="AP148">
            <v>50.1365758082176</v>
          </cell>
          <cell r="AQ148">
            <v>52.545266675322466</v>
          </cell>
          <cell r="AR148">
            <v>53.331399203821142</v>
          </cell>
          <cell r="AS148">
            <v>55.259585383264074</v>
          </cell>
          <cell r="AT148">
            <v>56.52657764854154</v>
          </cell>
          <cell r="AU148">
            <v>59.406243893687162</v>
          </cell>
          <cell r="AV148">
            <v>62.327117162101509</v>
          </cell>
          <cell r="AW148">
            <v>66.541806661400528</v>
          </cell>
          <cell r="AX148">
            <v>73.976990539844365</v>
          </cell>
          <cell r="AY148">
            <v>83.157319890084764</v>
          </cell>
          <cell r="AZ148">
            <v>99.885250517873686</v>
          </cell>
          <cell r="BA148">
            <v>111.62323024270474</v>
          </cell>
          <cell r="BB148">
            <v>100.81848039965402</v>
          </cell>
          <cell r="BC148">
            <v>100</v>
          </cell>
          <cell r="BD148">
            <v>106.39465445331302</v>
          </cell>
          <cell r="BE148">
            <v>110.2415983873796</v>
          </cell>
          <cell r="BF148">
            <v>112.05714265200535</v>
          </cell>
          <cell r="BG148">
            <v>114.02765062126488</v>
          </cell>
          <cell r="BH148">
            <v>114.02905320294059</v>
          </cell>
          <cell r="BI148">
            <v>115.01806947725375</v>
          </cell>
          <cell r="BJ148">
            <v>118.68176021460926</v>
          </cell>
          <cell r="BK148">
            <v>123.7152734579068</v>
          </cell>
        </row>
        <row r="149">
          <cell r="AA149">
            <v>15.004477039184755</v>
          </cell>
          <cell r="AB149">
            <v>16.220667738872635</v>
          </cell>
          <cell r="AC149">
            <v>18.55180176156361</v>
          </cell>
          <cell r="AD149">
            <v>19.135200326339501</v>
          </cell>
          <cell r="AE149">
            <v>20.213773958142859</v>
          </cell>
          <cell r="AF149">
            <v>22.614753621502125</v>
          </cell>
          <cell r="AG149">
            <v>24.614844993659446</v>
          </cell>
          <cell r="AH149">
            <v>27.690074629741435</v>
          </cell>
          <cell r="AI149">
            <v>30.732902703924438</v>
          </cell>
          <cell r="AJ149">
            <v>34.309551406373721</v>
          </cell>
          <cell r="AK149">
            <v>39.398144396726359</v>
          </cell>
          <cell r="AL149">
            <v>43.161158616439408</v>
          </cell>
          <cell r="AM149">
            <v>46.070290490925046</v>
          </cell>
          <cell r="AN149">
            <v>49.844857957847857</v>
          </cell>
          <cell r="AO149">
            <v>50.950478157410316</v>
          </cell>
          <cell r="AP149">
            <v>51.787418733228883</v>
          </cell>
          <cell r="AQ149">
            <v>50.761957783292601</v>
          </cell>
          <cell r="AR149">
            <v>50.12852973578925</v>
          </cell>
          <cell r="AS149">
            <v>49.292209275759653</v>
          </cell>
          <cell r="AT149">
            <v>48.601501088066797</v>
          </cell>
          <cell r="AU149">
            <v>47.959366694386027</v>
          </cell>
          <cell r="AV149">
            <v>47.997488189378842</v>
          </cell>
          <cell r="AW149">
            <v>48.918741431155453</v>
          </cell>
          <cell r="AX149">
            <v>51.641380486816715</v>
          </cell>
          <cell r="AY149">
            <v>55.672489308951313</v>
          </cell>
          <cell r="AZ149">
            <v>60.583464531325149</v>
          </cell>
          <cell r="BA149">
            <v>66.696617062979328</v>
          </cell>
          <cell r="BB149">
            <v>67.281538159701782</v>
          </cell>
          <cell r="BC149">
            <v>70.496969317274107</v>
          </cell>
          <cell r="BD149">
            <v>75.780403222276874</v>
          </cell>
          <cell r="BE149">
            <v>81.031626133334598</v>
          </cell>
          <cell r="BF149">
            <v>87.292268498992215</v>
          </cell>
          <cell r="BG149">
            <v>94.833060177279705</v>
          </cell>
          <cell r="BH149">
            <v>99.102853140424415</v>
          </cell>
          <cell r="BI149">
            <v>100</v>
          </cell>
          <cell r="BJ149">
            <v>102.08065526427667</v>
          </cell>
          <cell r="BK149">
            <v>105.78543370932285</v>
          </cell>
        </row>
        <row r="151">
          <cell r="K151">
            <v>15.300729451554743</v>
          </cell>
          <cell r="L151">
            <v>14.72771091644989</v>
          </cell>
          <cell r="M151">
            <v>14.39221662665455</v>
          </cell>
          <cell r="N151">
            <v>14.825156711589846</v>
          </cell>
          <cell r="O151">
            <v>15.339248437444983</v>
          </cell>
          <cell r="P151">
            <v>15.962819176074236</v>
          </cell>
          <cell r="Q151">
            <v>16.534961724223226</v>
          </cell>
          <cell r="R151">
            <v>17.533573044370126</v>
          </cell>
          <cell r="S151">
            <v>21.723787682362889</v>
          </cell>
          <cell r="T151">
            <v>21.926104783893074</v>
          </cell>
          <cell r="U151">
            <v>23.017277975467625</v>
          </cell>
          <cell r="V151">
            <v>25.496461282701006</v>
          </cell>
          <cell r="W151">
            <v>27.642552807463776</v>
          </cell>
          <cell r="X151">
            <v>29.672790246331402</v>
          </cell>
          <cell r="Y151">
            <v>39.471674770597339</v>
          </cell>
          <cell r="Z151">
            <v>43.209830617375474</v>
          </cell>
          <cell r="AA151">
            <v>45.931338065586957</v>
          </cell>
          <cell r="AB151">
            <v>49.132843288843269</v>
          </cell>
          <cell r="AC151">
            <v>52.179646289727053</v>
          </cell>
          <cell r="AD151">
            <v>56.851626225739061</v>
          </cell>
          <cell r="AE151">
            <v>61.110239125296317</v>
          </cell>
          <cell r="AF151">
            <v>62.952595761547826</v>
          </cell>
          <cell r="AG151">
            <v>65.263331570781631</v>
          </cell>
          <cell r="AH151">
            <v>67.169007183639948</v>
          </cell>
          <cell r="AI151">
            <v>72.337232151043168</v>
          </cell>
          <cell r="AJ151">
            <v>76.240777913101695</v>
          </cell>
          <cell r="AK151">
            <v>79.738612040623849</v>
          </cell>
          <cell r="AL151">
            <v>82.158664925673889</v>
          </cell>
          <cell r="AM151">
            <v>82.697083721055108</v>
          </cell>
          <cell r="AN151">
            <v>88.931123106637216</v>
          </cell>
          <cell r="AO151">
            <v>89.318407975755861</v>
          </cell>
          <cell r="AP151">
            <v>89.955598043119807</v>
          </cell>
          <cell r="AQ151">
            <v>90.307613440321404</v>
          </cell>
          <cell r="AR151">
            <v>90.821957174853168</v>
          </cell>
          <cell r="AS151">
            <v>90.147796512891148</v>
          </cell>
          <cell r="AT151">
            <v>90.735846403538162</v>
          </cell>
          <cell r="AU151">
            <v>91.832429476019939</v>
          </cell>
          <cell r="AV151">
            <v>92.808245465980704</v>
          </cell>
          <cell r="AW151">
            <v>93.939783184011034</v>
          </cell>
          <cell r="AX151">
            <v>95.058174454985689</v>
          </cell>
          <cell r="AY151">
            <v>96.529704233161695</v>
          </cell>
          <cell r="AZ151">
            <v>100</v>
          </cell>
          <cell r="BA151">
            <v>104.53049709499408</v>
          </cell>
          <cell r="BB151">
            <v>104.68406517649034</v>
          </cell>
          <cell r="BC151">
            <v>105.70538562462366</v>
          </cell>
          <cell r="BD151">
            <v>104.97498196364089</v>
          </cell>
          <cell r="BE151">
            <v>105.36269155437705</v>
          </cell>
          <cell r="BF151">
            <v>106.74008962968142</v>
          </cell>
          <cell r="BG151">
            <v>107.14336391113042</v>
          </cell>
          <cell r="BH151">
            <v>109.42449781909748</v>
          </cell>
          <cell r="BI151">
            <v>111.01097028300708</v>
          </cell>
          <cell r="BJ151">
            <v>111.88525259230016</v>
          </cell>
          <cell r="BK151">
            <v>113.67842571657974</v>
          </cell>
          <cell r="BN151" t="str">
            <v>Morocco</v>
          </cell>
        </row>
        <row r="152">
          <cell r="O152">
            <v>16.32956346436017</v>
          </cell>
          <cell r="P152">
            <v>17.30669861413357</v>
          </cell>
          <cell r="Q152">
            <v>18.495156308959455</v>
          </cell>
          <cell r="R152">
            <v>19.931312623918188</v>
          </cell>
          <cell r="S152">
            <v>22.196101690983298</v>
          </cell>
          <cell r="T152">
            <v>25.22584433814815</v>
          </cell>
          <cell r="U152">
            <v>27.952398318064674</v>
          </cell>
          <cell r="V152">
            <v>30.414118816132802</v>
          </cell>
          <cell r="W152">
            <v>33.19968055928436</v>
          </cell>
          <cell r="X152">
            <v>36.553702805526164</v>
          </cell>
          <cell r="Y152">
            <v>40.6686690263559</v>
          </cell>
          <cell r="Z152">
            <v>45.322232900580346</v>
          </cell>
          <cell r="AA152">
            <v>50.757039924092119</v>
          </cell>
          <cell r="AB152">
            <v>55.586654325192995</v>
          </cell>
          <cell r="AC152">
            <v>59.631740982784073</v>
          </cell>
          <cell r="AD152">
            <v>62.927391249669753</v>
          </cell>
          <cell r="AE152">
            <v>66.249254672329343</v>
          </cell>
          <cell r="AF152">
            <v>68.091281764422803</v>
          </cell>
          <cell r="AG152">
            <v>70.183576086750065</v>
          </cell>
          <cell r="AH152">
            <v>72.505519871471108</v>
          </cell>
          <cell r="AI152">
            <v>74.420072515130144</v>
          </cell>
          <cell r="AJ152">
            <v>76.310206784708456</v>
          </cell>
          <cell r="AK152">
            <v>77.940102632992065</v>
          </cell>
          <cell r="AL152">
            <v>79.148198835388897</v>
          </cell>
          <cell r="AM152">
            <v>80.213266563451214</v>
          </cell>
          <cell r="AN152">
            <v>81.26238354884066</v>
          </cell>
          <cell r="AO152">
            <v>82.566304510222324</v>
          </cell>
          <cell r="AP152">
            <v>83.403569288122512</v>
          </cell>
          <cell r="AQ152">
            <v>84.154968547362756</v>
          </cell>
          <cell r="AR152">
            <v>84.193887532622611</v>
          </cell>
          <cell r="AS152">
            <v>85.373122224608551</v>
          </cell>
          <cell r="AT152">
            <v>86.780837758540173</v>
          </cell>
          <cell r="AU152">
            <v>88.846367846161627</v>
          </cell>
          <cell r="AV152">
            <v>90.515503462354104</v>
          </cell>
          <cell r="AW152">
            <v>91.9545094554651</v>
          </cell>
          <cell r="AX152">
            <v>92.135107137015439</v>
          </cell>
          <cell r="AY152">
            <v>94.125376826157549</v>
          </cell>
          <cell r="AZ152">
            <v>96.532390623944536</v>
          </cell>
          <cell r="BA152">
            <v>98.835389842632338</v>
          </cell>
          <cell r="BB152">
            <v>98.911098228013998</v>
          </cell>
          <cell r="BC152">
            <v>100</v>
          </cell>
          <cell r="BD152">
            <v>100.89961247462631</v>
          </cell>
          <cell r="BE152">
            <v>102.09917997213279</v>
          </cell>
          <cell r="BF152">
            <v>102.89978944735142</v>
          </cell>
          <cell r="BG152">
            <v>103.50106004317973</v>
          </cell>
          <cell r="BH152">
            <v>104.58909441375988</v>
          </cell>
          <cell r="BI152">
            <v>105.00107743140354</v>
          </cell>
          <cell r="BJ152">
            <v>105.69992846897556</v>
          </cell>
        </row>
        <row r="153">
          <cell r="AN153">
            <v>10.926775688089712</v>
          </cell>
          <cell r="AO153">
            <v>13.970098758694355</v>
          </cell>
          <cell r="AP153">
            <v>15.716771813139649</v>
          </cell>
          <cell r="AQ153">
            <v>17.203850343348122</v>
          </cell>
          <cell r="AR153">
            <v>24.047828619726342</v>
          </cell>
          <cell r="AS153">
            <v>30.619800070193133</v>
          </cell>
          <cell r="AT153">
            <v>34.321504586517868</v>
          </cell>
          <cell r="AU153">
            <v>37.694416791344594</v>
          </cell>
          <cell r="AV153">
            <v>43.297929881459247</v>
          </cell>
          <cell r="AW153">
            <v>46.755986412531122</v>
          </cell>
          <cell r="AX153">
            <v>51.125111219488197</v>
          </cell>
          <cell r="AY153">
            <v>57.985828081092841</v>
          </cell>
          <cell r="AZ153">
            <v>67.209537414961858</v>
          </cell>
          <cell r="BA153">
            <v>73.422612912301489</v>
          </cell>
          <cell r="BB153">
            <v>75.015979436239505</v>
          </cell>
          <cell r="BC153">
            <v>100</v>
          </cell>
          <cell r="BD153">
            <v>108.19079927490462</v>
          </cell>
          <cell r="BE153">
            <v>116.22312426819028</v>
          </cell>
          <cell r="BF153">
            <v>120.78354702605709</v>
          </cell>
          <cell r="BG153">
            <v>128.45594029755566</v>
          </cell>
          <cell r="BH153">
            <v>140.74193597029972</v>
          </cell>
          <cell r="BI153">
            <v>148.72775337021582</v>
          </cell>
          <cell r="BJ153">
            <v>158.02365254723557</v>
          </cell>
          <cell r="BK153">
            <v>161.4045409810598</v>
          </cell>
        </row>
        <row r="154">
          <cell r="E154">
            <v>13.236857877429845</v>
          </cell>
          <cell r="F154">
            <v>13.473725591103047</v>
          </cell>
          <cell r="G154">
            <v>13.930609978025382</v>
          </cell>
          <cell r="H154">
            <v>14.442818834474933</v>
          </cell>
          <cell r="I154">
            <v>14.68151719212222</v>
          </cell>
          <cell r="J154">
            <v>15.319436213083643</v>
          </cell>
          <cell r="K154">
            <v>16.210609258795856</v>
          </cell>
          <cell r="L154">
            <v>16.319824138344906</v>
          </cell>
          <cell r="M154">
            <v>16.478265366633316</v>
          </cell>
          <cell r="N154">
            <v>17.115042693142186</v>
          </cell>
          <cell r="O154">
            <v>18.296761572864167</v>
          </cell>
          <cell r="P154">
            <v>18.953280195678339</v>
          </cell>
          <cell r="Q154">
            <v>19.526490872987928</v>
          </cell>
          <cell r="R154">
            <v>21.850314301369426</v>
          </cell>
          <cell r="S154">
            <v>26.833155038885742</v>
          </cell>
          <cell r="T154">
            <v>28.091910725063418</v>
          </cell>
          <cell r="U154">
            <v>30.880621236376289</v>
          </cell>
          <cell r="V154">
            <v>33.534473275926331</v>
          </cell>
          <cell r="W154">
            <v>35.813096343738636</v>
          </cell>
          <cell r="X154">
            <v>39.869474864315869</v>
          </cell>
          <cell r="Y154">
            <v>45.844664778871525</v>
          </cell>
          <cell r="Z154">
            <v>58.069661248466197</v>
          </cell>
          <cell r="AA154">
            <v>74.663526456139294</v>
          </cell>
          <cell r="AB154">
            <v>90.695371972770715</v>
          </cell>
          <cell r="AC154">
            <v>99.999646379660319</v>
          </cell>
          <cell r="AD154">
            <v>110.41955075570917</v>
          </cell>
          <cell r="AE154">
            <v>126.0545586322127</v>
          </cell>
          <cell r="AF154">
            <v>155.08722871624173</v>
          </cell>
          <cell r="AG154">
            <v>187.90786346398926</v>
          </cell>
          <cell r="AH154">
            <v>210.41373196793205</v>
          </cell>
          <cell r="AI154">
            <v>234.52371369232802</v>
          </cell>
          <cell r="AJ154">
            <v>264.74060697487249</v>
          </cell>
          <cell r="AK154">
            <v>302.903027114412</v>
          </cell>
          <cell r="AL154">
            <v>339.49831433322242</v>
          </cell>
          <cell r="AM154">
            <v>480.91004537266383</v>
          </cell>
          <cell r="AN154">
            <v>697.91327717440015</v>
          </cell>
          <cell r="AO154">
            <v>822.4142672766892</v>
          </cell>
          <cell r="AP154">
            <v>882.39717703880865</v>
          </cell>
          <cell r="AQ154">
            <v>956.84223212355141</v>
          </cell>
          <cell r="AR154">
            <v>1049.7961935621963</v>
          </cell>
          <cell r="AS154">
            <v>1125.7297246287544</v>
          </cell>
          <cell r="AT154">
            <v>1207.5374281783604</v>
          </cell>
          <cell r="AU154">
            <v>1391.9992771687253</v>
          </cell>
          <cell r="AV154">
            <v>1430.4824319984878</v>
          </cell>
          <cell r="AW154">
            <v>1635.0959357471186</v>
          </cell>
          <cell r="AX154">
            <v>1934.6445754694382</v>
          </cell>
          <cell r="AY154">
            <v>2156.5425090976119</v>
          </cell>
          <cell r="AZ154">
            <v>2363.642697576704</v>
          </cell>
          <cell r="BA154">
            <v>2578.558962877562</v>
          </cell>
          <cell r="BB154">
            <v>2794.1991322520453</v>
          </cell>
          <cell r="BC154">
            <v>3039.9328915062429</v>
          </cell>
          <cell r="BD154">
            <v>3290.1170559572747</v>
          </cell>
          <cell r="BE154">
            <v>3470.7470574470062</v>
          </cell>
          <cell r="BF154">
            <v>3647.2719845168285</v>
          </cell>
          <cell r="BG154">
            <v>3888.941395229815</v>
          </cell>
          <cell r="BH154">
            <v>4182.6102586123225</v>
          </cell>
          <cell r="BI154">
            <v>4443.0637380294502</v>
          </cell>
          <cell r="BJ154">
            <v>4810.982043945708</v>
          </cell>
          <cell r="BK154">
            <v>5164.4965179099518</v>
          </cell>
        </row>
        <row r="155">
          <cell r="AN155">
            <v>23.432295784081862</v>
          </cell>
          <cell r="AO155">
            <v>24.523380739697608</v>
          </cell>
          <cell r="AP155">
            <v>25.528940871980417</v>
          </cell>
          <cell r="AQ155">
            <v>25.238425876086808</v>
          </cell>
          <cell r="AR155">
            <v>25.933317124492628</v>
          </cell>
          <cell r="AS155">
            <v>26.460389090836696</v>
          </cell>
          <cell r="AT155">
            <v>39.926829277710013</v>
          </cell>
          <cell r="AU155">
            <v>40.125479314174413</v>
          </cell>
          <cell r="AV155">
            <v>41.373930108143227</v>
          </cell>
          <cell r="AW155">
            <v>45.498927516602691</v>
          </cell>
          <cell r="AX155">
            <v>49.665797192313917</v>
          </cell>
          <cell r="AY155">
            <v>53.324097695504292</v>
          </cell>
          <cell r="AZ155">
            <v>58.719466363190506</v>
          </cell>
          <cell r="BA155">
            <v>65.207993051841513</v>
          </cell>
          <cell r="BB155">
            <v>72.567910446889869</v>
          </cell>
          <cell r="BC155">
            <v>74.659042991722288</v>
          </cell>
          <cell r="BD155">
            <v>84.09220325642876</v>
          </cell>
          <cell r="BE155">
            <v>89.791091996388644</v>
          </cell>
          <cell r="BF155">
            <v>95.564978596980083</v>
          </cell>
          <cell r="BG155">
            <v>100.00001846422133</v>
          </cell>
          <cell r="BH155">
            <v>107.9299081047869</v>
          </cell>
          <cell r="BI155">
            <v>108.06921018876974</v>
          </cell>
          <cell r="BJ155">
            <v>111.55674564665374</v>
          </cell>
          <cell r="BK155">
            <v>114.01099405088013</v>
          </cell>
        </row>
        <row r="157">
          <cell r="E157">
            <v>7.8153407335986996E-3</v>
          </cell>
          <cell r="F157">
            <v>8.0824733264090644E-3</v>
          </cell>
          <cell r="G157">
            <v>8.2894471233031248E-3</v>
          </cell>
          <cell r="H157">
            <v>8.5556786488815862E-3</v>
          </cell>
          <cell r="I157">
            <v>9.0519254239720976E-3</v>
          </cell>
          <cell r="J157">
            <v>9.1926435837971689E-3</v>
          </cell>
          <cell r="K157">
            <v>9.6483217501307263E-3</v>
          </cell>
          <cell r="L157">
            <v>9.9541735787366768E-3</v>
          </cell>
          <cell r="M157">
            <v>1.0055958354024003E-2</v>
          </cell>
          <cell r="N157">
            <v>1.0756839705544729E-2</v>
          </cell>
          <cell r="O157">
            <v>1.1045411397931876E-2</v>
          </cell>
          <cell r="P157">
            <v>1.1747750505461766E-2</v>
          </cell>
          <cell r="Q157">
            <v>1.2515961248489417E-2</v>
          </cell>
          <cell r="R157">
            <v>1.4191519045397472E-2</v>
          </cell>
          <cell r="S157">
            <v>1.7474421624488725E-2</v>
          </cell>
          <cell r="T157">
            <v>2.0197390360271145E-2</v>
          </cell>
          <cell r="U157">
            <v>2.4108321270463827E-2</v>
          </cell>
          <cell r="V157">
            <v>3.1447433269036471E-2</v>
          </cell>
          <cell r="W157">
            <v>3.6479770578272008E-2</v>
          </cell>
          <cell r="X157">
            <v>4.36565445564122E-2</v>
          </cell>
          <cell r="Y157">
            <v>6.1463232024925804E-2</v>
          </cell>
          <cell r="Z157">
            <v>7.7626504434411742E-2</v>
          </cell>
          <cell r="AA157">
            <v>0.12563394968209812</v>
          </cell>
          <cell r="AB157">
            <v>0.23447515415866452</v>
          </cell>
          <cell r="AC157">
            <v>0.37380649474180799</v>
          </cell>
          <cell r="AD157">
            <v>0.59334822005235444</v>
          </cell>
          <cell r="AE157">
            <v>1.0048404248574021</v>
          </cell>
          <cell r="AF157">
            <v>2.4401192118453605</v>
          </cell>
          <cell r="AG157">
            <v>4.8911522042491988</v>
          </cell>
          <cell r="AH157">
            <v>6.2023208340376499</v>
          </cell>
          <cell r="AI157">
            <v>7.9511508179791051</v>
          </cell>
          <cell r="AJ157">
            <v>9.8140831129937407</v>
          </cell>
          <cell r="AK157">
            <v>11.270924072931452</v>
          </cell>
          <cell r="AL157">
            <v>15.346833530906476</v>
          </cell>
          <cell r="AM157">
            <v>16.698966974187726</v>
          </cell>
          <cell r="AN157">
            <v>23.122167356920468</v>
          </cell>
          <cell r="AO157">
            <v>29.260065153587107</v>
          </cell>
          <cell r="AP157">
            <v>34.744826121010838</v>
          </cell>
          <cell r="AQ157">
            <v>40.105843444767025</v>
          </cell>
          <cell r="AR157">
            <v>46.564014842208039</v>
          </cell>
          <cell r="AS157">
            <v>51.75692975307976</v>
          </cell>
          <cell r="AT157">
            <v>54.883819547816813</v>
          </cell>
          <cell r="AU157">
            <v>57.904276942020836</v>
          </cell>
          <cell r="AV157">
            <v>60.243294481877761</v>
          </cell>
          <cell r="AW157">
            <v>65.039691471611889</v>
          </cell>
          <cell r="AX157">
            <v>68.860071834636031</v>
          </cell>
          <cell r="AY157">
            <v>73.259694974743184</v>
          </cell>
          <cell r="AZ157">
            <v>77.500743618088677</v>
          </cell>
          <cell r="BA157">
            <v>82.284486372852044</v>
          </cell>
          <cell r="BB157">
            <v>85.532800509751723</v>
          </cell>
          <cell r="BC157">
            <v>89.420395736213948</v>
          </cell>
          <cell r="BD157">
            <v>94.645116069353605</v>
          </cell>
          <cell r="BE157">
            <v>98.493317367980154</v>
          </cell>
          <cell r="BF157">
            <v>100</v>
          </cell>
          <cell r="BG157">
            <v>104.42334194356455</v>
          </cell>
          <cell r="BH157">
            <v>107.33403090799773</v>
          </cell>
          <cell r="BI157">
            <v>113.08610895858196</v>
          </cell>
          <cell r="BJ157">
            <v>120.73161798521046</v>
          </cell>
          <cell r="BK157">
            <v>127.12685903836551</v>
          </cell>
          <cell r="BN157" t="str">
            <v>Mexico</v>
          </cell>
        </row>
        <row r="158">
          <cell r="Z158">
            <v>49.106987376559722</v>
          </cell>
          <cell r="AA158">
            <v>52.730292962851102</v>
          </cell>
          <cell r="AB158">
            <v>54.581419124741473</v>
          </cell>
          <cell r="AC158">
            <v>56.823145135405582</v>
          </cell>
          <cell r="AD158">
            <v>58.917520305389829</v>
          </cell>
          <cell r="AE158">
            <v>60.363285874156617</v>
          </cell>
          <cell r="AF158">
            <v>62.089776475621719</v>
          </cell>
          <cell r="AG158">
            <v>64.649893862887865</v>
          </cell>
          <cell r="AH158">
            <v>67.725306795695602</v>
          </cell>
          <cell r="AI158">
            <v>71.104716273372077</v>
          </cell>
          <cell r="AJ158">
            <v>74.691437375864311</v>
          </cell>
          <cell r="AK158">
            <v>76.942640500609187</v>
          </cell>
          <cell r="AL158">
            <v>79.27687085077909</v>
          </cell>
          <cell r="AM158">
            <v>81.357629230358071</v>
          </cell>
          <cell r="AN158">
            <v>83.641461064597252</v>
          </cell>
          <cell r="AO158">
            <v>85.98002398115014</v>
          </cell>
          <cell r="AP158">
            <v>88.116119608137339</v>
          </cell>
          <cell r="AQ158">
            <v>92.754692895742139</v>
          </cell>
          <cell r="AR158">
            <v>94.400518255207473</v>
          </cell>
          <cell r="AS158">
            <v>91.591852168643484</v>
          </cell>
          <cell r="AT158">
            <v>90.231863843658431</v>
          </cell>
          <cell r="AU158">
            <v>95.249407626819021</v>
          </cell>
          <cell r="AV158">
            <v>96.728518491131581</v>
          </cell>
          <cell r="AW158">
            <v>100</v>
          </cell>
          <cell r="AX158">
            <v>102.04566910026071</v>
          </cell>
          <cell r="AY158">
            <v>104.97755378157696</v>
          </cell>
          <cell r="AZ158">
            <v>106.09530926536546</v>
          </cell>
          <cell r="BA158">
            <v>109.30921198541101</v>
          </cell>
          <cell r="BB158">
            <v>111.00269910735261</v>
          </cell>
          <cell r="BC158">
            <v>112.71229750688356</v>
          </cell>
          <cell r="BD158">
            <v>116.96589929446581</v>
          </cell>
          <cell r="BE158">
            <v>120.85435005318072</v>
          </cell>
          <cell r="BF158">
            <v>121.04030790292202</v>
          </cell>
          <cell r="BG158">
            <v>117.05461934826505</v>
          </cell>
          <cell r="BH158">
            <v>115.28659028707146</v>
          </cell>
          <cell r="BI158">
            <v>122.44239007607878</v>
          </cell>
          <cell r="BJ158">
            <v>124.0670365261565</v>
          </cell>
          <cell r="BK158">
            <v>125.39848764985184</v>
          </cell>
        </row>
        <row r="160">
          <cell r="AI160">
            <v>0.17344361386568372</v>
          </cell>
          <cell r="AJ160">
            <v>0.33634414785466921</v>
          </cell>
          <cell r="AK160">
            <v>4.6135117255176565</v>
          </cell>
          <cell r="AL160">
            <v>25.011204473427203</v>
          </cell>
          <cell r="AM160">
            <v>62.999649014637235</v>
          </cell>
          <cell r="AN160">
            <v>73.767307301434144</v>
          </cell>
          <cell r="AO160">
            <v>75.880608561720194</v>
          </cell>
          <cell r="AP160">
            <v>78.862176836653788</v>
          </cell>
          <cell r="AQ160">
            <v>79.959708812339116</v>
          </cell>
          <cell r="AR160">
            <v>82.149059145159441</v>
          </cell>
          <cell r="AS160">
            <v>88.867523964059274</v>
          </cell>
          <cell r="AT160">
            <v>93.061147736825802</v>
          </cell>
          <cell r="AU160">
            <v>93.939614114501396</v>
          </cell>
          <cell r="AV160">
            <v>95.491166780983789</v>
          </cell>
          <cell r="AW160">
            <v>95.332287613654103</v>
          </cell>
          <cell r="AX160">
            <v>100</v>
          </cell>
          <cell r="AY160">
            <v>103.25262417820976</v>
          </cell>
          <cell r="AZ160">
            <v>107.99455522249737</v>
          </cell>
          <cell r="BA160">
            <v>113.92474579808278</v>
          </cell>
          <cell r="BB160">
            <v>114.26091221997778</v>
          </cell>
          <cell r="BC160">
            <v>116.59330082306612</v>
          </cell>
          <cell r="BD160">
            <v>120.93310441671854</v>
          </cell>
          <cell r="BE160">
            <v>122.14574167663386</v>
          </cell>
          <cell r="BF160">
            <v>127.62255188652858</v>
          </cell>
          <cell r="BG160">
            <v>129.46856228652192</v>
          </cell>
          <cell r="BH160">
            <v>132.06268650368932</v>
          </cell>
          <cell r="BI160">
            <v>136.63867862762891</v>
          </cell>
          <cell r="BJ160">
            <v>141.30793487826344</v>
          </cell>
          <cell r="BK160">
            <v>147.39708780991967</v>
          </cell>
        </row>
        <row r="161">
          <cell r="L161">
            <v>10.000855680036127</v>
          </cell>
          <cell r="M161">
            <v>12.109680862756866</v>
          </cell>
          <cell r="N161">
            <v>12.54434043016516</v>
          </cell>
          <cell r="O161">
            <v>13.300732130105283</v>
          </cell>
          <cell r="P161">
            <v>14.19127468125998</v>
          </cell>
          <cell r="Q161">
            <v>15.10977856860759</v>
          </cell>
          <cell r="R161">
            <v>15.70770767767176</v>
          </cell>
          <cell r="S161">
            <v>16.46451246546895</v>
          </cell>
          <cell r="T161">
            <v>20.249561998838303</v>
          </cell>
          <cell r="U161">
            <v>22.466147428228233</v>
          </cell>
          <cell r="V161">
            <v>24.277805521554637</v>
          </cell>
          <cell r="W161">
            <v>26.356507932188357</v>
          </cell>
          <cell r="X161">
            <v>29.366749299696266</v>
          </cell>
          <cell r="Y161">
            <v>33.625413388373481</v>
          </cell>
          <cell r="Z161">
            <v>37.25981866597342</v>
          </cell>
          <cell r="AA161">
            <v>42.160863317847955</v>
          </cell>
          <cell r="AB161">
            <v>46.721572661938012</v>
          </cell>
          <cell r="AC161">
            <v>51.044251560016761</v>
          </cell>
          <cell r="AD161">
            <v>49.266640436117449</v>
          </cell>
          <cell r="AE161">
            <v>49.198504624548988</v>
          </cell>
          <cell r="AF161">
            <v>48.260519182556465</v>
          </cell>
          <cell r="AG161">
            <v>46.208032333735233</v>
          </cell>
          <cell r="AH161">
            <v>47.786211524064385</v>
          </cell>
          <cell r="AI161">
            <v>51.418973155970185</v>
          </cell>
          <cell r="AJ161">
            <v>48.428416214845782</v>
          </cell>
          <cell r="AK161">
            <v>48.786213501451641</v>
          </cell>
          <cell r="AL161">
            <v>50.364493442960843</v>
          </cell>
          <cell r="AM161">
            <v>70.289871575756706</v>
          </cell>
          <cell r="AN161">
            <v>81.401986054639835</v>
          </cell>
          <cell r="AO161">
            <v>80.057128216810597</v>
          </cell>
          <cell r="AP161">
            <v>84.524474348299776</v>
          </cell>
          <cell r="AQ161">
            <v>85.994840997265669</v>
          </cell>
          <cell r="AR161">
            <v>100</v>
          </cell>
          <cell r="AS161">
            <v>99.380272079614983</v>
          </cell>
          <cell r="AT161">
            <v>104.02964104630807</v>
          </cell>
          <cell r="AU161">
            <v>107.68407929303163</v>
          </cell>
          <cell r="AV161">
            <v>99.506244198205678</v>
          </cell>
          <cell r="AW161">
            <v>103.08709992623544</v>
          </cell>
          <cell r="AX161">
            <v>110.82041211107172</v>
          </cell>
          <cell r="AY161">
            <v>115.97009631743084</v>
          </cell>
          <cell r="AZ161">
            <v>121.25258764210238</v>
          </cell>
          <cell r="BA161">
            <v>129.43897344683469</v>
          </cell>
          <cell r="BB161">
            <v>136.13803883882787</v>
          </cell>
          <cell r="BC161">
            <v>142.08468318986013</v>
          </cell>
          <cell r="BD161">
            <v>159.3528342579269</v>
          </cell>
          <cell r="BE161">
            <v>166.69074761436252</v>
          </cell>
          <cell r="BF161">
            <v>167.85949520122185</v>
          </cell>
          <cell r="BG161">
            <v>169.95858648142155</v>
          </cell>
          <cell r="BH161">
            <v>175.20461115357108</v>
          </cell>
          <cell r="BI161">
            <v>177.58687978274037</v>
          </cell>
          <cell r="BJ161">
            <v>181.07355424867626</v>
          </cell>
          <cell r="BK161">
            <v>184.74414583439608</v>
          </cell>
        </row>
        <row r="162">
          <cell r="O162">
            <v>28.454254359476845</v>
          </cell>
          <cell r="P162">
            <v>28.634424681693073</v>
          </cell>
          <cell r="Q162">
            <v>28.284144145659607</v>
          </cell>
          <cell r="R162">
            <v>30.741124981751426</v>
          </cell>
          <cell r="S162">
            <v>31.775169169810592</v>
          </cell>
          <cell r="T162">
            <v>33.479348886062141</v>
          </cell>
          <cell r="U162">
            <v>35.162257283267436</v>
          </cell>
          <cell r="V162">
            <v>36.892425277396192</v>
          </cell>
          <cell r="W162">
            <v>38.425298921238742</v>
          </cell>
          <cell r="X162">
            <v>40.81015822165714</v>
          </cell>
          <cell r="Y162">
            <v>45.867584871201458</v>
          </cell>
          <cell r="Z162">
            <v>49.436238691319588</v>
          </cell>
          <cell r="AA162">
            <v>51.137681499923424</v>
          </cell>
          <cell r="AB162">
            <v>50.98146399728499</v>
          </cell>
          <cell r="AC162">
            <v>50.89140648655345</v>
          </cell>
          <cell r="AD162">
            <v>51.215337201800523</v>
          </cell>
          <cell r="AE162">
            <v>53.016942139854926</v>
          </cell>
          <cell r="AF162">
            <v>54.634738170174337</v>
          </cell>
          <cell r="AG162">
            <v>55.650704627831935</v>
          </cell>
          <cell r="AH162">
            <v>56.845546614244604</v>
          </cell>
          <cell r="AI162">
            <v>58.636778118715107</v>
          </cell>
          <cell r="AJ162">
            <v>60.60162259771559</v>
          </cell>
          <cell r="AK162">
            <v>62.755657836673848</v>
          </cell>
          <cell r="AL162">
            <v>64.547021803760003</v>
          </cell>
          <cell r="AM162">
            <v>66.846021524862138</v>
          </cell>
          <cell r="AN162">
            <v>67.36848161420312</v>
          </cell>
          <cell r="AO162">
            <v>68.785195303854636</v>
          </cell>
          <cell r="AP162">
            <v>72.629023722036564</v>
          </cell>
          <cell r="AQ162">
            <v>73.629425723659779</v>
          </cell>
          <cell r="AR162">
            <v>75.946726513106995</v>
          </cell>
          <cell r="AS162">
            <v>81.513836338007266</v>
          </cell>
          <cell r="AT162">
            <v>83.71617137379252</v>
          </cell>
          <cell r="AU162">
            <v>84.801833088682827</v>
          </cell>
          <cell r="AV162">
            <v>83.70197091632771</v>
          </cell>
          <cell r="AW162">
            <v>84.592523072110112</v>
          </cell>
          <cell r="AX162">
            <v>86.112134507820642</v>
          </cell>
          <cell r="AY162">
            <v>88.578429760221027</v>
          </cell>
          <cell r="AZ162">
            <v>91.056460540882483</v>
          </cell>
          <cell r="BA162">
            <v>93.788449178220546</v>
          </cell>
          <cell r="BB162">
            <v>96.311404678601136</v>
          </cell>
          <cell r="BC162">
            <v>100</v>
          </cell>
          <cell r="BD162">
            <v>102.1986733782558</v>
          </cell>
          <cell r="BE162">
            <v>104.40486244885246</v>
          </cell>
          <cell r="BF162">
            <v>106.50428532212928</v>
          </cell>
          <cell r="BG162">
            <v>109.13226679631791</v>
          </cell>
          <cell r="BH162">
            <v>111.91976671895623</v>
          </cell>
          <cell r="BI162">
            <v>113.49710524436335</v>
          </cell>
          <cell r="BJ162">
            <v>116.33038361498669</v>
          </cell>
          <cell r="BK162">
            <v>118.8896408104263</v>
          </cell>
        </row>
        <row r="163">
          <cell r="E163">
            <v>0.22871313963145462</v>
          </cell>
          <cell r="F163">
            <v>0.23202819285105938</v>
          </cell>
          <cell r="G163">
            <v>0.23342232875319577</v>
          </cell>
          <cell r="H163">
            <v>0.23562532657382859</v>
          </cell>
          <cell r="I163">
            <v>0.22686868738488455</v>
          </cell>
          <cell r="J163">
            <v>0.23070527138120378</v>
          </cell>
          <cell r="K163">
            <v>0.23890733115984919</v>
          </cell>
          <cell r="L163">
            <v>0.27711241295278516</v>
          </cell>
          <cell r="M163">
            <v>0.28180349267413329</v>
          </cell>
          <cell r="N163">
            <v>0.28958761771675756</v>
          </cell>
          <cell r="O163">
            <v>0.28545054147291737</v>
          </cell>
          <cell r="P163">
            <v>0.27885825354851868</v>
          </cell>
          <cell r="Q163">
            <v>0.28096498843013257</v>
          </cell>
          <cell r="R163">
            <v>0.30907506342298269</v>
          </cell>
          <cell r="S163">
            <v>0.48376705607643</v>
          </cell>
          <cell r="T163">
            <v>0.56357250042702889</v>
          </cell>
          <cell r="U163">
            <v>0.62065515645860869</v>
          </cell>
          <cell r="V163">
            <v>0.63258290319083499</v>
          </cell>
          <cell r="W163">
            <v>0.63762684345135456</v>
          </cell>
          <cell r="X163">
            <v>0.67344011087092803</v>
          </cell>
          <cell r="Y163">
            <v>0.68175833356281301</v>
          </cell>
          <cell r="Z163">
            <v>0.71192739264387228</v>
          </cell>
          <cell r="AA163">
            <v>0.73595115774722297</v>
          </cell>
          <cell r="AB163">
            <v>0.7503562154227299</v>
          </cell>
          <cell r="AC163">
            <v>0.76924935087735946</v>
          </cell>
          <cell r="AD163">
            <v>0.78130541774762385</v>
          </cell>
          <cell r="AE163">
            <v>0.8325161570605546</v>
          </cell>
          <cell r="AF163">
            <v>1.0093294476949561</v>
          </cell>
          <cell r="AG163">
            <v>1.2636362717236522</v>
          </cell>
          <cell r="AH163">
            <v>1.9925582599944216</v>
          </cell>
          <cell r="AI163">
            <v>2.3619704989995349</v>
          </cell>
          <cell r="AJ163">
            <v>2.9229112054688904</v>
          </cell>
          <cell r="AK163">
            <v>3.5585118502064126</v>
          </cell>
          <cell r="AL163">
            <v>4.8484520567780729</v>
          </cell>
          <cell r="AM163">
            <v>5.9189975675718287</v>
          </cell>
          <cell r="AN163">
            <v>7.0791710251201927</v>
          </cell>
          <cell r="AO163">
            <v>8.7100345607071183</v>
          </cell>
          <cell r="AP163">
            <v>11.653523190542705</v>
          </cell>
          <cell r="AQ163">
            <v>15.828425814131231</v>
          </cell>
          <cell r="AR163">
            <v>19.412058984975417</v>
          </cell>
          <cell r="AS163">
            <v>19.889940003633907</v>
          </cell>
          <cell r="AT163">
            <v>24.831489142276229</v>
          </cell>
          <cell r="AU163">
            <v>35.138774092223208</v>
          </cell>
          <cell r="AV163">
            <v>42.341006771624166</v>
          </cell>
          <cell r="AW163">
            <v>43.865760655475775</v>
          </cell>
          <cell r="AX163">
            <v>52.271988816269278</v>
          </cell>
          <cell r="AY163">
            <v>63.406183170103994</v>
          </cell>
          <cell r="AZ163">
            <v>78.397882860229032</v>
          </cell>
          <cell r="BA163">
            <v>89.074622364862165</v>
          </cell>
          <cell r="BB163">
            <v>93.420216220187726</v>
          </cell>
          <cell r="BC163">
            <v>100</v>
          </cell>
          <cell r="BD163">
            <v>110.25457666826696</v>
          </cell>
          <cell r="BE163">
            <v>113.70565181258488</v>
          </cell>
          <cell r="BF163">
            <v>118.68376580173737</v>
          </cell>
          <cell r="BG163">
            <v>123.63706998555256</v>
          </cell>
          <cell r="BH163">
            <v>128.75156062794287</v>
          </cell>
          <cell r="BI163">
            <v>133.4068026030051</v>
          </cell>
          <cell r="BJ163">
            <v>141.71063553997826</v>
          </cell>
          <cell r="BK163">
            <v>153.44240017628786</v>
          </cell>
        </row>
        <row r="165">
          <cell r="AS165">
            <v>61.253673097168416</v>
          </cell>
          <cell r="AT165">
            <v>73.629822741734884</v>
          </cell>
          <cell r="AU165">
            <v>75.89405662726854</v>
          </cell>
          <cell r="AV165">
            <v>82.209029607930461</v>
          </cell>
          <cell r="AW165">
            <v>87.047626504848949</v>
          </cell>
          <cell r="AX165">
            <v>90.820780884158992</v>
          </cell>
          <cell r="AY165">
            <v>100</v>
          </cell>
          <cell r="AZ165">
            <v>116.04154842085008</v>
          </cell>
          <cell r="BA165">
            <v>124.89450702453426</v>
          </cell>
          <cell r="BB165">
            <v>127.90180899151787</v>
          </cell>
          <cell r="BC165">
            <v>129.95364343967782</v>
          </cell>
          <cell r="BD165">
            <v>131.51660132827382</v>
          </cell>
          <cell r="BE165">
            <v>131.74937811483517</v>
          </cell>
          <cell r="BF165">
            <v>134.47259525819698</v>
          </cell>
          <cell r="BG165">
            <v>135.86602003774314</v>
          </cell>
          <cell r="BH165">
            <v>138.88161241231572</v>
          </cell>
          <cell r="BI165">
            <v>145.96601322630721</v>
          </cell>
          <cell r="BJ165">
            <v>151.54913496851586</v>
          </cell>
          <cell r="BK165">
            <v>155.29074075611851</v>
          </cell>
        </row>
        <row r="166">
          <cell r="Z166">
            <v>0.20449517790015925</v>
          </cell>
          <cell r="AA166">
            <v>0.20854708870670569</v>
          </cell>
          <cell r="AB166">
            <v>0.2104328762588441</v>
          </cell>
          <cell r="AC166">
            <v>0.20393556388184469</v>
          </cell>
          <cell r="AD166">
            <v>0.20098245270030726</v>
          </cell>
          <cell r="AE166">
            <v>0.18254761870092573</v>
          </cell>
          <cell r="AF166">
            <v>0.1840258689125624</v>
          </cell>
          <cell r="AG166">
            <v>0.18573912714282251</v>
          </cell>
          <cell r="AH166">
            <v>0.19901527485173429</v>
          </cell>
          <cell r="AI166">
            <v>0.24527224653757931</v>
          </cell>
          <cell r="AJ166">
            <v>0.47416018702406232</v>
          </cell>
          <cell r="AK166">
            <v>1.2977322521006778</v>
          </cell>
          <cell r="AL166">
            <v>5.4361643963144877</v>
          </cell>
          <cell r="AM166">
            <v>8.9326720843967653</v>
          </cell>
          <cell r="AN166">
            <v>14.316610205041504</v>
          </cell>
          <cell r="AO166">
            <v>15.863888261752363</v>
          </cell>
          <cell r="AP166">
            <v>19.301931420591856</v>
          </cell>
          <cell r="AQ166">
            <v>18.9290572903728</v>
          </cell>
          <cell r="AR166">
            <v>20.988871303498442</v>
          </cell>
          <cell r="AS166">
            <v>23.507471085831259</v>
          </cell>
          <cell r="AT166">
            <v>25.963659700164047</v>
          </cell>
          <cell r="AU166">
            <v>27.617463647995688</v>
          </cell>
          <cell r="AV166">
            <v>30.444545898639458</v>
          </cell>
          <cell r="AW166">
            <v>35.526189061213955</v>
          </cell>
          <cell r="AX166">
            <v>42.666398418294989</v>
          </cell>
          <cell r="AY166">
            <v>52.047361978317177</v>
          </cell>
          <cell r="AZ166">
            <v>58.099724676775764</v>
          </cell>
          <cell r="BA166">
            <v>70.561391554811209</v>
          </cell>
          <cell r="BB166">
            <v>71.850339097057443</v>
          </cell>
          <cell r="BC166">
            <v>100</v>
          </cell>
          <cell r="BD166">
            <v>115.11926549129072</v>
          </cell>
          <cell r="BE166">
            <v>129.83654852667968</v>
          </cell>
          <cell r="BF166">
            <v>133.61199844583592</v>
          </cell>
          <cell r="BG166">
            <v>143.56453788550309</v>
          </cell>
          <cell r="BH166">
            <v>146.05252439711492</v>
          </cell>
          <cell r="BI166">
            <v>149.30767327251007</v>
          </cell>
          <cell r="BJ166">
            <v>165.19817996933281</v>
          </cell>
          <cell r="BK166">
            <v>178.11121383909591</v>
          </cell>
        </row>
        <row r="167">
          <cell r="AU167">
            <v>87.406398910823697</v>
          </cell>
          <cell r="AV167">
            <v>84</v>
          </cell>
          <cell r="AW167">
            <v>84.674597620713783</v>
          </cell>
          <cell r="AX167">
            <v>85.016025641025635</v>
          </cell>
          <cell r="AY167">
            <v>85.197934595524956</v>
          </cell>
          <cell r="AZ167">
            <v>86.53136531365314</v>
          </cell>
          <cell r="BA167">
            <v>97.406639004149369</v>
          </cell>
          <cell r="BB167">
            <v>100</v>
          </cell>
          <cell r="BC167">
            <v>99.131513647642677</v>
          </cell>
          <cell r="BD167">
            <v>98.521505376344081</v>
          </cell>
          <cell r="BE167">
            <v>100.40106951871657</v>
          </cell>
          <cell r="BF167">
            <v>102.08877284595302</v>
          </cell>
          <cell r="BG167">
            <v>106.28930817610063</v>
          </cell>
          <cell r="BH167">
            <v>113.2603406326034</v>
          </cell>
          <cell r="BI167">
            <v>118.59582542694498</v>
          </cell>
          <cell r="BJ167">
            <v>120.77331311599697</v>
          </cell>
        </row>
        <row r="168">
          <cell r="Y168">
            <v>0.16046425712909965</v>
          </cell>
          <cell r="Z168">
            <v>0.16701222698611656</v>
          </cell>
          <cell r="AA168">
            <v>0.19617192816446713</v>
          </cell>
          <cell r="AB168">
            <v>0.2217386494705503</v>
          </cell>
          <cell r="AC168">
            <v>0.2609323411156268</v>
          </cell>
          <cell r="AD168">
            <v>0.34743094737370156</v>
          </cell>
          <cell r="AE168">
            <v>0.39158850701754255</v>
          </cell>
          <cell r="AF168">
            <v>1.1021259782637345</v>
          </cell>
          <cell r="AG168">
            <v>1.6347335900961022</v>
          </cell>
          <cell r="AH168">
            <v>2.4091984550183345</v>
          </cell>
          <cell r="AI168">
            <v>3.2296518325573467</v>
          </cell>
          <cell r="AJ168">
            <v>6.175945269127765</v>
          </cell>
          <cell r="AK168">
            <v>8.1850117108406</v>
          </cell>
          <cell r="AL168">
            <v>12.109141849277744</v>
          </cell>
          <cell r="AM168">
            <v>18.267830616140049</v>
          </cell>
          <cell r="AN168">
            <v>27.365578554622271</v>
          </cell>
          <cell r="AO168">
            <v>36.994272940069564</v>
          </cell>
          <cell r="AP168">
            <v>40.924076021097996</v>
          </cell>
          <cell r="AQ168">
            <v>43.385225875394262</v>
          </cell>
          <cell r="AR168">
            <v>47.102196230484417</v>
          </cell>
          <cell r="AS168">
            <v>52.237524629939358</v>
          </cell>
          <cell r="AT168">
            <v>59.874820676759455</v>
          </cell>
          <cell r="AU168">
            <v>66.435155723035137</v>
          </cell>
          <cell r="AV168">
            <v>69.701182038555771</v>
          </cell>
          <cell r="AW168">
            <v>74.924399164775295</v>
          </cell>
          <cell r="AX168">
            <v>79.567966304428722</v>
          </cell>
          <cell r="AY168">
            <v>85.857710524196975</v>
          </cell>
          <cell r="AZ168">
            <v>91.621783874206244</v>
          </cell>
          <cell r="BA168">
            <v>98.935330590346609</v>
          </cell>
          <cell r="BB168">
            <v>100</v>
          </cell>
          <cell r="BC168">
            <v>107.64403223195566</v>
          </cell>
          <cell r="BD168">
            <v>111.23086659119478</v>
          </cell>
          <cell r="BE168">
            <v>117.74299856546344</v>
          </cell>
          <cell r="BF168">
            <v>122.35559739731117</v>
          </cell>
          <cell r="BG168">
            <v>125.57808057104667</v>
          </cell>
          <cell r="BH168">
            <v>131.08012386543857</v>
          </cell>
          <cell r="BI168">
            <v>146.70286566895018</v>
          </cell>
          <cell r="BJ168">
            <v>165.56961035325887</v>
          </cell>
          <cell r="BK168">
            <v>173.82867059649436</v>
          </cell>
        </row>
        <row r="169">
          <cell r="E169">
            <v>4.3137357775588461</v>
          </cell>
          <cell r="F169">
            <v>4.3433629138599752</v>
          </cell>
          <cell r="G169">
            <v>4.4490223107078046</v>
          </cell>
          <cell r="H169">
            <v>4.6472369112109702</v>
          </cell>
          <cell r="I169">
            <v>4.8579429885148278</v>
          </cell>
          <cell r="J169">
            <v>4.7576050377885117</v>
          </cell>
          <cell r="K169">
            <v>4.9547163693527532</v>
          </cell>
          <cell r="L169">
            <v>5.0727160923685073</v>
          </cell>
          <cell r="M169">
            <v>5.0721283932413677</v>
          </cell>
          <cell r="N169">
            <v>4.9940746978797224</v>
          </cell>
          <cell r="O169">
            <v>5.0004750356713252</v>
          </cell>
          <cell r="P169">
            <v>5.3141021333084115</v>
          </cell>
          <cell r="Q169">
            <v>5.6925840958511262</v>
          </cell>
          <cell r="R169">
            <v>6.6325843727644243</v>
          </cell>
          <cell r="S169">
            <v>7.4738858552154186</v>
          </cell>
          <cell r="T169">
            <v>8.5952949986794653</v>
          </cell>
          <cell r="U169">
            <v>9.1136463809800325</v>
          </cell>
          <cell r="V169">
            <v>9.6956934436478051</v>
          </cell>
          <cell r="W169">
            <v>9.9370385646368309</v>
          </cell>
          <cell r="X169">
            <v>11.152827099381762</v>
          </cell>
          <cell r="Y169">
            <v>11.88305276769772</v>
          </cell>
          <cell r="Z169">
            <v>12.746368795504658</v>
          </cell>
          <cell r="AA169">
            <v>14.031962179390684</v>
          </cell>
          <cell r="AB169">
            <v>15.050093118809871</v>
          </cell>
          <cell r="AC169">
            <v>16.692450584734601</v>
          </cell>
          <cell r="AD169">
            <v>18.402579760458124</v>
          </cell>
          <cell r="AE169">
            <v>19.7386533642247</v>
          </cell>
          <cell r="AF169">
            <v>21.803736519319301</v>
          </cell>
          <cell r="AG169">
            <v>22.977474135516154</v>
          </cell>
          <cell r="AH169">
            <v>24.81018615969074</v>
          </cell>
          <cell r="AI169">
            <v>25.465789758497941</v>
          </cell>
          <cell r="AJ169">
            <v>36.01196417161642</v>
          </cell>
          <cell r="AK169">
            <v>38.079750138074708</v>
          </cell>
          <cell r="AL169">
            <v>42.61614691623992</v>
          </cell>
          <cell r="AM169">
            <v>47.343386198823737</v>
          </cell>
          <cell r="AN169">
            <v>48.688847394467409</v>
          </cell>
          <cell r="AO169">
            <v>49.593030304107863</v>
          </cell>
          <cell r="AP169">
            <v>55.582412010541141</v>
          </cell>
          <cell r="AQ169">
            <v>65.838263712479929</v>
          </cell>
          <cell r="AR169">
            <v>69.456026017763406</v>
          </cell>
          <cell r="AS169">
            <v>73.209201621059563</v>
          </cell>
          <cell r="AT169">
            <v>76.897510228154005</v>
          </cell>
          <cell r="AU169">
            <v>83.014290350557516</v>
          </cell>
          <cell r="AV169">
            <v>89.483123585283479</v>
          </cell>
          <cell r="AW169">
            <v>99.999994628114052</v>
          </cell>
          <cell r="AX169">
            <v>109.55534811815613</v>
          </cell>
          <cell r="AY169">
            <v>129.77607103679628</v>
          </cell>
          <cell r="AZ169">
            <v>134.14370284256185</v>
          </cell>
          <cell r="BA169">
            <v>146.80636143092946</v>
          </cell>
          <cell r="BB169">
            <v>148.45251963850001</v>
          </cell>
          <cell r="BC169">
            <v>176.47674188468224</v>
          </cell>
          <cell r="BD169">
            <v>204.54314038136897</v>
          </cell>
          <cell r="BE169">
            <v>206.56352215356151</v>
          </cell>
          <cell r="BF169">
            <v>212.78663321618581</v>
          </cell>
          <cell r="BG169">
            <v>193.30346498891439</v>
          </cell>
          <cell r="BH169">
            <v>183.89716351880517</v>
          </cell>
          <cell r="BI169">
            <v>191.43691881024949</v>
          </cell>
          <cell r="BJ169">
            <v>198.62698158404328</v>
          </cell>
          <cell r="BK169">
            <v>206.17163501242271</v>
          </cell>
        </row>
        <row r="170">
          <cell r="U170">
            <v>8.0604005370899152</v>
          </cell>
          <cell r="V170">
            <v>8.751935299419122</v>
          </cell>
          <cell r="W170">
            <v>9.6929259317648704</v>
          </cell>
          <cell r="X170">
            <v>11.431494354883535</v>
          </cell>
          <cell r="Y170">
            <v>14.468793268421965</v>
          </cell>
          <cell r="Z170">
            <v>16.040668423767894</v>
          </cell>
          <cell r="AA170">
            <v>17.462711807904803</v>
          </cell>
          <cell r="AB170">
            <v>18.935989023033596</v>
          </cell>
          <cell r="AC170">
            <v>20.349309547721127</v>
          </cell>
          <cell r="AD170">
            <v>22.017856189115236</v>
          </cell>
          <cell r="AE170">
            <v>23.784252109679745</v>
          </cell>
          <cell r="AF170">
            <v>26.855987636481537</v>
          </cell>
          <cell r="AG170">
            <v>29.779653345778144</v>
          </cell>
          <cell r="AH170">
            <v>33.069577847218355</v>
          </cell>
          <cell r="AI170">
            <v>36.569539841543531</v>
          </cell>
          <cell r="AJ170">
            <v>39.701457273469543</v>
          </cell>
          <cell r="AK170">
            <v>41.827628795744346</v>
          </cell>
          <cell r="AL170">
            <v>45.684227405663513</v>
          </cell>
          <cell r="AM170">
            <v>48.679025110650628</v>
          </cell>
          <cell r="AN170">
            <v>51.309250955294857</v>
          </cell>
          <cell r="AO170">
            <v>54.90194661416966</v>
          </cell>
          <cell r="AP170">
            <v>57.713348653163735</v>
          </cell>
          <cell r="AQ170">
            <v>61.732263558517261</v>
          </cell>
          <cell r="AR170">
            <v>65.78925384332986</v>
          </cell>
          <cell r="AS170">
            <v>68.032620842903441</v>
          </cell>
          <cell r="AT170">
            <v>72.272422368792462</v>
          </cell>
          <cell r="AU170">
            <v>76.767249663968826</v>
          </cell>
          <cell r="AV170">
            <v>81.084019957468328</v>
          </cell>
          <cell r="AW170">
            <v>86.634585865610518</v>
          </cell>
          <cell r="AX170">
            <v>90.055005649865805</v>
          </cell>
          <cell r="AY170">
            <v>99.999887776653964</v>
          </cell>
          <cell r="AZ170">
            <v>108.30819374502121</v>
          </cell>
          <cell r="BA170">
            <v>114.46734800757288</v>
          </cell>
          <cell r="BB170">
            <v>113.71850166239214</v>
          </cell>
          <cell r="BC170">
            <v>114.99944837722384</v>
          </cell>
          <cell r="BD170">
            <v>118.63511429408906</v>
          </cell>
          <cell r="BE170">
            <v>121.56009098423826</v>
          </cell>
          <cell r="BF170">
            <v>124.9040645795674</v>
          </cell>
          <cell r="BG170">
            <v>126.75343848784199</v>
          </cell>
          <cell r="BH170">
            <v>127.97128007286159</v>
          </cell>
          <cell r="BI170">
            <v>130.71955301490004</v>
          </cell>
          <cell r="BJ170">
            <v>132.41481857428386</v>
          </cell>
          <cell r="BK170">
            <v>134.67656746077597</v>
          </cell>
        </row>
        <row r="171">
          <cell r="E171">
            <v>8.8626833318665624E-2</v>
          </cell>
          <cell r="F171">
            <v>8.8207728547128328E-2</v>
          </cell>
          <cell r="G171">
            <v>9.1908338512669177E-2</v>
          </cell>
          <cell r="H171">
            <v>9.7124057675474884E-2</v>
          </cell>
          <cell r="I171">
            <v>9.6549974888573156E-2</v>
          </cell>
          <cell r="J171">
            <v>0.10012962907629538</v>
          </cell>
          <cell r="K171">
            <v>0.10033722434831767</v>
          </cell>
          <cell r="L171">
            <v>9.8253642276347086E-2</v>
          </cell>
          <cell r="M171">
            <v>0.1047431531081164</v>
          </cell>
          <cell r="N171">
            <v>0.10725249283034879</v>
          </cell>
          <cell r="O171">
            <v>0.11666802926347022</v>
          </cell>
          <cell r="P171">
            <v>0.12588771076185531</v>
          </cell>
          <cell r="Q171">
            <v>0.12705152001979489</v>
          </cell>
          <cell r="R171">
            <v>0.13888387130629168</v>
          </cell>
          <cell r="S171">
            <v>0.16429514820161606</v>
          </cell>
          <cell r="T171">
            <v>0.17775489086147528</v>
          </cell>
          <cell r="U171">
            <v>0.19559740701426634</v>
          </cell>
          <cell r="V171">
            <v>0.22176495527241963</v>
          </cell>
          <cell r="W171">
            <v>0.22225234624657217</v>
          </cell>
          <cell r="X171">
            <v>0.22985662476467869</v>
          </cell>
          <cell r="Y171">
            <v>0.26615731467071757</v>
          </cell>
          <cell r="Z171">
            <v>0.30982238880334667</v>
          </cell>
          <cell r="AA171">
            <v>0.33976132668030168</v>
          </cell>
          <cell r="AB171">
            <v>0.3779157391992688</v>
          </cell>
          <cell r="AC171">
            <v>0.42618334902077037</v>
          </cell>
          <cell r="AD171">
            <v>0.46424508535583675</v>
          </cell>
          <cell r="AE171">
            <v>0.52696127388150837</v>
          </cell>
          <cell r="AF171">
            <v>0.61508957532820097</v>
          </cell>
          <cell r="AG171">
            <v>0.80633203255372576</v>
          </cell>
          <cell r="AH171">
            <v>0.98783320489936821</v>
          </cell>
          <cell r="AI171">
            <v>1.0931444659022118</v>
          </cell>
          <cell r="AJ171">
            <v>1.2100275174634971</v>
          </cell>
          <cell r="AK171">
            <v>1.3706758666796406</v>
          </cell>
          <cell r="AL171">
            <v>1.7568592231679991</v>
          </cell>
          <cell r="AM171">
            <v>2.2166622934210043</v>
          </cell>
          <cell r="AN171">
            <v>3.928359683076208</v>
          </cell>
          <cell r="AO171">
            <v>5.9846834638316677</v>
          </cell>
          <cell r="AP171">
            <v>7.2315827084249271</v>
          </cell>
          <cell r="AQ171">
            <v>8.645247552797187</v>
          </cell>
          <cell r="AR171">
            <v>12.076613594477593</v>
          </cell>
          <cell r="AS171">
            <v>15.764080931150392</v>
          </cell>
          <cell r="AT171">
            <v>19.803227411207502</v>
          </cell>
          <cell r="AU171">
            <v>42.120206801881658</v>
          </cell>
          <cell r="AV171">
            <v>46.478003110705735</v>
          </cell>
          <cell r="AW171">
            <v>53.378419111000376</v>
          </cell>
          <cell r="AX171">
            <v>59.111921089155771</v>
          </cell>
          <cell r="AY171">
            <v>70.914951667357073</v>
          </cell>
          <cell r="AZ171">
            <v>73.822267139336432</v>
          </cell>
          <cell r="BA171">
            <v>82.654855680807501</v>
          </cell>
          <cell r="BB171">
            <v>89.184442593220908</v>
          </cell>
          <cell r="BC171">
            <v>100</v>
          </cell>
          <cell r="BD171">
            <v>114.07576137367697</v>
          </cell>
          <cell r="BE171">
            <v>134.21709329113907</v>
          </cell>
          <cell r="BF171">
            <v>170.85889194025557</v>
          </cell>
          <cell r="BG171">
            <v>206.54055613105822</v>
          </cell>
          <cell r="BH171">
            <v>248.95295407974422</v>
          </cell>
          <cell r="BI171">
            <v>297.6086483847219</v>
          </cell>
          <cell r="BJ171">
            <v>337.67125196963605</v>
          </cell>
          <cell r="BK171">
            <v>366.70771711485111</v>
          </cell>
        </row>
        <row r="172">
          <cell r="E172">
            <v>16.490453410146021</v>
          </cell>
          <cell r="F172">
            <v>15.211027961861511</v>
          </cell>
          <cell r="G172">
            <v>15.042041674154893</v>
          </cell>
          <cell r="H172">
            <v>17.574764465995493</v>
          </cell>
          <cell r="I172">
            <v>17.772783909593766</v>
          </cell>
          <cell r="J172">
            <v>18.244190047492211</v>
          </cell>
          <cell r="K172">
            <v>17.992868863966283</v>
          </cell>
          <cell r="L172">
            <v>17.574879103339264</v>
          </cell>
          <cell r="M172">
            <v>16.998301006684475</v>
          </cell>
          <cell r="N172">
            <v>17.832232053351621</v>
          </cell>
          <cell r="O172">
            <v>17.741388012438296</v>
          </cell>
          <cell r="P172">
            <v>17.658242294187019</v>
          </cell>
          <cell r="Q172">
            <v>17.718958950475692</v>
          </cell>
          <cell r="R172">
            <v>20.886066886121885</v>
          </cell>
          <cell r="S172">
            <v>23.540526335886387</v>
          </cell>
          <cell r="T172">
            <v>22.816048205803181</v>
          </cell>
          <cell r="U172">
            <v>25.719655310449124</v>
          </cell>
          <cell r="V172">
            <v>27.485340757952393</v>
          </cell>
          <cell r="W172">
            <v>30.190002975172302</v>
          </cell>
          <cell r="X172">
            <v>33.830759344390351</v>
          </cell>
          <cell r="Y172">
            <v>36.156650684111511</v>
          </cell>
          <cell r="Z172">
            <v>36.539918098540056</v>
          </cell>
          <cell r="AA172">
            <v>37.474994968130403</v>
          </cell>
          <cell r="AB172">
            <v>39.689912277831354</v>
          </cell>
          <cell r="AC172">
            <v>41.592164051729341</v>
          </cell>
          <cell r="AD172">
            <v>40.924226255233627</v>
          </cell>
          <cell r="AE172">
            <v>37.356730551936437</v>
          </cell>
          <cell r="AF172">
            <v>40.22076452428977</v>
          </cell>
          <cell r="AG172">
            <v>41.676766758002813</v>
          </cell>
          <cell r="AH172">
            <v>43.536260537390831</v>
          </cell>
          <cell r="AI172">
            <v>45.194040785424718</v>
          </cell>
          <cell r="AJ172">
            <v>46.813764529756384</v>
          </cell>
          <cell r="AK172">
            <v>47.943998950314665</v>
          </cell>
          <cell r="AL172">
            <v>49.855553758565854</v>
          </cell>
          <cell r="AM172">
            <v>51.818569502089929</v>
          </cell>
          <cell r="AN172">
            <v>53.701388904889022</v>
          </cell>
          <cell r="AO172">
            <v>55.677578958517259</v>
          </cell>
          <cell r="AP172">
            <v>57.616693978663704</v>
          </cell>
          <cell r="AQ172">
            <v>62.513596181337846</v>
          </cell>
          <cell r="AR172">
            <v>62.542205451164456</v>
          </cell>
          <cell r="AS172">
            <v>68.08000064924147</v>
          </cell>
          <cell r="AT172">
            <v>67.003060879649212</v>
          </cell>
          <cell r="AU172">
            <v>69.099328083360717</v>
          </cell>
          <cell r="AV172">
            <v>71.379054801508175</v>
          </cell>
          <cell r="AW172">
            <v>75.668583546971902</v>
          </cell>
          <cell r="AX172">
            <v>82.374603436193553</v>
          </cell>
          <cell r="AY172">
            <v>85.65373658594045</v>
          </cell>
          <cell r="AZ172">
            <v>89.834922966012812</v>
          </cell>
          <cell r="BA172">
            <v>99.16765484087928</v>
          </cell>
          <cell r="BB172">
            <v>93.225432224988452</v>
          </cell>
          <cell r="BC172">
            <v>100</v>
          </cell>
          <cell r="BD172">
            <v>105.41240808398462</v>
          </cell>
          <cell r="BE172">
            <v>106.46646080452851</v>
          </cell>
          <cell r="BF172">
            <v>106.6522176152783</v>
          </cell>
          <cell r="BG172">
            <v>109.28382565442803</v>
          </cell>
          <cell r="BH172">
            <v>108.88300541918312</v>
          </cell>
          <cell r="BI172">
            <v>111.00921154080265</v>
          </cell>
          <cell r="BJ172">
            <v>115.24709004035496</v>
          </cell>
          <cell r="BK172">
            <v>116.26622214994309</v>
          </cell>
        </row>
        <row r="174">
          <cell r="Y174">
            <v>5.770548750424255</v>
          </cell>
          <cell r="Z174">
            <v>5.9738457917618764</v>
          </cell>
          <cell r="AA174">
            <v>6.9889718358905064</v>
          </cell>
          <cell r="AB174">
            <v>7.9184771850905653</v>
          </cell>
          <cell r="AC174">
            <v>8.9251998445413303</v>
          </cell>
          <cell r="AD174">
            <v>11.064145660050132</v>
          </cell>
          <cell r="AE174">
            <v>12.178016808309371</v>
          </cell>
          <cell r="AF174">
            <v>13.322151862664336</v>
          </cell>
          <cell r="AG174">
            <v>16.00945174841377</v>
          </cell>
          <cell r="AH174">
            <v>18.42331760026007</v>
          </cell>
          <cell r="AI174">
            <v>19.598681720669493</v>
          </cell>
          <cell r="AJ174">
            <v>20.773804581320114</v>
          </cell>
          <cell r="AK174">
            <v>22.90715496507379</v>
          </cell>
          <cell r="AL174">
            <v>25.061201843886305</v>
          </cell>
          <cell r="AM174">
            <v>30.247407817816573</v>
          </cell>
          <cell r="AN174">
            <v>32.238759898342778</v>
          </cell>
          <cell r="AO174">
            <v>37.058563702075055</v>
          </cell>
          <cell r="AP174">
            <v>39.630689412827067</v>
          </cell>
          <cell r="AQ174">
            <v>42.932515556933453</v>
          </cell>
          <cell r="AR174">
            <v>45.808760702259413</v>
          </cell>
          <cell r="AS174">
            <v>50.476495573669503</v>
          </cell>
          <cell r="AT174">
            <v>56.118243083391796</v>
          </cell>
          <cell r="AU174">
            <v>61.781758469825974</v>
          </cell>
          <cell r="AV174">
            <v>62.484734181997894</v>
          </cell>
          <cell r="AW174">
            <v>64.004738004162988</v>
          </cell>
          <cell r="AX174">
            <v>67.533853513476672</v>
          </cell>
          <cell r="AY174">
            <v>73.89123903876245</v>
          </cell>
          <cell r="AZ174">
            <v>81.394132073736714</v>
          </cell>
          <cell r="BA174">
            <v>90.273015311221442</v>
          </cell>
          <cell r="BB174">
            <v>96.558627287215586</v>
          </cell>
          <cell r="BC174">
            <v>100.00011259203197</v>
          </cell>
          <cell r="BD174">
            <v>103.80518129575013</v>
          </cell>
          <cell r="BE174">
            <v>117.17723321138322</v>
          </cell>
          <cell r="BF174">
            <v>127.48451288410145</v>
          </cell>
          <cell r="BG174">
            <v>135.46271863381267</v>
          </cell>
          <cell r="BH174">
            <v>138.10689206070356</v>
          </cell>
          <cell r="BI174">
            <v>151.06261395254799</v>
          </cell>
          <cell r="BJ174">
            <v>165.78704160222776</v>
          </cell>
          <cell r="BK174">
            <v>176.50546101558871</v>
          </cell>
        </row>
        <row r="175">
          <cell r="J175">
            <v>18.755696327430638</v>
          </cell>
          <cell r="K175">
            <v>20.070122370526132</v>
          </cell>
          <cell r="L175">
            <v>20.877424164528772</v>
          </cell>
          <cell r="M175">
            <v>21.871244056828459</v>
          </cell>
          <cell r="N175">
            <v>24.277366476617409</v>
          </cell>
          <cell r="O175">
            <v>27.025236343076138</v>
          </cell>
          <cell r="P175">
            <v>29.055611083981365</v>
          </cell>
          <cell r="Q175">
            <v>31.311513832003989</v>
          </cell>
          <cell r="R175">
            <v>33.36710764085845</v>
          </cell>
          <cell r="S175">
            <v>37.580796429197342</v>
          </cell>
          <cell r="T175">
            <v>40.253626852908468</v>
          </cell>
          <cell r="U175">
            <v>42.886971349929851</v>
          </cell>
          <cell r="V175">
            <v>45.403243235075593</v>
          </cell>
          <cell r="W175">
            <v>38.36078998378494</v>
          </cell>
          <cell r="X175">
            <v>51.809144379255024</v>
          </cell>
          <cell r="Y175">
            <v>58.336512375962101</v>
          </cell>
          <cell r="Z175">
            <v>66.354486639740145</v>
          </cell>
          <cell r="AA175">
            <v>72.886071561102867</v>
          </cell>
          <cell r="AB175">
            <v>78.548638521807561</v>
          </cell>
          <cell r="AC175">
            <v>85.492080693222974</v>
          </cell>
          <cell r="AD175">
            <v>90.32288282628997</v>
          </cell>
          <cell r="AE175">
            <v>98.833918354375569</v>
          </cell>
          <cell r="AF175">
            <v>100.51694616946617</v>
          </cell>
          <cell r="AG175">
            <v>103.08941629988841</v>
          </cell>
          <cell r="AH175">
            <v>104.86093775555001</v>
          </cell>
          <cell r="AI175">
            <v>100</v>
          </cell>
          <cell r="AJ175">
            <v>103.63040906115096</v>
          </cell>
          <cell r="AK175">
            <v>106.57529092543936</v>
          </cell>
          <cell r="AL175">
            <v>109.46911157830705</v>
          </cell>
          <cell r="AM175">
            <v>112.63462299605234</v>
          </cell>
          <cell r="AN175">
            <v>114.13438790842731</v>
          </cell>
          <cell r="AO175">
            <v>115.7576962923859</v>
          </cell>
          <cell r="AP175">
            <v>118.14051786189714</v>
          </cell>
          <cell r="AQ175">
            <v>118.38487887908404</v>
          </cell>
          <cell r="AR175">
            <v>118.50207261171319</v>
          </cell>
          <cell r="AS175">
            <v>117.77179150966329</v>
          </cell>
        </row>
        <row r="176">
          <cell r="E176">
            <v>13.099431319836421</v>
          </cell>
          <cell r="F176">
            <v>13.544006446585799</v>
          </cell>
          <cell r="G176">
            <v>13.4298585731913</v>
          </cell>
          <cell r="H176">
            <v>13.532126396054256</v>
          </cell>
          <cell r="I176">
            <v>13.434830174243862</v>
          </cell>
          <cell r="J176">
            <v>14.519936938994011</v>
          </cell>
          <cell r="K176">
            <v>15.239818734379151</v>
          </cell>
          <cell r="L176">
            <v>14.444441150368965</v>
          </cell>
          <cell r="M176">
            <v>13.950468097759774</v>
          </cell>
          <cell r="N176">
            <v>15.128321797215872</v>
          </cell>
          <cell r="O176">
            <v>16.207976236839983</v>
          </cell>
          <cell r="P176">
            <v>16.305197011863186</v>
          </cell>
          <cell r="Q176">
            <v>16.853243604274965</v>
          </cell>
          <cell r="R176">
            <v>22.893025497992372</v>
          </cell>
          <cell r="S176">
            <v>24.643714447523973</v>
          </cell>
          <cell r="T176">
            <v>23.068290459147075</v>
          </cell>
          <cell r="U176">
            <v>25.932531092372933</v>
          </cell>
          <cell r="V176">
            <v>30.016332925254162</v>
          </cell>
          <cell r="W176">
            <v>33.381569517032219</v>
          </cell>
          <cell r="X176">
            <v>34.912621859575189</v>
          </cell>
          <cell r="Y176">
            <v>42.181122495160366</v>
          </cell>
          <cell r="Z176">
            <v>46.664242437080297</v>
          </cell>
          <cell r="AA176">
            <v>51.609170792917091</v>
          </cell>
          <cell r="AB176">
            <v>56.152956295864229</v>
          </cell>
          <cell r="AC176">
            <v>62.73683848793101</v>
          </cell>
          <cell r="AD176">
            <v>59.032831572204394</v>
          </cell>
          <cell r="AE176">
            <v>56.549093160228381</v>
          </cell>
          <cell r="AF176">
            <v>57.509584796149014</v>
          </cell>
          <cell r="AG176">
            <v>54.447327487220953</v>
          </cell>
          <cell r="AH176">
            <v>55.222227258928456</v>
          </cell>
          <cell r="AI176">
            <v>54.339639866909231</v>
          </cell>
          <cell r="AJ176">
            <v>51.547563685314913</v>
          </cell>
          <cell r="AK176">
            <v>52.114652950184407</v>
          </cell>
          <cell r="AL176">
            <v>52.040530768757897</v>
          </cell>
          <cell r="AM176">
            <v>69.063162879766111</v>
          </cell>
          <cell r="AN176">
            <v>72.807836829728899</v>
          </cell>
          <cell r="AO176">
            <v>76.253675510920857</v>
          </cell>
          <cell r="AP176">
            <v>78.615856461765219</v>
          </cell>
          <cell r="AQ176">
            <v>80.974299516961779</v>
          </cell>
          <cell r="AR176">
            <v>82.595730177237002</v>
          </cell>
          <cell r="AS176">
            <v>86.325056012188554</v>
          </cell>
          <cell r="AT176">
            <v>89.764301761081796</v>
          </cell>
          <cell r="AU176">
            <v>92.45536651115934</v>
          </cell>
          <cell r="AV176">
            <v>92.137403959034586</v>
          </cell>
          <cell r="AW176">
            <v>93.5122862044351</v>
          </cell>
          <cell r="AX176">
            <v>99.655754711596089</v>
          </cell>
          <cell r="AY176">
            <v>100</v>
          </cell>
          <cell r="AZ176">
            <v>104.56926294895665</v>
          </cell>
          <cell r="BA176">
            <v>111.75953854840763</v>
          </cell>
          <cell r="BB176">
            <v>118.553372724798</v>
          </cell>
          <cell r="BC176">
            <v>122.13290482476641</v>
          </cell>
          <cell r="BD176">
            <v>127.49935286514216</v>
          </cell>
          <cell r="BE176">
            <v>133.58899931437944</v>
          </cell>
          <cell r="BF176">
            <v>135.64212182600053</v>
          </cell>
          <cell r="BG176">
            <v>135.48916353285674</v>
          </cell>
          <cell r="BH176">
            <v>136.2395416181044</v>
          </cell>
          <cell r="BI176">
            <v>135.78836582586021</v>
          </cell>
          <cell r="BJ176">
            <v>137.05395304222833</v>
          </cell>
          <cell r="BK176">
            <v>141.56564373549514</v>
          </cell>
        </row>
        <row r="177">
          <cell r="E177">
            <v>3.2305188154919943E-2</v>
          </cell>
          <cell r="F177">
            <v>3.4326578423326586E-2</v>
          </cell>
          <cell r="G177">
            <v>3.6236955801154415E-2</v>
          </cell>
          <cell r="H177">
            <v>3.5115511721867707E-2</v>
          </cell>
          <cell r="I177">
            <v>3.5968049272850008E-2</v>
          </cell>
          <cell r="J177">
            <v>3.6278973258389448E-2</v>
          </cell>
          <cell r="K177">
            <v>4.1065211579516918E-2</v>
          </cell>
          <cell r="L177">
            <v>3.9830501646679221E-2</v>
          </cell>
          <cell r="M177">
            <v>4.0316651627507846E-2</v>
          </cell>
          <cell r="N177">
            <v>4.1407743989025352E-2</v>
          </cell>
          <cell r="O177">
            <v>6.264100626226253E-2</v>
          </cell>
          <cell r="P177">
            <v>6.3485428478910644E-2</v>
          </cell>
          <cell r="Q177">
            <v>6.532197819419544E-2</v>
          </cell>
          <cell r="R177">
            <v>6.8814637608682297E-2</v>
          </cell>
          <cell r="S177">
            <v>9.9056171434118517E-2</v>
          </cell>
          <cell r="T177">
            <v>0.12233515452856147</v>
          </cell>
          <cell r="U177">
            <v>0.13989414602320011</v>
          </cell>
          <cell r="V177">
            <v>0.15488206039464195</v>
          </cell>
          <cell r="W177">
            <v>0.17643350417912856</v>
          </cell>
          <cell r="X177">
            <v>0.19670353158278051</v>
          </cell>
          <cell r="Y177">
            <v>0.22113344581751881</v>
          </cell>
          <cell r="Z177">
            <v>0.70542198118432498</v>
          </cell>
          <cell r="AA177">
            <v>0.80984243616640805</v>
          </cell>
          <cell r="AB177">
            <v>0.96832009670710562</v>
          </cell>
          <cell r="AC177">
            <v>1.0230656623539589</v>
          </cell>
          <cell r="AD177">
            <v>1.0939412896754723</v>
          </cell>
          <cell r="AE177">
            <v>1.1531831615966865</v>
          </cell>
          <cell r="AF177">
            <v>1.3800082421513291</v>
          </cell>
          <cell r="AG177">
            <v>1.6584542455991815</v>
          </cell>
          <cell r="AH177">
            <v>2.1389030239247515</v>
          </cell>
          <cell r="AI177">
            <v>2.281545223296229</v>
          </cell>
          <cell r="AJ177">
            <v>2.7119337877618817</v>
          </cell>
          <cell r="AK177">
            <v>3.9798267092611637</v>
          </cell>
          <cell r="AL177">
            <v>5.6369890897773001</v>
          </cell>
          <cell r="AM177">
            <v>8.0776060581229707</v>
          </cell>
          <cell r="AN177">
            <v>14.168254564490246</v>
          </cell>
          <cell r="AO177">
            <v>17.92157961248947</v>
          </cell>
          <cell r="AP177">
            <v>18.82757745811929</v>
          </cell>
          <cell r="AQ177">
            <v>19.958991411432308</v>
          </cell>
          <cell r="AR177">
            <v>22.639598050209049</v>
          </cell>
          <cell r="AS177">
            <v>27.772841061284836</v>
          </cell>
          <cell r="AT177">
            <v>30.571365070376345</v>
          </cell>
          <cell r="AU177">
            <v>37.024689811192943</v>
          </cell>
          <cell r="AV177">
            <v>40.654710275390009</v>
          </cell>
          <cell r="AW177">
            <v>49.748494696990946</v>
          </cell>
          <cell r="AX177">
            <v>59.627796913910849</v>
          </cell>
          <cell r="AY177">
            <v>73.857601627012656</v>
          </cell>
          <cell r="AZ177">
            <v>79.101292661963939</v>
          </cell>
          <cell r="BA177">
            <v>85.367212335083124</v>
          </cell>
          <cell r="BB177">
            <v>85.95291581730244</v>
          </cell>
          <cell r="BC177">
            <v>100</v>
          </cell>
          <cell r="BD177">
            <v>109.77845809675884</v>
          </cell>
          <cell r="BE177">
            <v>120.69882029018962</v>
          </cell>
          <cell r="BF177">
            <v>126.69120979935946</v>
          </cell>
          <cell r="BG177">
            <v>132.59834318125334</v>
          </cell>
          <cell r="BH177">
            <v>136.39551568787968</v>
          </cell>
          <cell r="BI177">
            <v>149.41265369585903</v>
          </cell>
          <cell r="BJ177">
            <v>166.02572425260578</v>
          </cell>
          <cell r="BK177">
            <v>183.01804477031072</v>
          </cell>
        </row>
        <row r="178">
          <cell r="E178">
            <v>1.1825762880603798E-9</v>
          </cell>
          <cell r="F178">
            <v>1.182016095927952E-9</v>
          </cell>
          <cell r="G178">
            <v>1.1756867858493527E-9</v>
          </cell>
          <cell r="H178">
            <v>1.1708877711397456E-9</v>
          </cell>
          <cell r="I178">
            <v>1.2238194197243285E-9</v>
          </cell>
          <cell r="J178">
            <v>1.2341052493638331E-9</v>
          </cell>
          <cell r="K178">
            <v>1.2792866669921375E-9</v>
          </cell>
          <cell r="L178">
            <v>1.2954867559522143E-9</v>
          </cell>
          <cell r="M178">
            <v>1.3536535844189719E-9</v>
          </cell>
          <cell r="N178">
            <v>1.3695158359912287E-9</v>
          </cell>
          <cell r="O178">
            <v>1.4029147007605933E-9</v>
          </cell>
          <cell r="P178">
            <v>1.4454462623450085E-9</v>
          </cell>
          <cell r="Q178">
            <v>1.5068883468592916E-9</v>
          </cell>
          <cell r="R178">
            <v>1.7579993605111132E-9</v>
          </cell>
          <cell r="S178">
            <v>2.1410900303657516E-9</v>
          </cell>
          <cell r="T178">
            <v>2.2424071292359661E-9</v>
          </cell>
          <cell r="U178">
            <v>2.4763799444421913E-9</v>
          </cell>
          <cell r="V178">
            <v>2.7698921600464784E-9</v>
          </cell>
          <cell r="W178">
            <v>2.8743521742498555E-9</v>
          </cell>
          <cell r="X178">
            <v>3.7843284092945974E-9</v>
          </cell>
          <cell r="Y178">
            <v>5.1837211339225536E-9</v>
          </cell>
          <cell r="Z178">
            <v>5.7913112390324573E-9</v>
          </cell>
          <cell r="AA178">
            <v>6.7611077655317269E-9</v>
          </cell>
          <cell r="AB178">
            <v>7.5049639918096912E-9</v>
          </cell>
          <cell r="AC178">
            <v>1.0429047961930366E-8</v>
          </cell>
          <cell r="AD178">
            <v>2.7865265903494774E-8</v>
          </cell>
          <cell r="AE178">
            <v>1.0629489790299903E-7</v>
          </cell>
          <cell r="AF178">
            <v>6.6230326208679247E-7</v>
          </cell>
          <cell r="AG178">
            <v>9.0812604689466208E-5</v>
          </cell>
          <cell r="AH178">
            <v>4.3691483861768316E-3</v>
          </cell>
          <cell r="AI178">
            <v>0.2235303479170988</v>
          </cell>
          <cell r="AJ178">
            <v>10.335220435106955</v>
          </cell>
          <cell r="AK178">
            <v>12.781082583359638</v>
          </cell>
          <cell r="AL178">
            <v>15.387353040418358</v>
          </cell>
          <cell r="AM178">
            <v>35.960982266835991</v>
          </cell>
          <cell r="AN178">
            <v>40.777122911920785</v>
          </cell>
          <cell r="AO178">
            <v>44.694504821447005</v>
          </cell>
          <cell r="AP178">
            <v>49.064730482654717</v>
          </cell>
          <cell r="AQ178">
            <v>55.94777019132745</v>
          </cell>
          <cell r="AR178">
            <v>61.1096415542128</v>
          </cell>
          <cell r="AS178">
            <v>66.344433060884029</v>
          </cell>
          <cell r="AT178">
            <v>71.148771333692295</v>
          </cell>
          <cell r="AU178">
            <v>73.459952884943064</v>
          </cell>
          <cell r="AV178">
            <v>77.376159680117851</v>
          </cell>
          <cell r="AW178">
            <v>84.379400411652838</v>
          </cell>
          <cell r="AX178">
            <v>92.705195315478846</v>
          </cell>
          <cell r="AY178">
            <v>100</v>
          </cell>
          <cell r="AZ178">
            <v>109.67391351675182</v>
          </cell>
          <cell r="BA178">
            <v>127.44015764730365</v>
          </cell>
          <cell r="BB178">
            <v>135.13283184083781</v>
          </cell>
          <cell r="BC178">
            <v>143.42740234070644</v>
          </cell>
          <cell r="BD178">
            <v>158.07826429617464</v>
          </cell>
          <cell r="BE178">
            <v>167.9476581384219</v>
          </cell>
          <cell r="BF178">
            <v>175.25196717134915</v>
          </cell>
          <cell r="BG178">
            <v>189.96041169025528</v>
          </cell>
          <cell r="BH178">
            <v>204.37552967116676</v>
          </cell>
          <cell r="BI178">
            <v>213.75583399955346</v>
          </cell>
          <cell r="BJ178">
            <v>223.40773837734687</v>
          </cell>
          <cell r="BK178">
            <v>231.09678839469993</v>
          </cell>
        </row>
        <row r="179">
          <cell r="E179">
            <v>14.924788243335668</v>
          </cell>
          <cell r="F179">
            <v>15.710437779870819</v>
          </cell>
          <cell r="G179">
            <v>15.829635013527865</v>
          </cell>
          <cell r="H179">
            <v>16.573544013560447</v>
          </cell>
          <cell r="I179">
            <v>18.011794299009367</v>
          </cell>
          <cell r="J179">
            <v>18.619116019469363</v>
          </cell>
          <cell r="K179">
            <v>19.733151448855466</v>
          </cell>
          <cell r="L179">
            <v>20.563447214667345</v>
          </cell>
          <cell r="M179">
            <v>21.426425681091779</v>
          </cell>
          <cell r="N179">
            <v>22.799853569895216</v>
          </cell>
          <cell r="O179">
            <v>25.972003472151041</v>
          </cell>
          <cell r="P179">
            <v>28.254950284119669</v>
          </cell>
          <cell r="Q179">
            <v>30.561012029412183</v>
          </cell>
          <cell r="R179">
            <v>33.152891874093051</v>
          </cell>
          <cell r="S179">
            <v>37.428173758262353</v>
          </cell>
          <cell r="T179">
            <v>40.458129579970951</v>
          </cell>
          <cell r="U179">
            <v>44.096624472753255</v>
          </cell>
          <cell r="V179">
            <v>46.453435980015307</v>
          </cell>
          <cell r="W179">
            <v>48.931675194461846</v>
          </cell>
          <cell r="X179">
            <v>51.266234629023955</v>
          </cell>
          <cell r="Y179">
            <v>54.457748302804845</v>
          </cell>
          <cell r="Z179">
            <v>57.937648694296669</v>
          </cell>
          <cell r="AA179">
            <v>60.616485847098858</v>
          </cell>
          <cell r="AB179">
            <v>61.45849275908607</v>
          </cell>
          <cell r="AC179">
            <v>62.876406849357139</v>
          </cell>
          <cell r="AD179">
            <v>63.420843255383453</v>
          </cell>
          <cell r="AE179">
            <v>63.555105309335758</v>
          </cell>
          <cell r="AF179">
            <v>62.889280138545104</v>
          </cell>
          <cell r="AG179">
            <v>63.404744560452897</v>
          </cell>
          <cell r="AH179">
            <v>64.259483855922696</v>
          </cell>
          <cell r="AI179">
            <v>65.261772158450327</v>
          </cell>
          <cell r="AJ179">
            <v>67.296013986423347</v>
          </cell>
          <cell r="AK179">
            <v>68.97554783674741</v>
          </cell>
          <cell r="AL179">
            <v>70.077438268686009</v>
          </cell>
          <cell r="AM179">
            <v>71.522949105948754</v>
          </cell>
          <cell r="AN179">
            <v>72.999628751365336</v>
          </cell>
          <cell r="AO179">
            <v>73.758995936348143</v>
          </cell>
          <cell r="AP179">
            <v>75.70829276861059</v>
          </cell>
          <cell r="AQ179">
            <v>77.283580653822455</v>
          </cell>
          <cell r="AR179">
            <v>78.275414971856875</v>
          </cell>
          <cell r="AS179">
            <v>80.952723667405394</v>
          </cell>
          <cell r="AT179">
            <v>84.340477657176919</v>
          </cell>
          <cell r="AU179">
            <v>87.52057025580423</v>
          </cell>
          <cell r="AV179">
            <v>89.420010952524095</v>
          </cell>
          <cell r="AW179">
            <v>90.496664196775313</v>
          </cell>
          <cell r="AX179">
            <v>92.296407546042616</v>
          </cell>
          <cell r="AY179">
            <v>94.660216684533893</v>
          </cell>
          <cell r="AZ179">
            <v>96.621771133473999</v>
          </cell>
          <cell r="BA179">
            <v>98.85018374072186</v>
          </cell>
          <cell r="BB179">
            <v>99.068347760033916</v>
          </cell>
          <cell r="BC179">
            <v>100</v>
          </cell>
          <cell r="BD179">
            <v>100.19365215328253</v>
          </cell>
          <cell r="BE179">
            <v>101.64256214761822</v>
          </cell>
          <cell r="BF179">
            <v>102.94357373425846</v>
          </cell>
          <cell r="BG179">
            <v>103.20421216905613</v>
          </cell>
          <cell r="BH179">
            <v>104.00170001197408</v>
          </cell>
          <cell r="BI179">
            <v>104.47456171568336</v>
          </cell>
          <cell r="BJ179">
            <v>105.79167993536068</v>
          </cell>
          <cell r="BK179">
            <v>108.12733622562709</v>
          </cell>
        </row>
        <row r="180">
          <cell r="E180">
            <v>7.4993113590938369</v>
          </cell>
          <cell r="F180">
            <v>7.6978650194049854</v>
          </cell>
          <cell r="G180">
            <v>8.064777775321696</v>
          </cell>
          <cell r="H180">
            <v>8.3383913669857197</v>
          </cell>
          <cell r="I180">
            <v>8.7321412737636646</v>
          </cell>
          <cell r="J180">
            <v>9.1490691346444581</v>
          </cell>
          <cell r="K180">
            <v>9.5129350905559331</v>
          </cell>
          <cell r="L180">
            <v>9.7949912782754645</v>
          </cell>
          <cell r="M180">
            <v>10.228309630164588</v>
          </cell>
          <cell r="N180">
            <v>10.657442208785623</v>
          </cell>
          <cell r="O180">
            <v>12.109052358596218</v>
          </cell>
          <cell r="P180">
            <v>12.882128623748997</v>
          </cell>
          <cell r="Q180">
            <v>13.592899640604491</v>
          </cell>
          <cell r="R180">
            <v>14.773380088608622</v>
          </cell>
          <cell r="S180">
            <v>16.453281338558696</v>
          </cell>
          <cell r="T180">
            <v>17.915192488031114</v>
          </cell>
          <cell r="U180">
            <v>19.319843367147165</v>
          </cell>
          <cell r="V180">
            <v>20.898237305674407</v>
          </cell>
          <cell r="W180">
            <v>22.206640094876207</v>
          </cell>
          <cell r="X180">
            <v>23.472898989160591</v>
          </cell>
          <cell r="Y180">
            <v>26.553973773041427</v>
          </cell>
          <cell r="Z180">
            <v>29.973922150681048</v>
          </cell>
          <cell r="AA180">
            <v>33.124168863953315</v>
          </cell>
          <cell r="AB180">
            <v>35.430406373457473</v>
          </cell>
          <cell r="AC180">
            <v>37.630633884682915</v>
          </cell>
          <cell r="AD180">
            <v>39.586677713961777</v>
          </cell>
          <cell r="AE180">
            <v>39.36862133097349</v>
          </cell>
          <cell r="AF180">
            <v>42.211573637869002</v>
          </cell>
          <cell r="AG180">
            <v>44.26665845288062</v>
          </cell>
          <cell r="AH180">
            <v>46.750940829788298</v>
          </cell>
          <cell r="AI180">
            <v>48.532820211905324</v>
          </cell>
          <cell r="AJ180">
            <v>49.606222201498618</v>
          </cell>
          <cell r="AK180">
            <v>49.28888802676272</v>
          </cell>
          <cell r="AL180">
            <v>50.418920563912309</v>
          </cell>
          <cell r="AM180">
            <v>50.340297104935559</v>
          </cell>
          <cell r="AN180">
            <v>51.881455721785642</v>
          </cell>
          <cell r="AO180">
            <v>54.092382577069252</v>
          </cell>
          <cell r="AP180">
            <v>55.599243578673708</v>
          </cell>
          <cell r="AQ180">
            <v>55.215430041223492</v>
          </cell>
          <cell r="AR180">
            <v>58.895667296903028</v>
          </cell>
          <cell r="AS180">
            <v>67.985891175188968</v>
          </cell>
          <cell r="AT180">
            <v>69.101284332462626</v>
          </cell>
          <cell r="AU180">
            <v>67.930140159887358</v>
          </cell>
          <cell r="AV180">
            <v>69.875063977272589</v>
          </cell>
          <cell r="AW180">
            <v>73.952316329072318</v>
          </cell>
          <cell r="AX180">
            <v>80.430143510920701</v>
          </cell>
          <cell r="AY180">
            <v>87.48880454844435</v>
          </cell>
          <cell r="AZ180">
            <v>90.157281864816312</v>
          </cell>
          <cell r="BA180">
            <v>99.564034060326989</v>
          </cell>
          <cell r="BB180">
            <v>94.381651306586164</v>
          </cell>
          <cell r="BC180">
            <v>100</v>
          </cell>
          <cell r="BD180">
            <v>106.75105100789433</v>
          </cell>
          <cell r="BE180">
            <v>110.33487506218032</v>
          </cell>
          <cell r="BF180">
            <v>113.14237221280601</v>
          </cell>
          <cell r="BG180">
            <v>113.51552276331553</v>
          </cell>
          <cell r="BH180">
            <v>110.31240853198803</v>
          </cell>
          <cell r="BI180">
            <v>109.05923444313883</v>
          </cell>
          <cell r="BJ180">
            <v>113.2887340603417</v>
          </cell>
          <cell r="BK180">
            <v>119.4864145648697</v>
          </cell>
        </row>
        <row r="181">
          <cell r="E181">
            <v>3.7283835346904528</v>
          </cell>
          <cell r="F181">
            <v>3.8286024838269408</v>
          </cell>
          <cell r="G181">
            <v>4.0543786563630748</v>
          </cell>
          <cell r="H181">
            <v>4.1991169362606779</v>
          </cell>
          <cell r="I181">
            <v>4.2492846126888226</v>
          </cell>
          <cell r="J181">
            <v>4.7968131767422522</v>
          </cell>
          <cell r="K181">
            <v>5.5268312285403676</v>
          </cell>
          <cell r="L181">
            <v>5.2135889473625987</v>
          </cell>
          <cell r="M181">
            <v>5.7905156392196417</v>
          </cell>
          <cell r="N181">
            <v>6.1705953045612922</v>
          </cell>
          <cell r="O181">
            <v>6.6055192762861701</v>
          </cell>
          <cell r="P181">
            <v>6.8150579826334807</v>
          </cell>
          <cell r="Q181">
            <v>7.6671231018966806</v>
          </cell>
          <cell r="R181">
            <v>7.4066474998179963</v>
          </cell>
          <cell r="S181">
            <v>8.949131431492372</v>
          </cell>
          <cell r="T181">
            <v>11.41217823284402</v>
          </cell>
          <cell r="U181">
            <v>11.474265314229648</v>
          </cell>
          <cell r="V181">
            <v>11.065228230113574</v>
          </cell>
          <cell r="W181">
            <v>12.102173662969964</v>
          </cell>
          <cell r="X181">
            <v>13.309772533669772</v>
          </cell>
          <cell r="Y181">
            <v>14.322585870361593</v>
          </cell>
          <cell r="Z181">
            <v>15.459420557792336</v>
          </cell>
          <cell r="AA181">
            <v>16.904475930408196</v>
          </cell>
          <cell r="AB181">
            <v>18.98181475912137</v>
          </cell>
          <cell r="AC181">
            <v>20.192465408609163</v>
          </cell>
          <cell r="AD181">
            <v>22.498815036731099</v>
          </cell>
          <cell r="AE181">
            <v>25.736972757988436</v>
          </cell>
          <cell r="AF181">
            <v>29.004745196115639</v>
          </cell>
          <cell r="AG181">
            <v>32.431745812490881</v>
          </cell>
          <cell r="AH181">
            <v>36.083032697309307</v>
          </cell>
          <cell r="AI181">
            <v>39.949649040927042</v>
          </cell>
          <cell r="AJ181">
            <v>44.96118797655808</v>
          </cell>
          <cell r="AK181">
            <v>53.274104571095272</v>
          </cell>
          <cell r="AL181">
            <v>59.014341006541656</v>
          </cell>
          <cell r="AM181">
            <v>61.856463516722151</v>
          </cell>
          <cell r="AN181">
            <v>65.753953648954905</v>
          </cell>
          <cell r="AO181">
            <v>70.897908826227479</v>
          </cell>
          <cell r="AP181">
            <v>76.058633535600052</v>
          </cell>
          <cell r="AQ181">
            <v>79.183008622830016</v>
          </cell>
          <cell r="AR181">
            <v>86.220040160062368</v>
          </cell>
          <cell r="AS181">
            <v>90.076174303660807</v>
          </cell>
          <cell r="AT181">
            <v>100</v>
          </cell>
          <cell r="AU181">
            <v>103.9348579003685</v>
          </cell>
          <cell r="AV181">
            <v>107.12597499825891</v>
          </cell>
          <cell r="AW181">
            <v>111.58930071267599</v>
          </cell>
          <cell r="AX181">
            <v>118.41788567904061</v>
          </cell>
          <cell r="AY181">
            <v>127.13348856917391</v>
          </cell>
          <cell r="AZ181">
            <v>136.79981505080465</v>
          </cell>
          <cell r="BA181">
            <v>144.4877656474473</v>
          </cell>
          <cell r="BB181">
            <v>167.47335652686718</v>
          </cell>
          <cell r="BC181">
            <v>192.84043270404462</v>
          </cell>
          <cell r="BD181">
            <v>213.68873242519078</v>
          </cell>
          <cell r="BE181">
            <v>227.86690318509159</v>
          </cell>
          <cell r="BF181">
            <v>242.85425687079663</v>
          </cell>
          <cell r="BG181">
            <v>265.56647560838019</v>
          </cell>
          <cell r="BH181">
            <v>278.69293376000928</v>
          </cell>
          <cell r="BI181">
            <v>293.06191658681155</v>
          </cell>
          <cell r="BJ181">
            <v>318.5318525484106</v>
          </cell>
          <cell r="BK181">
            <v>341.03562868580156</v>
          </cell>
        </row>
        <row r="182">
          <cell r="AZ182">
            <v>100</v>
          </cell>
          <cell r="BA182">
            <v>125.40761102507101</v>
          </cell>
          <cell r="BB182">
            <v>158.2036016325157</v>
          </cell>
          <cell r="BC182">
            <v>129.45146154950652</v>
          </cell>
          <cell r="BD182">
            <v>152.86362429912742</v>
          </cell>
          <cell r="BE182">
            <v>189.67374208653624</v>
          </cell>
          <cell r="BF182">
            <v>148.60303755827695</v>
          </cell>
          <cell r="BG182">
            <v>131.02281359831494</v>
          </cell>
          <cell r="BH182">
            <v>120.13608435029973</v>
          </cell>
          <cell r="BI182">
            <v>126.97814653567931</v>
          </cell>
          <cell r="BJ182">
            <v>131.30434782608694</v>
          </cell>
          <cell r="BK182">
            <v>133.33333333333331</v>
          </cell>
        </row>
        <row r="183">
          <cell r="O183">
            <v>7.5531460806796442</v>
          </cell>
          <cell r="P183">
            <v>8.4354191986050502</v>
          </cell>
          <cell r="Q183">
            <v>9.2151546836646911</v>
          </cell>
          <cell r="R183">
            <v>9.9915459885515165</v>
          </cell>
          <cell r="S183">
            <v>10.357855050756065</v>
          </cell>
          <cell r="T183">
            <v>11.872785271504235</v>
          </cell>
          <cell r="U183">
            <v>14.424468934922144</v>
          </cell>
          <cell r="V183">
            <v>16.820964688636924</v>
          </cell>
          <cell r="W183">
            <v>19.004840052548843</v>
          </cell>
          <cell r="X183">
            <v>21.7081906719418</v>
          </cell>
          <cell r="Y183">
            <v>24.943674168035677</v>
          </cell>
          <cell r="Z183">
            <v>29.021124563451036</v>
          </cell>
          <cell r="AA183">
            <v>32.528399852950216</v>
          </cell>
          <cell r="AB183">
            <v>35.041594568855047</v>
          </cell>
          <cell r="AC183">
            <v>37.774329388764016</v>
          </cell>
          <cell r="AD183">
            <v>42.924693248758089</v>
          </cell>
          <cell r="AE183">
            <v>50.374998501866862</v>
          </cell>
          <cell r="AF183">
            <v>56.153492415531112</v>
          </cell>
          <cell r="AG183">
            <v>60.594224091897871</v>
          </cell>
          <cell r="AH183">
            <v>64.011543538075131</v>
          </cell>
          <cell r="AI183">
            <v>65.563003963057824</v>
          </cell>
          <cell r="AJ183">
            <v>66.146734945981564</v>
          </cell>
          <cell r="AK183">
            <v>67.469997958346752</v>
          </cell>
          <cell r="AL183">
            <v>68.468272614051415</v>
          </cell>
          <cell r="AM183">
            <v>69.774514361274342</v>
          </cell>
          <cell r="AN183">
            <v>70.772953597612513</v>
          </cell>
          <cell r="AO183">
            <v>71.752507069012267</v>
          </cell>
          <cell r="AP183">
            <v>72.89852570498725</v>
          </cell>
          <cell r="AQ183">
            <v>73.713406431171009</v>
          </cell>
          <cell r="AR183">
            <v>74.089453804097815</v>
          </cell>
          <cell r="AS183">
            <v>76.202197396447531</v>
          </cell>
          <cell r="AT183">
            <v>79.100008228276465</v>
          </cell>
          <cell r="AU183">
            <v>79.36117774939585</v>
          </cell>
          <cell r="AV183">
            <v>81.131194579314652</v>
          </cell>
          <cell r="AW183">
            <v>83.412950329442708</v>
          </cell>
          <cell r="AX183">
            <v>85.107651162953019</v>
          </cell>
          <cell r="AY183">
            <v>87.414032502842304</v>
          </cell>
          <cell r="AZ183">
            <v>92.121564072697694</v>
          </cell>
          <cell r="BA183">
            <v>94.44106648244464</v>
          </cell>
          <cell r="BB183">
            <v>96.95576942395796</v>
          </cell>
          <cell r="BC183">
            <v>100</v>
          </cell>
          <cell r="BD183">
            <v>102.42981115848239</v>
          </cell>
          <cell r="BE183">
            <v>102.18797333839358</v>
          </cell>
          <cell r="BF183">
            <v>106.57200508773994</v>
          </cell>
          <cell r="BG183">
            <v>106.92713121521264</v>
          </cell>
          <cell r="BH183">
            <v>108.35202180644134</v>
          </cell>
          <cell r="BI183">
            <v>111.01811000069459</v>
          </cell>
          <cell r="BJ183">
            <v>113.74216050255568</v>
          </cell>
          <cell r="BK183">
            <v>115.00602779514524</v>
          </cell>
        </row>
        <row r="185">
          <cell r="J185">
            <v>4.0010367288090221</v>
          </cell>
          <cell r="K185">
            <v>4.0723518942830914</v>
          </cell>
          <cell r="L185">
            <v>3.9280840699081518</v>
          </cell>
          <cell r="M185">
            <v>4.3804650406328483</v>
          </cell>
          <cell r="N185">
            <v>4.4292185627132605</v>
          </cell>
          <cell r="O185">
            <v>4.1533003376695392</v>
          </cell>
          <cell r="P185">
            <v>4.821652062187054</v>
          </cell>
          <cell r="Q185">
            <v>4.9412760227669299</v>
          </cell>
          <cell r="R185">
            <v>6.9330791695431726</v>
          </cell>
          <cell r="S185">
            <v>20.867624051968424</v>
          </cell>
          <cell r="T185">
            <v>21.363070267136056</v>
          </cell>
          <cell r="U185">
            <v>21.640794623156992</v>
          </cell>
          <cell r="V185">
            <v>22.939263098298465</v>
          </cell>
          <cell r="W185">
            <v>23.811479018479112</v>
          </cell>
          <cell r="X185">
            <v>31.093570645315893</v>
          </cell>
          <cell r="Y185">
            <v>46.983950345325553</v>
          </cell>
          <cell r="Z185">
            <v>48.712893989532816</v>
          </cell>
          <cell r="AA185">
            <v>45.439284888006114</v>
          </cell>
          <cell r="AB185">
            <v>40.895799695682342</v>
          </cell>
          <cell r="AC185">
            <v>38.966213777097067</v>
          </cell>
          <cell r="AD185">
            <v>38.76670541729473</v>
          </cell>
          <cell r="AE185">
            <v>30.767310207509261</v>
          </cell>
          <cell r="AF185">
            <v>34.206434162828195</v>
          </cell>
          <cell r="AG185">
            <v>34.657606440689186</v>
          </cell>
          <cell r="AH185">
            <v>34.657606344854045</v>
          </cell>
          <cell r="AI185">
            <v>43.266876128076746</v>
          </cell>
          <cell r="AJ185">
            <v>39.590017084134601</v>
          </cell>
          <cell r="AK185">
            <v>40.094027986199286</v>
          </cell>
          <cell r="AL185">
            <v>37.933211393647042</v>
          </cell>
          <cell r="AM185">
            <v>37.762339376354213</v>
          </cell>
          <cell r="AN185">
            <v>38.425508855616876</v>
          </cell>
          <cell r="AO185">
            <v>41.275048596182515</v>
          </cell>
          <cell r="AP185">
            <v>40.35245468696661</v>
          </cell>
          <cell r="AQ185">
            <v>34.96443306959172</v>
          </cell>
          <cell r="AR185">
            <v>39.046380598773233</v>
          </cell>
          <cell r="AS185">
            <v>45.99958297047678</v>
          </cell>
          <cell r="AT185">
            <v>43.90110760886791</v>
          </cell>
          <cell r="AU185">
            <v>45.96598058068038</v>
          </cell>
          <cell r="AV185">
            <v>50.722278118235309</v>
          </cell>
          <cell r="AW185">
            <v>57.319672032459636</v>
          </cell>
          <cell r="AX185">
            <v>70.196357143276686</v>
          </cell>
          <cell r="AY185">
            <v>79.764433073016832</v>
          </cell>
          <cell r="AZ185">
            <v>86.355898284281025</v>
          </cell>
          <cell r="BA185">
            <v>115.5023427866831</v>
          </cell>
          <cell r="BB185">
            <v>86.478760638273144</v>
          </cell>
          <cell r="BC185">
            <v>100</v>
          </cell>
          <cell r="BD185">
            <v>117.14952013633513</v>
          </cell>
          <cell r="BE185">
            <v>120.95245908363756</v>
          </cell>
          <cell r="BF185">
            <v>119.05128708980153</v>
          </cell>
          <cell r="BG185">
            <v>119.23503537961369</v>
          </cell>
          <cell r="BH185">
            <v>96.770812792591457</v>
          </cell>
          <cell r="BI185">
            <v>88.194473738345351</v>
          </cell>
          <cell r="BJ185">
            <v>95.557834165067391</v>
          </cell>
          <cell r="BK185">
            <v>104.8201365612591</v>
          </cell>
        </row>
        <row r="187">
          <cell r="E187">
            <v>2.500532100703218</v>
          </cell>
          <cell r="F187">
            <v>2.5804604580040325</v>
          </cell>
          <cell r="G187">
            <v>2.5784713459090383</v>
          </cell>
          <cell r="H187">
            <v>2.5446366501208884</v>
          </cell>
          <cell r="I187">
            <v>2.6728895051674875</v>
          </cell>
          <cell r="J187">
            <v>2.7765730017072778</v>
          </cell>
          <cell r="K187">
            <v>2.8841389318541197</v>
          </cell>
          <cell r="L187">
            <v>3.1329414976059655</v>
          </cell>
          <cell r="M187">
            <v>3.1924216431072328</v>
          </cell>
          <cell r="N187">
            <v>3.2287920476806744</v>
          </cell>
          <cell r="O187">
            <v>3.3678530519449081</v>
          </cell>
          <cell r="P187">
            <v>3.5443702846872776</v>
          </cell>
          <cell r="Q187">
            <v>3.7644471118093255</v>
          </cell>
          <cell r="R187">
            <v>4.3495817068510201</v>
          </cell>
          <cell r="S187">
            <v>5.4559772758896976</v>
          </cell>
          <cell r="T187">
            <v>6.7673819034963802</v>
          </cell>
          <cell r="U187">
            <v>7.5697107572475382</v>
          </cell>
          <cell r="V187">
            <v>8.2581679778951251</v>
          </cell>
          <cell r="W187">
            <v>9.004283882559152</v>
          </cell>
          <cell r="X187">
            <v>9.597490904488474</v>
          </cell>
          <cell r="Y187">
            <v>10.467226795609244</v>
          </cell>
          <cell r="Z187">
            <v>11.504898758824389</v>
          </cell>
          <cell r="AA187">
            <v>12.583098087995964</v>
          </cell>
          <cell r="AB187">
            <v>13.246740986136036</v>
          </cell>
          <cell r="AC187">
            <v>14.525521624413489</v>
          </cell>
          <cell r="AD187">
            <v>15.18424597236454</v>
          </cell>
          <cell r="AE187">
            <v>15.684112113822</v>
          </cell>
          <cell r="AF187">
            <v>16.392751490766649</v>
          </cell>
          <cell r="AG187">
            <v>17.969334432002253</v>
          </cell>
          <cell r="AH187">
            <v>19.51201165144052</v>
          </cell>
          <cell r="AI187">
            <v>20.77092624703155</v>
          </cell>
          <cell r="AJ187">
            <v>23.483899157960391</v>
          </cell>
          <cell r="AK187">
            <v>25.845694739032787</v>
          </cell>
          <cell r="AL187">
            <v>28.093358907120429</v>
          </cell>
          <cell r="AM187">
            <v>31.714405364263481</v>
          </cell>
          <cell r="AN187">
            <v>36.114666092109587</v>
          </cell>
          <cell r="AO187">
            <v>39.138767382659296</v>
          </cell>
          <cell r="AP187">
            <v>44.376910043216753</v>
          </cell>
          <cell r="AQ187">
            <v>47.71673266785794</v>
          </cell>
          <cell r="AR187">
            <v>50.514024092231956</v>
          </cell>
          <cell r="AS187">
            <v>63.087545878605034</v>
          </cell>
          <cell r="AT187">
            <v>68.065882052886991</v>
          </cell>
          <cell r="AU187">
            <v>69.742407951201329</v>
          </cell>
          <cell r="AV187">
            <v>72.83785323525187</v>
          </cell>
          <cell r="AW187">
            <v>78.48223856764794</v>
          </cell>
          <cell r="AX187">
            <v>83.996766924084852</v>
          </cell>
          <cell r="AY187">
            <v>100</v>
          </cell>
          <cell r="AZ187">
            <v>107.2743193263574</v>
          </cell>
          <cell r="BA187">
            <v>121.43883098407289</v>
          </cell>
          <cell r="BB187">
            <v>146.53600619461412</v>
          </cell>
          <cell r="BC187">
            <v>162.43550843136339</v>
          </cell>
          <cell r="BD187">
            <v>194.34540373977228</v>
          </cell>
          <cell r="BE187">
            <v>205.9450537178956</v>
          </cell>
          <cell r="BF187">
            <v>220.29106893289355</v>
          </cell>
          <cell r="BG187">
            <v>236.61805879180298</v>
          </cell>
          <cell r="BH187">
            <v>246.34364493509869</v>
          </cell>
          <cell r="BI187">
            <v>247.32960445818173</v>
          </cell>
          <cell r="BJ187">
            <v>257.2240786822511</v>
          </cell>
          <cell r="BK187">
            <v>262.55438349872765</v>
          </cell>
        </row>
        <row r="188">
          <cell r="E188">
            <v>26.02723906338116</v>
          </cell>
          <cell r="F188">
            <v>26.166466188022337</v>
          </cell>
          <cell r="G188">
            <v>26.31603859755678</v>
          </cell>
          <cell r="H188">
            <v>26.873006373779823</v>
          </cell>
          <cell r="I188">
            <v>27.631976725342795</v>
          </cell>
          <cell r="J188">
            <v>27.80331080943148</v>
          </cell>
          <cell r="K188">
            <v>28.158534822100545</v>
          </cell>
          <cell r="L188">
            <v>28.887467168082754</v>
          </cell>
          <cell r="M188">
            <v>29.050426502515258</v>
          </cell>
          <cell r="N188">
            <v>29.40141152969921</v>
          </cell>
          <cell r="O188">
            <v>30.407656548020608</v>
          </cell>
          <cell r="P188">
            <v>31.29049406251767</v>
          </cell>
          <cell r="Q188">
            <v>32.854399507246477</v>
          </cell>
          <cell r="R188">
            <v>35.660896495919978</v>
          </cell>
          <cell r="S188">
            <v>39.801618612584505</v>
          </cell>
          <cell r="T188">
            <v>43.536138604528908</v>
          </cell>
          <cell r="U188">
            <v>45.510289980992894</v>
          </cell>
          <cell r="V188">
            <v>47.629611045221871</v>
          </cell>
          <cell r="W188">
            <v>51.4025223000558</v>
          </cell>
          <cell r="X188">
            <v>56.154797518995551</v>
          </cell>
          <cell r="Y188">
            <v>61.849177394905261</v>
          </cell>
          <cell r="Z188">
            <v>64.101826866034443</v>
          </cell>
          <cell r="AA188">
            <v>67.22466591889436</v>
          </cell>
          <cell r="AB188">
            <v>72.264470113080165</v>
          </cell>
          <cell r="AC188">
            <v>73.441848562117002</v>
          </cell>
          <cell r="AD188">
            <v>74.036408224920237</v>
          </cell>
          <cell r="AE188">
            <v>74.286983994167699</v>
          </cell>
          <cell r="AF188">
            <v>75.987637888388903</v>
          </cell>
          <cell r="AG188">
            <v>75.841795447121868</v>
          </cell>
          <cell r="AH188">
            <v>74.873630791593399</v>
          </cell>
          <cell r="AI188">
            <v>75.296820577535101</v>
          </cell>
          <cell r="AJ188">
            <v>75.667880695402928</v>
          </cell>
          <cell r="AK188">
            <v>79.497477039691645</v>
          </cell>
          <cell r="AL188">
            <v>82.323377555343882</v>
          </cell>
          <cell r="AM188">
            <v>85.352668500275087</v>
          </cell>
          <cell r="AN188">
            <v>85.751015496201504</v>
          </cell>
          <cell r="AO188">
            <v>84.942911624817796</v>
          </cell>
          <cell r="AP188">
            <v>86.309506261660857</v>
          </cell>
          <cell r="AQ188">
            <v>87.170460180746048</v>
          </cell>
          <cell r="AR188">
            <v>87.904772862521583</v>
          </cell>
          <cell r="AS188">
            <v>86.807561133180826</v>
          </cell>
          <cell r="AT188">
            <v>87.700129014173243</v>
          </cell>
          <cell r="AU188">
            <v>89.165892625159785</v>
          </cell>
          <cell r="AV188">
            <v>90.174683628925038</v>
          </cell>
          <cell r="AW188">
            <v>91.946620308407944</v>
          </cell>
          <cell r="AX188">
            <v>93.554142651929084</v>
          </cell>
          <cell r="AY188">
            <v>95.397145062509054</v>
          </cell>
          <cell r="AZ188">
            <v>100</v>
          </cell>
          <cell r="BA188">
            <v>107.52749530111186</v>
          </cell>
          <cell r="BB188">
            <v>114.48555641669623</v>
          </cell>
          <cell r="BC188">
            <v>117.45112901938882</v>
          </cell>
          <cell r="BD188">
            <v>124.31483160644974</v>
          </cell>
          <cell r="BE188">
            <v>131.99207323443372</v>
          </cell>
          <cell r="BF188">
            <v>139.2583272509612</v>
          </cell>
          <cell r="BG188">
            <v>145.10376700383677</v>
          </cell>
          <cell r="BH188">
            <v>148.70039008915143</v>
          </cell>
          <cell r="BI188">
            <v>151.78941358566269</v>
          </cell>
          <cell r="BJ188">
            <v>154.8781913081535</v>
          </cell>
          <cell r="BK188">
            <v>156.03212978552961</v>
          </cell>
        </row>
        <row r="189">
          <cell r="E189">
            <v>1.0038185184956967E-7</v>
          </cell>
          <cell r="F189">
            <v>1.0349703632123594E-7</v>
          </cell>
          <cell r="G189">
            <v>1.0661525228165094E-7</v>
          </cell>
          <cell r="H189">
            <v>1.1196072702550001E-7</v>
          </cell>
          <cell r="I189">
            <v>1.2713990823421167E-7</v>
          </cell>
          <cell r="J189">
            <v>1.4275009704205027E-7</v>
          </cell>
          <cell r="K189">
            <v>1.5604999010867183E-7</v>
          </cell>
          <cell r="L189">
            <v>1.7183461436995599E-7</v>
          </cell>
          <cell r="M189">
            <v>2.0327312091203784E-7</v>
          </cell>
          <cell r="N189">
            <v>2.1981636253051908E-7</v>
          </cell>
          <cell r="O189">
            <v>2.4615275863815697E-7</v>
          </cell>
          <cell r="P189">
            <v>2.6249814470760065E-7</v>
          </cell>
          <cell r="Q189">
            <v>2.812129230911808E-7</v>
          </cell>
          <cell r="R189">
            <v>3.1657694461254011E-7</v>
          </cell>
          <cell r="S189">
            <v>3.6480248874225429E-7</v>
          </cell>
          <cell r="T189">
            <v>4.4575788025381499E-7</v>
          </cell>
          <cell r="U189">
            <v>5.782055740987664E-7</v>
          </cell>
          <cell r="V189">
            <v>7.8486400127416695E-7</v>
          </cell>
          <cell r="W189">
            <v>1.2851223243844135E-6</v>
          </cell>
          <cell r="X189">
            <v>2.2663112329449282E-6</v>
          </cell>
          <cell r="Y189">
            <v>3.1259224742820832E-6</v>
          </cell>
          <cell r="Z189">
            <v>5.1681057863183355E-6</v>
          </cell>
          <cell r="AA189">
            <v>8.6133373640536076E-6</v>
          </cell>
          <cell r="AB189">
            <v>1.7863790651895963E-5</v>
          </cell>
          <cell r="AC189">
            <v>3.7241990093022364E-5</v>
          </cell>
          <cell r="AD189">
            <v>9.8964992125818264E-5</v>
          </cell>
          <cell r="AE189">
            <v>1.6662093832557425E-4</v>
          </cell>
          <cell r="AF189">
            <v>3.0933117767342592E-4</v>
          </cell>
          <cell r="AG189">
            <v>2.1228740811382566E-3</v>
          </cell>
          <cell r="AH189">
            <v>5.6730114450878104E-2</v>
          </cell>
          <cell r="AI189">
            <v>3.6087384820991204</v>
          </cell>
          <cell r="AJ189">
            <v>17.417337621243238</v>
          </cell>
          <cell r="AK189">
            <v>29.339934747462941</v>
          </cell>
          <cell r="AL189">
            <v>43.143748712159066</v>
          </cell>
          <cell r="AM189">
            <v>54.151194216782763</v>
          </cell>
          <cell r="AN189">
            <v>61.504275427542751</v>
          </cell>
          <cell r="AO189">
            <v>67.462650926077941</v>
          </cell>
          <cell r="AP189">
            <v>72.376044255891742</v>
          </cell>
          <cell r="AQ189">
            <v>76.263426990008909</v>
          </cell>
          <cell r="AR189">
            <v>78.501411887585093</v>
          </cell>
          <cell r="AS189">
            <v>81.268366883131492</v>
          </cell>
          <cell r="AT189">
            <v>81.638339744163162</v>
          </cell>
          <cell r="AU189">
            <v>81.727339432420166</v>
          </cell>
          <cell r="AV189">
            <v>83.201475612089922</v>
          </cell>
          <cell r="AW189">
            <v>88.425728362493686</v>
          </cell>
          <cell r="AX189">
            <v>91.523920414934409</v>
          </cell>
          <cell r="AY189">
            <v>98.531218813433895</v>
          </cell>
          <cell r="AZ189">
            <v>100</v>
          </cell>
          <cell r="BA189">
            <v>101.10327629202858</v>
          </cell>
          <cell r="BB189">
            <v>103.18974292089722</v>
          </cell>
          <cell r="BC189">
            <v>109.08262907603361</v>
          </cell>
          <cell r="BD189">
            <v>116.44111102359102</v>
          </cell>
          <cell r="BE189">
            <v>117.84141428899417</v>
          </cell>
          <cell r="BF189">
            <v>119.08727420114585</v>
          </cell>
          <cell r="BG189">
            <v>122.10238665374153</v>
          </cell>
          <cell r="BH189">
            <v>125.23138841337804</v>
          </cell>
          <cell r="BI189">
            <v>129.12561551803194</v>
          </cell>
          <cell r="BJ189">
            <v>133.60084473189877</v>
          </cell>
          <cell r="BK189">
            <v>136.60236209427805</v>
          </cell>
        </row>
        <row r="190">
          <cell r="E190">
            <v>1.6985284991325935</v>
          </cell>
          <cell r="F190">
            <v>1.7502336963234471</v>
          </cell>
          <cell r="G190">
            <v>1.8690819739457787</v>
          </cell>
          <cell r="H190">
            <v>2.0292075972843397</v>
          </cell>
          <cell r="I190">
            <v>2.1207451063050322</v>
          </cell>
          <cell r="J190">
            <v>2.2050767449627955</v>
          </cell>
          <cell r="K190">
            <v>2.3227130286423905</v>
          </cell>
          <cell r="L190">
            <v>2.3683169284823347</v>
          </cell>
          <cell r="M190">
            <v>2.520082096474991</v>
          </cell>
          <cell r="N190">
            <v>2.6684074749454374</v>
          </cell>
          <cell r="O190">
            <v>3.0728180823157718</v>
          </cell>
          <cell r="P190">
            <v>3.5152797935592508</v>
          </cell>
          <cell r="Q190">
            <v>3.7441857269058798</v>
          </cell>
          <cell r="R190">
            <v>4.3758800328139449</v>
          </cell>
          <cell r="S190">
            <v>5.8024056083653246</v>
          </cell>
          <cell r="T190">
            <v>6.3429477051552805</v>
          </cell>
          <cell r="U190">
            <v>6.8697002738532618</v>
          </cell>
          <cell r="V190">
            <v>7.4380220589762471</v>
          </cell>
          <cell r="W190">
            <v>8.1321189229300685</v>
          </cell>
          <cell r="X190">
            <v>9.3388882549133392</v>
          </cell>
          <cell r="Y190">
            <v>10.669675076985317</v>
          </cell>
          <cell r="Z190">
            <v>11.918361975107196</v>
          </cell>
          <cell r="AA190">
            <v>12.955405390058299</v>
          </cell>
          <cell r="AB190">
            <v>14.797907735317551</v>
          </cell>
          <cell r="AC190">
            <v>22.690513530655611</v>
          </cell>
          <cell r="AD190">
            <v>26.691499995341712</v>
          </cell>
          <cell r="AE190">
            <v>27.479667441645638</v>
          </cell>
          <cell r="AF190">
            <v>29.540145694629626</v>
          </cell>
          <cell r="AG190">
            <v>32.389890308168546</v>
          </cell>
          <cell r="AH190">
            <v>35.3156896885069</v>
          </cell>
          <cell r="AI190">
            <v>39.896587131513193</v>
          </cell>
          <cell r="AJ190">
            <v>46.490248170764239</v>
          </cell>
          <cell r="AK190">
            <v>50.17816071424209</v>
          </cell>
          <cell r="AL190">
            <v>53.606412000507021</v>
          </cell>
          <cell r="AM190">
            <v>58.962397267537412</v>
          </cell>
          <cell r="AN190">
            <v>63.414571375776518</v>
          </cell>
          <cell r="AO190">
            <v>68.272785683470389</v>
          </cell>
          <cell r="AP190">
            <v>72.522351508345167</v>
          </cell>
          <cell r="AQ190">
            <v>88.75410409276256</v>
          </cell>
          <cell r="AR190">
            <v>94.598612260056029</v>
          </cell>
          <cell r="AS190">
            <v>100</v>
          </cell>
          <cell r="AT190">
            <v>105.54947979743692</v>
          </cell>
          <cell r="AU190">
            <v>109.94268922025093</v>
          </cell>
          <cell r="AV190">
            <v>113.46231523024825</v>
          </cell>
          <cell r="AW190">
            <v>119.72190247539416</v>
          </cell>
          <cell r="AX190">
            <v>126.69930655132389</v>
          </cell>
          <cell r="AY190">
            <v>132.96968577460925</v>
          </cell>
          <cell r="AZ190">
            <v>137.07888917641893</v>
          </cell>
          <cell r="BA190">
            <v>147.4270596315227</v>
          </cell>
          <cell r="BB190">
            <v>151.51557350684712</v>
          </cell>
          <cell r="BC190">
            <v>157.91314764842903</v>
          </cell>
          <cell r="BD190">
            <v>164.26397702836829</v>
          </cell>
          <cell r="BE190">
            <v>167.49732319047266</v>
          </cell>
          <cell r="BF190">
            <v>170.92342657308811</v>
          </cell>
          <cell r="BG190">
            <v>176.32022697389482</v>
          </cell>
          <cell r="BH190">
            <v>175.28597895610059</v>
          </cell>
          <cell r="BI190">
            <v>178.25532196911431</v>
          </cell>
          <cell r="BJ190">
            <v>182.41319635370493</v>
          </cell>
          <cell r="BK190">
            <v>189.27351011180252</v>
          </cell>
          <cell r="BN190" t="str">
            <v>Philippines</v>
          </cell>
        </row>
        <row r="191">
          <cell r="AS191">
            <v>63.34442754398156</v>
          </cell>
          <cell r="AT191">
            <v>63.776959952599157</v>
          </cell>
          <cell r="AU191">
            <v>63.919690850268331</v>
          </cell>
          <cell r="AV191">
            <v>62.31071127611375</v>
          </cell>
          <cell r="AW191">
            <v>63.864927688462245</v>
          </cell>
          <cell r="AX191">
            <v>68.75620119785269</v>
          </cell>
          <cell r="AY191">
            <v>71.581570831942287</v>
          </cell>
          <cell r="AZ191">
            <v>72.838791391827556</v>
          </cell>
          <cell r="BA191">
            <v>78.453004546353029</v>
          </cell>
          <cell r="BB191">
            <v>77.401727115131393</v>
          </cell>
          <cell r="BC191">
            <v>77.147358064859077</v>
          </cell>
          <cell r="BD191">
            <v>77.356527475923627</v>
          </cell>
          <cell r="BE191">
            <v>82.944882711290688</v>
          </cell>
          <cell r="BF191">
            <v>88.949979434735482</v>
          </cell>
          <cell r="BG191">
            <v>92.555165757220934</v>
          </cell>
          <cell r="BH191">
            <v>100</v>
          </cell>
          <cell r="BI191">
            <v>103.1618688861174</v>
          </cell>
          <cell r="BJ191">
            <v>101.99802073721204</v>
          </cell>
          <cell r="BK191">
            <v>103.94084017982561</v>
          </cell>
        </row>
        <row r="192">
          <cell r="E192">
            <v>2.9562653333798172</v>
          </cell>
          <cell r="F192">
            <v>2.9573377684891851</v>
          </cell>
          <cell r="G192">
            <v>2.9658106634246835</v>
          </cell>
          <cell r="H192">
            <v>3.0110606386814474</v>
          </cell>
          <cell r="I192">
            <v>3.0682707909735703</v>
          </cell>
          <cell r="J192">
            <v>3.1367423654731672</v>
          </cell>
          <cell r="K192">
            <v>3.3676271295030737</v>
          </cell>
          <cell r="L192">
            <v>3.6558105917086823</v>
          </cell>
          <cell r="M192">
            <v>3.8477146185087983</v>
          </cell>
          <cell r="N192">
            <v>4.0376970532130203</v>
          </cell>
          <cell r="O192">
            <v>4.2658819684771689</v>
          </cell>
          <cell r="P192">
            <v>4.4114991089270212</v>
          </cell>
          <cell r="Q192">
            <v>4.7261522134909582</v>
          </cell>
          <cell r="R192">
            <v>5.6589767943474705</v>
          </cell>
          <cell r="S192">
            <v>6.163759046203154</v>
          </cell>
          <cell r="T192">
            <v>6.3036340013569294</v>
          </cell>
          <cell r="U192">
            <v>7.546588549676871</v>
          </cell>
          <cell r="V192">
            <v>8.1078906116649261</v>
          </cell>
          <cell r="W192">
            <v>7.9432620703793502</v>
          </cell>
          <cell r="X192">
            <v>9.2221147171767122</v>
          </cell>
          <cell r="Y192">
            <v>9.8760839278647605</v>
          </cell>
          <cell r="Z192">
            <v>9.7473390645693563</v>
          </cell>
          <cell r="AA192">
            <v>10.105924324905326</v>
          </cell>
          <cell r="AB192">
            <v>11.991685797602425</v>
          </cell>
          <cell r="AC192">
            <v>12.883662512369872</v>
          </cell>
          <cell r="AD192">
            <v>13.092395668035678</v>
          </cell>
          <cell r="AE192">
            <v>13.270042337982716</v>
          </cell>
          <cell r="AF192">
            <v>14.327877027183691</v>
          </cell>
          <cell r="AG192">
            <v>15.463251957808238</v>
          </cell>
          <cell r="AH192">
            <v>15.070384360481102</v>
          </cell>
          <cell r="AI192">
            <v>15.694031766079434</v>
          </cell>
          <cell r="AJ192">
            <v>16.791806514947087</v>
          </cell>
          <cell r="AK192">
            <v>17.274735728041218</v>
          </cell>
          <cell r="AL192">
            <v>16.843592447881463</v>
          </cell>
          <cell r="AM192">
            <v>18.065273111744911</v>
          </cell>
          <cell r="AN192">
            <v>20.92885931145549</v>
          </cell>
          <cell r="AO192">
            <v>21.308064735121814</v>
          </cell>
          <cell r="AP192">
            <v>23.103559315825141</v>
          </cell>
          <cell r="AQ192">
            <v>26.463707254886508</v>
          </cell>
          <cell r="AR192">
            <v>29.392947014503523</v>
          </cell>
          <cell r="AS192">
            <v>33.244133806795162</v>
          </cell>
          <cell r="AT192">
            <v>35.542604630223984</v>
          </cell>
          <cell r="AU192">
            <v>39.910944098270718</v>
          </cell>
          <cell r="AV192">
            <v>42.121745969963897</v>
          </cell>
          <cell r="AW192">
            <v>41.282524138781994</v>
          </cell>
          <cell r="AX192">
            <v>46.311717796727912</v>
          </cell>
          <cell r="AY192">
            <v>76.154769046190765</v>
          </cell>
          <cell r="AZ192">
            <v>76.414686825054005</v>
          </cell>
          <cell r="BA192">
            <v>85.32669031437004</v>
          </cell>
          <cell r="BB192">
            <v>81.159893706677337</v>
          </cell>
          <cell r="BC192">
            <v>89.212258154712202</v>
          </cell>
          <cell r="BD192">
            <v>97.092440256961126</v>
          </cell>
          <cell r="BE192">
            <v>96.543752796748819</v>
          </cell>
          <cell r="BF192">
            <v>100.00049307675911</v>
          </cell>
          <cell r="BG192">
            <v>105.47888474317715</v>
          </cell>
          <cell r="BH192">
            <v>101.4002036473114</v>
          </cell>
          <cell r="BI192">
            <v>105.34155886340415</v>
          </cell>
          <cell r="BJ192">
            <v>113.30529829256888</v>
          </cell>
          <cell r="BK192">
            <v>122.73278245395164</v>
          </cell>
        </row>
        <row r="193">
          <cell r="AI193">
            <v>9.1708328415459608</v>
          </cell>
          <cell r="AJ193">
            <v>14.238267760567783</v>
          </cell>
          <cell r="AK193">
            <v>19.737865166962521</v>
          </cell>
          <cell r="AL193">
            <v>25.786098999615898</v>
          </cell>
          <cell r="AM193">
            <v>35.38730407908681</v>
          </cell>
          <cell r="AN193">
            <v>45.288073683795602</v>
          </cell>
          <cell r="AO193">
            <v>53.423002876660398</v>
          </cell>
          <cell r="AP193">
            <v>60.721380153027084</v>
          </cell>
          <cell r="AQ193">
            <v>67.417442637831059</v>
          </cell>
          <cell r="AR193">
            <v>71.57206456386227</v>
          </cell>
          <cell r="AS193">
            <v>75.94857691858013</v>
          </cell>
          <cell r="AT193">
            <v>78.32023601284493</v>
          </cell>
          <cell r="AU193">
            <v>79.768670089184241</v>
          </cell>
          <cell r="AV193">
            <v>80.380117292467219</v>
          </cell>
          <cell r="AW193">
            <v>84.328579433508665</v>
          </cell>
          <cell r="AX193">
            <v>86.494992647033143</v>
          </cell>
          <cell r="AY193">
            <v>87.98763035825904</v>
          </cell>
          <cell r="AZ193">
            <v>91.254973436585132</v>
          </cell>
          <cell r="BA193">
            <v>94.792514299192163</v>
          </cell>
          <cell r="BB193">
            <v>98.367434131766572</v>
          </cell>
          <cell r="BC193">
            <v>100</v>
          </cell>
          <cell r="BD193">
            <v>103.22905390848543</v>
          </cell>
          <cell r="BE193">
            <v>105.65464804586642</v>
          </cell>
          <cell r="BF193">
            <v>105.96098700248902</v>
          </cell>
          <cell r="BG193">
            <v>106.49032480096858</v>
          </cell>
          <cell r="BH193">
            <v>107.31004801516457</v>
          </cell>
          <cell r="BI193">
            <v>107.64262946847639</v>
          </cell>
          <cell r="BJ193">
            <v>109.77293997157058</v>
          </cell>
          <cell r="BK193">
            <v>111.02818275469201</v>
          </cell>
        </row>
        <row r="195">
          <cell r="E195">
            <v>113.90000092902656</v>
          </cell>
          <cell r="F195">
            <v>117.2999981887084</v>
          </cell>
          <cell r="G195">
            <v>121.60000148632544</v>
          </cell>
          <cell r="H195">
            <v>124.69999940685209</v>
          </cell>
          <cell r="I195">
            <v>128.30000028949232</v>
          </cell>
          <cell r="J195">
            <v>131.70000042505984</v>
          </cell>
          <cell r="K195">
            <v>134.79999812925411</v>
          </cell>
          <cell r="L195">
            <v>141.40000049632295</v>
          </cell>
          <cell r="M195">
            <v>150</v>
          </cell>
          <cell r="N195">
            <v>155.19999844128498</v>
          </cell>
          <cell r="O195">
            <v>161.59999887017699</v>
          </cell>
          <cell r="P195">
            <v>170.39999821355815</v>
          </cell>
          <cell r="Q195">
            <v>178.19999840633915</v>
          </cell>
          <cell r="R195">
            <v>185.39999896211583</v>
          </cell>
          <cell r="S195">
            <v>197.69999843328</v>
          </cell>
          <cell r="T195">
            <v>212.30000170911043</v>
          </cell>
          <cell r="U195">
            <v>218.60000209128293</v>
          </cell>
          <cell r="V195">
            <v>227.999998159602</v>
          </cell>
          <cell r="W195">
            <v>240.20000129942497</v>
          </cell>
          <cell r="X195">
            <v>254.20000208942434</v>
          </cell>
          <cell r="Y195">
            <v>276.1000001415299</v>
          </cell>
          <cell r="Z195">
            <v>301.70000256589759</v>
          </cell>
          <cell r="AA195">
            <v>321.99999950060248</v>
          </cell>
          <cell r="AB195">
            <v>339.80000211236694</v>
          </cell>
          <cell r="AC195">
            <v>355.80000180103951</v>
          </cell>
          <cell r="AD195">
            <v>365.39999937686849</v>
          </cell>
          <cell r="AE195">
            <v>377.58451179703479</v>
          </cell>
          <cell r="AF195">
            <v>389.69730748482954</v>
          </cell>
          <cell r="AG195">
            <v>404.17694751509782</v>
          </cell>
          <cell r="AH195">
            <v>413.44963046650969</v>
          </cell>
          <cell r="AI195">
            <v>462.448532745021</v>
          </cell>
          <cell r="AJ195">
            <v>476.89217612218073</v>
          </cell>
          <cell r="AK195">
            <v>489.17873236054407</v>
          </cell>
          <cell r="AL195">
            <v>498.40655498710868</v>
          </cell>
          <cell r="AM195">
            <v>514.24723381099216</v>
          </cell>
          <cell r="AN195">
            <v>528.51339025689947</v>
          </cell>
          <cell r="AO195">
            <v>549.1864704457364</v>
          </cell>
          <cell r="AP195">
            <v>556.50300846527841</v>
          </cell>
          <cell r="AQ195">
            <v>591.89739324563902</v>
          </cell>
          <cell r="AR195">
            <v>600.61472643635193</v>
          </cell>
          <cell r="AS195">
            <v>620.40541355802679</v>
          </cell>
          <cell r="AT195">
            <v>654.55817956550936</v>
          </cell>
          <cell r="AU195">
            <v>671.2479616127157</v>
          </cell>
          <cell r="AV195">
            <v>700.90015830047116</v>
          </cell>
          <cell r="AW195">
            <v>691.8432803038786</v>
          </cell>
          <cell r="AX195">
            <v>737.43660021500239</v>
          </cell>
          <cell r="AY195">
            <v>777.94298858809623</v>
          </cell>
          <cell r="AZ195">
            <v>807.36855747798836</v>
          </cell>
          <cell r="BA195">
            <v>860.34693446283052</v>
          </cell>
          <cell r="BB195">
            <v>903.2141986993272</v>
          </cell>
          <cell r="BC195">
            <v>925.7412513055998</v>
          </cell>
          <cell r="BD195">
            <v>947.67971140407212</v>
          </cell>
          <cell r="BE195">
            <v>958.85501732390526</v>
          </cell>
          <cell r="BF195">
            <v>970.18882933388909</v>
          </cell>
          <cell r="BG195">
            <v>981.83647846963322</v>
          </cell>
          <cell r="BH195">
            <v>1001.2542858803249</v>
          </cell>
          <cell r="BI195">
            <v>1023.4908084989503</v>
          </cell>
          <cell r="BJ195">
            <v>1050.5597936170427</v>
          </cell>
          <cell r="BK195">
            <v>1071.6992529009697</v>
          </cell>
        </row>
        <row r="197">
          <cell r="E197">
            <v>1.5063915755781299</v>
          </cell>
          <cell r="F197">
            <v>1.5276582970221055</v>
          </cell>
          <cell r="G197">
            <v>1.5379958981310304</v>
          </cell>
          <cell r="H197">
            <v>1.546728677181449</v>
          </cell>
          <cell r="I197">
            <v>1.5777930219979981</v>
          </cell>
          <cell r="J197">
            <v>1.6388876837776092</v>
          </cell>
          <cell r="K197">
            <v>1.7251462952168228</v>
          </cell>
          <cell r="L197">
            <v>1.793059435490878</v>
          </cell>
          <cell r="M197">
            <v>1.8230538959334783</v>
          </cell>
          <cell r="N197">
            <v>1.9579088218695129</v>
          </cell>
          <cell r="O197">
            <v>2.0229685483067597</v>
          </cell>
          <cell r="P197">
            <v>2.1244554815924377</v>
          </cell>
          <cell r="Q197">
            <v>2.2902600503020225</v>
          </cell>
          <cell r="R197">
            <v>2.507063112895239</v>
          </cell>
          <cell r="S197">
            <v>2.980025741180008</v>
          </cell>
          <cell r="T197">
            <v>3.4636959966683096</v>
          </cell>
          <cell r="U197">
            <v>4.0273827700513065</v>
          </cell>
          <cell r="V197">
            <v>5.0906136493127061</v>
          </cell>
          <cell r="W197">
            <v>6.2282769582335051</v>
          </cell>
          <cell r="X197">
            <v>7.4388932512856432</v>
          </cell>
          <cell r="Y197">
            <v>8.9938482940497106</v>
          </cell>
          <cell r="Z197">
            <v>10.577567240186365</v>
          </cell>
          <cell r="AA197">
            <v>12.766100873769773</v>
          </cell>
          <cell r="AB197">
            <v>15.907233369194326</v>
          </cell>
          <cell r="AC197">
            <v>19.832458457477529</v>
          </cell>
          <cell r="AD197">
            <v>24.142955305124435</v>
          </cell>
          <cell r="AE197">
            <v>29.080463279395818</v>
          </cell>
          <cell r="AF197">
            <v>32.01665422118333</v>
          </cell>
          <cell r="AG197">
            <v>35.591439090641998</v>
          </cell>
          <cell r="AH197">
            <v>39.333453472025703</v>
          </cell>
          <cell r="AI197">
            <v>44.503698462846401</v>
          </cell>
          <cell r="AJ197">
            <v>48.99242451807379</v>
          </cell>
          <cell r="AK197">
            <v>54.600112915476537</v>
          </cell>
          <cell r="AL197">
            <v>58.627652041730094</v>
          </cell>
          <cell r="AM197">
            <v>62.894353921250243</v>
          </cell>
          <cell r="AN197">
            <v>65.050760784788253</v>
          </cell>
          <cell r="AO197">
            <v>66.60427684219114</v>
          </cell>
          <cell r="AP197">
            <v>69.192891200238776</v>
          </cell>
          <cell r="AQ197">
            <v>71.852953624151013</v>
          </cell>
          <cell r="AR197">
            <v>74.288954867376233</v>
          </cell>
          <cell r="AS197">
            <v>76.859064993811515</v>
          </cell>
          <cell r="AT197">
            <v>79.714060852161012</v>
          </cell>
          <cell r="AU197">
            <v>83.068481766032832</v>
          </cell>
          <cell r="AV197">
            <v>85.925243003887445</v>
          </cell>
          <cell r="AW197">
            <v>87.984077286851047</v>
          </cell>
          <cell r="AX197">
            <v>90.91380731724901</v>
          </cell>
          <cell r="AY197">
            <v>93.809771057851279</v>
          </cell>
          <cell r="AZ197">
            <v>96.604427462133742</v>
          </cell>
          <cell r="BA197">
            <v>98.283137441389613</v>
          </cell>
          <cell r="BB197">
            <v>99.360638081085057</v>
          </cell>
          <cell r="BC197">
            <v>100</v>
          </cell>
          <cell r="BD197">
            <v>99.730426539983867</v>
          </cell>
          <cell r="BE197">
            <v>99.333931354014069</v>
          </cell>
          <cell r="BF197">
            <v>101.58587937880073</v>
          </cell>
          <cell r="BG197">
            <v>102.34805562152364</v>
          </cell>
          <cell r="BH197">
            <v>104.42506421308208</v>
          </cell>
          <cell r="BI197">
            <v>106.25334995239282</v>
          </cell>
          <cell r="BJ197">
            <v>107.87234369313181</v>
          </cell>
          <cell r="BK197">
            <v>109.40552294509811</v>
          </cell>
        </row>
        <row r="198">
          <cell r="E198">
            <v>0.24451064999522018</v>
          </cell>
          <cell r="F198">
            <v>0.26085575116489063</v>
          </cell>
          <cell r="G198">
            <v>0.282823132530237</v>
          </cell>
          <cell r="H198">
            <v>0.28747814124890747</v>
          </cell>
          <cell r="I198">
            <v>0.29342244038583082</v>
          </cell>
          <cell r="J198">
            <v>0.30022522660045664</v>
          </cell>
          <cell r="K198">
            <v>0.30916223322265768</v>
          </cell>
          <cell r="L198">
            <v>0.29952912453160457</v>
          </cell>
          <cell r="M198">
            <v>0.3010835118836041</v>
          </cell>
          <cell r="N198">
            <v>0.30903148894937982</v>
          </cell>
          <cell r="O198">
            <v>0.31293873207574585</v>
          </cell>
          <cell r="P198">
            <v>0.33140455956780335</v>
          </cell>
          <cell r="Q198">
            <v>0.35965066660221001</v>
          </cell>
          <cell r="R198">
            <v>0.43388648852028722</v>
          </cell>
          <cell r="S198">
            <v>0.53622957159825013</v>
          </cell>
          <cell r="T198">
            <v>0.56880923322465238</v>
          </cell>
          <cell r="U198">
            <v>0.59463605574561651</v>
          </cell>
          <cell r="V198">
            <v>0.65676623983396665</v>
          </cell>
          <cell r="W198">
            <v>0.7173027674365865</v>
          </cell>
          <cell r="X198">
            <v>0.85589474573735147</v>
          </cell>
          <cell r="Y198">
            <v>0.99741646793374616</v>
          </cell>
          <cell r="Z198">
            <v>1.1552693276947974</v>
          </cell>
          <cell r="AA198">
            <v>1.2185159026636572</v>
          </cell>
          <cell r="AB198">
            <v>1.4123552301176119</v>
          </cell>
          <cell r="AC198">
            <v>1.8197079384468198</v>
          </cell>
          <cell r="AD198">
            <v>2.2952218271497475</v>
          </cell>
          <cell r="AE198">
            <v>2.9125618498879984</v>
          </cell>
          <cell r="AF198">
            <v>3.72717826311098</v>
          </cell>
          <cell r="AG198">
            <v>4.742294692803033</v>
          </cell>
          <cell r="AH198">
            <v>6.2339796756663528</v>
          </cell>
          <cell r="AI198">
            <v>8.516085738357356</v>
          </cell>
          <cell r="AJ198">
            <v>10.655312596167317</v>
          </cell>
          <cell r="AK198">
            <v>12.155891812489116</v>
          </cell>
          <cell r="AL198">
            <v>13.641346041461683</v>
          </cell>
          <cell r="AM198">
            <v>15.356523012528983</v>
          </cell>
          <cell r="AN198">
            <v>17.057477102624983</v>
          </cell>
          <cell r="AO198">
            <v>19.005688020281347</v>
          </cell>
          <cell r="AP198">
            <v>19.653969993767227</v>
          </cell>
          <cell r="AQ198">
            <v>22.849425707646844</v>
          </cell>
          <cell r="AR198">
            <v>25.289773600288573</v>
          </cell>
          <cell r="AS198">
            <v>28.998393826354636</v>
          </cell>
          <cell r="AT198">
            <v>33.039495357225448</v>
          </cell>
          <cell r="AU198">
            <v>38.969881319915167</v>
          </cell>
          <cell r="AV198">
            <v>44.871606663093417</v>
          </cell>
          <cell r="AW198">
            <v>50.182163655673783</v>
          </cell>
          <cell r="AX198">
            <v>56.682171052613207</v>
          </cell>
          <cell r="AY198">
            <v>61.701849265624773</v>
          </cell>
          <cell r="AZ198">
            <v>69.49818991147481</v>
          </cell>
          <cell r="BA198">
            <v>77.972719034838789</v>
          </cell>
          <cell r="BB198">
            <v>80.89092897036457</v>
          </cell>
          <cell r="BC198">
            <v>84.604656085814923</v>
          </cell>
          <cell r="BD198">
            <v>88.911570421038348</v>
          </cell>
          <cell r="BE198">
            <v>93.162952104331936</v>
          </cell>
          <cell r="BF198">
            <v>97.271775464356637</v>
          </cell>
          <cell r="BG198">
            <v>100</v>
          </cell>
          <cell r="BH198">
            <v>101.60480037625439</v>
          </cell>
          <cell r="BI198">
            <v>105.79545460280467</v>
          </cell>
          <cell r="BJ198">
            <v>108.06561175335669</v>
          </cell>
          <cell r="BK198">
            <v>111.37208778023225</v>
          </cell>
        </row>
        <row r="199">
          <cell r="AM199">
            <v>56.217529670895601</v>
          </cell>
          <cell r="AN199">
            <v>60.593908532841702</v>
          </cell>
          <cell r="AO199">
            <v>62.1788160333519</v>
          </cell>
          <cell r="AP199">
            <v>59.794943009445902</v>
          </cell>
          <cell r="AQ199">
            <v>56.582630559572401</v>
          </cell>
          <cell r="AR199">
            <v>54.868549666429999</v>
          </cell>
          <cell r="AS199">
            <v>60.598112757078603</v>
          </cell>
          <cell r="AT199">
            <v>62.018950191751898</v>
          </cell>
          <cell r="AU199">
            <v>62.941706453072001</v>
          </cell>
          <cell r="AV199">
            <v>61.603808580944801</v>
          </cell>
          <cell r="AW199">
            <v>60.9113866937548</v>
          </cell>
          <cell r="AX199">
            <v>61.357107521467299</v>
          </cell>
          <cell r="AY199">
            <v>64.8822019561308</v>
          </cell>
          <cell r="AZ199">
            <v>68.255365316394006</v>
          </cell>
          <cell r="BA199">
            <v>77.990088089123802</v>
          </cell>
          <cell r="BB199">
            <v>78.168680811718303</v>
          </cell>
          <cell r="BC199">
            <v>88.6773400300075</v>
          </cell>
          <cell r="BD199">
            <v>92.623399500730699</v>
          </cell>
          <cell r="BE199">
            <v>93.925178370528798</v>
          </cell>
          <cell r="BF199">
            <v>101.635744043136</v>
          </cell>
          <cell r="BG199">
            <v>103.776405574476</v>
          </cell>
          <cell r="BH199">
            <v>100</v>
          </cell>
          <cell r="BI199">
            <v>101.17561060159601</v>
          </cell>
          <cell r="BJ199">
            <v>105.930704933364</v>
          </cell>
          <cell r="BK199">
            <v>105.83332729919</v>
          </cell>
        </row>
        <row r="202">
          <cell r="J202">
            <v>17.085064226996447</v>
          </cell>
          <cell r="K202">
            <v>19.047482022274838</v>
          </cell>
          <cell r="L202">
            <v>20.488787029759528</v>
          </cell>
          <cell r="M202">
            <v>20.941430298154369</v>
          </cell>
          <cell r="N202">
            <v>21.188362934799908</v>
          </cell>
          <cell r="O202">
            <v>23.312019612176826</v>
          </cell>
          <cell r="P202">
            <v>24.251808086148746</v>
          </cell>
          <cell r="Q202">
            <v>25.467906094076927</v>
          </cell>
          <cell r="R202">
            <v>27.602109247189176</v>
          </cell>
          <cell r="S202">
            <v>32.529656041560834</v>
          </cell>
          <cell r="T202">
            <v>37.85890691701713</v>
          </cell>
          <cell r="U202">
            <v>41.382410221585388</v>
          </cell>
          <cell r="V202">
            <v>45.148049081629715</v>
          </cell>
          <cell r="W202">
            <v>47.838723653127722</v>
          </cell>
          <cell r="X202">
            <v>52.431996646675415</v>
          </cell>
          <cell r="Y202">
            <v>58.100707523743303</v>
          </cell>
          <cell r="Z202">
            <v>64.712500771240627</v>
          </cell>
          <cell r="AA202">
            <v>71.52199685142898</v>
          </cell>
          <cell r="AB202">
            <v>81.7119965784252</v>
          </cell>
          <cell r="AC202">
            <v>91.761743118793959</v>
          </cell>
          <cell r="AD202">
            <v>97.824420052554743</v>
          </cell>
          <cell r="AE202">
            <v>106.22679582851077</v>
          </cell>
          <cell r="AF202">
            <v>95.108939115356279</v>
          </cell>
          <cell r="AG202">
            <v>97.274067416163433</v>
          </cell>
          <cell r="AH202">
            <v>99.228828888595459</v>
          </cell>
          <cell r="AI202">
            <v>99.987298298065568</v>
          </cell>
          <cell r="AJ202">
            <v>101.43728884691225</v>
          </cell>
          <cell r="AK202">
            <v>102.72713486264075</v>
          </cell>
          <cell r="AL202">
            <v>104.7845986085602</v>
          </cell>
          <cell r="AM202">
            <v>105.69341999206144</v>
          </cell>
          <cell r="AN202">
            <v>106.89997805703155</v>
          </cell>
          <cell r="AO202">
            <v>108.469631039302</v>
          </cell>
          <cell r="AP202">
            <v>109.53702018722582</v>
          </cell>
          <cell r="AQ202">
            <v>110.33216516741572</v>
          </cell>
          <cell r="AR202">
            <v>111.35890884853686</v>
          </cell>
          <cell r="AS202">
            <v>112.42966267557036</v>
          </cell>
        </row>
        <row r="203">
          <cell r="AS203">
            <v>38.444566979224952</v>
          </cell>
          <cell r="AT203">
            <v>36.540814731794867</v>
          </cell>
          <cell r="AU203">
            <v>37.640329716642562</v>
          </cell>
          <cell r="AV203">
            <v>44.105608824182177</v>
          </cell>
          <cell r="AW203">
            <v>49.886436084075022</v>
          </cell>
          <cell r="AX203">
            <v>65.123100490424576</v>
          </cell>
          <cell r="AY203">
            <v>70.568442472891874</v>
          </cell>
          <cell r="AZ203">
            <v>78.309702252799909</v>
          </cell>
          <cell r="BA203">
            <v>96.242283163264588</v>
          </cell>
          <cell r="BB203">
            <v>72.934229933156089</v>
          </cell>
          <cell r="BC203">
            <v>78.024550445931538</v>
          </cell>
          <cell r="BD203">
            <v>92.279772859832519</v>
          </cell>
          <cell r="BE203">
            <v>98.16112261010889</v>
          </cell>
          <cell r="BF203">
            <v>100</v>
          </cell>
          <cell r="BG203">
            <v>99.801502623808247</v>
          </cell>
          <cell r="BH203">
            <v>75.511408163291478</v>
          </cell>
          <cell r="BI203">
            <v>69.360826244100664</v>
          </cell>
          <cell r="BJ203">
            <v>75.120725763978342</v>
          </cell>
          <cell r="BK203">
            <v>85.187911822709324</v>
          </cell>
        </row>
        <row r="204">
          <cell r="AI204">
            <v>3.4644946848013454E-2</v>
          </cell>
          <cell r="AJ204">
            <v>0.1022039715838234</v>
          </cell>
          <cell r="AK204">
            <v>0.30646770046035027</v>
          </cell>
          <cell r="AL204">
            <v>1.0030955559496486</v>
          </cell>
          <cell r="AM204">
            <v>2.3976297987779907</v>
          </cell>
          <cell r="AN204">
            <v>3.4509918438769214</v>
          </cell>
          <cell r="AO204">
            <v>4.9695070728317301</v>
          </cell>
          <cell r="AP204">
            <v>11.695158406859667</v>
          </cell>
          <cell r="AQ204">
            <v>17.324566741880211</v>
          </cell>
          <cell r="AR204">
            <v>25.904118897003613</v>
          </cell>
          <cell r="AS204">
            <v>37.089721858386625</v>
          </cell>
          <cell r="AT204">
            <v>51.167613671035248</v>
          </cell>
          <cell r="AU204">
            <v>62.789963106569523</v>
          </cell>
          <cell r="AV204">
            <v>77.327883674715977</v>
          </cell>
          <cell r="AW204">
            <v>89.280142154501789</v>
          </cell>
          <cell r="AX204">
            <v>100</v>
          </cell>
          <cell r="AY204">
            <v>110.60657935710172</v>
          </cell>
          <cell r="AZ204">
            <v>128.10036754770985</v>
          </cell>
          <cell r="BA204">
            <v>148.61638425031583</v>
          </cell>
          <cell r="BB204">
            <v>154.6900062908127</v>
          </cell>
          <cell r="BC204">
            <v>160.16711444986942</v>
          </cell>
          <cell r="BD204">
            <v>166.22931923073375</v>
          </cell>
          <cell r="BE204">
            <v>172.89224003757522</v>
          </cell>
          <cell r="BF204">
            <v>178.75717148985549</v>
          </cell>
          <cell r="BG204">
            <v>181.87360331871193</v>
          </cell>
          <cell r="BH204">
            <v>186.61717708796272</v>
          </cell>
          <cell r="BI204">
            <v>191.19957878565026</v>
          </cell>
          <cell r="BJ204">
            <v>200.09767508995586</v>
          </cell>
          <cell r="BK204">
            <v>211.85581906706452</v>
          </cell>
        </row>
        <row r="205">
          <cell r="AH205">
            <v>7.561545169988272E-4</v>
          </cell>
          <cell r="AI205">
            <v>8.7640509880502245E-4</v>
          </cell>
          <cell r="AJ205">
            <v>2.0037229764176007E-3</v>
          </cell>
          <cell r="AK205">
            <v>3.1867579400136521E-2</v>
          </cell>
          <cell r="AL205">
            <v>0.31480093096208039</v>
          </cell>
          <cell r="AM205">
            <v>1.2821780748940561</v>
          </cell>
          <cell r="AN205">
            <v>3.1286025520171989</v>
          </cell>
          <cell r="AO205">
            <v>4.5688978386461629</v>
          </cell>
          <cell r="AP205">
            <v>5.2569054861347695</v>
          </cell>
          <cell r="AQ205">
            <v>6.2314814773220224</v>
          </cell>
          <cell r="AR205">
            <v>10.742239389160524</v>
          </cell>
          <cell r="AS205">
            <v>14.791841082219859</v>
          </cell>
          <cell r="AT205">
            <v>17.229480188539657</v>
          </cell>
          <cell r="AU205">
            <v>19.927945232641122</v>
          </cell>
          <cell r="AV205">
            <v>22.649531977518688</v>
          </cell>
          <cell r="AW205">
            <v>27.237228557848791</v>
          </cell>
          <cell r="AX205">
            <v>32.488411552875554</v>
          </cell>
          <cell r="AY205">
            <v>37.400791487273885</v>
          </cell>
          <cell r="AZ205">
            <v>42.57752451453328</v>
          </cell>
          <cell r="BA205">
            <v>50.247234699411393</v>
          </cell>
          <cell r="BB205">
            <v>51.237413039102165</v>
          </cell>
          <cell r="BC205">
            <v>58.508570463530333</v>
          </cell>
          <cell r="BD205">
            <v>73.023980727193759</v>
          </cell>
          <cell r="BE205">
            <v>79.624970576745653</v>
          </cell>
          <cell r="BF205">
            <v>83.920079698698316</v>
          </cell>
          <cell r="BG205">
            <v>90.087844832253992</v>
          </cell>
          <cell r="BH205">
            <v>96.923432770417818</v>
          </cell>
          <cell r="BI205">
            <v>100</v>
          </cell>
          <cell r="BJ205">
            <v>105.35934131397869</v>
          </cell>
          <cell r="BK205">
            <v>116.20841302538479</v>
          </cell>
          <cell r="BN205" t="str">
            <v>Russia</v>
          </cell>
        </row>
        <row r="206">
          <cell r="E206">
            <v>0.85402474584084809</v>
          </cell>
          <cell r="F206">
            <v>0.91487156343723863</v>
          </cell>
          <cell r="G206">
            <v>0.84194409599598652</v>
          </cell>
          <cell r="H206">
            <v>0.95603786636181065</v>
          </cell>
          <cell r="I206">
            <v>1.1092429680086593</v>
          </cell>
          <cell r="J206">
            <v>1.1864891503088582</v>
          </cell>
          <cell r="K206">
            <v>1.6238204447275819</v>
          </cell>
          <cell r="L206">
            <v>2.2240894681230374</v>
          </cell>
          <cell r="M206">
            <v>2.2429606834509519</v>
          </cell>
          <cell r="N206">
            <v>2.2141581596579578</v>
          </cell>
          <cell r="O206">
            <v>2.4341659946786698</v>
          </cell>
          <cell r="P206">
            <v>2.4313943038150718</v>
          </cell>
          <cell r="Q206">
            <v>2.4762859358063141</v>
          </cell>
          <cell r="R206">
            <v>2.573263577240958</v>
          </cell>
          <cell r="S206">
            <v>2.982590339996209</v>
          </cell>
          <cell r="T206">
            <v>5.6063496824852894</v>
          </cell>
          <cell r="U206">
            <v>5.5003287011023643</v>
          </cell>
          <cell r="V206">
            <v>6.2435037600347707</v>
          </cell>
          <cell r="W206">
            <v>6.4723118711398619</v>
          </cell>
          <cell r="X206">
            <v>6.8648760779401217</v>
          </cell>
          <cell r="Y206">
            <v>7.0752690942136338</v>
          </cell>
          <cell r="Z206">
            <v>7.6208219966627437</v>
          </cell>
          <cell r="AA206">
            <v>7.9929604763386575</v>
          </cell>
          <cell r="AB206">
            <v>8.1887250748151157</v>
          </cell>
          <cell r="AC206">
            <v>9.5690730157719006</v>
          </cell>
          <cell r="AD206">
            <v>10.005817947610231</v>
          </cell>
          <cell r="AE206">
            <v>9.3032361719100702</v>
          </cell>
          <cell r="AF206">
            <v>9.365128413810405</v>
          </cell>
          <cell r="AG206">
            <v>9.5735377643967681</v>
          </cell>
          <cell r="AH206">
            <v>10.080656365832773</v>
          </cell>
          <cell r="AI206">
            <v>11.437660788853739</v>
          </cell>
          <cell r="AJ206">
            <v>13.150900727012713</v>
          </cell>
          <cell r="AK206">
            <v>14.108718066060863</v>
          </cell>
          <cell r="AL206">
            <v>16.065668169942157</v>
          </cell>
          <cell r="AM206">
            <v>18.827565848801168</v>
          </cell>
          <cell r="AN206">
            <v>28.479815531538215</v>
          </cell>
          <cell r="AO206">
            <v>31.590214593190204</v>
          </cell>
          <cell r="AP206">
            <v>36.525080737736808</v>
          </cell>
          <cell r="AQ206">
            <v>37.338932822763248</v>
          </cell>
          <cell r="AR206">
            <v>36.54581852200473</v>
          </cell>
          <cell r="AS206">
            <v>37.598226053692827</v>
          </cell>
          <cell r="AT206">
            <v>37.99281238662104</v>
          </cell>
          <cell r="AU206">
            <v>36.018855731047246</v>
          </cell>
          <cell r="AV206">
            <v>43.820050908357331</v>
          </cell>
          <cell r="AW206">
            <v>49.53068022474968</v>
          </cell>
          <cell r="AX206">
            <v>54.01434321221744</v>
          </cell>
          <cell r="AY206">
            <v>56.760104698490011</v>
          </cell>
          <cell r="AZ206">
            <v>63.917537468335638</v>
          </cell>
          <cell r="BA206">
            <v>73.413693053632599</v>
          </cell>
          <cell r="BB206">
            <v>79.256324826169163</v>
          </cell>
          <cell r="BC206">
            <v>81.549809965741346</v>
          </cell>
          <cell r="BD206">
            <v>88.396471683094035</v>
          </cell>
          <cell r="BE206">
            <v>92.896758677493409</v>
          </cell>
          <cell r="BF206">
            <v>97.039786507389906</v>
          </cell>
          <cell r="BG206">
            <v>100</v>
          </cell>
          <cell r="BH206">
            <v>100.28573593892331</v>
          </cell>
          <cell r="BI206">
            <v>105.7968153579242</v>
          </cell>
          <cell r="BJ206">
            <v>113.56645395282223</v>
          </cell>
          <cell r="BK206">
            <v>112.65648644930528</v>
          </cell>
        </row>
        <row r="208">
          <cell r="M208">
            <v>6.5441979754484052</v>
          </cell>
          <cell r="N208">
            <v>6.6107310251775004</v>
          </cell>
          <cell r="O208">
            <v>4.995120096091445</v>
          </cell>
          <cell r="P208">
            <v>5.5219186731831513</v>
          </cell>
          <cell r="Q208">
            <v>5.5813958053533428</v>
          </cell>
          <cell r="R208">
            <v>6.2172428875093733</v>
          </cell>
          <cell r="S208">
            <v>15.565169216026629</v>
          </cell>
          <cell r="T208">
            <v>17.442505078496453</v>
          </cell>
          <cell r="U208">
            <v>20.329854734605725</v>
          </cell>
          <cell r="V208">
            <v>21.972788484056117</v>
          </cell>
          <cell r="W208">
            <v>24.189006420557522</v>
          </cell>
          <cell r="X208">
            <v>29.77634435204013</v>
          </cell>
          <cell r="Y208">
            <v>41.036023188088755</v>
          </cell>
          <cell r="Z208">
            <v>45.841827933063648</v>
          </cell>
          <cell r="AA208">
            <v>48.735357751814242</v>
          </cell>
          <cell r="AB208">
            <v>49.318553364178811</v>
          </cell>
          <cell r="AC208">
            <v>48.863426859630216</v>
          </cell>
          <cell r="AD208">
            <v>48.355799784710051</v>
          </cell>
          <cell r="AE208">
            <v>35.362523753438609</v>
          </cell>
          <cell r="AF208">
            <v>37.746468593576147</v>
          </cell>
          <cell r="AG208">
            <v>34.368669787527686</v>
          </cell>
          <cell r="AH208">
            <v>37.316736724995216</v>
          </cell>
          <cell r="AI208">
            <v>39.966820908016089</v>
          </cell>
          <cell r="AJ208">
            <v>39.062568251361498</v>
          </cell>
          <cell r="AK208">
            <v>38.946698601525206</v>
          </cell>
          <cell r="AL208">
            <v>38.298505229436344</v>
          </cell>
          <cell r="AM208">
            <v>38.717854696811763</v>
          </cell>
          <cell r="AN208">
            <v>40.970545472006862</v>
          </cell>
          <cell r="AO208">
            <v>44.183835967986042</v>
          </cell>
          <cell r="AP208">
            <v>45.712474966029824</v>
          </cell>
          <cell r="AQ208">
            <v>39.343015926241904</v>
          </cell>
          <cell r="AR208">
            <v>45.043161517426917</v>
          </cell>
          <cell r="AS208">
            <v>49.974480066875067</v>
          </cell>
          <cell r="AT208">
            <v>49.151561501937636</v>
          </cell>
          <cell r="AU208">
            <v>52.079458229750863</v>
          </cell>
          <cell r="AV208">
            <v>53.285909430280718</v>
          </cell>
          <cell r="AW208">
            <v>59.177427719146969</v>
          </cell>
          <cell r="AX208">
            <v>71.101466124668192</v>
          </cell>
          <cell r="AY208">
            <v>79.329606383679462</v>
          </cell>
          <cell r="AZ208">
            <v>86.021360931146134</v>
          </cell>
          <cell r="BA208">
            <v>101.23839447240981</v>
          </cell>
          <cell r="BB208">
            <v>85.330572267194142</v>
          </cell>
          <cell r="BC208">
            <v>100</v>
          </cell>
          <cell r="BD208">
            <v>115.52939055588294</v>
          </cell>
          <cell r="BE208">
            <v>120.16849097514326</v>
          </cell>
          <cell r="BF208">
            <v>118.70684004709074</v>
          </cell>
          <cell r="BG208">
            <v>116.01219709958643</v>
          </cell>
          <cell r="BH208">
            <v>96.396245264774578</v>
          </cell>
          <cell r="BI208">
            <v>93.459600178996652</v>
          </cell>
          <cell r="BJ208">
            <v>100.5306067308295</v>
          </cell>
          <cell r="BK208">
            <v>111.76368197292514</v>
          </cell>
          <cell r="BN208" t="str">
            <v>Saudi Arabia</v>
          </cell>
        </row>
        <row r="209">
          <cell r="E209">
            <v>1.0044471243360071E-2</v>
          </cell>
          <cell r="F209">
            <v>1.0902545657354499E-2</v>
          </cell>
          <cell r="G209">
            <v>1.107622917165995E-2</v>
          </cell>
          <cell r="H209">
            <v>1.159801006248776E-2</v>
          </cell>
          <cell r="I209">
            <v>1.2051025748210644E-2</v>
          </cell>
          <cell r="J209">
            <v>1.1762442553612737E-2</v>
          </cell>
          <cell r="K209">
            <v>1.2515750620581715E-2</v>
          </cell>
          <cell r="L209">
            <v>1.336178850773985E-2</v>
          </cell>
          <cell r="M209">
            <v>1.367814784298395E-2</v>
          </cell>
          <cell r="N209">
            <v>1.4855488976167229E-2</v>
          </cell>
          <cell r="O209">
            <v>1.5943005445104276E-2</v>
          </cell>
          <cell r="P209">
            <v>1.6989165142872738E-2</v>
          </cell>
          <cell r="Q209">
            <v>1.9419541678601732E-2</v>
          </cell>
          <cell r="R209">
            <v>2.3915472920386139E-2</v>
          </cell>
          <cell r="S209">
            <v>2.7607803365147902E-2</v>
          </cell>
          <cell r="T209">
            <v>2.9066673174389129E-2</v>
          </cell>
          <cell r="U209">
            <v>3.1062397336128679E-2</v>
          </cell>
          <cell r="V209">
            <v>3.6468496495451787E-2</v>
          </cell>
          <cell r="W209">
            <v>4.5552770818326677E-2</v>
          </cell>
          <cell r="X209">
            <v>5.6473994146956398E-2</v>
          </cell>
          <cell r="Y209">
            <v>6.891327526279932E-2</v>
          </cell>
          <cell r="Z209">
            <v>8.6125867755843105E-2</v>
          </cell>
          <cell r="AA209">
            <v>0.11247198546812179</v>
          </cell>
          <cell r="AB209">
            <v>0.1417800018612998</v>
          </cell>
          <cell r="AC209">
            <v>0.18947037492671603</v>
          </cell>
          <cell r="AD209">
            <v>0.27694722751348105</v>
          </cell>
          <cell r="AE209">
            <v>0.35627199402909571</v>
          </cell>
          <cell r="AF209">
            <v>0.44851563454046101</v>
          </cell>
          <cell r="AG209">
            <v>0.80222670890947156</v>
          </cell>
          <cell r="AH209">
            <v>1.0969539872002658</v>
          </cell>
          <cell r="AI209">
            <v>1.8235279145685208</v>
          </cell>
          <cell r="AJ209">
            <v>3.4423255380121689</v>
          </cell>
          <cell r="AK209">
            <v>7.2025035457559543</v>
          </cell>
          <cell r="AL209">
            <v>14.224033260187529</v>
          </cell>
          <cell r="AM209">
            <v>36.878220780800483</v>
          </cell>
          <cell r="AN209">
            <v>75.436255091973791</v>
          </cell>
          <cell r="AO209">
            <v>100</v>
          </cell>
          <cell r="AP209">
            <v>147.58344730777506</v>
          </cell>
          <cell r="AQ209">
            <v>173.65003562911974</v>
          </cell>
          <cell r="AR209">
            <v>201.1276843653676</v>
          </cell>
          <cell r="AS209">
            <v>220.94506980779269</v>
          </cell>
          <cell r="AT209">
            <v>224.49588501069084</v>
          </cell>
          <cell r="AU209">
            <v>241.08382421490978</v>
          </cell>
          <cell r="AV209">
            <v>264.39677647035063</v>
          </cell>
          <cell r="AW209">
            <v>305.83782313216307</v>
          </cell>
          <cell r="AX209">
            <v>332.21591869969035</v>
          </cell>
          <cell r="AY209">
            <v>363.3670968226869</v>
          </cell>
          <cell r="AZ209">
            <v>387.60162540839968</v>
          </cell>
          <cell r="BA209">
            <v>442.83324418888174</v>
          </cell>
          <cell r="BB209">
            <v>460.36712384309737</v>
          </cell>
          <cell r="BC209">
            <v>550.51047218625399</v>
          </cell>
          <cell r="BD209">
            <v>666.12637094028821</v>
          </cell>
          <cell r="BE209">
            <v>898.44596192738811</v>
          </cell>
          <cell r="BF209">
            <v>1212.0341520111197</v>
          </cell>
          <cell r="BG209">
            <v>1622.8552385233208</v>
          </cell>
          <cell r="BH209">
            <v>1913.4073203869757</v>
          </cell>
          <cell r="BI209">
            <v>1860.8778560453966</v>
          </cell>
          <cell r="BJ209">
            <v>2472.387566137566</v>
          </cell>
          <cell r="BK209">
            <v>3064.1480979933522</v>
          </cell>
        </row>
        <row r="210">
          <cell r="E210">
            <v>10.940828645076966</v>
          </cell>
          <cell r="F210">
            <v>11.210911476128322</v>
          </cell>
          <cell r="G210">
            <v>11.495584286915641</v>
          </cell>
          <cell r="H210">
            <v>11.666472541175626</v>
          </cell>
          <cell r="I210">
            <v>11.899259531893783</v>
          </cell>
          <cell r="J210">
            <v>11.95314185647119</v>
          </cell>
          <cell r="K210">
            <v>12.002893547585463</v>
          </cell>
          <cell r="L210">
            <v>12.162891982597102</v>
          </cell>
          <cell r="M210">
            <v>12.096924272596445</v>
          </cell>
          <cell r="N210">
            <v>12.927592926271295</v>
          </cell>
          <cell r="O210">
            <v>13.191685597342437</v>
          </cell>
          <cell r="P210">
            <v>13.587674712734909</v>
          </cell>
          <cell r="Q210">
            <v>14.145263894641714</v>
          </cell>
          <cell r="R210">
            <v>15.23224222964061</v>
          </cell>
          <cell r="S210">
            <v>17.785348064567064</v>
          </cell>
          <cell r="T210">
            <v>19.853631888514347</v>
          </cell>
          <cell r="U210">
            <v>20.605928657661305</v>
          </cell>
          <cell r="V210">
            <v>22.288187332162572</v>
          </cell>
          <cell r="W210">
            <v>23.797684222054645</v>
          </cell>
          <cell r="X210">
            <v>26.107625793111904</v>
          </cell>
          <cell r="Y210">
            <v>29.11750115089778</v>
          </cell>
          <cell r="Z210">
            <v>32.319944115755931</v>
          </cell>
          <cell r="AA210">
            <v>35.476739662413323</v>
          </cell>
          <cell r="AB210">
            <v>38.766928013739594</v>
          </cell>
          <cell r="AC210">
            <v>41.787352002171971</v>
          </cell>
          <cell r="AD210">
            <v>45.54464839839342</v>
          </cell>
          <cell r="AE210">
            <v>48.157833343100336</v>
          </cell>
          <cell r="AF210">
            <v>47.391892958192678</v>
          </cell>
          <cell r="AG210">
            <v>46.727137065089416</v>
          </cell>
          <cell r="AH210">
            <v>47.436138406123327</v>
          </cell>
          <cell r="AI210">
            <v>47.427660985337532</v>
          </cell>
          <cell r="AJ210">
            <v>47.084188411136353</v>
          </cell>
          <cell r="AK210">
            <v>46.646645749051281</v>
          </cell>
          <cell r="AL210">
            <v>46.586172461825917</v>
          </cell>
          <cell r="AM210">
            <v>62.374730211621376</v>
          </cell>
          <cell r="AN210">
            <v>66.970433590033494</v>
          </cell>
          <cell r="AO210">
            <v>69.861288204416851</v>
          </cell>
          <cell r="AP210">
            <v>71.293925039517873</v>
          </cell>
          <cell r="AQ210">
            <v>73.258771490472427</v>
          </cell>
          <cell r="AR210">
            <v>73.517884488709839</v>
          </cell>
          <cell r="AS210">
            <v>74.940910503677458</v>
          </cell>
          <cell r="AT210">
            <v>76.899755968900266</v>
          </cell>
          <cell r="AU210">
            <v>79.437311331577888</v>
          </cell>
          <cell r="AV210">
            <v>79.844463264448095</v>
          </cell>
          <cell r="AW210">
            <v>80.267814758134179</v>
          </cell>
          <cell r="AX210">
            <v>82.2609507351509</v>
          </cell>
          <cell r="AY210">
            <v>85.544804705780891</v>
          </cell>
          <cell r="AZ210">
            <v>90.094033194917699</v>
          </cell>
          <cell r="BA210">
            <v>95.982882790315713</v>
          </cell>
          <cell r="BB210">
            <v>95.030995794580022</v>
          </cell>
          <cell r="BC210">
            <v>96.052729717255573</v>
          </cell>
          <cell r="BD210">
            <v>99.451524561466741</v>
          </cell>
          <cell r="BE210">
            <v>102.05604120020328</v>
          </cell>
          <cell r="BF210">
            <v>102.16410293959188</v>
          </cell>
          <cell r="BG210">
            <v>100</v>
          </cell>
          <cell r="BH210">
            <v>101.07045992267298</v>
          </cell>
          <cell r="BI210">
            <v>102.03557508839513</v>
          </cell>
          <cell r="BJ210">
            <v>103.63107334570533</v>
          </cell>
          <cell r="BK210">
            <v>106.06245433373375</v>
          </cell>
        </row>
        <row r="211">
          <cell r="E211">
            <v>26.344131977092061</v>
          </cell>
          <cell r="F211">
            <v>26.431563851530655</v>
          </cell>
          <cell r="G211">
            <v>26.555445897990467</v>
          </cell>
          <cell r="H211">
            <v>26.801133490444524</v>
          </cell>
          <cell r="I211">
            <v>26.952351881209569</v>
          </cell>
          <cell r="J211">
            <v>27.244254106818371</v>
          </cell>
          <cell r="K211">
            <v>27.816775925941272</v>
          </cell>
          <cell r="L211">
            <v>27.917203786232552</v>
          </cell>
          <cell r="M211">
            <v>28.318561102531824</v>
          </cell>
          <cell r="N211">
            <v>28.963508475928819</v>
          </cell>
          <cell r="O211">
            <v>29.411499864931113</v>
          </cell>
          <cell r="P211">
            <v>30.838892275925296</v>
          </cell>
          <cell r="Q211">
            <v>32.604836746074753</v>
          </cell>
          <cell r="R211">
            <v>36.911867572337052</v>
          </cell>
          <cell r="S211">
            <v>42.934340713575878</v>
          </cell>
          <cell r="T211">
            <v>44.177537794196205</v>
          </cell>
          <cell r="U211">
            <v>44.937177087233245</v>
          </cell>
          <cell r="V211">
            <v>45.838997850053119</v>
          </cell>
          <cell r="W211">
            <v>47.691671499795838</v>
          </cell>
          <cell r="X211">
            <v>50.188731204033864</v>
          </cell>
          <cell r="Y211">
            <v>55.773281447066303</v>
          </cell>
          <cell r="Z211">
            <v>59.050124123547661</v>
          </cell>
          <cell r="AA211">
            <v>61.726986710456522</v>
          </cell>
          <cell r="AB211">
            <v>63.684419254923405</v>
          </cell>
          <cell r="AC211">
            <v>64.186296902998563</v>
          </cell>
          <cell r="AD211">
            <v>63.245611727031715</v>
          </cell>
          <cell r="AE211">
            <v>62.453342537555045</v>
          </cell>
          <cell r="AF211">
            <v>62.785934142276837</v>
          </cell>
          <cell r="AG211">
            <v>66.195525459341013</v>
          </cell>
          <cell r="AH211">
            <v>68.948783666914466</v>
          </cell>
          <cell r="AI211">
            <v>72.187552482499001</v>
          </cell>
          <cell r="AJ211">
            <v>75.389266962940212</v>
          </cell>
          <cell r="AK211">
            <v>76.435548386864511</v>
          </cell>
          <cell r="AL211">
            <v>79.075016332123951</v>
          </cell>
          <cell r="AM211">
            <v>81.811765646521792</v>
          </cell>
          <cell r="AN211">
            <v>84.390194290286175</v>
          </cell>
          <cell r="AO211">
            <v>85.66136250935304</v>
          </cell>
          <cell r="AP211">
            <v>86.587893779496866</v>
          </cell>
          <cell r="AQ211">
            <v>85.441039240078922</v>
          </cell>
          <cell r="AR211">
            <v>82.379716404576897</v>
          </cell>
          <cell r="AS211">
            <v>85.561748155693991</v>
          </cell>
          <cell r="AT211">
            <v>84.007796871956785</v>
          </cell>
          <cell r="AU211">
            <v>83.261276580349346</v>
          </cell>
          <cell r="AV211">
            <v>81.773102316180086</v>
          </cell>
          <cell r="AW211">
            <v>85.104175831102125</v>
          </cell>
          <cell r="AX211">
            <v>86.72748213757886</v>
          </cell>
          <cell r="AY211">
            <v>88.328174347297249</v>
          </cell>
          <cell r="AZ211">
            <v>93.553885041950366</v>
          </cell>
          <cell r="BA211">
            <v>92.257103290710887</v>
          </cell>
          <cell r="BB211">
            <v>94.988901487796014</v>
          </cell>
          <cell r="BC211">
            <v>96.036251632642191</v>
          </cell>
          <cell r="BD211">
            <v>97.117362986778204</v>
          </cell>
          <cell r="BE211">
            <v>97.58551787045441</v>
          </cell>
          <cell r="BF211">
            <v>97.167263542044054</v>
          </cell>
          <cell r="BG211">
            <v>96.940178155091999</v>
          </cell>
          <cell r="BH211">
            <v>100</v>
          </cell>
          <cell r="BI211">
            <v>100.78527408673497</v>
          </cell>
          <cell r="BJ211">
            <v>103.3590751097334</v>
          </cell>
          <cell r="BK211">
            <v>105.33159515741157</v>
          </cell>
        </row>
        <row r="212">
          <cell r="AI212">
            <v>34.755370124928973</v>
          </cell>
          <cell r="AJ212">
            <v>37.274082927698565</v>
          </cell>
          <cell r="AK212">
            <v>42.181410643581991</v>
          </cell>
          <cell r="AL212">
            <v>47.913016678002066</v>
          </cell>
          <cell r="AM212">
            <v>51.241706092554097</v>
          </cell>
          <cell r="AN212">
            <v>54.748736326551075</v>
          </cell>
          <cell r="AO212">
            <v>61.402191360008572</v>
          </cell>
          <cell r="AP212">
            <v>65.244671381237325</v>
          </cell>
          <cell r="AQ212">
            <v>68.902176370440444</v>
          </cell>
          <cell r="AR212">
            <v>71.18920855816954</v>
          </cell>
          <cell r="AS212">
            <v>78.808071168009135</v>
          </cell>
          <cell r="AT212">
            <v>81.751761718615384</v>
          </cell>
          <cell r="AU212">
            <v>91.753233399584772</v>
          </cell>
          <cell r="AV212">
            <v>93.315647885218965</v>
          </cell>
          <cell r="AW212">
            <v>100.0035618878005</v>
          </cell>
          <cell r="AX212">
            <v>105.30459168158934</v>
          </cell>
          <cell r="AY212">
            <v>109.79370043913687</v>
          </cell>
          <cell r="AZ212">
            <v>116.24963202826024</v>
          </cell>
          <cell r="BA212">
            <v>129.521218117854</v>
          </cell>
          <cell r="BB212">
            <v>138.9209463358338</v>
          </cell>
          <cell r="BC212">
            <v>148.38307801572077</v>
          </cell>
          <cell r="BD212">
            <v>170.08063793493247</v>
          </cell>
          <cell r="BE212">
            <v>178.59701727352061</v>
          </cell>
          <cell r="BF212">
            <v>182.77603082706281</v>
          </cell>
          <cell r="BG212">
            <v>187.33452487233933</v>
          </cell>
          <cell r="BH212">
            <v>193.10483806289082</v>
          </cell>
          <cell r="BI212">
            <v>200.11330468544384</v>
          </cell>
          <cell r="BJ212">
            <v>205.56323687426791</v>
          </cell>
          <cell r="BK212">
            <v>214.24722984676933</v>
          </cell>
        </row>
        <row r="213">
          <cell r="E213">
            <v>8.5119230310252633E-3</v>
          </cell>
          <cell r="F213">
            <v>8.5119208867597447E-3</v>
          </cell>
          <cell r="G213">
            <v>8.5119217409074764E-3</v>
          </cell>
          <cell r="H213">
            <v>8.5119237342533519E-3</v>
          </cell>
          <cell r="I213">
            <v>8.5119229689273688E-3</v>
          </cell>
          <cell r="J213">
            <v>8.9542804254905337E-3</v>
          </cell>
          <cell r="K213">
            <v>9.1990428786346765E-3</v>
          </cell>
          <cell r="L213">
            <v>8.6608332227941318E-3</v>
          </cell>
          <cell r="M213">
            <v>9.238249569506923E-3</v>
          </cell>
          <cell r="N213">
            <v>1.0546843877549264E-2</v>
          </cell>
          <cell r="O213">
            <v>1.0320880494267014E-2</v>
          </cell>
          <cell r="P213">
            <v>9.6057089954444969E-3</v>
          </cell>
          <cell r="Q213">
            <v>1.0177275500924699E-2</v>
          </cell>
          <cell r="R213">
            <v>1.2540963850726167E-2</v>
          </cell>
          <cell r="S213">
            <v>1.4316878349619925E-2</v>
          </cell>
          <cell r="T213">
            <v>1.5586605013687688E-2</v>
          </cell>
          <cell r="U213">
            <v>1.6877831371557083E-2</v>
          </cell>
          <cell r="V213">
            <v>2.0210687962358202E-2</v>
          </cell>
          <cell r="W213">
            <v>2.5030960009110582E-2</v>
          </cell>
          <cell r="X213">
            <v>2.7918459538631299E-2</v>
          </cell>
          <cell r="Y213">
            <v>2.6240913418026222E-2</v>
          </cell>
          <cell r="Z213">
            <v>2.852343000222143E-2</v>
          </cell>
          <cell r="AA213">
            <v>3.3800728718115722E-2</v>
          </cell>
          <cell r="AB213">
            <v>4.0371237504562243E-2</v>
          </cell>
          <cell r="AC213">
            <v>5.6425771921596153E-2</v>
          </cell>
          <cell r="AD213">
            <v>9.529732497689189E-2</v>
          </cell>
          <cell r="AE213">
            <v>0.17010934237716455</v>
          </cell>
          <cell r="AF213">
            <v>0.45194078515428437</v>
          </cell>
          <cell r="AG213">
            <v>0.74248559820788562</v>
          </cell>
          <cell r="AH213">
            <v>1.1990494729932637</v>
          </cell>
          <cell r="AI213">
            <v>2.0454770722033908</v>
          </cell>
          <cell r="AJ213">
            <v>4.6792674755164718</v>
          </cell>
          <cell r="AK213">
            <v>8.5173701404827753</v>
          </cell>
          <cell r="AL213">
            <v>10.794601658170912</v>
          </cell>
          <cell r="AM213">
            <v>13.49994933927459</v>
          </cell>
          <cell r="AN213">
            <v>18.035660850897379</v>
          </cell>
          <cell r="AO213">
            <v>23.370696832225146</v>
          </cell>
          <cell r="AP213">
            <v>23.897184808711348</v>
          </cell>
          <cell r="AQ213">
            <v>29.578769430104114</v>
          </cell>
          <cell r="AR213">
            <v>34.664498793769617</v>
          </cell>
          <cell r="AS213">
            <v>35.801890598247233</v>
          </cell>
          <cell r="AT213">
            <v>62.236971390919969</v>
          </cell>
          <cell r="AU213">
            <v>59.799636804912168</v>
          </cell>
          <cell r="AV213">
            <v>67.659384524169582</v>
          </cell>
          <cell r="AW213">
            <v>76.330516736196188</v>
          </cell>
          <cell r="AX213">
            <v>89.024251495525561</v>
          </cell>
          <cell r="AY213">
            <v>100</v>
          </cell>
          <cell r="AZ213">
            <v>106.7963321034312</v>
          </cell>
          <cell r="BA213">
            <v>117.46925250324402</v>
          </cell>
          <cell r="BB213">
            <v>126.61043005991719</v>
          </cell>
          <cell r="BC213">
            <v>148.35845219369438</v>
          </cell>
          <cell r="BD213">
            <v>174.13451578327664</v>
          </cell>
          <cell r="BE213">
            <v>195.10218870655936</v>
          </cell>
          <cell r="BF213">
            <v>208.61331364685688</v>
          </cell>
          <cell r="BG213">
            <v>212.3627467916925</v>
          </cell>
          <cell r="BH213">
            <v>252.42447644316823</v>
          </cell>
          <cell r="BI213">
            <v>256.90658216866689</v>
          </cell>
          <cell r="BJ213">
            <v>294.52423484882661</v>
          </cell>
          <cell r="BK213">
            <v>326.21362728192059</v>
          </cell>
        </row>
        <row r="214">
          <cell r="J214">
            <v>10.539282004375858</v>
          </cell>
          <cell r="K214">
            <v>10.415411993509743</v>
          </cell>
          <cell r="L214">
            <v>10.374426553112833</v>
          </cell>
          <cell r="M214">
            <v>10.394639242384702</v>
          </cell>
          <cell r="N214">
            <v>10.438860973629829</v>
          </cell>
          <cell r="O214">
            <v>10.943842077305167</v>
          </cell>
          <cell r="P214">
            <v>11.032099514861331</v>
          </cell>
          <cell r="Q214">
            <v>11.076262834368038</v>
          </cell>
          <cell r="R214">
            <v>12.055555737041407</v>
          </cell>
          <cell r="S214">
            <v>13.218814151068994</v>
          </cell>
          <cell r="T214">
            <v>14.525887766055003</v>
          </cell>
          <cell r="U214">
            <v>17.087413520768287</v>
          </cell>
          <cell r="V214">
            <v>20.218106177139532</v>
          </cell>
          <cell r="W214">
            <v>20.412202641084061</v>
          </cell>
          <cell r="X214">
            <v>23.588832735117634</v>
          </cell>
          <cell r="Y214">
            <v>27.587579586715773</v>
          </cell>
          <cell r="Z214">
            <v>29.628366247534437</v>
          </cell>
          <cell r="AA214">
            <v>31.272706156032292</v>
          </cell>
          <cell r="AB214">
            <v>31.770884008416999</v>
          </cell>
          <cell r="AC214">
            <v>32.740646022193708</v>
          </cell>
          <cell r="AD214">
            <v>33.772449132875629</v>
          </cell>
          <cell r="AE214">
            <v>33.453994830744669</v>
          </cell>
          <cell r="AF214">
            <v>34.246363331397703</v>
          </cell>
          <cell r="AG214">
            <v>35.584194125148663</v>
          </cell>
          <cell r="AH214">
            <v>36.77886472259285</v>
          </cell>
          <cell r="AI214">
            <v>38.65718783751776</v>
          </cell>
          <cell r="AJ214">
            <v>41.525594199274821</v>
          </cell>
          <cell r="AK214">
            <v>42.94730944278944</v>
          </cell>
          <cell r="AL214">
            <v>46.637488460217504</v>
          </cell>
          <cell r="AM214">
            <v>51.211001603026261</v>
          </cell>
          <cell r="AN214">
            <v>56.807393098813328</v>
          </cell>
          <cell r="AO214">
            <v>60.542561278837468</v>
          </cell>
          <cell r="AP214">
            <v>62.593044693693436</v>
          </cell>
          <cell r="AQ214">
            <v>65.239584678364992</v>
          </cell>
          <cell r="AR214">
            <v>65.889113186031764</v>
          </cell>
          <cell r="AS214">
            <v>68.046665944949936</v>
          </cell>
          <cell r="AT214">
            <v>70.303081033470619</v>
          </cell>
          <cell r="AU214">
            <v>71.359521696439614</v>
          </cell>
          <cell r="AV214">
            <v>73.478098163843157</v>
          </cell>
          <cell r="AW214">
            <v>75.473959349060934</v>
          </cell>
          <cell r="AX214">
            <v>78.694979509217063</v>
          </cell>
          <cell r="AY214">
            <v>82.099924496781469</v>
          </cell>
          <cell r="AZ214">
            <v>85.697614361002607</v>
          </cell>
          <cell r="BA214">
            <v>88.722582115656635</v>
          </cell>
          <cell r="BB214">
            <v>88.669524058490552</v>
          </cell>
          <cell r="BC214">
            <v>90.625736877682215</v>
          </cell>
          <cell r="BD214">
            <v>95.982453815869178</v>
          </cell>
          <cell r="BE214">
            <v>98.4286331013394</v>
          </cell>
          <cell r="BF214">
            <v>98.998979441623575</v>
          </cell>
          <cell r="BG214">
            <v>100.00004426059577</v>
          </cell>
          <cell r="BH214">
            <v>101.31258056122047</v>
          </cell>
          <cell r="BI214">
            <v>101.8530723809355</v>
          </cell>
          <cell r="BJ214">
            <v>102.74495208348533</v>
          </cell>
          <cell r="BK214">
            <v>104.74031531087921</v>
          </cell>
        </row>
        <row r="215">
          <cell r="AP215">
            <v>81.347150259067362</v>
          </cell>
          <cell r="AQ215">
            <v>82.811244979919678</v>
          </cell>
          <cell r="AR215">
            <v>84.082535003684598</v>
          </cell>
          <cell r="AS215">
            <v>86.229271809661128</v>
          </cell>
          <cell r="AT215">
            <v>88.592896174863384</v>
          </cell>
          <cell r="AU215">
            <v>90.673927842069432</v>
          </cell>
          <cell r="AV215">
            <v>92.922673656618613</v>
          </cell>
          <cell r="AW215">
            <v>94.73684210526315</v>
          </cell>
          <cell r="AX215">
            <v>96.389228886168908</v>
          </cell>
          <cell r="AY215">
            <v>98.29110194460813</v>
          </cell>
          <cell r="AZ215">
            <v>100</v>
          </cell>
          <cell r="BA215">
            <v>101.67748917748918</v>
          </cell>
          <cell r="BB215">
            <v>105.58659217877096</v>
          </cell>
          <cell r="BC215">
            <v>105.14322916666667</v>
          </cell>
          <cell r="BD215">
            <v>106.25449317038102</v>
          </cell>
          <cell r="BE215">
            <v>108.94245723172628</v>
          </cell>
          <cell r="BF215">
            <v>112.67040898155574</v>
          </cell>
          <cell r="BG215">
            <v>109.08116917534474</v>
          </cell>
          <cell r="BH215">
            <v>110.46567009552545</v>
          </cell>
          <cell r="BI215">
            <v>111.30683874807545</v>
          </cell>
          <cell r="BJ215">
            <v>112.36042124877044</v>
          </cell>
        </row>
        <row r="216">
          <cell r="E216">
            <v>2.6356796829217282</v>
          </cell>
          <cell r="F216">
            <v>2.8936495263286668</v>
          </cell>
          <cell r="G216">
            <v>2.8698049963950734</v>
          </cell>
          <cell r="H216">
            <v>2.9643987063026378</v>
          </cell>
          <cell r="I216">
            <v>3.3528365063530901</v>
          </cell>
          <cell r="J216">
            <v>3.7851821944032746</v>
          </cell>
          <cell r="K216">
            <v>3.6638154287411737</v>
          </cell>
          <cell r="L216">
            <v>3.6519295117396449</v>
          </cell>
          <cell r="M216">
            <v>3.7759992653415826</v>
          </cell>
          <cell r="N216">
            <v>4.0222844634098056</v>
          </cell>
          <cell r="O216">
            <v>4.0499947586160889</v>
          </cell>
          <cell r="P216">
            <v>4.1246668653205019</v>
          </cell>
          <cell r="Q216">
            <v>4.6192231466155587</v>
          </cell>
          <cell r="R216">
            <v>5.1556689776772062</v>
          </cell>
          <cell r="S216">
            <v>5.8295883183601687</v>
          </cell>
          <cell r="T216">
            <v>6.8135423770726709</v>
          </cell>
          <cell r="U216">
            <v>7.8172668672218322</v>
          </cell>
          <cell r="V216">
            <v>8.5829458707953119</v>
          </cell>
          <cell r="W216">
            <v>9.8392101179061431</v>
          </cell>
          <cell r="X216">
            <v>11.123073581259085</v>
          </cell>
          <cell r="Y216">
            <v>22.346607994766483</v>
          </cell>
          <cell r="Z216">
            <v>26.844090381786096</v>
          </cell>
          <cell r="AA216">
            <v>34.046518913104975</v>
          </cell>
          <cell r="AB216">
            <v>44.943231512591275</v>
          </cell>
          <cell r="AC216">
            <v>77.154279249128422</v>
          </cell>
          <cell r="AD216">
            <v>99.998865361019156</v>
          </cell>
          <cell r="AE216">
            <v>133.52530260905527</v>
          </cell>
          <cell r="AF216">
            <v>177.12768235082049</v>
          </cell>
          <cell r="AG216">
            <v>300.84671017816191</v>
          </cell>
          <cell r="AH216">
            <v>593.92156494431242</v>
          </cell>
          <cell r="AI216">
            <v>1873.6253593595191</v>
          </cell>
        </row>
        <row r="217">
          <cell r="AN217">
            <v>3.1724778199419399</v>
          </cell>
          <cell r="AO217">
            <v>5.8762536240007126</v>
          </cell>
          <cell r="AP217">
            <v>6.9578311286018071</v>
          </cell>
          <cell r="AQ217">
            <v>8.7260680322250366</v>
          </cell>
          <cell r="AR217">
            <v>11.626307352214765</v>
          </cell>
          <cell r="AS217">
            <v>20.762082910025136</v>
          </cell>
          <cell r="AT217">
            <v>39.291140508069468</v>
          </cell>
          <cell r="AU217">
            <v>46.380551380793584</v>
          </cell>
          <cell r="AV217">
            <v>52.219618383705743</v>
          </cell>
          <cell r="AW217">
            <v>56.964813682905792</v>
          </cell>
          <cell r="AX217">
            <v>68.678160866111227</v>
          </cell>
          <cell r="AY217">
            <v>73.931804907061789</v>
          </cell>
          <cell r="AZ217">
            <v>80.365256682501638</v>
          </cell>
          <cell r="BA217">
            <v>87.666606643714871</v>
          </cell>
          <cell r="BB217">
            <v>94.581480962479404</v>
          </cell>
          <cell r="BC217">
            <v>99.999996923627265</v>
          </cell>
          <cell r="BD217">
            <v>108.90909541511471</v>
          </cell>
          <cell r="BE217">
            <v>115.66073911856927</v>
          </cell>
          <cell r="BF217">
            <v>121.58886478275328</v>
          </cell>
          <cell r="BG217">
            <v>124.73239733208585</v>
          </cell>
          <cell r="BH217">
            <v>127.01778133115462</v>
          </cell>
          <cell r="BI217">
            <v>128.875996596231</v>
          </cell>
          <cell r="BJ217">
            <v>132.79901652546482</v>
          </cell>
          <cell r="BK217">
            <v>135.49815653301002</v>
          </cell>
        </row>
        <row r="219">
          <cell r="BA219">
            <v>120.91017251635934</v>
          </cell>
          <cell r="BB219">
            <v>100</v>
          </cell>
          <cell r="BC219">
            <v>121.62796940008052</v>
          </cell>
          <cell r="BD219">
            <v>187.48108792794062</v>
          </cell>
          <cell r="BE219">
            <v>199.60845732184808</v>
          </cell>
          <cell r="BF219">
            <v>225.59990770650668</v>
          </cell>
          <cell r="BG219">
            <v>218.63735282629318</v>
          </cell>
          <cell r="BH219">
            <v>278.97666854319135</v>
          </cell>
          <cell r="BI219">
            <v>1010.634551728995</v>
          </cell>
        </row>
        <row r="222">
          <cell r="AT222">
            <v>35.943402265155036</v>
          </cell>
          <cell r="AU222">
            <v>40.467201988471381</v>
          </cell>
          <cell r="AV222">
            <v>46.810429250382114</v>
          </cell>
          <cell r="AW222">
            <v>53.604412331801264</v>
          </cell>
          <cell r="AX222">
            <v>63.553253496212051</v>
          </cell>
          <cell r="AY222">
            <v>71.857013948815634</v>
          </cell>
          <cell r="AZ222">
            <v>79.052993679549971</v>
          </cell>
          <cell r="BA222">
            <v>100</v>
          </cell>
          <cell r="BB222">
            <v>107.57021357100601</v>
          </cell>
          <cell r="BC222">
            <v>120.99317182533018</v>
          </cell>
          <cell r="BD222">
            <v>130.40518732385806</v>
          </cell>
          <cell r="BE222">
            <v>148.15203295872081</v>
          </cell>
          <cell r="BF222">
            <v>164.03477938692708</v>
          </cell>
          <cell r="BG222">
            <v>177.49528234686983</v>
          </cell>
          <cell r="BH222">
            <v>186.57757327124506</v>
          </cell>
          <cell r="BI222">
            <v>196.09719385874376</v>
          </cell>
          <cell r="BJ222">
            <v>199.97395456868153</v>
          </cell>
          <cell r="BK222">
            <v>209.35131664122943</v>
          </cell>
        </row>
        <row r="223">
          <cell r="E223">
            <v>9.9707546452207259E-3</v>
          </cell>
          <cell r="F223">
            <v>1.0282652214911264E-2</v>
          </cell>
          <cell r="G223">
            <v>1.0673162223532385E-2</v>
          </cell>
          <cell r="H223">
            <v>1.09599393258938E-2</v>
          </cell>
          <cell r="I223">
            <v>1.0981448748386439E-2</v>
          </cell>
          <cell r="J223">
            <v>1.1245684022665341E-2</v>
          </cell>
          <cell r="K223">
            <v>1.1649813513565135E-2</v>
          </cell>
          <cell r="L223">
            <v>1.2049327615165084E-2</v>
          </cell>
          <cell r="M223">
            <v>1.2246035425976872E-2</v>
          </cell>
          <cell r="N223">
            <v>1.2607246512509477E-2</v>
          </cell>
          <cell r="O223">
            <v>1.2996793362530951E-2</v>
          </cell>
          <cell r="P223">
            <v>1.3696588949912387E-2</v>
          </cell>
          <cell r="Q223">
            <v>1.428053678524693E-2</v>
          </cell>
          <cell r="R223">
            <v>1.58242766715515E-2</v>
          </cell>
          <cell r="S223">
            <v>1.9030021595266844E-2</v>
          </cell>
          <cell r="T223">
            <v>2.1025237601392369E-2</v>
          </cell>
          <cell r="U223">
            <v>2.0985218312661608E-2</v>
          </cell>
          <cell r="V223">
            <v>2.4166146162758504E-2</v>
          </cell>
          <cell r="W223">
            <v>2.5991791200427126E-2</v>
          </cell>
          <cell r="X223">
            <v>2.7819639269107792E-2</v>
          </cell>
          <cell r="Y223">
            <v>3.0991274618772335E-2</v>
          </cell>
          <cell r="Z223">
            <v>3.2358218247906363E-2</v>
          </cell>
          <cell r="AA223">
            <v>3.476469502787996E-2</v>
          </cell>
          <cell r="AB223">
            <v>3.4930153650434621E-2</v>
          </cell>
          <cell r="AC223">
            <v>3.4820794592417811E-2</v>
          </cell>
          <cell r="AD223">
            <v>3.4493638434074048E-2</v>
          </cell>
          <cell r="AE223">
            <v>3.4925443922571298E-2</v>
          </cell>
          <cell r="AF223">
            <v>4.0953164724860394E-2</v>
          </cell>
          <cell r="AG223">
            <v>4.5006459662226786E-2</v>
          </cell>
          <cell r="AH223">
            <v>5.046551514414465E-2</v>
          </cell>
          <cell r="AI223">
            <v>7.565206146085747E-2</v>
          </cell>
          <cell r="AJ223">
            <v>8.4985737910053344E-2</v>
          </cell>
          <cell r="AK223">
            <v>0.11464484466558614</v>
          </cell>
          <cell r="AL223">
            <v>0.29515740800449958</v>
          </cell>
          <cell r="AM223">
            <v>1.588725251432473</v>
          </cell>
          <cell r="AN223">
            <v>5.9855834775393504</v>
          </cell>
          <cell r="AO223">
            <v>6.6968234979316064</v>
          </cell>
          <cell r="AP223">
            <v>6.7968538755561054</v>
          </cell>
          <cell r="AQ223">
            <v>7.9667028611317647</v>
          </cell>
          <cell r="AR223">
            <v>13.859926784106214</v>
          </cell>
          <cell r="AS223">
            <v>22.278837399271424</v>
          </cell>
          <cell r="AT223">
            <v>31.085712781618447</v>
          </cell>
          <cell r="AU223">
            <v>42.72833246742745</v>
          </cell>
          <cell r="AV223">
            <v>51.837149246073047</v>
          </cell>
          <cell r="AW223">
            <v>58.491965016591941</v>
          </cell>
          <cell r="AX223">
            <v>67.581506069106183</v>
          </cell>
          <cell r="AY223">
            <v>93.961002249438934</v>
          </cell>
          <cell r="AZ223">
            <v>100</v>
          </cell>
          <cell r="BA223">
            <v>115.52105666844827</v>
          </cell>
          <cell r="BB223">
            <v>123.01153001834466</v>
          </cell>
          <cell r="BC223">
            <v>131.86366135239143</v>
          </cell>
          <cell r="BD223">
            <v>150.1194556975174</v>
          </cell>
          <cell r="BE223">
            <v>166.23507991098523</v>
          </cell>
          <cell r="BF223">
            <v>166.87303459119497</v>
          </cell>
          <cell r="BG223">
            <v>169.51578121936873</v>
          </cell>
          <cell r="BH223">
            <v>165.99350517556323</v>
          </cell>
          <cell r="BI223">
            <v>211.98151730066624</v>
          </cell>
          <cell r="BJ223">
            <v>242.81940188101024</v>
          </cell>
          <cell r="BK223">
            <v>264.98135101533359</v>
          </cell>
        </row>
        <row r="224">
          <cell r="AK224">
            <v>38.793086358177206</v>
          </cell>
          <cell r="AL224">
            <v>44.836238330803816</v>
          </cell>
          <cell r="AM224">
            <v>50.866033752858527</v>
          </cell>
          <cell r="AN224">
            <v>55.897229941013357</v>
          </cell>
          <cell r="AO224">
            <v>58.385465532638115</v>
          </cell>
          <cell r="AP224">
            <v>61.224589895210158</v>
          </cell>
          <cell r="AQ224">
            <v>64.283827772241196</v>
          </cell>
          <cell r="AR224">
            <v>68.966283727186337</v>
          </cell>
          <cell r="AS224">
            <v>75.430619102404052</v>
          </cell>
          <cell r="AT224">
            <v>79.268740069205833</v>
          </cell>
          <cell r="AU224">
            <v>82.401747932382634</v>
          </cell>
          <cell r="AV224">
            <v>86.814160184541649</v>
          </cell>
          <cell r="AW224">
            <v>91.833552518088226</v>
          </cell>
          <cell r="AX224">
            <v>94.075134051456615</v>
          </cell>
          <cell r="AY224">
            <v>96.82122031140139</v>
          </cell>
          <cell r="AZ224">
            <v>97.914472493915355</v>
          </cell>
          <cell r="BA224">
            <v>100.68995461782386</v>
          </cell>
          <cell r="BB224">
            <v>99.517048295730007</v>
          </cell>
          <cell r="BC224">
            <v>100</v>
          </cell>
          <cell r="BD224">
            <v>101.6476786575424</v>
          </cell>
          <cell r="BE224">
            <v>102.93022382985706</v>
          </cell>
          <cell r="BF224">
            <v>103.46394591966417</v>
          </cell>
          <cell r="BG224">
            <v>103.29831085315845</v>
          </cell>
          <cell r="BH224">
            <v>103.13395526983342</v>
          </cell>
          <cell r="BI224">
            <v>102.64671224933477</v>
          </cell>
          <cell r="BJ224">
            <v>103.91429036768049</v>
          </cell>
          <cell r="BK224">
            <v>106.10738720514259</v>
          </cell>
        </row>
        <row r="225">
          <cell r="AI225">
            <v>3.6725560752619457</v>
          </cell>
          <cell r="AJ225">
            <v>7.1588320868015973</v>
          </cell>
          <cell r="AK225">
            <v>22.06193394497863</v>
          </cell>
          <cell r="AL225">
            <v>30.242304584177603</v>
          </cell>
          <cell r="AM225">
            <v>37.073810210695598</v>
          </cell>
          <cell r="AN225">
            <v>46.492168880129036</v>
          </cell>
          <cell r="AO225">
            <v>51.786504040792138</v>
          </cell>
          <cell r="AP225">
            <v>56.151340803305736</v>
          </cell>
          <cell r="AQ225">
            <v>60.302525211073167</v>
          </cell>
          <cell r="AR225">
            <v>64.276544412966771</v>
          </cell>
          <cell r="AS225">
            <v>67.777844425009164</v>
          </cell>
          <cell r="AT225">
            <v>73.654775550891245</v>
          </cell>
          <cell r="AU225">
            <v>79.237961895542114</v>
          </cell>
          <cell r="AV225">
            <v>83.718315697042073</v>
          </cell>
          <cell r="AW225">
            <v>86.49448634699371</v>
          </cell>
          <cell r="AX225">
            <v>87.835349946983868</v>
          </cell>
          <cell r="AY225">
            <v>89.757403900101679</v>
          </cell>
          <cell r="AZ225">
            <v>93.499078906464106</v>
          </cell>
          <cell r="BA225">
            <v>97.717988317234557</v>
          </cell>
          <cell r="BB225">
            <v>100.99695522666634</v>
          </cell>
          <cell r="BC225">
            <v>100</v>
          </cell>
          <cell r="BD225">
            <v>101.11943587171845</v>
          </cell>
          <cell r="BE225">
            <v>101.58338583362672</v>
          </cell>
          <cell r="BF225">
            <v>103.21108119341436</v>
          </cell>
          <cell r="BG225">
            <v>104.02670026656446</v>
          </cell>
          <cell r="BH225">
            <v>105.09032548737697</v>
          </cell>
          <cell r="BI225">
            <v>105.88138564910332</v>
          </cell>
          <cell r="BJ225">
            <v>107.56437178505045</v>
          </cell>
          <cell r="BK225">
            <v>110.00254975253046</v>
          </cell>
        </row>
        <row r="226">
          <cell r="E226">
            <v>7.8453790527694327</v>
          </cell>
          <cell r="F226">
            <v>8.0759397243248134</v>
          </cell>
          <cell r="G226">
            <v>8.4005378554143437</v>
          </cell>
          <cell r="H226">
            <v>8.6326632559417895</v>
          </cell>
          <cell r="I226">
            <v>9.0121980295415813</v>
          </cell>
          <cell r="J226">
            <v>9.5523667652698077</v>
          </cell>
          <cell r="K226">
            <v>10.178035225163597</v>
          </cell>
          <cell r="L226">
            <v>10.687776818051281</v>
          </cell>
          <cell r="M226">
            <v>10.943413732708212</v>
          </cell>
          <cell r="N226">
            <v>11.317393818650263</v>
          </cell>
          <cell r="O226">
            <v>12.66086432089887</v>
          </cell>
          <cell r="P226">
            <v>13.561088281562144</v>
          </cell>
          <cell r="Q226">
            <v>14.506725364887338</v>
          </cell>
          <cell r="R226">
            <v>15.527095130861523</v>
          </cell>
          <cell r="S226">
            <v>16.995670592854641</v>
          </cell>
          <cell r="T226">
            <v>19.462150605884776</v>
          </cell>
          <cell r="U226">
            <v>21.781837787518835</v>
          </cell>
          <cell r="V226">
            <v>24.075371480940934</v>
          </cell>
          <cell r="W226">
            <v>26.374344852505722</v>
          </cell>
          <cell r="X226">
            <v>28.469313971131747</v>
          </cell>
          <cell r="Y226">
            <v>31.804923972859996</v>
          </cell>
          <cell r="Z226">
            <v>34.593370468548436</v>
          </cell>
          <cell r="AA226">
            <v>37.390107968729978</v>
          </cell>
          <cell r="AB226">
            <v>41.11194249633072</v>
          </cell>
          <cell r="AC226">
            <v>44.251243052540602</v>
          </cell>
          <cell r="AD226">
            <v>47.085316965556714</v>
          </cell>
          <cell r="AE226">
            <v>50.062391217625411</v>
          </cell>
          <cell r="AF226">
            <v>52.425811277899406</v>
          </cell>
          <cell r="AG226">
            <v>55.870819541463881</v>
          </cell>
          <cell r="AH226">
            <v>60.298395872376119</v>
          </cell>
          <cell r="AI226">
            <v>66.010957775107372</v>
          </cell>
          <cell r="AJ226">
            <v>71.454742119147184</v>
          </cell>
          <cell r="AK226">
            <v>72.180251552670882</v>
          </cell>
          <cell r="AL226">
            <v>73.777074409007213</v>
          </cell>
          <cell r="AM226">
            <v>75.664326215504559</v>
          </cell>
          <cell r="AN226">
            <v>78.540358564852554</v>
          </cell>
          <cell r="AO226">
            <v>79.36446984884995</v>
          </cell>
          <cell r="AP226">
            <v>80.610922032446339</v>
          </cell>
          <cell r="AQ226">
            <v>81.248732676905249</v>
          </cell>
          <cell r="AR226">
            <v>82.011952673994429</v>
          </cell>
          <cell r="AS226">
            <v>83.295264194279298</v>
          </cell>
          <cell r="AT226">
            <v>85.386475739112981</v>
          </cell>
          <cell r="AU226">
            <v>86.752693249203645</v>
          </cell>
          <cell r="AV226">
            <v>88.27274536645173</v>
          </cell>
          <cell r="AW226">
            <v>88.650713376523854</v>
          </cell>
          <cell r="AX226">
            <v>89.362261481230135</v>
          </cell>
          <cell r="AY226">
            <v>90.985656800337694</v>
          </cell>
          <cell r="AZ226">
            <v>93.605879542940983</v>
          </cell>
          <cell r="BA226">
            <v>96.716567583743156</v>
          </cell>
          <cell r="BB226">
            <v>99.019279259882296</v>
          </cell>
          <cell r="BC226">
            <v>100</v>
          </cell>
          <cell r="BD226">
            <v>101.18311037710322</v>
          </cell>
          <cell r="BE226">
            <v>102.25746578624704</v>
          </cell>
          <cell r="BF226">
            <v>103.33593604200261</v>
          </cell>
          <cell r="BG226">
            <v>105.17178791408706</v>
          </cell>
          <cell r="BH226">
            <v>107.34310226654351</v>
          </cell>
          <cell r="BI226">
            <v>109.11426018148373</v>
          </cell>
          <cell r="BJ226">
            <v>111.5762333065847</v>
          </cell>
          <cell r="BK226">
            <v>114.02847052422433</v>
          </cell>
        </row>
        <row r="227">
          <cell r="O227">
            <v>1.9647011152438241</v>
          </cell>
          <cell r="P227">
            <v>2.1046830081069756</v>
          </cell>
          <cell r="Q227">
            <v>2.3073064191903261</v>
          </cell>
          <cell r="R227">
            <v>2.889455438968322</v>
          </cell>
          <cell r="S227">
            <v>3.1867499338163849</v>
          </cell>
          <cell r="T227">
            <v>3.3210310318416925</v>
          </cell>
          <cell r="U227">
            <v>3.7717041882005913</v>
          </cell>
          <cell r="V227">
            <v>4.1657011294091761</v>
          </cell>
          <cell r="W227">
            <v>4.6055974397480712</v>
          </cell>
          <cell r="X227">
            <v>5.2313924505412102</v>
          </cell>
          <cell r="Y227">
            <v>5.6608655903498537</v>
          </cell>
          <cell r="Z227">
            <v>5.8595814761468423</v>
          </cell>
          <cell r="AA227">
            <v>6.7490475194226764</v>
          </cell>
          <cell r="AB227">
            <v>7.0687445980429846</v>
          </cell>
          <cell r="AC227">
            <v>7.850898828905259</v>
          </cell>
          <cell r="AD227">
            <v>8.3209613685189137</v>
          </cell>
          <cell r="AE227">
            <v>9.4789543568998198</v>
          </cell>
          <cell r="AF227">
            <v>9.5844662050698144</v>
          </cell>
          <cell r="AG227">
            <v>11.897448006099102</v>
          </cell>
          <cell r="AH227">
            <v>12.241490941987029</v>
          </cell>
          <cell r="AI227">
            <v>15.961056626597086</v>
          </cell>
          <cell r="AJ227">
            <v>17.362078351008133</v>
          </cell>
          <cell r="AK227">
            <v>19.304591106168481</v>
          </cell>
          <cell r="AL227">
            <v>22.66161306973224</v>
          </cell>
          <cell r="AM227">
            <v>25.14768873049907</v>
          </cell>
          <cell r="AN227">
            <v>29.33462315221335</v>
          </cell>
          <cell r="AO227">
            <v>31.588216013182475</v>
          </cell>
          <cell r="AP227">
            <v>35.171848951767899</v>
          </cell>
          <cell r="AQ227">
            <v>37.776422141828071</v>
          </cell>
          <cell r="AR227">
            <v>39.805038316579569</v>
          </cell>
          <cell r="AS227">
            <v>49.892805977835437</v>
          </cell>
          <cell r="AT227">
            <v>54.354529702820244</v>
          </cell>
          <cell r="AU227">
            <v>59.200197030120563</v>
          </cell>
          <cell r="AV227">
            <v>62.755462303761981</v>
          </cell>
          <cell r="AW227">
            <v>65.184906888299849</v>
          </cell>
          <cell r="AX227">
            <v>69.458965931149237</v>
          </cell>
          <cell r="AY227">
            <v>72.265915231449583</v>
          </cell>
          <cell r="AZ227">
            <v>75.889543494740735</v>
          </cell>
          <cell r="BA227">
            <v>83.8014655950725</v>
          </cell>
          <cell r="BB227">
            <v>91.98880534611294</v>
          </cell>
          <cell r="BC227">
            <v>94.929848855608</v>
          </cell>
          <cell r="BD227">
            <v>100</v>
          </cell>
          <cell r="BE227">
            <v>108.04876127425609</v>
          </cell>
          <cell r="BF227">
            <v>112.88766871491904</v>
          </cell>
          <cell r="BG227">
            <v>119.47970638017991</v>
          </cell>
          <cell r="BH227">
            <v>128.50627629626894</v>
          </cell>
          <cell r="BI227">
            <v>136.29025682681009</v>
          </cell>
          <cell r="BJ227">
            <v>140.84404117212318</v>
          </cell>
          <cell r="BK227">
            <v>147.4637113795211</v>
          </cell>
        </row>
        <row r="228">
          <cell r="BB228">
            <v>98.592978562903028</v>
          </cell>
          <cell r="BC228">
            <v>99.705848651229488</v>
          </cell>
          <cell r="BD228">
            <v>100</v>
          </cell>
          <cell r="BE228">
            <v>103.87309435517101</v>
          </cell>
          <cell r="BF228">
            <v>106.38545116495264</v>
          </cell>
          <cell r="BG228">
            <v>108.31665046044729</v>
          </cell>
          <cell r="BH228">
            <v>108.63305258365581</v>
          </cell>
          <cell r="BI228">
            <v>108.73753399818675</v>
          </cell>
        </row>
        <row r="229">
          <cell r="E229">
            <v>7.4022118637268335</v>
          </cell>
          <cell r="F229">
            <v>7.5100549023107837</v>
          </cell>
          <cell r="G229">
            <v>7.5550416788557602</v>
          </cell>
          <cell r="H229">
            <v>7.5548556014126547</v>
          </cell>
          <cell r="I229">
            <v>7.8857268881232665</v>
          </cell>
          <cell r="J229">
            <v>8.0789918809937316</v>
          </cell>
          <cell r="K229">
            <v>7.4751465696762418</v>
          </cell>
          <cell r="L229">
            <v>7.6275832026369592</v>
          </cell>
          <cell r="M229">
            <v>7.8867738361179605</v>
          </cell>
          <cell r="N229">
            <v>8.0722410819841173</v>
          </cell>
          <cell r="O229">
            <v>8.3067703260748083</v>
          </cell>
          <cell r="P229">
            <v>8.4375546384178719</v>
          </cell>
          <cell r="Q229">
            <v>10.775703791447189</v>
          </cell>
          <cell r="R229">
            <v>12.127847077028802</v>
          </cell>
          <cell r="S229">
            <v>14.666735111430521</v>
          </cell>
          <cell r="T229">
            <v>16.647805702483083</v>
          </cell>
          <cell r="U229">
            <v>18.168444657494792</v>
          </cell>
          <cell r="V229">
            <v>26.127176840938262</v>
          </cell>
          <cell r="W229">
            <v>26.008235620622401</v>
          </cell>
          <cell r="X229">
            <v>30.432228269731272</v>
          </cell>
          <cell r="Y229">
            <v>37.145987675293348</v>
          </cell>
          <cell r="Z229">
            <v>42.030437048657262</v>
          </cell>
          <cell r="AA229">
            <v>42.114434896371861</v>
          </cell>
          <cell r="AB229">
            <v>43.894531110121818</v>
          </cell>
          <cell r="AC229">
            <v>45.180836286662313</v>
          </cell>
          <cell r="AD229">
            <v>45.864714888122684</v>
          </cell>
          <cell r="AE229">
            <v>48.956515243327999</v>
          </cell>
          <cell r="AF229">
            <v>50.983794692029235</v>
          </cell>
          <cell r="AG229">
            <v>52.951459285527136</v>
          </cell>
          <cell r="AH229">
            <v>53.633001679233381</v>
          </cell>
          <cell r="AI229">
            <v>57.294373896950049</v>
          </cell>
          <cell r="AJ229">
            <v>56.123761041969466</v>
          </cell>
          <cell r="AK229">
            <v>58.750106559288575</v>
          </cell>
          <cell r="AL229">
            <v>61.160045872525039</v>
          </cell>
          <cell r="AM229">
            <v>61.747868394237813</v>
          </cell>
          <cell r="AN229">
            <v>61.267014311383164</v>
          </cell>
          <cell r="AO229">
            <v>60.328165239814588</v>
          </cell>
          <cell r="AP229">
            <v>60.981975317730821</v>
          </cell>
          <cell r="AQ229">
            <v>63.644359146154471</v>
          </cell>
          <cell r="AR229">
            <v>64.953289075273631</v>
          </cell>
          <cell r="AS229">
            <v>67.54085093974696</v>
          </cell>
          <cell r="AT229">
            <v>71.69917826749888</v>
          </cell>
          <cell r="AU229">
            <v>74.289788051957686</v>
          </cell>
          <cell r="AV229">
            <v>78.707676657307914</v>
          </cell>
          <cell r="AW229">
            <v>98.128103371208056</v>
          </cell>
          <cell r="AX229">
            <v>98.578163165008021</v>
          </cell>
          <cell r="AY229">
            <v>100</v>
          </cell>
          <cell r="AZ229">
            <v>111.79983857949962</v>
          </cell>
          <cell r="BA229">
            <v>150.89079511712308</v>
          </cell>
          <cell r="BB229">
            <v>192.3769808173478</v>
          </cell>
          <cell r="BC229">
            <v>184.27267002518894</v>
          </cell>
          <cell r="BD229">
            <v>192.55800379395887</v>
          </cell>
          <cell r="BE229">
            <v>209.23081354847071</v>
          </cell>
          <cell r="BF229">
            <v>217.67670628418426</v>
          </cell>
          <cell r="BG229">
            <v>222.66134069773878</v>
          </cell>
          <cell r="BH229">
            <v>227.31431713841513</v>
          </cell>
          <cell r="BI229">
            <v>225.51598489557372</v>
          </cell>
          <cell r="BJ229">
            <v>233.21867642072661</v>
          </cell>
          <cell r="BK229">
            <v>242.67742562643244</v>
          </cell>
        </row>
        <row r="230">
          <cell r="E230">
            <v>2.9171370676238646</v>
          </cell>
          <cell r="F230">
            <v>2.90064264611765</v>
          </cell>
          <cell r="G230">
            <v>2.8209402139119395</v>
          </cell>
          <cell r="H230">
            <v>3.4556853907701321</v>
          </cell>
          <cell r="I230">
            <v>3.5287878895608635</v>
          </cell>
          <cell r="J230">
            <v>3.4246161976249669</v>
          </cell>
          <cell r="K230">
            <v>3.6845758334428798</v>
          </cell>
          <cell r="L230">
            <v>3.7191272601622978</v>
          </cell>
          <cell r="M230">
            <v>3.8799272895535162</v>
          </cell>
          <cell r="N230">
            <v>3.7567276932803186</v>
          </cell>
          <cell r="O230">
            <v>3.8695885458670678</v>
          </cell>
          <cell r="P230">
            <v>4.1484916656172439</v>
          </cell>
          <cell r="Q230">
            <v>3.8211733514769533</v>
          </cell>
          <cell r="R230">
            <v>4.4648152508539383</v>
          </cell>
          <cell r="S230">
            <v>5.7797315113645693</v>
          </cell>
          <cell r="T230">
            <v>6.2858217400891689</v>
          </cell>
          <cell r="U230">
            <v>6.8001926208335259</v>
          </cell>
          <cell r="V230">
            <v>7.5253208557827707</v>
          </cell>
          <cell r="W230">
            <v>8.298774262177874</v>
          </cell>
          <cell r="X230">
            <v>9.6359804293510098</v>
          </cell>
          <cell r="Y230">
            <v>11.31960722683846</v>
          </cell>
          <cell r="Z230">
            <v>13.261642460110941</v>
          </cell>
          <cell r="AA230">
            <v>13.580488860058887</v>
          </cell>
          <cell r="AB230">
            <v>14.26556050417711</v>
          </cell>
          <cell r="AC230">
            <v>15.287314216699317</v>
          </cell>
          <cell r="AD230">
            <v>15.913685211352782</v>
          </cell>
          <cell r="AE230">
            <v>20.102689162693199</v>
          </cell>
          <cell r="AF230">
            <v>25.209862468506159</v>
          </cell>
          <cell r="AG230">
            <v>32.423565708281075</v>
          </cell>
          <cell r="AH230">
            <v>39.987028787347668</v>
          </cell>
          <cell r="AI230">
            <v>47.718468878334363</v>
          </cell>
          <cell r="AJ230">
            <v>51.350091083724692</v>
          </cell>
          <cell r="AK230">
            <v>53.978694962487872</v>
          </cell>
          <cell r="AL230">
            <v>57.138111997628918</v>
          </cell>
          <cell r="AM230">
            <v>64.922306870748713</v>
          </cell>
          <cell r="AN230">
            <v>69.261740687216928</v>
          </cell>
          <cell r="AO230">
            <v>80.271979462684016</v>
          </cell>
          <cell r="AP230">
            <v>85.097321298507765</v>
          </cell>
          <cell r="AQ230">
            <v>84.842539037846421</v>
          </cell>
          <cell r="AR230">
            <v>91.156883519262095</v>
          </cell>
          <cell r="AS230">
            <v>100</v>
          </cell>
          <cell r="AT230">
            <v>104.56357153374182</v>
          </cell>
          <cell r="AU230">
            <v>103.19883004632253</v>
          </cell>
          <cell r="AV230">
            <v>103.81539508469288</v>
          </cell>
          <cell r="AW230">
            <v>114.53883859532175</v>
          </cell>
          <cell r="AX230">
            <v>128.24505038326885</v>
          </cell>
          <cell r="AY230">
            <v>138.23501580787286</v>
          </cell>
          <cell r="AZ230">
            <v>154.77783857999739</v>
          </cell>
        </row>
        <row r="231">
          <cell r="BD231">
            <v>99.249489279068143</v>
          </cell>
          <cell r="BE231">
            <v>100</v>
          </cell>
          <cell r="BF231">
            <v>102.10643691330468</v>
          </cell>
          <cell r="BG231">
            <v>106.43801594650091</v>
          </cell>
          <cell r="BH231">
            <v>108.94731504719913</v>
          </cell>
          <cell r="BI231">
            <v>110.99640836485574</v>
          </cell>
          <cell r="BJ231">
            <v>107.80829404027628</v>
          </cell>
          <cell r="BK231">
            <v>108.75989011373035</v>
          </cell>
        </row>
        <row r="232">
          <cell r="E232">
            <v>8.8230520840807589</v>
          </cell>
          <cell r="F232">
            <v>9.2697480266858499</v>
          </cell>
          <cell r="G232">
            <v>9.4119997222843814</v>
          </cell>
          <cell r="H232">
            <v>9.943030862471776</v>
          </cell>
          <cell r="I232">
            <v>10.761466756676215</v>
          </cell>
          <cell r="J232">
            <v>11.371179354449255</v>
          </cell>
          <cell r="K232">
            <v>12.051502817751672</v>
          </cell>
          <cell r="L232">
            <v>12.44670629372118</v>
          </cell>
          <cell r="M232">
            <v>12.699556768133133</v>
          </cell>
          <cell r="N232">
            <v>12.962099763114205</v>
          </cell>
          <cell r="O232">
            <v>13.462378754251587</v>
          </cell>
          <cell r="P232">
            <v>14.672882030955229</v>
          </cell>
          <cell r="Q232">
            <v>15.487767485102916</v>
          </cell>
          <cell r="R232">
            <v>16.527553359987174</v>
          </cell>
          <cell r="S232">
            <v>17.144972095911722</v>
          </cell>
          <cell r="T232">
            <v>18.554408905143642</v>
          </cell>
          <cell r="U232">
            <v>20.122168412973402</v>
          </cell>
          <cell r="V232">
            <v>21.856300799392564</v>
          </cell>
          <cell r="W232">
            <v>24.020025557369294</v>
          </cell>
          <cell r="X232">
            <v>25.987207515043043</v>
          </cell>
          <cell r="Y232">
            <v>28.257165257017203</v>
          </cell>
          <cell r="Z232">
            <v>30.533211616298445</v>
          </cell>
          <cell r="AA232">
            <v>33.348613000301029</v>
          </cell>
          <cell r="AB232">
            <v>33.352657168534542</v>
          </cell>
          <cell r="AC232">
            <v>41.379425422344809</v>
          </cell>
          <cell r="AD232">
            <v>39.26361478135523</v>
          </cell>
          <cell r="AE232">
            <v>32.615175176715425</v>
          </cell>
          <cell r="AF232">
            <v>31.593315055993909</v>
          </cell>
          <cell r="AG232">
            <v>34.551059225802639</v>
          </cell>
          <cell r="AH232">
            <v>34.118268978410661</v>
          </cell>
          <cell r="AI232">
            <v>36.851936949968191</v>
          </cell>
          <cell r="AJ232">
            <v>37.984580851119368</v>
          </cell>
          <cell r="AK232">
            <v>33.082080476684098</v>
          </cell>
          <cell r="AL232">
            <v>32.647182216445437</v>
          </cell>
          <cell r="AM232">
            <v>46.86338588561906</v>
          </cell>
          <cell r="AN232">
            <v>51.002888402267367</v>
          </cell>
          <cell r="AO232">
            <v>56.847031393464064</v>
          </cell>
          <cell r="AP232">
            <v>58.997432634296352</v>
          </cell>
          <cell r="AQ232">
            <v>62.979410561401451</v>
          </cell>
          <cell r="AR232">
            <v>58.210064012716636</v>
          </cell>
          <cell r="AS232">
            <v>61.289262807813614</v>
          </cell>
          <cell r="AT232">
            <v>69.745742464153665</v>
          </cell>
          <cell r="AU232">
            <v>71.076365297543759</v>
          </cell>
          <cell r="AV232">
            <v>71.132518961096721</v>
          </cell>
          <cell r="AW232">
            <v>78.05674079735951</v>
          </cell>
          <cell r="AX232">
            <v>100</v>
          </cell>
          <cell r="AY232">
            <v>109.98442792041421</v>
          </cell>
          <cell r="AZ232">
            <v>113.61604142940753</v>
          </cell>
          <cell r="BA232">
            <v>123.4424881054877</v>
          </cell>
          <cell r="BB232">
            <v>111.6429237464889</v>
          </cell>
          <cell r="BC232">
            <v>118.77824076410857</v>
          </cell>
          <cell r="BD232">
            <v>128.9698876971386</v>
          </cell>
          <cell r="BE232">
            <v>130.38500425996568</v>
          </cell>
          <cell r="BF232">
            <v>124.9852821936081</v>
          </cell>
          <cell r="BG232">
            <v>125.79241881376409</v>
          </cell>
          <cell r="BH232">
            <v>115.1251999886902</v>
          </cell>
          <cell r="BI232">
            <v>113.51248096664679</v>
          </cell>
          <cell r="BJ232">
            <v>113.54455041459879</v>
          </cell>
          <cell r="BK232">
            <v>119.65695301573471</v>
          </cell>
        </row>
        <row r="235">
          <cell r="E235">
            <v>12.180492409466968</v>
          </cell>
          <cell r="F235">
            <v>11.334334310370487</v>
          </cell>
          <cell r="G235">
            <v>11.415428824096987</v>
          </cell>
          <cell r="H235">
            <v>11.777859146001358</v>
          </cell>
          <cell r="I235">
            <v>11.949796894654373</v>
          </cell>
          <cell r="J235">
            <v>11.672074953235127</v>
          </cell>
          <cell r="K235">
            <v>12.341790437448614</v>
          </cell>
          <cell r="L235">
            <v>12.557535965056058</v>
          </cell>
          <cell r="M235">
            <v>12.565189208791544</v>
          </cell>
          <cell r="N235">
            <v>13.173163552863151</v>
          </cell>
          <cell r="O235">
            <v>12.95959358490987</v>
          </cell>
          <cell r="P235">
            <v>14.565706713266563</v>
          </cell>
          <cell r="Q235">
            <v>14.511470912184842</v>
          </cell>
          <cell r="R235">
            <v>14.966314708117528</v>
          </cell>
          <cell r="S235">
            <v>21.256968185012841</v>
          </cell>
          <cell r="T235">
            <v>20.350606081369136</v>
          </cell>
          <cell r="U235">
            <v>23.242430076060465</v>
          </cell>
          <cell r="V235">
            <v>28.043713148552307</v>
          </cell>
          <cell r="W235">
            <v>24.593162370721458</v>
          </cell>
          <cell r="X235">
            <v>26.449208024197056</v>
          </cell>
          <cell r="Y235">
            <v>29.217309819352927</v>
          </cell>
          <cell r="Z235">
            <v>32.912546369706796</v>
          </cell>
          <cell r="AA235">
            <v>35.244978848558183</v>
          </cell>
          <cell r="AB235">
            <v>40.270956436529303</v>
          </cell>
          <cell r="AC235">
            <v>41.027827034033386</v>
          </cell>
          <cell r="AD235">
            <v>42.423362865022852</v>
          </cell>
          <cell r="AE235">
            <v>44.796865145180746</v>
          </cell>
          <cell r="AF235">
            <v>45.539974215474551</v>
          </cell>
          <cell r="AG235">
            <v>46.717536144624631</v>
          </cell>
          <cell r="AH235">
            <v>47.181139736996606</v>
          </cell>
          <cell r="AI235">
            <v>48.585224243570664</v>
          </cell>
          <cell r="AJ235">
            <v>49.882980680927091</v>
          </cell>
          <cell r="AK235">
            <v>51.501900202054031</v>
          </cell>
          <cell r="AL235">
            <v>47.280406089093788</v>
          </cell>
          <cell r="AM235">
            <v>64.226829550532656</v>
          </cell>
          <cell r="AN235">
            <v>71.345866442715007</v>
          </cell>
          <cell r="AO235">
            <v>75.189930223282516</v>
          </cell>
          <cell r="AP235">
            <v>76.720823173007702</v>
          </cell>
          <cell r="AQ235">
            <v>84.052750267578944</v>
          </cell>
          <cell r="AR235">
            <v>84.990045355763328</v>
          </cell>
          <cell r="AS235">
            <v>93.531083196443447</v>
          </cell>
          <cell r="AT235">
            <v>97.427138095568694</v>
          </cell>
          <cell r="AU235">
            <v>107.2300729022565</v>
          </cell>
          <cell r="AV235">
            <v>105.87965894804003</v>
          </cell>
          <cell r="AW235">
            <v>100.70906394196855</v>
          </cell>
          <cell r="AX235">
            <v>100.46545639911415</v>
          </cell>
          <cell r="AY235">
            <v>98.607273238339147</v>
          </cell>
          <cell r="AZ235">
            <v>100</v>
          </cell>
          <cell r="BA235">
            <v>111.77617619247981</v>
          </cell>
          <cell r="BB235">
            <v>113.54744721636946</v>
          </cell>
          <cell r="BC235">
            <v>114.26495424903503</v>
          </cell>
          <cell r="BD235">
            <v>115.49877247534666</v>
          </cell>
          <cell r="BE235">
            <v>117.47329952471104</v>
          </cell>
          <cell r="BF235">
            <v>119.49132616615871</v>
          </cell>
          <cell r="BG235">
            <v>119.39070352754761</v>
          </cell>
          <cell r="BH235">
            <v>123.54505327861274</v>
          </cell>
          <cell r="BI235">
            <v>124.72313279288234</v>
          </cell>
          <cell r="BJ235">
            <v>126.53017313041821</v>
          </cell>
          <cell r="BK235">
            <v>127.96515384889679</v>
          </cell>
        </row>
        <row r="236">
          <cell r="E236">
            <v>15.492336693992693</v>
          </cell>
          <cell r="F236">
            <v>16.065341295533806</v>
          </cell>
          <cell r="G236">
            <v>16.152174351261817</v>
          </cell>
          <cell r="H236">
            <v>15.963720987143695</v>
          </cell>
          <cell r="I236">
            <v>16.391194867288458</v>
          </cell>
          <cell r="J236">
            <v>17.098732705711335</v>
          </cell>
          <cell r="K236">
            <v>18.508579425141818</v>
          </cell>
          <cell r="L236">
            <v>18.19991321108667</v>
          </cell>
          <cell r="M236">
            <v>18.153870067465448</v>
          </cell>
          <cell r="N236">
            <v>18.759005714849575</v>
          </cell>
          <cell r="O236">
            <v>17.821956122516543</v>
          </cell>
          <cell r="P236">
            <v>17.681817930003689</v>
          </cell>
          <cell r="Q236">
            <v>18.802303329794739</v>
          </cell>
          <cell r="R236">
            <v>22.270509068505852</v>
          </cell>
          <cell r="S236">
            <v>26.799148576632103</v>
          </cell>
          <cell r="T236">
            <v>27.733909157615134</v>
          </cell>
          <cell r="U236">
            <v>28.981126672636709</v>
          </cell>
          <cell r="V236">
            <v>30.724254125146427</v>
          </cell>
          <cell r="W236">
            <v>33.703641185642084</v>
          </cell>
          <cell r="X236">
            <v>36.617515593208232</v>
          </cell>
          <cell r="Y236">
            <v>41.268849209747756</v>
          </cell>
          <cell r="Z236">
            <v>44.724051657159727</v>
          </cell>
          <cell r="AA236">
            <v>46.986129180996421</v>
          </cell>
          <cell r="AB236">
            <v>48.700726170309558</v>
          </cell>
          <cell r="AC236">
            <v>49.40584770806322</v>
          </cell>
          <cell r="AD236">
            <v>50.481513191670111</v>
          </cell>
          <cell r="AE236">
            <v>51.316051005461546</v>
          </cell>
          <cell r="AF236">
            <v>53.739817660961954</v>
          </cell>
          <cell r="AG236">
            <v>56.920353174784147</v>
          </cell>
          <cell r="AH236">
            <v>60.402024942740454</v>
          </cell>
          <cell r="AI236">
            <v>63.889143872489008</v>
          </cell>
          <cell r="AJ236">
            <v>67.560548718840991</v>
          </cell>
          <cell r="AK236">
            <v>70.594324169884487</v>
          </cell>
          <cell r="AL236">
            <v>75.177263630064289</v>
          </cell>
          <cell r="AM236">
            <v>78.689893234775354</v>
          </cell>
          <cell r="AN236">
            <v>83.206821461221992</v>
          </cell>
          <cell r="AO236">
            <v>86.61652352280484</v>
          </cell>
          <cell r="AP236">
            <v>90.445769490066098</v>
          </cell>
          <cell r="AQ236">
            <v>97.739088242851409</v>
          </cell>
          <cell r="AR236">
            <v>95.220185525275241</v>
          </cell>
          <cell r="AS236">
            <v>96.487375318543158</v>
          </cell>
          <cell r="AT236">
            <v>98.337719424126874</v>
          </cell>
          <cell r="AU236">
            <v>100</v>
          </cell>
          <cell r="AV236">
            <v>102.14945025946048</v>
          </cell>
          <cell r="AW236">
            <v>105.79533189063372</v>
          </cell>
          <cell r="AX236">
            <v>111.18189762732702</v>
          </cell>
          <cell r="AY236">
            <v>116.85692458224821</v>
          </cell>
          <cell r="AZ236">
            <v>119.74718050841486</v>
          </cell>
          <cell r="BA236">
            <v>125.89473170888607</v>
          </cell>
          <cell r="BB236">
            <v>126.1399031330146</v>
          </cell>
          <cell r="BC236">
            <v>131.28763701467651</v>
          </cell>
          <cell r="BD236">
            <v>136.2018750670054</v>
          </cell>
          <cell r="BE236">
            <v>138.80228039719933</v>
          </cell>
          <cell r="BF236">
            <v>141.27146883731595</v>
          </cell>
          <cell r="BG236">
            <v>143.30784901870476</v>
          </cell>
          <cell r="BH236">
            <v>144.34276947275023</v>
          </cell>
          <cell r="BI236">
            <v>147.89736157723107</v>
          </cell>
          <cell r="BJ236">
            <v>150.94222400833524</v>
          </cell>
          <cell r="BK236">
            <v>153.06620854297</v>
          </cell>
          <cell r="BN236" t="str">
            <v>Thailand</v>
          </cell>
        </row>
        <row r="237">
          <cell r="AD237">
            <v>1.377487602438527E-3</v>
          </cell>
          <cell r="AE237">
            <v>1.3219886052607791E-3</v>
          </cell>
          <cell r="AF237">
            <v>1.3989679452443948E-3</v>
          </cell>
          <cell r="AG237">
            <v>1.3629526991425938E-3</v>
          </cell>
          <cell r="AH237">
            <v>1.4619409418658337E-3</v>
          </cell>
          <cell r="AI237">
            <v>1.5538957552086842E-3</v>
          </cell>
          <cell r="AJ237">
            <v>3.102096654815526E-3</v>
          </cell>
          <cell r="AK237">
            <v>2.0908581605773892E-2</v>
          </cell>
          <cell r="AL237">
            <v>0.27331928892917329</v>
          </cell>
          <cell r="AM237">
            <v>0.9921803905762312</v>
          </cell>
          <cell r="AN237">
            <v>3.9144568912583502</v>
          </cell>
          <cell r="AO237">
            <v>20.762777591065383</v>
          </cell>
          <cell r="AP237">
            <v>34.310739162040647</v>
          </cell>
          <cell r="AQ237">
            <v>64.461763762630568</v>
          </cell>
          <cell r="AR237">
            <v>81.544868442057094</v>
          </cell>
          <cell r="AS237">
            <v>100</v>
          </cell>
          <cell r="AT237">
            <v>130.94770631593099</v>
          </cell>
          <cell r="AU237">
            <v>155.53848905968084</v>
          </cell>
          <cell r="AV237">
            <v>197.79576571499899</v>
          </cell>
          <cell r="AW237">
            <v>232.12658597846723</v>
          </cell>
          <cell r="AX237">
            <v>254.34464853967822</v>
          </cell>
          <cell r="AY237">
            <v>307.77645588579782</v>
          </cell>
          <cell r="AZ237">
            <v>391.75347372808079</v>
          </cell>
          <cell r="BA237">
            <v>502.0359148333651</v>
          </cell>
          <cell r="BB237">
            <v>562.95270433162341</v>
          </cell>
          <cell r="BC237">
            <v>632.98307830719898</v>
          </cell>
          <cell r="BD237">
            <v>717.31972019876957</v>
          </cell>
          <cell r="BE237">
            <v>802.55813004361835</v>
          </cell>
          <cell r="BF237">
            <v>831.71451153804412</v>
          </cell>
          <cell r="BG237">
            <v>871.31079542845771</v>
          </cell>
          <cell r="BH237">
            <v>884.30305494082586</v>
          </cell>
          <cell r="BI237">
            <v>931.19315811958643</v>
          </cell>
          <cell r="BJ237">
            <v>971.98905173397031</v>
          </cell>
          <cell r="BK237">
            <v>1019.0449832631882</v>
          </cell>
        </row>
        <row r="238">
          <cell r="AF238">
            <v>2.0303034978880783E-5</v>
          </cell>
          <cell r="AG238">
            <v>1.9750101237555972E-5</v>
          </cell>
          <cell r="AH238">
            <v>2.1391879280491169E-5</v>
          </cell>
          <cell r="AI238">
            <v>1.6929457079816847E-5</v>
          </cell>
          <cell r="AJ238">
            <v>3.4901924409293806E-5</v>
          </cell>
          <cell r="AK238">
            <v>1.1130756122698501E-3</v>
          </cell>
          <cell r="AL238">
            <v>1.3735243369253006E-2</v>
          </cell>
          <cell r="AM238">
            <v>0.14453694799907865</v>
          </cell>
          <cell r="AN238">
            <v>1.1645609041865197</v>
          </cell>
          <cell r="AO238">
            <v>12.973343745934324</v>
          </cell>
          <cell r="AP238">
            <v>20.990875902961921</v>
          </cell>
          <cell r="AQ238">
            <v>24.688797225836552</v>
          </cell>
          <cell r="AR238">
            <v>30.368530177146351</v>
          </cell>
          <cell r="AS238">
            <v>37.49436857627623</v>
          </cell>
          <cell r="AT238">
            <v>49.610622317407596</v>
          </cell>
          <cell r="AU238">
            <v>62.089231833231509</v>
          </cell>
          <cell r="AV238">
            <v>78.949146655811248</v>
          </cell>
          <cell r="AW238">
            <v>93.434549623257638</v>
          </cell>
          <cell r="AX238">
            <v>100</v>
          </cell>
          <cell r="AY238">
            <v>112.24995929305601</v>
          </cell>
          <cell r="AZ238">
            <v>122.65479489392632</v>
          </cell>
          <cell r="BA238">
            <v>195.92924225524024</v>
          </cell>
          <cell r="BB238">
            <v>215.05392720513967</v>
          </cell>
          <cell r="BC238">
            <v>220.0132603436613</v>
          </cell>
          <cell r="BD238">
            <v>248.30136489396125</v>
          </cell>
          <cell r="BE238">
            <v>268.83609654848522</v>
          </cell>
          <cell r="BF238">
            <v>271.93428693947158</v>
          </cell>
          <cell r="BG238">
            <v>273.75401942973809</v>
          </cell>
          <cell r="BH238">
            <v>259.6466596032127</v>
          </cell>
          <cell r="BI238">
            <v>247.08548012624925</v>
          </cell>
          <cell r="BJ238">
            <v>243.20324592475808</v>
          </cell>
          <cell r="BK238">
            <v>246.12225769142188</v>
          </cell>
        </row>
        <row r="240">
          <cell r="AS240">
            <v>45.106034789858789</v>
          </cell>
          <cell r="AT240">
            <v>48.638858266969834</v>
          </cell>
          <cell r="AU240">
            <v>51.51569364766263</v>
          </cell>
          <cell r="AV240">
            <v>55.46397310435637</v>
          </cell>
          <cell r="AW240">
            <v>67.091738306732935</v>
          </cell>
          <cell r="AX240">
            <v>83.044573286929989</v>
          </cell>
          <cell r="AY240">
            <v>85.895988901940285</v>
          </cell>
          <cell r="AZ240">
            <v>88.45192067886714</v>
          </cell>
          <cell r="BA240">
            <v>122.65022580291902</v>
          </cell>
          <cell r="BB240">
            <v>95.11254001801224</v>
          </cell>
          <cell r="BC240">
            <v>120.28196384063796</v>
          </cell>
          <cell r="BD240">
            <v>153.06728228873817</v>
          </cell>
          <cell r="BE240">
            <v>171.17496760719047</v>
          </cell>
          <cell r="BF240">
            <v>162.92517640062428</v>
          </cell>
          <cell r="BG240">
            <v>157.64113294164352</v>
          </cell>
          <cell r="BH240">
            <v>99.999996451411192</v>
          </cell>
          <cell r="BI240">
            <v>80.38360794746913</v>
          </cell>
          <cell r="BJ240">
            <v>87.908584992014625</v>
          </cell>
          <cell r="BK240">
            <v>88.724647645238946</v>
          </cell>
        </row>
        <row r="242">
          <cell r="Z242">
            <v>12.882441153980171</v>
          </cell>
          <cell r="AA242">
            <v>13.895666576667551</v>
          </cell>
          <cell r="AB242">
            <v>15.043040075064901</v>
          </cell>
          <cell r="AC242">
            <v>16.023001370723765</v>
          </cell>
          <cell r="AD242">
            <v>17.66314087113761</v>
          </cell>
          <cell r="AE242">
            <v>20.519371126257457</v>
          </cell>
          <cell r="AF242">
            <v>22.778973435565327</v>
          </cell>
          <cell r="AG242">
            <v>24.844840417665452</v>
          </cell>
          <cell r="AH242">
            <v>26.535556872954096</v>
          </cell>
          <cell r="AI242">
            <v>29.785564821797895</v>
          </cell>
          <cell r="AJ242">
            <v>32.60366965322509</v>
          </cell>
          <cell r="AK242">
            <v>35.031825985691064</v>
          </cell>
          <cell r="AL242">
            <v>35.054869365881238</v>
          </cell>
          <cell r="AM242">
            <v>44.580085680867349</v>
          </cell>
          <cell r="AN242">
            <v>43.252384688927684</v>
          </cell>
          <cell r="AO242">
            <v>45.446847659942222</v>
          </cell>
          <cell r="AP242">
            <v>45.095071132176358</v>
          </cell>
          <cell r="AQ242">
            <v>46.106388902536899</v>
          </cell>
          <cell r="AR242">
            <v>49.077766004357926</v>
          </cell>
          <cell r="AS242">
            <v>50.588874608241809</v>
          </cell>
          <cell r="AT242">
            <v>52.22168538055498</v>
          </cell>
          <cell r="AU242">
            <v>56.701371975218983</v>
          </cell>
          <cell r="AV242">
            <v>61.992507370856146</v>
          </cell>
          <cell r="AW242">
            <v>65.640702436704103</v>
          </cell>
          <cell r="AX242">
            <v>69.986398695068004</v>
          </cell>
          <cell r="AY242">
            <v>82.044675352661429</v>
          </cell>
          <cell r="AZ242">
            <v>87.089320608066927</v>
          </cell>
          <cell r="BA242">
            <v>93.353007307476091</v>
          </cell>
          <cell r="BB242">
            <v>91.166369006731713</v>
          </cell>
          <cell r="BC242">
            <v>94.522546419098148</v>
          </cell>
          <cell r="BD242">
            <v>100</v>
          </cell>
          <cell r="BE242">
            <v>102.39161018032996</v>
          </cell>
          <cell r="BF242">
            <v>103.15511551155116</v>
          </cell>
          <cell r="BG242">
            <v>104.04811174340402</v>
          </cell>
          <cell r="BH242">
            <v>105.5119092156129</v>
          </cell>
          <cell r="BI242">
            <v>107.29794933655006</v>
          </cell>
          <cell r="BJ242">
            <v>111.68886388382198</v>
          </cell>
          <cell r="BK242">
            <v>115.69763666529514</v>
          </cell>
        </row>
        <row r="245">
          <cell r="E245">
            <v>3.6505293048063643</v>
          </cell>
          <cell r="F245">
            <v>3.495742418879475</v>
          </cell>
          <cell r="G245">
            <v>3.6022755170169534</v>
          </cell>
          <cell r="H245">
            <v>3.7355968111919275</v>
          </cell>
          <cell r="I245">
            <v>3.642999817310054</v>
          </cell>
          <cell r="J245">
            <v>3.74329979508946</v>
          </cell>
          <cell r="K245">
            <v>3.5346845051424611</v>
          </cell>
          <cell r="L245">
            <v>3.697616622082351</v>
          </cell>
          <cell r="M245">
            <v>4.0275318560726721</v>
          </cell>
          <cell r="N245">
            <v>4.0253460489567194</v>
          </cell>
          <cell r="O245">
            <v>4.1007696273894334</v>
          </cell>
          <cell r="P245">
            <v>4.3728705564689569</v>
          </cell>
          <cell r="Q245">
            <v>4.8586930666046744</v>
          </cell>
          <cell r="R245">
            <v>5.887895777185185</v>
          </cell>
          <cell r="S245">
            <v>9.2741228797015509</v>
          </cell>
          <cell r="T245">
            <v>11.552909962368402</v>
          </cell>
          <cell r="U245">
            <v>12.476639936902931</v>
          </cell>
          <cell r="V245">
            <v>14.141309947445107</v>
          </cell>
          <cell r="W245">
            <v>14.588857039180905</v>
          </cell>
          <cell r="X245">
            <v>18.193469389943036</v>
          </cell>
          <cell r="Y245">
            <v>22.330125980028452</v>
          </cell>
          <cell r="Z245">
            <v>23.942319642760424</v>
          </cell>
          <cell r="AA245">
            <v>26.854171820844432</v>
          </cell>
          <cell r="AB245">
            <v>28.552610316186687</v>
          </cell>
          <cell r="AC245">
            <v>30.268824103207137</v>
          </cell>
          <cell r="AD245">
            <v>30.643430482799655</v>
          </cell>
          <cell r="AE245">
            <v>30.260488999034447</v>
          </cell>
          <cell r="AF245">
            <v>31.728931149160179</v>
          </cell>
          <cell r="AG245">
            <v>33.048211026401681</v>
          </cell>
          <cell r="AH245">
            <v>35.422397914445689</v>
          </cell>
          <cell r="AI245">
            <v>40.908932890714169</v>
          </cell>
          <cell r="AJ245">
            <v>41.552181552158345</v>
          </cell>
          <cell r="AK245">
            <v>38.678907501365543</v>
          </cell>
          <cell r="AL245">
            <v>42.087209679477795</v>
          </cell>
          <cell r="AM245">
            <v>47.671257517118818</v>
          </cell>
          <cell r="AN245">
            <v>49.658809476185077</v>
          </cell>
          <cell r="AO245">
            <v>50.577270610911917</v>
          </cell>
          <cell r="AP245">
            <v>48.785030817447947</v>
          </cell>
          <cell r="AQ245">
            <v>47.879344584966319</v>
          </cell>
          <cell r="AR245">
            <v>49.939679833079808</v>
          </cell>
          <cell r="AS245">
            <v>55.953991915188581</v>
          </cell>
          <cell r="AT245">
            <v>57.517317148871463</v>
          </cell>
          <cell r="AU245">
            <v>54.530710372774962</v>
          </cell>
          <cell r="AV245">
            <v>60.244744356482215</v>
          </cell>
          <cell r="AW245">
            <v>65.597022817781848</v>
          </cell>
          <cell r="AX245">
            <v>74.335481484471188</v>
          </cell>
          <cell r="AY245">
            <v>75.620900040312762</v>
          </cell>
          <cell r="AZ245">
            <v>85.26396399959296</v>
          </cell>
          <cell r="BA245">
            <v>105.55041054234759</v>
          </cell>
          <cell r="BB245">
            <v>76.384940593441002</v>
          </cell>
          <cell r="BC245">
            <v>86.111291828655396</v>
          </cell>
          <cell r="BD245">
            <v>99.656342499299981</v>
          </cell>
          <cell r="BE245">
            <v>100</v>
          </cell>
          <cell r="BF245">
            <v>103.34324300213827</v>
          </cell>
          <cell r="BG245">
            <v>105.22057113440115</v>
          </cell>
          <cell r="BH245">
            <v>94.049233859712388</v>
          </cell>
          <cell r="BI245">
            <v>91.063572001431268</v>
          </cell>
          <cell r="BJ245">
            <v>96.552677029597731</v>
          </cell>
          <cell r="BK245">
            <v>100.7487876876003</v>
          </cell>
        </row>
        <row r="246">
          <cell r="J246">
            <v>7.1838314721461458</v>
          </cell>
          <cell r="K246">
            <v>7.2935933436411666</v>
          </cell>
          <cell r="L246">
            <v>7.5949243626812493</v>
          </cell>
          <cell r="M246">
            <v>7.6958691007609268</v>
          </cell>
          <cell r="N246">
            <v>7.8021308642469434</v>
          </cell>
          <cell r="O246">
            <v>8.3170159409765727</v>
          </cell>
          <cell r="P246">
            <v>8.7730633900622266</v>
          </cell>
          <cell r="Q246">
            <v>9.0263174779168498</v>
          </cell>
          <cell r="R246">
            <v>9.7990427663828878</v>
          </cell>
          <cell r="S246">
            <v>12.189492408682131</v>
          </cell>
          <cell r="T246">
            <v>12.798303962350202</v>
          </cell>
          <cell r="U246">
            <v>13.169141593247852</v>
          </cell>
          <cell r="V246">
            <v>14.440399535332595</v>
          </cell>
          <cell r="W246">
            <v>15.373961255698909</v>
          </cell>
          <cell r="X246">
            <v>16.970983938618982</v>
          </cell>
          <cell r="Y246">
            <v>19.143059857614997</v>
          </cell>
          <cell r="Z246">
            <v>21.327426179459703</v>
          </cell>
          <cell r="AA246">
            <v>24.741448158920885</v>
          </cell>
          <cell r="AB246">
            <v>27.883789323388029</v>
          </cell>
          <cell r="AC246">
            <v>29.830413189229422</v>
          </cell>
          <cell r="AD246">
            <v>30.903449259187521</v>
          </cell>
          <cell r="AE246">
            <v>31.992075129959762</v>
          </cell>
          <cell r="AF246">
            <v>33.646293031504882</v>
          </cell>
          <cell r="AG246">
            <v>36.238468706570067</v>
          </cell>
          <cell r="AH246">
            <v>39.43806577456256</v>
          </cell>
          <cell r="AI246">
            <v>41.203512555158703</v>
          </cell>
          <cell r="AJ246">
            <v>44.102922188172521</v>
          </cell>
          <cell r="AK246">
            <v>46.613059800034456</v>
          </cell>
          <cell r="AL246">
            <v>48.799838478292237</v>
          </cell>
          <cell r="AM246">
            <v>51.008547274973722</v>
          </cell>
          <cell r="AN246">
            <v>53.738063306078232</v>
          </cell>
          <cell r="AO246">
            <v>56.079213286607818</v>
          </cell>
          <cell r="AP246">
            <v>64.000590927464202</v>
          </cell>
          <cell r="AQ246">
            <v>66.094482826571564</v>
          </cell>
          <cell r="AR246">
            <v>68.316195278861372</v>
          </cell>
          <cell r="AS246">
            <v>70.559248200347582</v>
          </cell>
          <cell r="AT246">
            <v>73.321181276855214</v>
          </cell>
          <cell r="AU246">
            <v>74.996640567001194</v>
          </cell>
          <cell r="AV246">
            <v>77.009858120908049</v>
          </cell>
          <cell r="AW246">
            <v>79.590905377625916</v>
          </cell>
          <cell r="AX246">
            <v>82.914285427208682</v>
          </cell>
          <cell r="AY246">
            <v>86.095819517804884</v>
          </cell>
          <cell r="AZ246">
            <v>87.910085633251654</v>
          </cell>
          <cell r="BA246">
            <v>93.489177679306678</v>
          </cell>
          <cell r="BB246">
            <v>96.324809255628736</v>
          </cell>
          <cell r="BC246">
            <v>100</v>
          </cell>
          <cell r="BD246">
            <v>104.2793107016002</v>
          </cell>
          <cell r="BE246">
            <v>109.38520806455175</v>
          </cell>
          <cell r="BF246">
            <v>113.56647901159937</v>
          </cell>
          <cell r="BG246">
            <v>118.68652177486581</v>
          </cell>
          <cell r="BH246">
            <v>122.77170202282942</v>
          </cell>
          <cell r="BI246">
            <v>128.62649136017507</v>
          </cell>
          <cell r="BJ246">
            <v>135.96496454206624</v>
          </cell>
          <cell r="BK246">
            <v>144.78063301153153</v>
          </cell>
        </row>
        <row r="247">
          <cell r="E247">
            <v>5.559498894787539E-5</v>
          </cell>
          <cell r="F247">
            <v>5.8026380438914932E-5</v>
          </cell>
          <cell r="G247">
            <v>6.1385491504529685E-5</v>
          </cell>
          <cell r="H247">
            <v>6.5324410949600385E-5</v>
          </cell>
          <cell r="I247">
            <v>6.686112624859488E-5</v>
          </cell>
          <cell r="J247">
            <v>6.9614370920807525E-5</v>
          </cell>
          <cell r="K247">
            <v>7.3754748753114508E-5</v>
          </cell>
          <cell r="L247">
            <v>7.8135700087218486E-5</v>
          </cell>
          <cell r="M247">
            <v>8.1855081493609449E-5</v>
          </cell>
          <cell r="N247">
            <v>8.7483696461928916E-5</v>
          </cell>
          <cell r="O247">
            <v>9.5046228492712081E-5</v>
          </cell>
          <cell r="P247">
            <v>1.1111102486961003E-4</v>
          </cell>
          <cell r="Q247">
            <v>1.2330621101403407E-4</v>
          </cell>
          <cell r="R247">
            <v>1.5034753276218851E-4</v>
          </cell>
          <cell r="S247">
            <v>1.9393681169968009E-4</v>
          </cell>
          <cell r="T247">
            <v>2.3526327248555006E-4</v>
          </cell>
          <cell r="U247">
            <v>2.7199412142198012E-4</v>
          </cell>
          <cell r="V247">
            <v>3.3751484855645001E-4</v>
          </cell>
          <cell r="W247">
            <v>4.9797327787752153E-4</v>
          </cell>
          <cell r="X247">
            <v>8.8002269269387204E-4</v>
          </cell>
          <cell r="Y247">
            <v>1.6984721757974102E-3</v>
          </cell>
          <cell r="Z247">
            <v>2.4467692596552722E-3</v>
          </cell>
          <cell r="AA247">
            <v>3.1374147667455866E-3</v>
          </cell>
          <cell r="AB247">
            <v>3.9612448359199418E-3</v>
          </cell>
          <cell r="AC247">
            <v>5.872023876584297E-3</v>
          </cell>
          <cell r="AD247">
            <v>8.9873954262521261E-3</v>
          </cell>
          <cell r="AE247">
            <v>1.2223476611348495E-2</v>
          </cell>
          <cell r="AF247">
            <v>1.6332059565767953E-2</v>
          </cell>
          <cell r="AG247">
            <v>2.7604141849856132E-2</v>
          </cell>
          <cell r="AH247">
            <v>4.8418998253710779E-2</v>
          </cell>
          <cell r="AI247">
            <v>7.6620352355865923E-2</v>
          </cell>
          <cell r="AJ247">
            <v>0.12195209952390033</v>
          </cell>
          <cell r="AK247">
            <v>0.20146418338046632</v>
          </cell>
          <cell r="AL247">
            <v>0.33922424031807497</v>
          </cell>
          <cell r="AM247">
            <v>0.69455870527581165</v>
          </cell>
          <cell r="AN247">
            <v>1.2919315784992396</v>
          </cell>
          <cell r="AO247">
            <v>2.2896065188530828</v>
          </cell>
          <cell r="AP247">
            <v>4.1546023624547859</v>
          </cell>
          <cell r="AQ247">
            <v>10.124455999082816</v>
          </cell>
          <cell r="AR247">
            <v>15.621071219592746</v>
          </cell>
          <cell r="AS247">
            <v>23.328614237057916</v>
          </cell>
          <cell r="AT247">
            <v>35.674969984869335</v>
          </cell>
          <cell r="AU247">
            <v>49.079636273209573</v>
          </cell>
          <cell r="AV247">
            <v>60.525028995461405</v>
          </cell>
          <cell r="AW247">
            <v>68.058511702965802</v>
          </cell>
          <cell r="AX247">
            <v>72.893975793200553</v>
          </cell>
          <cell r="AY247">
            <v>79.725383477743648</v>
          </cell>
          <cell r="AZ247">
            <v>84.68162503682322</v>
          </cell>
          <cell r="BA247">
            <v>94.8750372412579</v>
          </cell>
          <cell r="BB247">
            <v>100</v>
          </cell>
          <cell r="BC247">
            <v>107.01265789203931</v>
          </cell>
          <cell r="BD247">
            <v>115.77546258992935</v>
          </cell>
          <cell r="BE247">
            <v>124.3639387205077</v>
          </cell>
          <cell r="BF247">
            <v>132.16008262893496</v>
          </cell>
          <cell r="BG247">
            <v>141.96857806027214</v>
          </cell>
          <cell r="BH247">
            <v>153.0803763168544</v>
          </cell>
          <cell r="BI247">
            <v>165.47722660634344</v>
          </cell>
          <cell r="BJ247">
            <v>183.42088226767464</v>
          </cell>
          <cell r="BK247">
            <v>213.05124537710952</v>
          </cell>
          <cell r="BN247" t="str">
            <v>Turkey</v>
          </cell>
        </row>
        <row r="248">
          <cell r="AI248">
            <v>53.806686212542353</v>
          </cell>
          <cell r="AJ248">
            <v>55.230675235544609</v>
          </cell>
          <cell r="AK248">
            <v>59.287265706700978</v>
          </cell>
          <cell r="AL248">
            <v>60.796888682841399</v>
          </cell>
          <cell r="AM248">
            <v>57.961480974030025</v>
          </cell>
          <cell r="AN248">
            <v>60.945278728155536</v>
          </cell>
          <cell r="AO248">
            <v>68.680993089505264</v>
          </cell>
          <cell r="AP248">
            <v>67.784713860193918</v>
          </cell>
          <cell r="AQ248">
            <v>69.642214136536822</v>
          </cell>
          <cell r="AR248">
            <v>73.905288131577933</v>
          </cell>
          <cell r="AS248">
            <v>83.384520128195661</v>
          </cell>
          <cell r="AT248">
            <v>88.315599277253554</v>
          </cell>
          <cell r="AU248">
            <v>91.244252938100175</v>
          </cell>
          <cell r="AV248">
            <v>93.300164956802547</v>
          </cell>
          <cell r="AW248">
            <v>98.524646975105739</v>
          </cell>
          <cell r="AX248">
            <v>100</v>
          </cell>
          <cell r="AY248">
            <v>104.12529955494693</v>
          </cell>
          <cell r="AZ248">
            <v>103.98841139546113</v>
          </cell>
          <cell r="BA248">
            <v>107.65240721418992</v>
          </cell>
          <cell r="BB248">
            <v>108.3941605839416</v>
          </cell>
          <cell r="BC248">
            <v>111.25934002501366</v>
          </cell>
          <cell r="BD248">
            <v>111.94391335860674</v>
          </cell>
          <cell r="BE248">
            <v>112.84928677106888</v>
          </cell>
          <cell r="BF248">
            <v>115.23180182878903</v>
          </cell>
          <cell r="BG248">
            <v>121.06886581525744</v>
          </cell>
          <cell r="BH248">
            <v>126.67515752781873</v>
          </cell>
          <cell r="BI248">
            <v>127.94221741076541</v>
          </cell>
          <cell r="BJ248">
            <v>132.5</v>
          </cell>
          <cell r="BK248">
            <v>139.02439024390242</v>
          </cell>
        </row>
        <row r="249">
          <cell r="AG249">
            <v>2.0562163658793087</v>
          </cell>
          <cell r="AH249">
            <v>2.4798122347289384</v>
          </cell>
          <cell r="AI249">
            <v>3.0365098878643955</v>
          </cell>
          <cell r="AJ249">
            <v>3.8901518991265553</v>
          </cell>
          <cell r="AK249">
            <v>4.8772966597029823</v>
          </cell>
          <cell r="AL249">
            <v>6.070380301882949</v>
          </cell>
          <cell r="AM249">
            <v>7.9625150661662216</v>
          </cell>
          <cell r="AN249">
            <v>10.101401989850762</v>
          </cell>
          <cell r="AO249">
            <v>12.052352005460179</v>
          </cell>
          <cell r="AP249">
            <v>14.533597691878086</v>
          </cell>
          <cell r="AQ249">
            <v>24.300134399683568</v>
          </cell>
          <cell r="AR249">
            <v>26.897898149724586</v>
          </cell>
          <cell r="AS249">
            <v>29.103822818408638</v>
          </cell>
          <cell r="AT249">
            <v>30.505453965252915</v>
          </cell>
          <cell r="AU249">
            <v>32.711922807910391</v>
          </cell>
          <cell r="AV249">
            <v>35.465835777258533</v>
          </cell>
          <cell r="AW249">
            <v>37.907879568669372</v>
          </cell>
          <cell r="AX249">
            <v>40.330046448639834</v>
          </cell>
          <cell r="AY249">
            <v>42.552270435744312</v>
          </cell>
          <cell r="AZ249">
            <v>46.424267276926457</v>
          </cell>
          <cell r="BA249">
            <v>54.028912587755052</v>
          </cell>
          <cell r="BB249">
            <v>58.914024491904868</v>
          </cell>
          <cell r="BC249">
            <v>64.468860692565073</v>
          </cell>
          <cell r="BD249">
            <v>72.333044944916864</v>
          </cell>
          <cell r="BE249">
            <v>79.916364702842813</v>
          </cell>
          <cell r="BF249">
            <v>87.641227223850251</v>
          </cell>
          <cell r="BG249">
            <v>92.944262818705369</v>
          </cell>
          <cell r="BH249">
            <v>100.00000014806677</v>
          </cell>
          <cell r="BI249">
            <v>107.47203382672765</v>
          </cell>
          <cell r="BJ249">
            <v>110.37779137000537</v>
          </cell>
          <cell r="BK249">
            <v>114.79290302480504</v>
          </cell>
        </row>
        <row r="250">
          <cell r="AA250">
            <v>5.3121722313572803E-2</v>
          </cell>
          <cell r="AB250">
            <v>7.7528228095388257E-2</v>
          </cell>
          <cell r="AC250">
            <v>9.7124890712936243E-2</v>
          </cell>
          <cell r="AD250">
            <v>0.21400104744032852</v>
          </cell>
          <cell r="AE250">
            <v>0.5077835581800958</v>
          </cell>
          <cell r="AF250">
            <v>1.42681092402357</v>
          </cell>
          <cell r="AG250">
            <v>4.137396610966567</v>
          </cell>
          <cell r="AH250">
            <v>8.9138857483985827</v>
          </cell>
          <cell r="AI250">
            <v>12.869876237034477</v>
          </cell>
          <cell r="AJ250">
            <v>16.218532667794893</v>
          </cell>
          <cell r="AK250">
            <v>23.52790568913414</v>
          </cell>
          <cell r="AL250">
            <v>30.618480381455853</v>
          </cell>
          <cell r="AM250">
            <v>32.715386259832123</v>
          </cell>
          <cell r="AN250">
            <v>35.782924051159881</v>
          </cell>
          <cell r="AO250">
            <v>37.419091554733058</v>
          </cell>
          <cell r="AP250">
            <v>38.577312916215568</v>
          </cell>
          <cell r="AQ250">
            <v>41.966602540472834</v>
          </cell>
          <cell r="AR250">
            <v>41.919125492209105</v>
          </cell>
          <cell r="AS250">
            <v>46.579402896433713</v>
          </cell>
          <cell r="AT250">
            <v>48.691534653816532</v>
          </cell>
          <cell r="AU250">
            <v>47.148229029377369</v>
          </cell>
          <cell r="AV250">
            <v>50.828969096224505</v>
          </cell>
          <cell r="AW250">
            <v>58.751960061316076</v>
          </cell>
          <cell r="AX250">
            <v>57.72897957297549</v>
          </cell>
          <cell r="AY250">
            <v>59.117719577055681</v>
          </cell>
          <cell r="AZ250">
            <v>63.445874036169116</v>
          </cell>
          <cell r="BA250">
            <v>67.48374491747893</v>
          </cell>
          <cell r="BB250">
            <v>90.44270914525913</v>
          </cell>
          <cell r="BC250">
            <v>100</v>
          </cell>
          <cell r="BD250">
            <v>104.63176666338572</v>
          </cell>
          <cell r="BE250">
            <v>127.14974272387384</v>
          </cell>
          <cell r="BF250">
            <v>132.26755139042621</v>
          </cell>
          <cell r="BG250">
            <v>136.77085490313186</v>
          </cell>
          <cell r="BH250">
            <v>143.61549289851061</v>
          </cell>
          <cell r="BI250">
            <v>148.8391549060056</v>
          </cell>
          <cell r="BJ250">
            <v>158.18205969013937</v>
          </cell>
          <cell r="BK250">
            <v>163.42714654923336</v>
          </cell>
        </row>
        <row r="251">
          <cell r="AF251">
            <v>8.3285410794030099E-5</v>
          </cell>
          <cell r="AG251">
            <v>8.4716361021836063E-5</v>
          </cell>
          <cell r="AH251">
            <v>8.7975478395195742E-5</v>
          </cell>
          <cell r="AI251">
            <v>1.0235030118629523E-4</v>
          </cell>
          <cell r="AJ251">
            <v>2.0021634089737125E-4</v>
          </cell>
          <cell r="AK251">
            <v>3.7265117668082684E-3</v>
          </cell>
          <cell r="AL251">
            <v>0.12799826761100241</v>
          </cell>
          <cell r="AM251">
            <v>1.3484120500039181</v>
          </cell>
          <cell r="AN251">
            <v>6.955242445415136</v>
          </cell>
          <cell r="AO251">
            <v>11.555833670240736</v>
          </cell>
          <cell r="AP251">
            <v>13.644411468806755</v>
          </cell>
          <cell r="AQ251">
            <v>15.283380757347528</v>
          </cell>
          <cell r="AR251">
            <v>19.471015577758095</v>
          </cell>
          <cell r="AS251">
            <v>23.971924369722871</v>
          </cell>
          <cell r="AT251">
            <v>26.329878890120828</v>
          </cell>
          <cell r="AU251">
            <v>27.665497535012634</v>
          </cell>
          <cell r="AV251">
            <v>29.908120244340804</v>
          </cell>
          <cell r="AW251">
            <v>34.438065101263746</v>
          </cell>
          <cell r="AX251">
            <v>42.769571238493498</v>
          </cell>
          <cell r="AY251">
            <v>49.06898173346584</v>
          </cell>
          <cell r="AZ251">
            <v>60.405000339765394</v>
          </cell>
          <cell r="BA251">
            <v>77.667875122082421</v>
          </cell>
          <cell r="BB251">
            <v>87.779175901982526</v>
          </cell>
          <cell r="BC251">
            <v>100</v>
          </cell>
          <cell r="BD251">
            <v>114.20079097772367</v>
          </cell>
          <cell r="BE251">
            <v>123.10265499910172</v>
          </cell>
          <cell r="BF251">
            <v>128.44163927240851</v>
          </cell>
          <cell r="BG251">
            <v>148.86618305236112</v>
          </cell>
          <cell r="BH251">
            <v>206.74782521903765</v>
          </cell>
          <cell r="BI251">
            <v>242.09574961509142</v>
          </cell>
          <cell r="BJ251">
            <v>295.55178947639502</v>
          </cell>
          <cell r="BK251">
            <v>341.11008442668833</v>
          </cell>
          <cell r="BN251" t="str">
            <v>Ukraine</v>
          </cell>
        </row>
        <row r="253">
          <cell r="E253">
            <v>7.4028281219300434E-6</v>
          </cell>
          <cell r="F253">
            <v>8.7669386164217828E-6</v>
          </cell>
          <cell r="G253">
            <v>9.8181488890122048E-6</v>
          </cell>
          <cell r="H253">
            <v>1.1771834335803967E-5</v>
          </cell>
          <cell r="I253">
            <v>1.6521947965283883E-5</v>
          </cell>
          <cell r="J253">
            <v>2.6796086002609086E-5</v>
          </cell>
          <cell r="K253">
            <v>4.6174421322983678E-5</v>
          </cell>
          <cell r="L253">
            <v>8.2434497500359191E-5</v>
          </cell>
          <cell r="M253">
            <v>1.7826391960561029E-4</v>
          </cell>
          <cell r="N253">
            <v>2.2653819402985198E-4</v>
          </cell>
          <cell r="O253">
            <v>2.3602441438323697E-4</v>
          </cell>
          <cell r="P253">
            <v>3.1082047909132001E-4</v>
          </cell>
          <cell r="Q253">
            <v>5.2580588649000777E-4</v>
          </cell>
          <cell r="R253">
            <v>1.5331138676470382E-3</v>
          </cell>
          <cell r="S253">
            <v>1.9698526003858034E-3</v>
          </cell>
          <cell r="T253">
            <v>3.2695195821983952E-3</v>
          </cell>
          <cell r="U253">
            <v>4.815724187396864E-3</v>
          </cell>
          <cell r="V253">
            <v>7.4935890855043095E-3</v>
          </cell>
          <cell r="W253">
            <v>1.1000713245212247E-2</v>
          </cell>
          <cell r="X253">
            <v>1.9714179611717921E-2</v>
          </cell>
          <cell r="Y253">
            <v>3.0510196843051649E-2</v>
          </cell>
          <cell r="Z253">
            <v>3.8853087978011597E-2</v>
          </cell>
          <cell r="AA253">
            <v>4.5909689512622559E-2</v>
          </cell>
          <cell r="AB253">
            <v>7.0577446393798829E-2</v>
          </cell>
          <cell r="AC253">
            <v>0.11034755994658181</v>
          </cell>
          <cell r="AD253">
            <v>0.1920236915527653</v>
          </cell>
          <cell r="AE253">
            <v>0.32829010723168106</v>
          </cell>
          <cell r="AF253">
            <v>0.56723275006565632</v>
          </cell>
          <cell r="AG253">
            <v>0.99059480773715058</v>
          </cell>
          <cell r="AH253">
            <v>1.7442340491418944</v>
          </cell>
          <cell r="AI253">
            <v>3.6077157376055262</v>
          </cell>
          <cell r="AJ253">
            <v>7.2445878657197493</v>
          </cell>
          <cell r="AK253">
            <v>11.564073600832648</v>
          </cell>
          <cell r="AL253">
            <v>17.097705878098765</v>
          </cell>
          <cell r="AM253">
            <v>23.758490335853836</v>
          </cell>
          <cell r="AN253">
            <v>33.51095310738117</v>
          </cell>
          <cell r="AO253">
            <v>42.368480362594219</v>
          </cell>
          <cell r="AP253">
            <v>54.013527546698512</v>
          </cell>
          <cell r="AQ253">
            <v>60.702511770072491</v>
          </cell>
          <cell r="AR253">
            <v>63.328560796489107</v>
          </cell>
          <cell r="AS253">
            <v>65.569953929969117</v>
          </cell>
          <cell r="AT253">
            <v>68.734765352355907</v>
          </cell>
          <cell r="AU253">
            <v>77.406533493228096</v>
          </cell>
          <cell r="AV253">
            <v>90.210839847531716</v>
          </cell>
          <cell r="AW253">
            <v>99.326695720091735</v>
          </cell>
          <cell r="AX253">
            <v>100</v>
          </cell>
          <cell r="AY253">
            <v>106.53333463159387</v>
          </cell>
          <cell r="AZ253">
            <v>116.56608316358484</v>
          </cell>
          <cell r="BA253">
            <v>125.91880528870547</v>
          </cell>
          <cell r="BB253">
            <v>135.67441772429223</v>
          </cell>
          <cell r="BC253">
            <v>142.33199567471061</v>
          </cell>
          <cell r="BD253">
            <v>155.15564667537242</v>
          </cell>
          <cell r="BE253">
            <v>168.43317135446202</v>
          </cell>
          <cell r="BF253">
            <v>182.16675706489301</v>
          </cell>
          <cell r="BG253">
            <v>199.23987436151734</v>
          </cell>
          <cell r="BH253">
            <v>217.20390054377344</v>
          </cell>
          <cell r="BI253">
            <v>233.15859339421351</v>
          </cell>
          <cell r="BJ253">
            <v>244.13193635633993</v>
          </cell>
          <cell r="BK253">
            <v>257.69357028766632</v>
          </cell>
        </row>
        <row r="254">
          <cell r="E254">
            <v>17.134046946832228</v>
          </cell>
          <cell r="F254">
            <v>17.365382949299612</v>
          </cell>
          <cell r="G254">
            <v>17.581518533358594</v>
          </cell>
          <cell r="H254">
            <v>17.772873321661784</v>
          </cell>
          <cell r="I254">
            <v>18.040166615646736</v>
          </cell>
          <cell r="J254">
            <v>18.386506390725991</v>
          </cell>
          <cell r="K254">
            <v>18.919490491258507</v>
          </cell>
          <cell r="L254">
            <v>19.515696491177572</v>
          </cell>
          <cell r="M254">
            <v>20.367983693399118</v>
          </cell>
          <cell r="N254">
            <v>21.377927812247645</v>
          </cell>
          <cell r="O254">
            <v>22.554604475093456</v>
          </cell>
          <cell r="P254">
            <v>23.697932691257343</v>
          </cell>
          <cell r="Q254">
            <v>24.722338234327239</v>
          </cell>
          <cell r="R254">
            <v>26.077093642066636</v>
          </cell>
          <cell r="S254">
            <v>28.423690199237083</v>
          </cell>
          <cell r="T254">
            <v>31.056468828831818</v>
          </cell>
          <cell r="U254">
            <v>32.765626330673101</v>
          </cell>
          <cell r="V254">
            <v>34.801472796029827</v>
          </cell>
          <cell r="W254">
            <v>37.249350299869519</v>
          </cell>
          <cell r="X254">
            <v>40.339777326557211</v>
          </cell>
          <cell r="Y254">
            <v>43.983684688839411</v>
          </cell>
          <cell r="Z254">
            <v>48.145499934849383</v>
          </cell>
          <cell r="AA254">
            <v>51.120035024920227</v>
          </cell>
          <cell r="AB254">
            <v>53.122290919993901</v>
          </cell>
          <cell r="AC254">
            <v>55.03879343654117</v>
          </cell>
          <cell r="AD254">
            <v>56.779365243577558</v>
          </cell>
          <cell r="AE254">
            <v>57.922842511751504</v>
          </cell>
          <cell r="AF254">
            <v>59.354980449238226</v>
          </cell>
          <cell r="AG254">
            <v>61.448689558777168</v>
          </cell>
          <cell r="AH254">
            <v>63.857687106644804</v>
          </cell>
          <cell r="AI254">
            <v>66.248093912346249</v>
          </cell>
          <cell r="AJ254">
            <v>68.488442586682581</v>
          </cell>
          <cell r="AK254">
            <v>70.049231443139931</v>
          </cell>
          <cell r="AL254">
            <v>71.708894065962639</v>
          </cell>
          <cell r="AM254">
            <v>73.240150544444433</v>
          </cell>
          <cell r="AN254">
            <v>74.775872922471535</v>
          </cell>
          <cell r="AO254">
            <v>76.145042222842008</v>
          </cell>
          <cell r="AP254">
            <v>77.458080528673051</v>
          </cell>
          <cell r="AQ254">
            <v>78.329887051242878</v>
          </cell>
          <cell r="AR254">
            <v>79.460816638132655</v>
          </cell>
          <cell r="AS254">
            <v>81.237142860154137</v>
          </cell>
          <cell r="AT254">
            <v>83.019018937980661</v>
          </cell>
          <cell r="AU254">
            <v>84.332183068845794</v>
          </cell>
          <cell r="AV254">
            <v>85.898311995215721</v>
          </cell>
          <cell r="AW254">
            <v>88.210876765511969</v>
          </cell>
          <cell r="AX254">
            <v>90.958594716488378</v>
          </cell>
          <cell r="AY254">
            <v>93.711187940109525</v>
          </cell>
          <cell r="AZ254">
            <v>96.228531773747605</v>
          </cell>
          <cell r="BA254">
            <v>98.100303495757075</v>
          </cell>
          <cell r="BB254">
            <v>98.848171146449573</v>
          </cell>
          <cell r="BC254">
            <v>100</v>
          </cell>
          <cell r="BD254">
            <v>102.08890377615916</v>
          </cell>
          <cell r="BE254">
            <v>104.04681480340811</v>
          </cell>
          <cell r="BF254">
            <v>105.87274874252779</v>
          </cell>
          <cell r="BG254">
            <v>107.87574605756906</v>
          </cell>
          <cell r="BH254">
            <v>109.02930635059167</v>
          </cell>
          <cell r="BI254">
            <v>110.22156953472904</v>
          </cell>
          <cell r="BJ254">
            <v>112.31663637029104</v>
          </cell>
          <cell r="BK254">
            <v>114.84972233260163</v>
          </cell>
          <cell r="BN254" t="str">
            <v>USA</v>
          </cell>
        </row>
        <row r="255">
          <cell r="AF255">
            <v>2.7690349744457698E-3</v>
          </cell>
          <cell r="AG255">
            <v>2.7328414793920596E-3</v>
          </cell>
          <cell r="AH255">
            <v>2.770569265862553E-3</v>
          </cell>
          <cell r="AI255">
            <v>2.8808293159571403E-3</v>
          </cell>
          <cell r="AJ255">
            <v>5.4945273956608972E-3</v>
          </cell>
          <cell r="AK255">
            <v>4.4623763600875145E-2</v>
          </cell>
          <cell r="AL255">
            <v>0.5260618981974815</v>
          </cell>
          <cell r="AM255">
            <v>7.0418396895061699</v>
          </cell>
          <cell r="AN255">
            <v>33.163118216734063</v>
          </cell>
          <cell r="AO255">
            <v>60.209383739756973</v>
          </cell>
          <cell r="AP255">
            <v>100</v>
          </cell>
          <cell r="AQ255">
            <v>138.99795559371421</v>
          </cell>
          <cell r="AR255">
            <v>200.31740865842244</v>
          </cell>
          <cell r="AS255">
            <v>295.05274994073261</v>
          </cell>
          <cell r="AT255">
            <v>428.53306878204114</v>
          </cell>
          <cell r="AU255">
            <v>623.44331086224508</v>
          </cell>
          <cell r="AV255">
            <v>790.30905514864912</v>
          </cell>
          <cell r="AW255">
            <v>916.11261816485592</v>
          </cell>
          <cell r="AX255">
            <v>1112.4434908877906</v>
          </cell>
          <cell r="AY255">
            <v>1373.4873478232084</v>
          </cell>
          <cell r="AZ255">
            <v>1674.2412448965908</v>
          </cell>
          <cell r="BA255">
            <v>2122.7970108350569</v>
          </cell>
          <cell r="BB255">
            <v>2489.2249995413767</v>
          </cell>
          <cell r="BC255">
            <v>2899.4057710432808</v>
          </cell>
          <cell r="BD255">
            <v>3380.5023249406531</v>
          </cell>
          <cell r="BE255">
            <v>3885.2506669620402</v>
          </cell>
          <cell r="BF255">
            <v>4438.8031061508927</v>
          </cell>
          <cell r="BG255">
            <v>6070.4011933521133</v>
          </cell>
          <cell r="BH255">
            <v>6702.9222848665813</v>
          </cell>
          <cell r="BI255">
            <v>7289.1679451201198</v>
          </cell>
          <cell r="BJ255">
            <v>8705.5392077407141</v>
          </cell>
          <cell r="BK255">
            <v>11153.764665387058</v>
          </cell>
        </row>
        <row r="256">
          <cell r="E256">
            <v>6.5651029607442002</v>
          </cell>
          <cell r="F256">
            <v>6.729380756774944</v>
          </cell>
          <cell r="G256">
            <v>6.7329979633357153</v>
          </cell>
          <cell r="H256">
            <v>6.7791740312055477</v>
          </cell>
          <cell r="I256">
            <v>7.0400783591330409</v>
          </cell>
          <cell r="J256">
            <v>7.1438185834166319</v>
          </cell>
          <cell r="K256">
            <v>7.6127178726756384</v>
          </cell>
          <cell r="L256">
            <v>8.5055141034532689</v>
          </cell>
          <cell r="M256">
            <v>8.7870997361580265</v>
          </cell>
          <cell r="N256">
            <v>9.2661926716937835</v>
          </cell>
          <cell r="O256">
            <v>9.2716246826227398</v>
          </cell>
          <cell r="P256">
            <v>9.663226785683781</v>
          </cell>
          <cell r="Q256">
            <v>10.278116126034528</v>
          </cell>
          <cell r="R256">
            <v>12.892284850998125</v>
          </cell>
          <cell r="S256">
            <v>16.173065195396223</v>
          </cell>
          <cell r="T256">
            <v>18.674899870810229</v>
          </cell>
          <cell r="U256">
            <v>20.11559443320558</v>
          </cell>
          <cell r="V256">
            <v>27.609352760782585</v>
          </cell>
          <cell r="W256">
            <v>31.006515821470828</v>
          </cell>
          <cell r="X256">
            <v>35.045199502146374</v>
          </cell>
          <cell r="Y256">
            <v>39.61965424402181</v>
          </cell>
          <cell r="Z256">
            <v>46.954444122156289</v>
          </cell>
          <cell r="AA256">
            <v>50.081397682926664</v>
          </cell>
          <cell r="AB256">
            <v>52.679712635284574</v>
          </cell>
          <cell r="AC256">
            <v>54.586190272333191</v>
          </cell>
          <cell r="AD256">
            <v>55.452385022652962</v>
          </cell>
          <cell r="AE256">
            <v>57.993534119959719</v>
          </cell>
          <cell r="AF256">
            <v>63.029781580249136</v>
          </cell>
          <cell r="AG256">
            <v>63.16650497476666</v>
          </cell>
          <cell r="AH256">
            <v>66.641543154147712</v>
          </cell>
          <cell r="AI256">
            <v>71.620075388618176</v>
          </cell>
          <cell r="AJ256">
            <v>75.077244319012593</v>
          </cell>
          <cell r="AK256">
            <v>76.980963811845342</v>
          </cell>
          <cell r="AL256">
            <v>76.061190487833713</v>
          </cell>
          <cell r="AM256">
            <v>77.864433982153884</v>
          </cell>
          <cell r="AN256">
            <v>78.88494700741731</v>
          </cell>
          <cell r="AO256">
            <v>81.697957273119457</v>
          </cell>
          <cell r="AP256">
            <v>82.807273445609226</v>
          </cell>
          <cell r="AQ256">
            <v>85.467197038053726</v>
          </cell>
          <cell r="AR256">
            <v>87.019704082010577</v>
          </cell>
          <cell r="AS256">
            <v>86.830738745561803</v>
          </cell>
          <cell r="AT256">
            <v>92.648713130418486</v>
          </cell>
          <cell r="AU256">
            <v>93.592693694918125</v>
          </cell>
          <cell r="AV256">
            <v>90.658282479867395</v>
          </cell>
          <cell r="AW256">
            <v>94.297316339291143</v>
          </cell>
          <cell r="AX256">
            <v>97.07651612099589</v>
          </cell>
          <cell r="AY256">
            <v>99.999818128259705</v>
          </cell>
          <cell r="AZ256">
            <v>108.40963198253999</v>
          </cell>
          <cell r="BA256">
            <v>108.43110754202412</v>
          </cell>
          <cell r="BB256">
            <v>107.49004076655662</v>
          </cell>
          <cell r="BC256">
            <v>112.25857108983841</v>
          </cell>
          <cell r="BD256">
            <v>111.88791824600777</v>
          </cell>
          <cell r="BE256">
            <v>113.10516079927793</v>
          </cell>
          <cell r="BF256">
            <v>115.60126551884483</v>
          </cell>
          <cell r="BG256">
            <v>115.24530590012981</v>
          </cell>
          <cell r="BH256">
            <v>118.05508296404861</v>
          </cell>
          <cell r="BI256">
            <v>118.11338125990065</v>
          </cell>
          <cell r="BJ256">
            <v>119.30336702648303</v>
          </cell>
          <cell r="BK256">
            <v>120.45805185923703</v>
          </cell>
        </row>
        <row r="257">
          <cell r="E257">
            <v>0.1783248670064034</v>
          </cell>
          <cell r="F257">
            <v>0.18191584935240476</v>
          </cell>
          <cell r="G257">
            <v>0.18312568823704098</v>
          </cell>
          <cell r="H257">
            <v>0.19213516038155085</v>
          </cell>
          <cell r="I257">
            <v>0.19143097952729551</v>
          </cell>
          <cell r="J257">
            <v>0.19557968863084413</v>
          </cell>
          <cell r="K257">
            <v>0.20075262828911383</v>
          </cell>
          <cell r="L257">
            <v>0.20563940261014968</v>
          </cell>
          <cell r="M257">
            <v>0.20782966588956797</v>
          </cell>
          <cell r="N257">
            <v>0.21152791535951071</v>
          </cell>
          <cell r="O257">
            <v>0.22074685860672144</v>
          </cell>
          <cell r="P257">
            <v>0.23892019162034078</v>
          </cell>
          <cell r="Q257">
            <v>0.25389756520854817</v>
          </cell>
          <cell r="R257">
            <v>0.28233509411228902</v>
          </cell>
          <cell r="S257">
            <v>0.42380747496636223</v>
          </cell>
          <cell r="T257">
            <v>0.4333982302821191</v>
          </cell>
          <cell r="U257">
            <v>0.4602409417742952</v>
          </cell>
          <cell r="V257">
            <v>0.49912406301001977</v>
          </cell>
          <cell r="W257">
            <v>0.5295041242110311</v>
          </cell>
          <cell r="X257">
            <v>0.64570687144761874</v>
          </cell>
          <cell r="Y257">
            <v>0.82668068302261721</v>
          </cell>
          <cell r="Z257">
            <v>0.93089515752163066</v>
          </cell>
          <cell r="AA257">
            <v>0.97077939295598203</v>
          </cell>
          <cell r="AB257">
            <v>1.0060697147449558</v>
          </cell>
          <cell r="AC257">
            <v>1.4341650205843199</v>
          </cell>
          <cell r="AD257">
            <v>1.5836080394189909</v>
          </cell>
          <cell r="AE257">
            <v>1.5649717719814642</v>
          </cell>
          <cell r="AF257">
            <v>2.1509680129753446</v>
          </cell>
          <cell r="AG257">
            <v>2.5488467621504713</v>
          </cell>
          <cell r="AH257">
            <v>4.8214781507818198</v>
          </cell>
          <cell r="AI257">
            <v>6.8339948141645861</v>
          </cell>
          <cell r="AJ257">
            <v>8.2998604884730636</v>
          </cell>
          <cell r="AK257">
            <v>10.644078260367046</v>
          </cell>
          <cell r="AL257">
            <v>14.012484549316696</v>
          </cell>
          <cell r="AM257">
            <v>22.825032009663833</v>
          </cell>
          <cell r="AN257">
            <v>34.63924617115422</v>
          </cell>
          <cell r="AO257">
            <v>74.656137604611686</v>
          </cell>
          <cell r="AP257">
            <v>100</v>
          </cell>
          <cell r="AQ257">
            <v>118.89028670257159</v>
          </cell>
          <cell r="AR257">
            <v>150.03087478992819</v>
          </cell>
          <cell r="AS257">
            <v>194.21920595354291</v>
          </cell>
          <cell r="AT257">
            <v>209.75072951237013</v>
          </cell>
          <cell r="AU257">
            <v>279.01645299327743</v>
          </cell>
          <cell r="AV257">
            <v>376.4873791528367</v>
          </cell>
          <cell r="AW257">
            <v>504.31886603976449</v>
          </cell>
          <cell r="AX257">
            <v>653.61772246196767</v>
          </cell>
          <cell r="AY257">
            <v>770.64350197616102</v>
          </cell>
          <cell r="AZ257">
            <v>889.69619197216582</v>
          </cell>
          <cell r="BA257">
            <v>1157.7834775569868</v>
          </cell>
          <cell r="BB257">
            <v>1248.457216690764</v>
          </cell>
          <cell r="BC257">
            <v>1822.0392703419307</v>
          </cell>
          <cell r="BD257">
            <v>2334.9285837870402</v>
          </cell>
          <cell r="BE257">
            <v>2663.2062350756046</v>
          </cell>
          <cell r="BF257">
            <v>3608.7156795690967</v>
          </cell>
          <cell r="BG257">
            <v>5068.0979869389294</v>
          </cell>
        </row>
        <row r="259">
          <cell r="AU259">
            <v>100</v>
          </cell>
          <cell r="AV259">
            <v>105.98272549845846</v>
          </cell>
          <cell r="AW259">
            <v>113.27265267764037</v>
          </cell>
          <cell r="AX259">
            <v>127.71618413776022</v>
          </cell>
          <cell r="AY259">
            <v>125.05216315191096</v>
          </cell>
          <cell r="AZ259">
            <v>128.18111296909274</v>
          </cell>
          <cell r="BA259">
            <v>112.36466196526777</v>
          </cell>
          <cell r="BB259">
            <v>119.02722545120821</v>
          </cell>
          <cell r="BC259">
            <v>121.77767772525196</v>
          </cell>
          <cell r="BD259">
            <v>129.53951442558991</v>
          </cell>
          <cell r="BE259">
            <v>147.25573662317152</v>
          </cell>
          <cell r="BF259">
            <v>143.65749828278646</v>
          </cell>
          <cell r="BG259">
            <v>139.51993870041321</v>
          </cell>
          <cell r="BH259">
            <v>144.09368249067452</v>
          </cell>
          <cell r="BI259">
            <v>147.18379382779031</v>
          </cell>
          <cell r="BJ259">
            <v>149.41385676144861</v>
          </cell>
        </row>
        <row r="260">
          <cell r="AD260">
            <v>2.695343019336726E-2</v>
          </cell>
          <cell r="AE260">
            <v>0.13424778143874277</v>
          </cell>
          <cell r="AF260">
            <v>0.62097159908116317</v>
          </cell>
          <cell r="AG260">
            <v>3.1734148329517526</v>
          </cell>
          <cell r="AH260">
            <v>5.384927180237443</v>
          </cell>
          <cell r="AI260">
            <v>7.6517175610117487</v>
          </cell>
          <cell r="AJ260">
            <v>13.202762011003797</v>
          </cell>
          <cell r="AK260">
            <v>17.510715581438426</v>
          </cell>
          <cell r="AL260">
            <v>20.560202257494065</v>
          </cell>
          <cell r="AM260">
            <v>24.045632720142756</v>
          </cell>
          <cell r="AN260">
            <v>28.143055525425336</v>
          </cell>
          <cell r="AO260">
            <v>30.590591525153499</v>
          </cell>
          <cell r="AP260">
            <v>32.60877667322098</v>
          </cell>
          <cell r="AQ260">
            <v>35.490696047615714</v>
          </cell>
          <cell r="AR260">
            <v>37.525981999064328</v>
          </cell>
          <cell r="AS260">
            <v>38.805178053810224</v>
          </cell>
          <cell r="AT260">
            <v>39.822752572619571</v>
          </cell>
          <cell r="AU260">
            <v>41.693995109674347</v>
          </cell>
          <cell r="AV260">
            <v>44.658272412382303</v>
          </cell>
          <cell r="AW260">
            <v>48.424443916404506</v>
          </cell>
          <cell r="AX260">
            <v>57.533333417262241</v>
          </cell>
          <cell r="AY260">
            <v>62.463334825928321</v>
          </cell>
          <cell r="AZ260">
            <v>68.47869489588156</v>
          </cell>
          <cell r="BA260">
            <v>84.00508590257877</v>
          </cell>
          <cell r="BB260">
            <v>89.226525467907464</v>
          </cell>
          <cell r="BC260">
            <v>100</v>
          </cell>
          <cell r="BD260">
            <v>121.26065929387484</v>
          </cell>
          <cell r="BE260">
            <v>134.50963992543035</v>
          </cell>
          <cell r="BF260">
            <v>140.91317960871146</v>
          </cell>
          <cell r="BG260">
            <v>146.07396108607625</v>
          </cell>
          <cell r="BH260">
            <v>145.79526930416543</v>
          </cell>
          <cell r="BI260">
            <v>147.41454327592024</v>
          </cell>
          <cell r="BJ260">
            <v>153.43758927071724</v>
          </cell>
          <cell r="BK260">
            <v>158.44932113394435</v>
          </cell>
        </row>
        <row r="261">
          <cell r="X261">
            <v>37.218906894732548</v>
          </cell>
          <cell r="Y261">
            <v>39.681383104435888</v>
          </cell>
          <cell r="Z261">
            <v>42.637651024765553</v>
          </cell>
          <cell r="AA261">
            <v>41.935186826004717</v>
          </cell>
          <cell r="AB261">
            <v>42.69417713028718</v>
          </cell>
          <cell r="AC261">
            <v>47.888540456332258</v>
          </cell>
          <cell r="AD261">
            <v>46.24086107957455</v>
          </cell>
          <cell r="AE261">
            <v>44.865246971252503</v>
          </cell>
          <cell r="AF261">
            <v>52.248017295533344</v>
          </cell>
          <cell r="AG261">
            <v>57.374346122660228</v>
          </cell>
          <cell r="AH261">
            <v>61.075987540906532</v>
          </cell>
          <cell r="AI261">
            <v>60.4671121262055</v>
          </cell>
          <cell r="AJ261">
            <v>66.692459392242654</v>
          </cell>
          <cell r="AK261">
            <v>68.545527698489266</v>
          </cell>
          <cell r="AL261">
            <v>69.949684620129489</v>
          </cell>
          <cell r="AM261">
            <v>71.590794636110132</v>
          </cell>
          <cell r="AN261">
            <v>72.817522398948128</v>
          </cell>
          <cell r="AO261">
            <v>74.33014727436877</v>
          </cell>
          <cell r="AP261">
            <v>76.692254427353319</v>
          </cell>
          <cell r="AQ261">
            <v>82.948120226168044</v>
          </cell>
          <cell r="AR261">
            <v>85.498900121110253</v>
          </cell>
          <cell r="AS261">
            <v>87.366701668416752</v>
          </cell>
          <cell r="AT261">
            <v>90.618955512572526</v>
          </cell>
          <cell r="AU261">
            <v>93.140702237170672</v>
          </cell>
          <cell r="AV261">
            <v>93.875058024480211</v>
          </cell>
          <cell r="AW261">
            <v>95.867205488463895</v>
          </cell>
          <cell r="AX261">
            <v>96.271670496887467</v>
          </cell>
          <cell r="AY261">
            <v>100</v>
          </cell>
          <cell r="AZ261">
            <v>105.47253950868409</v>
          </cell>
          <cell r="BA261">
            <v>113.19614147909969</v>
          </cell>
          <cell r="BB261">
            <v>115.81240663014869</v>
          </cell>
          <cell r="BC261">
            <v>118.84362312753744</v>
          </cell>
          <cell r="BD261">
            <v>122.52649413066403</v>
          </cell>
          <cell r="BE261">
            <v>123.03340242617826</v>
          </cell>
          <cell r="BF261">
            <v>126.30254761151008</v>
          </cell>
          <cell r="BG261">
            <v>128.80845382310798</v>
          </cell>
          <cell r="BH261">
            <v>132.00873219092639</v>
          </cell>
          <cell r="BI261">
            <v>134.89631132942171</v>
          </cell>
          <cell r="BJ261">
            <v>138.36597284521167</v>
          </cell>
          <cell r="BK261">
            <v>141.32962882846419</v>
          </cell>
        </row>
        <row r="263">
          <cell r="AA263">
            <v>16.896344708711581</v>
          </cell>
          <cell r="AB263">
            <v>19.920243935383564</v>
          </cell>
          <cell r="AC263">
            <v>23.080718145324667</v>
          </cell>
          <cell r="AD263">
            <v>23.435926301863031</v>
          </cell>
          <cell r="AE263">
            <v>23.363343829105172</v>
          </cell>
          <cell r="AF263">
            <v>24.418766245252044</v>
          </cell>
          <cell r="AG263">
            <v>28.905467530157114</v>
          </cell>
          <cell r="AH263">
            <v>28.098399646110568</v>
          </cell>
          <cell r="AI263">
            <v>30.629065012572948</v>
          </cell>
          <cell r="AJ263">
            <v>32.50091986494904</v>
          </cell>
          <cell r="AK263">
            <v>35.284939530096956</v>
          </cell>
          <cell r="AL263">
            <v>35.515961735054312</v>
          </cell>
          <cell r="AM263">
            <v>59.747772851655988</v>
          </cell>
          <cell r="AN263">
            <v>55.580089804277513</v>
          </cell>
          <cell r="AO263">
            <v>58.131245825859935</v>
          </cell>
          <cell r="AP263">
            <v>65.011897050583855</v>
          </cell>
          <cell r="AQ263">
            <v>67.231171893087918</v>
          </cell>
          <cell r="AR263">
            <v>68.899726887405336</v>
          </cell>
          <cell r="AS263">
            <v>70.892292588750948</v>
          </cell>
          <cell r="AT263">
            <v>72.612683546323041</v>
          </cell>
          <cell r="AU263">
            <v>74.380038266117026</v>
          </cell>
          <cell r="AV263">
            <v>76.327035135108389</v>
          </cell>
          <cell r="AW263">
            <v>81.681500959826025</v>
          </cell>
          <cell r="AX263">
            <v>82.380761028488863</v>
          </cell>
          <cell r="AY263">
            <v>90.011926806746686</v>
          </cell>
          <cell r="AZ263">
            <v>89.888002641919769</v>
          </cell>
          <cell r="BA263">
            <v>97.620175804039604</v>
          </cell>
          <cell r="BB263">
            <v>100</v>
          </cell>
          <cell r="BC263">
            <v>101.71768785925406</v>
          </cell>
          <cell r="BD263">
            <v>104.07100452248723</v>
          </cell>
          <cell r="BE263">
            <v>108.19238699007397</v>
          </cell>
          <cell r="BF263">
            <v>110.05171914386322</v>
          </cell>
          <cell r="BG263">
            <v>110.37507161566656</v>
          </cell>
          <cell r="BH263">
            <v>113.40110606238754</v>
          </cell>
          <cell r="BI263">
            <v>111.61363993538916</v>
          </cell>
          <cell r="BJ263">
            <v>112.78451161028258</v>
          </cell>
          <cell r="BK263">
            <v>116.02147321358291</v>
          </cell>
        </row>
        <row r="264">
          <cell r="AS264">
            <v>86.233141026649236</v>
          </cell>
          <cell r="AT264">
            <v>96.064524192822304</v>
          </cell>
          <cell r="AU264">
            <v>87.081021268992615</v>
          </cell>
          <cell r="AV264">
            <v>79.5745772060436</v>
          </cell>
          <cell r="AW264">
            <v>89.902797373293353</v>
          </cell>
          <cell r="AX264">
            <v>87.300740246850523</v>
          </cell>
          <cell r="AY264">
            <v>86.96503020505402</v>
          </cell>
          <cell r="AZ264">
            <v>89.922808501638997</v>
          </cell>
          <cell r="BA264">
            <v>99.998758643204255</v>
          </cell>
          <cell r="BB264">
            <v>101.42052534516273</v>
          </cell>
          <cell r="BC264">
            <v>106.18999372798766</v>
          </cell>
          <cell r="BD264">
            <v>110.79886763792032</v>
          </cell>
          <cell r="BE264">
            <v>113.15677634374927</v>
          </cell>
          <cell r="BF264">
            <v>115.1921454985835</v>
          </cell>
          <cell r="BG264">
            <v>118.97638636606476</v>
          </cell>
          <cell r="BH264">
            <v>119.22358399540146</v>
          </cell>
          <cell r="BI264">
            <v>119.75654507072819</v>
          </cell>
          <cell r="BJ264">
            <v>121.40639787999244</v>
          </cell>
          <cell r="BK264">
            <v>121.64667393675029</v>
          </cell>
        </row>
        <row r="265">
          <cell r="AI265">
            <v>99.996702620346653</v>
          </cell>
          <cell r="AJ265">
            <v>111.99251947043318</v>
          </cell>
          <cell r="AK265">
            <v>126.74388893940454</v>
          </cell>
          <cell r="AL265">
            <v>147.49935141508061</v>
          </cell>
          <cell r="AM265">
            <v>178.1561541534123</v>
          </cell>
          <cell r="AN265">
            <v>259.6507344007681</v>
          </cell>
          <cell r="AO265">
            <v>355.12453766636531</v>
          </cell>
          <cell r="AP265">
            <v>402.29400448739705</v>
          </cell>
          <cell r="AQ265">
            <v>368.75222680509563</v>
          </cell>
          <cell r="AR265">
            <v>492.14622076888827</v>
          </cell>
          <cell r="AS265">
            <v>608.05666754961726</v>
          </cell>
          <cell r="AT265">
            <v>624.2014414469312</v>
          </cell>
          <cell r="AU265">
            <v>678.14940195722329</v>
          </cell>
          <cell r="AV265">
            <v>751.93352393828638</v>
          </cell>
          <cell r="AW265">
            <v>857.99797664744142</v>
          </cell>
          <cell r="AX265">
            <v>1016.6150357941581</v>
          </cell>
          <cell r="AY265">
            <v>1155.2009527511154</v>
          </cell>
          <cell r="AZ265">
            <v>1281.0604449702794</v>
          </cell>
          <cell r="BA265">
            <v>1542.1116915730843</v>
          </cell>
          <cell r="BB265">
            <v>1407.8667048070831</v>
          </cell>
          <cell r="BC265">
            <v>1740.3526170419664</v>
          </cell>
          <cell r="BD265">
            <v>2055.5942889698536</v>
          </cell>
          <cell r="BE265">
            <v>2176.733727220947</v>
          </cell>
          <cell r="BF265">
            <v>2377.188201235102</v>
          </cell>
          <cell r="BG265">
            <v>2547.4738994098229</v>
          </cell>
          <cell r="BH265">
            <v>3238.5886872147039</v>
          </cell>
          <cell r="BI265">
            <v>3391.5086237278288</v>
          </cell>
          <cell r="BJ265">
            <v>4065.9748839833846</v>
          </cell>
          <cell r="BK265">
            <v>5983.9071840979695</v>
          </cell>
        </row>
        <row r="266">
          <cell r="E266">
            <v>0.93471309477650388</v>
          </cell>
          <cell r="F266">
            <v>0.94734893271514686</v>
          </cell>
          <cell r="G266">
            <v>0.95097887669799452</v>
          </cell>
          <cell r="H266">
            <v>0.98211920567683686</v>
          </cell>
          <cell r="I266">
            <v>1.0016622024290198</v>
          </cell>
          <cell r="J266">
            <v>1.0312525554812324</v>
          </cell>
          <cell r="K266">
            <v>1.0763398605555432</v>
          </cell>
          <cell r="L266">
            <v>1.1196776990768498</v>
          </cell>
          <cell r="M266">
            <v>1.1622002562537588</v>
          </cell>
          <cell r="N266">
            <v>1.2503802042819934</v>
          </cell>
          <cell r="O266">
            <v>1.3039923612941946</v>
          </cell>
          <cell r="P266">
            <v>1.3823195556353509</v>
          </cell>
          <cell r="Q266">
            <v>1.5351364059127142</v>
          </cell>
          <cell r="R266">
            <v>1.8178108585449544</v>
          </cell>
          <cell r="S266">
            <v>2.1074844366193082</v>
          </cell>
          <cell r="T266">
            <v>2.3355147658120186</v>
          </cell>
          <cell r="U266">
            <v>2.5793439297891139</v>
          </cell>
          <cell r="V266">
            <v>2.8672924093069332</v>
          </cell>
          <cell r="W266">
            <v>3.2002362806080304</v>
          </cell>
          <cell r="X266">
            <v>3.682387535836773</v>
          </cell>
          <cell r="Y266">
            <v>4.5985225663922611</v>
          </cell>
          <cell r="Z266">
            <v>5.0645344716869545</v>
          </cell>
          <cell r="AA266">
            <v>5.772806521787774</v>
          </cell>
          <cell r="AB266">
            <v>6.7266033811914507</v>
          </cell>
          <cell r="AC266">
            <v>7.4986531533647582</v>
          </cell>
          <cell r="AD266">
            <v>8.7595653961400721</v>
          </cell>
          <cell r="AE266">
            <v>10.262034011834833</v>
          </cell>
          <cell r="AF266">
            <v>11.747873818048969</v>
          </cell>
          <cell r="AG266">
            <v>13.52759112699135</v>
          </cell>
          <cell r="AH266">
            <v>15.857653968665671</v>
          </cell>
          <cell r="AI266">
            <v>18.311962785620199</v>
          </cell>
          <cell r="AJ266">
            <v>21.178133664347612</v>
          </cell>
          <cell r="AK266">
            <v>24.263314726473549</v>
          </cell>
          <cell r="AL266">
            <v>27.413072283580302</v>
          </cell>
          <cell r="AM266">
            <v>30.034050247219717</v>
          </cell>
          <cell r="AN266">
            <v>33.101570873153655</v>
          </cell>
          <cell r="AO266">
            <v>35.718474855440057</v>
          </cell>
          <cell r="AP266">
            <v>38.571412192473659</v>
          </cell>
          <cell r="AQ266">
            <v>41.574964170524723</v>
          </cell>
          <cell r="AR266">
            <v>44.496917183632192</v>
          </cell>
          <cell r="AS266">
            <v>48.411000247292449</v>
          </cell>
          <cell r="AT266">
            <v>52.110501097034081</v>
          </cell>
          <cell r="AU266">
            <v>58.470735667352905</v>
          </cell>
          <cell r="AV266">
            <v>61.858279132075026</v>
          </cell>
          <cell r="AW266">
            <v>65.895785158631398</v>
          </cell>
          <cell r="AX266">
            <v>69.486514456423691</v>
          </cell>
          <cell r="AY266">
            <v>73.833069026413398</v>
          </cell>
          <cell r="AZ266">
            <v>80.366851949007653</v>
          </cell>
          <cell r="BA266">
            <v>87.464457663897903</v>
          </cell>
          <cell r="BB266">
            <v>94.0282460787177</v>
          </cell>
          <cell r="BC266">
            <v>100.00001604434981</v>
          </cell>
          <cell r="BD266">
            <v>106.53224800529874</v>
          </cell>
          <cell r="BE266">
            <v>112.16010323473573</v>
          </cell>
          <cell r="BF266">
            <v>119.06384614913739</v>
          </cell>
          <cell r="BG266">
            <v>125.66832403610766</v>
          </cell>
          <cell r="BH266">
            <v>132.16614772290785</v>
          </cell>
          <cell r="BI266">
            <v>141.69049812349627</v>
          </cell>
          <cell r="BJ266">
            <v>149.15398577492249</v>
          </cell>
          <cell r="BK266">
            <v>154.99566073119144</v>
          </cell>
          <cell r="BN266" t="str">
            <v>South Africa</v>
          </cell>
        </row>
        <row r="267">
          <cell r="E267">
            <v>2.2652422379291623E-3</v>
          </cell>
          <cell r="F267">
            <v>2.1824287929433669E-3</v>
          </cell>
          <cell r="G267">
            <v>2.2280756506442402E-3</v>
          </cell>
          <cell r="H267">
            <v>2.2370681652500684E-3</v>
          </cell>
          <cell r="I267">
            <v>2.3284100115417176E-3</v>
          </cell>
          <cell r="J267">
            <v>2.5749666289590317E-3</v>
          </cell>
          <cell r="K267">
            <v>3.1837364181669494E-3</v>
          </cell>
          <cell r="L267">
            <v>3.1921056480565986E-3</v>
          </cell>
          <cell r="M267">
            <v>3.7009242700321962E-3</v>
          </cell>
          <cell r="N267">
            <v>4.5501461170632017E-3</v>
          </cell>
          <cell r="O267">
            <v>4.0316840065471498E-3</v>
          </cell>
          <cell r="P267">
            <v>3.7294478573448833E-3</v>
          </cell>
          <cell r="Q267">
            <v>3.8678294292137836E-3</v>
          </cell>
          <cell r="R267">
            <v>4.6371347997566734E-3</v>
          </cell>
          <cell r="S267">
            <v>5.1389724689433671E-3</v>
          </cell>
          <cell r="T267">
            <v>4.4107852818158853E-3</v>
          </cell>
          <cell r="U267">
            <v>5.0814269666009044E-3</v>
          </cell>
          <cell r="V267">
            <v>5.5008488847746112E-3</v>
          </cell>
          <cell r="W267">
            <v>6.1984383708291943E-3</v>
          </cell>
          <cell r="X267">
            <v>7.5552186977383834E-3</v>
          </cell>
          <cell r="Y267">
            <v>8.443932700301875E-3</v>
          </cell>
          <cell r="Z267">
            <v>9.0484015885923565E-3</v>
          </cell>
          <cell r="AA267">
            <v>9.6038468854734958E-3</v>
          </cell>
          <cell r="AB267">
            <v>1.1392980784865421E-2</v>
          </cell>
          <cell r="AC267">
            <v>1.348145450135828E-2</v>
          </cell>
          <cell r="AD267">
            <v>1.9027367693162829E-2</v>
          </cell>
          <cell r="AE267">
            <v>3.462759378793704E-2</v>
          </cell>
          <cell r="AF267">
            <v>5.6101168295122489E-2</v>
          </cell>
          <cell r="AG267">
            <v>7.5450632039244944E-2</v>
          </cell>
          <cell r="AH267">
            <v>0.13647309226989712</v>
          </cell>
          <cell r="AI267">
            <v>0.28166534128552412</v>
          </cell>
          <cell r="AJ267">
            <v>0.54264117521335664</v>
          </cell>
          <cell r="AK267">
            <v>1.4408965675337919</v>
          </cell>
          <cell r="AL267">
            <v>3.5108646814534619</v>
          </cell>
          <cell r="AM267">
            <v>6.345614016745234</v>
          </cell>
          <cell r="AN267">
            <v>8.2880778401721482</v>
          </cell>
          <cell r="AO267">
            <v>10.306163425971247</v>
          </cell>
          <cell r="AP267">
            <v>12.924190842490436</v>
          </cell>
          <cell r="AQ267">
            <v>15.109267350445887</v>
          </cell>
          <cell r="AR267">
            <v>17.817433251595492</v>
          </cell>
          <cell r="AS267">
            <v>23.62838786078456</v>
          </cell>
          <cell r="AT267">
            <v>29.61375586026077</v>
          </cell>
          <cell r="AU267">
            <v>35.35613653558319</v>
          </cell>
          <cell r="AV267">
            <v>41.581547362103713</v>
          </cell>
          <cell r="AW267">
            <v>49.780107541639957</v>
          </cell>
          <cell r="AX267">
            <v>58.068594546020371</v>
          </cell>
          <cell r="AY267">
            <v>66.513076290278079</v>
          </cell>
          <cell r="AZ267">
            <v>75.139962450515085</v>
          </cell>
          <cell r="BA267">
            <v>83.135038410703928</v>
          </cell>
          <cell r="BB267">
            <v>87.757085219872039</v>
          </cell>
          <cell r="BC267">
            <v>100</v>
          </cell>
          <cell r="BD267">
            <v>111.11506290828017</v>
          </cell>
          <cell r="BE267">
            <v>118.88271161636148</v>
          </cell>
          <cell r="BF267">
            <v>130.4467569007339</v>
          </cell>
          <cell r="BG267">
            <v>137.54036407946845</v>
          </cell>
          <cell r="BH267">
            <v>146.70088973579922</v>
          </cell>
          <cell r="BI267">
            <v>166.61372397841171</v>
          </cell>
          <cell r="BJ267">
            <v>183.61389843902097</v>
          </cell>
          <cell r="BK267">
            <v>200.74308529820391</v>
          </cell>
        </row>
        <row r="268">
          <cell r="E268">
            <v>26.273695126733266</v>
          </cell>
          <cell r="F268">
            <v>25.73737023402601</v>
          </cell>
          <cell r="G268">
            <v>25.858237510898451</v>
          </cell>
          <cell r="H268">
            <v>25.251153336792566</v>
          </cell>
          <cell r="I268">
            <v>26.802587160099893</v>
          </cell>
          <cell r="J268">
            <v>27.527367524003775</v>
          </cell>
          <cell r="K268">
            <v>26.500605929023124</v>
          </cell>
          <cell r="L268">
            <v>26.653398269011934</v>
          </cell>
          <cell r="M268">
            <v>27.683873754517425</v>
          </cell>
          <cell r="N268">
            <v>29.090306760224731</v>
          </cell>
          <cell r="O268">
            <v>25.584010127572959</v>
          </cell>
          <cell r="P268">
            <v>27.160817630754959</v>
          </cell>
          <cell r="Q268">
            <v>30.814917109074592</v>
          </cell>
          <cell r="R268">
            <v>37.116769784898793</v>
          </cell>
          <cell r="S268">
            <v>41.887668536512678</v>
          </cell>
          <cell r="T268">
            <v>46.886439491974372</v>
          </cell>
          <cell r="U268">
            <v>46.104416586369979</v>
          </cell>
          <cell r="V268">
            <v>50.027902023621486</v>
          </cell>
          <cell r="W268">
            <v>51.269207198102364</v>
          </cell>
          <cell r="X268">
            <v>59.052247081061481</v>
          </cell>
          <cell r="Y268">
            <v>66.576055457851837</v>
          </cell>
          <cell r="Z268">
            <v>70.969463380724989</v>
          </cell>
          <cell r="AA268">
            <v>73.708006054293122</v>
          </cell>
          <cell r="AB268">
            <v>65.967556350198649</v>
          </cell>
          <cell r="AC268">
            <v>55.020406789929233</v>
          </cell>
          <cell r="AD268">
            <v>45.657771773964491</v>
          </cell>
          <cell r="AE268">
            <v>49.322211160173026</v>
          </cell>
          <cell r="AF268">
            <v>52.868163127741376</v>
          </cell>
          <cell r="AG268">
            <v>56.984011321540336</v>
          </cell>
          <cell r="AH268">
            <v>57.435856278107188</v>
          </cell>
          <cell r="AI268">
            <v>56.907198825405523</v>
          </cell>
          <cell r="AJ268">
            <v>53.050427203719963</v>
          </cell>
          <cell r="AK268">
            <v>45.554583096692333</v>
          </cell>
          <cell r="AL268">
            <v>43.827553196688299</v>
          </cell>
          <cell r="AM268">
            <v>42.120175218412975</v>
          </cell>
          <cell r="AN268">
            <v>43.400012871205597</v>
          </cell>
          <cell r="AO268">
            <v>47.299236390613501</v>
          </cell>
          <cell r="AP268">
            <v>45.937468608268652</v>
          </cell>
          <cell r="AQ268">
            <v>33.51200383745234</v>
          </cell>
          <cell r="AR268">
            <v>36.195247410536616</v>
          </cell>
          <cell r="AS268">
            <v>36.422517381381887</v>
          </cell>
          <cell r="AT268">
            <v>36.374843875333326</v>
          </cell>
          <cell r="AU268">
            <v>37.361675310131417</v>
          </cell>
          <cell r="AV268">
            <v>40.649979309119558</v>
          </cell>
          <cell r="AW268">
            <v>43.744062383860374</v>
          </cell>
          <cell r="AX268">
            <v>45.991020363295171</v>
          </cell>
          <cell r="AY268">
            <v>45.063069340262054</v>
          </cell>
          <cell r="AZ268">
            <v>45.466332821041838</v>
          </cell>
          <cell r="BA268">
            <v>46.079774801666233</v>
          </cell>
          <cell r="BB268">
            <v>90.043870356486124</v>
          </cell>
          <cell r="BC268">
            <v>93.73423278427569</v>
          </cell>
          <cell r="BD268">
            <v>96.127432485298073</v>
          </cell>
          <cell r="BE268">
            <v>100</v>
          </cell>
          <cell r="BF268">
            <v>109.37060288787357</v>
          </cell>
          <cell r="BG268">
            <v>109.0948347622156</v>
          </cell>
          <cell r="BH268">
            <v>109.75792835286757</v>
          </cell>
          <cell r="BI268">
            <v>112.12978916742915</v>
          </cell>
          <cell r="BJ268">
            <v>118.89300114286536</v>
          </cell>
          <cell r="BK268">
            <v>152.1896339178144</v>
          </cell>
        </row>
      </sheetData>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BL Net zero targets"/>
      <sheetName val="input site"/>
      <sheetName val="CHI"/>
      <sheetName val="Alternative CAT Calculations"/>
      <sheetName val="Database Emissions EDGAR_FAO"/>
      <sheetName val="ISO"/>
      <sheetName val="(old) (Net)zero targets"/>
    </sheetNames>
    <sheetDataSet>
      <sheetData sheetId="0" refreshError="1"/>
      <sheetData sheetId="1" refreshError="1">
        <row r="13">
          <cell r="CE13">
            <v>-1</v>
          </cell>
          <cell r="CN13">
            <v>9.252294071507988</v>
          </cell>
        </row>
        <row r="14">
          <cell r="CN14">
            <v>0.98976221613828919</v>
          </cell>
        </row>
        <row r="15">
          <cell r="CN15">
            <v>35.930254503441162</v>
          </cell>
        </row>
        <row r="16">
          <cell r="CN16">
            <v>6.233493172584318E-3</v>
          </cell>
        </row>
        <row r="17">
          <cell r="CN17">
            <v>0</v>
          </cell>
        </row>
        <row r="18">
          <cell r="CN18">
            <v>159.46107741165795</v>
          </cell>
        </row>
        <row r="19">
          <cell r="CN19">
            <v>3.652707586047581E-3</v>
          </cell>
        </row>
        <row r="225">
          <cell r="CN225">
            <v>62.797395825055858</v>
          </cell>
        </row>
        <row r="227">
          <cell r="CN227">
            <v>0</v>
          </cell>
        </row>
        <row r="228">
          <cell r="CN228">
            <v>102.50891547381839</v>
          </cell>
        </row>
        <row r="229">
          <cell r="CN229">
            <v>7.421840719353149</v>
          </cell>
        </row>
        <row r="230">
          <cell r="CN230">
            <v>1.8786919818967757E-2</v>
          </cell>
        </row>
        <row r="231">
          <cell r="CN231">
            <v>5.8653120673121334E-3</v>
          </cell>
        </row>
        <row r="232">
          <cell r="CN232">
            <v>1.6298368520077076E-3</v>
          </cell>
        </row>
        <row r="233">
          <cell r="CN233">
            <v>0.12479246072830691</v>
          </cell>
        </row>
        <row r="234">
          <cell r="CN234">
            <v>3.0351133770769891</v>
          </cell>
        </row>
        <row r="235">
          <cell r="CN235">
            <v>30.365733834740876</v>
          </cell>
        </row>
        <row r="236">
          <cell r="CN236">
            <v>22.985393710636941</v>
          </cell>
        </row>
      </sheetData>
      <sheetData sheetId="2" refreshError="1"/>
      <sheetData sheetId="3" refreshError="1"/>
      <sheetData sheetId="4" refreshError="1">
        <row r="4">
          <cell r="D4" t="str">
            <v>1990</v>
          </cell>
          <cell r="E4" t="str">
            <v>1991</v>
          </cell>
          <cell r="F4" t="str">
            <v>1992</v>
          </cell>
          <cell r="G4" t="str">
            <v>1993</v>
          </cell>
          <cell r="H4" t="str">
            <v>1994</v>
          </cell>
          <cell r="I4" t="str">
            <v>1995</v>
          </cell>
          <cell r="J4" t="str">
            <v>1996</v>
          </cell>
          <cell r="K4" t="str">
            <v>1997</v>
          </cell>
          <cell r="L4" t="str">
            <v>1998</v>
          </cell>
          <cell r="M4" t="str">
            <v>1999</v>
          </cell>
          <cell r="N4" t="str">
            <v>2000</v>
          </cell>
          <cell r="O4" t="str">
            <v>2001</v>
          </cell>
          <cell r="P4" t="str">
            <v>2002</v>
          </cell>
          <cell r="Q4" t="str">
            <v>2003</v>
          </cell>
          <cell r="R4" t="str">
            <v>2004</v>
          </cell>
          <cell r="S4" t="str">
            <v>2005</v>
          </cell>
          <cell r="T4" t="str">
            <v>2006</v>
          </cell>
          <cell r="U4" t="str">
            <v>2007</v>
          </cell>
          <cell r="V4" t="str">
            <v>2008</v>
          </cell>
          <cell r="W4" t="str">
            <v>2009</v>
          </cell>
          <cell r="X4" t="str">
            <v>2010</v>
          </cell>
          <cell r="Y4" t="str">
            <v>2011</v>
          </cell>
          <cell r="Z4" t="str">
            <v>2012</v>
          </cell>
          <cell r="AA4" t="str">
            <v>2013</v>
          </cell>
          <cell r="AB4" t="str">
            <v>2014</v>
          </cell>
          <cell r="AC4">
            <v>2015</v>
          </cell>
          <cell r="AD4">
            <v>2016</v>
          </cell>
          <cell r="AE4">
            <v>2017</v>
          </cell>
        </row>
        <row r="5">
          <cell r="B5" t="str">
            <v>AFG</v>
          </cell>
          <cell r="D5">
            <v>12.310510187095138</v>
          </cell>
          <cell r="E5">
            <v>12.394528828535984</v>
          </cell>
          <cell r="F5">
            <v>11.724149201327558</v>
          </cell>
          <cell r="G5">
            <v>11.783070294501305</v>
          </cell>
          <cell r="H5">
            <v>11.882276609680359</v>
          </cell>
          <cell r="I5">
            <v>12.29373018155772</v>
          </cell>
          <cell r="J5">
            <v>13.587814636796359</v>
          </cell>
          <cell r="K5">
            <v>14.562685570297718</v>
          </cell>
          <cell r="L5">
            <v>15.367615784582618</v>
          </cell>
          <cell r="M5">
            <v>16.27724316165127</v>
          </cell>
          <cell r="N5">
            <v>14.692774779075272</v>
          </cell>
          <cell r="O5">
            <v>13.032311524677393</v>
          </cell>
          <cell r="P5">
            <v>15.05479161649582</v>
          </cell>
          <cell r="Q5">
            <v>15.790438859671141</v>
          </cell>
          <cell r="R5">
            <v>15.510889521606671</v>
          </cell>
          <cell r="S5">
            <v>16.22255742216673</v>
          </cell>
          <cell r="T5">
            <v>16.523408619515063</v>
          </cell>
          <cell r="U5">
            <v>16.781428829343753</v>
          </cell>
          <cell r="V5">
            <v>19.803710391643619</v>
          </cell>
          <cell r="W5">
            <v>21.881174580820417</v>
          </cell>
          <cell r="X5">
            <v>25.460328572019129</v>
          </cell>
          <cell r="Y5">
            <v>26.817515600755577</v>
          </cell>
          <cell r="Z5">
            <v>29.153214444148222</v>
          </cell>
          <cell r="AA5">
            <v>35.812163146176964</v>
          </cell>
          <cell r="AB5">
            <v>30.191897006308736</v>
          </cell>
          <cell r="AC5">
            <v>29.389501718592605</v>
          </cell>
          <cell r="AD5">
            <v>30.12807006644778</v>
          </cell>
          <cell r="AE5">
            <v>31.000598996789314</v>
          </cell>
        </row>
        <row r="6">
          <cell r="B6" t="str">
            <v>ALB</v>
          </cell>
          <cell r="D6">
            <v>11.263980465774198</v>
          </cell>
          <cell r="E6">
            <v>8.5528906871316099</v>
          </cell>
          <cell r="F6">
            <v>6.3092676319470646</v>
          </cell>
          <cell r="G6">
            <v>6.2980650459450898</v>
          </cell>
          <cell r="H6">
            <v>7.3343276053502722</v>
          </cell>
          <cell r="I6">
            <v>6.736892922985847</v>
          </cell>
          <cell r="J6">
            <v>6.4761725210084222</v>
          </cell>
          <cell r="K6">
            <v>5.787533979017331</v>
          </cell>
          <cell r="L6">
            <v>6.0506348628325561</v>
          </cell>
          <cell r="M6">
            <v>7.2741141920318304</v>
          </cell>
          <cell r="N6">
            <v>7.522211018672909</v>
          </cell>
          <cell r="O6">
            <v>8.4037196431750605</v>
          </cell>
          <cell r="P6">
            <v>9.0256753335615105</v>
          </cell>
          <cell r="Q6">
            <v>9.2107805394120312</v>
          </cell>
          <cell r="R6">
            <v>9.4221356223248698</v>
          </cell>
          <cell r="S6">
            <v>9.1199625401870197</v>
          </cell>
          <cell r="T6">
            <v>7.9892607485384604</v>
          </cell>
          <cell r="U6">
            <v>8.1402888582946389</v>
          </cell>
          <cell r="V6">
            <v>7.7557839968886286</v>
          </cell>
          <cell r="W6">
            <v>7.750957032508313</v>
          </cell>
          <cell r="X6">
            <v>8.0480493038892487</v>
          </cell>
          <cell r="Y6">
            <v>8.3444343038768096</v>
          </cell>
          <cell r="Z6">
            <v>8.0302840866216236</v>
          </cell>
          <cell r="AA6">
            <v>7.9643037023456325</v>
          </cell>
          <cell r="AB6">
            <v>8.43817509303795</v>
          </cell>
          <cell r="AC6">
            <v>8.4920826826269646</v>
          </cell>
          <cell r="AD6">
            <v>8.7231748650289376</v>
          </cell>
          <cell r="AE6">
            <v>9.0890090360539499</v>
          </cell>
        </row>
        <row r="7">
          <cell r="B7" t="str">
            <v>DZA</v>
          </cell>
          <cell r="D7">
            <v>150.07118483138342</v>
          </cell>
          <cell r="E7">
            <v>155.07435350168171</v>
          </cell>
          <cell r="F7">
            <v>192.93850998122659</v>
          </cell>
          <cell r="G7">
            <v>188.74533162772957</v>
          </cell>
          <cell r="H7">
            <v>184.12253722489336</v>
          </cell>
          <cell r="I7">
            <v>190.34514447077521</v>
          </cell>
          <cell r="J7">
            <v>185.78932613525362</v>
          </cell>
          <cell r="K7">
            <v>171.41941436708711</v>
          </cell>
          <cell r="L7">
            <v>164.62700608417421</v>
          </cell>
          <cell r="M7">
            <v>166.18912617622209</v>
          </cell>
          <cell r="N7">
            <v>169.18142632993718</v>
          </cell>
          <cell r="O7">
            <v>158.98687810863657</v>
          </cell>
          <cell r="P7">
            <v>160.56947864330235</v>
          </cell>
          <cell r="Q7">
            <v>175.67629572609269</v>
          </cell>
          <cell r="R7">
            <v>171.68972617043971</v>
          </cell>
          <cell r="S7">
            <v>179.19966300238181</v>
          </cell>
          <cell r="T7">
            <v>179.92399450390778</v>
          </cell>
          <cell r="U7">
            <v>179.95663320857435</v>
          </cell>
          <cell r="V7">
            <v>187.32540498973432</v>
          </cell>
          <cell r="W7">
            <v>184.5204866409747</v>
          </cell>
          <cell r="X7">
            <v>188.18985687696838</v>
          </cell>
          <cell r="Y7">
            <v>199.29434413058826</v>
          </cell>
          <cell r="Z7">
            <v>215.23154897592829</v>
          </cell>
          <cell r="AA7">
            <v>218.08787696876175</v>
          </cell>
          <cell r="AB7">
            <v>232.09384807840982</v>
          </cell>
          <cell r="AC7">
            <v>243.2168755047274</v>
          </cell>
          <cell r="AD7">
            <v>245.93333677353499</v>
          </cell>
          <cell r="AE7">
            <v>248.61473222124783</v>
          </cell>
        </row>
        <row r="8">
          <cell r="B8" t="str">
            <v>ASM</v>
          </cell>
          <cell r="D8">
            <v>3.6021097816631202E-2</v>
          </cell>
          <cell r="E8">
            <v>3.6808672298984005E-2</v>
          </cell>
          <cell r="F8">
            <v>3.7596005236416805E-2</v>
          </cell>
          <cell r="G8">
            <v>3.83589755354092E-2</v>
          </cell>
          <cell r="H8">
            <v>3.9116395449279195E-2</v>
          </cell>
          <cell r="I8">
            <v>3.9885828321861765E-2</v>
          </cell>
          <cell r="J8">
            <v>4.0587062055619752E-2</v>
          </cell>
          <cell r="K8">
            <v>4.1279033694389761E-2</v>
          </cell>
          <cell r="L8">
            <v>4.1957810408705595E-2</v>
          </cell>
          <cell r="M8">
            <v>4.95931146862824E-2</v>
          </cell>
          <cell r="N8">
            <v>6.6509435980444412E-2</v>
          </cell>
          <cell r="O8">
            <v>6.9751084629182405E-2</v>
          </cell>
          <cell r="P8">
            <v>7.0005584930028397E-2</v>
          </cell>
          <cell r="Q8">
            <v>7.0396428071244799E-2</v>
          </cell>
          <cell r="R8">
            <v>7.0418600615482801E-2</v>
          </cell>
          <cell r="S8">
            <v>7.035344747743881E-2</v>
          </cell>
          <cell r="T8">
            <v>7.2729598799494394E-2</v>
          </cell>
          <cell r="U8">
            <v>7.76031528594784E-2</v>
          </cell>
          <cell r="V8">
            <v>8.5830477243462405E-2</v>
          </cell>
          <cell r="W8">
            <v>7.4683218019756414E-2</v>
          </cell>
          <cell r="X8">
            <v>7.5920903364824405E-2</v>
          </cell>
          <cell r="Y8">
            <v>6.5356863593754394E-2</v>
          </cell>
          <cell r="Z8">
            <v>6.5262167614032404E-2</v>
          </cell>
          <cell r="AA8">
            <v>6.3999625457327985E-2</v>
          </cell>
          <cell r="AB8">
            <v>6.2740019513915654E-2</v>
          </cell>
          <cell r="AC8">
            <v>6.1480454286451117E-2</v>
          </cell>
          <cell r="AD8">
            <v>6.0221511597000746E-2</v>
          </cell>
          <cell r="AE8">
            <v>5.89625748070811E-2</v>
          </cell>
        </row>
        <row r="9">
          <cell r="B9" t="str">
            <v>AND</v>
          </cell>
          <cell r="D9">
            <v>-1.94556E-2</v>
          </cell>
          <cell r="E9">
            <v>-1.94556E-2</v>
          </cell>
          <cell r="F9">
            <v>-1.94556E-2</v>
          </cell>
          <cell r="G9">
            <v>-1.94556E-2</v>
          </cell>
          <cell r="H9">
            <v>-1.94556E-2</v>
          </cell>
          <cell r="I9">
            <v>-1.94556E-2</v>
          </cell>
          <cell r="J9">
            <v>-1.94556E-2</v>
          </cell>
          <cell r="K9">
            <v>-1.94556E-2</v>
          </cell>
          <cell r="L9">
            <v>-1.94556E-2</v>
          </cell>
          <cell r="M9">
            <v>-1.94556E-2</v>
          </cell>
          <cell r="N9">
            <v>-1.94556E-2</v>
          </cell>
          <cell r="O9">
            <v>-2.8920299999999999E-2</v>
          </cell>
          <cell r="P9">
            <v>-2.8920299999999999E-2</v>
          </cell>
          <cell r="Q9">
            <v>-2.8920299999999999E-2</v>
          </cell>
          <cell r="R9">
            <v>-2.8920299999999999E-2</v>
          </cell>
          <cell r="S9">
            <v>-2.8920299999999999E-2</v>
          </cell>
          <cell r="T9">
            <v>-3.8939999999999995E-2</v>
          </cell>
          <cell r="U9">
            <v>-3.8939999999999995E-2</v>
          </cell>
          <cell r="V9">
            <v>-3.8939999999999995E-2</v>
          </cell>
          <cell r="W9">
            <v>-3.8939999999999995E-2</v>
          </cell>
          <cell r="X9">
            <v>-3.8939999999999995E-2</v>
          </cell>
          <cell r="Y9">
            <v>-2.1750499999999999E-2</v>
          </cell>
          <cell r="Z9">
            <v>-2.1750499999999999E-2</v>
          </cell>
          <cell r="AA9">
            <v>-2.1750499999999999E-2</v>
          </cell>
          <cell r="AB9">
            <v>-2.1750499999999999E-2</v>
          </cell>
          <cell r="AC9">
            <v>-2.1750499999999999E-2</v>
          </cell>
          <cell r="AD9">
            <v>-2.1750499999999999E-2</v>
          </cell>
          <cell r="AE9">
            <v>-2.1750499999999999E-2</v>
          </cell>
        </row>
        <row r="10">
          <cell r="B10" t="str">
            <v>AGO</v>
          </cell>
          <cell r="D10">
            <v>177.77485023649194</v>
          </cell>
          <cell r="E10">
            <v>180.24107285719077</v>
          </cell>
          <cell r="F10">
            <v>182.53667398792948</v>
          </cell>
          <cell r="G10">
            <v>181.65150593454803</v>
          </cell>
          <cell r="H10">
            <v>182.54876277957749</v>
          </cell>
          <cell r="I10">
            <v>188.40158103447129</v>
          </cell>
          <cell r="J10">
            <v>198.52520514139832</v>
          </cell>
          <cell r="K10">
            <v>192.30135871015375</v>
          </cell>
          <cell r="L10">
            <v>206.38217545248773</v>
          </cell>
          <cell r="M10">
            <v>194.44774373579833</v>
          </cell>
          <cell r="N10">
            <v>186.76111149415703</v>
          </cell>
          <cell r="O10">
            <v>166.02823225432431</v>
          </cell>
          <cell r="P10">
            <v>182.2830397570288</v>
          </cell>
          <cell r="Q10">
            <v>190.42764832745075</v>
          </cell>
          <cell r="R10">
            <v>201.09736123129863</v>
          </cell>
          <cell r="S10">
            <v>201.80620379075611</v>
          </cell>
          <cell r="T10">
            <v>171.75105562518672</v>
          </cell>
          <cell r="U10">
            <v>193.86784887688424</v>
          </cell>
          <cell r="V10">
            <v>178.8538324923972</v>
          </cell>
          <cell r="W10">
            <v>180.57889300574709</v>
          </cell>
          <cell r="X10">
            <v>192.05957831148663</v>
          </cell>
          <cell r="Y10">
            <v>222.05434666835561</v>
          </cell>
          <cell r="Z10">
            <v>186.36211927426339</v>
          </cell>
          <cell r="AA10">
            <v>205.282690012464</v>
          </cell>
          <cell r="AB10">
            <v>188.03671326224</v>
          </cell>
          <cell r="AC10">
            <v>196.32510035293146</v>
          </cell>
          <cell r="AD10">
            <v>199.72721235790368</v>
          </cell>
          <cell r="AE10">
            <v>196.97425122249103</v>
          </cell>
        </row>
        <row r="11">
          <cell r="B11" t="str">
            <v>AIA</v>
          </cell>
          <cell r="D11">
            <v>-1.2929537429389605E-2</v>
          </cell>
          <cell r="E11">
            <v>-1.2828586319962414E-2</v>
          </cell>
          <cell r="F11">
            <v>-1.2852118922907965E-2</v>
          </cell>
          <cell r="G11">
            <v>-1.278909839769686E-2</v>
          </cell>
          <cell r="H11">
            <v>-1.248124531319931E-2</v>
          </cell>
          <cell r="I11">
            <v>-1.2313764690246184E-2</v>
          </cell>
          <cell r="J11">
            <v>-1.2269952243936599E-2</v>
          </cell>
          <cell r="K11">
            <v>-1.2291294285333078E-2</v>
          </cell>
          <cell r="L11">
            <v>-1.2311542021699413E-2</v>
          </cell>
          <cell r="M11">
            <v>-1.2312403809836411E-2</v>
          </cell>
          <cell r="N11">
            <v>-1.2183409040390256E-2</v>
          </cell>
          <cell r="O11">
            <v>-7.0744181328783184E-3</v>
          </cell>
          <cell r="P11">
            <v>-6.9758876291022287E-3</v>
          </cell>
          <cell r="Q11">
            <v>-6.8086409538954664E-3</v>
          </cell>
          <cell r="R11">
            <v>-5.8754479719853939E-3</v>
          </cell>
          <cell r="S11">
            <v>-5.7281130471365316E-3</v>
          </cell>
          <cell r="T11">
            <v>5.7158034997939394E-2</v>
          </cell>
          <cell r="U11">
            <v>5.7191524395434262E-2</v>
          </cell>
          <cell r="V11">
            <v>5.7202696161754996E-2</v>
          </cell>
          <cell r="W11">
            <v>5.743900689041373E-2</v>
          </cell>
          <cell r="X11">
            <v>5.755803607212704E-2</v>
          </cell>
          <cell r="Y11">
            <v>8.8948067699706358E-3</v>
          </cell>
          <cell r="Z11">
            <v>8.9380376919366358E-3</v>
          </cell>
          <cell r="AA11">
            <v>9.0172652757776039E-3</v>
          </cell>
          <cell r="AB11">
            <v>9.0971995096185716E-3</v>
          </cell>
          <cell r="AC11">
            <v>9.1771337434595392E-3</v>
          </cell>
          <cell r="AD11">
            <v>9.2570679773005052E-3</v>
          </cell>
          <cell r="AE11">
            <v>9.3370033355305391E-3</v>
          </cell>
        </row>
        <row r="12">
          <cell r="B12" t="str">
            <v>ARG</v>
          </cell>
          <cell r="D12">
            <v>358.67269754033077</v>
          </cell>
          <cell r="E12">
            <v>354.80151893005643</v>
          </cell>
          <cell r="F12">
            <v>358.53087359656104</v>
          </cell>
          <cell r="G12">
            <v>363.04553817859352</v>
          </cell>
          <cell r="H12">
            <v>373.26503320482925</v>
          </cell>
          <cell r="I12">
            <v>363.67877462064644</v>
          </cell>
          <cell r="J12">
            <v>378.15138132747484</v>
          </cell>
          <cell r="K12">
            <v>374.42359230601056</v>
          </cell>
          <cell r="L12">
            <v>375.42530439011745</v>
          </cell>
          <cell r="M12">
            <v>383.78692700186201</v>
          </cell>
          <cell r="N12">
            <v>381.76776967848224</v>
          </cell>
          <cell r="O12">
            <v>395.78552977497236</v>
          </cell>
          <cell r="P12">
            <v>392.5417065006742</v>
          </cell>
          <cell r="Q12">
            <v>416.9792297543114</v>
          </cell>
          <cell r="R12">
            <v>440.86336650554199</v>
          </cell>
          <cell r="S12">
            <v>438.18438526185281</v>
          </cell>
          <cell r="T12">
            <v>473.00409365514014</v>
          </cell>
          <cell r="U12">
            <v>472.50707159893659</v>
          </cell>
          <cell r="V12">
            <v>491.00415112487275</v>
          </cell>
          <cell r="W12">
            <v>466.79254290244296</v>
          </cell>
          <cell r="X12">
            <v>458.36696538893659</v>
          </cell>
          <cell r="Y12">
            <v>458.79667121383113</v>
          </cell>
          <cell r="Z12">
            <v>469.54016122172385</v>
          </cell>
          <cell r="AA12">
            <v>468.54045350068043</v>
          </cell>
          <cell r="AB12">
            <v>478.66979457540447</v>
          </cell>
          <cell r="AC12">
            <v>481.91113347340286</v>
          </cell>
          <cell r="AD12">
            <v>484.19869507883078</v>
          </cell>
          <cell r="AE12">
            <v>482.44157548332566</v>
          </cell>
        </row>
        <row r="13">
          <cell r="B13" t="str">
            <v>ARM</v>
          </cell>
          <cell r="D13">
            <v>23.726312707561686</v>
          </cell>
          <cell r="E13">
            <v>24.337765780491299</v>
          </cell>
          <cell r="F13">
            <v>13.693363350303207</v>
          </cell>
          <cell r="G13">
            <v>7.5350097067537414</v>
          </cell>
          <cell r="H13">
            <v>5.1819723719867312</v>
          </cell>
          <cell r="I13">
            <v>5.8543877719622381</v>
          </cell>
          <cell r="J13">
            <v>4.9494354116169488</v>
          </cell>
          <cell r="K13">
            <v>5.6938260846557389</v>
          </cell>
          <cell r="L13">
            <v>5.7543257524892333</v>
          </cell>
          <cell r="M13">
            <v>5.3996428308323443</v>
          </cell>
          <cell r="N13">
            <v>5.8877798701930653</v>
          </cell>
          <cell r="O13">
            <v>5.9865902063603267</v>
          </cell>
          <cell r="P13">
            <v>5.5683561020600747</v>
          </cell>
          <cell r="Q13">
            <v>6.0756729856394891</v>
          </cell>
          <cell r="R13">
            <v>6.6189901777626972</v>
          </cell>
          <cell r="S13">
            <v>7.5015890898339004</v>
          </cell>
          <cell r="T13">
            <v>7.6725805303483012</v>
          </cell>
          <cell r="U13">
            <v>8.6215751261178024</v>
          </cell>
          <cell r="V13">
            <v>9.2055904361769727</v>
          </cell>
          <cell r="W13">
            <v>8.0212022755553747</v>
          </cell>
          <cell r="X13">
            <v>7.8565219143489307</v>
          </cell>
          <cell r="Y13">
            <v>8.2813739947160467</v>
          </cell>
          <cell r="Z13">
            <v>9.1871649772515234</v>
          </cell>
          <cell r="AA13">
            <v>9.1399247964381747</v>
          </cell>
          <cell r="AB13">
            <v>9.1863862585860048</v>
          </cell>
          <cell r="AC13">
            <v>8.8247346189055449</v>
          </cell>
          <cell r="AD13">
            <v>9.0467900095145062</v>
          </cell>
          <cell r="AE13">
            <v>8.9666596667667822</v>
          </cell>
        </row>
        <row r="14">
          <cell r="B14" t="str">
            <v>ABW</v>
          </cell>
          <cell r="D14">
            <v>0.32523329523979461</v>
          </cell>
          <cell r="E14">
            <v>0.38422426283746353</v>
          </cell>
          <cell r="F14">
            <v>0.38812604616796237</v>
          </cell>
          <cell r="G14">
            <v>0.4096487758669034</v>
          </cell>
          <cell r="H14">
            <v>0.40755884687656441</v>
          </cell>
          <cell r="I14">
            <v>0.47852328118659021</v>
          </cell>
          <cell r="J14">
            <v>0.3264372662801206</v>
          </cell>
          <cell r="K14">
            <v>0.4890900299187993</v>
          </cell>
          <cell r="L14">
            <v>0.48419835904468145</v>
          </cell>
          <cell r="M14">
            <v>0.50568813693303671</v>
          </cell>
          <cell r="N14">
            <v>0.48898948632969441</v>
          </cell>
          <cell r="O14">
            <v>0.52541036414242082</v>
          </cell>
          <cell r="P14">
            <v>0.52196395810190022</v>
          </cell>
          <cell r="Q14">
            <v>0.52199361692818103</v>
          </cell>
          <cell r="R14">
            <v>0.57148117050581171</v>
          </cell>
          <cell r="S14">
            <v>0.50908718937148112</v>
          </cell>
          <cell r="T14">
            <v>0.52943429969111766</v>
          </cell>
          <cell r="U14">
            <v>0.48531741868407857</v>
          </cell>
          <cell r="V14">
            <v>0.49363490924182596</v>
          </cell>
          <cell r="W14">
            <v>0.51591566576958792</v>
          </cell>
          <cell r="X14">
            <v>0.54647905043133005</v>
          </cell>
          <cell r="Y14">
            <v>0.50391652457188207</v>
          </cell>
          <cell r="Z14">
            <v>0.92259152677003409</v>
          </cell>
          <cell r="AA14">
            <v>1.1546741911628504</v>
          </cell>
          <cell r="AB14">
            <v>1.0913637256515432</v>
          </cell>
          <cell r="AC14">
            <v>1.0928932043211679</v>
          </cell>
          <cell r="AD14">
            <v>1.0932513695937498</v>
          </cell>
          <cell r="AE14">
            <v>1.0936095348663319</v>
          </cell>
        </row>
        <row r="15">
          <cell r="B15" t="str">
            <v>AUS</v>
          </cell>
          <cell r="D15">
            <v>502.71836344183902</v>
          </cell>
          <cell r="E15">
            <v>504.77015374901072</v>
          </cell>
          <cell r="F15">
            <v>504.99172238862405</v>
          </cell>
          <cell r="G15">
            <v>507.34862239480998</v>
          </cell>
          <cell r="H15">
            <v>512.41660539987356</v>
          </cell>
          <cell r="I15">
            <v>521.59958357562834</v>
          </cell>
          <cell r="J15">
            <v>524.91682264593567</v>
          </cell>
          <cell r="K15">
            <v>536.5436325893487</v>
          </cell>
          <cell r="L15">
            <v>564.29742563961827</v>
          </cell>
          <cell r="M15">
            <v>604.23645101979218</v>
          </cell>
          <cell r="N15">
            <v>624.88877495024815</v>
          </cell>
          <cell r="O15">
            <v>682.76324606637706</v>
          </cell>
          <cell r="P15">
            <v>682.38584014474463</v>
          </cell>
          <cell r="Q15">
            <v>630.06528859443085</v>
          </cell>
          <cell r="R15">
            <v>667.82152471353413</v>
          </cell>
          <cell r="S15">
            <v>642.62665317259757</v>
          </cell>
          <cell r="T15">
            <v>644.71124535744059</v>
          </cell>
          <cell r="U15">
            <v>639.00664628431196</v>
          </cell>
          <cell r="V15">
            <v>614.45383417021833</v>
          </cell>
          <cell r="W15">
            <v>630.29656355118118</v>
          </cell>
          <cell r="X15">
            <v>603.01059206089792</v>
          </cell>
          <cell r="Y15">
            <v>621.43429153472709</v>
          </cell>
          <cell r="Z15">
            <v>624.61346774078572</v>
          </cell>
          <cell r="AA15">
            <v>556.85134767228487</v>
          </cell>
          <cell r="AB15">
            <v>564.45244574096193</v>
          </cell>
          <cell r="AC15">
            <v>568.63720790661068</v>
          </cell>
          <cell r="AD15">
            <v>561.18165891412173</v>
          </cell>
          <cell r="AE15">
            <v>560.88409925514657</v>
          </cell>
        </row>
        <row r="16">
          <cell r="B16" t="str">
            <v>AUT</v>
          </cell>
          <cell r="D16">
            <v>70.419243536273228</v>
          </cell>
          <cell r="E16">
            <v>73.745519928305413</v>
          </cell>
          <cell r="F16">
            <v>67.889838270260086</v>
          </cell>
          <cell r="G16">
            <v>67.882054918428523</v>
          </cell>
          <cell r="H16">
            <v>68.110280480593872</v>
          </cell>
          <cell r="I16">
            <v>71.273733582281366</v>
          </cell>
          <cell r="J16">
            <v>75.27749169337595</v>
          </cell>
          <cell r="K16">
            <v>74.62318179626908</v>
          </cell>
          <cell r="L16">
            <v>74.855155109962595</v>
          </cell>
          <cell r="M16">
            <v>72.990162551060251</v>
          </cell>
          <cell r="N16">
            <v>73.549952604804105</v>
          </cell>
          <cell r="O16">
            <v>83.162211978325644</v>
          </cell>
          <cell r="P16">
            <v>84.697755430991407</v>
          </cell>
          <cell r="Q16">
            <v>89.975278472975688</v>
          </cell>
          <cell r="R16">
            <v>90.447748080051895</v>
          </cell>
          <cell r="S16">
            <v>91.048427266877269</v>
          </cell>
          <cell r="T16">
            <v>91.983824454954501</v>
          </cell>
          <cell r="U16">
            <v>89.759540734631145</v>
          </cell>
          <cell r="V16">
            <v>90.145291915334994</v>
          </cell>
          <cell r="W16">
            <v>84.88872695678846</v>
          </cell>
          <cell r="X16">
            <v>89.035608525529852</v>
          </cell>
          <cell r="Y16">
            <v>86.532923440606481</v>
          </cell>
          <cell r="Z16">
            <v>83.797668059682607</v>
          </cell>
          <cell r="AA16">
            <v>84.6587820096819</v>
          </cell>
          <cell r="AB16">
            <v>81.391185506251119</v>
          </cell>
          <cell r="AC16">
            <v>83.151382543278757</v>
          </cell>
          <cell r="AD16">
            <v>83.674707496481744</v>
          </cell>
          <cell r="AE16">
            <v>86.367280892689593</v>
          </cell>
        </row>
        <row r="17">
          <cell r="B17" t="str">
            <v>AZE</v>
          </cell>
          <cell r="D17">
            <v>85.662801438523942</v>
          </cell>
          <cell r="E17">
            <v>82.209371434340866</v>
          </cell>
          <cell r="F17">
            <v>65.282796992873685</v>
          </cell>
          <cell r="G17">
            <v>49.053094058594041</v>
          </cell>
          <cell r="H17">
            <v>43.085985340466259</v>
          </cell>
          <cell r="I17">
            <v>41.934690366776046</v>
          </cell>
          <cell r="J17">
            <v>36.489088433077583</v>
          </cell>
          <cell r="K17">
            <v>36.054956598767248</v>
          </cell>
          <cell r="L17">
            <v>36.505039024999043</v>
          </cell>
          <cell r="M17">
            <v>37.042831898504865</v>
          </cell>
          <cell r="N17">
            <v>38.725647562166472</v>
          </cell>
          <cell r="O17">
            <v>38.031513658224668</v>
          </cell>
          <cell r="P17">
            <v>37.927386238565667</v>
          </cell>
          <cell r="Q17">
            <v>41.054464015688133</v>
          </cell>
          <cell r="R17">
            <v>41.083048804229122</v>
          </cell>
          <cell r="S17">
            <v>43.991753085285396</v>
          </cell>
          <cell r="T17">
            <v>38.985825626681702</v>
          </cell>
          <cell r="U17">
            <v>38.208123973788489</v>
          </cell>
          <cell r="V17">
            <v>44.849207755040766</v>
          </cell>
          <cell r="W17">
            <v>39.26811582903882</v>
          </cell>
          <cell r="X17">
            <v>38.053179604675535</v>
          </cell>
          <cell r="Y17">
            <v>40.563301115849299</v>
          </cell>
          <cell r="Z17">
            <v>43.873817755109563</v>
          </cell>
          <cell r="AA17">
            <v>45.560110723155915</v>
          </cell>
          <cell r="AB17">
            <v>46.922892775002374</v>
          </cell>
          <cell r="AC17">
            <v>46.396035125225985</v>
          </cell>
          <cell r="AD17">
            <v>47.45371806203498</v>
          </cell>
          <cell r="AE17">
            <v>45.596151814891499</v>
          </cell>
        </row>
        <row r="18">
          <cell r="B18" t="str">
            <v>BHS</v>
          </cell>
          <cell r="D18">
            <v>0.36234350443948649</v>
          </cell>
          <cell r="E18">
            <v>0.3042471145669543</v>
          </cell>
          <cell r="F18">
            <v>7.383331672605431E-2</v>
          </cell>
          <cell r="G18">
            <v>8.9452678664269758E-2</v>
          </cell>
          <cell r="H18">
            <v>0.19365826364866656</v>
          </cell>
          <cell r="I18">
            <v>0.45270238275549923</v>
          </cell>
          <cell r="J18">
            <v>0.66796159301109825</v>
          </cell>
          <cell r="K18">
            <v>0.57710520276826505</v>
          </cell>
          <cell r="L18">
            <v>0.78131708603495009</v>
          </cell>
          <cell r="M18">
            <v>0.64877672199534797</v>
          </cell>
          <cell r="N18">
            <v>0.54210876967836419</v>
          </cell>
          <cell r="O18">
            <v>0.95468625029559795</v>
          </cell>
          <cell r="P18">
            <v>0.94218611696854826</v>
          </cell>
          <cell r="Q18">
            <v>1.2544890600560894</v>
          </cell>
          <cell r="R18">
            <v>1.4890807031898801</v>
          </cell>
          <cell r="S18">
            <v>1.4662605374930435</v>
          </cell>
          <cell r="T18">
            <v>7.2466457848850379</v>
          </cell>
          <cell r="U18">
            <v>7.2241124276847399</v>
          </cell>
          <cell r="V18">
            <v>6.7768110039264258</v>
          </cell>
          <cell r="W18">
            <v>6.9136376688130934</v>
          </cell>
          <cell r="X18">
            <v>6.9767048325482488</v>
          </cell>
          <cell r="Y18">
            <v>2.6007165698119112</v>
          </cell>
          <cell r="Z18">
            <v>4.0268914855862601</v>
          </cell>
          <cell r="AA18">
            <v>4.5177960736289657</v>
          </cell>
          <cell r="AB18">
            <v>4.1522501705938355</v>
          </cell>
          <cell r="AC18">
            <v>4.0146614787472936</v>
          </cell>
          <cell r="AD18">
            <v>4.0269730134764075</v>
          </cell>
          <cell r="AE18">
            <v>4.0399526564616579</v>
          </cell>
        </row>
        <row r="19">
          <cell r="B19" t="str">
            <v>BHR</v>
          </cell>
          <cell r="D19">
            <v>17.379392090630798</v>
          </cell>
          <cell r="E19">
            <v>14.236584602803131</v>
          </cell>
          <cell r="F19">
            <v>16.513482733388958</v>
          </cell>
          <cell r="G19">
            <v>17.859703698537778</v>
          </cell>
          <cell r="H19">
            <v>17.950180617547836</v>
          </cell>
          <cell r="I19">
            <v>18.180370303355843</v>
          </cell>
          <cell r="J19">
            <v>18.835022645870573</v>
          </cell>
          <cell r="K19">
            <v>19.388941279760076</v>
          </cell>
          <cell r="L19">
            <v>20.500320643271923</v>
          </cell>
          <cell r="M19">
            <v>20.603127325680848</v>
          </cell>
          <cell r="N19">
            <v>21.07068734813371</v>
          </cell>
          <cell r="O19">
            <v>21.786640523006934</v>
          </cell>
          <cell r="P19">
            <v>22.720191921606482</v>
          </cell>
          <cell r="Q19">
            <v>23.486457333646083</v>
          </cell>
          <cell r="R19">
            <v>24.122928599589585</v>
          </cell>
          <cell r="S19">
            <v>28.087455978879689</v>
          </cell>
          <cell r="T19">
            <v>30.366766812030853</v>
          </cell>
          <cell r="U19">
            <v>30.976181920617883</v>
          </cell>
          <cell r="V19">
            <v>33.069286716504571</v>
          </cell>
          <cell r="W19">
            <v>33.105568290300631</v>
          </cell>
          <cell r="X19">
            <v>34.468442865488804</v>
          </cell>
          <cell r="Y19">
            <v>34.687352860263786</v>
          </cell>
          <cell r="Z19">
            <v>35.280003111758781</v>
          </cell>
          <cell r="AA19">
            <v>37.799884902322724</v>
          </cell>
          <cell r="AB19">
            <v>39.544341616369991</v>
          </cell>
          <cell r="AC19">
            <v>39.927863609169307</v>
          </cell>
          <cell r="AD19">
            <v>41.733775504015391</v>
          </cell>
          <cell r="AE19">
            <v>42.095791337996424</v>
          </cell>
        </row>
        <row r="20">
          <cell r="B20" t="str">
            <v>BGD</v>
          </cell>
          <cell r="D20">
            <v>159.33036847486505</v>
          </cell>
          <cell r="E20">
            <v>157.80055555240318</v>
          </cell>
          <cell r="F20">
            <v>159.7460095769014</v>
          </cell>
          <cell r="G20">
            <v>159.32268685214416</v>
          </cell>
          <cell r="H20">
            <v>161.36506193275113</v>
          </cell>
          <cell r="I20">
            <v>166.5515541690188</v>
          </cell>
          <cell r="J20">
            <v>167.6472420048791</v>
          </cell>
          <cell r="K20">
            <v>169.25191422159173</v>
          </cell>
          <cell r="L20">
            <v>168.36503843581852</v>
          </cell>
          <cell r="M20">
            <v>174.37938353951563</v>
          </cell>
          <cell r="N20">
            <v>176.91254846090305</v>
          </cell>
          <cell r="O20">
            <v>182.10929851185176</v>
          </cell>
          <cell r="P20">
            <v>185.91222633243328</v>
          </cell>
          <cell r="Q20">
            <v>188.80443193799263</v>
          </cell>
          <cell r="R20">
            <v>190.34598112945923</v>
          </cell>
          <cell r="S20">
            <v>196.00086402242863</v>
          </cell>
          <cell r="T20">
            <v>191.27662024281159</v>
          </cell>
          <cell r="U20">
            <v>196.29587515300972</v>
          </cell>
          <cell r="V20">
            <v>206.87183433303002</v>
          </cell>
          <cell r="W20">
            <v>211.40708208859428</v>
          </cell>
          <cell r="X20">
            <v>219.99055770393261</v>
          </cell>
          <cell r="Y20">
            <v>234.29155511413489</v>
          </cell>
          <cell r="Z20">
            <v>236.81484160074621</v>
          </cell>
          <cell r="AA20">
            <v>240.57022337072442</v>
          </cell>
          <cell r="AB20">
            <v>245.64796793076252</v>
          </cell>
          <cell r="AC20">
            <v>255.7224273798823</v>
          </cell>
          <cell r="AD20">
            <v>258.67298479087088</v>
          </cell>
          <cell r="AE20">
            <v>265.39506928406576</v>
          </cell>
        </row>
        <row r="21">
          <cell r="B21" t="str">
            <v>BRB</v>
          </cell>
          <cell r="D21">
            <v>0.96057980779969798</v>
          </cell>
          <cell r="E21">
            <v>1.0014854691531678</v>
          </cell>
          <cell r="F21">
            <v>0.96900162128905609</v>
          </cell>
          <cell r="G21">
            <v>0.93018161748225814</v>
          </cell>
          <cell r="H21">
            <v>0.88623002230706616</v>
          </cell>
          <cell r="I21">
            <v>0.88730717186710428</v>
          </cell>
          <cell r="J21">
            <v>0.84483039390256187</v>
          </cell>
          <cell r="K21">
            <v>0.97127630100031315</v>
          </cell>
          <cell r="L21">
            <v>1.0562854154779719</v>
          </cell>
          <cell r="M21">
            <v>1.1038616136022961</v>
          </cell>
          <cell r="N21">
            <v>1.8309195987571771</v>
          </cell>
          <cell r="O21">
            <v>2.3291876631898401</v>
          </cell>
          <cell r="P21">
            <v>2.3212531779316197</v>
          </cell>
          <cell r="Q21">
            <v>2.5168732049160591</v>
          </cell>
          <cell r="R21">
            <v>2.1876634274264082</v>
          </cell>
          <cell r="S21">
            <v>2.3166546130929984</v>
          </cell>
          <cell r="T21">
            <v>2.3904832315079965</v>
          </cell>
          <cell r="U21">
            <v>2.3924538930317443</v>
          </cell>
          <cell r="V21">
            <v>2.4885536456681505</v>
          </cell>
          <cell r="W21">
            <v>2.5429181697580181</v>
          </cell>
          <cell r="X21">
            <v>1.005492864189836</v>
          </cell>
          <cell r="Y21">
            <v>0.98756630649699417</v>
          </cell>
          <cell r="Z21">
            <v>1.6117280833420542</v>
          </cell>
          <cell r="AA21">
            <v>1.9209819211492878</v>
          </cell>
          <cell r="AB21">
            <v>1.8166262294713296</v>
          </cell>
          <cell r="AC21">
            <v>1.922518979414112</v>
          </cell>
          <cell r="AD21">
            <v>1.9235428526378995</v>
          </cell>
          <cell r="AE21">
            <v>1.9304346401196451</v>
          </cell>
        </row>
        <row r="22">
          <cell r="B22" t="str">
            <v>BLR</v>
          </cell>
          <cell r="D22">
            <v>143.73151913656062</v>
          </cell>
          <cell r="E22">
            <v>137.49633201914921</v>
          </cell>
          <cell r="F22">
            <v>115.75423974692818</v>
          </cell>
          <cell r="G22">
            <v>101.14564899645478</v>
          </cell>
          <cell r="H22">
            <v>86.641849133177402</v>
          </cell>
          <cell r="I22">
            <v>77.94532772566437</v>
          </cell>
          <cell r="J22">
            <v>78.59365441636983</v>
          </cell>
          <cell r="K22">
            <v>78.607499037929401</v>
          </cell>
          <cell r="L22">
            <v>76.790834577671077</v>
          </cell>
          <cell r="M22">
            <v>74.544855189602629</v>
          </cell>
          <cell r="N22">
            <v>71.511686753449197</v>
          </cell>
          <cell r="O22">
            <v>61.87391724050849</v>
          </cell>
          <cell r="P22">
            <v>66.309447710459395</v>
          </cell>
          <cell r="Q22">
            <v>63.376686246760215</v>
          </cell>
          <cell r="R22">
            <v>67.629993741109217</v>
          </cell>
          <cell r="S22">
            <v>69.867427300030386</v>
          </cell>
          <cell r="T22">
            <v>65.586594368420108</v>
          </cell>
          <cell r="U22">
            <v>64.805132391143971</v>
          </cell>
          <cell r="V22">
            <v>69.01662179753211</v>
          </cell>
          <cell r="W22">
            <v>67.229312090059807</v>
          </cell>
          <cell r="X22">
            <v>71.621052217766504</v>
          </cell>
          <cell r="Y22">
            <v>95.351904673581785</v>
          </cell>
          <cell r="Z22">
            <v>96.281220928188702</v>
          </cell>
          <cell r="AA22">
            <v>97.216234626763821</v>
          </cell>
          <cell r="AB22">
            <v>96.438521782313657</v>
          </cell>
          <cell r="AC22">
            <v>91.839343646062389</v>
          </cell>
          <cell r="AD22">
            <v>92.137899897366552</v>
          </cell>
          <cell r="AE22">
            <v>93.617322072714956</v>
          </cell>
        </row>
        <row r="23">
          <cell r="B23" t="str">
            <v>BEL</v>
          </cell>
          <cell r="D23">
            <v>138.38810653935064</v>
          </cell>
          <cell r="E23">
            <v>142.50635452308444</v>
          </cell>
          <cell r="F23">
            <v>140.05870741020135</v>
          </cell>
          <cell r="G23">
            <v>138.15234958922525</v>
          </cell>
          <cell r="H23">
            <v>144.37891575538501</v>
          </cell>
          <cell r="I23">
            <v>146.29903871172093</v>
          </cell>
          <cell r="J23">
            <v>151.47756900761084</v>
          </cell>
          <cell r="K23">
            <v>147.94116804797281</v>
          </cell>
          <cell r="L23">
            <v>151.25992095980843</v>
          </cell>
          <cell r="M23">
            <v>147.50226839506109</v>
          </cell>
          <cell r="N23">
            <v>149.30815019306854</v>
          </cell>
          <cell r="O23">
            <v>149.14838257528348</v>
          </cell>
          <cell r="P23">
            <v>142.32817429629065</v>
          </cell>
          <cell r="Q23">
            <v>146.87217661338434</v>
          </cell>
          <cell r="R23">
            <v>146.5541789651686</v>
          </cell>
          <cell r="S23">
            <v>142.91263682066287</v>
          </cell>
          <cell r="T23">
            <v>142.40652167675825</v>
          </cell>
          <cell r="U23">
            <v>139.13950194903632</v>
          </cell>
          <cell r="V23">
            <v>138.86258906400397</v>
          </cell>
          <cell r="W23">
            <v>131.52098323635309</v>
          </cell>
          <cell r="X23">
            <v>139.8971201600952</v>
          </cell>
          <cell r="Y23">
            <v>128.33528654902389</v>
          </cell>
          <cell r="Z23">
            <v>126.94897436685579</v>
          </cell>
          <cell r="AA23">
            <v>128.376617906717</v>
          </cell>
          <cell r="AB23">
            <v>122.39660862103045</v>
          </cell>
          <cell r="AC23">
            <v>127.37426798209552</v>
          </cell>
          <cell r="AD23">
            <v>127.66725549732232</v>
          </cell>
          <cell r="AE23">
            <v>127.79605115980587</v>
          </cell>
        </row>
        <row r="24">
          <cell r="B24" t="str">
            <v>BLZ</v>
          </cell>
          <cell r="D24">
            <v>5.7057071876432159</v>
          </cell>
          <cell r="E24">
            <v>5.7190610347052813</v>
          </cell>
          <cell r="F24">
            <v>5.6982648878061886</v>
          </cell>
          <cell r="G24">
            <v>5.6727451748242377</v>
          </cell>
          <cell r="H24">
            <v>5.6671636691665697</v>
          </cell>
          <cell r="I24">
            <v>5.672828454128628</v>
          </cell>
          <cell r="J24">
            <v>5.6500603989343592</v>
          </cell>
          <cell r="K24">
            <v>5.490594967630571</v>
          </cell>
          <cell r="L24">
            <v>5.8108488324300076</v>
          </cell>
          <cell r="M24">
            <v>5.7258058761676169</v>
          </cell>
          <cell r="N24">
            <v>5.8023670286788125</v>
          </cell>
          <cell r="O24">
            <v>6.6462499897670693</v>
          </cell>
          <cell r="P24">
            <v>6.470426743279468</v>
          </cell>
          <cell r="Q24">
            <v>7.8853281150653238</v>
          </cell>
          <cell r="R24">
            <v>6.6350392482792513</v>
          </cell>
          <cell r="S24">
            <v>7.8093487184157926</v>
          </cell>
          <cell r="T24">
            <v>6.1716284761789337</v>
          </cell>
          <cell r="U24">
            <v>7.2123830631572519</v>
          </cell>
          <cell r="V24">
            <v>6.7172219363274426</v>
          </cell>
          <cell r="W24">
            <v>5.9819018436237936</v>
          </cell>
          <cell r="X24">
            <v>5.7586258229017524</v>
          </cell>
          <cell r="Y24">
            <v>3.148629278331188</v>
          </cell>
          <cell r="Z24">
            <v>3.0051204586261711</v>
          </cell>
          <cell r="AA24">
            <v>4.6787545576531837</v>
          </cell>
          <cell r="AB24">
            <v>3.1339731775441497</v>
          </cell>
          <cell r="AC24">
            <v>3.1842574272470312</v>
          </cell>
          <cell r="AD24">
            <v>3.2248933390783452</v>
          </cell>
          <cell r="AE24">
            <v>3.2490364650227681</v>
          </cell>
        </row>
        <row r="25">
          <cell r="B25" t="str">
            <v>BEN</v>
          </cell>
          <cell r="D25">
            <v>20.73988629979916</v>
          </cell>
          <cell r="E25">
            <v>20.777126093846139</v>
          </cell>
          <cell r="F25">
            <v>20.907355468377599</v>
          </cell>
          <cell r="G25">
            <v>20.994404249983539</v>
          </cell>
          <cell r="H25">
            <v>21.284138055597261</v>
          </cell>
          <cell r="I25">
            <v>21.162452507535782</v>
          </cell>
          <cell r="J25">
            <v>22.136850206105912</v>
          </cell>
          <cell r="K25">
            <v>22.567275884422543</v>
          </cell>
          <cell r="L25">
            <v>23.532182579735991</v>
          </cell>
          <cell r="M25">
            <v>23.463291390778807</v>
          </cell>
          <cell r="N25">
            <v>23.609224213881625</v>
          </cell>
          <cell r="O25">
            <v>19.043857208055236</v>
          </cell>
          <cell r="P25">
            <v>20.442064768997376</v>
          </cell>
          <cell r="Q25">
            <v>20.268534451422468</v>
          </cell>
          <cell r="R25">
            <v>20.324595214903969</v>
          </cell>
          <cell r="S25">
            <v>21.788918205641011</v>
          </cell>
          <cell r="T25">
            <v>22.19927274337239</v>
          </cell>
          <cell r="U25">
            <v>22.918090647989072</v>
          </cell>
          <cell r="V25">
            <v>22.80705893619789</v>
          </cell>
          <cell r="W25">
            <v>23.110229423725432</v>
          </cell>
          <cell r="X25">
            <v>23.572535480960582</v>
          </cell>
          <cell r="Y25">
            <v>23.669306894935016</v>
          </cell>
          <cell r="Z25">
            <v>23.286372977914546</v>
          </cell>
          <cell r="AA25">
            <v>24.166932279769931</v>
          </cell>
          <cell r="AB25">
            <v>24.746289466979427</v>
          </cell>
          <cell r="AC25">
            <v>25.80884291740756</v>
          </cell>
          <cell r="AD25">
            <v>26.933280638696793</v>
          </cell>
          <cell r="AE25">
            <v>27.828884927165987</v>
          </cell>
        </row>
        <row r="26">
          <cell r="B26" t="str">
            <v>BMU</v>
          </cell>
          <cell r="D26">
            <v>0.37145628119986057</v>
          </cell>
          <cell r="E26">
            <v>0.35262673000735301</v>
          </cell>
          <cell r="F26">
            <v>0.27264258280324183</v>
          </cell>
          <cell r="G26">
            <v>0.29871514717202985</v>
          </cell>
          <cell r="H26">
            <v>0.29608382658765003</v>
          </cell>
          <cell r="I26">
            <v>0.29349982231864907</v>
          </cell>
          <cell r="J26">
            <v>0.33386444004107013</v>
          </cell>
          <cell r="K26">
            <v>0.31721736760018532</v>
          </cell>
          <cell r="L26">
            <v>0.31334661028238248</v>
          </cell>
          <cell r="M26">
            <v>0.32715295772694625</v>
          </cell>
          <cell r="N26">
            <v>0.31649942561134925</v>
          </cell>
          <cell r="O26">
            <v>0.28317430941295008</v>
          </cell>
          <cell r="P26">
            <v>0.3155393628010516</v>
          </cell>
          <cell r="Q26">
            <v>0.31552870562456908</v>
          </cell>
          <cell r="R26">
            <v>0.35988350640317057</v>
          </cell>
          <cell r="S26">
            <v>0.32262166065835579</v>
          </cell>
          <cell r="T26">
            <v>0.31422218308759142</v>
          </cell>
          <cell r="U26">
            <v>0.41420628659501152</v>
          </cell>
          <cell r="V26">
            <v>0.29488357774149199</v>
          </cell>
          <cell r="W26">
            <v>0.37350547390205374</v>
          </cell>
          <cell r="X26">
            <v>0.39426284139194739</v>
          </cell>
          <cell r="Y26">
            <v>0.39544735329016822</v>
          </cell>
          <cell r="Z26">
            <v>0.71749936471555398</v>
          </cell>
          <cell r="AA26">
            <v>0.45915795486569172</v>
          </cell>
          <cell r="AB26">
            <v>0.4534250262182824</v>
          </cell>
          <cell r="AC26">
            <v>0.51096047976102132</v>
          </cell>
          <cell r="AD26">
            <v>0.51223439792315095</v>
          </cell>
          <cell r="AE26">
            <v>0.51352639715681347</v>
          </cell>
        </row>
        <row r="27">
          <cell r="B27" t="str">
            <v>BTN</v>
          </cell>
          <cell r="D27">
            <v>-3.0087437743137881</v>
          </cell>
          <cell r="E27">
            <v>-3.0228190658769498</v>
          </cell>
          <cell r="F27">
            <v>-3.0526517179236374</v>
          </cell>
          <cell r="G27">
            <v>-3.0658337716570347</v>
          </cell>
          <cell r="H27">
            <v>-2.9846165794181165</v>
          </cell>
          <cell r="I27">
            <v>-2.7615682478063235</v>
          </cell>
          <cell r="J27">
            <v>-2.6964750063242144</v>
          </cell>
          <cell r="K27">
            <v>-2.6714771354018261</v>
          </cell>
          <cell r="L27">
            <v>-2.6324424873426775</v>
          </cell>
          <cell r="M27">
            <v>-2.4679983790483577</v>
          </cell>
          <cell r="N27">
            <v>-2.785655445743056</v>
          </cell>
          <cell r="O27">
            <v>-3.1339931770679064</v>
          </cell>
          <cell r="P27">
            <v>-2.993689895019668</v>
          </cell>
          <cell r="Q27">
            <v>-3.1544996962081244</v>
          </cell>
          <cell r="R27">
            <v>-3.1202647142967397</v>
          </cell>
          <cell r="S27">
            <v>-2.84824086425402</v>
          </cell>
          <cell r="T27">
            <v>-1.3586731657503996</v>
          </cell>
          <cell r="U27">
            <v>-1.3135766180621888</v>
          </cell>
          <cell r="V27">
            <v>-1.2204614707013299</v>
          </cell>
          <cell r="W27">
            <v>-0.75272012336069016</v>
          </cell>
          <cell r="X27">
            <v>-0.59703528799356986</v>
          </cell>
          <cell r="Y27">
            <v>-1.2459014702829898</v>
          </cell>
          <cell r="Z27">
            <v>-0.80622470301668869</v>
          </cell>
          <cell r="AA27">
            <v>-1.5133698209134621</v>
          </cell>
          <cell r="AB27">
            <v>-1.5041934936061248</v>
          </cell>
          <cell r="AC27">
            <v>-1.5728549838447843</v>
          </cell>
          <cell r="AD27">
            <v>-1.4566852433948019</v>
          </cell>
          <cell r="AE27">
            <v>-1.3549330196560585</v>
          </cell>
        </row>
        <row r="28">
          <cell r="B28" t="str">
            <v>BOL</v>
          </cell>
          <cell r="D28">
            <v>110.4788740905768</v>
          </cell>
          <cell r="E28">
            <v>111.92526847098969</v>
          </cell>
          <cell r="F28">
            <v>113.95191415615996</v>
          </cell>
          <cell r="G28">
            <v>120.19138952350971</v>
          </cell>
          <cell r="H28">
            <v>120.94919638758697</v>
          </cell>
          <cell r="I28">
            <v>113.9509063431769</v>
          </cell>
          <cell r="J28">
            <v>113.17617525900501</v>
          </cell>
          <cell r="K28">
            <v>116.58668367996671</v>
          </cell>
          <cell r="L28">
            <v>114.41897586604114</v>
          </cell>
          <cell r="M28">
            <v>119.01824395947784</v>
          </cell>
          <cell r="N28">
            <v>109.85307229325889</v>
          </cell>
          <cell r="O28">
            <v>106.13191228058626</v>
          </cell>
          <cell r="P28">
            <v>109.84468967980456</v>
          </cell>
          <cell r="Q28">
            <v>111.81366950861</v>
          </cell>
          <cell r="R28">
            <v>129.11183588676329</v>
          </cell>
          <cell r="S28">
            <v>122.5841331052837</v>
          </cell>
          <cell r="T28">
            <v>128.53320529206701</v>
          </cell>
          <cell r="U28">
            <v>133.19681788810013</v>
          </cell>
          <cell r="V28">
            <v>130.27616253450842</v>
          </cell>
          <cell r="W28">
            <v>128.27257554241544</v>
          </cell>
          <cell r="X28">
            <v>155.32632875967946</v>
          </cell>
          <cell r="Y28">
            <v>137.24931870589182</v>
          </cell>
          <cell r="Z28">
            <v>136.23887708694562</v>
          </cell>
          <cell r="AA28">
            <v>136.36773351325073</v>
          </cell>
          <cell r="AB28">
            <v>137.25656978107025</v>
          </cell>
          <cell r="AC28">
            <v>137.69308625971686</v>
          </cell>
          <cell r="AD28">
            <v>138.21907530281661</v>
          </cell>
          <cell r="AE28">
            <v>138.35712638305046</v>
          </cell>
        </row>
        <row r="29">
          <cell r="B29" t="str">
            <v>BIH</v>
          </cell>
          <cell r="D29">
            <v>31.142291755530842</v>
          </cell>
          <cell r="E29">
            <v>28.03535959292336</v>
          </cell>
          <cell r="F29">
            <v>13.733064877697723</v>
          </cell>
          <cell r="G29">
            <v>10.522446193401139</v>
          </cell>
          <cell r="H29">
            <v>-1.8719397710313386</v>
          </cell>
          <cell r="I29">
            <v>-1.9211617126065983</v>
          </cell>
          <cell r="J29">
            <v>-1.2708423749404192</v>
          </cell>
          <cell r="K29">
            <v>3.8053781279495</v>
          </cell>
          <cell r="L29">
            <v>6.6808103114223494</v>
          </cell>
          <cell r="M29">
            <v>6.8943024318912967</v>
          </cell>
          <cell r="N29">
            <v>10.477291120634305</v>
          </cell>
          <cell r="O29">
            <v>18.019989450024479</v>
          </cell>
          <cell r="P29">
            <v>18.744542398218304</v>
          </cell>
          <cell r="Q29">
            <v>19.885125050570601</v>
          </cell>
          <cell r="R29">
            <v>20.632231871200599</v>
          </cell>
          <cell r="S29">
            <v>21.744512329017404</v>
          </cell>
          <cell r="T29">
            <v>24.044185484502073</v>
          </cell>
          <cell r="U29">
            <v>25.254009048326463</v>
          </cell>
          <cell r="V29">
            <v>27.384318709991984</v>
          </cell>
          <cell r="W29">
            <v>27.487269693751617</v>
          </cell>
          <cell r="X29">
            <v>28.118912992585432</v>
          </cell>
          <cell r="Y29">
            <v>31.482120673008346</v>
          </cell>
          <cell r="Z29">
            <v>29.528389676472521</v>
          </cell>
          <cell r="AA29">
            <v>29.420539014979667</v>
          </cell>
          <cell r="AB29">
            <v>30.260411662603314</v>
          </cell>
          <cell r="AC29">
            <v>30.985233375747686</v>
          </cell>
          <cell r="AD29">
            <v>32.300733309774749</v>
          </cell>
          <cell r="AE29">
            <v>33.053335489640013</v>
          </cell>
        </row>
        <row r="30">
          <cell r="B30" t="str">
            <v>BWA</v>
          </cell>
          <cell r="D30">
            <v>59.610879108718549</v>
          </cell>
          <cell r="E30">
            <v>58.761689454518482</v>
          </cell>
          <cell r="F30">
            <v>59.017203232178531</v>
          </cell>
          <cell r="G30">
            <v>58.603498692716805</v>
          </cell>
          <cell r="H30">
            <v>58.911271630294742</v>
          </cell>
          <cell r="I30">
            <v>59.900309884266264</v>
          </cell>
          <cell r="J30">
            <v>73.185917946629644</v>
          </cell>
          <cell r="K30">
            <v>83.691943035014219</v>
          </cell>
          <cell r="L30">
            <v>92.78713141595081</v>
          </cell>
          <cell r="M30">
            <v>77.928521118263021</v>
          </cell>
          <cell r="N30">
            <v>66.08920011293975</v>
          </cell>
          <cell r="O30">
            <v>48.745050632837675</v>
          </cell>
          <cell r="P30">
            <v>122.9398606522453</v>
          </cell>
          <cell r="Q30">
            <v>56.494932071596999</v>
          </cell>
          <cell r="R30">
            <v>36.091613824049126</v>
          </cell>
          <cell r="S30">
            <v>59.523816223997471</v>
          </cell>
          <cell r="T30">
            <v>46.305706441928812</v>
          </cell>
          <cell r="U30">
            <v>64.459278438972945</v>
          </cell>
          <cell r="V30">
            <v>49.703776820623176</v>
          </cell>
          <cell r="W30">
            <v>30.250521058389189</v>
          </cell>
          <cell r="X30">
            <v>37.711970925183437</v>
          </cell>
          <cell r="Y30">
            <v>57.000524370239027</v>
          </cell>
          <cell r="Z30">
            <v>42.941354926467888</v>
          </cell>
          <cell r="AA30">
            <v>69.959103223734928</v>
          </cell>
          <cell r="AB30">
            <v>36.659777822291744</v>
          </cell>
          <cell r="AC30">
            <v>39.713598413461895</v>
          </cell>
          <cell r="AD30">
            <v>40.062361817068357</v>
          </cell>
          <cell r="AE30">
            <v>41.140178230693706</v>
          </cell>
        </row>
        <row r="31">
          <cell r="B31" t="str">
            <v>BRA</v>
          </cell>
          <cell r="D31">
            <v>1556.2671675952315</v>
          </cell>
          <cell r="E31">
            <v>1579.6439510269724</v>
          </cell>
          <cell r="F31">
            <v>1598.4318167338288</v>
          </cell>
          <cell r="G31">
            <v>1624.0700065299879</v>
          </cell>
          <cell r="H31">
            <v>1652.3554356223688</v>
          </cell>
          <cell r="I31">
            <v>1686.6037016275111</v>
          </cell>
          <cell r="J31">
            <v>1693.0150150617383</v>
          </cell>
          <cell r="K31">
            <v>1722.5514245207837</v>
          </cell>
          <cell r="L31">
            <v>1752.9099042091502</v>
          </cell>
          <cell r="M31">
            <v>1755.4472091816413</v>
          </cell>
          <cell r="N31">
            <v>1765.1274837185417</v>
          </cell>
          <cell r="O31">
            <v>1995.7411334247254</v>
          </cell>
          <cell r="P31">
            <v>2027.8945903213455</v>
          </cell>
          <cell r="Q31">
            <v>2060.1065558595856</v>
          </cell>
          <cell r="R31">
            <v>2103.5473907600481</v>
          </cell>
          <cell r="S31">
            <v>2130.5521699983692</v>
          </cell>
          <cell r="T31">
            <v>1542.5705245807637</v>
          </cell>
          <cell r="U31">
            <v>1590.2232451961106</v>
          </cell>
          <cell r="V31">
            <v>1586.7810239935043</v>
          </cell>
          <cell r="W31">
            <v>1553.4573695572385</v>
          </cell>
          <cell r="X31">
            <v>1670.1907651121528</v>
          </cell>
          <cell r="Y31">
            <v>1434.4456332544503</v>
          </cell>
          <cell r="Z31">
            <v>1487.4427179302932</v>
          </cell>
          <cell r="AA31">
            <v>1509.3062503059227</v>
          </cell>
          <cell r="AB31">
            <v>1555.4286750767014</v>
          </cell>
          <cell r="AC31">
            <v>1534.4555485013057</v>
          </cell>
          <cell r="AD31">
            <v>1499.0860852700678</v>
          </cell>
          <cell r="AE31">
            <v>1504.02849345459</v>
          </cell>
        </row>
        <row r="32">
          <cell r="B32" t="str">
            <v>BRN</v>
          </cell>
          <cell r="D32">
            <v>9.3940687115855894</v>
          </cell>
          <cell r="E32">
            <v>11.691799353405493</v>
          </cell>
          <cell r="F32">
            <v>11.887404549780449</v>
          </cell>
          <cell r="G32">
            <v>11.059551060887401</v>
          </cell>
          <cell r="H32">
            <v>10.97586036066637</v>
          </cell>
          <cell r="I32">
            <v>11.444234720720075</v>
          </cell>
          <cell r="J32">
            <v>11.47580314858064</v>
          </cell>
          <cell r="K32">
            <v>12.274631370808226</v>
          </cell>
          <cell r="L32">
            <v>15.46470116531853</v>
          </cell>
          <cell r="M32">
            <v>11.362801329466409</v>
          </cell>
          <cell r="N32">
            <v>11.935819537969628</v>
          </cell>
          <cell r="O32">
            <v>12.202609665656471</v>
          </cell>
          <cell r="P32">
            <v>11.970041145708143</v>
          </cell>
          <cell r="Q32">
            <v>13.294298022775054</v>
          </cell>
          <cell r="R32">
            <v>12.555668258435533</v>
          </cell>
          <cell r="S32">
            <v>12.525910265736004</v>
          </cell>
          <cell r="T32">
            <v>15.61400429314283</v>
          </cell>
          <cell r="U32">
            <v>15.076800692397383</v>
          </cell>
          <cell r="V32">
            <v>16.816212308609206</v>
          </cell>
          <cell r="W32">
            <v>16.230066112266847</v>
          </cell>
          <cell r="X32">
            <v>15.147600176391361</v>
          </cell>
          <cell r="Y32">
            <v>13.934121327357426</v>
          </cell>
          <cell r="Z32">
            <v>13.819412939124467</v>
          </cell>
          <cell r="AA32">
            <v>13.623163241380047</v>
          </cell>
          <cell r="AB32">
            <v>13.580390780578156</v>
          </cell>
          <cell r="AC32">
            <v>12.812645966294095</v>
          </cell>
          <cell r="AD32">
            <v>12.973173718560457</v>
          </cell>
          <cell r="AE32">
            <v>13.196214371854987</v>
          </cell>
        </row>
        <row r="33">
          <cell r="B33" t="str">
            <v>BGR</v>
          </cell>
          <cell r="D33">
            <v>94.568313519524381</v>
          </cell>
          <cell r="E33">
            <v>75.588837564325274</v>
          </cell>
          <cell r="F33">
            <v>69.907606381625655</v>
          </cell>
          <cell r="G33">
            <v>69.06363341959181</v>
          </cell>
          <cell r="H33">
            <v>65.070270979186176</v>
          </cell>
          <cell r="I33">
            <v>63.280866275064028</v>
          </cell>
          <cell r="J33">
            <v>64.362593309327949</v>
          </cell>
          <cell r="K33">
            <v>60.400217513623922</v>
          </cell>
          <cell r="L33">
            <v>55.958066974923767</v>
          </cell>
          <cell r="M33">
            <v>49.984828848868879</v>
          </cell>
          <cell r="N33">
            <v>50.242441189668341</v>
          </cell>
          <cell r="O33">
            <v>49.688092670020012</v>
          </cell>
          <cell r="P33">
            <v>46.253986156780599</v>
          </cell>
          <cell r="Q33">
            <v>52.327977283122905</v>
          </cell>
          <cell r="R33">
            <v>50.579882825607235</v>
          </cell>
          <cell r="S33">
            <v>51.605645621415938</v>
          </cell>
          <cell r="T33">
            <v>56.37581932654723</v>
          </cell>
          <cell r="U33">
            <v>60.384884529305388</v>
          </cell>
          <cell r="V33">
            <v>57.325776579594532</v>
          </cell>
          <cell r="W33">
            <v>48.769641003911509</v>
          </cell>
          <cell r="X33">
            <v>51.209559199032135</v>
          </cell>
          <cell r="Y33">
            <v>56.669376096402303</v>
          </cell>
          <cell r="Z33">
            <v>51.678776776669714</v>
          </cell>
          <cell r="AA33">
            <v>47.175715754059013</v>
          </cell>
          <cell r="AB33">
            <v>50.200651869179936</v>
          </cell>
          <cell r="AC33">
            <v>52.181981959721696</v>
          </cell>
          <cell r="AD33">
            <v>48.753829618515113</v>
          </cell>
          <cell r="AE33">
            <v>52.562876595008504</v>
          </cell>
        </row>
        <row r="34">
          <cell r="B34" t="str">
            <v>BFA</v>
          </cell>
          <cell r="D34">
            <v>24.140605067866392</v>
          </cell>
          <cell r="E34">
            <v>24.654921707294008</v>
          </cell>
          <cell r="F34">
            <v>25.052631996901518</v>
          </cell>
          <cell r="G34">
            <v>25.519551298373134</v>
          </cell>
          <cell r="H34">
            <v>25.994725477700758</v>
          </cell>
          <cell r="I34">
            <v>26.423752399247597</v>
          </cell>
          <cell r="J34">
            <v>27.16018870796319</v>
          </cell>
          <cell r="K34">
            <v>28.296389594965188</v>
          </cell>
          <cell r="L34">
            <v>29.099724407313762</v>
          </cell>
          <cell r="M34">
            <v>28.861474965132885</v>
          </cell>
          <cell r="N34">
            <v>28.557343066068409</v>
          </cell>
          <cell r="O34">
            <v>26.359057036616605</v>
          </cell>
          <cell r="P34">
            <v>27.362478880423499</v>
          </cell>
          <cell r="Q34">
            <v>29.641497718934247</v>
          </cell>
          <cell r="R34">
            <v>30.178878031311079</v>
          </cell>
          <cell r="S34">
            <v>31.416814141869551</v>
          </cell>
          <cell r="T34">
            <v>33.192953175025586</v>
          </cell>
          <cell r="U34">
            <v>34.194928728815327</v>
          </cell>
          <cell r="V34">
            <v>35.489384863800211</v>
          </cell>
          <cell r="W34">
            <v>35.808441117024721</v>
          </cell>
          <cell r="X34">
            <v>36.792757899883917</v>
          </cell>
          <cell r="Y34">
            <v>35.228387772534674</v>
          </cell>
          <cell r="Z34">
            <v>34.977461368081109</v>
          </cell>
          <cell r="AA34">
            <v>36.665384635349518</v>
          </cell>
          <cell r="AB34">
            <v>37.018183769427196</v>
          </cell>
          <cell r="AC34">
            <v>38.057617868736429</v>
          </cell>
          <cell r="AD34">
            <v>39.009843490773775</v>
          </cell>
          <cell r="AE34">
            <v>39.466190260671155</v>
          </cell>
        </row>
        <row r="35">
          <cell r="B35" t="str">
            <v>BDI</v>
          </cell>
          <cell r="D35">
            <v>11.191828691337417</v>
          </cell>
          <cell r="E35">
            <v>11.331063202667936</v>
          </cell>
          <cell r="F35">
            <v>11.388250056869428</v>
          </cell>
          <cell r="G35">
            <v>11.424733484206811</v>
          </cell>
          <cell r="H35">
            <v>11.333786880332571</v>
          </cell>
          <cell r="I35">
            <v>11.28333654073975</v>
          </cell>
          <cell r="J35">
            <v>11.256865079552879</v>
          </cell>
          <cell r="K35">
            <v>11.439155832154075</v>
          </cell>
          <cell r="L35">
            <v>11.755452370844971</v>
          </cell>
          <cell r="M35">
            <v>11.266243870279999</v>
          </cell>
          <cell r="N35">
            <v>11.407680620135151</v>
          </cell>
          <cell r="O35">
            <v>8.8770222464796795</v>
          </cell>
          <cell r="P35">
            <v>8.9240094502364755</v>
          </cell>
          <cell r="Q35">
            <v>9.120897315997869</v>
          </cell>
          <cell r="R35">
            <v>9.3022214475713731</v>
          </cell>
          <cell r="S35">
            <v>8.8072927800068044</v>
          </cell>
          <cell r="T35">
            <v>2.7417853228315017</v>
          </cell>
          <cell r="U35">
            <v>2.7036421976715674</v>
          </cell>
          <cell r="V35">
            <v>3.5288731011708108</v>
          </cell>
          <cell r="W35">
            <v>3.3514093526869502</v>
          </cell>
          <cell r="X35">
            <v>3.5211880139349891</v>
          </cell>
          <cell r="Y35">
            <v>7.3110610122235107</v>
          </cell>
          <cell r="Z35">
            <v>7.5879959227145957</v>
          </cell>
          <cell r="AA35">
            <v>8.1169404433502148</v>
          </cell>
          <cell r="AB35">
            <v>7.8658977849534466</v>
          </cell>
          <cell r="AC35">
            <v>7.9413649683476653</v>
          </cell>
          <cell r="AD35">
            <v>7.7829543631446079</v>
          </cell>
          <cell r="AE35">
            <v>7.7955095547721829</v>
          </cell>
        </row>
        <row r="36">
          <cell r="B36" t="str">
            <v>KHM</v>
          </cell>
          <cell r="D36">
            <v>47.021220677279914</v>
          </cell>
          <cell r="E36">
            <v>46.407710581749178</v>
          </cell>
          <cell r="F36">
            <v>46.753363581186932</v>
          </cell>
          <cell r="G36">
            <v>47.570976113657323</v>
          </cell>
          <cell r="H36">
            <v>45.843308707415126</v>
          </cell>
          <cell r="I36">
            <v>50.464147506493205</v>
          </cell>
          <cell r="J36">
            <v>49.769820626293807</v>
          </cell>
          <cell r="K36">
            <v>50.982094892083353</v>
          </cell>
          <cell r="L36">
            <v>54.430742348282394</v>
          </cell>
          <cell r="M36">
            <v>54.152751817652401</v>
          </cell>
          <cell r="N36">
            <v>52.238961218354603</v>
          </cell>
          <cell r="O36">
            <v>54.770523499983597</v>
          </cell>
          <cell r="P36">
            <v>55.801479663259187</v>
          </cell>
          <cell r="Q36">
            <v>57.524804170643797</v>
          </cell>
          <cell r="R36">
            <v>58.225196774836803</v>
          </cell>
          <cell r="S36">
            <v>58.908137156122407</v>
          </cell>
          <cell r="T36">
            <v>51.906435544208996</v>
          </cell>
          <cell r="U36">
            <v>54.054844699963802</v>
          </cell>
          <cell r="V36">
            <v>53.593256974469099</v>
          </cell>
          <cell r="W36">
            <v>55.592833039290703</v>
          </cell>
          <cell r="X36">
            <v>56.913177654018909</v>
          </cell>
          <cell r="Y36">
            <v>58.955713697795503</v>
          </cell>
          <cell r="Z36">
            <v>58.363116951645694</v>
          </cell>
          <cell r="AA36">
            <v>58.810138200863221</v>
          </cell>
          <cell r="AB36">
            <v>58.872277581599455</v>
          </cell>
          <cell r="AC36">
            <v>60.800815008984863</v>
          </cell>
          <cell r="AD36">
            <v>62.594568098872379</v>
          </cell>
          <cell r="AE36">
            <v>62.988072079987269</v>
          </cell>
        </row>
        <row r="37">
          <cell r="B37" t="str">
            <v>CMR</v>
          </cell>
          <cell r="D37">
            <v>143.0629473654098</v>
          </cell>
          <cell r="E37">
            <v>142.82019700916021</v>
          </cell>
          <cell r="F37">
            <v>142.7689491219916</v>
          </cell>
          <cell r="G37">
            <v>144.66910954746299</v>
          </cell>
          <cell r="H37">
            <v>162.57591890627839</v>
          </cell>
          <cell r="I37">
            <v>160.37083937389281</v>
          </cell>
          <cell r="J37">
            <v>156.76810919645101</v>
          </cell>
          <cell r="K37">
            <v>154.80718621317479</v>
          </cell>
          <cell r="L37">
            <v>156.3165406554852</v>
          </cell>
          <cell r="M37">
            <v>153.67884156051295</v>
          </cell>
          <cell r="N37">
            <v>152.97231316322774</v>
          </cell>
          <cell r="O37">
            <v>149.20846835162826</v>
          </cell>
          <cell r="P37">
            <v>147.76613205490975</v>
          </cell>
          <cell r="Q37">
            <v>149.88758227196845</v>
          </cell>
          <cell r="R37">
            <v>148.00509219676673</v>
          </cell>
          <cell r="S37">
            <v>151.51509640819404</v>
          </cell>
          <cell r="T37">
            <v>149.26846246965744</v>
          </cell>
          <cell r="U37">
            <v>149.83851236897763</v>
          </cell>
          <cell r="V37">
            <v>148.99235229242609</v>
          </cell>
          <cell r="W37">
            <v>150.50816539152288</v>
          </cell>
          <cell r="X37">
            <v>146.70203127115275</v>
          </cell>
          <cell r="Y37">
            <v>145.33224289674561</v>
          </cell>
          <cell r="Z37">
            <v>145.2298730935367</v>
          </cell>
          <cell r="AA37">
            <v>152.81823403706778</v>
          </cell>
          <cell r="AB37">
            <v>151.56820033260175</v>
          </cell>
          <cell r="AC37">
            <v>156.64381197405305</v>
          </cell>
          <cell r="AD37">
            <v>157.96237504679198</v>
          </cell>
          <cell r="AE37">
            <v>157.22304593650199</v>
          </cell>
        </row>
        <row r="38">
          <cell r="B38" t="str">
            <v>CAN</v>
          </cell>
          <cell r="D38">
            <v>696.18888657150876</v>
          </cell>
          <cell r="E38">
            <v>693.05931197451957</v>
          </cell>
          <cell r="F38">
            <v>712.54699338047647</v>
          </cell>
          <cell r="G38">
            <v>717.22734720770427</v>
          </cell>
          <cell r="H38">
            <v>739.69269005263095</v>
          </cell>
          <cell r="I38">
            <v>746.43299094449856</v>
          </cell>
          <cell r="J38">
            <v>748.93994390387059</v>
          </cell>
          <cell r="K38">
            <v>746.33952457103578</v>
          </cell>
          <cell r="L38">
            <v>838.50431609032501</v>
          </cell>
          <cell r="M38">
            <v>785.25503071848027</v>
          </cell>
          <cell r="N38">
            <v>778.7090800831071</v>
          </cell>
          <cell r="O38">
            <v>946.30092250331109</v>
          </cell>
          <cell r="P38">
            <v>1033.4993705648233</v>
          </cell>
          <cell r="Q38">
            <v>1048.7941256563338</v>
          </cell>
          <cell r="R38">
            <v>1011.0531918613685</v>
          </cell>
          <cell r="S38">
            <v>1029.6939389852505</v>
          </cell>
          <cell r="T38">
            <v>940.27594373353975</v>
          </cell>
          <cell r="U38">
            <v>955.06550617989114</v>
          </cell>
          <cell r="V38">
            <v>945.69128007665608</v>
          </cell>
          <cell r="W38">
            <v>858.83679482056277</v>
          </cell>
          <cell r="X38">
            <v>958.24062647418793</v>
          </cell>
          <cell r="Y38">
            <v>831.78664843827664</v>
          </cell>
          <cell r="Z38">
            <v>857.8267275021808</v>
          </cell>
          <cell r="AA38">
            <v>942.83310416881488</v>
          </cell>
          <cell r="AB38">
            <v>932.96603665781345</v>
          </cell>
          <cell r="AC38">
            <v>923.05381800329508</v>
          </cell>
          <cell r="AD38">
            <v>928.18540509119612</v>
          </cell>
          <cell r="AE38">
            <v>948.82861924835231</v>
          </cell>
        </row>
        <row r="39">
          <cell r="B39" t="str">
            <v>CPV</v>
          </cell>
          <cell r="D39">
            <v>-0.20847331669314356</v>
          </cell>
          <cell r="E39">
            <v>-0.13585026823653101</v>
          </cell>
          <cell r="F39">
            <v>-0.12478481598510865</v>
          </cell>
          <cell r="G39">
            <v>-0.12303409366604301</v>
          </cell>
          <cell r="H39">
            <v>-0.13223068934416926</v>
          </cell>
          <cell r="I39">
            <v>-0.10620566065320353</v>
          </cell>
          <cell r="J39">
            <v>-0.1277681743822246</v>
          </cell>
          <cell r="K39">
            <v>-0.10622490822048802</v>
          </cell>
          <cell r="L39">
            <v>-0.10459750444652338</v>
          </cell>
          <cell r="M39">
            <v>-9.3667384533828113E-2</v>
          </cell>
          <cell r="N39">
            <v>-4.6929149523966041E-2</v>
          </cell>
          <cell r="O39">
            <v>0.31431694227644685</v>
          </cell>
          <cell r="P39">
            <v>0.3163491005112492</v>
          </cell>
          <cell r="Q39">
            <v>0.32708059632685144</v>
          </cell>
          <cell r="R39">
            <v>0.45732903468944297</v>
          </cell>
          <cell r="S39">
            <v>0.47327183183920185</v>
          </cell>
          <cell r="T39">
            <v>0.41260562614935775</v>
          </cell>
          <cell r="U39">
            <v>0.50291380886372061</v>
          </cell>
          <cell r="V39">
            <v>0.52350176379789093</v>
          </cell>
          <cell r="W39">
            <v>0.54835563760272987</v>
          </cell>
          <cell r="X39">
            <v>0.56566975136052045</v>
          </cell>
          <cell r="Y39">
            <v>0.53063951798559827</v>
          </cell>
          <cell r="Z39">
            <v>0.55167235556263172</v>
          </cell>
          <cell r="AA39">
            <v>0.86604973613637748</v>
          </cell>
          <cell r="AB39">
            <v>0.89573090223926033</v>
          </cell>
          <cell r="AC39">
            <v>1.0179965381288438</v>
          </cell>
          <cell r="AD39">
            <v>1.0447314359707411</v>
          </cell>
          <cell r="AE39">
            <v>1.1065398486975553</v>
          </cell>
        </row>
        <row r="40">
          <cell r="B40" t="str">
            <v>CYM</v>
          </cell>
          <cell r="D40">
            <v>0.13780269416134536</v>
          </cell>
          <cell r="E40">
            <v>0.14793464331047701</v>
          </cell>
          <cell r="F40">
            <v>0.14964002376883417</v>
          </cell>
          <cell r="G40">
            <v>0.14128002137026557</v>
          </cell>
          <cell r="H40">
            <v>0.14214850198497178</v>
          </cell>
          <cell r="I40">
            <v>0.17934582772999594</v>
          </cell>
          <cell r="J40">
            <v>0.18246381926955438</v>
          </cell>
          <cell r="K40">
            <v>0.1731998049289806</v>
          </cell>
          <cell r="L40">
            <v>0.17206064251353401</v>
          </cell>
          <cell r="M40">
            <v>0.18149832979035363</v>
          </cell>
          <cell r="N40">
            <v>0.17420086327705259</v>
          </cell>
          <cell r="O40">
            <v>0.18783817133190436</v>
          </cell>
          <cell r="P40">
            <v>0.18728205898232045</v>
          </cell>
          <cell r="Q40">
            <v>0.18785760492710488</v>
          </cell>
          <cell r="R40">
            <v>0.22984303737603948</v>
          </cell>
          <cell r="S40">
            <v>0.20555471176888326</v>
          </cell>
          <cell r="T40">
            <v>0.37551538587896138</v>
          </cell>
          <cell r="U40">
            <v>0.41646434933259324</v>
          </cell>
          <cell r="V40">
            <v>0.48588620856990239</v>
          </cell>
          <cell r="W40">
            <v>0.43465705644826147</v>
          </cell>
          <cell r="X40">
            <v>0.45205208018412502</v>
          </cell>
          <cell r="Y40">
            <v>0.33728641565217787</v>
          </cell>
          <cell r="Z40">
            <v>0.59549195627881346</v>
          </cell>
          <cell r="AA40">
            <v>0.61121112686881907</v>
          </cell>
          <cell r="AB40">
            <v>0.57191071169002983</v>
          </cell>
          <cell r="AC40">
            <v>0.59779834769154561</v>
          </cell>
          <cell r="AD40">
            <v>0.59934892546843388</v>
          </cell>
          <cell r="AE40">
            <v>0.60087688625988334</v>
          </cell>
        </row>
        <row r="41">
          <cell r="B41" t="str">
            <v>CAF</v>
          </cell>
          <cell r="D41">
            <v>34.55200867955692</v>
          </cell>
          <cell r="E41">
            <v>35.010074604465842</v>
          </cell>
          <cell r="F41">
            <v>35.111335975008359</v>
          </cell>
          <cell r="G41">
            <v>35.2012983418971</v>
          </cell>
          <cell r="H41">
            <v>35.38149861243852</v>
          </cell>
          <cell r="I41">
            <v>35.566201538426213</v>
          </cell>
          <cell r="J41">
            <v>36.489009949782861</v>
          </cell>
          <cell r="K41">
            <v>39.544667807381501</v>
          </cell>
          <cell r="L41">
            <v>44.391935268213388</v>
          </cell>
          <cell r="M41">
            <v>40.79851983450385</v>
          </cell>
          <cell r="N41">
            <v>42.335615094339602</v>
          </cell>
          <cell r="O41">
            <v>35.884743162423206</v>
          </cell>
          <cell r="P41">
            <v>33.664753059017563</v>
          </cell>
          <cell r="Q41">
            <v>40.217249713885323</v>
          </cell>
          <cell r="R41">
            <v>35.666362604776438</v>
          </cell>
          <cell r="S41">
            <v>38.294571404182456</v>
          </cell>
          <cell r="T41">
            <v>36.857592637459625</v>
          </cell>
          <cell r="U41">
            <v>37.617140268188145</v>
          </cell>
          <cell r="V41">
            <v>38.803124746231006</v>
          </cell>
          <cell r="W41">
            <v>33.381524715810215</v>
          </cell>
          <cell r="X41">
            <v>35.769553617250516</v>
          </cell>
          <cell r="Y41">
            <v>37.320499809935583</v>
          </cell>
          <cell r="Z41">
            <v>33.332712128658628</v>
          </cell>
          <cell r="AA41">
            <v>36.062418571815094</v>
          </cell>
          <cell r="AB41">
            <v>34.824070135792525</v>
          </cell>
          <cell r="AC41">
            <v>37.23091441602115</v>
          </cell>
          <cell r="AD41">
            <v>40.231187384826676</v>
          </cell>
          <cell r="AE41">
            <v>38.740669022276165</v>
          </cell>
        </row>
        <row r="42">
          <cell r="B42" t="str">
            <v>TCD</v>
          </cell>
          <cell r="D42">
            <v>27.185171602538198</v>
          </cell>
          <cell r="E42">
            <v>27.4474557856621</v>
          </cell>
          <cell r="F42">
            <v>27.60590558693665</v>
          </cell>
          <cell r="G42">
            <v>27.572416469156202</v>
          </cell>
          <cell r="H42">
            <v>27.763981746591249</v>
          </cell>
          <cell r="I42">
            <v>28.050677543783429</v>
          </cell>
          <cell r="J42">
            <v>28.952712155867104</v>
          </cell>
          <cell r="K42">
            <v>30.366991360513602</v>
          </cell>
          <cell r="L42">
            <v>33.630599342118373</v>
          </cell>
          <cell r="M42">
            <v>34.455482540275703</v>
          </cell>
          <cell r="N42">
            <v>33.937595763412844</v>
          </cell>
          <cell r="O42">
            <v>28.94445447561359</v>
          </cell>
          <cell r="P42">
            <v>30.890313824970001</v>
          </cell>
          <cell r="Q42">
            <v>32.038988109323313</v>
          </cell>
          <cell r="R42">
            <v>32.201979857960289</v>
          </cell>
          <cell r="S42">
            <v>33.375777289879139</v>
          </cell>
          <cell r="T42">
            <v>51.277604711366884</v>
          </cell>
          <cell r="U42">
            <v>52.37550452597155</v>
          </cell>
          <cell r="V42">
            <v>52.242356755198756</v>
          </cell>
          <cell r="W42">
            <v>50.460094763806026</v>
          </cell>
          <cell r="X42">
            <v>51.297845998305327</v>
          </cell>
          <cell r="Y42">
            <v>52.1789158188529</v>
          </cell>
          <cell r="Z42">
            <v>52.081930425730064</v>
          </cell>
          <cell r="AA42">
            <v>52.472768006307163</v>
          </cell>
          <cell r="AB42">
            <v>52.431060419506835</v>
          </cell>
          <cell r="AC42">
            <v>53.926867882211255</v>
          </cell>
          <cell r="AD42">
            <v>55.759065069955795</v>
          </cell>
          <cell r="AE42">
            <v>54.977508889482451</v>
          </cell>
        </row>
        <row r="43">
          <cell r="B43" t="str">
            <v>CHL</v>
          </cell>
          <cell r="D43">
            <v>42.275026505076092</v>
          </cell>
          <cell r="E43">
            <v>40.272991994354399</v>
          </cell>
          <cell r="F43">
            <v>42.844739750719903</v>
          </cell>
          <cell r="G43">
            <v>45.122859514608301</v>
          </cell>
          <cell r="H43">
            <v>50.133660838166797</v>
          </cell>
          <cell r="I43">
            <v>54.710796708069502</v>
          </cell>
          <cell r="J43">
            <v>61.445457873669106</v>
          </cell>
          <cell r="K43">
            <v>68.640255283170902</v>
          </cell>
          <cell r="L43">
            <v>69.038789672505416</v>
          </cell>
          <cell r="M43">
            <v>72.615728372291187</v>
          </cell>
          <cell r="N43">
            <v>68.892007854297589</v>
          </cell>
          <cell r="O43">
            <v>72.663349611762982</v>
          </cell>
          <cell r="P43">
            <v>72.679923113252272</v>
          </cell>
          <cell r="Q43">
            <v>74.289539296552121</v>
          </cell>
          <cell r="R43">
            <v>80.426997106026079</v>
          </cell>
          <cell r="S43">
            <v>81.809746506998039</v>
          </cell>
          <cell r="T43">
            <v>82.788159291125311</v>
          </cell>
          <cell r="U43">
            <v>92.268321897171319</v>
          </cell>
          <cell r="V43">
            <v>96.972753774414343</v>
          </cell>
          <cell r="W43">
            <v>93.413972389047458</v>
          </cell>
          <cell r="X43">
            <v>96.062563705168159</v>
          </cell>
          <cell r="Y43">
            <v>6.3808504143125333</v>
          </cell>
          <cell r="Z43">
            <v>9.1884949428268499</v>
          </cell>
          <cell r="AA43">
            <v>11.814906993990618</v>
          </cell>
          <cell r="AB43">
            <v>6.234540051942119</v>
          </cell>
          <cell r="AC43">
            <v>14.0904906934948</v>
          </cell>
          <cell r="AD43">
            <v>20.700771404632548</v>
          </cell>
          <cell r="AE43">
            <v>19.896709666545021</v>
          </cell>
        </row>
        <row r="44">
          <cell r="B44" t="str">
            <v>CHN</v>
          </cell>
          <cell r="D44">
            <v>3591.0048075588134</v>
          </cell>
          <cell r="E44">
            <v>3720.2703471581631</v>
          </cell>
          <cell r="F44">
            <v>3845.6193246388093</v>
          </cell>
          <cell r="G44">
            <v>4059.3370126929021</v>
          </cell>
          <cell r="H44">
            <v>4269.4045223843705</v>
          </cell>
          <cell r="I44">
            <v>4674.9267639770724</v>
          </cell>
          <cell r="J44">
            <v>4675.4929757282753</v>
          </cell>
          <cell r="K44">
            <v>4700.7364118167461</v>
          </cell>
          <cell r="L44">
            <v>4764.4817084285069</v>
          </cell>
          <cell r="M44">
            <v>4760.9296686950984</v>
          </cell>
          <cell r="N44">
            <v>4979.2294974466158</v>
          </cell>
          <cell r="O44">
            <v>5159.4475228220017</v>
          </cell>
          <cell r="P44">
            <v>5523.537218717056</v>
          </cell>
          <cell r="Q44">
            <v>6255.03388577438</v>
          </cell>
          <cell r="R44">
            <v>7146.8562214747017</v>
          </cell>
          <cell r="S44">
            <v>8012.0712018093309</v>
          </cell>
          <cell r="T44">
            <v>8777.9223890191188</v>
          </cell>
          <cell r="U44">
            <v>9475.4473412462212</v>
          </cell>
          <cell r="V44">
            <v>9693.1774793248806</v>
          </cell>
          <cell r="W44">
            <v>10260.084147248444</v>
          </cell>
          <cell r="X44">
            <v>11077.490555319773</v>
          </cell>
          <cell r="Y44">
            <v>12133.600633526979</v>
          </cell>
          <cell r="Z44">
            <v>12403.56434925408</v>
          </cell>
          <cell r="AA44">
            <v>12906.844814428548</v>
          </cell>
          <cell r="AB44">
            <v>13026.250350208074</v>
          </cell>
          <cell r="AC44">
            <v>13053.340719349815</v>
          </cell>
          <cell r="AD44">
            <v>13024.381906926817</v>
          </cell>
          <cell r="AE44">
            <v>13121.910106115556</v>
          </cell>
        </row>
        <row r="45">
          <cell r="B45" t="str">
            <v>COL</v>
          </cell>
          <cell r="D45">
            <v>279.01191509920147</v>
          </cell>
          <cell r="E45">
            <v>280.21034556922177</v>
          </cell>
          <cell r="F45">
            <v>283.73321529075793</v>
          </cell>
          <cell r="G45">
            <v>289.51512457729291</v>
          </cell>
          <cell r="H45">
            <v>288.04830291396661</v>
          </cell>
          <cell r="I45">
            <v>292.89282717605346</v>
          </cell>
          <cell r="J45">
            <v>291.3850150742237</v>
          </cell>
          <cell r="K45">
            <v>299.72700727025119</v>
          </cell>
          <cell r="L45">
            <v>301.85275941786949</v>
          </cell>
          <cell r="M45">
            <v>288.55686652594659</v>
          </cell>
          <cell r="N45">
            <v>292.84602636586544</v>
          </cell>
          <cell r="O45">
            <v>314.38728167843874</v>
          </cell>
          <cell r="P45">
            <v>312.67278457609837</v>
          </cell>
          <cell r="Q45">
            <v>313.93998520190735</v>
          </cell>
          <cell r="R45">
            <v>314.01161597088429</v>
          </cell>
          <cell r="S45">
            <v>316.86528982740072</v>
          </cell>
          <cell r="T45">
            <v>310.1038046513433</v>
          </cell>
          <cell r="U45">
            <v>314.71688422913212</v>
          </cell>
          <cell r="V45">
            <v>315.3954914644172</v>
          </cell>
          <cell r="W45">
            <v>320.48249153352316</v>
          </cell>
          <cell r="X45">
            <v>324.56943308351282</v>
          </cell>
          <cell r="Y45">
            <v>180.11775645540104</v>
          </cell>
          <cell r="Z45">
            <v>177.9638224691804</v>
          </cell>
          <cell r="AA45">
            <v>180.82896223373331</v>
          </cell>
          <cell r="AB45">
            <v>185.01342371002073</v>
          </cell>
          <cell r="AC45">
            <v>184.62853990267081</v>
          </cell>
          <cell r="AD45">
            <v>184.07128812457788</v>
          </cell>
          <cell r="AE45">
            <v>178.61438575570577</v>
          </cell>
        </row>
        <row r="46">
          <cell r="B46" t="str">
            <v>COM</v>
          </cell>
          <cell r="D46">
            <v>0.32703950592796821</v>
          </cell>
          <cell r="E46">
            <v>0.33895296674833875</v>
          </cell>
          <cell r="F46">
            <v>0.3361008459898992</v>
          </cell>
          <cell r="G46">
            <v>0.33892233311265713</v>
          </cell>
          <cell r="H46">
            <v>0.34279904828625096</v>
          </cell>
          <cell r="I46">
            <v>0.34806508452597024</v>
          </cell>
          <cell r="J46">
            <v>0.35347325060478652</v>
          </cell>
          <cell r="K46">
            <v>0.36168947049932526</v>
          </cell>
          <cell r="L46">
            <v>0.36276711430483</v>
          </cell>
          <cell r="M46">
            <v>0.37475003310512911</v>
          </cell>
          <cell r="N46">
            <v>0.36456665582237396</v>
          </cell>
          <cell r="O46">
            <v>0.40634103677704647</v>
          </cell>
          <cell r="P46">
            <v>0.40710566278235005</v>
          </cell>
          <cell r="Q46">
            <v>0.39836400453939602</v>
          </cell>
          <cell r="R46">
            <v>0.42367585088805432</v>
          </cell>
          <cell r="S46">
            <v>0.49705459720002815</v>
          </cell>
          <cell r="T46">
            <v>0.49406897603234345</v>
          </cell>
          <cell r="U46">
            <v>0.51210824109022668</v>
          </cell>
          <cell r="V46">
            <v>0.53764341510081781</v>
          </cell>
          <cell r="W46">
            <v>0.54265756563709777</v>
          </cell>
          <cell r="X46">
            <v>0.55741580418436221</v>
          </cell>
          <cell r="Y46">
            <v>0.58436215089263199</v>
          </cell>
          <cell r="Z46">
            <v>0.5977072488228945</v>
          </cell>
          <cell r="AA46">
            <v>0.64287975554007049</v>
          </cell>
          <cell r="AB46">
            <v>0.61575876123904205</v>
          </cell>
          <cell r="AC46">
            <v>0.64831338285557127</v>
          </cell>
          <cell r="AD46">
            <v>0.66264618735265435</v>
          </cell>
          <cell r="AE46">
            <v>0.67988517060087283</v>
          </cell>
        </row>
        <row r="47">
          <cell r="B47" t="str">
            <v>COD</v>
          </cell>
          <cell r="D47">
            <v>203.98082171162241</v>
          </cell>
          <cell r="E47">
            <v>202.6430136185586</v>
          </cell>
          <cell r="F47">
            <v>203.03088864572538</v>
          </cell>
          <cell r="G47">
            <v>203.3228385783778</v>
          </cell>
          <cell r="H47">
            <v>208.61431989196939</v>
          </cell>
          <cell r="I47">
            <v>207.80920366424061</v>
          </cell>
          <cell r="J47">
            <v>208.8730922116234</v>
          </cell>
          <cell r="K47">
            <v>214.1795799506794</v>
          </cell>
          <cell r="L47">
            <v>215.7152507393738</v>
          </cell>
          <cell r="M47">
            <v>208.0343833508114</v>
          </cell>
          <cell r="N47">
            <v>205.09607395373217</v>
          </cell>
          <cell r="O47">
            <v>202.19227480128862</v>
          </cell>
          <cell r="P47">
            <v>202.5811810552168</v>
          </cell>
          <cell r="Q47">
            <v>207.71835476961098</v>
          </cell>
          <cell r="R47">
            <v>212.41070581814679</v>
          </cell>
          <cell r="S47">
            <v>211.4066569636918</v>
          </cell>
          <cell r="T47">
            <v>218.27145345956018</v>
          </cell>
          <cell r="U47">
            <v>208.11826922598715</v>
          </cell>
          <cell r="V47">
            <v>212.8688971217274</v>
          </cell>
          <cell r="W47">
            <v>213.82441158693098</v>
          </cell>
          <cell r="X47">
            <v>217.43383307086759</v>
          </cell>
          <cell r="Y47">
            <v>218.38600300416437</v>
          </cell>
          <cell r="Z47">
            <v>211.07439650178017</v>
          </cell>
          <cell r="AA47">
            <v>217.67947345140692</v>
          </cell>
          <cell r="AB47">
            <v>216.68713971348114</v>
          </cell>
          <cell r="AC47">
            <v>215.8283242025702</v>
          </cell>
          <cell r="AD47">
            <v>218.09209780724854</v>
          </cell>
          <cell r="AE47">
            <v>218.07888808352146</v>
          </cell>
        </row>
        <row r="48">
          <cell r="B48" t="str">
            <v>COG</v>
          </cell>
          <cell r="D48">
            <v>24.132423663178756</v>
          </cell>
          <cell r="E48">
            <v>24.19249565109299</v>
          </cell>
          <cell r="F48">
            <v>24.197136726810761</v>
          </cell>
          <cell r="G48">
            <v>24.24555483072016</v>
          </cell>
          <cell r="H48">
            <v>25.063256246862419</v>
          </cell>
          <cell r="I48">
            <v>26.754555959057441</v>
          </cell>
          <cell r="J48">
            <v>28.07211260594978</v>
          </cell>
          <cell r="K48">
            <v>28.321628638253944</v>
          </cell>
          <cell r="L48">
            <v>29.661719980708213</v>
          </cell>
          <cell r="M48">
            <v>29.169234200766013</v>
          </cell>
          <cell r="N48">
            <v>28.127565190111703</v>
          </cell>
          <cell r="O48">
            <v>27.168840395156536</v>
          </cell>
          <cell r="P48">
            <v>21.639878385278521</v>
          </cell>
          <cell r="Q48">
            <v>24.862549180996261</v>
          </cell>
          <cell r="R48">
            <v>26.586759130094801</v>
          </cell>
          <cell r="S48">
            <v>29.353490356442521</v>
          </cell>
          <cell r="T48">
            <v>28.270588349798818</v>
          </cell>
          <cell r="U48">
            <v>24.541870822234962</v>
          </cell>
          <cell r="V48">
            <v>25.480611520956622</v>
          </cell>
          <cell r="W48">
            <v>25.325733907493053</v>
          </cell>
          <cell r="X48">
            <v>26.992445666296213</v>
          </cell>
          <cell r="Y48">
            <v>27.816130239157012</v>
          </cell>
          <cell r="Z48">
            <v>32.208848288901827</v>
          </cell>
          <cell r="AA48">
            <v>37.529463075199516</v>
          </cell>
          <cell r="AB48">
            <v>28.537134802960743</v>
          </cell>
          <cell r="AC48">
            <v>27.823947520669925</v>
          </cell>
          <cell r="AD48">
            <v>27.885528751981415</v>
          </cell>
          <cell r="AE48">
            <v>27.914429097981817</v>
          </cell>
        </row>
        <row r="49">
          <cell r="B49" t="str">
            <v>COK</v>
          </cell>
          <cell r="D49">
            <v>-6.0923690296901811E-3</v>
          </cell>
          <cell r="E49">
            <v>-1.295878295411098E-2</v>
          </cell>
          <cell r="F49">
            <v>-7.4838382137388595E-3</v>
          </cell>
          <cell r="G49">
            <v>-9.3077776259988323E-3</v>
          </cell>
          <cell r="H49">
            <v>-9.4186088995485279E-3</v>
          </cell>
          <cell r="I49">
            <v>-8.4372872636854918E-3</v>
          </cell>
          <cell r="J49">
            <v>-6.1058131630788853E-3</v>
          </cell>
          <cell r="K49">
            <v>-6.1857269089373793E-3</v>
          </cell>
          <cell r="L49">
            <v>-3.0166780239813742E-3</v>
          </cell>
          <cell r="M49">
            <v>-4.6977209785342561E-3</v>
          </cell>
          <cell r="N49">
            <v>4.4213727983837478E-3</v>
          </cell>
          <cell r="O49">
            <v>-2.0648206653280793E-4</v>
          </cell>
          <cell r="P49">
            <v>-5.94867297189711E-4</v>
          </cell>
          <cell r="Q49">
            <v>-2.4036303858647962E-3</v>
          </cell>
          <cell r="R49">
            <v>-2.2203491988220247E-3</v>
          </cell>
          <cell r="S49">
            <v>5.648237286980598E-2</v>
          </cell>
          <cell r="T49">
            <v>1.4725887128115761E-2</v>
          </cell>
          <cell r="U49">
            <v>9.1379006909712915E-3</v>
          </cell>
          <cell r="V49">
            <v>1.6020860956842811E-2</v>
          </cell>
          <cell r="W49">
            <v>1.4391160501582116E-2</v>
          </cell>
          <cell r="X49">
            <v>1.8734751864934993E-2</v>
          </cell>
          <cell r="Y49">
            <v>8.1844311744427412E-2</v>
          </cell>
          <cell r="Z49">
            <v>0.11389298807407634</v>
          </cell>
          <cell r="AA49">
            <v>7.0510908782436293E-2</v>
          </cell>
          <cell r="AB49">
            <v>4.9551170648634214E-2</v>
          </cell>
          <cell r="AC49">
            <v>4.689518080595053E-2</v>
          </cell>
          <cell r="AD49">
            <v>5.1543072744796192E-2</v>
          </cell>
          <cell r="AE49">
            <v>5.4457741488125537E-2</v>
          </cell>
        </row>
        <row r="50">
          <cell r="B50" t="str">
            <v>CRI</v>
          </cell>
          <cell r="D50">
            <v>15.213863550277551</v>
          </cell>
          <cell r="E50">
            <v>15.478052441706161</v>
          </cell>
          <cell r="F50">
            <v>16.648672409866094</v>
          </cell>
          <cell r="G50">
            <v>16.637961205507882</v>
          </cell>
          <cell r="H50">
            <v>16.99952185544063</v>
          </cell>
          <cell r="I50">
            <v>16.51274613568425</v>
          </cell>
          <cell r="J50">
            <v>16.306718466146013</v>
          </cell>
          <cell r="K50">
            <v>16.335115106941434</v>
          </cell>
          <cell r="L50">
            <v>16.86932810691982</v>
          </cell>
          <cell r="M50">
            <v>16.540431132093772</v>
          </cell>
          <cell r="N50">
            <v>16.218862650067912</v>
          </cell>
          <cell r="O50">
            <v>2.7058894992353801</v>
          </cell>
          <cell r="P50">
            <v>2.4949835638916138</v>
          </cell>
          <cell r="Q50">
            <v>2.9254359513174881</v>
          </cell>
          <cell r="R50">
            <v>3.0957835424009978</v>
          </cell>
          <cell r="S50">
            <v>3.2238410322627704</v>
          </cell>
          <cell r="T50">
            <v>3.8075298239262896</v>
          </cell>
          <cell r="U50">
            <v>4.7874026990511878</v>
          </cell>
          <cell r="V50">
            <v>4.9391423508373169</v>
          </cell>
          <cell r="W50">
            <v>4.8984763053510587</v>
          </cell>
          <cell r="X50">
            <v>4.8936836304927009</v>
          </cell>
          <cell r="Y50">
            <v>1.5621512599165417</v>
          </cell>
          <cell r="Z50">
            <v>1.6205701993978021</v>
          </cell>
          <cell r="AA50">
            <v>2.0577311890037393</v>
          </cell>
          <cell r="AB50">
            <v>2.010913548186096</v>
          </cell>
          <cell r="AC50">
            <v>1.7664321245434813</v>
          </cell>
          <cell r="AD50">
            <v>2.3912692431127187</v>
          </cell>
          <cell r="AE50">
            <v>2.7174321601420139</v>
          </cell>
        </row>
        <row r="51">
          <cell r="B51" t="str">
            <v>CIV</v>
          </cell>
          <cell r="D51">
            <v>6.1572468064278212</v>
          </cell>
          <cell r="E51">
            <v>6.5226841418277797</v>
          </cell>
          <cell r="F51">
            <v>6.7601524141118023</v>
          </cell>
          <cell r="G51">
            <v>7.0522780456128018</v>
          </cell>
          <cell r="H51">
            <v>7.5359856660807978</v>
          </cell>
          <cell r="I51">
            <v>8.4703214798737996</v>
          </cell>
          <cell r="J51">
            <v>9.7903533562455998</v>
          </cell>
          <cell r="K51">
            <v>11.402960146814799</v>
          </cell>
          <cell r="L51">
            <v>11.749818057105799</v>
          </cell>
          <cell r="M51">
            <v>13.649417643295195</v>
          </cell>
          <cell r="N51">
            <v>13.492163774945398</v>
          </cell>
          <cell r="O51">
            <v>10.003335711677797</v>
          </cell>
          <cell r="P51">
            <v>11.830788407506001</v>
          </cell>
          <cell r="Q51">
            <v>9.2298526592984569</v>
          </cell>
          <cell r="R51">
            <v>8.9457716008782615</v>
          </cell>
          <cell r="S51">
            <v>11.030162414187858</v>
          </cell>
          <cell r="T51">
            <v>25.578231747221878</v>
          </cell>
          <cell r="U51">
            <v>25.441549492056559</v>
          </cell>
          <cell r="V51">
            <v>26.316595787006744</v>
          </cell>
          <cell r="W51">
            <v>25.41639821731934</v>
          </cell>
          <cell r="X51">
            <v>26.332151222954941</v>
          </cell>
          <cell r="Y51">
            <v>27.262003673776981</v>
          </cell>
          <cell r="Z51">
            <v>29.333514131336781</v>
          </cell>
          <cell r="AA51">
            <v>31.018588853825882</v>
          </cell>
          <cell r="AB51">
            <v>31.291554487476162</v>
          </cell>
          <cell r="AC51">
            <v>33.071346249840651</v>
          </cell>
          <cell r="AD51">
            <v>33.963974353777438</v>
          </cell>
          <cell r="AE51">
            <v>34.882641489014155</v>
          </cell>
        </row>
        <row r="52">
          <cell r="B52" t="str">
            <v>HRV</v>
          </cell>
          <cell r="D52">
            <v>33.560705986811399</v>
          </cell>
          <cell r="E52">
            <v>25.509631286528826</v>
          </cell>
          <cell r="F52">
            <v>12.287994744744559</v>
          </cell>
          <cell r="G52">
            <v>12.431422311631138</v>
          </cell>
          <cell r="H52">
            <v>11.518688253874821</v>
          </cell>
          <cell r="I52">
            <v>11.996302311466515</v>
          </cell>
          <cell r="J52">
            <v>11.879872844713571</v>
          </cell>
          <cell r="K52">
            <v>13.851898021734081</v>
          </cell>
          <cell r="L52">
            <v>14.275335464750585</v>
          </cell>
          <cell r="M52">
            <v>14.444921581254915</v>
          </cell>
          <cell r="N52">
            <v>14.272891196194749</v>
          </cell>
          <cell r="O52">
            <v>15.278137896039375</v>
          </cell>
          <cell r="P52">
            <v>16.377962924604976</v>
          </cell>
          <cell r="Q52">
            <v>17.954840313442809</v>
          </cell>
          <cell r="R52">
            <v>18.52840213115865</v>
          </cell>
          <cell r="S52">
            <v>18.663727220659826</v>
          </cell>
          <cell r="T52">
            <v>21.570516678878825</v>
          </cell>
          <cell r="U52">
            <v>23.361595902913287</v>
          </cell>
          <cell r="V52">
            <v>21.890332990656582</v>
          </cell>
          <cell r="W52">
            <v>19.551790843895713</v>
          </cell>
          <cell r="X52">
            <v>18.917724677883086</v>
          </cell>
          <cell r="Y52">
            <v>24.162584758014965</v>
          </cell>
          <cell r="Z52">
            <v>22.322935248033041</v>
          </cell>
          <cell r="AA52">
            <v>21.090153120337103</v>
          </cell>
          <cell r="AB52">
            <v>20.309952341925879</v>
          </cell>
          <cell r="AC52">
            <v>20.780558355928736</v>
          </cell>
          <cell r="AD52">
            <v>21.033356912849662</v>
          </cell>
          <cell r="AE52">
            <v>19.867176279620416</v>
          </cell>
        </row>
        <row r="53">
          <cell r="B53" t="str">
            <v>CUB</v>
          </cell>
          <cell r="D53">
            <v>25.665519722757459</v>
          </cell>
          <cell r="E53">
            <v>16.414733635870199</v>
          </cell>
          <cell r="F53">
            <v>10.281645294755499</v>
          </cell>
          <cell r="G53">
            <v>6.2946052607521779</v>
          </cell>
          <cell r="H53">
            <v>8.2887594427905995</v>
          </cell>
          <cell r="I53">
            <v>9.0674100964119404</v>
          </cell>
          <cell r="J53">
            <v>11.963887932072268</v>
          </cell>
          <cell r="K53">
            <v>15.213726578315963</v>
          </cell>
          <cell r="L53">
            <v>14.034749589534911</v>
          </cell>
          <cell r="M53">
            <v>14.381220709832689</v>
          </cell>
          <cell r="N53">
            <v>14.802055694073552</v>
          </cell>
          <cell r="O53">
            <v>15.178402317958948</v>
          </cell>
          <cell r="P53">
            <v>13.844415657677565</v>
          </cell>
          <cell r="Q53">
            <v>12.971671341470348</v>
          </cell>
          <cell r="R53">
            <v>12.036750626645635</v>
          </cell>
          <cell r="S53">
            <v>11.958231470687231</v>
          </cell>
          <cell r="T53">
            <v>83.460335165258584</v>
          </cell>
          <cell r="U53">
            <v>84.404775039279372</v>
          </cell>
          <cell r="V53">
            <v>83.864938488941803</v>
          </cell>
          <cell r="W53">
            <v>88.105454970026869</v>
          </cell>
          <cell r="X53">
            <v>90.643794201124052</v>
          </cell>
          <cell r="Y53">
            <v>36.620399449083209</v>
          </cell>
          <cell r="Z53">
            <v>37.272865367977445</v>
          </cell>
          <cell r="AA53">
            <v>36.302741390368126</v>
          </cell>
          <cell r="AB53">
            <v>36.466066222640549</v>
          </cell>
          <cell r="AC53">
            <v>36.241261414848651</v>
          </cell>
          <cell r="AD53">
            <v>36.843235369606205</v>
          </cell>
          <cell r="AE53">
            <v>36.138049779505849</v>
          </cell>
        </row>
        <row r="54">
          <cell r="B54" t="str">
            <v>CYP</v>
          </cell>
          <cell r="D54">
            <v>5.8376180713070287</v>
          </cell>
          <cell r="E54">
            <v>6.4441844536936639</v>
          </cell>
          <cell r="F54">
            <v>6.7747157950160037</v>
          </cell>
          <cell r="G54">
            <v>6.9999355029586336</v>
          </cell>
          <cell r="H54">
            <v>7.2634038476113787</v>
          </cell>
          <cell r="I54">
            <v>7.20201876576456</v>
          </cell>
          <cell r="J54">
            <v>7.5365988570580118</v>
          </cell>
          <cell r="K54">
            <v>7.6394852792165722</v>
          </cell>
          <cell r="L54">
            <v>8.1430257572719178</v>
          </cell>
          <cell r="M54">
            <v>8.4167316127139458</v>
          </cell>
          <cell r="N54">
            <v>8.7722859893865923</v>
          </cell>
          <cell r="O54">
            <v>8.6568611127755126</v>
          </cell>
          <cell r="P54">
            <v>8.9216275418414561</v>
          </cell>
          <cell r="Q54">
            <v>9.754444533807078</v>
          </cell>
          <cell r="R54">
            <v>9.7041699390851655</v>
          </cell>
          <cell r="S54">
            <v>9.8909806384782808</v>
          </cell>
          <cell r="T54">
            <v>9.674115744534669</v>
          </cell>
          <cell r="U54">
            <v>10.060510208470932</v>
          </cell>
          <cell r="V54">
            <v>10.257980302067244</v>
          </cell>
          <cell r="W54">
            <v>10.098475426470065</v>
          </cell>
          <cell r="X54">
            <v>9.8870860909052318</v>
          </cell>
          <cell r="Y54">
            <v>9.6687914818250782</v>
          </cell>
          <cell r="Z54">
            <v>9.2443187794754582</v>
          </cell>
          <cell r="AA54">
            <v>8.2308319529321992</v>
          </cell>
          <cell r="AB54">
            <v>8.3430046497963648</v>
          </cell>
          <cell r="AC54">
            <v>8.5224796334312458</v>
          </cell>
          <cell r="AD54">
            <v>9.2174909228940258</v>
          </cell>
          <cell r="AE54">
            <v>9.3629946639767923</v>
          </cell>
        </row>
        <row r="55">
          <cell r="B55" t="str">
            <v>CZE</v>
          </cell>
          <cell r="D55">
            <v>178.04044515577783</v>
          </cell>
          <cell r="E55">
            <v>160.16179309869364</v>
          </cell>
          <cell r="F55">
            <v>152.24624486806363</v>
          </cell>
          <cell r="G55">
            <v>149.49214412592539</v>
          </cell>
          <cell r="H55">
            <v>142.38592348083989</v>
          </cell>
          <cell r="I55">
            <v>142.44152476732478</v>
          </cell>
          <cell r="J55">
            <v>144.72990029288849</v>
          </cell>
          <cell r="K55">
            <v>141.14242235728136</v>
          </cell>
          <cell r="L55">
            <v>134.6452256640213</v>
          </cell>
          <cell r="M55">
            <v>126.91918943122224</v>
          </cell>
          <cell r="N55">
            <v>138.99141005699681</v>
          </cell>
          <cell r="O55">
            <v>139.90154336574366</v>
          </cell>
          <cell r="P55">
            <v>134.17426633595829</v>
          </cell>
          <cell r="Q55">
            <v>138.69668322030901</v>
          </cell>
          <cell r="R55">
            <v>140.1858168421619</v>
          </cell>
          <cell r="S55">
            <v>136.04499252012346</v>
          </cell>
          <cell r="T55">
            <v>142.69351466932349</v>
          </cell>
          <cell r="U55">
            <v>145.36474540555469</v>
          </cell>
          <cell r="V55">
            <v>139.64838302825896</v>
          </cell>
          <cell r="W55">
            <v>138.75342359975957</v>
          </cell>
          <cell r="X55">
            <v>136.77782365830788</v>
          </cell>
          <cell r="Y55">
            <v>129.37465508619596</v>
          </cell>
          <cell r="Z55">
            <v>125.90817602835037</v>
          </cell>
          <cell r="AA55">
            <v>123.85389088022666</v>
          </cell>
          <cell r="AB55">
            <v>122.44967706548385</v>
          </cell>
          <cell r="AC55">
            <v>124.84236357313137</v>
          </cell>
          <cell r="AD55">
            <v>125.87219716958077</v>
          </cell>
          <cell r="AE55">
            <v>127.8125219832188</v>
          </cell>
        </row>
        <row r="56">
          <cell r="B56" t="str">
            <v>DNK</v>
          </cell>
          <cell r="D56">
            <v>71.205224596544141</v>
          </cell>
          <cell r="E56">
            <v>81.946464089712435</v>
          </cell>
          <cell r="F56">
            <v>75.870316453368929</v>
          </cell>
          <cell r="G56">
            <v>78.336472380956707</v>
          </cell>
          <cell r="H56">
            <v>82.099080721935835</v>
          </cell>
          <cell r="I56">
            <v>78.897361428385622</v>
          </cell>
          <cell r="J56">
            <v>92.358549615134834</v>
          </cell>
          <cell r="K56">
            <v>82.55524867589665</v>
          </cell>
          <cell r="L56">
            <v>78.437068764850423</v>
          </cell>
          <cell r="M56">
            <v>75.33556235280291</v>
          </cell>
          <cell r="N56">
            <v>71.459324765830686</v>
          </cell>
          <cell r="O56">
            <v>74.222260022444857</v>
          </cell>
          <cell r="P56">
            <v>73.556644767420309</v>
          </cell>
          <cell r="Q56">
            <v>79.201982296819708</v>
          </cell>
          <cell r="R56">
            <v>73.271740154667498</v>
          </cell>
          <cell r="S56">
            <v>69.834597548394854</v>
          </cell>
          <cell r="T56">
            <v>76.735960854828178</v>
          </cell>
          <cell r="U56">
            <v>72.162500094436368</v>
          </cell>
          <cell r="V56">
            <v>68.922932367928894</v>
          </cell>
          <cell r="W56">
            <v>66.470253086183547</v>
          </cell>
          <cell r="X56">
            <v>66.668204754013274</v>
          </cell>
          <cell r="Y56">
            <v>59.995202202342924</v>
          </cell>
          <cell r="Z56">
            <v>54.785825970707059</v>
          </cell>
          <cell r="AA56">
            <v>56.493205536546192</v>
          </cell>
          <cell r="AB56">
            <v>52.394348694882048</v>
          </cell>
          <cell r="AC56">
            <v>50.138131918824989</v>
          </cell>
          <cell r="AD56">
            <v>52.555496317192095</v>
          </cell>
          <cell r="AE56">
            <v>50.077643576774236</v>
          </cell>
        </row>
        <row r="57">
          <cell r="B57" t="str">
            <v>DJI</v>
          </cell>
          <cell r="D57">
            <v>1.8702392918153252</v>
          </cell>
          <cell r="E57">
            <v>2.1604677406653439</v>
          </cell>
          <cell r="F57">
            <v>1.9992345243656375</v>
          </cell>
          <cell r="G57">
            <v>2.0041711227829713</v>
          </cell>
          <cell r="H57">
            <v>1.9947098199334414</v>
          </cell>
          <cell r="I57">
            <v>2.0843193653392165</v>
          </cell>
          <cell r="J57">
            <v>2.1418905501732151</v>
          </cell>
          <cell r="K57">
            <v>2.2574786734837669</v>
          </cell>
          <cell r="L57">
            <v>2.0950123816019559</v>
          </cell>
          <cell r="M57">
            <v>2.159957752916319</v>
          </cell>
          <cell r="N57">
            <v>2.1650334827345783</v>
          </cell>
          <cell r="O57">
            <v>2.241656590180976</v>
          </cell>
          <cell r="P57">
            <v>2.191218178675209</v>
          </cell>
          <cell r="Q57">
            <v>2.3334764285486784</v>
          </cell>
          <cell r="R57">
            <v>2.4153385558075202</v>
          </cell>
          <cell r="S57">
            <v>2.4195395531673478</v>
          </cell>
          <cell r="T57">
            <v>2.3120853629155103</v>
          </cell>
          <cell r="U57">
            <v>2.3965499015073628</v>
          </cell>
          <cell r="V57">
            <v>2.0794418429797052</v>
          </cell>
          <cell r="W57">
            <v>2.1438169526206967</v>
          </cell>
          <cell r="X57">
            <v>2.1829698753872</v>
          </cell>
          <cell r="Y57">
            <v>2.3808264604276612</v>
          </cell>
          <cell r="Z57">
            <v>2.4448491820782077</v>
          </cell>
          <cell r="AA57">
            <v>1.994208210138247</v>
          </cell>
          <cell r="AB57">
            <v>2.0160856690860354</v>
          </cell>
          <cell r="AC57">
            <v>2.0250447861683174</v>
          </cell>
          <cell r="AD57">
            <v>2.0536960786613179</v>
          </cell>
          <cell r="AE57">
            <v>2.1199762147898227</v>
          </cell>
        </row>
        <row r="58">
          <cell r="B58" t="str">
            <v>DMA</v>
          </cell>
          <cell r="D58">
            <v>6.3361823891536578E-2</v>
          </cell>
          <cell r="E58">
            <v>6.5124337709349389E-2</v>
          </cell>
          <cell r="F58">
            <v>6.5660364426388007E-2</v>
          </cell>
          <cell r="G58">
            <v>6.5754565226472411E-2</v>
          </cell>
          <cell r="H58">
            <v>7.029799745348661E-2</v>
          </cell>
          <cell r="I58">
            <v>6.2868139909014797E-2</v>
          </cell>
          <cell r="J58">
            <v>6.3415211099097785E-2</v>
          </cell>
          <cell r="K58">
            <v>6.3105616192792008E-2</v>
          </cell>
          <cell r="L58">
            <v>6.3229025853613202E-2</v>
          </cell>
          <cell r="M58">
            <v>6.54107204194318E-2</v>
          </cell>
          <cell r="N58">
            <v>6.4346696734749714E-2</v>
          </cell>
          <cell r="O58">
            <v>0.1201525101199309</v>
          </cell>
          <cell r="P58">
            <v>0.14595334308519789</v>
          </cell>
          <cell r="Q58">
            <v>0.146222192815189</v>
          </cell>
          <cell r="R58">
            <v>0.14894390952085043</v>
          </cell>
          <cell r="S58">
            <v>0.11048183958933729</v>
          </cell>
          <cell r="T58">
            <v>0.65534104755488021</v>
          </cell>
          <cell r="U58">
            <v>0.65755462843976853</v>
          </cell>
          <cell r="V58">
            <v>0.65696164848140992</v>
          </cell>
          <cell r="W58">
            <v>0.66071685408646408</v>
          </cell>
          <cell r="X58">
            <v>0.66528446827556109</v>
          </cell>
          <cell r="Y58">
            <v>0.2569046854495145</v>
          </cell>
          <cell r="Z58">
            <v>0.32212330549574653</v>
          </cell>
          <cell r="AA58">
            <v>0.3313848464219829</v>
          </cell>
          <cell r="AB58">
            <v>0.31490702822226158</v>
          </cell>
          <cell r="AC58">
            <v>0.32639665324221906</v>
          </cell>
          <cell r="AD58">
            <v>0.33054844752831125</v>
          </cell>
          <cell r="AE58">
            <v>0.33472756293271599</v>
          </cell>
        </row>
        <row r="59">
          <cell r="B59" t="str">
            <v>DOM</v>
          </cell>
          <cell r="D59">
            <v>7.4999935771180599</v>
          </cell>
          <cell r="E59">
            <v>8.2808799492088365</v>
          </cell>
          <cell r="F59">
            <v>9.7919650478771612</v>
          </cell>
          <cell r="G59">
            <v>9.5784694491302407</v>
          </cell>
          <cell r="H59">
            <v>11.30413968973002</v>
          </cell>
          <cell r="I59">
            <v>12.044010859947798</v>
          </cell>
          <cell r="J59">
            <v>13.200614607043637</v>
          </cell>
          <cell r="K59">
            <v>15.044824653595203</v>
          </cell>
          <cell r="L59">
            <v>17.865147581002677</v>
          </cell>
          <cell r="M59">
            <v>18.494394305441133</v>
          </cell>
          <cell r="N59">
            <v>19.083138279415579</v>
          </cell>
          <cell r="O59">
            <v>20.783739481881781</v>
          </cell>
          <cell r="P59">
            <v>24.805281556009263</v>
          </cell>
          <cell r="Q59">
            <v>20.852065106281344</v>
          </cell>
          <cell r="R59">
            <v>20.177341884608992</v>
          </cell>
          <cell r="S59">
            <v>21.596742589624519</v>
          </cell>
          <cell r="T59">
            <v>23.050064885126446</v>
          </cell>
          <cell r="U59">
            <v>24.297733617276663</v>
          </cell>
          <cell r="V59">
            <v>24.517365373106578</v>
          </cell>
          <cell r="W59">
            <v>24.179266096699816</v>
          </cell>
          <cell r="X59">
            <v>25.522911214208726</v>
          </cell>
          <cell r="Y59">
            <v>25.619133682808101</v>
          </cell>
          <cell r="Z59">
            <v>26.762600511883527</v>
          </cell>
          <cell r="AA59">
            <v>27.745757282333233</v>
          </cell>
          <cell r="AB59">
            <v>27.189016785602519</v>
          </cell>
          <cell r="AC59">
            <v>28.62765944169228</v>
          </cell>
          <cell r="AD59">
            <v>29.299766334767313</v>
          </cell>
          <cell r="AE59">
            <v>28.824112898543021</v>
          </cell>
        </row>
        <row r="60">
          <cell r="B60" t="str">
            <v>ECU</v>
          </cell>
          <cell r="D60">
            <v>86.895504794818635</v>
          </cell>
          <cell r="E60">
            <v>85.711270560663522</v>
          </cell>
          <cell r="F60">
            <v>87.152831997158472</v>
          </cell>
          <cell r="G60">
            <v>88.801204157474615</v>
          </cell>
          <cell r="H60">
            <v>90.606221961984375</v>
          </cell>
          <cell r="I60">
            <v>92.685901776094056</v>
          </cell>
          <cell r="J60">
            <v>96.378448404095224</v>
          </cell>
          <cell r="K60">
            <v>95.399503631188395</v>
          </cell>
          <cell r="L60">
            <v>93.02746210394946</v>
          </cell>
          <cell r="M60">
            <v>87.518812455835075</v>
          </cell>
          <cell r="N60">
            <v>86.645676902814444</v>
          </cell>
          <cell r="O60">
            <v>80.773287463846856</v>
          </cell>
          <cell r="P60">
            <v>81.088638471479555</v>
          </cell>
          <cell r="Q60">
            <v>82.599107133872536</v>
          </cell>
          <cell r="R60">
            <v>86.732565626941152</v>
          </cell>
          <cell r="S60">
            <v>88.195277067720497</v>
          </cell>
          <cell r="T60">
            <v>90.278881818291467</v>
          </cell>
          <cell r="U60">
            <v>90.979612885377549</v>
          </cell>
          <cell r="V60">
            <v>92.048668796764645</v>
          </cell>
          <cell r="W60">
            <v>96.157230496402633</v>
          </cell>
          <cell r="X60">
            <v>101.13573839663647</v>
          </cell>
          <cell r="Y60">
            <v>101.2145236619947</v>
          </cell>
          <cell r="Z60">
            <v>101.33124878914643</v>
          </cell>
          <cell r="AA60">
            <v>103.18428164581684</v>
          </cell>
          <cell r="AB60">
            <v>107.09203423093264</v>
          </cell>
          <cell r="AC60">
            <v>105.18980089449541</v>
          </cell>
          <cell r="AD60">
            <v>103.96007336394612</v>
          </cell>
          <cell r="AE60">
            <v>102.20855402345978</v>
          </cell>
        </row>
        <row r="61">
          <cell r="B61" t="str">
            <v>EGY</v>
          </cell>
          <cell r="D61">
            <v>142.23315912617417</v>
          </cell>
          <cell r="E61">
            <v>147.35077954730869</v>
          </cell>
          <cell r="F61">
            <v>154.90690679158621</v>
          </cell>
          <cell r="G61">
            <v>158.1957597707588</v>
          </cell>
          <cell r="H61">
            <v>153.91800160557045</v>
          </cell>
          <cell r="I61">
            <v>162.19289673817951</v>
          </cell>
          <cell r="J61">
            <v>170.46836205687106</v>
          </cell>
          <cell r="K61">
            <v>175.64248238216533</v>
          </cell>
          <cell r="L61">
            <v>178.77242644060144</v>
          </cell>
          <cell r="M61">
            <v>190.4872887270254</v>
          </cell>
          <cell r="N61">
            <v>187.95890063049887</v>
          </cell>
          <cell r="O61">
            <v>203.6903405779575</v>
          </cell>
          <cell r="P61">
            <v>209.75402085972985</v>
          </cell>
          <cell r="Q61">
            <v>215.90389157997674</v>
          </cell>
          <cell r="R61">
            <v>231.13047796932102</v>
          </cell>
          <cell r="S61">
            <v>255.44022107678569</v>
          </cell>
          <cell r="T61">
            <v>270.36386524567882</v>
          </cell>
          <cell r="U61">
            <v>285.75121394428862</v>
          </cell>
          <cell r="V61">
            <v>289.41042129411045</v>
          </cell>
          <cell r="W61">
            <v>296.80875667043159</v>
          </cell>
          <cell r="X61">
            <v>297.81432840609182</v>
          </cell>
          <cell r="Y61">
            <v>307.4681681302082</v>
          </cell>
          <cell r="Z61">
            <v>321.89828518979533</v>
          </cell>
          <cell r="AA61">
            <v>310.52028849784114</v>
          </cell>
          <cell r="AB61">
            <v>315.63891796013513</v>
          </cell>
          <cell r="AC61">
            <v>320.73377762436411</v>
          </cell>
          <cell r="AD61">
            <v>334.36914808141916</v>
          </cell>
          <cell r="AE61">
            <v>341.64627864752185</v>
          </cell>
        </row>
        <row r="62">
          <cell r="B62" t="str">
            <v>SLV</v>
          </cell>
          <cell r="D62">
            <v>7.8518792634820915</v>
          </cell>
          <cell r="E62">
            <v>8.7002036221998154</v>
          </cell>
          <cell r="F62">
            <v>9.2036131460566626</v>
          </cell>
          <cell r="G62">
            <v>9.4258567009902805</v>
          </cell>
          <cell r="H62">
            <v>10.130972421671611</v>
          </cell>
          <cell r="I62">
            <v>10.28826169538203</v>
          </cell>
          <cell r="J62">
            <v>10.198963833735339</v>
          </cell>
          <cell r="K62">
            <v>11.316048142649482</v>
          </cell>
          <cell r="L62">
            <v>11.208202021404393</v>
          </cell>
          <cell r="M62">
            <v>11.265740952592928</v>
          </cell>
          <cell r="N62">
            <v>11.112728888305838</v>
          </cell>
          <cell r="O62">
            <v>11.800944482249133</v>
          </cell>
          <cell r="P62">
            <v>11.940081968879598</v>
          </cell>
          <cell r="Q62">
            <v>12.229311442167401</v>
          </cell>
          <cell r="R62">
            <v>12.313707825882041</v>
          </cell>
          <cell r="S62">
            <v>12.623469302416002</v>
          </cell>
          <cell r="T62">
            <v>13.213662066766602</v>
          </cell>
          <cell r="U62">
            <v>13.563002030468219</v>
          </cell>
          <cell r="V62">
            <v>12.877245693827483</v>
          </cell>
          <cell r="W62">
            <v>12.5715467700331</v>
          </cell>
          <cell r="X62">
            <v>12.220041697974962</v>
          </cell>
          <cell r="Y62">
            <v>11.939900721953295</v>
          </cell>
          <cell r="Z62">
            <v>12.356320177123706</v>
          </cell>
          <cell r="AA62">
            <v>11.722744430031577</v>
          </cell>
          <cell r="AB62">
            <v>12.031024636687338</v>
          </cell>
          <cell r="AC62">
            <v>12.469925403676491</v>
          </cell>
          <cell r="AD62">
            <v>12.687085458938766</v>
          </cell>
          <cell r="AE62">
            <v>12.847384574112356</v>
          </cell>
        </row>
        <row r="63">
          <cell r="B63" t="str">
            <v>GNQ</v>
          </cell>
          <cell r="D63">
            <v>5.5512370387145769</v>
          </cell>
          <cell r="E63">
            <v>5.6420927681390687</v>
          </cell>
          <cell r="F63">
            <v>5.6469878224320391</v>
          </cell>
          <cell r="G63">
            <v>5.6555525370315296</v>
          </cell>
          <cell r="H63">
            <v>11.114583007225644</v>
          </cell>
          <cell r="I63">
            <v>11.11336185905914</v>
          </cell>
          <cell r="J63">
            <v>11.166455043020065</v>
          </cell>
          <cell r="K63">
            <v>12.774258971037055</v>
          </cell>
          <cell r="L63">
            <v>13.741403495317446</v>
          </cell>
          <cell r="M63">
            <v>13.792062417685443</v>
          </cell>
          <cell r="N63">
            <v>13.296588285724873</v>
          </cell>
          <cell r="O63">
            <v>15.183939990119937</v>
          </cell>
          <cell r="P63">
            <v>13.291178815504141</v>
          </cell>
          <cell r="Q63">
            <v>14.178115203775787</v>
          </cell>
          <cell r="R63">
            <v>15.365303762345635</v>
          </cell>
          <cell r="S63">
            <v>15.548276464053259</v>
          </cell>
          <cell r="T63">
            <v>15.396941786195345</v>
          </cell>
          <cell r="U63">
            <v>16.180244143518401</v>
          </cell>
          <cell r="V63">
            <v>16.797083484861211</v>
          </cell>
          <cell r="W63">
            <v>15.463309336095957</v>
          </cell>
          <cell r="X63">
            <v>16.122173633778257</v>
          </cell>
          <cell r="Y63">
            <v>16.097686701603337</v>
          </cell>
          <cell r="Z63">
            <v>13.152497140850418</v>
          </cell>
          <cell r="AA63">
            <v>12.191834599166636</v>
          </cell>
          <cell r="AB63">
            <v>12.142938379982343</v>
          </cell>
          <cell r="AC63">
            <v>11.882482812940726</v>
          </cell>
          <cell r="AD63">
            <v>11.377379599372759</v>
          </cell>
          <cell r="AE63">
            <v>10.755597335971171</v>
          </cell>
        </row>
        <row r="64">
          <cell r="B64" t="str">
            <v>ERI</v>
          </cell>
          <cell r="D64">
            <v>3.2958234681468808</v>
          </cell>
          <cell r="E64">
            <v>3.3183149723217795</v>
          </cell>
          <cell r="F64">
            <v>3.6838204658522002</v>
          </cell>
          <cell r="G64">
            <v>5.2495011922013202</v>
          </cell>
          <cell r="H64">
            <v>5.4643607251901001</v>
          </cell>
          <cell r="I64">
            <v>5.61253985936668</v>
          </cell>
          <cell r="J64">
            <v>6.0638097324544002</v>
          </cell>
          <cell r="K64">
            <v>6.6244080987367804</v>
          </cell>
          <cell r="L64">
            <v>6.5508402146246389</v>
          </cell>
          <cell r="M64">
            <v>6.4769006619241196</v>
          </cell>
          <cell r="N64">
            <v>6.717724547512562</v>
          </cell>
          <cell r="O64">
            <v>5.9245567974624791</v>
          </cell>
          <cell r="P64">
            <v>5.9158676865661404</v>
          </cell>
          <cell r="Q64">
            <v>5.9949081525097601</v>
          </cell>
          <cell r="R64">
            <v>6.0297585715871405</v>
          </cell>
          <cell r="S64">
            <v>6.0847778552985803</v>
          </cell>
          <cell r="T64">
            <v>6.01078311151538</v>
          </cell>
          <cell r="U64">
            <v>6.1195398976663595</v>
          </cell>
          <cell r="V64">
            <v>6.108371215840501</v>
          </cell>
          <cell r="W64">
            <v>6.0245961365766192</v>
          </cell>
          <cell r="X64">
            <v>6.1023614244280395</v>
          </cell>
          <cell r="Y64">
            <v>6.3446878974806014</v>
          </cell>
          <cell r="Z64">
            <v>6.4395293944154215</v>
          </cell>
          <cell r="AA64">
            <v>6.5369898781064588</v>
          </cell>
          <cell r="AB64">
            <v>6.6093859614412089</v>
          </cell>
          <cell r="AC64">
            <v>6.6969871566175154</v>
          </cell>
          <cell r="AD64">
            <v>6.8571260117702106</v>
          </cell>
          <cell r="AE64">
            <v>6.9656727464406512</v>
          </cell>
        </row>
        <row r="65">
          <cell r="B65" t="str">
            <v>EST</v>
          </cell>
          <cell r="D65">
            <v>43.835331932718049</v>
          </cell>
          <cell r="E65">
            <v>40.363332431252545</v>
          </cell>
          <cell r="F65">
            <v>30.186111646316899</v>
          </cell>
          <cell r="G65">
            <v>23.653002741752623</v>
          </cell>
          <cell r="H65">
            <v>23.377806861075467</v>
          </cell>
          <cell r="I65">
            <v>21.655004063044462</v>
          </cell>
          <cell r="J65">
            <v>22.520068656197395</v>
          </cell>
          <cell r="K65">
            <v>22.249502107457381</v>
          </cell>
          <cell r="L65">
            <v>21.183854381268571</v>
          </cell>
          <cell r="M65">
            <v>19.730335698142632</v>
          </cell>
          <cell r="N65">
            <v>19.8845191941335</v>
          </cell>
          <cell r="O65">
            <v>27.692952047009875</v>
          </cell>
          <cell r="P65">
            <v>26.959458681823868</v>
          </cell>
          <cell r="Q65">
            <v>29.081035001824791</v>
          </cell>
          <cell r="R65">
            <v>29.587816906464241</v>
          </cell>
          <cell r="S65">
            <v>29.938990788571317</v>
          </cell>
          <cell r="T65">
            <v>23.085140357758597</v>
          </cell>
          <cell r="U65">
            <v>26.962525009112674</v>
          </cell>
          <cell r="V65">
            <v>25.853422383268395</v>
          </cell>
          <cell r="W65">
            <v>22.675503612794351</v>
          </cell>
          <cell r="X65">
            <v>26.957327940614778</v>
          </cell>
          <cell r="Y65">
            <v>29.451594579123288</v>
          </cell>
          <cell r="Z65">
            <v>28.420996379685384</v>
          </cell>
          <cell r="AA65">
            <v>31.127301820147359</v>
          </cell>
          <cell r="AB65">
            <v>31.011910775969064</v>
          </cell>
          <cell r="AC65">
            <v>28.250645489569436</v>
          </cell>
          <cell r="AD65">
            <v>24.260126087626755</v>
          </cell>
          <cell r="AE65">
            <v>26.455596031264747</v>
          </cell>
        </row>
        <row r="66">
          <cell r="B66" t="str">
            <v>ETH</v>
          </cell>
          <cell r="D66">
            <v>93.686055520877005</v>
          </cell>
          <cell r="E66">
            <v>94.318312831210733</v>
          </cell>
          <cell r="F66">
            <v>94.603903190973483</v>
          </cell>
          <cell r="G66">
            <v>98.637967089926178</v>
          </cell>
          <cell r="H66">
            <v>99.897788754834025</v>
          </cell>
          <cell r="I66">
            <v>100.91802707286463</v>
          </cell>
          <cell r="J66">
            <v>103.99093794338633</v>
          </cell>
          <cell r="K66">
            <v>105.69991767841461</v>
          </cell>
          <cell r="L66">
            <v>114.74738783341286</v>
          </cell>
          <cell r="M66">
            <v>115.04759581184888</v>
          </cell>
          <cell r="N66">
            <v>108.5327633948996</v>
          </cell>
          <cell r="O66">
            <v>111.49466958513821</v>
          </cell>
          <cell r="P66">
            <v>122.88807092020664</v>
          </cell>
          <cell r="Q66">
            <v>126.09199972479368</v>
          </cell>
          <cell r="R66">
            <v>133.15538914777454</v>
          </cell>
          <cell r="S66">
            <v>132.03161956289753</v>
          </cell>
          <cell r="T66">
            <v>137.15790003912781</v>
          </cell>
          <cell r="U66">
            <v>143.93047939406588</v>
          </cell>
          <cell r="V66">
            <v>151.01592359532492</v>
          </cell>
          <cell r="W66">
            <v>154.88498148293831</v>
          </cell>
          <cell r="X66">
            <v>158.51793033240938</v>
          </cell>
          <cell r="Y66">
            <v>143.88655503693732</v>
          </cell>
          <cell r="Z66">
            <v>153.55275113965592</v>
          </cell>
          <cell r="AA66">
            <v>159.30881585177295</v>
          </cell>
          <cell r="AB66">
            <v>164.5403315831071</v>
          </cell>
          <cell r="AC66">
            <v>168.16028366396858</v>
          </cell>
          <cell r="AD66">
            <v>173.4565649365089</v>
          </cell>
          <cell r="AE66">
            <v>177.22388400564367</v>
          </cell>
        </row>
        <row r="67">
          <cell r="B67" t="str">
            <v>FRO</v>
          </cell>
          <cell r="D67">
            <v>3.1288585971524001E-2</v>
          </cell>
          <cell r="E67">
            <v>3.1086271441863999E-2</v>
          </cell>
          <cell r="F67">
            <v>3.0980364549947993E-2</v>
          </cell>
          <cell r="G67">
            <v>3.0991305993243998E-2</v>
          </cell>
          <cell r="H67">
            <v>3.0830803665412E-2</v>
          </cell>
          <cell r="I67">
            <v>3.0772796005464002E-2</v>
          </cell>
          <cell r="J67">
            <v>3.0754852321955999E-2</v>
          </cell>
          <cell r="K67">
            <v>3.0865285394800001E-2</v>
          </cell>
          <cell r="L67">
            <v>3.0993771207016005E-2</v>
          </cell>
          <cell r="M67">
            <v>3.1144564038639997E-2</v>
          </cell>
          <cell r="N67">
            <v>3.1230097495508004E-2</v>
          </cell>
          <cell r="O67">
            <v>3.1101761213567999E-2</v>
          </cell>
          <cell r="P67">
            <v>3.1196853165280002E-2</v>
          </cell>
          <cell r="Q67">
            <v>3.1249343989499998E-2</v>
          </cell>
          <cell r="R67">
            <v>3.1455071459827996E-2</v>
          </cell>
          <cell r="S67">
            <v>3.1481944802076001E-2</v>
          </cell>
          <cell r="T67">
            <v>3.1491194292516005E-2</v>
          </cell>
          <cell r="U67">
            <v>3.1524138987832004E-2</v>
          </cell>
          <cell r="V67">
            <v>3.1543478067744005E-2</v>
          </cell>
          <cell r="W67">
            <v>3.1554726424072005E-2</v>
          </cell>
          <cell r="X67">
            <v>3.1562393230099996E-2</v>
          </cell>
          <cell r="Y67">
            <v>2.9851317772968004E-2</v>
          </cell>
          <cell r="Z67">
            <v>2.9851523151852005E-2</v>
          </cell>
          <cell r="AA67">
            <v>2.9867126605849323E-2</v>
          </cell>
          <cell r="AB67">
            <v>3.040224477511335E-2</v>
          </cell>
          <cell r="AC67">
            <v>3.0584268784528079E-2</v>
          </cell>
          <cell r="AD67">
            <v>2.992223387427552E-2</v>
          </cell>
          <cell r="AE67">
            <v>2.9792335076212248E-2</v>
          </cell>
        </row>
        <row r="68">
          <cell r="B68" t="str">
            <v>FLK</v>
          </cell>
          <cell r="D68">
            <v>0.1913938056489588</v>
          </cell>
          <cell r="E68">
            <v>0.19083374275699061</v>
          </cell>
          <cell r="F68">
            <v>0.18471638496603221</v>
          </cell>
          <cell r="G68">
            <v>0.18387311835263032</v>
          </cell>
          <cell r="H68">
            <v>0.1885789243376686</v>
          </cell>
          <cell r="I68">
            <v>0.18930037294632435</v>
          </cell>
          <cell r="J68">
            <v>0.17394277703213465</v>
          </cell>
          <cell r="K68">
            <v>0.18411442581318704</v>
          </cell>
          <cell r="L68">
            <v>0.17596591442990825</v>
          </cell>
          <cell r="M68">
            <v>0.17562500810406395</v>
          </cell>
          <cell r="N68">
            <v>0.15894965446186329</v>
          </cell>
          <cell r="O68">
            <v>0.38471496221081636</v>
          </cell>
          <cell r="P68">
            <v>0.14131959478617115</v>
          </cell>
          <cell r="Q68">
            <v>0.14268353540413081</v>
          </cell>
          <cell r="R68">
            <v>0.17443586923771726</v>
          </cell>
          <cell r="S68">
            <v>0.15872905899185166</v>
          </cell>
          <cell r="T68">
            <v>0.16920864694409762</v>
          </cell>
          <cell r="U68">
            <v>0.16482273437150075</v>
          </cell>
          <cell r="V68">
            <v>0.16560197407642055</v>
          </cell>
          <cell r="W68">
            <v>0.1663217313699035</v>
          </cell>
          <cell r="X68">
            <v>0.16766891636352288</v>
          </cell>
          <cell r="Y68">
            <v>0.16778552684038395</v>
          </cell>
          <cell r="Z68">
            <v>0.23342959882000705</v>
          </cell>
          <cell r="AA68">
            <v>0.20423954634231412</v>
          </cell>
          <cell r="AB68">
            <v>0.1837204880337297</v>
          </cell>
          <cell r="AC68">
            <v>0.18546467656005944</v>
          </cell>
          <cell r="AD68">
            <v>0.18530486368703036</v>
          </cell>
          <cell r="AE68">
            <v>0.18526638066055906</v>
          </cell>
        </row>
        <row r="69">
          <cell r="B69" t="str">
            <v>FJI</v>
          </cell>
          <cell r="D69">
            <v>0.39911422315554557</v>
          </cell>
          <cell r="E69">
            <v>0.24540391481221602</v>
          </cell>
          <cell r="F69">
            <v>0.22059490429322182</v>
          </cell>
          <cell r="G69">
            <v>0.29642097871220185</v>
          </cell>
          <cell r="H69">
            <v>0.32162653395071805</v>
          </cell>
          <cell r="I69">
            <v>0.43858803875173491</v>
          </cell>
          <cell r="J69">
            <v>0.52509580873324957</v>
          </cell>
          <cell r="K69">
            <v>0.54630279071931986</v>
          </cell>
          <cell r="L69">
            <v>0.53937324773800599</v>
          </cell>
          <cell r="M69">
            <v>0.58166320319776155</v>
          </cell>
          <cell r="N69">
            <v>0.70857616161872583</v>
          </cell>
          <cell r="O69">
            <v>0.54729181884178013</v>
          </cell>
          <cell r="P69">
            <v>0.68880563026728314</v>
          </cell>
          <cell r="Q69">
            <v>0.98510953460621753</v>
          </cell>
          <cell r="R69">
            <v>1.3987263449609229</v>
          </cell>
          <cell r="S69">
            <v>1.3832767422637087</v>
          </cell>
          <cell r="T69">
            <v>4.0025958931125816</v>
          </cell>
          <cell r="U69">
            <v>3.8061690428967765</v>
          </cell>
          <cell r="V69">
            <v>3.7158779327946996</v>
          </cell>
          <cell r="W69">
            <v>3.038416093269257</v>
          </cell>
          <cell r="X69">
            <v>3.1210299613940156</v>
          </cell>
          <cell r="Y69">
            <v>-0.21966877318942535</v>
          </cell>
          <cell r="Z69">
            <v>0.385170640860796</v>
          </cell>
          <cell r="AA69">
            <v>0.34218059291298886</v>
          </cell>
          <cell r="AB69">
            <v>-0.41792287618279156</v>
          </cell>
          <cell r="AC69">
            <v>-0.41060530947059348</v>
          </cell>
          <cell r="AD69">
            <v>-0.21027686202074714</v>
          </cell>
          <cell r="AE69">
            <v>-4.3249184861057888E-2</v>
          </cell>
        </row>
        <row r="70">
          <cell r="B70" t="str">
            <v>FIN</v>
          </cell>
          <cell r="D70">
            <v>52.896968816678665</v>
          </cell>
          <cell r="E70">
            <v>52.930906708454515</v>
          </cell>
          <cell r="F70">
            <v>49.348835441375684</v>
          </cell>
          <cell r="G70">
            <v>51.026559778671015</v>
          </cell>
          <cell r="H70">
            <v>58.246428177255581</v>
          </cell>
          <cell r="I70">
            <v>54.910620694118307</v>
          </cell>
          <cell r="J70">
            <v>60.691461237473156</v>
          </cell>
          <cell r="K70">
            <v>59.162676158499522</v>
          </cell>
          <cell r="L70">
            <v>55.525693815365784</v>
          </cell>
          <cell r="M70">
            <v>54.830696295581028</v>
          </cell>
          <cell r="N70">
            <v>53.480840858878736</v>
          </cell>
          <cell r="O70">
            <v>68.123910548228466</v>
          </cell>
          <cell r="P70">
            <v>70.486519002932937</v>
          </cell>
          <cell r="Q70">
            <v>79.165952872903233</v>
          </cell>
          <cell r="R70">
            <v>75.845163136448534</v>
          </cell>
          <cell r="S70">
            <v>62.896207529884258</v>
          </cell>
          <cell r="T70">
            <v>72.094725498590094</v>
          </cell>
          <cell r="U70">
            <v>70.412395849899326</v>
          </cell>
          <cell r="V70">
            <v>61.50703264230777</v>
          </cell>
          <cell r="W70">
            <v>56.7963862223992</v>
          </cell>
          <cell r="X70">
            <v>66.723980875147817</v>
          </cell>
          <cell r="Y70">
            <v>85.28506956640652</v>
          </cell>
          <cell r="Z70">
            <v>79.558016106741931</v>
          </cell>
          <cell r="AA70">
            <v>81.221410466372092</v>
          </cell>
          <cell r="AB70">
            <v>77.733507944104318</v>
          </cell>
          <cell r="AC70">
            <v>74.984599437748969</v>
          </cell>
          <cell r="AD70">
            <v>79.327843608334504</v>
          </cell>
          <cell r="AE70">
            <v>77.796642231967496</v>
          </cell>
        </row>
        <row r="71">
          <cell r="B71" t="str">
            <v>FRA</v>
          </cell>
          <cell r="D71">
            <v>511.43461823929897</v>
          </cell>
          <cell r="E71">
            <v>536.85383109304462</v>
          </cell>
          <cell r="F71">
            <v>524.46849482264122</v>
          </cell>
          <cell r="G71">
            <v>506.00534236771284</v>
          </cell>
          <cell r="H71">
            <v>497.64052049326574</v>
          </cell>
          <cell r="I71">
            <v>503.02430802806361</v>
          </cell>
          <cell r="J71">
            <v>521.10656080144634</v>
          </cell>
          <cell r="K71">
            <v>512.77286300327</v>
          </cell>
          <cell r="L71">
            <v>523.21489805933345</v>
          </cell>
          <cell r="M71">
            <v>513.828660207246</v>
          </cell>
          <cell r="N71">
            <v>510.97675785677842</v>
          </cell>
          <cell r="O71">
            <v>461.33533131145134</v>
          </cell>
          <cell r="P71">
            <v>454.26213392707626</v>
          </cell>
          <cell r="Q71">
            <v>457.54066966848478</v>
          </cell>
          <cell r="R71">
            <v>457.70026049510921</v>
          </cell>
          <cell r="S71">
            <v>459.69535662516444</v>
          </cell>
          <cell r="T71">
            <v>474.20892079149286</v>
          </cell>
          <cell r="U71">
            <v>468.73789597230382</v>
          </cell>
          <cell r="V71">
            <v>465.81953938039237</v>
          </cell>
          <cell r="W71">
            <v>447.77711163100889</v>
          </cell>
          <cell r="X71">
            <v>458.50930951668153</v>
          </cell>
          <cell r="Y71">
            <v>400.00295151046657</v>
          </cell>
          <cell r="Z71">
            <v>403.45708949210183</v>
          </cell>
          <cell r="AA71">
            <v>408.83457181770746</v>
          </cell>
          <cell r="AB71">
            <v>378.38986137779273</v>
          </cell>
          <cell r="AC71">
            <v>388.8202842704701</v>
          </cell>
          <cell r="AD71">
            <v>393.54318203472724</v>
          </cell>
          <cell r="AE71">
            <v>402.49506497020013</v>
          </cell>
        </row>
        <row r="72">
          <cell r="B72" t="str">
            <v>GUF</v>
          </cell>
          <cell r="D72">
            <v>3.2864938584426957</v>
          </cell>
          <cell r="E72">
            <v>3.362166116784215</v>
          </cell>
          <cell r="F72">
            <v>3.2805029671465857</v>
          </cell>
          <cell r="G72">
            <v>3.3724782116532057</v>
          </cell>
          <cell r="H72">
            <v>3.368727777807826</v>
          </cell>
          <cell r="I72">
            <v>3.4057290568140157</v>
          </cell>
          <cell r="J72">
            <v>3.4345788403394089</v>
          </cell>
          <cell r="K72">
            <v>3.404917392241142</v>
          </cell>
          <cell r="L72">
            <v>3.4490239094434418</v>
          </cell>
          <cell r="M72">
            <v>3.4596356953564817</v>
          </cell>
          <cell r="N72">
            <v>3.3861744952310477</v>
          </cell>
          <cell r="O72">
            <v>2.9984794740639527</v>
          </cell>
          <cell r="P72">
            <v>3.0305847437016871</v>
          </cell>
          <cell r="Q72">
            <v>3.3116880389784384</v>
          </cell>
          <cell r="R72">
            <v>3.1298780920918992</v>
          </cell>
          <cell r="S72">
            <v>3.1482219102487039</v>
          </cell>
          <cell r="T72">
            <v>5.2132611276458034</v>
          </cell>
          <cell r="U72">
            <v>5.2408795683973199</v>
          </cell>
          <cell r="V72">
            <v>5.3347237605545237</v>
          </cell>
          <cell r="W72">
            <v>5.3531123584927753</v>
          </cell>
          <cell r="X72">
            <v>5.270213079798781</v>
          </cell>
          <cell r="Y72">
            <v>1.4808292722544731</v>
          </cell>
          <cell r="Z72">
            <v>1.8637769497506231</v>
          </cell>
          <cell r="AA72">
            <v>1.9327989722745818</v>
          </cell>
          <cell r="AB72">
            <v>1.8637867027819786</v>
          </cell>
          <cell r="AC72">
            <v>1.8614304580374255</v>
          </cell>
          <cell r="AD72">
            <v>1.8672856553582782</v>
          </cell>
          <cell r="AE72">
            <v>1.8737080994479913</v>
          </cell>
        </row>
        <row r="73">
          <cell r="B73" t="str">
            <v>PYF</v>
          </cell>
          <cell r="D73">
            <v>-1.5741235345088338</v>
          </cell>
          <cell r="E73">
            <v>-1.5934078133574507</v>
          </cell>
          <cell r="F73">
            <v>-1.6585901804140786</v>
          </cell>
          <cell r="G73">
            <v>-1.7059547979624454</v>
          </cell>
          <cell r="H73">
            <v>-1.8216048789169195</v>
          </cell>
          <cell r="I73">
            <v>-1.798321219943535</v>
          </cell>
          <cell r="J73">
            <v>-1.7718315775953957</v>
          </cell>
          <cell r="K73">
            <v>-1.7676326846271544</v>
          </cell>
          <cell r="L73">
            <v>-1.7123564167455532</v>
          </cell>
          <cell r="M73">
            <v>-1.7366752274884569</v>
          </cell>
          <cell r="N73">
            <v>-1.7088727587039632</v>
          </cell>
          <cell r="O73">
            <v>-1.6850246682945316</v>
          </cell>
          <cell r="P73">
            <v>-1.7217598972712502</v>
          </cell>
          <cell r="Q73">
            <v>-1.6289212287807415</v>
          </cell>
          <cell r="R73">
            <v>-1.5460220751410612</v>
          </cell>
          <cell r="S73">
            <v>-1.4731129749394549</v>
          </cell>
          <cell r="T73">
            <v>-1.4866785403284253</v>
          </cell>
          <cell r="U73">
            <v>-1.5335541904297842</v>
          </cell>
          <cell r="V73">
            <v>-1.4099618373249692</v>
          </cell>
          <cell r="W73">
            <v>-1.4323072029845325</v>
          </cell>
          <cell r="X73">
            <v>-1.3646264919434292</v>
          </cell>
          <cell r="Y73">
            <v>1.2947248529562871</v>
          </cell>
          <cell r="Z73">
            <v>1.7764841050920044</v>
          </cell>
          <cell r="AA73">
            <v>1.063910337242131</v>
          </cell>
          <cell r="AB73">
            <v>0.7173068401816709</v>
          </cell>
          <cell r="AC73">
            <v>0.71950617201738609</v>
          </cell>
          <cell r="AD73">
            <v>0.78393745521057046</v>
          </cell>
          <cell r="AE73">
            <v>0.82720968078967538</v>
          </cell>
        </row>
        <row r="74">
          <cell r="B74" t="str">
            <v>GAB</v>
          </cell>
          <cell r="D74">
            <v>28.149992610832097</v>
          </cell>
          <cell r="E74">
            <v>22.564488189540416</v>
          </cell>
          <cell r="F74">
            <v>22.622836286086685</v>
          </cell>
          <cell r="G74">
            <v>22.811590389465593</v>
          </cell>
          <cell r="H74">
            <v>21.747947845462441</v>
          </cell>
          <cell r="I74">
            <v>23.027464463593617</v>
          </cell>
          <cell r="J74">
            <v>24.187776467697041</v>
          </cell>
          <cell r="K74">
            <v>21.374035224514724</v>
          </cell>
          <cell r="L74">
            <v>23.009196706763277</v>
          </cell>
          <cell r="M74">
            <v>20.537373240817999</v>
          </cell>
          <cell r="N74">
            <v>19.110504736605698</v>
          </cell>
          <cell r="O74">
            <v>19.41574893543169</v>
          </cell>
          <cell r="P74">
            <v>18.800118349470758</v>
          </cell>
          <cell r="Q74">
            <v>21.553361183147505</v>
          </cell>
          <cell r="R74">
            <v>19.352470978988961</v>
          </cell>
          <cell r="S74">
            <v>18.314722213711843</v>
          </cell>
          <cell r="T74">
            <v>16.006236001411462</v>
          </cell>
          <cell r="U74">
            <v>14.167531301465699</v>
          </cell>
          <cell r="V74">
            <v>15.145686094197579</v>
          </cell>
          <cell r="W74">
            <v>14.702604632655719</v>
          </cell>
          <cell r="X74">
            <v>15.176304290493022</v>
          </cell>
          <cell r="Y74">
            <v>-80.390746101114473</v>
          </cell>
          <cell r="Z74">
            <v>-80.467971486170029</v>
          </cell>
          <cell r="AA74">
            <v>-79.813184546208745</v>
          </cell>
          <cell r="AB74">
            <v>-79.410827793877544</v>
          </cell>
          <cell r="AC74">
            <v>-78.891275998287384</v>
          </cell>
          <cell r="AD74">
            <v>-78.6479646458708</v>
          </cell>
          <cell r="AE74">
            <v>-78.934096323001569</v>
          </cell>
        </row>
        <row r="75">
          <cell r="B75" t="str">
            <v>GMB</v>
          </cell>
          <cell r="D75">
            <v>0.78513323105083022</v>
          </cell>
          <cell r="E75">
            <v>0.84458590322340943</v>
          </cell>
          <cell r="F75">
            <v>0.82801345340640753</v>
          </cell>
          <cell r="G75">
            <v>0.82670482717018567</v>
          </cell>
          <cell r="H75">
            <v>0.85320036286502232</v>
          </cell>
          <cell r="I75">
            <v>0.87175503176244085</v>
          </cell>
          <cell r="J75">
            <v>0.86932724016423557</v>
          </cell>
          <cell r="K75">
            <v>0.87083423599659682</v>
          </cell>
          <cell r="L75">
            <v>0.86834552507216056</v>
          </cell>
          <cell r="M75">
            <v>1.0722826027067476</v>
          </cell>
          <cell r="N75">
            <v>1.1004167593071539</v>
          </cell>
          <cell r="O75">
            <v>1.0564538932605385</v>
          </cell>
          <cell r="P75">
            <v>0.96927806069010569</v>
          </cell>
          <cell r="Q75">
            <v>0.96298234580641184</v>
          </cell>
          <cell r="R75">
            <v>1.1835633253876541</v>
          </cell>
          <cell r="S75">
            <v>1.1851321338579566</v>
          </cell>
          <cell r="T75">
            <v>1.4299192597369654</v>
          </cell>
          <cell r="U75">
            <v>1.455799847463267</v>
          </cell>
          <cell r="V75">
            <v>1.508585011908417</v>
          </cell>
          <cell r="W75">
            <v>1.5987381535654182</v>
          </cell>
          <cell r="X75">
            <v>1.7626942135269883</v>
          </cell>
          <cell r="Y75">
            <v>1.7657001183088237</v>
          </cell>
          <cell r="Z75">
            <v>1.6954177971884516</v>
          </cell>
          <cell r="AA75">
            <v>1.7806357786052587</v>
          </cell>
          <cell r="AB75">
            <v>1.8459622271530678</v>
          </cell>
          <cell r="AC75">
            <v>1.9325842553420636</v>
          </cell>
          <cell r="AD75">
            <v>1.9954717619791917</v>
          </cell>
          <cell r="AE75">
            <v>2.032063937346865</v>
          </cell>
        </row>
        <row r="76">
          <cell r="B76" t="str">
            <v>GEO</v>
          </cell>
          <cell r="D76">
            <v>41.592422620410574</v>
          </cell>
          <cell r="E76">
            <v>33.244569383038552</v>
          </cell>
          <cell r="F76">
            <v>23.337877930710505</v>
          </cell>
          <cell r="G76">
            <v>18.560878606233778</v>
          </cell>
          <cell r="H76">
            <v>11.943394095054948</v>
          </cell>
          <cell r="I76">
            <v>9.3768972651968578</v>
          </cell>
          <cell r="J76">
            <v>7.9236255067525203</v>
          </cell>
          <cell r="K76">
            <v>7.2499702283291088</v>
          </cell>
          <cell r="L76">
            <v>6.4864014146319287</v>
          </cell>
          <cell r="M76">
            <v>6.1872696714431115</v>
          </cell>
          <cell r="N76">
            <v>6.6809491901283033</v>
          </cell>
          <cell r="O76">
            <v>5.4534832934274613</v>
          </cell>
          <cell r="P76">
            <v>5.2119940967015213</v>
          </cell>
          <cell r="Q76">
            <v>5.649673589010872</v>
          </cell>
          <cell r="R76">
            <v>6.0408258781924333</v>
          </cell>
          <cell r="S76">
            <v>6.6729872920687079</v>
          </cell>
          <cell r="T76">
            <v>7.2343238555967417</v>
          </cell>
          <cell r="U76">
            <v>7.9408920819304889</v>
          </cell>
          <cell r="V76">
            <v>7.0134779143075017</v>
          </cell>
          <cell r="W76">
            <v>7.7857700812091259</v>
          </cell>
          <cell r="X76">
            <v>7.6177326915996524</v>
          </cell>
          <cell r="Y76">
            <v>12.473801608726328</v>
          </cell>
          <cell r="Z76">
            <v>13.270344353785312</v>
          </cell>
          <cell r="AA76">
            <v>13.649781334601947</v>
          </cell>
          <cell r="AB76">
            <v>14.920109175372923</v>
          </cell>
          <cell r="AC76">
            <v>15.209323683715864</v>
          </cell>
          <cell r="AD76">
            <v>15.533397208612385</v>
          </cell>
          <cell r="AE76">
            <v>16.462869978808097</v>
          </cell>
        </row>
        <row r="77">
          <cell r="B77" t="str">
            <v>DEU</v>
          </cell>
          <cell r="D77">
            <v>1191.9393331615545</v>
          </cell>
          <cell r="E77">
            <v>1163.8750905915879</v>
          </cell>
          <cell r="F77">
            <v>1101.8890163970343</v>
          </cell>
          <cell r="G77">
            <v>1085.4376141068226</v>
          </cell>
          <cell r="H77">
            <v>1075.25805257928</v>
          </cell>
          <cell r="I77">
            <v>1067.6348261894523</v>
          </cell>
          <cell r="J77">
            <v>1093.5967022759464</v>
          </cell>
          <cell r="K77">
            <v>1055.1747094467307</v>
          </cell>
          <cell r="L77">
            <v>1026.9141294800227</v>
          </cell>
          <cell r="M77">
            <v>987.7614325649871</v>
          </cell>
          <cell r="N77">
            <v>983.74039382982778</v>
          </cell>
          <cell r="O77">
            <v>1025.148880002969</v>
          </cell>
          <cell r="P77">
            <v>1006.2570900698495</v>
          </cell>
          <cell r="Q77">
            <v>1005.8100769710418</v>
          </cell>
          <cell r="R77">
            <v>989.22563245898175</v>
          </cell>
          <cell r="S77">
            <v>966.78904703297053</v>
          </cell>
          <cell r="T77">
            <v>987.18619224241047</v>
          </cell>
          <cell r="U77">
            <v>955.90836253866291</v>
          </cell>
          <cell r="V77">
            <v>969.96685572855949</v>
          </cell>
          <cell r="W77">
            <v>904.41872339036615</v>
          </cell>
          <cell r="X77">
            <v>942.93309632573789</v>
          </cell>
          <cell r="Y77">
            <v>893.21678548680029</v>
          </cell>
          <cell r="Z77">
            <v>906.73233185845334</v>
          </cell>
          <cell r="AA77">
            <v>926.57360562046313</v>
          </cell>
          <cell r="AB77">
            <v>890.82360382938509</v>
          </cell>
          <cell r="AC77">
            <v>895.14614151066201</v>
          </cell>
          <cell r="AD77">
            <v>903.21090222197302</v>
          </cell>
          <cell r="AE77">
            <v>901.50357871020685</v>
          </cell>
        </row>
        <row r="78">
          <cell r="B78" t="str">
            <v>GHA</v>
          </cell>
          <cell r="D78">
            <v>36.077669468460734</v>
          </cell>
          <cell r="E78">
            <v>36.359044149523982</v>
          </cell>
          <cell r="F78">
            <v>36.926656586284892</v>
          </cell>
          <cell r="G78">
            <v>37.181334279324929</v>
          </cell>
          <cell r="H78">
            <v>37.504348024170163</v>
          </cell>
          <cell r="I78">
            <v>37.955769936030585</v>
          </cell>
          <cell r="J78">
            <v>38.280505684854361</v>
          </cell>
          <cell r="K78">
            <v>39.125873853368184</v>
          </cell>
          <cell r="L78">
            <v>42.675429437954648</v>
          </cell>
          <cell r="M78">
            <v>41.704700077166827</v>
          </cell>
          <cell r="N78">
            <v>42.400794463737355</v>
          </cell>
          <cell r="O78">
            <v>59.80295198040038</v>
          </cell>
          <cell r="P78">
            <v>60.129079159093521</v>
          </cell>
          <cell r="Q78">
            <v>60.381791870514881</v>
          </cell>
          <cell r="R78">
            <v>59.031824827120467</v>
          </cell>
          <cell r="S78">
            <v>62.324102102931576</v>
          </cell>
          <cell r="T78">
            <v>18.596580088456765</v>
          </cell>
          <cell r="U78">
            <v>18.463717039247101</v>
          </cell>
          <cell r="V78">
            <v>18.359943657533098</v>
          </cell>
          <cell r="W78">
            <v>19.523388751183084</v>
          </cell>
          <cell r="X78">
            <v>21.557777365822844</v>
          </cell>
          <cell r="Y78">
            <v>40.499328492572936</v>
          </cell>
          <cell r="Z78">
            <v>41.540108781322196</v>
          </cell>
          <cell r="AA78">
            <v>44.96299078335737</v>
          </cell>
          <cell r="AB78">
            <v>45.372808661829175</v>
          </cell>
          <cell r="AC78">
            <v>47.410581627771457</v>
          </cell>
          <cell r="AD78">
            <v>49.622230519213318</v>
          </cell>
          <cell r="AE78">
            <v>55.025259211611939</v>
          </cell>
        </row>
        <row r="79">
          <cell r="B79" t="str">
            <v>GIB</v>
          </cell>
          <cell r="D79">
            <v>0.162102037541</v>
          </cell>
          <cell r="E79">
            <v>0.22248267321329998</v>
          </cell>
          <cell r="F79">
            <v>0.26133060465240004</v>
          </cell>
          <cell r="G79">
            <v>0.26456849055332005</v>
          </cell>
          <cell r="H79">
            <v>0.30941976599886001</v>
          </cell>
          <cell r="I79">
            <v>0.30311419591489991</v>
          </cell>
          <cell r="J79">
            <v>0.30922291428434395</v>
          </cell>
          <cell r="K79">
            <v>0.31873541183036996</v>
          </cell>
          <cell r="L79">
            <v>0.33531252323695998</v>
          </cell>
          <cell r="M79">
            <v>0.34736877975902997</v>
          </cell>
          <cell r="N79">
            <v>0.36316630552425999</v>
          </cell>
          <cell r="O79">
            <v>0.37209384848974802</v>
          </cell>
          <cell r="P79">
            <v>0.37860054318863995</v>
          </cell>
          <cell r="Q79">
            <v>0.385062073250104</v>
          </cell>
          <cell r="R79">
            <v>0.41695802525292003</v>
          </cell>
          <cell r="S79">
            <v>0.43011407213194003</v>
          </cell>
          <cell r="T79">
            <v>0.44910128090917995</v>
          </cell>
          <cell r="U79">
            <v>0.44608611804589993</v>
          </cell>
          <cell r="V79">
            <v>0.45580164308006005</v>
          </cell>
          <cell r="W79">
            <v>0.49729706730603002</v>
          </cell>
          <cell r="X79">
            <v>0.50075282544832</v>
          </cell>
          <cell r="Y79">
            <v>0.48503735264544001</v>
          </cell>
          <cell r="Z79">
            <v>0.49455925435836001</v>
          </cell>
          <cell r="AA79">
            <v>0.52615591950483009</v>
          </cell>
          <cell r="AB79">
            <v>0.56410239127096107</v>
          </cell>
          <cell r="AC79">
            <v>0.60203109782397235</v>
          </cell>
          <cell r="AD79">
            <v>0.64399648523007758</v>
          </cell>
          <cell r="AE79">
            <v>0.65462028220192947</v>
          </cell>
        </row>
        <row r="80">
          <cell r="B80" t="str">
            <v>GRC</v>
          </cell>
          <cell r="D80">
            <v>108.18832914150228</v>
          </cell>
          <cell r="E80">
            <v>107.61563565961568</v>
          </cell>
          <cell r="F80">
            <v>109.71461139901497</v>
          </cell>
          <cell r="G80">
            <v>109.46229152181417</v>
          </cell>
          <cell r="H80">
            <v>111.80352776937782</v>
          </cell>
          <cell r="I80">
            <v>115.80778002907087</v>
          </cell>
          <cell r="J80">
            <v>116.50914984778228</v>
          </cell>
          <cell r="K80">
            <v>117.79535191080605</v>
          </cell>
          <cell r="L80">
            <v>122.09435339137984</v>
          </cell>
          <cell r="M80">
            <v>122.72886473965559</v>
          </cell>
          <cell r="N80">
            <v>129.15576307532984</v>
          </cell>
          <cell r="O80">
            <v>127.88577090374774</v>
          </cell>
          <cell r="P80">
            <v>130.02335726265773</v>
          </cell>
          <cell r="Q80">
            <v>133.85420843558541</v>
          </cell>
          <cell r="R80">
            <v>133.67792601386768</v>
          </cell>
          <cell r="S80">
            <v>135.87247228421271</v>
          </cell>
          <cell r="T80">
            <v>133.13087149581975</v>
          </cell>
          <cell r="U80">
            <v>137.24449882516731</v>
          </cell>
          <cell r="V80">
            <v>132.95234849792524</v>
          </cell>
          <cell r="W80">
            <v>126.66753317249177</v>
          </cell>
          <cell r="X80">
            <v>119.69407944525038</v>
          </cell>
          <cell r="Y80">
            <v>116.85436599756633</v>
          </cell>
          <cell r="Z80">
            <v>112.08099258663155</v>
          </cell>
          <cell r="AA80">
            <v>104.08771098446776</v>
          </cell>
          <cell r="AB80">
            <v>101.09594228737997</v>
          </cell>
          <cell r="AC80">
            <v>99.382090971433541</v>
          </cell>
          <cell r="AD80">
            <v>96.998290426781651</v>
          </cell>
          <cell r="AE80">
            <v>100.99315617743719</v>
          </cell>
        </row>
        <row r="81">
          <cell r="B81" t="str">
            <v>GRL</v>
          </cell>
          <cell r="D81">
            <v>0.20016281960640003</v>
          </cell>
          <cell r="E81">
            <v>0.2027397386642</v>
          </cell>
          <cell r="F81">
            <v>0.2054051563898</v>
          </cell>
          <cell r="G81">
            <v>0.2079421228942</v>
          </cell>
          <cell r="H81">
            <v>0.21044101283619998</v>
          </cell>
          <cell r="I81">
            <v>0.21296098275600003</v>
          </cell>
          <cell r="J81">
            <v>0.21546527385540001</v>
          </cell>
          <cell r="K81">
            <v>0.21799901018539997</v>
          </cell>
          <cell r="L81">
            <v>0.22053858654519998</v>
          </cell>
          <cell r="M81">
            <v>0.22309319147580001</v>
          </cell>
          <cell r="N81">
            <v>0.2253095609577434</v>
          </cell>
          <cell r="O81">
            <v>0.22780501848594337</v>
          </cell>
          <cell r="P81">
            <v>0.23003789506766198</v>
          </cell>
          <cell r="Q81">
            <v>0.23272532797820403</v>
          </cell>
          <cell r="R81">
            <v>0.85312242958917517</v>
          </cell>
          <cell r="S81">
            <v>0.86522701931514101</v>
          </cell>
          <cell r="T81">
            <v>0.89326153196488911</v>
          </cell>
          <cell r="U81">
            <v>0.88326569278577505</v>
          </cell>
          <cell r="V81">
            <v>0.90187198676094305</v>
          </cell>
          <cell r="W81">
            <v>0.81516853523880506</v>
          </cell>
          <cell r="X81">
            <v>0.90798662519978512</v>
          </cell>
          <cell r="Y81">
            <v>0.9590634491955069</v>
          </cell>
          <cell r="Z81">
            <v>0.80553015478895706</v>
          </cell>
          <cell r="AA81">
            <v>0.7925191846139571</v>
          </cell>
          <cell r="AB81">
            <v>0.75351187344279613</v>
          </cell>
          <cell r="AC81">
            <v>0.76000700539953514</v>
          </cell>
          <cell r="AD81">
            <v>0.75994900852711567</v>
          </cell>
          <cell r="AE81">
            <v>0.75997968473958633</v>
          </cell>
        </row>
        <row r="82">
          <cell r="B82" t="str">
            <v>GRD</v>
          </cell>
          <cell r="D82">
            <v>0.115382353560305</v>
          </cell>
          <cell r="E82">
            <v>0.12046882784844082</v>
          </cell>
          <cell r="F82">
            <v>0.12122338535945282</v>
          </cell>
          <cell r="G82">
            <v>0.11764194208438501</v>
          </cell>
          <cell r="H82">
            <v>0.11912390590825059</v>
          </cell>
          <cell r="I82">
            <v>0.11881721245654281</v>
          </cell>
          <cell r="J82">
            <v>0.12039772174564162</v>
          </cell>
          <cell r="K82">
            <v>0.15308116183847997</v>
          </cell>
          <cell r="L82">
            <v>0.15116564497625604</v>
          </cell>
          <cell r="M82">
            <v>0.15683872929773116</v>
          </cell>
          <cell r="N82">
            <v>0.13177877467965202</v>
          </cell>
          <cell r="O82">
            <v>0.51543694351500602</v>
          </cell>
          <cell r="P82">
            <v>0.51534986440899</v>
          </cell>
          <cell r="Q82">
            <v>0.51487412282215683</v>
          </cell>
          <cell r="R82">
            <v>0.55478473093939418</v>
          </cell>
          <cell r="S82">
            <v>0.54108831352640496</v>
          </cell>
          <cell r="T82">
            <v>1.235776750812459E-2</v>
          </cell>
          <cell r="U82">
            <v>1.7044429591222654E-2</v>
          </cell>
          <cell r="V82">
            <v>1.8893901166395027E-2</v>
          </cell>
          <cell r="W82">
            <v>2.56098514348016E-2</v>
          </cell>
          <cell r="X82">
            <v>3.6177189839872614E-2</v>
          </cell>
          <cell r="Y82">
            <v>0.21205121508584635</v>
          </cell>
          <cell r="Z82">
            <v>0.34110031611011005</v>
          </cell>
          <cell r="AA82">
            <v>0.42059430496299871</v>
          </cell>
          <cell r="AB82">
            <v>0.36007237009492871</v>
          </cell>
          <cell r="AC82">
            <v>0.37962759546175007</v>
          </cell>
          <cell r="AD82">
            <v>0.3804001305066716</v>
          </cell>
          <cell r="AE82">
            <v>0.38119353589656829</v>
          </cell>
        </row>
        <row r="83">
          <cell r="B83" t="str">
            <v>GLP</v>
          </cell>
          <cell r="D83">
            <v>1.474728587131233</v>
          </cell>
          <cell r="E83">
            <v>1.5954443669901799</v>
          </cell>
          <cell r="F83">
            <v>1.5438985479933538</v>
          </cell>
          <cell r="G83">
            <v>1.5753803563692541</v>
          </cell>
          <cell r="H83">
            <v>1.6189383129680921</v>
          </cell>
          <cell r="I83">
            <v>1.587559766043896</v>
          </cell>
          <cell r="J83">
            <v>1.6484167396769063</v>
          </cell>
          <cell r="K83">
            <v>1.6118791508114862</v>
          </cell>
          <cell r="L83">
            <v>1.6262101497969719</v>
          </cell>
          <cell r="M83">
            <v>1.6465960612272859</v>
          </cell>
          <cell r="N83">
            <v>1.6946237874105079</v>
          </cell>
          <cell r="O83">
            <v>1.6715052997786302</v>
          </cell>
          <cell r="P83">
            <v>1.7451923907137197</v>
          </cell>
          <cell r="Q83">
            <v>1.7551319258121478</v>
          </cell>
          <cell r="R83">
            <v>1.7852286824192649</v>
          </cell>
          <cell r="S83">
            <v>1.7314773695377577</v>
          </cell>
          <cell r="T83">
            <v>1.7490771663033897</v>
          </cell>
          <cell r="U83">
            <v>1.9151744381156908</v>
          </cell>
          <cell r="V83">
            <v>2.0142795761763748</v>
          </cell>
          <cell r="W83">
            <v>1.8404326594906921</v>
          </cell>
          <cell r="X83">
            <v>1.9132930419084759</v>
          </cell>
          <cell r="Y83">
            <v>1.7501931599870157</v>
          </cell>
          <cell r="Z83">
            <v>2.7823742807532552</v>
          </cell>
          <cell r="AA83">
            <v>3.1159290691522701</v>
          </cell>
          <cell r="AB83">
            <v>2.9903299756920405</v>
          </cell>
          <cell r="AC83">
            <v>3.0307924677340621</v>
          </cell>
          <cell r="AD83">
            <v>3.0322979319037464</v>
          </cell>
          <cell r="AE83">
            <v>3.0394055154019961</v>
          </cell>
        </row>
        <row r="84">
          <cell r="B84" t="str">
            <v>GTM</v>
          </cell>
          <cell r="D84">
            <v>27.719172375608959</v>
          </cell>
          <cell r="E84">
            <v>28.2059334306308</v>
          </cell>
          <cell r="F84">
            <v>29.327046224167184</v>
          </cell>
          <cell r="G84">
            <v>30.196896326910739</v>
          </cell>
          <cell r="H84">
            <v>30.546511030876488</v>
          </cell>
          <cell r="I84">
            <v>31.655968205638736</v>
          </cell>
          <cell r="J84">
            <v>31.506489397693294</v>
          </cell>
          <cell r="K84">
            <v>31.944617257058461</v>
          </cell>
          <cell r="L84">
            <v>35.502804499873342</v>
          </cell>
          <cell r="M84">
            <v>34.361481542226791</v>
          </cell>
          <cell r="N84">
            <v>36.363946482533194</v>
          </cell>
          <cell r="O84">
            <v>35.399698271292785</v>
          </cell>
          <cell r="P84">
            <v>36.186891442146965</v>
          </cell>
          <cell r="Q84">
            <v>39.075616649536826</v>
          </cell>
          <cell r="R84">
            <v>36.99030493035562</v>
          </cell>
          <cell r="S84">
            <v>40.598250548455567</v>
          </cell>
          <cell r="T84">
            <v>39.236885592559474</v>
          </cell>
          <cell r="U84">
            <v>41.306335250154234</v>
          </cell>
          <cell r="V84">
            <v>40.076004343089551</v>
          </cell>
          <cell r="W84">
            <v>41.998387864979449</v>
          </cell>
          <cell r="X84">
            <v>41.607628571355733</v>
          </cell>
          <cell r="Y84">
            <v>33.753377203799239</v>
          </cell>
          <cell r="Z84">
            <v>34.312417960223122</v>
          </cell>
          <cell r="AA84">
            <v>36.770064916751544</v>
          </cell>
          <cell r="AB84">
            <v>40.877881601901798</v>
          </cell>
          <cell r="AC84">
            <v>40.151510193386763</v>
          </cell>
          <cell r="AD84">
            <v>41.537732606636489</v>
          </cell>
          <cell r="AE84">
            <v>41.626677303369881</v>
          </cell>
        </row>
        <row r="85">
          <cell r="B85" t="str">
            <v>GIN</v>
          </cell>
          <cell r="D85">
            <v>23.024736834135105</v>
          </cell>
          <cell r="E85">
            <v>22.918043757944769</v>
          </cell>
          <cell r="F85">
            <v>22.694816926035028</v>
          </cell>
          <cell r="G85">
            <v>22.912678634453066</v>
          </cell>
          <cell r="H85">
            <v>23.300276948060116</v>
          </cell>
          <cell r="I85">
            <v>24.038743122038252</v>
          </cell>
          <cell r="J85">
            <v>24.199563366609681</v>
          </cell>
          <cell r="K85">
            <v>23.902296835192207</v>
          </cell>
          <cell r="L85">
            <v>25.108181696160038</v>
          </cell>
          <cell r="M85">
            <v>25.254018139113278</v>
          </cell>
          <cell r="N85">
            <v>25.237683539720958</v>
          </cell>
          <cell r="O85">
            <v>25.190694488224729</v>
          </cell>
          <cell r="P85">
            <v>26.540089735364177</v>
          </cell>
          <cell r="Q85">
            <v>26.309092066288837</v>
          </cell>
          <cell r="R85">
            <v>26.738898386409971</v>
          </cell>
          <cell r="S85">
            <v>27.613750059736898</v>
          </cell>
          <cell r="T85">
            <v>28.466088693142993</v>
          </cell>
          <cell r="U85">
            <v>28.311797598565011</v>
          </cell>
          <cell r="V85">
            <v>29.61087293401377</v>
          </cell>
          <cell r="W85">
            <v>29.359532537190141</v>
          </cell>
          <cell r="X85">
            <v>29.059624547728525</v>
          </cell>
          <cell r="Y85">
            <v>30.098518286618663</v>
          </cell>
          <cell r="Z85">
            <v>31.801896136266016</v>
          </cell>
          <cell r="AA85">
            <v>32.580726650221642</v>
          </cell>
          <cell r="AB85">
            <v>32.280785319553289</v>
          </cell>
          <cell r="AC85">
            <v>33.03181502946336</v>
          </cell>
          <cell r="AD85">
            <v>34.146938349724756</v>
          </cell>
          <cell r="AE85">
            <v>34.454754660177443</v>
          </cell>
        </row>
        <row r="86">
          <cell r="B86" t="str">
            <v>GNB</v>
          </cell>
          <cell r="D86">
            <v>3.0719127308294247</v>
          </cell>
          <cell r="E86">
            <v>3.1197038824739316</v>
          </cell>
          <cell r="F86">
            <v>3.1312425696666475</v>
          </cell>
          <cell r="G86">
            <v>3.1473795559868334</v>
          </cell>
          <cell r="H86">
            <v>3.1799070105189378</v>
          </cell>
          <cell r="I86">
            <v>3.2196364809037856</v>
          </cell>
          <cell r="J86">
            <v>3.1820057159368962</v>
          </cell>
          <cell r="K86">
            <v>3.2008173270692688</v>
          </cell>
          <cell r="L86">
            <v>3.38860544829683</v>
          </cell>
          <cell r="M86">
            <v>3.713832026135524</v>
          </cell>
          <cell r="N86">
            <v>3.5355515383419149</v>
          </cell>
          <cell r="O86">
            <v>4.1498517429424995</v>
          </cell>
          <cell r="P86">
            <v>4.1635568492775068</v>
          </cell>
          <cell r="Q86">
            <v>4.1951414932892535</v>
          </cell>
          <cell r="R86">
            <v>4.1097914637423019</v>
          </cell>
          <cell r="S86">
            <v>4.08228085170858</v>
          </cell>
          <cell r="T86">
            <v>3.6068934885193968</v>
          </cell>
          <cell r="U86">
            <v>3.6015641283499651</v>
          </cell>
          <cell r="V86">
            <v>3.6013980480934054</v>
          </cell>
          <cell r="W86">
            <v>3.7329065022280945</v>
          </cell>
          <cell r="X86">
            <v>3.9179715403250328</v>
          </cell>
          <cell r="Y86">
            <v>4.0116609395404303</v>
          </cell>
          <cell r="Z86">
            <v>4.2131066711617366</v>
          </cell>
          <cell r="AA86">
            <v>4.0152503769080177</v>
          </cell>
          <cell r="AB86">
            <v>3.9389420395039592</v>
          </cell>
          <cell r="AC86">
            <v>4.0366221093376389</v>
          </cell>
          <cell r="AD86">
            <v>4.1460264970106344</v>
          </cell>
          <cell r="AE86">
            <v>4.1810552761901398</v>
          </cell>
        </row>
        <row r="87">
          <cell r="B87" t="str">
            <v>GUY</v>
          </cell>
          <cell r="D87">
            <v>12.946923341877218</v>
          </cell>
          <cell r="E87">
            <v>13.335121116570251</v>
          </cell>
          <cell r="F87">
            <v>13.443572135378316</v>
          </cell>
          <cell r="G87">
            <v>13.663481197519308</v>
          </cell>
          <cell r="H87">
            <v>13.615760421092645</v>
          </cell>
          <cell r="I87">
            <v>13.79027824409726</v>
          </cell>
          <cell r="J87">
            <v>13.38987883023664</v>
          </cell>
          <cell r="K87">
            <v>13.263891796214779</v>
          </cell>
          <cell r="L87">
            <v>16.849357188788659</v>
          </cell>
          <cell r="M87">
            <v>12.332587201314333</v>
          </cell>
          <cell r="N87">
            <v>11.839187242011523</v>
          </cell>
          <cell r="O87">
            <v>11.590617952249179</v>
          </cell>
          <cell r="P87">
            <v>11.656580610154425</v>
          </cell>
          <cell r="Q87">
            <v>19.621750456004808</v>
          </cell>
          <cell r="R87">
            <v>12.756816284692452</v>
          </cell>
          <cell r="S87">
            <v>17.152941281901473</v>
          </cell>
          <cell r="T87">
            <v>14.695880186072721</v>
          </cell>
          <cell r="U87">
            <v>14.82800785694085</v>
          </cell>
          <cell r="V87">
            <v>14.977249881573226</v>
          </cell>
          <cell r="W87">
            <v>16.990099412874194</v>
          </cell>
          <cell r="X87">
            <v>12.374655113288107</v>
          </cell>
          <cell r="Y87">
            <v>18.601249523696094</v>
          </cell>
          <cell r="Z87">
            <v>23.174146449017243</v>
          </cell>
          <cell r="AA87">
            <v>21.303105963304347</v>
          </cell>
          <cell r="AB87">
            <v>25.550506100883076</v>
          </cell>
          <cell r="AC87">
            <v>25.656666653309813</v>
          </cell>
          <cell r="AD87">
            <v>25.507792410010353</v>
          </cell>
          <cell r="AE87">
            <v>25.533266164754213</v>
          </cell>
        </row>
        <row r="88">
          <cell r="B88" t="str">
            <v>HTI</v>
          </cell>
          <cell r="D88">
            <v>6.4826948360248986</v>
          </cell>
          <cell r="E88">
            <v>6.6997086704871798</v>
          </cell>
          <cell r="F88">
            <v>6.9965489169611796</v>
          </cell>
          <cell r="G88">
            <v>6.8734159848850185</v>
          </cell>
          <cell r="H88">
            <v>6.4622269255283893</v>
          </cell>
          <cell r="I88">
            <v>7.2625417445739391</v>
          </cell>
          <cell r="J88">
            <v>7.6251681960529814</v>
          </cell>
          <cell r="K88">
            <v>8.0033924979109194</v>
          </cell>
          <cell r="L88">
            <v>8.1484078006064404</v>
          </cell>
          <cell r="M88">
            <v>8.2990111325863793</v>
          </cell>
          <cell r="N88">
            <v>8.5959575647673994</v>
          </cell>
          <cell r="O88">
            <v>8.8853808323181198</v>
          </cell>
          <cell r="P88">
            <v>9.1510030340912802</v>
          </cell>
          <cell r="Q88">
            <v>9.1193828210312606</v>
          </cell>
          <cell r="R88">
            <v>9.4705965917133401</v>
          </cell>
          <cell r="S88">
            <v>11.618733417471184</v>
          </cell>
          <cell r="T88">
            <v>11.854757290949998</v>
          </cell>
          <cell r="U88">
            <v>12.332302611344957</v>
          </cell>
          <cell r="V88">
            <v>12.602127155562901</v>
          </cell>
          <cell r="W88">
            <v>12.753931740031284</v>
          </cell>
          <cell r="X88">
            <v>12.753077829298803</v>
          </cell>
          <cell r="Y88">
            <v>13.223550427237798</v>
          </cell>
          <cell r="Z88">
            <v>13.326032326737602</v>
          </cell>
          <cell r="AA88">
            <v>13.656729883020171</v>
          </cell>
          <cell r="AB88">
            <v>14.388084027051718</v>
          </cell>
          <cell r="AC88">
            <v>14.880463235105365</v>
          </cell>
          <cell r="AD88">
            <v>15.004822187883866</v>
          </cell>
          <cell r="AE88">
            <v>15.074347675579284</v>
          </cell>
        </row>
        <row r="89">
          <cell r="B89" t="str">
            <v>HND</v>
          </cell>
          <cell r="D89">
            <v>49.423513517900439</v>
          </cell>
          <cell r="E89">
            <v>49.576686302202098</v>
          </cell>
          <cell r="F89">
            <v>49.892932567007122</v>
          </cell>
          <cell r="G89">
            <v>49.755077722968039</v>
          </cell>
          <cell r="H89">
            <v>50.444197715391063</v>
          </cell>
          <cell r="I89">
            <v>51.293621322924125</v>
          </cell>
          <cell r="J89">
            <v>51.405436897308178</v>
          </cell>
          <cell r="K89">
            <v>52.114432133797536</v>
          </cell>
          <cell r="L89">
            <v>53.011367813166842</v>
          </cell>
          <cell r="M89">
            <v>52.141564792093462</v>
          </cell>
          <cell r="N89">
            <v>52.861510427942676</v>
          </cell>
          <cell r="O89">
            <v>41.469119659321358</v>
          </cell>
          <cell r="P89">
            <v>42.114852361091394</v>
          </cell>
          <cell r="Q89">
            <v>44.839994468832643</v>
          </cell>
          <cell r="R89">
            <v>44.939393148504763</v>
          </cell>
          <cell r="S89">
            <v>46.109076841971486</v>
          </cell>
          <cell r="T89">
            <v>44.107846215653538</v>
          </cell>
          <cell r="U89">
            <v>45.873448550195718</v>
          </cell>
          <cell r="V89">
            <v>45.770976719634461</v>
          </cell>
          <cell r="W89">
            <v>45.679189539132395</v>
          </cell>
          <cell r="X89">
            <v>45.538163962411446</v>
          </cell>
          <cell r="Y89">
            <v>46.861291106434777</v>
          </cell>
          <cell r="Z89">
            <v>46.494735403148937</v>
          </cell>
          <cell r="AA89">
            <v>46.860838190268964</v>
          </cell>
          <cell r="AB89">
            <v>47.256024314847181</v>
          </cell>
          <cell r="AC89">
            <v>47.765280758174491</v>
          </cell>
          <cell r="AD89">
            <v>48.401340063608529</v>
          </cell>
          <cell r="AE89">
            <v>48.731394616727862</v>
          </cell>
        </row>
        <row r="90">
          <cell r="B90" t="str">
            <v>HKG</v>
          </cell>
          <cell r="D90">
            <v>36.697875084512198</v>
          </cell>
          <cell r="E90">
            <v>39.592635352320663</v>
          </cell>
          <cell r="F90">
            <v>44.131475506922939</v>
          </cell>
          <cell r="G90">
            <v>46.639850100209905</v>
          </cell>
          <cell r="H90">
            <v>39.909667389394535</v>
          </cell>
          <cell r="I90">
            <v>39.943055930706279</v>
          </cell>
          <cell r="J90">
            <v>38.693234581742438</v>
          </cell>
          <cell r="K90">
            <v>36.170726879654268</v>
          </cell>
          <cell r="L90">
            <v>44.885567838446782</v>
          </cell>
          <cell r="M90">
            <v>48.06095666262118</v>
          </cell>
          <cell r="N90">
            <v>43.904255698359293</v>
          </cell>
          <cell r="O90">
            <v>44.878020992965865</v>
          </cell>
          <cell r="P90">
            <v>43.465908389702854</v>
          </cell>
          <cell r="Q90">
            <v>46.156352936880289</v>
          </cell>
          <cell r="R90">
            <v>44.130048744808796</v>
          </cell>
          <cell r="S90">
            <v>44.519552170914658</v>
          </cell>
          <cell r="T90">
            <v>45.483865733117646</v>
          </cell>
          <cell r="U90">
            <v>47.217244067985646</v>
          </cell>
          <cell r="V90">
            <v>46.17709063560941</v>
          </cell>
          <cell r="W90">
            <v>49.530426796049134</v>
          </cell>
          <cell r="X90">
            <v>45.345557053317457</v>
          </cell>
          <cell r="Y90">
            <v>49.068439581985061</v>
          </cell>
          <cell r="Z90">
            <v>48.548822930118362</v>
          </cell>
          <cell r="AA90">
            <v>49.519348935662578</v>
          </cell>
          <cell r="AB90">
            <v>51.469484814283618</v>
          </cell>
          <cell r="AC90">
            <v>47.397800727917513</v>
          </cell>
          <cell r="AD90">
            <v>47.942779272332565</v>
          </cell>
          <cell r="AE90">
            <v>47.513181423431206</v>
          </cell>
        </row>
        <row r="91">
          <cell r="B91" t="str">
            <v>HUN</v>
          </cell>
          <cell r="D91">
            <v>98.261884519180086</v>
          </cell>
          <cell r="E91">
            <v>92.075716299563169</v>
          </cell>
          <cell r="F91">
            <v>81.637369502153163</v>
          </cell>
          <cell r="G91">
            <v>82.155347163530337</v>
          </cell>
          <cell r="H91">
            <v>82.077634573190011</v>
          </cell>
          <cell r="I91">
            <v>80.514563194534091</v>
          </cell>
          <cell r="J91">
            <v>82.882197786011517</v>
          </cell>
          <cell r="K91">
            <v>81.624763967338495</v>
          </cell>
          <cell r="L91">
            <v>81.040183889590381</v>
          </cell>
          <cell r="M91">
            <v>81.593969531048728</v>
          </cell>
          <cell r="N91">
            <v>78.845139541262853</v>
          </cell>
          <cell r="O91">
            <v>82.546136997878179</v>
          </cell>
          <cell r="P91">
            <v>85.565261269608271</v>
          </cell>
          <cell r="Q91">
            <v>86.789330869249497</v>
          </cell>
          <cell r="R91">
            <v>85.855695082512142</v>
          </cell>
          <cell r="S91">
            <v>84.359606451296656</v>
          </cell>
          <cell r="T91">
            <v>81.204468915777838</v>
          </cell>
          <cell r="U91">
            <v>79.556758888154178</v>
          </cell>
          <cell r="V91">
            <v>76.323780148025335</v>
          </cell>
          <cell r="W91">
            <v>70.004269410814786</v>
          </cell>
          <cell r="X91">
            <v>70.611757546673886</v>
          </cell>
          <cell r="Y91">
            <v>70.818501400400791</v>
          </cell>
          <cell r="Z91">
            <v>67.225173169324492</v>
          </cell>
          <cell r="AA91">
            <v>64.537857791773561</v>
          </cell>
          <cell r="AB91">
            <v>64.442342970064473</v>
          </cell>
          <cell r="AC91">
            <v>67.541694208058004</v>
          </cell>
          <cell r="AD91">
            <v>69.14843762465415</v>
          </cell>
          <cell r="AE91">
            <v>72.522793593065614</v>
          </cell>
        </row>
        <row r="92">
          <cell r="B92" t="str">
            <v>ISL</v>
          </cell>
          <cell r="D92">
            <v>4.3902905683817686</v>
          </cell>
          <cell r="E92">
            <v>4.3281447366793602</v>
          </cell>
          <cell r="F92">
            <v>3.2751580989640199</v>
          </cell>
          <cell r="G92">
            <v>3.3581669165532499</v>
          </cell>
          <cell r="H92">
            <v>3.4450567183819096</v>
          </cell>
          <cell r="I92">
            <v>3.3588661945817897</v>
          </cell>
          <cell r="J92">
            <v>3.6583455131282498</v>
          </cell>
          <cell r="K92">
            <v>3.5812843460723101</v>
          </cell>
          <cell r="L92">
            <v>3.6955305583310594</v>
          </cell>
          <cell r="M92">
            <v>3.7742993619813006</v>
          </cell>
          <cell r="N92">
            <v>3.8697952287196706</v>
          </cell>
          <cell r="O92">
            <v>3.9616289372325997</v>
          </cell>
          <cell r="P92">
            <v>4.098847901994751</v>
          </cell>
          <cell r="Q92">
            <v>4.0688144366272603</v>
          </cell>
          <cell r="R92">
            <v>4.1905815988832105</v>
          </cell>
          <cell r="S92">
            <v>4.1674770542536894</v>
          </cell>
          <cell r="T92">
            <v>4.3422277571847587</v>
          </cell>
          <cell r="U92">
            <v>4.5179685723951106</v>
          </cell>
          <cell r="V92">
            <v>5.0454061425228307</v>
          </cell>
          <cell r="W92">
            <v>4.8726903438803477</v>
          </cell>
          <cell r="X92">
            <v>4.7355020981210796</v>
          </cell>
          <cell r="Y92">
            <v>4.5156253965200026</v>
          </cell>
          <cell r="Z92">
            <v>4.5421897238758335</v>
          </cell>
          <cell r="AA92">
            <v>4.7028155206893008</v>
          </cell>
          <cell r="AB92">
            <v>4.6807548537527213</v>
          </cell>
          <cell r="AC92">
            <v>4.732327164811478</v>
          </cell>
          <cell r="AD92">
            <v>4.8776006119756206</v>
          </cell>
          <cell r="AE92">
            <v>4.9889668532871765</v>
          </cell>
        </row>
        <row r="93">
          <cell r="B93" t="str">
            <v>IND</v>
          </cell>
          <cell r="D93">
            <v>1332.7962430373609</v>
          </cell>
          <cell r="E93">
            <v>1390.8627019579594</v>
          </cell>
          <cell r="F93">
            <v>1418.0737608801521</v>
          </cell>
          <cell r="G93">
            <v>1457.6878317758012</v>
          </cell>
          <cell r="H93">
            <v>1508.2251215088697</v>
          </cell>
          <cell r="I93">
            <v>1574.2830363257933</v>
          </cell>
          <cell r="J93">
            <v>1621.2219503929821</v>
          </cell>
          <cell r="K93">
            <v>1673.9548420688332</v>
          </cell>
          <cell r="L93">
            <v>1699.8012625187355</v>
          </cell>
          <cell r="M93">
            <v>1778.8160009468099</v>
          </cell>
          <cell r="N93">
            <v>1811.094817314005</v>
          </cell>
          <cell r="O93">
            <v>1718.1785533613315</v>
          </cell>
          <cell r="P93">
            <v>1749.2627259083963</v>
          </cell>
          <cell r="Q93">
            <v>1797.0450438755306</v>
          </cell>
          <cell r="R93">
            <v>1910.3459512237255</v>
          </cell>
          <cell r="S93">
            <v>1981.2954584181978</v>
          </cell>
          <cell r="T93">
            <v>2123.9234280724686</v>
          </cell>
          <cell r="U93">
            <v>2269.1684505145404</v>
          </cell>
          <cell r="V93">
            <v>2378.1781604625671</v>
          </cell>
          <cell r="W93">
            <v>2573.0812591027957</v>
          </cell>
          <cell r="X93">
            <v>2687.9420439685582</v>
          </cell>
          <cell r="Y93">
            <v>3047.0793343744126</v>
          </cell>
          <cell r="Z93">
            <v>3206.2284232949428</v>
          </cell>
          <cell r="AA93">
            <v>3224.1717849201359</v>
          </cell>
          <cell r="AB93">
            <v>3431.3036336007135</v>
          </cell>
          <cell r="AC93">
            <v>3507.2659730823934</v>
          </cell>
          <cell r="AD93">
            <v>3606.5877650438533</v>
          </cell>
          <cell r="AE93">
            <v>3707.538227190435</v>
          </cell>
        </row>
        <row r="94">
          <cell r="B94" t="str">
            <v>IDN</v>
          </cell>
          <cell r="D94">
            <v>1385.4575253766598</v>
          </cell>
          <cell r="E94">
            <v>1410.4859795382235</v>
          </cell>
          <cell r="F94">
            <v>1433.1257349856801</v>
          </cell>
          <cell r="G94">
            <v>1453.5975245152249</v>
          </cell>
          <cell r="H94">
            <v>1454.1084533983521</v>
          </cell>
          <cell r="I94">
            <v>1477.9979742365476</v>
          </cell>
          <cell r="J94">
            <v>1357.4988353375954</v>
          </cell>
          <cell r="K94">
            <v>2308.9411083847508</v>
          </cell>
          <cell r="L94">
            <v>1535.8402932012661</v>
          </cell>
          <cell r="M94">
            <v>1424.0273591194687</v>
          </cell>
          <cell r="N94">
            <v>1344.5866158665226</v>
          </cell>
          <cell r="O94">
            <v>1615.7809011212173</v>
          </cell>
          <cell r="P94">
            <v>1971.8299562233369</v>
          </cell>
          <cell r="Q94">
            <v>1732.474861557273</v>
          </cell>
          <cell r="R94">
            <v>1918.4955014547888</v>
          </cell>
          <cell r="S94">
            <v>1796.0695241512553</v>
          </cell>
          <cell r="T94">
            <v>2456.5707568644757</v>
          </cell>
          <cell r="U94">
            <v>2036.5026157079828</v>
          </cell>
          <cell r="V94">
            <v>2033.4849206988263</v>
          </cell>
          <cell r="W94">
            <v>2355.8093818259485</v>
          </cell>
          <cell r="X94">
            <v>2071.8561799422232</v>
          </cell>
          <cell r="Y94">
            <v>2214.2262192978578</v>
          </cell>
          <cell r="Z94">
            <v>2241.7166268618812</v>
          </cell>
          <cell r="AA94">
            <v>2242.0036937899331</v>
          </cell>
          <cell r="AB94">
            <v>2551.5819821580744</v>
          </cell>
          <cell r="AC94">
            <v>2559.1149297781999</v>
          </cell>
          <cell r="AD94">
            <v>2562.6019815924597</v>
          </cell>
          <cell r="AE94">
            <v>2589.2682249345498</v>
          </cell>
        </row>
        <row r="95">
          <cell r="B95" t="str">
            <v>IRN</v>
          </cell>
          <cell r="D95">
            <v>377.87314312616718</v>
          </cell>
          <cell r="E95">
            <v>404.66922816227219</v>
          </cell>
          <cell r="F95">
            <v>421.25551461710558</v>
          </cell>
          <cell r="G95">
            <v>405.37902542162965</v>
          </cell>
          <cell r="H95">
            <v>454.13885479087139</v>
          </cell>
          <cell r="I95">
            <v>448.33167549960547</v>
          </cell>
          <cell r="J95">
            <v>461.44371106070128</v>
          </cell>
          <cell r="K95">
            <v>469.98104055457725</v>
          </cell>
          <cell r="L95">
            <v>453.26418145039719</v>
          </cell>
          <cell r="M95">
            <v>480.04144168599043</v>
          </cell>
          <cell r="N95">
            <v>501.52305861711301</v>
          </cell>
          <cell r="O95">
            <v>509.85929253112488</v>
          </cell>
          <cell r="P95">
            <v>527.87751100137655</v>
          </cell>
          <cell r="Q95">
            <v>567.95598783320929</v>
          </cell>
          <cell r="R95">
            <v>612.51709809576505</v>
          </cell>
          <cell r="S95">
            <v>650.53016523876147</v>
          </cell>
          <cell r="T95">
            <v>692.39305662547804</v>
          </cell>
          <cell r="U95">
            <v>731.18966695107406</v>
          </cell>
          <cell r="V95">
            <v>735.06295123580946</v>
          </cell>
          <cell r="W95">
            <v>757.60057595147043</v>
          </cell>
          <cell r="X95">
            <v>764.78732934440973</v>
          </cell>
          <cell r="Y95">
            <v>847.25150042660277</v>
          </cell>
          <cell r="Z95">
            <v>850.36831741535968</v>
          </cell>
          <cell r="AA95">
            <v>873.02375926182901</v>
          </cell>
          <cell r="AB95">
            <v>901.04537104228552</v>
          </cell>
          <cell r="AC95">
            <v>894.32044749836348</v>
          </cell>
          <cell r="AD95">
            <v>931.07147612496726</v>
          </cell>
          <cell r="AE95">
            <v>976.98753304667389</v>
          </cell>
        </row>
        <row r="96">
          <cell r="B96" t="str">
            <v>IRQ</v>
          </cell>
          <cell r="D96">
            <v>127.42933245918212</v>
          </cell>
          <cell r="E96">
            <v>93.211897721183661</v>
          </cell>
          <cell r="F96">
            <v>113.88349178745756</v>
          </cell>
          <cell r="G96">
            <v>139.5941095108025</v>
          </cell>
          <cell r="H96">
            <v>152.05308184603371</v>
          </cell>
          <cell r="I96">
            <v>148.99610609647755</v>
          </cell>
          <cell r="J96">
            <v>140.68564558401948</v>
          </cell>
          <cell r="K96">
            <v>172.99292285508545</v>
          </cell>
          <cell r="L96">
            <v>142.47925332531369</v>
          </cell>
          <cell r="M96">
            <v>128.93744349418768</v>
          </cell>
          <cell r="N96">
            <v>138.82646912325745</v>
          </cell>
          <cell r="O96">
            <v>151.63566394338102</v>
          </cell>
          <cell r="P96">
            <v>143.35805213441213</v>
          </cell>
          <cell r="Q96">
            <v>128.43350587441122</v>
          </cell>
          <cell r="R96">
            <v>141.56092473103251</v>
          </cell>
          <cell r="S96">
            <v>139.69737191970873</v>
          </cell>
          <cell r="T96">
            <v>136.49254176191874</v>
          </cell>
          <cell r="U96">
            <v>127.89892811552386</v>
          </cell>
          <cell r="V96">
            <v>143.08092566703579</v>
          </cell>
          <cell r="W96">
            <v>171.35400044572336</v>
          </cell>
          <cell r="X96">
            <v>189.9770502907669</v>
          </cell>
          <cell r="Y96">
            <v>201.49755538912464</v>
          </cell>
          <cell r="Z96">
            <v>224.32230181522405</v>
          </cell>
          <cell r="AA96">
            <v>237.42329849247051</v>
          </cell>
          <cell r="AB96">
            <v>246.65271658102228</v>
          </cell>
          <cell r="AC96">
            <v>249.98871496776729</v>
          </cell>
          <cell r="AD96">
            <v>276.17397237191881</v>
          </cell>
          <cell r="AE96">
            <v>288.0155663912023</v>
          </cell>
        </row>
        <row r="97">
          <cell r="B97" t="str">
            <v>IRL</v>
          </cell>
          <cell r="D97">
            <v>54.479469123726503</v>
          </cell>
          <cell r="E97">
            <v>55.150852210622993</v>
          </cell>
          <cell r="F97">
            <v>55.342961325674125</v>
          </cell>
          <cell r="G97">
            <v>56.227554711212562</v>
          </cell>
          <cell r="H97">
            <v>57.906217141513721</v>
          </cell>
          <cell r="I97">
            <v>58.653510508476778</v>
          </cell>
          <cell r="J97">
            <v>59.936446897312393</v>
          </cell>
          <cell r="K97">
            <v>60.814038259442874</v>
          </cell>
          <cell r="L97">
            <v>63.481179975853642</v>
          </cell>
          <cell r="M97">
            <v>65.943760783475042</v>
          </cell>
          <cell r="N97">
            <v>68.937165183081348</v>
          </cell>
          <cell r="O97">
            <v>71.79528120788234</v>
          </cell>
          <cell r="P97">
            <v>70.576409732211573</v>
          </cell>
          <cell r="Q97">
            <v>70.134483308102148</v>
          </cell>
          <cell r="R97">
            <v>70.95644729587606</v>
          </cell>
          <cell r="S97">
            <v>72.580143582437017</v>
          </cell>
          <cell r="T97">
            <v>68.202149189418733</v>
          </cell>
          <cell r="U97">
            <v>66.484697506386482</v>
          </cell>
          <cell r="V97">
            <v>66.050105666199684</v>
          </cell>
          <cell r="W97">
            <v>60.46587040313544</v>
          </cell>
          <cell r="X97">
            <v>59.821602152908902</v>
          </cell>
          <cell r="Y97">
            <v>62.4361393905412</v>
          </cell>
          <cell r="Z97">
            <v>63.434665086173723</v>
          </cell>
          <cell r="AA97">
            <v>62.270947432732143</v>
          </cell>
          <cell r="AB97">
            <v>62.312610996413163</v>
          </cell>
          <cell r="AC97">
            <v>64.157872147532615</v>
          </cell>
          <cell r="AD97">
            <v>66.85469817221302</v>
          </cell>
          <cell r="AE97">
            <v>67.327059493016819</v>
          </cell>
        </row>
        <row r="98">
          <cell r="B98" t="str">
            <v>ISR</v>
          </cell>
          <cell r="D98">
            <v>41.872145051344489</v>
          </cell>
          <cell r="E98">
            <v>42.606407671128508</v>
          </cell>
          <cell r="F98">
            <v>45.325159557275647</v>
          </cell>
          <cell r="G98">
            <v>49.21503925996771</v>
          </cell>
          <cell r="H98">
            <v>52.442698008693142</v>
          </cell>
          <cell r="I98">
            <v>55.736163967265959</v>
          </cell>
          <cell r="J98">
            <v>59.173785335800247</v>
          </cell>
          <cell r="K98">
            <v>61.064705232112303</v>
          </cell>
          <cell r="L98">
            <v>62.198463011733104</v>
          </cell>
          <cell r="M98">
            <v>63.849422677821501</v>
          </cell>
          <cell r="N98">
            <v>68.559981286506343</v>
          </cell>
          <cell r="O98">
            <v>68.697801351474212</v>
          </cell>
          <cell r="P98">
            <v>72.016798672857391</v>
          </cell>
          <cell r="Q98">
            <v>73.88300792914842</v>
          </cell>
          <cell r="R98">
            <v>74.274904502601572</v>
          </cell>
          <cell r="S98">
            <v>72.311642135151658</v>
          </cell>
          <cell r="T98">
            <v>76.281986918257246</v>
          </cell>
          <cell r="U98">
            <v>79.063624541224442</v>
          </cell>
          <cell r="V98">
            <v>79.644640146484846</v>
          </cell>
          <cell r="W98">
            <v>78.832067198182898</v>
          </cell>
          <cell r="X98">
            <v>84.380143983015429</v>
          </cell>
          <cell r="Y98">
            <v>84.121485627096632</v>
          </cell>
          <cell r="Z98">
            <v>90.395194467364377</v>
          </cell>
          <cell r="AA98">
            <v>84.206534239289311</v>
          </cell>
          <cell r="AB98">
            <v>80.243213232032971</v>
          </cell>
          <cell r="AC98">
            <v>82.563832351045832</v>
          </cell>
          <cell r="AD98">
            <v>82.191001500847065</v>
          </cell>
          <cell r="AE98">
            <v>86.116526886469558</v>
          </cell>
        </row>
        <row r="99">
          <cell r="B99" t="str">
            <v>ITA</v>
          </cell>
          <cell r="D99">
            <v>483.80516133628055</v>
          </cell>
          <cell r="E99">
            <v>482.12157799819238</v>
          </cell>
          <cell r="F99">
            <v>476.96220273517008</v>
          </cell>
          <cell r="G99">
            <v>469.34824039476922</v>
          </cell>
          <cell r="H99">
            <v>463.83760304792003</v>
          </cell>
          <cell r="I99">
            <v>490.19793444225922</v>
          </cell>
          <cell r="J99">
            <v>489.24224551391296</v>
          </cell>
          <cell r="K99">
            <v>492.48407085827159</v>
          </cell>
          <cell r="L99">
            <v>504.83293658837817</v>
          </cell>
          <cell r="M99">
            <v>513.28956720963333</v>
          </cell>
          <cell r="N99">
            <v>518.53983037300839</v>
          </cell>
          <cell r="O99">
            <v>514.70877548611486</v>
          </cell>
          <cell r="P99">
            <v>523.4055485626867</v>
          </cell>
          <cell r="Q99">
            <v>538.82469284623551</v>
          </cell>
          <cell r="R99">
            <v>548.07832520783597</v>
          </cell>
          <cell r="S99">
            <v>547.82522627518529</v>
          </cell>
          <cell r="T99">
            <v>538.09128764530271</v>
          </cell>
          <cell r="U99">
            <v>531.22514591088327</v>
          </cell>
          <cell r="V99">
            <v>515.29619407702694</v>
          </cell>
          <cell r="W99">
            <v>463.58148998584653</v>
          </cell>
          <cell r="X99">
            <v>474.22339057031706</v>
          </cell>
          <cell r="Y99">
            <v>463.44039361207172</v>
          </cell>
          <cell r="Z99">
            <v>443.6508809491275</v>
          </cell>
          <cell r="AA99">
            <v>410.45606081543042</v>
          </cell>
          <cell r="AB99">
            <v>391.13371236648408</v>
          </cell>
          <cell r="AC99">
            <v>401.72512678615516</v>
          </cell>
          <cell r="AD99">
            <v>404.56821926605124</v>
          </cell>
          <cell r="AE99">
            <v>409.69230881832937</v>
          </cell>
        </row>
        <row r="100">
          <cell r="B100" t="str">
            <v>JAM</v>
          </cell>
          <cell r="D100">
            <v>10.360171921477942</v>
          </cell>
          <cell r="E100">
            <v>10.414825228639046</v>
          </cell>
          <cell r="F100">
            <v>11.30184662576108</v>
          </cell>
          <cell r="G100">
            <v>11.504091422708822</v>
          </cell>
          <cell r="H100">
            <v>11.568357431190883</v>
          </cell>
          <cell r="I100">
            <v>11.931605849832462</v>
          </cell>
          <cell r="J100">
            <v>12.285300348002998</v>
          </cell>
          <cell r="K100">
            <v>12.485168921618985</v>
          </cell>
          <cell r="L100">
            <v>12.994049837632506</v>
          </cell>
          <cell r="M100">
            <v>13.292630336117501</v>
          </cell>
          <cell r="N100">
            <v>13.659722401876135</v>
          </cell>
          <cell r="O100">
            <v>13.726367036387114</v>
          </cell>
          <cell r="P100">
            <v>13.70027297022871</v>
          </cell>
          <cell r="Q100">
            <v>14.112644791679815</v>
          </cell>
          <cell r="R100">
            <v>14.069606337447352</v>
          </cell>
          <cell r="S100">
            <v>14.116883343498419</v>
          </cell>
          <cell r="T100">
            <v>15.499331522464729</v>
          </cell>
          <cell r="U100">
            <v>15.382610413266699</v>
          </cell>
          <cell r="V100">
            <v>13.376870977259699</v>
          </cell>
          <cell r="W100">
            <v>11.188157679311281</v>
          </cell>
          <cell r="X100">
            <v>10.476073776365039</v>
          </cell>
          <cell r="Y100">
            <v>10.781148754613014</v>
          </cell>
          <cell r="Z100">
            <v>10.303523771234666</v>
          </cell>
          <cell r="AA100">
            <v>10.796655134286173</v>
          </cell>
          <cell r="AB100">
            <v>10.594558679734931</v>
          </cell>
          <cell r="AC100">
            <v>10.475880458956336</v>
          </cell>
          <cell r="AD100">
            <v>10.651362889356012</v>
          </cell>
          <cell r="AE100">
            <v>10.670044993396992</v>
          </cell>
        </row>
        <row r="101">
          <cell r="B101" t="str">
            <v>JPN</v>
          </cell>
          <cell r="D101">
            <v>1217.1197651192956</v>
          </cell>
          <cell r="E101">
            <v>1225.7393791402621</v>
          </cell>
          <cell r="F101">
            <v>1237.1667276620235</v>
          </cell>
          <cell r="G101">
            <v>1237.3334149346656</v>
          </cell>
          <cell r="H101">
            <v>1293.1808224967663</v>
          </cell>
          <cell r="I101">
            <v>1328.6754564869386</v>
          </cell>
          <cell r="J101">
            <v>1330.9966295415381</v>
          </cell>
          <cell r="K101">
            <v>1320.7118530794703</v>
          </cell>
          <cell r="L101">
            <v>1275.1937113889662</v>
          </cell>
          <cell r="M101">
            <v>1302.987152672672</v>
          </cell>
          <cell r="N101">
            <v>1311.1677754020736</v>
          </cell>
          <cell r="O101">
            <v>1331.1632474564892</v>
          </cell>
          <cell r="P101">
            <v>1364.1821296754558</v>
          </cell>
          <cell r="Q101">
            <v>1369.2105621022879</v>
          </cell>
          <cell r="R101">
            <v>1366.4008447067299</v>
          </cell>
          <cell r="S101">
            <v>1376.3523925586808</v>
          </cell>
          <cell r="T101">
            <v>1259.4597220802261</v>
          </cell>
          <cell r="U101">
            <v>1303.3514713603913</v>
          </cell>
          <cell r="V101">
            <v>1218.6378911455008</v>
          </cell>
          <cell r="W101">
            <v>1153.347012946047</v>
          </cell>
          <cell r="X101">
            <v>1208.8410076747261</v>
          </cell>
          <cell r="Y101">
            <v>1412.6519011428197</v>
          </cell>
          <cell r="Z101">
            <v>1455.8754003001532</v>
          </cell>
          <cell r="AA101">
            <v>1483.4746837928585</v>
          </cell>
          <cell r="AB101">
            <v>1566.472228060569</v>
          </cell>
          <cell r="AC101">
            <v>1511.1305047627982</v>
          </cell>
          <cell r="AD101">
            <v>1497.7146988068037</v>
          </cell>
          <cell r="AE101">
            <v>1502.2487882390069</v>
          </cell>
        </row>
        <row r="102">
          <cell r="B102" t="str">
            <v>JOR</v>
          </cell>
          <cell r="D102">
            <v>12.318839495682063</v>
          </cell>
          <cell r="E102">
            <v>12.638075118448299</v>
          </cell>
          <cell r="F102">
            <v>14.775998720158526</v>
          </cell>
          <cell r="G102">
            <v>15.358743813551746</v>
          </cell>
          <cell r="H102">
            <v>15.959228010918704</v>
          </cell>
          <cell r="I102">
            <v>16.786165771246583</v>
          </cell>
          <cell r="J102">
            <v>17.308414443424493</v>
          </cell>
          <cell r="K102">
            <v>17.776429569952587</v>
          </cell>
          <cell r="L102">
            <v>18.060058858070573</v>
          </cell>
          <cell r="M102">
            <v>18.03867986086027</v>
          </cell>
          <cell r="N102">
            <v>18.585121290212115</v>
          </cell>
          <cell r="O102">
            <v>18.658577270558826</v>
          </cell>
          <cell r="P102">
            <v>19.839825731157408</v>
          </cell>
          <cell r="Q102">
            <v>19.736111850342816</v>
          </cell>
          <cell r="R102">
            <v>21.91871522137043</v>
          </cell>
          <cell r="S102">
            <v>23.411753770737469</v>
          </cell>
          <cell r="T102">
            <v>23.816016734574152</v>
          </cell>
          <cell r="U102">
            <v>25.01492599344483</v>
          </cell>
          <cell r="V102">
            <v>24.925178053334236</v>
          </cell>
          <cell r="W102">
            <v>25.312364975541154</v>
          </cell>
          <cell r="X102">
            <v>24.980017679514795</v>
          </cell>
          <cell r="Y102">
            <v>25.748451346553999</v>
          </cell>
          <cell r="Z102">
            <v>29.288860571764907</v>
          </cell>
          <cell r="AA102">
            <v>29.268774570345453</v>
          </cell>
          <cell r="AB102">
            <v>31.199319793516917</v>
          </cell>
          <cell r="AC102">
            <v>31.437837496365507</v>
          </cell>
          <cell r="AD102">
            <v>30.742271954976097</v>
          </cell>
          <cell r="AE102">
            <v>30.991646624914889</v>
          </cell>
        </row>
        <row r="103">
          <cell r="B103" t="str">
            <v>KAZ</v>
          </cell>
          <cell r="D103">
            <v>350.52062854306615</v>
          </cell>
          <cell r="E103">
            <v>356.02783511171731</v>
          </cell>
          <cell r="F103">
            <v>365.9966292553936</v>
          </cell>
          <cell r="G103">
            <v>321.51634168268788</v>
          </cell>
          <cell r="H103">
            <v>289.04769713898281</v>
          </cell>
          <cell r="I103">
            <v>253.93148006100046</v>
          </cell>
          <cell r="J103">
            <v>225.77390654278648</v>
          </cell>
          <cell r="K103">
            <v>200.26502868686808</v>
          </cell>
          <cell r="L103">
            <v>197.74129695550198</v>
          </cell>
          <cell r="M103">
            <v>182.95973434303676</v>
          </cell>
          <cell r="N103">
            <v>184.81735626778604</v>
          </cell>
          <cell r="O103">
            <v>180.78750892798411</v>
          </cell>
          <cell r="P103">
            <v>203.76590946619561</v>
          </cell>
          <cell r="Q103">
            <v>216.58236280476015</v>
          </cell>
          <cell r="R103">
            <v>235.63209062956261</v>
          </cell>
          <cell r="S103">
            <v>248.57253934603838</v>
          </cell>
          <cell r="T103">
            <v>274.9922773960094</v>
          </cell>
          <cell r="U103">
            <v>283.7321703619391</v>
          </cell>
          <cell r="V103">
            <v>326.54468434810821</v>
          </cell>
          <cell r="W103">
            <v>298.18331993920503</v>
          </cell>
          <cell r="X103">
            <v>320.06888043775751</v>
          </cell>
          <cell r="Y103">
            <v>335.36403385610009</v>
          </cell>
          <cell r="Z103">
            <v>361.4393656439758</v>
          </cell>
          <cell r="AA103">
            <v>375.82540436908346</v>
          </cell>
          <cell r="AB103">
            <v>366.01683214182736</v>
          </cell>
          <cell r="AC103">
            <v>357.93273190194003</v>
          </cell>
          <cell r="AD103">
            <v>351.83084408468875</v>
          </cell>
          <cell r="AE103">
            <v>361.51305195713741</v>
          </cell>
        </row>
        <row r="104">
          <cell r="B104" t="str">
            <v>KEN</v>
          </cell>
          <cell r="D104">
            <v>99.296924497751291</v>
          </cell>
          <cell r="E104">
            <v>98.57396071588991</v>
          </cell>
          <cell r="F104">
            <v>99.123217992354199</v>
          </cell>
          <cell r="G104">
            <v>99.547386401849906</v>
          </cell>
          <cell r="H104">
            <v>100.22692181634619</v>
          </cell>
          <cell r="I104">
            <v>101.03456222365949</v>
          </cell>
          <cell r="J104">
            <v>100.12235112069419</v>
          </cell>
          <cell r="K104">
            <v>100.39224822550788</v>
          </cell>
          <cell r="L104">
            <v>101.86864087265536</v>
          </cell>
          <cell r="M104">
            <v>104.3195957313082</v>
          </cell>
          <cell r="N104">
            <v>103.37393917425405</v>
          </cell>
          <cell r="O104">
            <v>-2.4337895686821511</v>
          </cell>
          <cell r="P104">
            <v>-1.7582729870228917</v>
          </cell>
          <cell r="Q104">
            <v>-0.51554215933651193</v>
          </cell>
          <cell r="R104">
            <v>2.6799014530510661</v>
          </cell>
          <cell r="S104">
            <v>3.0570876915588485</v>
          </cell>
          <cell r="T104">
            <v>20.376344783392501</v>
          </cell>
          <cell r="U104">
            <v>35.574744465278449</v>
          </cell>
          <cell r="V104">
            <v>38.668269333831439</v>
          </cell>
          <cell r="W104">
            <v>38.127275453334953</v>
          </cell>
          <cell r="X104">
            <v>39.719388967065839</v>
          </cell>
          <cell r="Y104">
            <v>41.625362250321785</v>
          </cell>
          <cell r="Z104">
            <v>43.709405807189377</v>
          </cell>
          <cell r="AA104">
            <v>43.689908966957006</v>
          </cell>
          <cell r="AB104">
            <v>46.398348898140668</v>
          </cell>
          <cell r="AC104">
            <v>49.169412448077921</v>
          </cell>
          <cell r="AD104">
            <v>54.228873354510839</v>
          </cell>
          <cell r="AE104">
            <v>57.486056042941826</v>
          </cell>
        </row>
        <row r="105">
          <cell r="B105" t="str">
            <v>KIR</v>
          </cell>
          <cell r="D105">
            <v>1.3094157116136398E-2</v>
          </cell>
          <cell r="E105">
            <v>1.3451196470172396E-2</v>
          </cell>
          <cell r="F105">
            <v>1.40494435335832E-2</v>
          </cell>
          <cell r="G105">
            <v>1.4282859288104601E-2</v>
          </cell>
          <cell r="H105">
            <v>1.44267636401978E-2</v>
          </cell>
          <cell r="I105">
            <v>1.5006394055260396E-2</v>
          </cell>
          <cell r="J105">
            <v>1.5835425308935301E-2</v>
          </cell>
          <cell r="K105">
            <v>1.6484225244053199E-2</v>
          </cell>
          <cell r="L105">
            <v>1.7225871261886204E-2</v>
          </cell>
          <cell r="M105">
            <v>1.8017959867356999E-2</v>
          </cell>
          <cell r="N105">
            <v>1.9174788297464003E-2</v>
          </cell>
          <cell r="O105">
            <v>2.0091437147477201E-2</v>
          </cell>
          <cell r="P105">
            <v>2.0815234587185396E-2</v>
          </cell>
          <cell r="Q105">
            <v>2.1126866640204797E-2</v>
          </cell>
          <cell r="R105">
            <v>2.1837396368513201E-2</v>
          </cell>
          <cell r="S105">
            <v>2.2075569759852795E-2</v>
          </cell>
          <cell r="T105">
            <v>2.4522026968313002E-2</v>
          </cell>
          <cell r="U105">
            <v>2.550919993750966E-2</v>
          </cell>
          <cell r="V105">
            <v>2.6306404951540404E-2</v>
          </cell>
          <cell r="W105">
            <v>2.6925652265887601E-2</v>
          </cell>
          <cell r="X105">
            <v>2.8061929527730001E-2</v>
          </cell>
          <cell r="Y105">
            <v>2.84732288168442E-2</v>
          </cell>
          <cell r="Z105">
            <v>2.89362604341106E-2</v>
          </cell>
          <cell r="AA105">
            <v>2.9574580759211447E-2</v>
          </cell>
          <cell r="AB105">
            <v>3.0288543973037679E-2</v>
          </cell>
          <cell r="AC105">
            <v>3.0965986918719671E-2</v>
          </cell>
          <cell r="AD105">
            <v>3.1638180560988126E-2</v>
          </cell>
          <cell r="AE105">
            <v>3.2331695432091301E-2</v>
          </cell>
        </row>
        <row r="106">
          <cell r="B106" t="str">
            <v>PRK</v>
          </cell>
          <cell r="D106">
            <v>176.81348347318718</v>
          </cell>
          <cell r="E106">
            <v>170.56179496768482</v>
          </cell>
          <cell r="F106">
            <v>154.7847363512262</v>
          </cell>
          <cell r="G106">
            <v>145.51579448093779</v>
          </cell>
          <cell r="H106">
            <v>133.95853840032859</v>
          </cell>
          <cell r="I106">
            <v>125.60648124910441</v>
          </cell>
          <cell r="J106">
            <v>115.458254855055</v>
          </cell>
          <cell r="K106">
            <v>113.79197836873475</v>
          </cell>
          <cell r="L106">
            <v>98.913712896301604</v>
          </cell>
          <cell r="M106">
            <v>106.34584963694374</v>
          </cell>
          <cell r="N106">
            <v>113.14710122570661</v>
          </cell>
          <cell r="O106">
            <v>116.53480550753051</v>
          </cell>
          <cell r="P106">
            <v>113.16055843613481</v>
          </cell>
          <cell r="Q106">
            <v>115.44474899437259</v>
          </cell>
          <cell r="R106">
            <v>118.0155189496226</v>
          </cell>
          <cell r="S106">
            <v>122.36375230477141</v>
          </cell>
          <cell r="T106">
            <v>126.6210978120924</v>
          </cell>
          <cell r="U106">
            <v>111.63644644355519</v>
          </cell>
          <cell r="V106">
            <v>119.45047771825041</v>
          </cell>
          <cell r="W106">
            <v>101.8757599192766</v>
          </cell>
          <cell r="X106">
            <v>98.267276461038804</v>
          </cell>
          <cell r="Y106">
            <v>84.088419946555817</v>
          </cell>
          <cell r="Z106">
            <v>85.201691722759008</v>
          </cell>
          <cell r="AA106">
            <v>74.731800349843127</v>
          </cell>
          <cell r="AB106">
            <v>79.041411060393642</v>
          </cell>
          <cell r="AC106">
            <v>73.143567330877318</v>
          </cell>
          <cell r="AD106">
            <v>87.229962032376264</v>
          </cell>
          <cell r="AE106">
            <v>93.084261250717745</v>
          </cell>
        </row>
        <row r="107">
          <cell r="B107" t="str">
            <v>KOR</v>
          </cell>
          <cell r="D107">
            <v>290.25955497747412</v>
          </cell>
          <cell r="E107">
            <v>315.90689649138307</v>
          </cell>
          <cell r="F107">
            <v>336.00666697833122</v>
          </cell>
          <cell r="G107">
            <v>366.98240488932476</v>
          </cell>
          <cell r="H107">
            <v>394.4980431686102</v>
          </cell>
          <cell r="I107">
            <v>428.14829061328885</v>
          </cell>
          <cell r="J107">
            <v>459.60426167594682</v>
          </cell>
          <cell r="K107">
            <v>486.09336190551505</v>
          </cell>
          <cell r="L107">
            <v>419.21204582757412</v>
          </cell>
          <cell r="M107">
            <v>461.38506526382639</v>
          </cell>
          <cell r="N107">
            <v>519.32725916443894</v>
          </cell>
          <cell r="O107">
            <v>520.15624248081394</v>
          </cell>
          <cell r="P107">
            <v>513.97205114916778</v>
          </cell>
          <cell r="Q107">
            <v>514.89802440833068</v>
          </cell>
          <cell r="R107">
            <v>533.99391009971828</v>
          </cell>
          <cell r="S107">
            <v>534.56381170176076</v>
          </cell>
          <cell r="T107">
            <v>534.72292103629968</v>
          </cell>
          <cell r="U107">
            <v>545.21656905827638</v>
          </cell>
          <cell r="V107">
            <v>553.83608450147744</v>
          </cell>
          <cell r="W107">
            <v>559.63636908530839</v>
          </cell>
          <cell r="X107">
            <v>607.11995758563739</v>
          </cell>
          <cell r="Y107">
            <v>644.85687441805362</v>
          </cell>
          <cell r="Z107">
            <v>647.54669149649226</v>
          </cell>
          <cell r="AA107">
            <v>650.06221413963465</v>
          </cell>
          <cell r="AB107">
            <v>647.81863393510878</v>
          </cell>
          <cell r="AC107">
            <v>662.51643304501408</v>
          </cell>
          <cell r="AD107">
            <v>667.45147689831458</v>
          </cell>
          <cell r="AE107">
            <v>690.10770810535485</v>
          </cell>
        </row>
        <row r="108">
          <cell r="B108" t="str">
            <v>KWT</v>
          </cell>
          <cell r="D108">
            <v>48.264005082861402</v>
          </cell>
          <cell r="E108">
            <v>51.770610376105907</v>
          </cell>
          <cell r="F108">
            <v>45.052201561028049</v>
          </cell>
          <cell r="G108">
            <v>56.187670156761442</v>
          </cell>
          <cell r="H108">
            <v>72.324139905941195</v>
          </cell>
          <cell r="I108">
            <v>67.914366679700095</v>
          </cell>
          <cell r="J108">
            <v>66.918724394595841</v>
          </cell>
          <cell r="K108">
            <v>70.178851457676188</v>
          </cell>
          <cell r="L108">
            <v>69.921687122421829</v>
          </cell>
          <cell r="M108">
            <v>71.221328201203121</v>
          </cell>
          <cell r="N108">
            <v>76.983850386366797</v>
          </cell>
          <cell r="O108">
            <v>78.613645862159956</v>
          </cell>
          <cell r="P108">
            <v>81.180283432605108</v>
          </cell>
          <cell r="Q108">
            <v>88.353139956122916</v>
          </cell>
          <cell r="R108">
            <v>91.890706594848595</v>
          </cell>
          <cell r="S108">
            <v>102.3625737414964</v>
          </cell>
          <cell r="T108">
            <v>105.11560612893305</v>
          </cell>
          <cell r="U108">
            <v>103.53896790066302</v>
          </cell>
          <cell r="V108">
            <v>106.95841946284918</v>
          </cell>
          <cell r="W108">
            <v>111.06624863254689</v>
          </cell>
          <cell r="X108">
            <v>109.67933888064749</v>
          </cell>
          <cell r="Y108">
            <v>112.89269126546679</v>
          </cell>
          <cell r="Z108">
            <v>112.09079220338364</v>
          </cell>
          <cell r="AA108">
            <v>121.60361542770998</v>
          </cell>
          <cell r="AB108">
            <v>118.1395910086209</v>
          </cell>
          <cell r="AC108">
            <v>120.47392086994149</v>
          </cell>
          <cell r="AD108">
            <v>124.6866679943913</v>
          </cell>
          <cell r="AE108">
            <v>123.36593745928111</v>
          </cell>
        </row>
        <row r="109">
          <cell r="B109" t="str">
            <v>KGZ</v>
          </cell>
          <cell r="D109">
            <v>32.796164568752417</v>
          </cell>
          <cell r="E109">
            <v>30.111816900268984</v>
          </cell>
          <cell r="F109">
            <v>19.831344384615118</v>
          </cell>
          <cell r="G109">
            <v>15.57303234312794</v>
          </cell>
          <cell r="H109">
            <v>11.25658751117723</v>
          </cell>
          <cell r="I109">
            <v>8.206850457266901</v>
          </cell>
          <cell r="J109">
            <v>9.0720366178035778</v>
          </cell>
          <cell r="K109">
            <v>8.8758475606692784</v>
          </cell>
          <cell r="L109">
            <v>9.2870018088188395</v>
          </cell>
          <cell r="M109">
            <v>8.1267842811915383</v>
          </cell>
          <cell r="N109">
            <v>8.0934551431665263</v>
          </cell>
          <cell r="O109">
            <v>7.2641310004850386</v>
          </cell>
          <cell r="P109">
            <v>8.3674937387150425</v>
          </cell>
          <cell r="Q109">
            <v>9.0454307733308088</v>
          </cell>
          <cell r="R109">
            <v>8.9748071434061956</v>
          </cell>
          <cell r="S109">
            <v>8.8072060486100661</v>
          </cell>
          <cell r="T109">
            <v>25.714805699200667</v>
          </cell>
          <cell r="U109">
            <v>27.02346876095482</v>
          </cell>
          <cell r="V109">
            <v>28.303988469331376</v>
          </cell>
          <cell r="W109">
            <v>28.069070633608892</v>
          </cell>
          <cell r="X109">
            <v>27.943190587552763</v>
          </cell>
          <cell r="Y109">
            <v>14.144341627732437</v>
          </cell>
          <cell r="Z109">
            <v>16.604403688542966</v>
          </cell>
          <cell r="AA109">
            <v>16.303285169114723</v>
          </cell>
          <cell r="AB109">
            <v>16.690331679690495</v>
          </cell>
          <cell r="AC109">
            <v>17.60114581096559</v>
          </cell>
          <cell r="AD109">
            <v>17.713717596203843</v>
          </cell>
          <cell r="AE109">
            <v>18.433632038532615</v>
          </cell>
        </row>
        <row r="110">
          <cell r="B110" t="str">
            <v>LAO</v>
          </cell>
          <cell r="D110">
            <v>18.254049097994383</v>
          </cell>
          <cell r="E110">
            <v>17.977941064018168</v>
          </cell>
          <cell r="F110">
            <v>18.270243916080979</v>
          </cell>
          <cell r="G110">
            <v>18.243276294748281</v>
          </cell>
          <cell r="H110">
            <v>18.695816714933674</v>
          </cell>
          <cell r="I110">
            <v>18.868135739848782</v>
          </cell>
          <cell r="J110">
            <v>19.174858035458858</v>
          </cell>
          <cell r="K110">
            <v>19.03804892270341</v>
          </cell>
          <cell r="L110">
            <v>20.67192295424756</v>
          </cell>
          <cell r="M110">
            <v>19.544069082910895</v>
          </cell>
          <cell r="N110">
            <v>19.359586681109313</v>
          </cell>
          <cell r="O110">
            <v>26.018746916856838</v>
          </cell>
          <cell r="P110">
            <v>27.670764789729034</v>
          </cell>
          <cell r="Q110">
            <v>27.110757445310661</v>
          </cell>
          <cell r="R110">
            <v>30.53241377573265</v>
          </cell>
          <cell r="S110">
            <v>29.426227636935657</v>
          </cell>
          <cell r="T110">
            <v>27.945971286602543</v>
          </cell>
          <cell r="U110">
            <v>32.413044672464785</v>
          </cell>
          <cell r="V110">
            <v>28.30676180715718</v>
          </cell>
          <cell r="W110">
            <v>29.648872450150577</v>
          </cell>
          <cell r="X110">
            <v>35.461194283557965</v>
          </cell>
          <cell r="Y110">
            <v>29.76979462916286</v>
          </cell>
          <cell r="Z110">
            <v>32.663107869946217</v>
          </cell>
          <cell r="AA110">
            <v>33.560659938173735</v>
          </cell>
          <cell r="AB110">
            <v>32.856477089771928</v>
          </cell>
          <cell r="AC110">
            <v>33.123550070912465</v>
          </cell>
          <cell r="AD110">
            <v>33.669679780698843</v>
          </cell>
          <cell r="AE110">
            <v>33.991934298865289</v>
          </cell>
        </row>
        <row r="111">
          <cell r="B111" t="str">
            <v>LVA</v>
          </cell>
          <cell r="D111">
            <v>27.930023794016314</v>
          </cell>
          <cell r="E111">
            <v>25.819791523962941</v>
          </cell>
          <cell r="F111">
            <v>12.204431448162801</v>
          </cell>
          <cell r="G111">
            <v>8.856799983043917</v>
          </cell>
          <cell r="H111">
            <v>5.7925427676223329</v>
          </cell>
          <cell r="I111">
            <v>3.6615533044553068</v>
          </cell>
          <cell r="J111">
            <v>3.780639075889459</v>
          </cell>
          <cell r="K111">
            <v>3.1554984368311878</v>
          </cell>
          <cell r="L111">
            <v>2.7697158948804503</v>
          </cell>
          <cell r="M111">
            <v>1.9426718799265537</v>
          </cell>
          <cell r="N111">
            <v>1.2522973651669247</v>
          </cell>
          <cell r="O111">
            <v>10.465116168247398</v>
          </cell>
          <cell r="P111">
            <v>10.633395011343653</v>
          </cell>
          <cell r="Q111">
            <v>10.935794792006256</v>
          </cell>
          <cell r="R111">
            <v>11.128204662641751</v>
          </cell>
          <cell r="S111">
            <v>11.576293472971868</v>
          </cell>
          <cell r="T111">
            <v>0.6810386864263851</v>
          </cell>
          <cell r="U111">
            <v>1.2677195571810653</v>
          </cell>
          <cell r="V111">
            <v>0.93389894627446601</v>
          </cell>
          <cell r="W111">
            <v>0.16228246508816646</v>
          </cell>
          <cell r="X111">
            <v>1.2646297324435398</v>
          </cell>
          <cell r="Y111">
            <v>2.3562658711118143</v>
          </cell>
          <cell r="Z111">
            <v>2.3878171066922729</v>
          </cell>
          <cell r="AA111">
            <v>2.4035399815944469</v>
          </cell>
          <cell r="AB111">
            <v>2.3115072011739866</v>
          </cell>
          <cell r="AC111">
            <v>2.6509156312451321</v>
          </cell>
          <cell r="AD111">
            <v>3.0912045072943766</v>
          </cell>
          <cell r="AE111">
            <v>3.1854984896631233</v>
          </cell>
        </row>
        <row r="112">
          <cell r="B112" t="str">
            <v>LBN</v>
          </cell>
          <cell r="D112">
            <v>7.6833865551862397</v>
          </cell>
          <cell r="E112">
            <v>9.2114104246778794</v>
          </cell>
          <cell r="F112">
            <v>9.84668446717472</v>
          </cell>
          <cell r="G112">
            <v>13.348031191785338</v>
          </cell>
          <cell r="H112">
            <v>14.47543942336892</v>
          </cell>
          <cell r="I112">
            <v>16.589170556357601</v>
          </cell>
          <cell r="J112">
            <v>17.19253042369494</v>
          </cell>
          <cell r="K112">
            <v>18.699884677250626</v>
          </cell>
          <cell r="L112">
            <v>18.66005374337789</v>
          </cell>
          <cell r="M112">
            <v>19.15743368363534</v>
          </cell>
          <cell r="N112">
            <v>17.547097197755367</v>
          </cell>
          <cell r="O112">
            <v>18.790813463453528</v>
          </cell>
          <cell r="P112">
            <v>18.777541784540894</v>
          </cell>
          <cell r="Q112">
            <v>18.922740021759001</v>
          </cell>
          <cell r="R112">
            <v>19.189122480966891</v>
          </cell>
          <cell r="S112">
            <v>19.167848160806273</v>
          </cell>
          <cell r="T112">
            <v>18.211174430745377</v>
          </cell>
          <cell r="U112">
            <v>16.761523375076976</v>
          </cell>
          <cell r="V112">
            <v>20.412186151076206</v>
          </cell>
          <cell r="W112">
            <v>24.203694805938611</v>
          </cell>
          <cell r="X112">
            <v>23.322775949570666</v>
          </cell>
          <cell r="Y112">
            <v>23.822001467327429</v>
          </cell>
          <cell r="Z112">
            <v>26.499341067334022</v>
          </cell>
          <cell r="AA112">
            <v>26.474581313460103</v>
          </cell>
          <cell r="AB112">
            <v>28.197694304098032</v>
          </cell>
          <cell r="AC112">
            <v>28.672069980190788</v>
          </cell>
          <cell r="AD112">
            <v>26.934881740015054</v>
          </cell>
          <cell r="AE112">
            <v>26.881641569057926</v>
          </cell>
        </row>
        <row r="113">
          <cell r="B113" t="str">
            <v>LSO</v>
          </cell>
          <cell r="D113">
            <v>1.9094278375686575</v>
          </cell>
          <cell r="E113">
            <v>1.9374780171258283</v>
          </cell>
          <cell r="F113">
            <v>2.1141702254740826</v>
          </cell>
          <cell r="G113">
            <v>2.0855815511606122</v>
          </cell>
          <cell r="H113">
            <v>2.0357080479943757</v>
          </cell>
          <cell r="I113">
            <v>1.9751186261714742</v>
          </cell>
          <cell r="J113">
            <v>1.8967681138095658</v>
          </cell>
          <cell r="K113">
            <v>1.8747257000085222</v>
          </cell>
          <cell r="L113">
            <v>1.843451560711314</v>
          </cell>
          <cell r="M113">
            <v>2.3282085006623712</v>
          </cell>
          <cell r="N113">
            <v>2.2735308282225879</v>
          </cell>
          <cell r="O113">
            <v>2.4182816992875886</v>
          </cell>
          <cell r="P113">
            <v>2.1042158451941737</v>
          </cell>
          <cell r="Q113">
            <v>2.3232490393860563</v>
          </cell>
          <cell r="R113">
            <v>2.1603798559766623</v>
          </cell>
          <cell r="S113">
            <v>2.4155269438146711</v>
          </cell>
          <cell r="T113">
            <v>2.2290726556933427</v>
          </cell>
          <cell r="U113">
            <v>2.4853143003550779</v>
          </cell>
          <cell r="V113">
            <v>2.3035833749890662</v>
          </cell>
          <cell r="W113">
            <v>2.2754179828846266</v>
          </cell>
          <cell r="X113">
            <v>2.7012256259962864</v>
          </cell>
          <cell r="Y113">
            <v>2.1481353658500297</v>
          </cell>
          <cell r="Z113">
            <v>2.1892969410010097</v>
          </cell>
          <cell r="AA113">
            <v>2.5851565560376248</v>
          </cell>
          <cell r="AB113">
            <v>2.6077935281019955</v>
          </cell>
          <cell r="AC113">
            <v>2.522276320654202</v>
          </cell>
          <cell r="AD113">
            <v>2.5978416366359172</v>
          </cell>
          <cell r="AE113">
            <v>2.6608054952600719</v>
          </cell>
        </row>
        <row r="114">
          <cell r="B114" t="str">
            <v>LBR</v>
          </cell>
          <cell r="D114">
            <v>16.572476506142973</v>
          </cell>
          <cell r="E114">
            <v>16.376741455700753</v>
          </cell>
          <cell r="F114">
            <v>16.317906799285467</v>
          </cell>
          <cell r="G114">
            <v>16.242945520566252</v>
          </cell>
          <cell r="H114">
            <v>16.212581817698947</v>
          </cell>
          <cell r="I114">
            <v>16.217197032385826</v>
          </cell>
          <cell r="J114">
            <v>16.330869226347836</v>
          </cell>
          <cell r="K114">
            <v>16.459053739861432</v>
          </cell>
          <cell r="L114">
            <v>16.535540901666689</v>
          </cell>
          <cell r="M114">
            <v>16.638463091842176</v>
          </cell>
          <cell r="N114">
            <v>16.727974223605255</v>
          </cell>
          <cell r="O114">
            <v>16.841766860176307</v>
          </cell>
          <cell r="P114">
            <v>16.855091159356157</v>
          </cell>
          <cell r="Q114">
            <v>16.934780270335725</v>
          </cell>
          <cell r="R114">
            <v>17.070302334597201</v>
          </cell>
          <cell r="S114">
            <v>17.208462908531246</v>
          </cell>
          <cell r="T114">
            <v>17.386070312352068</v>
          </cell>
          <cell r="U114">
            <v>17.466065087168712</v>
          </cell>
          <cell r="V114">
            <v>17.579840627780968</v>
          </cell>
          <cell r="W114">
            <v>17.830672908866198</v>
          </cell>
          <cell r="X114">
            <v>17.699106278674677</v>
          </cell>
          <cell r="Y114">
            <v>4.1650297831832734</v>
          </cell>
          <cell r="Z114">
            <v>4.3805497136218605</v>
          </cell>
          <cell r="AA114">
            <v>4.5934806603356186</v>
          </cell>
          <cell r="AB114">
            <v>4.7057155785615041</v>
          </cell>
          <cell r="AC114">
            <v>4.7597783238547571</v>
          </cell>
          <cell r="AD114">
            <v>4.8439923202428901</v>
          </cell>
          <cell r="AE114">
            <v>4.9711582318970606</v>
          </cell>
        </row>
        <row r="115">
          <cell r="B115" t="str">
            <v>LBY</v>
          </cell>
          <cell r="D115">
            <v>80.958700838069035</v>
          </cell>
          <cell r="E115">
            <v>80.395038377185955</v>
          </cell>
          <cell r="F115">
            <v>81.016241444669404</v>
          </cell>
          <cell r="G115">
            <v>86.106903866472962</v>
          </cell>
          <cell r="H115">
            <v>100.2878223729263</v>
          </cell>
          <cell r="I115">
            <v>105.58230102235298</v>
          </cell>
          <cell r="J115">
            <v>106.87474791848062</v>
          </cell>
          <cell r="K115">
            <v>89.65498587475895</v>
          </cell>
          <cell r="L115">
            <v>82.888185034554297</v>
          </cell>
          <cell r="M115">
            <v>76.454781453101361</v>
          </cell>
          <cell r="N115">
            <v>78.109891553582358</v>
          </cell>
          <cell r="O115">
            <v>75.627893111168362</v>
          </cell>
          <cell r="P115">
            <v>76.870184658246728</v>
          </cell>
          <cell r="Q115">
            <v>84.916610558068939</v>
          </cell>
          <cell r="R115">
            <v>84.820312088640748</v>
          </cell>
          <cell r="S115">
            <v>88.985699994547957</v>
          </cell>
          <cell r="T115">
            <v>88.532136224645384</v>
          </cell>
          <cell r="U115">
            <v>83.093950526045688</v>
          </cell>
          <cell r="V115">
            <v>87.312846353292343</v>
          </cell>
          <cell r="W115">
            <v>87.576415945767224</v>
          </cell>
          <cell r="X115">
            <v>93.575453625889651</v>
          </cell>
          <cell r="Y115">
            <v>61.20796020815164</v>
          </cell>
          <cell r="Z115">
            <v>86.757598240064922</v>
          </cell>
          <cell r="AA115">
            <v>81.541165969002989</v>
          </cell>
          <cell r="AB115">
            <v>75.574071820893977</v>
          </cell>
          <cell r="AC115">
            <v>70.733502915245211</v>
          </cell>
          <cell r="AD115">
            <v>68.57508362699474</v>
          </cell>
          <cell r="AE115">
            <v>77.419396976351621</v>
          </cell>
        </row>
        <row r="116">
          <cell r="B116" t="str">
            <v>LIE</v>
          </cell>
          <cell r="D116">
            <v>-1.034E-2</v>
          </cell>
          <cell r="E116">
            <v>-1.034E-2</v>
          </cell>
          <cell r="F116">
            <v>-1.034E-2</v>
          </cell>
          <cell r="G116">
            <v>-1.034E-2</v>
          </cell>
          <cell r="H116">
            <v>-1.034E-2</v>
          </cell>
          <cell r="I116">
            <v>-1.034E-2</v>
          </cell>
          <cell r="J116">
            <v>-1.034E-2</v>
          </cell>
          <cell r="K116">
            <v>-1.034E-2</v>
          </cell>
          <cell r="L116">
            <v>-1.034E-2</v>
          </cell>
          <cell r="M116">
            <v>-1.034E-2</v>
          </cell>
          <cell r="N116">
            <v>-1.034E-2</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row>
        <row r="117">
          <cell r="B117" t="str">
            <v>LTU</v>
          </cell>
          <cell r="D117">
            <v>47.993960362613493</v>
          </cell>
          <cell r="E117">
            <v>49.846912166697791</v>
          </cell>
          <cell r="F117">
            <v>34.294724539774741</v>
          </cell>
          <cell r="G117">
            <v>27.676000429519561</v>
          </cell>
          <cell r="H117">
            <v>26.098734864081479</v>
          </cell>
          <cell r="I117">
            <v>24.9438897352018</v>
          </cell>
          <cell r="J117">
            <v>25.7558317867163</v>
          </cell>
          <cell r="K117">
            <v>25.332004316829799</v>
          </cell>
          <cell r="L117">
            <v>26.374638843646952</v>
          </cell>
          <cell r="M117">
            <v>23.605828409735306</v>
          </cell>
          <cell r="N117">
            <v>22.111987899677747</v>
          </cell>
          <cell r="O117">
            <v>23.178486917023882</v>
          </cell>
          <cell r="P117">
            <v>23.780607095818461</v>
          </cell>
          <cell r="Q117">
            <v>23.913541559031831</v>
          </cell>
          <cell r="R117">
            <v>24.894756492532309</v>
          </cell>
          <cell r="S117">
            <v>26.152639762800515</v>
          </cell>
          <cell r="T117">
            <v>24.491553801436332</v>
          </cell>
          <cell r="U117">
            <v>26.731165637820585</v>
          </cell>
          <cell r="V117">
            <v>27.080055766089153</v>
          </cell>
          <cell r="W117">
            <v>22.348189827873902</v>
          </cell>
          <cell r="X117">
            <v>23.15748725751169</v>
          </cell>
          <cell r="Y117">
            <v>23.857165910553555</v>
          </cell>
          <cell r="Z117">
            <v>23.974960798975538</v>
          </cell>
          <cell r="AA117">
            <v>22.745116423702161</v>
          </cell>
          <cell r="AB117">
            <v>22.852944688698607</v>
          </cell>
          <cell r="AC117">
            <v>23.371448009056412</v>
          </cell>
          <cell r="AD117">
            <v>25.172288329411785</v>
          </cell>
          <cell r="AE117">
            <v>25.461984373780243</v>
          </cell>
        </row>
        <row r="118">
          <cell r="B118" t="str">
            <v>LUX</v>
          </cell>
          <cell r="D118">
            <v>11.856006594656629</v>
          </cell>
          <cell r="E118">
            <v>12.333474940977018</v>
          </cell>
          <cell r="F118">
            <v>11.994424095941877</v>
          </cell>
          <cell r="G118">
            <v>12.220285849108109</v>
          </cell>
          <cell r="H118">
            <v>11.356885171205235</v>
          </cell>
          <cell r="I118">
            <v>9.1304364442371373</v>
          </cell>
          <cell r="J118">
            <v>9.1565158312804034</v>
          </cell>
          <cell r="K118">
            <v>8.6444815525272016</v>
          </cell>
          <cell r="L118">
            <v>7.9443992920018562</v>
          </cell>
          <cell r="M118">
            <v>8.344840311498654</v>
          </cell>
          <cell r="N118">
            <v>9.0063263246884997</v>
          </cell>
          <cell r="O118">
            <v>10.291072272467813</v>
          </cell>
          <cell r="P118">
            <v>10.973032546531307</v>
          </cell>
          <cell r="Q118">
            <v>11.393123719683532</v>
          </cell>
          <cell r="R118">
            <v>12.843232821486895</v>
          </cell>
          <cell r="S118">
            <v>13.07101550419191</v>
          </cell>
          <cell r="T118">
            <v>12.91032761238556</v>
          </cell>
          <cell r="U118">
            <v>12.334866993922564</v>
          </cell>
          <cell r="V118">
            <v>12.210359718459435</v>
          </cell>
          <cell r="W118">
            <v>11.599480647600396</v>
          </cell>
          <cell r="X118">
            <v>12.243385025055773</v>
          </cell>
          <cell r="Y118">
            <v>12.119837419143316</v>
          </cell>
          <cell r="Z118">
            <v>11.881293417700594</v>
          </cell>
          <cell r="AA118">
            <v>11.344939013693166</v>
          </cell>
          <cell r="AB118">
            <v>10.853797246161077</v>
          </cell>
          <cell r="AC118">
            <v>10.355925628090613</v>
          </cell>
          <cell r="AD118">
            <v>10.242589025573563</v>
          </cell>
          <cell r="AE118">
            <v>10.600097798820739</v>
          </cell>
        </row>
        <row r="119">
          <cell r="B119" t="str">
            <v>MAC</v>
          </cell>
          <cell r="D119">
            <v>0.96263028484930124</v>
          </cell>
          <cell r="E119">
            <v>0.94308536571149759</v>
          </cell>
          <cell r="F119">
            <v>0.93584137990576177</v>
          </cell>
          <cell r="G119">
            <v>0.96895454495173017</v>
          </cell>
          <cell r="H119">
            <v>0.99051410187824218</v>
          </cell>
          <cell r="I119">
            <v>1.0132749416036217</v>
          </cell>
          <cell r="J119">
            <v>1.20104169714667</v>
          </cell>
          <cell r="K119">
            <v>1.2465138497954362</v>
          </cell>
          <cell r="L119">
            <v>1.4141525525387661</v>
          </cell>
          <cell r="M119">
            <v>1.4778202641618359</v>
          </cell>
          <cell r="N119">
            <v>1.4016009669928411</v>
          </cell>
          <cell r="O119">
            <v>1.542794271815694</v>
          </cell>
          <cell r="P119">
            <v>1.5395656350828504</v>
          </cell>
          <cell r="Q119">
            <v>1.5401642773380009</v>
          </cell>
          <cell r="R119">
            <v>2.0693876636788731</v>
          </cell>
          <cell r="S119">
            <v>1.8256916869547057</v>
          </cell>
          <cell r="T119">
            <v>1.9970654719802718</v>
          </cell>
          <cell r="U119">
            <v>1.9209639833202965</v>
          </cell>
          <cell r="V119">
            <v>1.8339593153452802</v>
          </cell>
          <cell r="W119">
            <v>1.8254234711506134</v>
          </cell>
          <cell r="X119">
            <v>1.5749554369443819</v>
          </cell>
          <cell r="Y119">
            <v>2.06652946883327</v>
          </cell>
          <cell r="Z119">
            <v>3.0019909752421294</v>
          </cell>
          <cell r="AA119">
            <v>1.913893759424095</v>
          </cell>
          <cell r="AB119">
            <v>1.4255298010467643</v>
          </cell>
          <cell r="AC119">
            <v>1.5152986003938156</v>
          </cell>
          <cell r="AD119">
            <v>1.6213290793216997</v>
          </cell>
          <cell r="AE119">
            <v>1.6951888983045642</v>
          </cell>
        </row>
        <row r="120">
          <cell r="B120" t="str">
            <v>MKD</v>
          </cell>
          <cell r="D120">
            <v>13.725862619113327</v>
          </cell>
          <cell r="E120">
            <v>12.27181880641839</v>
          </cell>
          <cell r="F120">
            <v>10.453538703628031</v>
          </cell>
          <cell r="G120">
            <v>10.67308819155862</v>
          </cell>
          <cell r="H120">
            <v>10.460154292351518</v>
          </cell>
          <cell r="I120">
            <v>10.329060739334443</v>
          </cell>
          <cell r="J120">
            <v>11.961361998438889</v>
          </cell>
          <cell r="K120">
            <v>10.836709855476927</v>
          </cell>
          <cell r="L120">
            <v>11.717635298232679</v>
          </cell>
          <cell r="M120">
            <v>10.877924645307612</v>
          </cell>
          <cell r="N120">
            <v>10.612512097315918</v>
          </cell>
          <cell r="O120">
            <v>12.701862720814427</v>
          </cell>
          <cell r="P120">
            <v>12.174521511283519</v>
          </cell>
          <cell r="Q120">
            <v>12.960677044493872</v>
          </cell>
          <cell r="R120">
            <v>12.845375806052843</v>
          </cell>
          <cell r="S120">
            <v>13.295530664368401</v>
          </cell>
          <cell r="T120">
            <v>12.126346545776387</v>
          </cell>
          <cell r="U120">
            <v>12.81668774247597</v>
          </cell>
          <cell r="V120">
            <v>12.64905297215901</v>
          </cell>
          <cell r="W120">
            <v>11.679122638736265</v>
          </cell>
          <cell r="X120">
            <v>11.912560002907986</v>
          </cell>
          <cell r="Y120">
            <v>12.995628746936623</v>
          </cell>
          <cell r="Z120">
            <v>12.295515242379414</v>
          </cell>
          <cell r="AA120">
            <v>11.45126273137805</v>
          </cell>
          <cell r="AB120">
            <v>11.034681147867204</v>
          </cell>
          <cell r="AC120">
            <v>10.767097942131961</v>
          </cell>
          <cell r="AD120">
            <v>10.763268632252723</v>
          </cell>
          <cell r="AE120">
            <v>11.012317796533244</v>
          </cell>
        </row>
        <row r="121">
          <cell r="B121" t="str">
            <v>MDG</v>
          </cell>
          <cell r="D121">
            <v>65.734304553354747</v>
          </cell>
          <cell r="E121">
            <v>65.894133805959598</v>
          </cell>
          <cell r="F121">
            <v>66.128614438110262</v>
          </cell>
          <cell r="G121">
            <v>66.522948837606464</v>
          </cell>
          <cell r="H121">
            <v>66.380502037203215</v>
          </cell>
          <cell r="I121">
            <v>66.603142635765806</v>
          </cell>
          <cell r="J121">
            <v>67.455905303245061</v>
          </cell>
          <cell r="K121">
            <v>66.032150918312567</v>
          </cell>
          <cell r="L121">
            <v>67.888787602319098</v>
          </cell>
          <cell r="M121">
            <v>66.924551347696621</v>
          </cell>
          <cell r="N121">
            <v>64.882096411485833</v>
          </cell>
          <cell r="O121">
            <v>52.848713500610245</v>
          </cell>
          <cell r="P121">
            <v>48.031606681779976</v>
          </cell>
          <cell r="Q121">
            <v>51.16825141050694</v>
          </cell>
          <cell r="R121">
            <v>51.339638381362427</v>
          </cell>
          <cell r="S121">
            <v>56.637755276619615</v>
          </cell>
          <cell r="T121">
            <v>62.958020062677207</v>
          </cell>
          <cell r="U121">
            <v>64.465447970421536</v>
          </cell>
          <cell r="V121">
            <v>61.430939596246859</v>
          </cell>
          <cell r="W121">
            <v>65.891717670834012</v>
          </cell>
          <cell r="X121">
            <v>65.569120393237384</v>
          </cell>
          <cell r="Y121">
            <v>54.357475443560318</v>
          </cell>
          <cell r="Z121">
            <v>52.619418726021102</v>
          </cell>
          <cell r="AA121">
            <v>56.098530446204762</v>
          </cell>
          <cell r="AB121">
            <v>53.663115880867664</v>
          </cell>
          <cell r="AC121">
            <v>54.222026779077559</v>
          </cell>
          <cell r="AD121">
            <v>54.472147833251725</v>
          </cell>
          <cell r="AE121">
            <v>55.227641978797088</v>
          </cell>
        </row>
        <row r="122">
          <cell r="B122" t="str">
            <v>MWI</v>
          </cell>
          <cell r="D122">
            <v>11.826527943973986</v>
          </cell>
          <cell r="E122">
            <v>12.121579450765598</v>
          </cell>
          <cell r="F122">
            <v>12.086942073875797</v>
          </cell>
          <cell r="G122">
            <v>12.143910554767118</v>
          </cell>
          <cell r="H122">
            <v>11.773321150172865</v>
          </cell>
          <cell r="I122">
            <v>11.956386804309853</v>
          </cell>
          <cell r="J122">
            <v>12.274285993663963</v>
          </cell>
          <cell r="K122">
            <v>12.276646179755096</v>
          </cell>
          <cell r="L122">
            <v>12.507810213877367</v>
          </cell>
          <cell r="M122">
            <v>12.325173344769794</v>
          </cell>
          <cell r="N122">
            <v>13.102560847343229</v>
          </cell>
          <cell r="O122">
            <v>13.18025318117698</v>
          </cell>
          <cell r="P122">
            <v>14.30993655755495</v>
          </cell>
          <cell r="Q122">
            <v>15.56111968532413</v>
          </cell>
          <cell r="R122">
            <v>15.170494583093232</v>
          </cell>
          <cell r="S122">
            <v>15.963300713299812</v>
          </cell>
          <cell r="T122">
            <v>14.836843498184972</v>
          </cell>
          <cell r="U122">
            <v>15.263169858077969</v>
          </cell>
          <cell r="V122">
            <v>15.917765340862593</v>
          </cell>
          <cell r="W122">
            <v>15.609654881583467</v>
          </cell>
          <cell r="X122">
            <v>16.746088803931698</v>
          </cell>
          <cell r="Y122">
            <v>14.685595804067262</v>
          </cell>
          <cell r="Z122">
            <v>14.805425461275904</v>
          </cell>
          <cell r="AA122">
            <v>14.815048692950018</v>
          </cell>
          <cell r="AB122">
            <v>15.975468247566894</v>
          </cell>
          <cell r="AC122">
            <v>16.161875595185709</v>
          </cell>
          <cell r="AD122">
            <v>16.336032744402115</v>
          </cell>
          <cell r="AE122">
            <v>16.813058642911365</v>
          </cell>
        </row>
        <row r="123">
          <cell r="B123" t="str">
            <v>MYS</v>
          </cell>
          <cell r="D123">
            <v>221.74454752208791</v>
          </cell>
          <cell r="E123">
            <v>235.300434521862</v>
          </cell>
          <cell r="F123">
            <v>239.18541082771137</v>
          </cell>
          <cell r="G123">
            <v>255.04270139230442</v>
          </cell>
          <cell r="H123">
            <v>256.16425282594855</v>
          </cell>
          <cell r="I123">
            <v>263.31858868252891</v>
          </cell>
          <cell r="J123">
            <v>275.75515693586379</v>
          </cell>
          <cell r="K123">
            <v>286.40704829459975</v>
          </cell>
          <cell r="L123">
            <v>314.70076272672452</v>
          </cell>
          <cell r="M123">
            <v>292.75986425534819</v>
          </cell>
          <cell r="N123">
            <v>304.05455702026325</v>
          </cell>
          <cell r="O123">
            <v>329.37825937303666</v>
          </cell>
          <cell r="P123">
            <v>348.21576742260442</v>
          </cell>
          <cell r="Q123">
            <v>355.31389354773358</v>
          </cell>
          <cell r="R123">
            <v>377.0194283351118</v>
          </cell>
          <cell r="S123">
            <v>392.48865348738519</v>
          </cell>
          <cell r="T123">
            <v>227.44699211552663</v>
          </cell>
          <cell r="U123">
            <v>246.73535989822702</v>
          </cell>
          <cell r="V123">
            <v>259.76563655151722</v>
          </cell>
          <cell r="W123">
            <v>246.33174325686306</v>
          </cell>
          <cell r="X123">
            <v>258.26604131797063</v>
          </cell>
          <cell r="Y123">
            <v>136.00361080143699</v>
          </cell>
          <cell r="Z123">
            <v>138.74685551173462</v>
          </cell>
          <cell r="AA123">
            <v>160.10711446852889</v>
          </cell>
          <cell r="AB123">
            <v>185.70682236124864</v>
          </cell>
          <cell r="AC123">
            <v>186.24333541918665</v>
          </cell>
          <cell r="AD123">
            <v>191.38295917066367</v>
          </cell>
          <cell r="AE123">
            <v>194.11394120664775</v>
          </cell>
        </row>
        <row r="124">
          <cell r="B124" t="str">
            <v>MDV</v>
          </cell>
          <cell r="D124">
            <v>8.8367646656358004E-2</v>
          </cell>
          <cell r="E124">
            <v>8.7473381474776027E-2</v>
          </cell>
          <cell r="F124">
            <v>8.7473170941968409E-2</v>
          </cell>
          <cell r="G124">
            <v>0.13169994911167879</v>
          </cell>
          <cell r="H124">
            <v>0.17796106079519017</v>
          </cell>
          <cell r="I124">
            <v>0.2840035714118882</v>
          </cell>
          <cell r="J124">
            <v>0.29780513983689183</v>
          </cell>
          <cell r="K124">
            <v>0.25003369539618597</v>
          </cell>
          <cell r="L124">
            <v>0.32723434565882803</v>
          </cell>
          <cell r="M124">
            <v>0.31525026235851122</v>
          </cell>
          <cell r="N124">
            <v>0.43192399489179523</v>
          </cell>
          <cell r="O124">
            <v>0.45708825455283347</v>
          </cell>
          <cell r="P124">
            <v>0.75540302697676154</v>
          </cell>
          <cell r="Q124">
            <v>0.83661913477664518</v>
          </cell>
          <cell r="R124">
            <v>0.64214073845612596</v>
          </cell>
          <cell r="S124">
            <v>0.5362410015909207</v>
          </cell>
          <cell r="T124">
            <v>0.66194768855662445</v>
          </cell>
          <cell r="U124">
            <v>0.72819840054455853</v>
          </cell>
          <cell r="V124">
            <v>0.79209625898430969</v>
          </cell>
          <cell r="W124">
            <v>0.88247592613668902</v>
          </cell>
          <cell r="X124">
            <v>0.9512427622522609</v>
          </cell>
          <cell r="Y124">
            <v>1.1894572143214839</v>
          </cell>
          <cell r="Z124">
            <v>1.6723447160633989</v>
          </cell>
          <cell r="AA124">
            <v>1.4651262415252482</v>
          </cell>
          <cell r="AB124">
            <v>0.93068694265733187</v>
          </cell>
          <cell r="AC124">
            <v>0.89889886515827322</v>
          </cell>
          <cell r="AD124">
            <v>0.99188298793720442</v>
          </cell>
          <cell r="AE124">
            <v>1.0525102721262418</v>
          </cell>
        </row>
        <row r="125">
          <cell r="B125" t="str">
            <v>MLI</v>
          </cell>
          <cell r="D125">
            <v>25.7188217958834</v>
          </cell>
          <cell r="E125">
            <v>25.92173733984847</v>
          </cell>
          <cell r="F125">
            <v>25.909415376428907</v>
          </cell>
          <cell r="G125">
            <v>26.150847726600766</v>
          </cell>
          <cell r="H125">
            <v>26.573331022042591</v>
          </cell>
          <cell r="I125">
            <v>26.958215749053636</v>
          </cell>
          <cell r="J125">
            <v>26.644035627745698</v>
          </cell>
          <cell r="K125">
            <v>27.450791646713178</v>
          </cell>
          <cell r="L125">
            <v>31.007807099772009</v>
          </cell>
          <cell r="M125">
            <v>32.029134004888014</v>
          </cell>
          <cell r="N125">
            <v>30.681061885467312</v>
          </cell>
          <cell r="O125">
            <v>32.217764415187702</v>
          </cell>
          <cell r="P125">
            <v>31.288660057753738</v>
          </cell>
          <cell r="Q125">
            <v>30.996668490285352</v>
          </cell>
          <cell r="R125">
            <v>34.274498757498954</v>
          </cell>
          <cell r="S125">
            <v>34.473416016823855</v>
          </cell>
          <cell r="T125">
            <v>34.761060957202972</v>
          </cell>
          <cell r="U125">
            <v>35.123942615924747</v>
          </cell>
          <cell r="V125">
            <v>37.644491253225674</v>
          </cell>
          <cell r="W125">
            <v>38.077894119151225</v>
          </cell>
          <cell r="X125">
            <v>39.070609042066899</v>
          </cell>
          <cell r="Y125">
            <v>40.067827163678814</v>
          </cell>
          <cell r="Z125">
            <v>39.459013016274724</v>
          </cell>
          <cell r="AA125">
            <v>41.198844246225597</v>
          </cell>
          <cell r="AB125">
            <v>41.794531277115652</v>
          </cell>
          <cell r="AC125">
            <v>43.916635333892309</v>
          </cell>
          <cell r="AD125">
            <v>46.985918410119929</v>
          </cell>
          <cell r="AE125">
            <v>47.650222005131944</v>
          </cell>
        </row>
        <row r="126">
          <cell r="B126" t="str">
            <v>MLT</v>
          </cell>
          <cell r="D126">
            <v>2.5184209462867995</v>
          </cell>
          <cell r="E126">
            <v>2.4191199987975001</v>
          </cell>
          <cell r="F126">
            <v>2.3804467602086254</v>
          </cell>
          <cell r="G126">
            <v>3.0283246576595695</v>
          </cell>
          <cell r="H126">
            <v>2.7300394946276079</v>
          </cell>
          <cell r="I126">
            <v>2.6062375284554946</v>
          </cell>
          <cell r="J126">
            <v>2.5629805358706497</v>
          </cell>
          <cell r="K126">
            <v>2.7283649847316545</v>
          </cell>
          <cell r="L126">
            <v>2.6365273562028961</v>
          </cell>
          <cell r="M126">
            <v>2.6795073781183261</v>
          </cell>
          <cell r="N126">
            <v>2.40121175217757</v>
          </cell>
          <cell r="O126">
            <v>2.7891279273548637</v>
          </cell>
          <cell r="P126">
            <v>2.6291256758932722</v>
          </cell>
          <cell r="Q126">
            <v>2.9356289045430168</v>
          </cell>
          <cell r="R126">
            <v>2.9442059561458174</v>
          </cell>
          <cell r="S126">
            <v>3.1080698137698719</v>
          </cell>
          <cell r="T126">
            <v>3.0131082920224181</v>
          </cell>
          <cell r="U126">
            <v>3.1890448300450078</v>
          </cell>
          <cell r="V126">
            <v>3.0496233542593663</v>
          </cell>
          <cell r="W126">
            <v>2.9550018968208533</v>
          </cell>
          <cell r="X126">
            <v>3.0847543951289422</v>
          </cell>
          <cell r="Y126">
            <v>3.0747461546136092</v>
          </cell>
          <cell r="Z126">
            <v>3.1829198809756978</v>
          </cell>
          <cell r="AA126">
            <v>2.8497425109804442</v>
          </cell>
          <cell r="AB126">
            <v>2.8306728750280792</v>
          </cell>
          <cell r="AC126">
            <v>2.1206391213451838</v>
          </cell>
          <cell r="AD126">
            <v>2.2472737676725676</v>
          </cell>
          <cell r="AE126">
            <v>2.295524765895772</v>
          </cell>
        </row>
        <row r="127">
          <cell r="B127" t="str">
            <v>MHL</v>
          </cell>
          <cell r="D127">
            <v>1.335043590065E-2</v>
          </cell>
          <cell r="E127">
            <v>1.3800473215949996E-2</v>
          </cell>
          <cell r="F127">
            <v>1.4160279251999999E-2</v>
          </cell>
          <cell r="G127">
            <v>1.4457960195150003E-2</v>
          </cell>
          <cell r="H127">
            <v>1.4712740864175003E-2</v>
          </cell>
          <cell r="I127">
            <v>1.4944085065049998E-2</v>
          </cell>
          <cell r="J127">
            <v>1.5155765497500001E-2</v>
          </cell>
          <cell r="K127">
            <v>1.53473796724E-2</v>
          </cell>
          <cell r="L127">
            <v>1.55186391358E-2</v>
          </cell>
          <cell r="M127">
            <v>1.5670699759025002E-2</v>
          </cell>
          <cell r="N127">
            <v>1.580288518935E-2</v>
          </cell>
          <cell r="O127">
            <v>1.591345210605E-2</v>
          </cell>
          <cell r="P127">
            <v>1.6008402638849999E-2</v>
          </cell>
          <cell r="Q127">
            <v>1.6095670862949999E-2</v>
          </cell>
          <cell r="R127">
            <v>1.6032212889699998E-2</v>
          </cell>
          <cell r="S127">
            <v>1.6125833814849999E-2</v>
          </cell>
          <cell r="T127">
            <v>1.62250211936E-2</v>
          </cell>
          <cell r="U127">
            <v>1.6334225539974996E-2</v>
          </cell>
          <cell r="V127">
            <v>1.6452319601474998E-2</v>
          </cell>
          <cell r="W127">
            <v>1.6576689030125002E-2</v>
          </cell>
          <cell r="X127">
            <v>1.6704198733725001E-2</v>
          </cell>
          <cell r="Y127">
            <v>1.6828675282349995E-2</v>
          </cell>
          <cell r="Z127">
            <v>1.6954926830449999E-2</v>
          </cell>
          <cell r="AA127">
            <v>1.7078367247224998E-2</v>
          </cell>
          <cell r="AB127">
            <v>1.7204440813999997E-2</v>
          </cell>
          <cell r="AC127">
            <v>1.7330514380774993E-2</v>
          </cell>
          <cell r="AD127">
            <v>1.7456587947549999E-2</v>
          </cell>
          <cell r="AE127">
            <v>1.7582661514324995E-2</v>
          </cell>
        </row>
        <row r="128">
          <cell r="B128" t="str">
            <v>MTQ</v>
          </cell>
          <cell r="D128">
            <v>1.315057593305214</v>
          </cell>
          <cell r="E128">
            <v>1.2066824385864081</v>
          </cell>
          <cell r="F128">
            <v>1.280064318768628</v>
          </cell>
          <cell r="G128">
            <v>1.483900864982084</v>
          </cell>
          <cell r="H128">
            <v>1.4474607473171084</v>
          </cell>
          <cell r="I128">
            <v>1.4748991978903461</v>
          </cell>
          <cell r="J128">
            <v>1.4981625079369307</v>
          </cell>
          <cell r="K128">
            <v>1.4276565700846358</v>
          </cell>
          <cell r="L128">
            <v>1.4287153790675622</v>
          </cell>
          <cell r="M128">
            <v>1.4522588703623183</v>
          </cell>
          <cell r="N128">
            <v>1.3930043845207161</v>
          </cell>
          <cell r="O128">
            <v>1.4346400623422333</v>
          </cell>
          <cell r="P128">
            <v>1.440134808425936</v>
          </cell>
          <cell r="Q128">
            <v>1.4685008689338941</v>
          </cell>
          <cell r="R128">
            <v>1.5465460121540373</v>
          </cell>
          <cell r="S128">
            <v>1.4702758733152699</v>
          </cell>
          <cell r="T128">
            <v>1.4479718319147779</v>
          </cell>
          <cell r="U128">
            <v>1.4951276451519753</v>
          </cell>
          <cell r="V128">
            <v>1.3592746977473558</v>
          </cell>
          <cell r="W128">
            <v>1.6020537952487577</v>
          </cell>
          <cell r="X128">
            <v>1.677443228286857</v>
          </cell>
          <cell r="Y128">
            <v>1.6760757794133794</v>
          </cell>
          <cell r="Z128">
            <v>2.8343680142238821</v>
          </cell>
          <cell r="AA128">
            <v>3.0402839768232885</v>
          </cell>
          <cell r="AB128">
            <v>2.880487921813748</v>
          </cell>
          <cell r="AC128">
            <v>2.9334368226764611</v>
          </cell>
          <cell r="AD128">
            <v>2.9343259501675991</v>
          </cell>
          <cell r="AE128">
            <v>2.9403544850772274</v>
          </cell>
        </row>
        <row r="129">
          <cell r="B129" t="str">
            <v>MRT</v>
          </cell>
          <cell r="D129">
            <v>7.5933839139830059</v>
          </cell>
          <cell r="E129">
            <v>7.9623335944095732</v>
          </cell>
          <cell r="F129">
            <v>9.4101093009318273</v>
          </cell>
          <cell r="G129">
            <v>9.5649274227010697</v>
          </cell>
          <cell r="H129">
            <v>9.5175643781744732</v>
          </cell>
          <cell r="I129">
            <v>9.6530656977433082</v>
          </cell>
          <cell r="J129">
            <v>10.013054687630314</v>
          </cell>
          <cell r="K129">
            <v>10.525152622430841</v>
          </cell>
          <cell r="L129">
            <v>10.564541301950138</v>
          </cell>
          <cell r="M129">
            <v>11.117923782536504</v>
          </cell>
          <cell r="N129">
            <v>11.549763232011117</v>
          </cell>
          <cell r="O129">
            <v>11.827726645376414</v>
          </cell>
          <cell r="P129">
            <v>11.584663122853861</v>
          </cell>
          <cell r="Q129">
            <v>11.927288261453239</v>
          </cell>
          <cell r="R129">
            <v>12.112509978646065</v>
          </cell>
          <cell r="S129">
            <v>12.63829689359021</v>
          </cell>
          <cell r="T129">
            <v>12.010143312664733</v>
          </cell>
          <cell r="U129">
            <v>11.935209469133248</v>
          </cell>
          <cell r="V129">
            <v>10.431671198024693</v>
          </cell>
          <cell r="W129">
            <v>11.087220609038189</v>
          </cell>
          <cell r="X129">
            <v>11.527195521399642</v>
          </cell>
          <cell r="Y129">
            <v>9.6246301407490904</v>
          </cell>
          <cell r="Z129">
            <v>10.035210303034354</v>
          </cell>
          <cell r="AA129">
            <v>10.351336078640223</v>
          </cell>
          <cell r="AB129">
            <v>10.260253410294766</v>
          </cell>
          <cell r="AC129">
            <v>10.561632087044106</v>
          </cell>
          <cell r="AD129">
            <v>10.75926872934509</v>
          </cell>
          <cell r="AE129">
            <v>10.987137158246925</v>
          </cell>
        </row>
        <row r="130">
          <cell r="B130" t="str">
            <v>MUS</v>
          </cell>
          <cell r="D130">
            <v>1.6608766747497257</v>
          </cell>
          <cell r="E130">
            <v>1.7490438139935276</v>
          </cell>
          <cell r="F130">
            <v>1.8276937348369837</v>
          </cell>
          <cell r="G130">
            <v>1.9537326575155174</v>
          </cell>
          <cell r="H130">
            <v>1.9797657345987894</v>
          </cell>
          <cell r="I130">
            <v>2.0342171536628442</v>
          </cell>
          <cell r="J130">
            <v>2.1144210889906381</v>
          </cell>
          <cell r="K130">
            <v>2.1327358773697007</v>
          </cell>
          <cell r="L130">
            <v>2.2842070558069008</v>
          </cell>
          <cell r="M130">
            <v>2.6961940205505575</v>
          </cell>
          <cell r="N130">
            <v>2.9863320732083838</v>
          </cell>
          <cell r="O130">
            <v>3.3331897977186578</v>
          </cell>
          <cell r="P130">
            <v>3.3520880732747744</v>
          </cell>
          <cell r="Q130">
            <v>3.4812642698878755</v>
          </cell>
          <cell r="R130">
            <v>3.5379145274794985</v>
          </cell>
          <cell r="S130">
            <v>3.734598913267698</v>
          </cell>
          <cell r="T130">
            <v>3.8985345833070024</v>
          </cell>
          <cell r="U130">
            <v>4.0100379054147552</v>
          </cell>
          <cell r="V130">
            <v>4.1279478651546855</v>
          </cell>
          <cell r="W130">
            <v>4.0904485746018757</v>
          </cell>
          <cell r="X130">
            <v>4.3421404732972899</v>
          </cell>
          <cell r="Y130">
            <v>4.3256322437870347</v>
          </cell>
          <cell r="Z130">
            <v>4.4102147844274642</v>
          </cell>
          <cell r="AA130">
            <v>4.4865479385777052</v>
          </cell>
          <cell r="AB130">
            <v>4.631816710849785</v>
          </cell>
          <cell r="AC130">
            <v>4.6337900765509898</v>
          </cell>
          <cell r="AD130">
            <v>4.4581965352064543</v>
          </cell>
          <cell r="AE130">
            <v>4.6570096537130041</v>
          </cell>
        </row>
        <row r="131">
          <cell r="B131" t="str">
            <v>MEX</v>
          </cell>
          <cell r="D131">
            <v>463.78286549835229</v>
          </cell>
          <cell r="E131">
            <v>478.1463350720353</v>
          </cell>
          <cell r="F131">
            <v>482.35199075553794</v>
          </cell>
          <cell r="G131">
            <v>499.06660846796103</v>
          </cell>
          <cell r="H131">
            <v>531.37098712983277</v>
          </cell>
          <cell r="I131">
            <v>526.26813833800668</v>
          </cell>
          <cell r="J131">
            <v>549.38543758835033</v>
          </cell>
          <cell r="K131">
            <v>582.87116017901451</v>
          </cell>
          <cell r="L131">
            <v>615.42958663531215</v>
          </cell>
          <cell r="M131">
            <v>598.0553862561286</v>
          </cell>
          <cell r="N131">
            <v>624.25604810763195</v>
          </cell>
          <cell r="O131">
            <v>619.71703599145587</v>
          </cell>
          <cell r="P131">
            <v>629.37557909495331</v>
          </cell>
          <cell r="Q131">
            <v>658.29862311936859</v>
          </cell>
          <cell r="R131">
            <v>666.28266473967676</v>
          </cell>
          <cell r="S131">
            <v>693.07951441166665</v>
          </cell>
          <cell r="T131">
            <v>710.11010348351306</v>
          </cell>
          <cell r="U131">
            <v>724.9133971985591</v>
          </cell>
          <cell r="V131">
            <v>734.33163150528674</v>
          </cell>
          <cell r="W131">
            <v>730.4670095737979</v>
          </cell>
          <cell r="X131">
            <v>747.03003742113412</v>
          </cell>
          <cell r="Y131">
            <v>755.86388510437018</v>
          </cell>
          <cell r="Z131">
            <v>771.940271615038</v>
          </cell>
          <cell r="AA131">
            <v>763.72053241264086</v>
          </cell>
          <cell r="AB131">
            <v>751.95625511830167</v>
          </cell>
          <cell r="AC131">
            <v>764.06060144454034</v>
          </cell>
          <cell r="AD131">
            <v>794.64337007321853</v>
          </cell>
          <cell r="AE131">
            <v>780.38007940415264</v>
          </cell>
        </row>
        <row r="132">
          <cell r="B132" t="str">
            <v>FSM</v>
          </cell>
          <cell r="D132">
            <v>3.156199239357E-2</v>
          </cell>
          <cell r="E132">
            <v>2.3848895142999996E-3</v>
          </cell>
          <cell r="F132">
            <v>2.7084603438300089E-3</v>
          </cell>
          <cell r="G132">
            <v>2.8763054975549929E-3</v>
          </cell>
          <cell r="H132">
            <v>3.0027225188050052E-3</v>
          </cell>
          <cell r="I132">
            <v>1.4493133972424396E-2</v>
          </cell>
          <cell r="J132">
            <v>1.4415954939722003E-2</v>
          </cell>
          <cell r="K132">
            <v>1.4241444241115189E-2</v>
          </cell>
          <cell r="L132">
            <v>1.400167623962701E-2</v>
          </cell>
          <cell r="M132">
            <v>1.37801338247358E-2</v>
          </cell>
          <cell r="N132">
            <v>1.36089575219372E-2</v>
          </cell>
          <cell r="O132">
            <v>1.3524505974573796E-2</v>
          </cell>
          <cell r="P132">
            <v>1.3558663843489395E-2</v>
          </cell>
          <cell r="Q132">
            <v>1.3555920716149202E-2</v>
          </cell>
          <cell r="R132">
            <v>1.3531285820863402E-2</v>
          </cell>
          <cell r="S132">
            <v>1.360201473224041E-2</v>
          </cell>
          <cell r="T132">
            <v>1.3533641315958397E-2</v>
          </cell>
          <cell r="U132">
            <v>1.3861471338151E-2</v>
          </cell>
          <cell r="V132">
            <v>1.3812502177228E-2</v>
          </cell>
          <cell r="W132">
            <v>1.3728871563072002E-2</v>
          </cell>
          <cell r="X132">
            <v>1.3699761102786E-2</v>
          </cell>
          <cell r="Y132">
            <v>1.2000727960914004E-2</v>
          </cell>
          <cell r="Z132">
            <v>1.202304085956301E-2</v>
          </cell>
          <cell r="AA132">
            <v>1.2370636306075794E-2</v>
          </cell>
          <cell r="AB132">
            <v>1.233141113075123E-2</v>
          </cell>
          <cell r="AC132">
            <v>1.2443652736543229E-2</v>
          </cell>
          <cell r="AD132">
            <v>1.2681863830413795E-2</v>
          </cell>
          <cell r="AE132">
            <v>1.2918961024330967E-2</v>
          </cell>
        </row>
        <row r="133">
          <cell r="B133" t="str">
            <v>MDA</v>
          </cell>
          <cell r="D133">
            <v>37.78804322090599</v>
          </cell>
          <cell r="E133">
            <v>31.223383433160055</v>
          </cell>
          <cell r="F133">
            <v>24.670013701785582</v>
          </cell>
          <cell r="G133">
            <v>21.226055453791048</v>
          </cell>
          <cell r="H133">
            <v>17.535394249078223</v>
          </cell>
          <cell r="I133">
            <v>15.36689628574886</v>
          </cell>
          <cell r="J133">
            <v>13.35461855720277</v>
          </cell>
          <cell r="K133">
            <v>11.907843016941458</v>
          </cell>
          <cell r="L133">
            <v>10.592769076405615</v>
          </cell>
          <cell r="M133">
            <v>8.9996399884258054</v>
          </cell>
          <cell r="N133">
            <v>8.3442901801940366</v>
          </cell>
          <cell r="O133">
            <v>8.9138456991013744</v>
          </cell>
          <cell r="P133">
            <v>9.1621878859112531</v>
          </cell>
          <cell r="Q133">
            <v>9.7058540106703362</v>
          </cell>
          <cell r="R133">
            <v>9.7730472316937309</v>
          </cell>
          <cell r="S133">
            <v>10.027235762053968</v>
          </cell>
          <cell r="T133">
            <v>9.9030989939320246</v>
          </cell>
          <cell r="U133">
            <v>9.6300899274446987</v>
          </cell>
          <cell r="V133">
            <v>9.4116958177336407</v>
          </cell>
          <cell r="W133">
            <v>9.1996823723390797</v>
          </cell>
          <cell r="X133">
            <v>9.9849367210472604</v>
          </cell>
          <cell r="Y133">
            <v>9.8521935492933697</v>
          </cell>
          <cell r="Z133">
            <v>9.5809602361802746</v>
          </cell>
          <cell r="AA133">
            <v>8.630738261226254</v>
          </cell>
          <cell r="AB133">
            <v>9.4743608832074795</v>
          </cell>
          <cell r="AC133">
            <v>9.6371316170742372</v>
          </cell>
          <cell r="AD133">
            <v>9.9877112368259162</v>
          </cell>
          <cell r="AE133">
            <v>9.7442271059655905</v>
          </cell>
        </row>
        <row r="134">
          <cell r="B134" t="str">
            <v>MCO</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row>
        <row r="135">
          <cell r="B135" t="str">
            <v>MNG</v>
          </cell>
          <cell r="D135">
            <v>52.961427931519708</v>
          </cell>
          <cell r="E135">
            <v>55.700553359429207</v>
          </cell>
          <cell r="F135">
            <v>53.515790177558998</v>
          </cell>
          <cell r="G135">
            <v>52.207668640366393</v>
          </cell>
          <cell r="H135">
            <v>50.272400396264402</v>
          </cell>
          <cell r="I135">
            <v>51.087880191588795</v>
          </cell>
          <cell r="J135">
            <v>49.500897073556203</v>
          </cell>
          <cell r="K135">
            <v>56.26453276312381</v>
          </cell>
          <cell r="L135">
            <v>50.734376063577301</v>
          </cell>
          <cell r="M135">
            <v>50.580844847212511</v>
          </cell>
          <cell r="N135">
            <v>54.540368471757475</v>
          </cell>
          <cell r="O135">
            <v>47.576138687612008</v>
          </cell>
          <cell r="P135">
            <v>48.111801527430472</v>
          </cell>
          <cell r="Q135">
            <v>44.163854510330758</v>
          </cell>
          <cell r="R135">
            <v>44.754035971283358</v>
          </cell>
          <cell r="S135">
            <v>47.400311254737304</v>
          </cell>
          <cell r="T135">
            <v>57.967295837070857</v>
          </cell>
          <cell r="U135">
            <v>59.646137740674703</v>
          </cell>
          <cell r="V135">
            <v>59.7480819296552</v>
          </cell>
          <cell r="W135">
            <v>57.333879385218872</v>
          </cell>
          <cell r="X135">
            <v>58.411654541409405</v>
          </cell>
          <cell r="Y135">
            <v>65.560029766089386</v>
          </cell>
          <cell r="Z135">
            <v>69.132363124197809</v>
          </cell>
          <cell r="AA135">
            <v>68.610703505642817</v>
          </cell>
          <cell r="AB135">
            <v>70.919803848610314</v>
          </cell>
          <cell r="AC135">
            <v>70.019907856136939</v>
          </cell>
          <cell r="AD135">
            <v>82.591971431354196</v>
          </cell>
          <cell r="AE135">
            <v>90.029907220212863</v>
          </cell>
        </row>
        <row r="136">
          <cell r="B136" t="str">
            <v>MSR</v>
          </cell>
          <cell r="D136">
            <v>6.9082856342739946E-2</v>
          </cell>
          <cell r="E136">
            <v>6.8704022365566275E-2</v>
          </cell>
          <cell r="F136">
            <v>7.2634937011775647E-2</v>
          </cell>
          <cell r="G136">
            <v>7.1416587229113676E-2</v>
          </cell>
          <cell r="H136">
            <v>7.1529062753565048E-2</v>
          </cell>
          <cell r="I136">
            <v>7.4735466674407003E-2</v>
          </cell>
          <cell r="J136">
            <v>7.3092176650740193E-2</v>
          </cell>
          <cell r="K136">
            <v>7.3399100927318536E-2</v>
          </cell>
          <cell r="L136">
            <v>7.4476112424245303E-2</v>
          </cell>
          <cell r="M136">
            <v>7.5543544068418664E-2</v>
          </cell>
          <cell r="N136">
            <v>9.2440302022585616E-2</v>
          </cell>
          <cell r="O136">
            <v>4.3802879879198557E-2</v>
          </cell>
          <cell r="P136">
            <v>4.1333267892201798E-2</v>
          </cell>
          <cell r="Q136">
            <v>4.1809453346607538E-2</v>
          </cell>
          <cell r="R136">
            <v>4.0948562491139803E-2</v>
          </cell>
          <cell r="S136">
            <v>6.6053930049613199E-2</v>
          </cell>
          <cell r="T136">
            <v>9.1820676945903748E-2</v>
          </cell>
          <cell r="U136">
            <v>9.7630265310748823E-2</v>
          </cell>
          <cell r="V136">
            <v>9.7614372525066009E-2</v>
          </cell>
          <cell r="W136">
            <v>9.9348147233499717E-2</v>
          </cell>
          <cell r="X136">
            <v>0.10464061252799906</v>
          </cell>
          <cell r="Y136">
            <v>8.2680097271980058E-2</v>
          </cell>
          <cell r="Z136">
            <v>0.11506934783955082</v>
          </cell>
          <cell r="AA136">
            <v>0.1047386888238086</v>
          </cell>
          <cell r="AB136">
            <v>9.9361148838617658E-2</v>
          </cell>
          <cell r="AC136">
            <v>0.10680838896687109</v>
          </cell>
          <cell r="AD136">
            <v>0.10722326174438304</v>
          </cell>
          <cell r="AE136">
            <v>0.10762402789427739</v>
          </cell>
        </row>
        <row r="137">
          <cell r="B137" t="str">
            <v>MAR</v>
          </cell>
          <cell r="D137">
            <v>29.909046123064329</v>
          </cell>
          <cell r="E137">
            <v>30.657175115853811</v>
          </cell>
          <cell r="F137">
            <v>32.048975109619384</v>
          </cell>
          <cell r="G137">
            <v>31.7290454911643</v>
          </cell>
          <cell r="H137">
            <v>34.34981763502028</v>
          </cell>
          <cell r="I137">
            <v>35.539744342204074</v>
          </cell>
          <cell r="J137">
            <v>35.776331280639248</v>
          </cell>
          <cell r="K137">
            <v>38.03915826921974</v>
          </cell>
          <cell r="L137">
            <v>38.868602953324256</v>
          </cell>
          <cell r="M137">
            <v>41.048067619273986</v>
          </cell>
          <cell r="N137">
            <v>42.232217055651269</v>
          </cell>
          <cell r="O137">
            <v>45.022141882699323</v>
          </cell>
          <cell r="P137">
            <v>46.313822371924481</v>
          </cell>
          <cell r="Q137">
            <v>46.553045319109252</v>
          </cell>
          <cell r="R137">
            <v>50.754330600299276</v>
          </cell>
          <cell r="S137">
            <v>53.296010533117695</v>
          </cell>
          <cell r="T137">
            <v>65.234245235876202</v>
          </cell>
          <cell r="U137">
            <v>65.716344327611665</v>
          </cell>
          <cell r="V137">
            <v>68.85761388884481</v>
          </cell>
          <cell r="W137">
            <v>68.925285285482445</v>
          </cell>
          <cell r="X137">
            <v>72.48790428625621</v>
          </cell>
          <cell r="Y137">
            <v>75.269844171609805</v>
          </cell>
          <cell r="Z137">
            <v>77.555966575362987</v>
          </cell>
          <cell r="AA137">
            <v>77.992831527694975</v>
          </cell>
          <cell r="AB137">
            <v>79.871938444462671</v>
          </cell>
          <cell r="AC137">
            <v>82.023797537693042</v>
          </cell>
          <cell r="AD137">
            <v>80.466046562057201</v>
          </cell>
          <cell r="AE137">
            <v>82.729126489050174</v>
          </cell>
        </row>
        <row r="138">
          <cell r="B138" t="str">
            <v>MOZ</v>
          </cell>
          <cell r="D138">
            <v>57.441591021856865</v>
          </cell>
          <cell r="E138">
            <v>57.362110320905877</v>
          </cell>
          <cell r="F138">
            <v>57.768110684242927</v>
          </cell>
          <cell r="G138">
            <v>58.203574477391093</v>
          </cell>
          <cell r="H138">
            <v>58.184735852788997</v>
          </cell>
          <cell r="I138">
            <v>58.709274460205194</v>
          </cell>
          <cell r="J138">
            <v>59.494698029968198</v>
          </cell>
          <cell r="K138">
            <v>57.329343381107897</v>
          </cell>
          <cell r="L138">
            <v>60.010689691646803</v>
          </cell>
          <cell r="M138">
            <v>58.872549316666301</v>
          </cell>
          <cell r="N138">
            <v>56.602442659353898</v>
          </cell>
          <cell r="O138">
            <v>59.932846012221347</v>
          </cell>
          <cell r="P138">
            <v>58.731980438307701</v>
          </cell>
          <cell r="Q138">
            <v>63.864718201208703</v>
          </cell>
          <cell r="R138">
            <v>62.876695485438219</v>
          </cell>
          <cell r="S138">
            <v>65.313269172511411</v>
          </cell>
          <cell r="T138">
            <v>57.758110360443467</v>
          </cell>
          <cell r="U138">
            <v>60.469634109753486</v>
          </cell>
          <cell r="V138">
            <v>62.568685453780745</v>
          </cell>
          <cell r="W138">
            <v>59.645898439630315</v>
          </cell>
          <cell r="X138">
            <v>64.452108393479236</v>
          </cell>
          <cell r="Y138">
            <v>68.867882327817256</v>
          </cell>
          <cell r="Z138">
            <v>72.292372491616618</v>
          </cell>
          <cell r="AA138">
            <v>73.792973966255005</v>
          </cell>
          <cell r="AB138">
            <v>75.46314730624006</v>
          </cell>
          <cell r="AC138">
            <v>76.389778195753138</v>
          </cell>
          <cell r="AD138">
            <v>77.860354591312756</v>
          </cell>
          <cell r="AE138">
            <v>79.654698872333469</v>
          </cell>
        </row>
        <row r="139">
          <cell r="B139" t="str">
            <v>MMR</v>
          </cell>
          <cell r="D139">
            <v>180.32152053863592</v>
          </cell>
          <cell r="E139">
            <v>178.71110744951517</v>
          </cell>
          <cell r="F139">
            <v>182.10834668043196</v>
          </cell>
          <cell r="G139">
            <v>184.53127839049966</v>
          </cell>
          <cell r="H139">
            <v>186.90851148410152</v>
          </cell>
          <cell r="I139">
            <v>190.04427452121897</v>
          </cell>
          <cell r="J139">
            <v>189.06127154670011</v>
          </cell>
          <cell r="K139">
            <v>186.05203106032121</v>
          </cell>
          <cell r="L139">
            <v>191.66363412535171</v>
          </cell>
          <cell r="M139">
            <v>197.56563079655254</v>
          </cell>
          <cell r="N139">
            <v>195.26446206935989</v>
          </cell>
          <cell r="O139">
            <v>166.77709192715332</v>
          </cell>
          <cell r="P139">
            <v>168.07891060342598</v>
          </cell>
          <cell r="Q139">
            <v>177.30704640676731</v>
          </cell>
          <cell r="R139">
            <v>192.05576301579327</v>
          </cell>
          <cell r="S139">
            <v>188.04059525314682</v>
          </cell>
          <cell r="T139">
            <v>193.33278564295478</v>
          </cell>
          <cell r="U139">
            <v>205.3430646934076</v>
          </cell>
          <cell r="V139">
            <v>191.77247313200081</v>
          </cell>
          <cell r="W139">
            <v>198.92426963798809</v>
          </cell>
          <cell r="X139">
            <v>206.28085682138152</v>
          </cell>
          <cell r="Y139">
            <v>210.56779021673967</v>
          </cell>
          <cell r="Z139">
            <v>221.76466351884176</v>
          </cell>
          <cell r="AA139">
            <v>225.42218923397434</v>
          </cell>
          <cell r="AB139">
            <v>237.51019688302702</v>
          </cell>
          <cell r="AC139">
            <v>243.65506137102119</v>
          </cell>
          <cell r="AD139">
            <v>246.59259438227133</v>
          </cell>
          <cell r="AE139">
            <v>249.4337114226488</v>
          </cell>
        </row>
        <row r="140">
          <cell r="B140" t="str">
            <v>NAM</v>
          </cell>
          <cell r="D140">
            <v>19.156663080289476</v>
          </cell>
          <cell r="E140">
            <v>19.039127648674658</v>
          </cell>
          <cell r="F140">
            <v>19.022787697820501</v>
          </cell>
          <cell r="G140">
            <v>18.958350635802102</v>
          </cell>
          <cell r="H140">
            <v>19.15089966059724</v>
          </cell>
          <cell r="I140">
            <v>19.263974930830301</v>
          </cell>
          <cell r="J140">
            <v>19.034008823952448</v>
          </cell>
          <cell r="K140">
            <v>18.874225164298743</v>
          </cell>
          <cell r="L140">
            <v>19.964528937279738</v>
          </cell>
          <cell r="M140">
            <v>19.913892857542649</v>
          </cell>
          <cell r="N140">
            <v>21.336544448579321</v>
          </cell>
          <cell r="O140">
            <v>20.90504793405492</v>
          </cell>
          <cell r="P140">
            <v>19.92048374147603</v>
          </cell>
          <cell r="Q140">
            <v>19.395474511010256</v>
          </cell>
          <cell r="R140">
            <v>19.719901488378753</v>
          </cell>
          <cell r="S140">
            <v>21.54765711053944</v>
          </cell>
          <cell r="T140">
            <v>21.238697595864721</v>
          </cell>
          <cell r="U140">
            <v>21.02612484900051</v>
          </cell>
          <cell r="V140">
            <v>21.15117777592177</v>
          </cell>
          <cell r="W140">
            <v>22.485661988379263</v>
          </cell>
          <cell r="X140">
            <v>22.098558665569541</v>
          </cell>
          <cell r="Y140">
            <v>25.723090224199439</v>
          </cell>
          <cell r="Z140">
            <v>26.28260583807231</v>
          </cell>
          <cell r="AA140">
            <v>21.725175407667951</v>
          </cell>
          <cell r="AB140">
            <v>20.841285153117802</v>
          </cell>
          <cell r="AC140">
            <v>22.850156679831876</v>
          </cell>
          <cell r="AD140">
            <v>23.052078268215066</v>
          </cell>
          <cell r="AE140">
            <v>23.349864761664954</v>
          </cell>
        </row>
        <row r="141">
          <cell r="B141" t="str">
            <v>NRU</v>
          </cell>
          <cell r="D141">
            <v>5.5893568761099998E-3</v>
          </cell>
          <cell r="E141">
            <v>5.7204816436400002E-3</v>
          </cell>
          <cell r="F141">
            <v>5.8504343171899998E-3</v>
          </cell>
          <cell r="G141">
            <v>5.9696098191400005E-3</v>
          </cell>
          <cell r="H141">
            <v>6.0612565772000006E-3</v>
          </cell>
          <cell r="I141">
            <v>6.1377214339899998E-3</v>
          </cell>
          <cell r="J141">
            <v>6.1887570992399995E-3</v>
          </cell>
          <cell r="K141">
            <v>6.2212196445000003E-3</v>
          </cell>
          <cell r="L141">
            <v>6.2388524940500002E-3</v>
          </cell>
          <cell r="M141">
            <v>6.2499289403400004E-3</v>
          </cell>
          <cell r="N141">
            <v>6.2648273071099995E-3</v>
          </cell>
          <cell r="O141">
            <v>6.2841046125700004E-3</v>
          </cell>
          <cell r="P141">
            <v>6.3100917024699991E-3</v>
          </cell>
          <cell r="Q141">
            <v>6.3377875681100001E-3</v>
          </cell>
          <cell r="R141">
            <v>6.3605316229700011E-3</v>
          </cell>
          <cell r="S141">
            <v>6.3760145108600003E-3</v>
          </cell>
          <cell r="T141">
            <v>6.3840293416500011E-3</v>
          </cell>
          <cell r="U141">
            <v>6.3990087246000001E-3</v>
          </cell>
          <cell r="V141">
            <v>6.4117700877400008E-3</v>
          </cell>
          <cell r="W141">
            <v>6.4056479073400004E-3</v>
          </cell>
          <cell r="X141">
            <v>6.4070998078099989E-3</v>
          </cell>
          <cell r="Y141">
            <v>6.41860483566E-3</v>
          </cell>
          <cell r="Z141">
            <v>6.4345154041299995E-3</v>
          </cell>
          <cell r="AA141">
            <v>6.4431017810700512E-3</v>
          </cell>
          <cell r="AB141">
            <v>6.4521921135954246E-3</v>
          </cell>
          <cell r="AC141">
            <v>6.4612970045729995E-3</v>
          </cell>
          <cell r="AD141">
            <v>6.4737286044663318E-3</v>
          </cell>
          <cell r="AE141">
            <v>6.4842573362675297E-3</v>
          </cell>
        </row>
        <row r="142">
          <cell r="B142" t="str">
            <v>NPL</v>
          </cell>
          <cell r="D142">
            <v>64.839146508935784</v>
          </cell>
          <cell r="E142">
            <v>64.734660054909384</v>
          </cell>
          <cell r="F142">
            <v>63.738261762705761</v>
          </cell>
          <cell r="G142">
            <v>65.182742063805179</v>
          </cell>
          <cell r="H142">
            <v>65.45909908224067</v>
          </cell>
          <cell r="I142">
            <v>66.91389985330008</v>
          </cell>
          <cell r="J142">
            <v>67.183986768633829</v>
          </cell>
          <cell r="K142">
            <v>67.407991808986822</v>
          </cell>
          <cell r="L142">
            <v>67.969700175478764</v>
          </cell>
          <cell r="M142">
            <v>69.442108760356732</v>
          </cell>
          <cell r="N142">
            <v>69.282728982454188</v>
          </cell>
          <cell r="O142">
            <v>64.595282435420941</v>
          </cell>
          <cell r="P142">
            <v>64.18277264744421</v>
          </cell>
          <cell r="Q142">
            <v>65.806992821849434</v>
          </cell>
          <cell r="R142">
            <v>65.544101782341485</v>
          </cell>
          <cell r="S142">
            <v>66.197152944354002</v>
          </cell>
          <cell r="T142">
            <v>39.984137628183269</v>
          </cell>
          <cell r="U142">
            <v>39.871162101260921</v>
          </cell>
          <cell r="V142">
            <v>41.71439146639873</v>
          </cell>
          <cell r="W142">
            <v>43.50275264910718</v>
          </cell>
          <cell r="X142">
            <v>44.180508837007984</v>
          </cell>
          <cell r="Y142">
            <v>45.248895102129993</v>
          </cell>
          <cell r="Z142">
            <v>47.102488266283991</v>
          </cell>
          <cell r="AA142">
            <v>46.87878182176334</v>
          </cell>
          <cell r="AB142">
            <v>48.733928140834223</v>
          </cell>
          <cell r="AC142">
            <v>47.853677412387611</v>
          </cell>
          <cell r="AD142">
            <v>49.102285947610653</v>
          </cell>
          <cell r="AE142">
            <v>49.990745382918803</v>
          </cell>
        </row>
        <row r="143">
          <cell r="B143" t="str">
            <v>NLD</v>
          </cell>
          <cell r="D143">
            <v>221.30728960661529</v>
          </cell>
          <cell r="E143">
            <v>228.49781642107055</v>
          </cell>
          <cell r="F143">
            <v>226.54908770075681</v>
          </cell>
          <cell r="G143">
            <v>231.04650163850567</v>
          </cell>
          <cell r="H143">
            <v>230.63615162104693</v>
          </cell>
          <cell r="I143">
            <v>236.22436950301042</v>
          </cell>
          <cell r="J143">
            <v>247.08406631345139</v>
          </cell>
          <cell r="K143">
            <v>237.73536229414989</v>
          </cell>
          <cell r="L143">
            <v>237.90938028269829</v>
          </cell>
          <cell r="M143">
            <v>230.82174925907611</v>
          </cell>
          <cell r="N143">
            <v>230.40674783482481</v>
          </cell>
          <cell r="O143">
            <v>229.86082261155062</v>
          </cell>
          <cell r="P143">
            <v>227.54604975239849</v>
          </cell>
          <cell r="Q143">
            <v>230.31326097251829</v>
          </cell>
          <cell r="R143">
            <v>232.63106387185539</v>
          </cell>
          <cell r="S143">
            <v>226.96245328525805</v>
          </cell>
          <cell r="T143">
            <v>222.96771995152099</v>
          </cell>
          <cell r="U143">
            <v>223.16386995716493</v>
          </cell>
          <cell r="V143">
            <v>218.7601968453132</v>
          </cell>
          <cell r="W143">
            <v>213.46591686413919</v>
          </cell>
          <cell r="X143">
            <v>224.80431577659112</v>
          </cell>
          <cell r="Y143">
            <v>212.62120618210031</v>
          </cell>
          <cell r="Z143">
            <v>211.03166254310136</v>
          </cell>
          <cell r="AA143">
            <v>210.88271127955716</v>
          </cell>
          <cell r="AB143">
            <v>202.69841582897962</v>
          </cell>
          <cell r="AC143">
            <v>214.24415195929805</v>
          </cell>
          <cell r="AD143">
            <v>215.0400604219318</v>
          </cell>
          <cell r="AE143">
            <v>212.84880335467838</v>
          </cell>
        </row>
        <row r="144">
          <cell r="B144" t="str">
            <v>ANT</v>
          </cell>
          <cell r="D144">
            <v>2.7888486501776319</v>
          </cell>
          <cell r="E144">
            <v>2.8885919787130754</v>
          </cell>
          <cell r="F144">
            <v>3.0188992531854399</v>
          </cell>
          <cell r="G144">
            <v>2.4974477390475385</v>
          </cell>
          <cell r="H144">
            <v>2.8030950363626141</v>
          </cell>
          <cell r="I144">
            <v>2.8103912678954539</v>
          </cell>
          <cell r="J144">
            <v>2.8384000705034533</v>
          </cell>
          <cell r="K144">
            <v>5.4650614981862216</v>
          </cell>
          <cell r="L144">
            <v>5.6375764698628741</v>
          </cell>
          <cell r="M144">
            <v>5.5913365324488211</v>
          </cell>
          <cell r="N144">
            <v>5.8166586456231153</v>
          </cell>
          <cell r="O144">
            <v>5.8930116235973351</v>
          </cell>
          <cell r="P144">
            <v>5.629053539915053</v>
          </cell>
          <cell r="Q144">
            <v>5.6344344206755803</v>
          </cell>
          <cell r="R144">
            <v>5.8893621250197317</v>
          </cell>
          <cell r="S144">
            <v>6.2016482770362265</v>
          </cell>
          <cell r="T144">
            <v>6.113561079431947</v>
          </cell>
          <cell r="U144">
            <v>6.6319566571594502</v>
          </cell>
          <cell r="V144">
            <v>6.5633626291497729</v>
          </cell>
          <cell r="W144">
            <v>6.1432053252706451</v>
          </cell>
          <cell r="X144">
            <v>4.5510989969202464</v>
          </cell>
          <cell r="Y144">
            <v>5.7045877854119391</v>
          </cell>
          <cell r="Z144">
            <v>4.7277468059642862</v>
          </cell>
          <cell r="AA144">
            <v>4.5945651701666517</v>
          </cell>
          <cell r="AB144">
            <v>4.9217941367530589</v>
          </cell>
          <cell r="AC144">
            <v>5.0210104501801123</v>
          </cell>
          <cell r="AD144">
            <v>5.1081787151105926</v>
          </cell>
          <cell r="AE144">
            <v>5.0999531755572995</v>
          </cell>
        </row>
        <row r="145">
          <cell r="B145" t="str">
            <v>NCL</v>
          </cell>
          <cell r="D145">
            <v>1.891956892002314</v>
          </cell>
          <cell r="E145">
            <v>2.0112718830929284</v>
          </cell>
          <cell r="F145">
            <v>1.8213604006141879</v>
          </cell>
          <cell r="G145">
            <v>1.6944913555942003</v>
          </cell>
          <cell r="H145">
            <v>1.557465192306972</v>
          </cell>
          <cell r="I145">
            <v>1.5891231164675843</v>
          </cell>
          <cell r="J145">
            <v>1.7523193860746948</v>
          </cell>
          <cell r="K145">
            <v>1.6767656156110271</v>
          </cell>
          <cell r="L145">
            <v>1.7833708586733745</v>
          </cell>
          <cell r="M145">
            <v>1.8727527322730855</v>
          </cell>
          <cell r="N145">
            <v>2.2315468863531902</v>
          </cell>
          <cell r="O145">
            <v>2.2710469632313108</v>
          </cell>
          <cell r="P145">
            <v>2.4924117276535434</v>
          </cell>
          <cell r="Q145">
            <v>2.5109350630269098</v>
          </cell>
          <cell r="R145">
            <v>2.9388685027836967</v>
          </cell>
          <cell r="S145">
            <v>2.816252524829387</v>
          </cell>
          <cell r="T145">
            <v>3.0165466980989826</v>
          </cell>
          <cell r="U145">
            <v>3.2570932555581074</v>
          </cell>
          <cell r="V145">
            <v>3.8367124854102594</v>
          </cell>
          <cell r="W145">
            <v>3.6089835955779295</v>
          </cell>
          <cell r="X145">
            <v>5.2113912385379058</v>
          </cell>
          <cell r="Y145">
            <v>6.4686737390563378</v>
          </cell>
          <cell r="Z145">
            <v>6.8044752338807051</v>
          </cell>
          <cell r="AA145">
            <v>6.0686385669382048</v>
          </cell>
          <cell r="AB145">
            <v>5.6048742684363511</v>
          </cell>
          <cell r="AC145">
            <v>5.3037345224312338</v>
          </cell>
          <cell r="AD145">
            <v>5.835533070412886</v>
          </cell>
          <cell r="AE145">
            <v>6.1880501240834267</v>
          </cell>
        </row>
        <row r="146">
          <cell r="B146" t="str">
            <v>NZL</v>
          </cell>
          <cell r="D146">
            <v>46.491919726793881</v>
          </cell>
          <cell r="E146">
            <v>46.691848853339678</v>
          </cell>
          <cell r="F146">
            <v>48.001759295070116</v>
          </cell>
          <cell r="G146">
            <v>48.182602888580092</v>
          </cell>
          <cell r="H146">
            <v>49.609162311881505</v>
          </cell>
          <cell r="I146">
            <v>51.202080694770046</v>
          </cell>
          <cell r="J146">
            <v>52.228760370191843</v>
          </cell>
          <cell r="K146">
            <v>55.088919782871784</v>
          </cell>
          <cell r="L146">
            <v>53.931704595717889</v>
          </cell>
          <cell r="M146">
            <v>55.950518947446739</v>
          </cell>
          <cell r="N146">
            <v>57.54836635244709</v>
          </cell>
          <cell r="O146">
            <v>67.371138453935885</v>
          </cell>
          <cell r="P146">
            <v>68.837318437569238</v>
          </cell>
          <cell r="Q146">
            <v>71.46606198379402</v>
          </cell>
          <cell r="R146">
            <v>70.511604505325593</v>
          </cell>
          <cell r="S146">
            <v>70.700174452253236</v>
          </cell>
          <cell r="T146">
            <v>69.84048559151968</v>
          </cell>
          <cell r="U146">
            <v>68.755437910863336</v>
          </cell>
          <cell r="V146">
            <v>68.503772462821047</v>
          </cell>
          <cell r="W146">
            <v>66.370852892881999</v>
          </cell>
          <cell r="X146">
            <v>66.849025008924684</v>
          </cell>
          <cell r="Y146">
            <v>67.074616678306</v>
          </cell>
          <cell r="Z146">
            <v>69.789838786450701</v>
          </cell>
          <cell r="AA146">
            <v>69.638960436551287</v>
          </cell>
          <cell r="AB146">
            <v>70.524775285248566</v>
          </cell>
          <cell r="AC146">
            <v>70.745619219685821</v>
          </cell>
          <cell r="AD146">
            <v>71.662116043063307</v>
          </cell>
          <cell r="AE146">
            <v>74.307754726334451</v>
          </cell>
        </row>
        <row r="147">
          <cell r="B147" t="str">
            <v>NIC</v>
          </cell>
          <cell r="D147">
            <v>38.996561809318855</v>
          </cell>
          <cell r="E147">
            <v>37.930143296004665</v>
          </cell>
          <cell r="F147">
            <v>38.808755231689858</v>
          </cell>
          <cell r="G147">
            <v>39.401547465378279</v>
          </cell>
          <cell r="H147">
            <v>39.758313768012243</v>
          </cell>
          <cell r="I147">
            <v>39.327540073255641</v>
          </cell>
          <cell r="J147">
            <v>39.348497632085738</v>
          </cell>
          <cell r="K147">
            <v>40.074039736404416</v>
          </cell>
          <cell r="L147">
            <v>41.026788394137839</v>
          </cell>
          <cell r="M147">
            <v>41.387314576989382</v>
          </cell>
          <cell r="N147">
            <v>41.893617158962421</v>
          </cell>
          <cell r="O147">
            <v>41.957374295983698</v>
          </cell>
          <cell r="P147">
            <v>42.256058936029618</v>
          </cell>
          <cell r="Q147">
            <v>43.330836040724442</v>
          </cell>
          <cell r="R147">
            <v>42.777120341634202</v>
          </cell>
          <cell r="S147">
            <v>43.176333518436536</v>
          </cell>
          <cell r="T147">
            <v>43.390594344803155</v>
          </cell>
          <cell r="U147">
            <v>43.566597874827956</v>
          </cell>
          <cell r="V147">
            <v>43.407651337985961</v>
          </cell>
          <cell r="W147">
            <v>43.461105029863397</v>
          </cell>
          <cell r="X147">
            <v>43.884390750652955</v>
          </cell>
          <cell r="Y147">
            <v>15.276258721927219</v>
          </cell>
          <cell r="Z147">
            <v>15.391930966589939</v>
          </cell>
          <cell r="AA147">
            <v>15.496988196224118</v>
          </cell>
          <cell r="AB147">
            <v>16.167721297592205</v>
          </cell>
          <cell r="AC147">
            <v>17.140544793430493</v>
          </cell>
          <cell r="AD147">
            <v>17.377385868670061</v>
          </cell>
          <cell r="AE147">
            <v>17.796155298588147</v>
          </cell>
        </row>
        <row r="148">
          <cell r="B148" t="str">
            <v>NER</v>
          </cell>
          <cell r="D148">
            <v>18.834896757325616</v>
          </cell>
          <cell r="E148">
            <v>19.419485686854919</v>
          </cell>
          <cell r="F148">
            <v>19.886062729171751</v>
          </cell>
          <cell r="G148">
            <v>20.442162411331548</v>
          </cell>
          <cell r="H148">
            <v>20.922951646746988</v>
          </cell>
          <cell r="I148">
            <v>21.407333722802392</v>
          </cell>
          <cell r="J148">
            <v>22.050316319589896</v>
          </cell>
          <cell r="K148">
            <v>22.672810618540478</v>
          </cell>
          <cell r="L148">
            <v>23.537823306590035</v>
          </cell>
          <cell r="M148">
            <v>24.14290765827381</v>
          </cell>
          <cell r="N148">
            <v>24.545015755789414</v>
          </cell>
          <cell r="O148">
            <v>19.315270618419238</v>
          </cell>
          <cell r="P148">
            <v>20.601528231134026</v>
          </cell>
          <cell r="Q148">
            <v>21.418364307042523</v>
          </cell>
          <cell r="R148">
            <v>22.348463723773765</v>
          </cell>
          <cell r="S148">
            <v>23.340913820676448</v>
          </cell>
          <cell r="T148">
            <v>24.120883779954006</v>
          </cell>
          <cell r="U148">
            <v>25.336781046775499</v>
          </cell>
          <cell r="V148">
            <v>26.308131574063296</v>
          </cell>
          <cell r="W148">
            <v>27.450529352807852</v>
          </cell>
          <cell r="X148">
            <v>28.746080962213828</v>
          </cell>
          <cell r="Y148">
            <v>28.462813046443888</v>
          </cell>
          <cell r="Z148">
            <v>30.141474672437365</v>
          </cell>
          <cell r="AA148">
            <v>31.86241132838196</v>
          </cell>
          <cell r="AB148">
            <v>33.284927404747705</v>
          </cell>
          <cell r="AC148">
            <v>34.528559885073378</v>
          </cell>
          <cell r="AD148">
            <v>36.06205287636309</v>
          </cell>
          <cell r="AE148">
            <v>37.717828327092676</v>
          </cell>
        </row>
        <row r="149">
          <cell r="B149" t="str">
            <v>NGA</v>
          </cell>
          <cell r="D149">
            <v>522.77605079148464</v>
          </cell>
          <cell r="E149">
            <v>538.25996877833484</v>
          </cell>
          <cell r="F149">
            <v>553.68129750857224</v>
          </cell>
          <cell r="G149">
            <v>559.22440026142829</v>
          </cell>
          <cell r="H149">
            <v>547.27260056375724</v>
          </cell>
          <cell r="I149">
            <v>563.10528276667151</v>
          </cell>
          <cell r="J149">
            <v>600.41237081015595</v>
          </cell>
          <cell r="K149">
            <v>562.78075808433505</v>
          </cell>
          <cell r="L149">
            <v>524.50416858454616</v>
          </cell>
          <cell r="M149">
            <v>500.88296272255104</v>
          </cell>
          <cell r="N149">
            <v>512.70577038541444</v>
          </cell>
          <cell r="O149">
            <v>488.90771015896428</v>
          </cell>
          <cell r="P149">
            <v>449.1554708826576</v>
          </cell>
          <cell r="Q149">
            <v>480.84675865618328</v>
          </cell>
          <cell r="R149">
            <v>476.85946605266037</v>
          </cell>
          <cell r="S149">
            <v>475.77209225680758</v>
          </cell>
          <cell r="T149">
            <v>483.15016410758409</v>
          </cell>
          <cell r="U149">
            <v>469.32932506166168</v>
          </cell>
          <cell r="V149">
            <v>469.64333723394702</v>
          </cell>
          <cell r="W149">
            <v>449.01327598476252</v>
          </cell>
          <cell r="X149">
            <v>473.40834837541962</v>
          </cell>
          <cell r="Y149">
            <v>495.25277458951069</v>
          </cell>
          <cell r="Z149">
            <v>493.48595148797767</v>
          </cell>
          <cell r="AA149">
            <v>492.66069043272927</v>
          </cell>
          <cell r="AB149">
            <v>486.20121177223052</v>
          </cell>
          <cell r="AC149">
            <v>488.8571831250535</v>
          </cell>
          <cell r="AD149">
            <v>487.72550681428407</v>
          </cell>
          <cell r="AE149">
            <v>496.6208224102499</v>
          </cell>
        </row>
        <row r="150">
          <cell r="B150" t="str">
            <v>NIU</v>
          </cell>
          <cell r="D150">
            <v>2.3418172584580003E-2</v>
          </cell>
          <cell r="E150">
            <v>2.3431227876200004E-2</v>
          </cell>
          <cell r="F150">
            <v>2.3434089591800003E-2</v>
          </cell>
          <cell r="G150">
            <v>2.3433936369452003E-2</v>
          </cell>
          <cell r="H150">
            <v>2.3477090168820002E-2</v>
          </cell>
          <cell r="I150">
            <v>2.3480184596544003E-2</v>
          </cell>
          <cell r="J150">
            <v>2.3485099592155601E-2</v>
          </cell>
          <cell r="K150">
            <v>2.3488210502438604E-2</v>
          </cell>
          <cell r="L150">
            <v>2.3470174195662004E-2</v>
          </cell>
          <cell r="M150">
            <v>2.3466479819254604E-2</v>
          </cell>
          <cell r="N150">
            <v>2.3465040406526801E-2</v>
          </cell>
          <cell r="O150">
            <v>3.5555956828579593E-2</v>
          </cell>
          <cell r="P150">
            <v>3.5556813307804795E-2</v>
          </cell>
          <cell r="Q150">
            <v>3.5556336981456396E-2</v>
          </cell>
          <cell r="R150">
            <v>3.5557351524988595E-2</v>
          </cell>
          <cell r="S150">
            <v>3.5594232758384393E-2</v>
          </cell>
          <cell r="T150">
            <v>-1.06939580141652E-2</v>
          </cell>
          <cell r="U150">
            <v>-1.0667345847024001E-2</v>
          </cell>
          <cell r="V150">
            <v>-1.06569039278884E-2</v>
          </cell>
          <cell r="W150">
            <v>-1.0656015017201601E-2</v>
          </cell>
          <cell r="X150">
            <v>-1.06472666329234E-2</v>
          </cell>
          <cell r="Y150">
            <v>4.9814911553205402E-2</v>
          </cell>
          <cell r="Z150">
            <v>4.9821305397825998E-2</v>
          </cell>
          <cell r="AA150">
            <v>4.9835208831454272E-2</v>
          </cell>
          <cell r="AB150">
            <v>4.9848849489167298E-2</v>
          </cell>
          <cell r="AC150">
            <v>4.9862834506972403E-2</v>
          </cell>
          <cell r="AD150">
            <v>4.987647605780314E-2</v>
          </cell>
          <cell r="AE150">
            <v>4.9890441406770979E-2</v>
          </cell>
        </row>
        <row r="151">
          <cell r="B151" t="str">
            <v>MNP</v>
          </cell>
          <cell r="D151">
            <v>2.0744318116144599E-2</v>
          </cell>
          <cell r="E151">
            <v>8.2574814998203003E-2</v>
          </cell>
          <cell r="F151">
            <v>8.3887390545477197E-2</v>
          </cell>
          <cell r="G151">
            <v>8.5193763432559994E-2</v>
          </cell>
          <cell r="H151">
            <v>8.6505775871063992E-2</v>
          </cell>
          <cell r="I151">
            <v>8.7815440964500002E-2</v>
          </cell>
          <cell r="J151">
            <v>8.9215941772500001E-2</v>
          </cell>
          <cell r="K151">
            <v>9.06136383775E-2</v>
          </cell>
          <cell r="L151">
            <v>9.1905617854999996E-2</v>
          </cell>
          <cell r="M151">
            <v>9.2957432628499995E-2</v>
          </cell>
          <cell r="N151">
            <v>9.366678198099998E-2</v>
          </cell>
          <cell r="O151">
            <v>9.3586352703000003E-2</v>
          </cell>
          <cell r="P151">
            <v>9.3674633648500011E-2</v>
          </cell>
          <cell r="Q151">
            <v>9.31580315785E-2</v>
          </cell>
          <cell r="R151">
            <v>9.2550722290499987E-2</v>
          </cell>
          <cell r="S151">
            <v>9.1764831734500008E-2</v>
          </cell>
          <cell r="T151">
            <v>9.1360353252000009E-2</v>
          </cell>
          <cell r="U151">
            <v>9.0146906785499997E-2</v>
          </cell>
          <cell r="V151">
            <v>8.8924062432999995E-2</v>
          </cell>
          <cell r="W151">
            <v>8.7878408189999993E-2</v>
          </cell>
          <cell r="X151">
            <v>8.7142885816000007E-2</v>
          </cell>
          <cell r="Y151">
            <v>8.6941669722500003E-2</v>
          </cell>
          <cell r="Z151">
            <v>8.6938846866499997E-2</v>
          </cell>
          <cell r="AA151">
            <v>8.657399342533334E-2</v>
          </cell>
          <cell r="AB151">
            <v>8.621180568416667E-2</v>
          </cell>
          <cell r="AC151">
            <v>8.5849617943000001E-2</v>
          </cell>
          <cell r="AD151">
            <v>8.5487430201833331E-2</v>
          </cell>
          <cell r="AE151">
            <v>8.5125242460666661E-2</v>
          </cell>
        </row>
        <row r="152">
          <cell r="B152" t="str">
            <v>NOR</v>
          </cell>
          <cell r="D152">
            <v>49.349097403617485</v>
          </cell>
          <cell r="E152">
            <v>46.525960817272505</v>
          </cell>
          <cell r="F152">
            <v>47.0862355412523</v>
          </cell>
          <cell r="G152">
            <v>49.966125998995899</v>
          </cell>
          <cell r="H152">
            <v>53.588007750974803</v>
          </cell>
          <cell r="I152">
            <v>54.45727775367623</v>
          </cell>
          <cell r="J152">
            <v>56.266057856916767</v>
          </cell>
          <cell r="K152">
            <v>59.339823472086834</v>
          </cell>
          <cell r="L152">
            <v>60.739044973062406</v>
          </cell>
          <cell r="M152">
            <v>62.771067134254764</v>
          </cell>
          <cell r="N152">
            <v>58.926720947245855</v>
          </cell>
          <cell r="O152">
            <v>53.028440175543608</v>
          </cell>
          <cell r="P152">
            <v>51.590797136872453</v>
          </cell>
          <cell r="Q152">
            <v>56.047233635802172</v>
          </cell>
          <cell r="R152">
            <v>56.860473829826546</v>
          </cell>
          <cell r="S152">
            <v>54.602297753248976</v>
          </cell>
          <cell r="T152">
            <v>53.343759169317764</v>
          </cell>
          <cell r="U152">
            <v>54.670901583901326</v>
          </cell>
          <cell r="V152">
            <v>54.012409802887291</v>
          </cell>
          <cell r="W152">
            <v>49.759680310405443</v>
          </cell>
          <cell r="X152">
            <v>49.88283536511166</v>
          </cell>
          <cell r="Y152">
            <v>47.029786568434204</v>
          </cell>
          <cell r="Z152">
            <v>47.567477580639391</v>
          </cell>
          <cell r="AA152">
            <v>44.695916513878316</v>
          </cell>
          <cell r="AB152">
            <v>46.822072444580819</v>
          </cell>
          <cell r="AC152">
            <v>47.038239069242344</v>
          </cell>
          <cell r="AD152">
            <v>46.172013167308542</v>
          </cell>
          <cell r="AE152">
            <v>49.31415923609449</v>
          </cell>
        </row>
        <row r="153">
          <cell r="B153" t="str">
            <v>OMN</v>
          </cell>
          <cell r="D153">
            <v>37.747382805583271</v>
          </cell>
          <cell r="E153">
            <v>39.557653267887133</v>
          </cell>
          <cell r="F153">
            <v>38.601583829478095</v>
          </cell>
          <cell r="G153">
            <v>37.40839630595724</v>
          </cell>
          <cell r="H153">
            <v>34.44812033628736</v>
          </cell>
          <cell r="I153">
            <v>38.243139230127582</v>
          </cell>
          <cell r="J153">
            <v>39.168958392452538</v>
          </cell>
          <cell r="K153">
            <v>40.577954695254945</v>
          </cell>
          <cell r="L153">
            <v>36.579044584874431</v>
          </cell>
          <cell r="M153">
            <v>39.214176141582229</v>
          </cell>
          <cell r="N153">
            <v>42.518366299701043</v>
          </cell>
          <cell r="O153">
            <v>48.348502860981604</v>
          </cell>
          <cell r="P153">
            <v>51.101524327237982</v>
          </cell>
          <cell r="Q153">
            <v>55.226293533458659</v>
          </cell>
          <cell r="R153">
            <v>54.256944101844361</v>
          </cell>
          <cell r="S153">
            <v>55.833483002548405</v>
          </cell>
          <cell r="T153">
            <v>64.80821932215575</v>
          </cell>
          <cell r="U153">
            <v>67.522598537702748</v>
          </cell>
          <cell r="V153">
            <v>67.227586092114038</v>
          </cell>
          <cell r="W153">
            <v>70.393322051664413</v>
          </cell>
          <cell r="X153">
            <v>75.425812006377257</v>
          </cell>
          <cell r="Y153">
            <v>84.43376813980862</v>
          </cell>
          <cell r="Z153">
            <v>90.433836808319455</v>
          </cell>
          <cell r="AA153">
            <v>95.356384561625958</v>
          </cell>
          <cell r="AB153">
            <v>99.494645990784534</v>
          </cell>
          <cell r="AC153">
            <v>104.03402530792069</v>
          </cell>
          <cell r="AD153">
            <v>106.75071316658675</v>
          </cell>
          <cell r="AE153">
            <v>106.76234192621925</v>
          </cell>
        </row>
        <row r="154">
          <cell r="B154" t="str">
            <v>PAK</v>
          </cell>
          <cell r="D154">
            <v>209.9921091777955</v>
          </cell>
          <cell r="E154">
            <v>213.24450351309494</v>
          </cell>
          <cell r="F154">
            <v>221.34528905539625</v>
          </cell>
          <cell r="G154">
            <v>233.46303079658287</v>
          </cell>
          <cell r="H154">
            <v>235.48889985018045</v>
          </cell>
          <cell r="I154">
            <v>244.72605199538427</v>
          </cell>
          <cell r="J154">
            <v>253.41245973628398</v>
          </cell>
          <cell r="K154">
            <v>259.52371258557832</v>
          </cell>
          <cell r="L154">
            <v>264.6025182429438</v>
          </cell>
          <cell r="M154">
            <v>277.70665555906567</v>
          </cell>
          <cell r="N154">
            <v>283.89750479535184</v>
          </cell>
          <cell r="O154">
            <v>287.2733117543641</v>
          </cell>
          <cell r="P154">
            <v>287.90724412199364</v>
          </cell>
          <cell r="Q154">
            <v>311.06493003909151</v>
          </cell>
          <cell r="R154">
            <v>330.67380934563732</v>
          </cell>
          <cell r="S154">
            <v>338.47357115130171</v>
          </cell>
          <cell r="T154">
            <v>359.3224456556681</v>
          </cell>
          <cell r="U154">
            <v>382.72798822620575</v>
          </cell>
          <cell r="V154">
            <v>385.86314560992986</v>
          </cell>
          <cell r="W154">
            <v>394.84871782339917</v>
          </cell>
          <cell r="X154">
            <v>385.70297085807101</v>
          </cell>
          <cell r="Y154">
            <v>403.26946241760118</v>
          </cell>
          <cell r="Z154">
            <v>407.73914839961918</v>
          </cell>
          <cell r="AA154">
            <v>421.53915606624895</v>
          </cell>
          <cell r="AB154">
            <v>434.98584956412213</v>
          </cell>
          <cell r="AC154">
            <v>443.52142198801261</v>
          </cell>
          <cell r="AD154">
            <v>466.13340369935446</v>
          </cell>
          <cell r="AE154">
            <v>483.9172624370234</v>
          </cell>
        </row>
        <row r="155">
          <cell r="B155" t="str">
            <v>PLW</v>
          </cell>
          <cell r="D155">
            <v>1.4116788197139238</v>
          </cell>
          <cell r="E155">
            <v>1.3850818844980166</v>
          </cell>
          <cell r="F155">
            <v>1.6663673985111207</v>
          </cell>
          <cell r="G155">
            <v>2.0839062963539621</v>
          </cell>
          <cell r="H155">
            <v>2.8859586359724854</v>
          </cell>
          <cell r="I155">
            <v>2.2359449930665232</v>
          </cell>
          <cell r="J155">
            <v>2.0971583769346247</v>
          </cell>
          <cell r="K155">
            <v>2.4069098142005259</v>
          </cell>
          <cell r="L155">
            <v>2.1673115780018311</v>
          </cell>
          <cell r="M155">
            <v>2.3063014659201526</v>
          </cell>
          <cell r="N155">
            <v>2.0080049795659782</v>
          </cell>
          <cell r="O155">
            <v>2.2619489320295521</v>
          </cell>
          <cell r="P155">
            <v>1.3279236596859838</v>
          </cell>
          <cell r="Q155">
            <v>1.587082314698756</v>
          </cell>
          <cell r="R155">
            <v>1.3894913197808005</v>
          </cell>
          <cell r="S155">
            <v>1.6003248838244477</v>
          </cell>
          <cell r="T155">
            <v>1.7011291071314669</v>
          </cell>
          <cell r="U155">
            <v>1.3870216252347072</v>
          </cell>
          <cell r="V155">
            <v>1.4026172343147902</v>
          </cell>
          <cell r="W155">
            <v>2.1784036320382092</v>
          </cell>
          <cell r="X155">
            <v>2.1165258495763455</v>
          </cell>
          <cell r="Y155">
            <v>2.3769871202264476</v>
          </cell>
          <cell r="Z155">
            <v>3.6153402664794685</v>
          </cell>
          <cell r="AA155">
            <v>1.8283537907906475</v>
          </cell>
          <cell r="AB155">
            <v>1.2712340360729295</v>
          </cell>
          <cell r="AC155">
            <v>1.1985996736772393</v>
          </cell>
          <cell r="AD155">
            <v>1.3309917509732645</v>
          </cell>
          <cell r="AE155">
            <v>1.4161164726798272</v>
          </cell>
        </row>
        <row r="156">
          <cell r="B156" t="str">
            <v>PAN</v>
          </cell>
          <cell r="D156">
            <v>15.857706129951779</v>
          </cell>
          <cell r="E156">
            <v>16.273411613120079</v>
          </cell>
          <cell r="F156">
            <v>17.03365215218664</v>
          </cell>
          <cell r="G156">
            <v>17.172098338825279</v>
          </cell>
          <cell r="H156">
            <v>17.428884786595422</v>
          </cell>
          <cell r="I156">
            <v>17.738512408239512</v>
          </cell>
          <cell r="J156">
            <v>17.82544831218388</v>
          </cell>
          <cell r="K156">
            <v>17.784205085436881</v>
          </cell>
          <cell r="L156">
            <v>19.023907979834583</v>
          </cell>
          <cell r="M156">
            <v>18.204733782539201</v>
          </cell>
          <cell r="N156">
            <v>18.382671116563639</v>
          </cell>
          <cell r="O156">
            <v>20.302169176962281</v>
          </cell>
          <cell r="P156">
            <v>19.52079808555726</v>
          </cell>
          <cell r="Q156">
            <v>19.607627652510541</v>
          </cell>
          <cell r="R156">
            <v>19.658611617503375</v>
          </cell>
          <cell r="S156">
            <v>21.330138418952998</v>
          </cell>
          <cell r="T156">
            <v>20.999013931841802</v>
          </cell>
          <cell r="U156">
            <v>20.620779952469739</v>
          </cell>
          <cell r="V156">
            <v>20.770865033612878</v>
          </cell>
          <cell r="W156">
            <v>22.34396236352606</v>
          </cell>
          <cell r="X156">
            <v>23.095873035935661</v>
          </cell>
          <cell r="Y156">
            <v>24.020739290409196</v>
          </cell>
          <cell r="Z156">
            <v>24.496669557514984</v>
          </cell>
          <cell r="AA156">
            <v>24.740796532063641</v>
          </cell>
          <cell r="AB156">
            <v>25.095994250130197</v>
          </cell>
          <cell r="AC156">
            <v>25.064325447185922</v>
          </cell>
          <cell r="AD156">
            <v>25.69902172948229</v>
          </cell>
          <cell r="AE156">
            <v>25.817093616971164</v>
          </cell>
        </row>
        <row r="157">
          <cell r="B157" t="str">
            <v>PNG</v>
          </cell>
          <cell r="D157">
            <v>65.902553096552865</v>
          </cell>
          <cell r="E157">
            <v>65.835049508646875</v>
          </cell>
          <cell r="F157">
            <v>65.901533448230495</v>
          </cell>
          <cell r="G157">
            <v>65.831169869882785</v>
          </cell>
          <cell r="H157">
            <v>65.728378980869692</v>
          </cell>
          <cell r="I157">
            <v>66.116600753927528</v>
          </cell>
          <cell r="J157">
            <v>55.389989557676529</v>
          </cell>
          <cell r="K157">
            <v>166.9699007054289</v>
          </cell>
          <cell r="L157">
            <v>60.30123500490717</v>
          </cell>
          <cell r="M157">
            <v>58.056965992406916</v>
          </cell>
          <cell r="N157">
            <v>58.480353972514365</v>
          </cell>
          <cell r="O157">
            <v>56.189708795604254</v>
          </cell>
          <cell r="P157">
            <v>74.38370547010004</v>
          </cell>
          <cell r="Q157">
            <v>63.477365763352154</v>
          </cell>
          <cell r="R157">
            <v>92.927559826672351</v>
          </cell>
          <cell r="S157">
            <v>59.676932979995634</v>
          </cell>
          <cell r="T157">
            <v>70.421803089334688</v>
          </cell>
          <cell r="U157">
            <v>59.455417069826495</v>
          </cell>
          <cell r="V157">
            <v>66.982685870575978</v>
          </cell>
          <cell r="W157">
            <v>59.475536170753308</v>
          </cell>
          <cell r="X157">
            <v>65.521201493384126</v>
          </cell>
          <cell r="Y157">
            <v>57.435319056687597</v>
          </cell>
          <cell r="Z157">
            <v>58.052438585449657</v>
          </cell>
          <cell r="AA157">
            <v>63.726941743132038</v>
          </cell>
          <cell r="AB157">
            <v>67.474023814837395</v>
          </cell>
          <cell r="AC157">
            <v>66.340980982990814</v>
          </cell>
          <cell r="AD157">
            <v>66.957917376355155</v>
          </cell>
          <cell r="AE157">
            <v>66.968870264118507</v>
          </cell>
        </row>
        <row r="158">
          <cell r="B158" t="str">
            <v>PRY</v>
          </cell>
          <cell r="D158">
            <v>93.721259125507331</v>
          </cell>
          <cell r="E158">
            <v>92.429984751034254</v>
          </cell>
          <cell r="F158">
            <v>93.441211616185569</v>
          </cell>
          <cell r="G158">
            <v>95.266349724779417</v>
          </cell>
          <cell r="H158">
            <v>96.659693297556259</v>
          </cell>
          <cell r="I158">
            <v>98.581369952311036</v>
          </cell>
          <cell r="J158">
            <v>98.224838024054563</v>
          </cell>
          <cell r="K158">
            <v>99.335747680739516</v>
          </cell>
          <cell r="L158">
            <v>99.383248083621893</v>
          </cell>
          <cell r="M158">
            <v>102.02840020169822</v>
          </cell>
          <cell r="N158">
            <v>97.035000503442049</v>
          </cell>
          <cell r="O158">
            <v>99.802501631218206</v>
          </cell>
          <cell r="P158">
            <v>100.11928547291296</v>
          </cell>
          <cell r="Q158">
            <v>102.44689056330546</v>
          </cell>
          <cell r="R158">
            <v>100.3292611043068</v>
          </cell>
          <cell r="S158">
            <v>101.37242886412517</v>
          </cell>
          <cell r="T158">
            <v>157.46316502091491</v>
          </cell>
          <cell r="U158">
            <v>161.8922685552991</v>
          </cell>
          <cell r="V158">
            <v>159.53061206388944</v>
          </cell>
          <cell r="W158">
            <v>159.57420730948209</v>
          </cell>
          <cell r="X158">
            <v>162.92857052287448</v>
          </cell>
          <cell r="Y158">
            <v>177.81367346809796</v>
          </cell>
          <cell r="Z158">
            <v>177.5412681650042</v>
          </cell>
          <cell r="AA158">
            <v>180.35927029693016</v>
          </cell>
          <cell r="AB158">
            <v>181.95343624868138</v>
          </cell>
          <cell r="AC158">
            <v>182.03457485715126</v>
          </cell>
          <cell r="AD158">
            <v>181.65416530809222</v>
          </cell>
          <cell r="AE158">
            <v>181.89773569766987</v>
          </cell>
        </row>
        <row r="159">
          <cell r="B159" t="str">
            <v>PER</v>
          </cell>
          <cell r="D159">
            <v>88.05058555167642</v>
          </cell>
          <cell r="E159">
            <v>86.88444818962887</v>
          </cell>
          <cell r="F159">
            <v>87.862882005307284</v>
          </cell>
          <cell r="G159">
            <v>89.461490606693445</v>
          </cell>
          <cell r="H159">
            <v>90.968103389412263</v>
          </cell>
          <cell r="I159">
            <v>94.943234711712321</v>
          </cell>
          <cell r="J159">
            <v>97.486161133994884</v>
          </cell>
          <cell r="K159">
            <v>98.343539402701552</v>
          </cell>
          <cell r="L159">
            <v>97.666168989718415</v>
          </cell>
          <cell r="M159">
            <v>99.909203853732919</v>
          </cell>
          <cell r="N159">
            <v>99.236791244102164</v>
          </cell>
          <cell r="O159">
            <v>96.915177869649298</v>
          </cell>
          <cell r="P159">
            <v>98.463956771453553</v>
          </cell>
          <cell r="Q159">
            <v>98.726178176409064</v>
          </cell>
          <cell r="R159">
            <v>102.6847060820852</v>
          </cell>
          <cell r="S159">
            <v>105.72779258972614</v>
          </cell>
          <cell r="T159">
            <v>129.16828175025344</v>
          </cell>
          <cell r="U159">
            <v>133.02941929809722</v>
          </cell>
          <cell r="V159">
            <v>137.39029421830907</v>
          </cell>
          <cell r="W159">
            <v>141.28976945428343</v>
          </cell>
          <cell r="X159">
            <v>146.95306311913382</v>
          </cell>
          <cell r="Y159">
            <v>152.58768202850274</v>
          </cell>
          <cell r="Z159">
            <v>153.63624488773439</v>
          </cell>
          <cell r="AA159">
            <v>154.86364042209516</v>
          </cell>
          <cell r="AB159">
            <v>158.29205600314947</v>
          </cell>
          <cell r="AC159">
            <v>159.65177550127584</v>
          </cell>
          <cell r="AD159">
            <v>163.95996542293</v>
          </cell>
          <cell r="AE159">
            <v>163.02259158355844</v>
          </cell>
        </row>
        <row r="160">
          <cell r="B160" t="str">
            <v>PHL</v>
          </cell>
          <cell r="D160">
            <v>101.63760046432439</v>
          </cell>
          <cell r="E160">
            <v>101.5312917644125</v>
          </cell>
          <cell r="F160">
            <v>104.17021461968409</v>
          </cell>
          <cell r="G160">
            <v>108.4052383664411</v>
          </cell>
          <cell r="H160">
            <v>115.35815313377559</v>
          </cell>
          <cell r="I160">
            <v>127.58892703941785</v>
          </cell>
          <cell r="J160">
            <v>133.2494509780766</v>
          </cell>
          <cell r="K160">
            <v>142.31969213117776</v>
          </cell>
          <cell r="L160">
            <v>136.11693303224513</v>
          </cell>
          <cell r="M160">
            <v>140.2006967493792</v>
          </cell>
          <cell r="N160">
            <v>141.66032862274622</v>
          </cell>
          <cell r="O160">
            <v>154.34946334687118</v>
          </cell>
          <cell r="P160">
            <v>157.68597311149426</v>
          </cell>
          <cell r="Q160">
            <v>160.31051720062459</v>
          </cell>
          <cell r="R160">
            <v>162.79277586198924</v>
          </cell>
          <cell r="S160">
            <v>166.60400936381424</v>
          </cell>
          <cell r="T160">
            <v>177.72491045737007</v>
          </cell>
          <cell r="U160">
            <v>184.8781083153782</v>
          </cell>
          <cell r="V160">
            <v>187.65587442324511</v>
          </cell>
          <cell r="W160">
            <v>189.76569897021767</v>
          </cell>
          <cell r="X160">
            <v>196.05364879100492</v>
          </cell>
          <cell r="Y160">
            <v>107.24718853232596</v>
          </cell>
          <cell r="Z160">
            <v>112.72769133616222</v>
          </cell>
          <cell r="AA160">
            <v>124.57559383773503</v>
          </cell>
          <cell r="AB160">
            <v>133.96661381136244</v>
          </cell>
          <cell r="AC160">
            <v>141.71603744426707</v>
          </cell>
          <cell r="AD160">
            <v>152.99700856228654</v>
          </cell>
          <cell r="AE160">
            <v>162.67395177910259</v>
          </cell>
        </row>
        <row r="161">
          <cell r="B161" t="str">
            <v>PCN</v>
          </cell>
          <cell r="D161">
            <v>-4.1259000000000001E-3</v>
          </cell>
          <cell r="E161">
            <v>-4.1259000000000001E-3</v>
          </cell>
          <cell r="F161">
            <v>-4.1259000000000001E-3</v>
          </cell>
          <cell r="G161">
            <v>-4.1259000000000001E-3</v>
          </cell>
          <cell r="H161">
            <v>-4.1259000000000001E-3</v>
          </cell>
          <cell r="I161">
            <v>-4.1259000000000001E-3</v>
          </cell>
          <cell r="J161">
            <v>-4.1259000000000001E-3</v>
          </cell>
          <cell r="K161">
            <v>-4.1259000000000001E-3</v>
          </cell>
          <cell r="L161">
            <v>-4.1259000000000001E-3</v>
          </cell>
          <cell r="M161">
            <v>-4.1259000000000001E-3</v>
          </cell>
          <cell r="N161">
            <v>-4.1259000000000001E-3</v>
          </cell>
          <cell r="O161">
            <v>-2.2465000000000002E-3</v>
          </cell>
          <cell r="P161">
            <v>-2.2465000000000002E-3</v>
          </cell>
          <cell r="Q161">
            <v>-2.2465000000000002E-3</v>
          </cell>
          <cell r="R161">
            <v>-2.2465000000000002E-3</v>
          </cell>
          <cell r="S161">
            <v>-2.2465000000000002E-3</v>
          </cell>
          <cell r="T161">
            <v>-1.1077699999999999E-2</v>
          </cell>
          <cell r="U161">
            <v>-1.1077699999999999E-2</v>
          </cell>
          <cell r="V161">
            <v>-1.1077699999999999E-2</v>
          </cell>
          <cell r="W161">
            <v>-1.1077699999999999E-2</v>
          </cell>
          <cell r="X161">
            <v>-1.1077699999999999E-2</v>
          </cell>
          <cell r="Y161">
            <v>1.3999999999999999E-6</v>
          </cell>
          <cell r="Z161">
            <v>1.3999999999999999E-6</v>
          </cell>
          <cell r="AA161">
            <v>1.3999999999999999E-6</v>
          </cell>
          <cell r="AB161">
            <v>1.3999999999999999E-6</v>
          </cell>
          <cell r="AC161">
            <v>1.3999999999999999E-6</v>
          </cell>
          <cell r="AD161">
            <v>1.3999999999999999E-6</v>
          </cell>
          <cell r="AE161">
            <v>1.3999999999999999E-6</v>
          </cell>
        </row>
        <row r="162">
          <cell r="B162" t="str">
            <v>POL</v>
          </cell>
          <cell r="D162">
            <v>486.90310117479794</v>
          </cell>
          <cell r="E162">
            <v>478.10431716225156</v>
          </cell>
          <cell r="F162">
            <v>465.0253503665391</v>
          </cell>
          <cell r="G162">
            <v>462.2583997881045</v>
          </cell>
          <cell r="H162">
            <v>455.09915734466125</v>
          </cell>
          <cell r="I162">
            <v>457.23412658757394</v>
          </cell>
          <cell r="J162">
            <v>470.29247840096747</v>
          </cell>
          <cell r="K162">
            <v>461.89232557003936</v>
          </cell>
          <cell r="L162">
            <v>424.6128967361696</v>
          </cell>
          <cell r="M162">
            <v>412.17928319886602</v>
          </cell>
          <cell r="N162">
            <v>395.90004436695261</v>
          </cell>
          <cell r="O162">
            <v>381.4104224842626</v>
          </cell>
          <cell r="P162">
            <v>372.93658658917991</v>
          </cell>
          <cell r="Q162">
            <v>387.16893582238851</v>
          </cell>
          <cell r="R162">
            <v>388.6321961021228</v>
          </cell>
          <cell r="S162">
            <v>389.26976062818107</v>
          </cell>
          <cell r="T162">
            <v>320.59957646708938</v>
          </cell>
          <cell r="U162">
            <v>319.33662029695967</v>
          </cell>
          <cell r="V162">
            <v>311.99503065514358</v>
          </cell>
          <cell r="W162">
            <v>293.22111510618646</v>
          </cell>
          <cell r="X162">
            <v>311.97453959913605</v>
          </cell>
          <cell r="Y162">
            <v>390.97413942285317</v>
          </cell>
          <cell r="Z162">
            <v>384.03903087803536</v>
          </cell>
          <cell r="AA162">
            <v>380.09147254355327</v>
          </cell>
          <cell r="AB162">
            <v>366.95661028726198</v>
          </cell>
          <cell r="AC162">
            <v>370.66634154735669</v>
          </cell>
          <cell r="AD162">
            <v>383.44993137651085</v>
          </cell>
          <cell r="AE162">
            <v>387.97473686698436</v>
          </cell>
        </row>
        <row r="163">
          <cell r="B163" t="str">
            <v>PRT</v>
          </cell>
          <cell r="D163">
            <v>60.097487325989995</v>
          </cell>
          <cell r="E163">
            <v>62.172116518412899</v>
          </cell>
          <cell r="F163">
            <v>66.026988039403534</v>
          </cell>
          <cell r="G163">
            <v>64.853865284453079</v>
          </cell>
          <cell r="H163">
            <v>66.761914920260367</v>
          </cell>
          <cell r="I163">
            <v>70.672802876567204</v>
          </cell>
          <cell r="J163">
            <v>69.121462362894178</v>
          </cell>
          <cell r="K163">
            <v>71.805780208486567</v>
          </cell>
          <cell r="L163">
            <v>76.899688114559183</v>
          </cell>
          <cell r="M163">
            <v>83.891723500417797</v>
          </cell>
          <cell r="N163">
            <v>83.678193775441898</v>
          </cell>
          <cell r="O163">
            <v>87.10953799915643</v>
          </cell>
          <cell r="P163">
            <v>91.529374045414031</v>
          </cell>
          <cell r="Q163">
            <v>86.841593831485255</v>
          </cell>
          <cell r="R163">
            <v>88.06987048681853</v>
          </cell>
          <cell r="S163">
            <v>91.960796567841783</v>
          </cell>
          <cell r="T163">
            <v>81.026327176195949</v>
          </cell>
          <cell r="U163">
            <v>79.415013150999357</v>
          </cell>
          <cell r="V163">
            <v>77.108772414908344</v>
          </cell>
          <cell r="W163">
            <v>76.1925877291592</v>
          </cell>
          <cell r="X163">
            <v>71.02743880723753</v>
          </cell>
          <cell r="Y163">
            <v>71.451679200649025</v>
          </cell>
          <cell r="Z163">
            <v>70.186903931007294</v>
          </cell>
          <cell r="AA163">
            <v>68.928443692687253</v>
          </cell>
          <cell r="AB163">
            <v>68.733718610922665</v>
          </cell>
          <cell r="AC163">
            <v>73.273516840932359</v>
          </cell>
          <cell r="AD163">
            <v>73.474793267242006</v>
          </cell>
          <cell r="AE163">
            <v>78.557215140388323</v>
          </cell>
        </row>
        <row r="164">
          <cell r="B164" t="str">
            <v>PRI</v>
          </cell>
          <cell r="D164">
            <v>2.9767798305983106</v>
          </cell>
          <cell r="E164">
            <v>3.0045257182914318</v>
          </cell>
          <cell r="F164">
            <v>2.6949487348940737</v>
          </cell>
          <cell r="G164">
            <v>2.7339963847821389</v>
          </cell>
          <cell r="H164">
            <v>2.7824491397346289</v>
          </cell>
          <cell r="I164">
            <v>2.705759812839716</v>
          </cell>
          <cell r="J164">
            <v>2.704349255440198</v>
          </cell>
          <cell r="K164">
            <v>2.7454768849013473</v>
          </cell>
          <cell r="L164">
            <v>2.7391852290470959</v>
          </cell>
          <cell r="M164">
            <v>2.735746842328465</v>
          </cell>
          <cell r="N164">
            <v>2.7464041281721605</v>
          </cell>
          <cell r="O164">
            <v>2.2790498232748191</v>
          </cell>
          <cell r="P164">
            <v>2.2702379235121875</v>
          </cell>
          <cell r="Q164">
            <v>2.2939743226878484</v>
          </cell>
          <cell r="R164">
            <v>2.2468674097407311</v>
          </cell>
          <cell r="S164">
            <v>2.2168876720444768</v>
          </cell>
          <cell r="T164">
            <v>1.5119252664248768</v>
          </cell>
          <cell r="U164">
            <v>1.4384364869647637</v>
          </cell>
          <cell r="V164">
            <v>1.388211898675338</v>
          </cell>
          <cell r="W164">
            <v>1.2597791230255884</v>
          </cell>
          <cell r="X164">
            <v>1.1922327790651548</v>
          </cell>
          <cell r="Y164">
            <v>1.1933658385893009</v>
          </cell>
          <cell r="Z164">
            <v>1.1982151725966974</v>
          </cell>
          <cell r="AA164">
            <v>1.1236703032758708</v>
          </cell>
          <cell r="AB164">
            <v>1.1242900243854648</v>
          </cell>
          <cell r="AC164">
            <v>1.0984232575851396</v>
          </cell>
          <cell r="AD164">
            <v>1.083040161094855</v>
          </cell>
          <cell r="AE164">
            <v>1.0762110120713773</v>
          </cell>
        </row>
        <row r="165">
          <cell r="B165" t="str">
            <v>QAT</v>
          </cell>
          <cell r="D165">
            <v>30.805866227908961</v>
          </cell>
          <cell r="E165">
            <v>31.788922946975376</v>
          </cell>
          <cell r="F165">
            <v>32.677080510966007</v>
          </cell>
          <cell r="G165">
            <v>32.971975189105287</v>
          </cell>
          <cell r="H165">
            <v>33.218337241632788</v>
          </cell>
          <cell r="I165">
            <v>32.463743655474218</v>
          </cell>
          <cell r="J165">
            <v>36.96672544383501</v>
          </cell>
          <cell r="K165">
            <v>50.72573683123337</v>
          </cell>
          <cell r="L165">
            <v>51.30546023335674</v>
          </cell>
          <cell r="M165">
            <v>55.861544200777722</v>
          </cell>
          <cell r="N165">
            <v>56.445640461354728</v>
          </cell>
          <cell r="O165">
            <v>55.395181653187848</v>
          </cell>
          <cell r="P165">
            <v>59.825805581590181</v>
          </cell>
          <cell r="Q165">
            <v>64.162411594672037</v>
          </cell>
          <cell r="R165">
            <v>69.284080460155408</v>
          </cell>
          <cell r="S165">
            <v>71.591428624470836</v>
          </cell>
          <cell r="T165">
            <v>79.252479230328277</v>
          </cell>
          <cell r="U165">
            <v>88.729936451686967</v>
          </cell>
          <cell r="V165">
            <v>98.16611471860196</v>
          </cell>
          <cell r="W165">
            <v>106.3235914548227</v>
          </cell>
          <cell r="X165">
            <v>123.29660610623083</v>
          </cell>
          <cell r="Y165">
            <v>139.75783050264417</v>
          </cell>
          <cell r="Z165">
            <v>148.574838146708</v>
          </cell>
          <cell r="AA165">
            <v>156.96146081788146</v>
          </cell>
          <cell r="AB165">
            <v>160.73749512793998</v>
          </cell>
          <cell r="AC165">
            <v>162.92693292353303</v>
          </cell>
          <cell r="AD165">
            <v>163.68647103002664</v>
          </cell>
          <cell r="AE165">
            <v>171.18607634560351</v>
          </cell>
        </row>
        <row r="166">
          <cell r="B166" t="str">
            <v>REU</v>
          </cell>
          <cell r="D166">
            <v>1.3062781209619154</v>
          </cell>
          <cell r="E166">
            <v>1.6246374233711274</v>
          </cell>
          <cell r="F166">
            <v>1.5481078743730992</v>
          </cell>
          <cell r="G166">
            <v>1.860479195370538</v>
          </cell>
          <cell r="H166">
            <v>1.8943807564785504</v>
          </cell>
          <cell r="I166">
            <v>1.9085041518898707</v>
          </cell>
          <cell r="J166">
            <v>1.9470712467426805</v>
          </cell>
          <cell r="K166">
            <v>2.108581513434606</v>
          </cell>
          <cell r="L166">
            <v>2.3401704394418199</v>
          </cell>
          <cell r="M166">
            <v>2.4152108399727195</v>
          </cell>
          <cell r="N166">
            <v>2.3958871684730112</v>
          </cell>
          <cell r="O166">
            <v>2.6207135646660236</v>
          </cell>
          <cell r="P166">
            <v>2.594707042420787</v>
          </cell>
          <cell r="Q166">
            <v>2.7293793566518629</v>
          </cell>
          <cell r="R166">
            <v>2.8860676744993099</v>
          </cell>
          <cell r="S166">
            <v>2.890623924009915</v>
          </cell>
          <cell r="T166">
            <v>2.8051512634717399</v>
          </cell>
          <cell r="U166">
            <v>2.9771498269084917</v>
          </cell>
          <cell r="V166">
            <v>3.1492578161624993</v>
          </cell>
          <cell r="W166">
            <v>3.3340899209902415</v>
          </cell>
          <cell r="X166">
            <v>3.3825757958341791</v>
          </cell>
          <cell r="Y166">
            <v>3.9201503819801915</v>
          </cell>
          <cell r="Z166">
            <v>4.0969638000884929</v>
          </cell>
          <cell r="AA166">
            <v>2.9670618152108186</v>
          </cell>
          <cell r="AB166">
            <v>3.0399135603716014</v>
          </cell>
          <cell r="AC166">
            <v>3.1721815994281126</v>
          </cell>
          <cell r="AD166">
            <v>3.2423626229936064</v>
          </cell>
          <cell r="AE166">
            <v>3.4164651145551512</v>
          </cell>
        </row>
        <row r="167">
          <cell r="B167" t="str">
            <v>ROU</v>
          </cell>
          <cell r="D167">
            <v>243.40283305159767</v>
          </cell>
          <cell r="E167">
            <v>199.43964046177436</v>
          </cell>
          <cell r="F167">
            <v>181.14418415380069</v>
          </cell>
          <cell r="G167">
            <v>169.24304951664317</v>
          </cell>
          <cell r="H167">
            <v>164.62498401091707</v>
          </cell>
          <cell r="I167">
            <v>169.46406071608939</v>
          </cell>
          <cell r="J167">
            <v>173.38590378352191</v>
          </cell>
          <cell r="K167">
            <v>160.94681223627686</v>
          </cell>
          <cell r="L167">
            <v>143.23123099260926</v>
          </cell>
          <cell r="M167">
            <v>125.98554366868711</v>
          </cell>
          <cell r="N167">
            <v>130.60916871808493</v>
          </cell>
          <cell r="O167">
            <v>134.20104693657802</v>
          </cell>
          <cell r="P167">
            <v>133.17822801724225</v>
          </cell>
          <cell r="Q167">
            <v>140.26522140930382</v>
          </cell>
          <cell r="R167">
            <v>139.27873128419094</v>
          </cell>
          <cell r="S167">
            <v>137.60041432519108</v>
          </cell>
          <cell r="T167">
            <v>137.87532320499119</v>
          </cell>
          <cell r="U167">
            <v>136.83480547263881</v>
          </cell>
          <cell r="V167">
            <v>133.65275635263069</v>
          </cell>
          <cell r="W167">
            <v>112.32117159660694</v>
          </cell>
          <cell r="X167">
            <v>110.21992479396269</v>
          </cell>
          <cell r="Y167">
            <v>-42.842236737995137</v>
          </cell>
          <cell r="Z167">
            <v>-45.717356972445813</v>
          </cell>
          <cell r="AA167">
            <v>-56.982530153351377</v>
          </cell>
          <cell r="AB167">
            <v>-57.390230040090415</v>
          </cell>
          <cell r="AC167">
            <v>-55.14737754991468</v>
          </cell>
          <cell r="AD167">
            <v>-56.280796305570888</v>
          </cell>
          <cell r="AE167">
            <v>-51.361195814738224</v>
          </cell>
        </row>
        <row r="168">
          <cell r="B168" t="str">
            <v>RUS</v>
          </cell>
          <cell r="D168">
            <v>3026.0743029369087</v>
          </cell>
          <cell r="E168">
            <v>2969.682972454013</v>
          </cell>
          <cell r="F168">
            <v>2992.8775031070186</v>
          </cell>
          <cell r="G168">
            <v>2761.7393230475559</v>
          </cell>
          <cell r="H168">
            <v>2549.9524709901152</v>
          </cell>
          <cell r="I168">
            <v>2485.3913225551369</v>
          </cell>
          <cell r="J168">
            <v>2442.9572039648815</v>
          </cell>
          <cell r="K168">
            <v>2246.9643980751553</v>
          </cell>
          <cell r="L168">
            <v>2304.7679099408138</v>
          </cell>
          <cell r="M168">
            <v>2309.4753537212182</v>
          </cell>
          <cell r="N168">
            <v>2362.3728089456008</v>
          </cell>
          <cell r="O168">
            <v>2214.4876899898732</v>
          </cell>
          <cell r="P168">
            <v>2248.1994389045062</v>
          </cell>
          <cell r="Q168">
            <v>2417.2165648013552</v>
          </cell>
          <cell r="R168">
            <v>2267.1169305034437</v>
          </cell>
          <cell r="S168">
            <v>2285.5426327453724</v>
          </cell>
          <cell r="T168">
            <v>2186.5874445261134</v>
          </cell>
          <cell r="U168">
            <v>2183.4829177717206</v>
          </cell>
          <cell r="V168">
            <v>2361.8372453987372</v>
          </cell>
          <cell r="W168">
            <v>2058.5307666283825</v>
          </cell>
          <cell r="X168">
            <v>2149.3805329338115</v>
          </cell>
          <cell r="Y168">
            <v>2251.8974651349213</v>
          </cell>
          <cell r="Z168">
            <v>2332.4427683284612</v>
          </cell>
          <cell r="AA168">
            <v>2177.9698209593921</v>
          </cell>
          <cell r="AB168">
            <v>2169.8220714981353</v>
          </cell>
          <cell r="AC168">
            <v>2185.2320009960304</v>
          </cell>
          <cell r="AD168">
            <v>2217.8080804866349</v>
          </cell>
          <cell r="AE168">
            <v>2235.4338016564952</v>
          </cell>
        </row>
        <row r="169">
          <cell r="B169" t="str">
            <v>RWA</v>
          </cell>
          <cell r="D169">
            <v>12.714211956874911</v>
          </cell>
          <cell r="E169">
            <v>12.841497215303953</v>
          </cell>
          <cell r="F169">
            <v>12.753140858153358</v>
          </cell>
          <cell r="G169">
            <v>12.559203559413657</v>
          </cell>
          <cell r="H169">
            <v>12.387303159274719</v>
          </cell>
          <cell r="I169">
            <v>12.483538911143444</v>
          </cell>
          <cell r="J169">
            <v>12.62543968770326</v>
          </cell>
          <cell r="K169">
            <v>13.113124079580791</v>
          </cell>
          <cell r="L169">
            <v>13.288142288495056</v>
          </cell>
          <cell r="M169">
            <v>13.497159006874689</v>
          </cell>
          <cell r="N169">
            <v>13.251592840512703</v>
          </cell>
          <cell r="O169">
            <v>-5.4210294115812889</v>
          </cell>
          <cell r="P169">
            <v>-4.7337990682750153</v>
          </cell>
          <cell r="Q169">
            <v>-4.3990949537791773</v>
          </cell>
          <cell r="R169">
            <v>-4.4581766475635014</v>
          </cell>
          <cell r="S169">
            <v>-4.1494771291716592</v>
          </cell>
          <cell r="T169">
            <v>5.0049685895968423</v>
          </cell>
          <cell r="U169">
            <v>4.7654570072392861</v>
          </cell>
          <cell r="V169">
            <v>5.2644030221528917</v>
          </cell>
          <cell r="W169">
            <v>5.2678994920645543</v>
          </cell>
          <cell r="X169">
            <v>6.0067444861921295</v>
          </cell>
          <cell r="Y169">
            <v>6.975130795479954</v>
          </cell>
          <cell r="Z169">
            <v>7.3716831073505515</v>
          </cell>
          <cell r="AA169">
            <v>7.5348380794866294</v>
          </cell>
          <cell r="AB169">
            <v>7.5546608550156051</v>
          </cell>
          <cell r="AC169">
            <v>7.7852053880919527</v>
          </cell>
          <cell r="AD169">
            <v>8.2172857291884771</v>
          </cell>
          <cell r="AE169">
            <v>8.5285717425511347</v>
          </cell>
        </row>
        <row r="170">
          <cell r="B170" t="str">
            <v>WSM</v>
          </cell>
          <cell r="D170">
            <v>-1.7784481167195287</v>
          </cell>
          <cell r="E170">
            <v>-1.781886701337775</v>
          </cell>
          <cell r="F170">
            <v>-1.7871535092930371</v>
          </cell>
          <cell r="G170">
            <v>-1.792804616945904</v>
          </cell>
          <cell r="H170">
            <v>-1.794124123715189</v>
          </cell>
          <cell r="I170">
            <v>-1.7918957836064942</v>
          </cell>
          <cell r="J170">
            <v>-1.7855368173920412</v>
          </cell>
          <cell r="K170">
            <v>-1.7837064285088209</v>
          </cell>
          <cell r="L170">
            <v>-1.7693382585837778</v>
          </cell>
          <cell r="M170">
            <v>-1.776457617974722</v>
          </cell>
          <cell r="N170">
            <v>-1.7696571588795118</v>
          </cell>
          <cell r="O170">
            <v>0.19778952126563704</v>
          </cell>
          <cell r="P170">
            <v>0.18943119879114823</v>
          </cell>
          <cell r="Q170">
            <v>0.1916304614616835</v>
          </cell>
          <cell r="R170">
            <v>0.20329153865738336</v>
          </cell>
          <cell r="S170">
            <v>0.20478637948385281</v>
          </cell>
          <cell r="T170">
            <v>-0.23541410796725681</v>
          </cell>
          <cell r="U170">
            <v>-0.24190330303813956</v>
          </cell>
          <cell r="V170">
            <v>-0.23206680353497844</v>
          </cell>
          <cell r="W170">
            <v>-0.23506845468700754</v>
          </cell>
          <cell r="X170">
            <v>-0.22550038194551725</v>
          </cell>
          <cell r="Y170">
            <v>0.36643569914226742</v>
          </cell>
          <cell r="Z170">
            <v>0.41163945589564366</v>
          </cell>
          <cell r="AA170">
            <v>0.39070100806770541</v>
          </cell>
          <cell r="AB170">
            <v>0.33570768113048016</v>
          </cell>
          <cell r="AC170">
            <v>0.33956145565819257</v>
          </cell>
          <cell r="AD170">
            <v>0.34814367069261021</v>
          </cell>
          <cell r="AE170">
            <v>0.35771928116718649</v>
          </cell>
        </row>
        <row r="171">
          <cell r="B171" t="str">
            <v>SMR</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row>
        <row r="172">
          <cell r="B172" t="str">
            <v>STP</v>
          </cell>
          <cell r="D172">
            <v>8.0241838187992548E-2</v>
          </cell>
          <cell r="E172">
            <v>9.2143229377818978E-2</v>
          </cell>
          <cell r="F172">
            <v>8.6607660205726272E-2</v>
          </cell>
          <cell r="G172">
            <v>8.663134876587518E-2</v>
          </cell>
          <cell r="H172">
            <v>8.6704924589922655E-2</v>
          </cell>
          <cell r="I172">
            <v>8.9451248771162506E-2</v>
          </cell>
          <cell r="J172">
            <v>9.1374284797766686E-2</v>
          </cell>
          <cell r="K172">
            <v>9.6695342452814678E-2</v>
          </cell>
          <cell r="L172">
            <v>9.0181972756957912E-2</v>
          </cell>
          <cell r="M172">
            <v>9.3178345306551419E-2</v>
          </cell>
          <cell r="N172">
            <v>0.10450788782561193</v>
          </cell>
          <cell r="O172">
            <v>0.10418043444928624</v>
          </cell>
          <cell r="P172">
            <v>0.10484703400320551</v>
          </cell>
          <cell r="Q172">
            <v>0.11172763439052477</v>
          </cell>
          <cell r="R172">
            <v>0.11355417731547428</v>
          </cell>
          <cell r="S172">
            <v>0.11590931039358841</v>
          </cell>
          <cell r="T172">
            <v>0.46193633627782543</v>
          </cell>
          <cell r="U172">
            <v>0.41470650466241882</v>
          </cell>
          <cell r="V172">
            <v>0.4768492029578203</v>
          </cell>
          <cell r="W172">
            <v>0.48496024440042462</v>
          </cell>
          <cell r="X172">
            <v>0.4902528093806488</v>
          </cell>
          <cell r="Y172">
            <v>0.22100525847698868</v>
          </cell>
          <cell r="Z172">
            <v>0.22880075708965472</v>
          </cell>
          <cell r="AA172">
            <v>0.20153972370274759</v>
          </cell>
          <cell r="AB172">
            <v>0.21065132771616835</v>
          </cell>
          <cell r="AC172">
            <v>0.21531473197481513</v>
          </cell>
          <cell r="AD172">
            <v>0.21899610905374406</v>
          </cell>
          <cell r="AE172">
            <v>0.22965362490592839</v>
          </cell>
        </row>
        <row r="173">
          <cell r="B173" t="str">
            <v>SAU</v>
          </cell>
          <cell r="D173">
            <v>240.49083981135126</v>
          </cell>
          <cell r="E173">
            <v>245.73446919390256</v>
          </cell>
          <cell r="F173">
            <v>256.05224608161092</v>
          </cell>
          <cell r="G173">
            <v>258.96386409848679</v>
          </cell>
          <cell r="H173">
            <v>294.03712378963269</v>
          </cell>
          <cell r="I173">
            <v>288.5676642076736</v>
          </cell>
          <cell r="J173">
            <v>303.43747761594665</v>
          </cell>
          <cell r="K173">
            <v>307.09412910076003</v>
          </cell>
          <cell r="L173">
            <v>318.1370051979784</v>
          </cell>
          <cell r="M173">
            <v>318.95309614271821</v>
          </cell>
          <cell r="N173">
            <v>335.62406545955304</v>
          </cell>
          <cell r="O173">
            <v>346.69641369032968</v>
          </cell>
          <cell r="P173">
            <v>364.00587566129082</v>
          </cell>
          <cell r="Q173">
            <v>386.05761055593604</v>
          </cell>
          <cell r="R173">
            <v>402.07254917102802</v>
          </cell>
          <cell r="S173">
            <v>424.34993177974997</v>
          </cell>
          <cell r="T173">
            <v>446.59217262062549</v>
          </cell>
          <cell r="U173">
            <v>466.88273607824203</v>
          </cell>
          <cell r="V173">
            <v>503.96479683168002</v>
          </cell>
          <cell r="W173">
            <v>523.13628352708133</v>
          </cell>
          <cell r="X173">
            <v>568.06778801557437</v>
          </cell>
          <cell r="Y173">
            <v>594.83152189139605</v>
          </cell>
          <cell r="Z173">
            <v>630.76094378641199</v>
          </cell>
          <cell r="AA173">
            <v>663.59489331289535</v>
          </cell>
          <cell r="AB173">
            <v>699.44817453085011</v>
          </cell>
          <cell r="AC173">
            <v>728.68275226242145</v>
          </cell>
          <cell r="AD173">
            <v>741.56559439651323</v>
          </cell>
          <cell r="AE173">
            <v>753.1605405466396</v>
          </cell>
        </row>
        <row r="174">
          <cell r="B174" t="str">
            <v>SEN</v>
          </cell>
          <cell r="D174">
            <v>21.069227985441156</v>
          </cell>
          <cell r="E174">
            <v>21.308875230449033</v>
          </cell>
          <cell r="F174">
            <v>21.715681100283032</v>
          </cell>
          <cell r="G174">
            <v>21.937636217747894</v>
          </cell>
          <cell r="H174">
            <v>22.171806742225336</v>
          </cell>
          <cell r="I174">
            <v>22.414224505610857</v>
          </cell>
          <cell r="J174">
            <v>22.661807172205993</v>
          </cell>
          <cell r="K174">
            <v>23.138702036030597</v>
          </cell>
          <cell r="L174">
            <v>24.193629012236656</v>
          </cell>
          <cell r="M174">
            <v>26.252874825685872</v>
          </cell>
          <cell r="N174">
            <v>26.100682402346436</v>
          </cell>
          <cell r="O174">
            <v>26.463141955469197</v>
          </cell>
          <cell r="P174">
            <v>24.862434501731443</v>
          </cell>
          <cell r="Q174">
            <v>23.556090022791004</v>
          </cell>
          <cell r="R174">
            <v>25.628180963838201</v>
          </cell>
          <cell r="S174">
            <v>26.817342871621122</v>
          </cell>
          <cell r="T174">
            <v>27.127481331392801</v>
          </cell>
          <cell r="U174">
            <v>26.693316520410299</v>
          </cell>
          <cell r="V174">
            <v>27.777397041134599</v>
          </cell>
          <cell r="W174">
            <v>27.098158329759386</v>
          </cell>
          <cell r="X174">
            <v>29.321708631920117</v>
          </cell>
          <cell r="Y174">
            <v>28.774455350209198</v>
          </cell>
          <cell r="Z174">
            <v>27.071377859087377</v>
          </cell>
          <cell r="AA174">
            <v>28.42420509641725</v>
          </cell>
          <cell r="AB174">
            <v>28.102441191111495</v>
          </cell>
          <cell r="AC174">
            <v>29.794683069778173</v>
          </cell>
          <cell r="AD174">
            <v>31.063240040034323</v>
          </cell>
          <cell r="AE174">
            <v>31.707156795242852</v>
          </cell>
        </row>
        <row r="175">
          <cell r="B175" t="str">
            <v>YUG</v>
          </cell>
          <cell r="D175">
            <v>0</v>
          </cell>
          <cell r="E175">
            <v>0</v>
          </cell>
          <cell r="F175">
            <v>-5.8418221999999993</v>
          </cell>
          <cell r="G175">
            <v>-5.8418221999999993</v>
          </cell>
          <cell r="H175">
            <v>-5.8418221999999993</v>
          </cell>
          <cell r="I175">
            <v>-5.8418221999999993</v>
          </cell>
          <cell r="J175">
            <v>-5.8542926</v>
          </cell>
          <cell r="K175">
            <v>-5.8548119999999999</v>
          </cell>
          <cell r="L175">
            <v>-5.8429358000000002</v>
          </cell>
          <cell r="M175">
            <v>-5.8515081000000002</v>
          </cell>
          <cell r="N175">
            <v>-5.8138617999999997</v>
          </cell>
          <cell r="O175">
            <v>-6.1632144000000002</v>
          </cell>
          <cell r="P175">
            <v>-6.1534243999999996</v>
          </cell>
          <cell r="Q175">
            <v>-6.1538548000000004</v>
          </cell>
          <cell r="R175">
            <v>-6.1677770000000001</v>
          </cell>
          <cell r="S175">
            <v>-6.1682800999999996</v>
          </cell>
          <cell r="T175">
            <v>-81.673841999999993</v>
          </cell>
          <cell r="U175">
            <v>-81.473493699999992</v>
          </cell>
          <cell r="V175">
            <v>-81.679038899999995</v>
          </cell>
          <cell r="W175">
            <v>-81.686951800000003</v>
          </cell>
          <cell r="X175">
            <v>-81.684881799999999</v>
          </cell>
          <cell r="Y175">
            <v>-1.2137724999999997</v>
          </cell>
          <cell r="Z175">
            <v>-1.1004533999999999</v>
          </cell>
          <cell r="AA175">
            <v>-1.2511199</v>
          </cell>
          <cell r="AB175">
            <v>-1.2537739999999999</v>
          </cell>
          <cell r="AC175">
            <v>-1.2537739999999999</v>
          </cell>
          <cell r="AD175">
            <v>-1.2537739999999999</v>
          </cell>
          <cell r="AE175">
            <v>-1.2537739999999999</v>
          </cell>
        </row>
        <row r="176">
          <cell r="B176" t="str">
            <v>SYC</v>
          </cell>
          <cell r="D176">
            <v>0.33580453459847531</v>
          </cell>
          <cell r="E176">
            <v>0.4512400972775869</v>
          </cell>
          <cell r="F176">
            <v>0.40385169282437972</v>
          </cell>
          <cell r="G176">
            <v>0.40133742365690184</v>
          </cell>
          <cell r="H176">
            <v>0.39357903768552055</v>
          </cell>
          <cell r="I176">
            <v>0.40750290626904312</v>
          </cell>
          <cell r="J176">
            <v>0.41503781428791142</v>
          </cell>
          <cell r="K176">
            <v>0.50481075502691974</v>
          </cell>
          <cell r="L176">
            <v>0.44659654920070102</v>
          </cell>
          <cell r="M176">
            <v>0.4605760272375789</v>
          </cell>
          <cell r="N176">
            <v>0.45637870261424851</v>
          </cell>
          <cell r="O176">
            <v>0.46572149574203592</v>
          </cell>
          <cell r="P176">
            <v>0.66549940250232953</v>
          </cell>
          <cell r="Q176">
            <v>0.70563457888858694</v>
          </cell>
          <cell r="R176">
            <v>0.7280285862512359</v>
          </cell>
          <cell r="S176">
            <v>0.72493926860945723</v>
          </cell>
          <cell r="T176">
            <v>0.94396403973294141</v>
          </cell>
          <cell r="U176">
            <v>0.84252023583903346</v>
          </cell>
          <cell r="V176">
            <v>0.97484371807449555</v>
          </cell>
          <cell r="W176">
            <v>1.0857525300590893</v>
          </cell>
          <cell r="X176">
            <v>0.98718172249372504</v>
          </cell>
          <cell r="Y176">
            <v>1.1458643566124249</v>
          </cell>
          <cell r="Z176">
            <v>1.1919183369264261</v>
          </cell>
          <cell r="AA176">
            <v>0.92202958322202122</v>
          </cell>
          <cell r="AB176">
            <v>0.92212744268042479</v>
          </cell>
          <cell r="AC176">
            <v>0.94584160938333706</v>
          </cell>
          <cell r="AD176">
            <v>0.96869686832113833</v>
          </cell>
          <cell r="AE176">
            <v>1.0264722118737937</v>
          </cell>
        </row>
        <row r="177">
          <cell r="B177" t="str">
            <v>SLE</v>
          </cell>
          <cell r="D177">
            <v>9.7564803854804527</v>
          </cell>
          <cell r="E177">
            <v>9.8790222725298769</v>
          </cell>
          <cell r="F177">
            <v>9.4915467243965548</v>
          </cell>
          <cell r="G177">
            <v>9.5465923190570177</v>
          </cell>
          <cell r="H177">
            <v>9.4277355029392282</v>
          </cell>
          <cell r="I177">
            <v>9.3591280330103999</v>
          </cell>
          <cell r="J177">
            <v>9.2896775178031135</v>
          </cell>
          <cell r="K177">
            <v>9.3979843230374893</v>
          </cell>
          <cell r="L177">
            <v>9.3852518694674334</v>
          </cell>
          <cell r="M177">
            <v>9.2131166612078168</v>
          </cell>
          <cell r="N177">
            <v>9.1885388162196264</v>
          </cell>
          <cell r="O177">
            <v>9.1542360750875975</v>
          </cell>
          <cell r="P177">
            <v>9.2694065344418046</v>
          </cell>
          <cell r="Q177">
            <v>9.5004209278481238</v>
          </cell>
          <cell r="R177">
            <v>9.9575065987903564</v>
          </cell>
          <cell r="S177">
            <v>10.233639749895335</v>
          </cell>
          <cell r="T177">
            <v>11.031352847216692</v>
          </cell>
          <cell r="U177">
            <v>10.341511127530321</v>
          </cell>
          <cell r="V177">
            <v>10.710395678506435</v>
          </cell>
          <cell r="W177">
            <v>10.88189883861417</v>
          </cell>
          <cell r="X177">
            <v>11.009015879630788</v>
          </cell>
          <cell r="Y177">
            <v>11.431885050160526</v>
          </cell>
          <cell r="Z177">
            <v>12.435559603747128</v>
          </cell>
          <cell r="AA177">
            <v>12.248479013916679</v>
          </cell>
          <cell r="AB177">
            <v>12.202253224228404</v>
          </cell>
          <cell r="AC177">
            <v>12.073013094041439</v>
          </cell>
          <cell r="AD177">
            <v>12.936612210968143</v>
          </cell>
          <cell r="AE177">
            <v>13.321309701992135</v>
          </cell>
        </row>
        <row r="178">
          <cell r="B178" t="str">
            <v>SGP</v>
          </cell>
          <cell r="D178">
            <v>34.370242763956753</v>
          </cell>
          <cell r="E178">
            <v>36.324520912685692</v>
          </cell>
          <cell r="F178">
            <v>37.242507232096479</v>
          </cell>
          <cell r="G178">
            <v>42.638736522758329</v>
          </cell>
          <cell r="H178">
            <v>45.247818566511015</v>
          </cell>
          <cell r="I178">
            <v>45.610855847594117</v>
          </cell>
          <cell r="J178">
            <v>47.398883048329715</v>
          </cell>
          <cell r="K178">
            <v>48.224761011285615</v>
          </cell>
          <cell r="L178">
            <v>47.617246351137375</v>
          </cell>
          <cell r="M178">
            <v>48.05715853742408</v>
          </cell>
          <cell r="N178">
            <v>55.165851533061115</v>
          </cell>
          <cell r="O178">
            <v>57.029325816793936</v>
          </cell>
          <cell r="P178">
            <v>50.881206851676247</v>
          </cell>
          <cell r="Q178">
            <v>48.877261537794283</v>
          </cell>
          <cell r="R178">
            <v>50.921360751029361</v>
          </cell>
          <cell r="S178">
            <v>50.000497488202917</v>
          </cell>
          <cell r="T178">
            <v>51.505071381150785</v>
          </cell>
          <cell r="U178">
            <v>53.214459717572282</v>
          </cell>
          <cell r="V178">
            <v>53.842179528088884</v>
          </cell>
          <cell r="W178">
            <v>54.810478941604316</v>
          </cell>
          <cell r="X178">
            <v>59.30505913323816</v>
          </cell>
          <cell r="Y178">
            <v>62.111163270706378</v>
          </cell>
          <cell r="Z178">
            <v>61.702017471916868</v>
          </cell>
          <cell r="AA178">
            <v>62.567777126724742</v>
          </cell>
          <cell r="AB178">
            <v>61.812043050554273</v>
          </cell>
          <cell r="AC178">
            <v>61.076727528545362</v>
          </cell>
          <cell r="AD178">
            <v>62.692295241089951</v>
          </cell>
          <cell r="AE178">
            <v>64.18170019536781</v>
          </cell>
        </row>
        <row r="179">
          <cell r="B179" t="str">
            <v>SVK</v>
          </cell>
          <cell r="D179">
            <v>62.325035773851305</v>
          </cell>
          <cell r="E179">
            <v>52.61051043210739</v>
          </cell>
          <cell r="F179">
            <v>48.156071198803396</v>
          </cell>
          <cell r="G179">
            <v>46.652324105307571</v>
          </cell>
          <cell r="H179">
            <v>43.991687624929611</v>
          </cell>
          <cell r="I179">
            <v>44.44039915814767</v>
          </cell>
          <cell r="J179">
            <v>44.995723229844373</v>
          </cell>
          <cell r="K179">
            <v>44.676493321417645</v>
          </cell>
          <cell r="L179">
            <v>44.009660062396925</v>
          </cell>
          <cell r="M179">
            <v>43.496635370395815</v>
          </cell>
          <cell r="N179">
            <v>41.393324105943996</v>
          </cell>
          <cell r="O179">
            <v>42.26064973335604</v>
          </cell>
          <cell r="P179">
            <v>42.10457790747531</v>
          </cell>
          <cell r="Q179">
            <v>42.602690500939516</v>
          </cell>
          <cell r="R179">
            <v>42.558321046619426</v>
          </cell>
          <cell r="S179">
            <v>42.72904752449066</v>
          </cell>
          <cell r="T179">
            <v>45.264288454721253</v>
          </cell>
          <cell r="U179">
            <v>44.506436825572429</v>
          </cell>
          <cell r="V179">
            <v>44.519742410000703</v>
          </cell>
          <cell r="W179">
            <v>40.903194508490465</v>
          </cell>
          <cell r="X179">
            <v>43.636232383985025</v>
          </cell>
          <cell r="Y179">
            <v>43.303875904183364</v>
          </cell>
          <cell r="Z179">
            <v>42.04247020208102</v>
          </cell>
          <cell r="AA179">
            <v>42.899907301700232</v>
          </cell>
          <cell r="AB179">
            <v>41.122816798106413</v>
          </cell>
          <cell r="AC179">
            <v>41.785180012925089</v>
          </cell>
          <cell r="AD179">
            <v>42.65098806816691</v>
          </cell>
          <cell r="AE179">
            <v>45.338851392540604</v>
          </cell>
        </row>
        <row r="180">
          <cell r="B180" t="str">
            <v>SVN</v>
          </cell>
          <cell r="D180">
            <v>22.405975235270045</v>
          </cell>
          <cell r="E180">
            <v>20.601075738627788</v>
          </cell>
          <cell r="F180">
            <v>13.764436883396684</v>
          </cell>
          <cell r="G180">
            <v>14.050146561074946</v>
          </cell>
          <cell r="H180">
            <v>13.937138075686327</v>
          </cell>
          <cell r="I180">
            <v>13.858284914113955</v>
          </cell>
          <cell r="J180">
            <v>14.602301698880325</v>
          </cell>
          <cell r="K180">
            <v>15.008309624251286</v>
          </cell>
          <cell r="L180">
            <v>14.816595693158682</v>
          </cell>
          <cell r="M180">
            <v>14.116879956587983</v>
          </cell>
          <cell r="N180">
            <v>13.863766356580687</v>
          </cell>
          <cell r="O180">
            <v>12.227799783854783</v>
          </cell>
          <cell r="P180">
            <v>12.690289414316254</v>
          </cell>
          <cell r="Q180">
            <v>12.659018934618038</v>
          </cell>
          <cell r="R180">
            <v>13.02100910736263</v>
          </cell>
          <cell r="S180">
            <v>13.391815901833688</v>
          </cell>
          <cell r="T180">
            <v>16.226804116252733</v>
          </cell>
          <cell r="U180">
            <v>16.008427785421862</v>
          </cell>
          <cell r="V180">
            <v>17.097483586811919</v>
          </cell>
          <cell r="W180">
            <v>15.010796775262776</v>
          </cell>
          <cell r="X180">
            <v>15.193256095301823</v>
          </cell>
          <cell r="Y180">
            <v>15.665563632396438</v>
          </cell>
          <cell r="Z180">
            <v>15.090061404895705</v>
          </cell>
          <cell r="AA180">
            <v>14.519414636432122</v>
          </cell>
          <cell r="AB180">
            <v>13.074286315648452</v>
          </cell>
          <cell r="AC180">
            <v>13.117937900668922</v>
          </cell>
          <cell r="AD180">
            <v>14.211918311616087</v>
          </cell>
          <cell r="AE180">
            <v>14.140964615365581</v>
          </cell>
        </row>
        <row r="181">
          <cell r="B181" t="str">
            <v>SLB</v>
          </cell>
          <cell r="D181">
            <v>2.234810978095386</v>
          </cell>
          <cell r="E181">
            <v>2.1393233535328178</v>
          </cell>
          <cell r="F181">
            <v>2.07435818056521</v>
          </cell>
          <cell r="G181">
            <v>2.0794945740336059</v>
          </cell>
          <cell r="H181">
            <v>2.0943940482531418</v>
          </cell>
          <cell r="I181">
            <v>2.1054117491617368</v>
          </cell>
          <cell r="J181">
            <v>2.1258885523643105</v>
          </cell>
          <cell r="K181">
            <v>2.1262000436075028</v>
          </cell>
          <cell r="L181">
            <v>2.1292558129550581</v>
          </cell>
          <cell r="M181">
            <v>2.1238820037923229</v>
          </cell>
          <cell r="N181">
            <v>2.211433299385746</v>
          </cell>
          <cell r="O181">
            <v>2.2271577835102603</v>
          </cell>
          <cell r="P181">
            <v>2.2327040671156357</v>
          </cell>
          <cell r="Q181">
            <v>2.2352727488550221</v>
          </cell>
          <cell r="R181">
            <v>2.2601257456064539</v>
          </cell>
          <cell r="S181">
            <v>2.2563864349440554</v>
          </cell>
          <cell r="T181">
            <v>2.1709440506731923</v>
          </cell>
          <cell r="U181">
            <v>2.1674595272161401</v>
          </cell>
          <cell r="V181">
            <v>2.185099171485573</v>
          </cell>
          <cell r="W181">
            <v>2.185169560012064</v>
          </cell>
          <cell r="X181">
            <v>2.1993489703541158</v>
          </cell>
          <cell r="Y181">
            <v>2.6159884285661539</v>
          </cell>
          <cell r="Z181">
            <v>2.7197557263301602</v>
          </cell>
          <cell r="AA181">
            <v>2.5989943966962632</v>
          </cell>
          <cell r="AB181">
            <v>2.5384954726776536</v>
          </cell>
          <cell r="AC181">
            <v>2.5403563518504462</v>
          </cell>
          <cell r="AD181">
            <v>2.5626595268841643</v>
          </cell>
          <cell r="AE181">
            <v>2.5710177152380762</v>
          </cell>
        </row>
        <row r="182">
          <cell r="B182" t="str">
            <v>SOM</v>
          </cell>
          <cell r="D182">
            <v>39.047480192636527</v>
          </cell>
          <cell r="E182">
            <v>36.217391024611928</v>
          </cell>
          <cell r="F182">
            <v>34.443471410197574</v>
          </cell>
          <cell r="G182">
            <v>36.273456682320727</v>
          </cell>
          <cell r="H182">
            <v>37.92046658601668</v>
          </cell>
          <cell r="I182">
            <v>38.51383698558277</v>
          </cell>
          <cell r="J182">
            <v>39.037179047394474</v>
          </cell>
          <cell r="K182">
            <v>39.60701764558172</v>
          </cell>
          <cell r="L182">
            <v>39.626379526092705</v>
          </cell>
          <cell r="M182">
            <v>39.839781414834306</v>
          </cell>
          <cell r="N182">
            <v>40.280175031453517</v>
          </cell>
          <cell r="O182">
            <v>42.525915183246042</v>
          </cell>
          <cell r="P182">
            <v>42.804464638498189</v>
          </cell>
          <cell r="Q182">
            <v>43.210401616368287</v>
          </cell>
          <cell r="R182">
            <v>43.868590340579523</v>
          </cell>
          <cell r="S182">
            <v>44.528623825714092</v>
          </cell>
          <cell r="T182">
            <v>41.285953602625554</v>
          </cell>
          <cell r="U182">
            <v>40.24204140387188</v>
          </cell>
          <cell r="V182">
            <v>40.382296523282328</v>
          </cell>
          <cell r="W182">
            <v>40.428826924293446</v>
          </cell>
          <cell r="X182">
            <v>40.750089639029795</v>
          </cell>
          <cell r="Y182">
            <v>38.872247141400834</v>
          </cell>
          <cell r="Z182">
            <v>39.067363434396533</v>
          </cell>
          <cell r="AA182">
            <v>39.060478106830629</v>
          </cell>
          <cell r="AB182">
            <v>39.225208256122642</v>
          </cell>
          <cell r="AC182">
            <v>39.480237116154569</v>
          </cell>
          <cell r="AD182">
            <v>39.374186115691231</v>
          </cell>
          <cell r="AE182">
            <v>39.505808735295652</v>
          </cell>
        </row>
        <row r="183">
          <cell r="B183" t="str">
            <v>ZAF</v>
          </cell>
          <cell r="D183">
            <v>398.60184420926936</v>
          </cell>
          <cell r="E183">
            <v>390.87898212773712</v>
          </cell>
          <cell r="F183">
            <v>385.30239835373931</v>
          </cell>
          <cell r="G183">
            <v>388.29564614186188</v>
          </cell>
          <cell r="H183">
            <v>395.15427185933009</v>
          </cell>
          <cell r="I183">
            <v>413.63583441233072</v>
          </cell>
          <cell r="J183">
            <v>428.39843723195554</v>
          </cell>
          <cell r="K183">
            <v>446.888330265241</v>
          </cell>
          <cell r="L183">
            <v>455.5797123908564</v>
          </cell>
          <cell r="M183">
            <v>436.93702006091263</v>
          </cell>
          <cell r="N183">
            <v>441.19943762726859</v>
          </cell>
          <cell r="O183">
            <v>451.39013362538236</v>
          </cell>
          <cell r="P183">
            <v>467.26003849273411</v>
          </cell>
          <cell r="Q183">
            <v>491.88029046257793</v>
          </cell>
          <cell r="R183">
            <v>524.37439543038226</v>
          </cell>
          <cell r="S183">
            <v>539.18551022426266</v>
          </cell>
          <cell r="T183">
            <v>540.47174617726478</v>
          </cell>
          <cell r="U183">
            <v>562.04734824249817</v>
          </cell>
          <cell r="V183">
            <v>591.97047961854958</v>
          </cell>
          <cell r="W183">
            <v>559.18500720873033</v>
          </cell>
          <cell r="X183">
            <v>571.03547640685792</v>
          </cell>
          <cell r="Y183">
            <v>551.01225341639497</v>
          </cell>
          <cell r="Z183">
            <v>567.49727232729515</v>
          </cell>
          <cell r="AA183">
            <v>579.21969674326112</v>
          </cell>
          <cell r="AB183">
            <v>592.2388852340174</v>
          </cell>
          <cell r="AC183">
            <v>584.97349752769367</v>
          </cell>
          <cell r="AD183">
            <v>583.59753632659499</v>
          </cell>
          <cell r="AE183">
            <v>574.57633862370494</v>
          </cell>
        </row>
        <row r="184">
          <cell r="B184" t="str">
            <v>ESP</v>
          </cell>
          <cell r="D184">
            <v>248.98597470882754</v>
          </cell>
          <cell r="E184">
            <v>256.86901458031167</v>
          </cell>
          <cell r="F184">
            <v>264.33079029589436</v>
          </cell>
          <cell r="G184">
            <v>249.81540391617006</v>
          </cell>
          <cell r="H184">
            <v>260.92496556092931</v>
          </cell>
          <cell r="I184">
            <v>275.57622244054039</v>
          </cell>
          <cell r="J184">
            <v>267.60120751771859</v>
          </cell>
          <cell r="K184">
            <v>288.93929978618252</v>
          </cell>
          <cell r="L184">
            <v>300.12525598246128</v>
          </cell>
          <cell r="M184">
            <v>321.57217809712927</v>
          </cell>
          <cell r="N184">
            <v>340.342604863529</v>
          </cell>
          <cell r="O184">
            <v>339.22608496313018</v>
          </cell>
          <cell r="P184">
            <v>358.45975176093935</v>
          </cell>
          <cell r="Q184">
            <v>367.20026953845166</v>
          </cell>
          <cell r="R184">
            <v>383.96915721812775</v>
          </cell>
          <cell r="S184">
            <v>399.34249275033619</v>
          </cell>
          <cell r="T184">
            <v>404.47177859479405</v>
          </cell>
          <cell r="U184">
            <v>419.21844964842603</v>
          </cell>
          <cell r="V184">
            <v>385.99789245059407</v>
          </cell>
          <cell r="W184">
            <v>347.2337425684297</v>
          </cell>
          <cell r="X184">
            <v>332.78778795871824</v>
          </cell>
          <cell r="Y184">
            <v>334.24489579602107</v>
          </cell>
          <cell r="Z184">
            <v>329.47330576380773</v>
          </cell>
          <cell r="AA184">
            <v>303.6258039881717</v>
          </cell>
          <cell r="AB184">
            <v>303.76497147660035</v>
          </cell>
          <cell r="AC184">
            <v>320.96853335872061</v>
          </cell>
          <cell r="AD184">
            <v>314.3667136051256</v>
          </cell>
          <cell r="AE184">
            <v>334.11754411292213</v>
          </cell>
        </row>
        <row r="185">
          <cell r="B185" t="str">
            <v>LKA</v>
          </cell>
          <cell r="D185">
            <v>24.603970016203217</v>
          </cell>
          <cell r="E185">
            <v>23.874524308953159</v>
          </cell>
          <cell r="F185">
            <v>24.969984030826961</v>
          </cell>
          <cell r="G185">
            <v>25.232754131988919</v>
          </cell>
          <cell r="H185">
            <v>26.57288495096196</v>
          </cell>
          <cell r="I185">
            <v>26.349977792267765</v>
          </cell>
          <cell r="J185">
            <v>27.139486476002617</v>
          </cell>
          <cell r="K185">
            <v>27.130556005288078</v>
          </cell>
          <cell r="L185">
            <v>26.764818695761718</v>
          </cell>
          <cell r="M185">
            <v>28.490520303747481</v>
          </cell>
          <cell r="N185">
            <v>29.531032653029364</v>
          </cell>
          <cell r="O185">
            <v>30.190801095542621</v>
          </cell>
          <cell r="P185">
            <v>31.037719778950304</v>
          </cell>
          <cell r="Q185">
            <v>32.645404550264026</v>
          </cell>
          <cell r="R185">
            <v>31.932036149959742</v>
          </cell>
          <cell r="S185">
            <v>34.611432359669521</v>
          </cell>
          <cell r="T185">
            <v>30.573139058161118</v>
          </cell>
          <cell r="U185">
            <v>31.259624447594181</v>
          </cell>
          <cell r="V185">
            <v>32.478253940892451</v>
          </cell>
          <cell r="W185">
            <v>31.234303433500749</v>
          </cell>
          <cell r="X185">
            <v>33.076183116970654</v>
          </cell>
          <cell r="Y185">
            <v>36.227148457713561</v>
          </cell>
          <cell r="Z185">
            <v>37.140416380079564</v>
          </cell>
          <cell r="AA185">
            <v>34.952943505162466</v>
          </cell>
          <cell r="AB185">
            <v>36.838301602888706</v>
          </cell>
          <cell r="AC185">
            <v>40.772588460594136</v>
          </cell>
          <cell r="AD185">
            <v>42.353054278592815</v>
          </cell>
          <cell r="AE185">
            <v>41.54340789225774</v>
          </cell>
        </row>
        <row r="186">
          <cell r="B186" t="str">
            <v>SHN</v>
          </cell>
          <cell r="D186">
            <v>4.4545921018334178E-3</v>
          </cell>
          <cell r="E186">
            <v>3.822939267249957E-3</v>
          </cell>
          <cell r="F186">
            <v>3.8222306356545019E-3</v>
          </cell>
          <cell r="G186">
            <v>3.8714587375251823E-3</v>
          </cell>
          <cell r="H186">
            <v>3.204501091629518E-3</v>
          </cell>
          <cell r="I186">
            <v>3.1941940653452019E-3</v>
          </cell>
          <cell r="J186">
            <v>3.0099053773631891E-3</v>
          </cell>
          <cell r="K186">
            <v>2.985268770318811E-3</v>
          </cell>
          <cell r="L186">
            <v>2.9802305663412169E-3</v>
          </cell>
          <cell r="M186">
            <v>2.9890235471703216E-3</v>
          </cell>
          <cell r="N186">
            <v>3.2608229950076358E-3</v>
          </cell>
          <cell r="O186">
            <v>2.8671917397362192E-3</v>
          </cell>
          <cell r="P186">
            <v>2.8779734991524033E-3</v>
          </cell>
          <cell r="Q186">
            <v>2.8988621603996362E-3</v>
          </cell>
          <cell r="R186">
            <v>3.093382543064363E-3</v>
          </cell>
          <cell r="S186">
            <v>3.1358335994614334E-3</v>
          </cell>
          <cell r="T186">
            <v>2.8937418589825006E-3</v>
          </cell>
          <cell r="U186">
            <v>2.9953895122003787E-3</v>
          </cell>
          <cell r="V186">
            <v>3.1950173485184551E-3</v>
          </cell>
          <cell r="W186">
            <v>3.1882467188290606E-3</v>
          </cell>
          <cell r="X186">
            <v>3.2206016407785839E-3</v>
          </cell>
          <cell r="Y186">
            <v>3.211552487229573E-3</v>
          </cell>
          <cell r="Z186">
            <v>3.1985311169646525E-3</v>
          </cell>
          <cell r="AA186">
            <v>3.2089516190982664E-3</v>
          </cell>
          <cell r="AB186">
            <v>3.2200767945699755E-3</v>
          </cell>
          <cell r="AC186">
            <v>3.2075983667936136E-3</v>
          </cell>
          <cell r="AD186">
            <v>3.1923234129138285E-3</v>
          </cell>
          <cell r="AE186">
            <v>3.1783713312343049E-3</v>
          </cell>
        </row>
        <row r="187">
          <cell r="B187" t="str">
            <v>KNA</v>
          </cell>
          <cell r="D187">
            <v>3.1830047213306067E-2</v>
          </cell>
          <cell r="E187">
            <v>4.5247581451544588E-2</v>
          </cell>
          <cell r="F187">
            <v>4.6971824801820786E-2</v>
          </cell>
          <cell r="G187">
            <v>4.3492623837069588E-2</v>
          </cell>
          <cell r="H187">
            <v>4.3174932453728804E-2</v>
          </cell>
          <cell r="I187">
            <v>4.2804135227712994E-2</v>
          </cell>
          <cell r="J187">
            <v>4.4677986406551698E-2</v>
          </cell>
          <cell r="K187">
            <v>4.5292102237951798E-2</v>
          </cell>
          <cell r="L187">
            <v>4.461939519531849E-2</v>
          </cell>
          <cell r="M187">
            <v>4.6252042718258599E-2</v>
          </cell>
          <cell r="N187">
            <v>4.7049098488284383E-2</v>
          </cell>
          <cell r="O187">
            <v>5.8678425712975497E-2</v>
          </cell>
          <cell r="P187">
            <v>5.8760030603810014E-2</v>
          </cell>
          <cell r="Q187">
            <v>9.3534716030073795E-2</v>
          </cell>
          <cell r="R187">
            <v>9.762857215045409E-2</v>
          </cell>
          <cell r="S187">
            <v>8.6494946347320301E-2</v>
          </cell>
          <cell r="T187">
            <v>0.23799974012606179</v>
          </cell>
          <cell r="U187">
            <v>0.27439122464140853</v>
          </cell>
          <cell r="V187">
            <v>0.28074744109254779</v>
          </cell>
          <cell r="W187">
            <v>0.2833614709092227</v>
          </cell>
          <cell r="X187">
            <v>0.29281247300806246</v>
          </cell>
          <cell r="Y187">
            <v>0.18420735495187646</v>
          </cell>
          <cell r="Z187">
            <v>0.31364205668792983</v>
          </cell>
          <cell r="AA187">
            <v>0.31987077772813344</v>
          </cell>
          <cell r="AB187">
            <v>0.29472708267875181</v>
          </cell>
          <cell r="AC187">
            <v>0.30605792909849738</v>
          </cell>
          <cell r="AD187">
            <v>0.31232519254790253</v>
          </cell>
          <cell r="AE187">
            <v>0.31875124250715131</v>
          </cell>
        </row>
        <row r="188">
          <cell r="B188" t="str">
            <v>LCA</v>
          </cell>
          <cell r="D188">
            <v>0.1209210808765642</v>
          </cell>
          <cell r="E188">
            <v>0.13372205966722861</v>
          </cell>
          <cell r="F188">
            <v>0.17530648960814099</v>
          </cell>
          <cell r="G188">
            <v>0.13164205872767698</v>
          </cell>
          <cell r="H188">
            <v>0.18462204043903582</v>
          </cell>
          <cell r="I188">
            <v>0.19952020218574179</v>
          </cell>
          <cell r="J188">
            <v>0.21723480638068721</v>
          </cell>
          <cell r="K188">
            <v>0.22000881508477321</v>
          </cell>
          <cell r="L188">
            <v>0.15716576435168261</v>
          </cell>
          <cell r="M188">
            <v>0.16253979798392981</v>
          </cell>
          <cell r="N188">
            <v>0.2261808603722632</v>
          </cell>
          <cell r="O188">
            <v>0.24853949600107481</v>
          </cell>
          <cell r="P188">
            <v>0.23947199101631486</v>
          </cell>
          <cell r="Q188">
            <v>0.27444871969907964</v>
          </cell>
          <cell r="R188">
            <v>0.24656723282367451</v>
          </cell>
          <cell r="S188">
            <v>0.22760042967832872</v>
          </cell>
          <cell r="T188">
            <v>0.46002607951260877</v>
          </cell>
          <cell r="U188">
            <v>0.49760970123146642</v>
          </cell>
          <cell r="V188">
            <v>0.49903245902307131</v>
          </cell>
          <cell r="W188">
            <v>0.50694954392392255</v>
          </cell>
          <cell r="X188">
            <v>0.51928806415158713</v>
          </cell>
          <cell r="Y188">
            <v>0.33569341456047164</v>
          </cell>
          <cell r="Z188">
            <v>0.53022618238988661</v>
          </cell>
          <cell r="AA188">
            <v>0.54319291524882263</v>
          </cell>
          <cell r="AB188">
            <v>0.52010646936341864</v>
          </cell>
          <cell r="AC188">
            <v>0.52815568082773501</v>
          </cell>
          <cell r="AD188">
            <v>0.5249710853353633</v>
          </cell>
          <cell r="AE188">
            <v>0.52671529026705355</v>
          </cell>
        </row>
        <row r="189">
          <cell r="B189" t="str">
            <v>SPM</v>
          </cell>
          <cell r="D189">
            <v>0.15216750619658492</v>
          </cell>
          <cell r="E189">
            <v>0.12242937151497987</v>
          </cell>
          <cell r="F189">
            <v>0.1231229103405977</v>
          </cell>
          <cell r="G189">
            <v>7.9727309241516414E-2</v>
          </cell>
          <cell r="H189">
            <v>7.8887067356972693E-2</v>
          </cell>
          <cell r="I189">
            <v>4.1292340752441342E-2</v>
          </cell>
          <cell r="J189">
            <v>4.1656081956115219E-2</v>
          </cell>
          <cell r="K189">
            <v>3.3826140449690165E-2</v>
          </cell>
          <cell r="L189">
            <v>3.8018334232735047E-2</v>
          </cell>
          <cell r="M189">
            <v>3.959581028530431E-2</v>
          </cell>
          <cell r="N189">
            <v>3.9293612884396416E-2</v>
          </cell>
          <cell r="O189">
            <v>4.3848376190657706E-2</v>
          </cell>
          <cell r="P189">
            <v>4.3595403271275528E-2</v>
          </cell>
          <cell r="Q189">
            <v>4.3552751727540411E-2</v>
          </cell>
          <cell r="R189">
            <v>4.4582815193727109E-2</v>
          </cell>
          <cell r="S189">
            <v>4.0391987198710316E-2</v>
          </cell>
          <cell r="T189">
            <v>3.6143621000214156E-2</v>
          </cell>
          <cell r="U189">
            <v>3.7130599383012004E-2</v>
          </cell>
          <cell r="V189">
            <v>3.7703996763171689E-2</v>
          </cell>
          <cell r="W189">
            <v>3.9282983988026286E-2</v>
          </cell>
          <cell r="X189">
            <v>4.1389135176497047E-2</v>
          </cell>
          <cell r="Y189">
            <v>4.162350413974851E-2</v>
          </cell>
          <cell r="Z189">
            <v>7.3840107189213147E-2</v>
          </cell>
          <cell r="AA189">
            <v>7.5627618362132623E-2</v>
          </cell>
          <cell r="AB189">
            <v>8.9913466000758779E-2</v>
          </cell>
          <cell r="AC189">
            <v>8.8528196417370364E-2</v>
          </cell>
          <cell r="AD189">
            <v>8.8529454832617829E-2</v>
          </cell>
          <cell r="AE189">
            <v>8.853423892779555E-2</v>
          </cell>
        </row>
        <row r="190">
          <cell r="B190" t="str">
            <v>VCT</v>
          </cell>
          <cell r="D190">
            <v>-1.0946379654375879E-2</v>
          </cell>
          <cell r="E190">
            <v>-9.3635107747020024E-3</v>
          </cell>
          <cell r="F190">
            <v>-8.6545153322861862E-3</v>
          </cell>
          <cell r="G190">
            <v>-1.0510386492968413E-2</v>
          </cell>
          <cell r="H190">
            <v>2.8153606735812631E-2</v>
          </cell>
          <cell r="I190">
            <v>2.8253215871770182E-2</v>
          </cell>
          <cell r="J190">
            <v>2.9434163062680402E-2</v>
          </cell>
          <cell r="K190">
            <v>2.5993868636697393E-2</v>
          </cell>
          <cell r="L190">
            <v>2.6785547588342867E-2</v>
          </cell>
          <cell r="M190">
            <v>3.0545553720514401E-2</v>
          </cell>
          <cell r="N190">
            <v>2.77398629175096E-2</v>
          </cell>
          <cell r="O190">
            <v>8.6297077480287088E-2</v>
          </cell>
          <cell r="P190">
            <v>0.1199736189466146</v>
          </cell>
          <cell r="Q190">
            <v>0.11867640005704258</v>
          </cell>
          <cell r="R190">
            <v>0.12330253732683708</v>
          </cell>
          <cell r="S190">
            <v>0.10984827955036983</v>
          </cell>
          <cell r="T190">
            <v>0.33887671307683354</v>
          </cell>
          <cell r="U190">
            <v>0.34383994829204689</v>
          </cell>
          <cell r="V190">
            <v>0.34783568031440854</v>
          </cell>
          <cell r="W190">
            <v>0.34906199908168656</v>
          </cell>
          <cell r="X190">
            <v>0.35586901346115651</v>
          </cell>
          <cell r="Y190">
            <v>0.19095756318367296</v>
          </cell>
          <cell r="Z190">
            <v>0.28731421567712495</v>
          </cell>
          <cell r="AA190">
            <v>0.29130254091554109</v>
          </cell>
          <cell r="AB190">
            <v>0.27224255657407997</v>
          </cell>
          <cell r="AC190">
            <v>0.2779324975101462</v>
          </cell>
          <cell r="AD190">
            <v>0.27956536129878001</v>
          </cell>
          <cell r="AE190">
            <v>0.28007859817202235</v>
          </cell>
        </row>
        <row r="191">
          <cell r="B191" t="str">
            <v>SDN</v>
          </cell>
          <cell r="D191">
            <v>253.68990022216047</v>
          </cell>
          <cell r="E191">
            <v>254.63711075953097</v>
          </cell>
          <cell r="F191">
            <v>259.82800395373738</v>
          </cell>
          <cell r="G191">
            <v>262.88495508011783</v>
          </cell>
          <cell r="H191">
            <v>269.09399263585539</v>
          </cell>
          <cell r="I191">
            <v>269.6579903902736</v>
          </cell>
          <cell r="J191">
            <v>271.98464336418954</v>
          </cell>
          <cell r="K191">
            <v>285.52736438448596</v>
          </cell>
          <cell r="L191">
            <v>303.37109881478716</v>
          </cell>
          <cell r="M191">
            <v>300.32922714864759</v>
          </cell>
          <cell r="N191">
            <v>302.84211774811098</v>
          </cell>
          <cell r="O191">
            <v>372.31357206923838</v>
          </cell>
          <cell r="P191">
            <v>432.08716206958627</v>
          </cell>
          <cell r="Q191">
            <v>353.27108282346626</v>
          </cell>
          <cell r="R191">
            <v>397.34956978704861</v>
          </cell>
          <cell r="S191">
            <v>377.74992159788422</v>
          </cell>
          <cell r="T191">
            <v>296.18284372851735</v>
          </cell>
          <cell r="U191">
            <v>274.83507945416699</v>
          </cell>
          <cell r="V191">
            <v>310.75812081245465</v>
          </cell>
          <cell r="W191">
            <v>394.65460732228098</v>
          </cell>
          <cell r="X191">
            <v>314.6476304136832</v>
          </cell>
          <cell r="Y191">
            <v>369.3437999949914</v>
          </cell>
          <cell r="Z191">
            <v>370.89088804588596</v>
          </cell>
          <cell r="AA191">
            <v>292.8083901877153</v>
          </cell>
          <cell r="AB191">
            <v>245.67411920235617</v>
          </cell>
          <cell r="AC191">
            <v>251.30712194323479</v>
          </cell>
          <cell r="AD191">
            <v>255.83506319867496</v>
          </cell>
          <cell r="AE191">
            <v>258.70631696077669</v>
          </cell>
        </row>
        <row r="192">
          <cell r="B192" t="str">
            <v>SUR</v>
          </cell>
          <cell r="D192">
            <v>6.6538243601705327</v>
          </cell>
          <cell r="E192">
            <v>6.7163242770192353</v>
          </cell>
          <cell r="F192">
            <v>6.7868268812230728</v>
          </cell>
          <cell r="G192">
            <v>6.6049960836432051</v>
          </cell>
          <cell r="H192">
            <v>6.5243159210458792</v>
          </cell>
          <cell r="I192">
            <v>6.6168674070855289</v>
          </cell>
          <cell r="J192">
            <v>6.482475952750395</v>
          </cell>
          <cell r="K192">
            <v>6.5623566437655541</v>
          </cell>
          <cell r="L192">
            <v>6.9751237261544858</v>
          </cell>
          <cell r="M192">
            <v>5.8727446593390713</v>
          </cell>
          <cell r="N192">
            <v>6.2598058387394442</v>
          </cell>
          <cell r="O192">
            <v>6.1763124336684889</v>
          </cell>
          <cell r="P192">
            <v>5.8063522305447437</v>
          </cell>
          <cell r="Q192">
            <v>7.7786582577144019</v>
          </cell>
          <cell r="R192">
            <v>7.0577300919120836</v>
          </cell>
          <cell r="S192">
            <v>6.583333725695736</v>
          </cell>
          <cell r="T192">
            <v>6.763692095973223</v>
          </cell>
          <cell r="U192">
            <v>6.332566288315058</v>
          </cell>
          <cell r="V192">
            <v>6.8675046078281339</v>
          </cell>
          <cell r="W192">
            <v>7.8312824628700231</v>
          </cell>
          <cell r="X192">
            <v>6.4069458346514185</v>
          </cell>
          <cell r="Y192">
            <v>6.5098606664404475</v>
          </cell>
          <cell r="Z192">
            <v>8.2133734402257463</v>
          </cell>
          <cell r="AA192">
            <v>7.7251631714614657</v>
          </cell>
          <cell r="AB192">
            <v>7.6152248553889113</v>
          </cell>
          <cell r="AC192">
            <v>7.6493560557294558</v>
          </cell>
          <cell r="AD192">
            <v>7.7685799180447148</v>
          </cell>
          <cell r="AE192">
            <v>7.7566515671071894</v>
          </cell>
        </row>
        <row r="193">
          <cell r="B193" t="str">
            <v>SWZ</v>
          </cell>
          <cell r="D193">
            <v>2.7507885905756377</v>
          </cell>
          <cell r="E193">
            <v>2.8927645166933651</v>
          </cell>
          <cell r="F193">
            <v>2.8173893813235993</v>
          </cell>
          <cell r="G193">
            <v>2.5402716806207128</v>
          </cell>
          <cell r="H193">
            <v>2.7110715434232291</v>
          </cell>
          <cell r="I193">
            <v>2.7253789163689932</v>
          </cell>
          <cell r="J193">
            <v>2.8125825109823639</v>
          </cell>
          <cell r="K193">
            <v>3.0700098455716667</v>
          </cell>
          <cell r="L193">
            <v>3.055891782013032</v>
          </cell>
          <cell r="M193">
            <v>3.1410282692934723</v>
          </cell>
          <cell r="N193">
            <v>3.7347957548113073</v>
          </cell>
          <cell r="O193">
            <v>3.651235231259979</v>
          </cell>
          <cell r="P193">
            <v>3.576068696652726</v>
          </cell>
          <cell r="Q193">
            <v>3.5153159946744479</v>
          </cell>
          <cell r="R193">
            <v>3.6076458186593503</v>
          </cell>
          <cell r="S193">
            <v>3.8046318874171861</v>
          </cell>
          <cell r="T193">
            <v>3.8199794726741105</v>
          </cell>
          <cell r="U193">
            <v>4.5170622720050178</v>
          </cell>
          <cell r="V193">
            <v>4.5296874145967037</v>
          </cell>
          <cell r="W193">
            <v>4.1096134947056457</v>
          </cell>
          <cell r="X193">
            <v>4.0821551122268751</v>
          </cell>
          <cell r="Y193">
            <v>3.7214287830957877</v>
          </cell>
          <cell r="Z193">
            <v>3.819489497658537</v>
          </cell>
          <cell r="AA193">
            <v>3.2646222361677624</v>
          </cell>
          <cell r="AB193">
            <v>3.1649193999080301</v>
          </cell>
          <cell r="AC193">
            <v>3.1231304661658803</v>
          </cell>
          <cell r="AD193">
            <v>3.1497569225045647</v>
          </cell>
          <cell r="AE193">
            <v>3.2252334478277374</v>
          </cell>
        </row>
        <row r="194">
          <cell r="B194" t="str">
            <v>SWE</v>
          </cell>
          <cell r="D194">
            <v>59.229534426637223</v>
          </cell>
          <cell r="E194">
            <v>61.477979432448798</v>
          </cell>
          <cell r="F194">
            <v>61.86517639611467</v>
          </cell>
          <cell r="G194">
            <v>61.968849195612755</v>
          </cell>
          <cell r="H194">
            <v>64.402136598861176</v>
          </cell>
          <cell r="I194">
            <v>64.17989167362839</v>
          </cell>
          <cell r="J194">
            <v>69.79069800698035</v>
          </cell>
          <cell r="K194">
            <v>63.94802441207851</v>
          </cell>
          <cell r="L194">
            <v>64.933449114469028</v>
          </cell>
          <cell r="M194">
            <v>63.313627791892458</v>
          </cell>
          <cell r="N194">
            <v>59.970941287204255</v>
          </cell>
          <cell r="O194">
            <v>28.142528231965045</v>
          </cell>
          <cell r="P194">
            <v>29.64518206314591</v>
          </cell>
          <cell r="Q194">
            <v>30.447743449366428</v>
          </cell>
          <cell r="R194">
            <v>29.198185962291987</v>
          </cell>
          <cell r="S194">
            <v>32.758204290369989</v>
          </cell>
          <cell r="T194">
            <v>80.30978726994536</v>
          </cell>
          <cell r="U194">
            <v>77.422014137599007</v>
          </cell>
          <cell r="V194">
            <v>67.555610602576564</v>
          </cell>
          <cell r="W194">
            <v>62.795197068653529</v>
          </cell>
          <cell r="X194">
            <v>69.441521895714573</v>
          </cell>
          <cell r="Y194">
            <v>64.718460910172055</v>
          </cell>
          <cell r="Z194">
            <v>61.348361431776603</v>
          </cell>
          <cell r="AA194">
            <v>59.465722746338585</v>
          </cell>
          <cell r="AB194">
            <v>65.111797749301616</v>
          </cell>
          <cell r="AC194">
            <v>65.196917571515385</v>
          </cell>
          <cell r="AD194">
            <v>67.098584897918542</v>
          </cell>
          <cell r="AE194">
            <v>66.815492715054916</v>
          </cell>
        </row>
        <row r="195">
          <cell r="B195" t="str">
            <v>CHE</v>
          </cell>
          <cell r="D195">
            <v>52.912456589977417</v>
          </cell>
          <cell r="E195">
            <v>55.098039941054154</v>
          </cell>
          <cell r="F195">
            <v>54.738674948785693</v>
          </cell>
          <cell r="G195">
            <v>52.065415351515014</v>
          </cell>
          <cell r="H195">
            <v>51.006567688905946</v>
          </cell>
          <cell r="I195">
            <v>51.81632133300775</v>
          </cell>
          <cell r="J195">
            <v>52.3638806655702</v>
          </cell>
          <cell r="K195">
            <v>50.891844713045238</v>
          </cell>
          <cell r="L195">
            <v>52.460571398454903</v>
          </cell>
          <cell r="M195">
            <v>52.739664816949762</v>
          </cell>
          <cell r="N195">
            <v>52.070746320601735</v>
          </cell>
          <cell r="O195">
            <v>54.12989029681367</v>
          </cell>
          <cell r="P195">
            <v>52.699528836219457</v>
          </cell>
          <cell r="Q195">
            <v>54.05917099836752</v>
          </cell>
          <cell r="R195">
            <v>54.968365366321017</v>
          </cell>
          <cell r="S195">
            <v>55.925057881850847</v>
          </cell>
          <cell r="T195">
            <v>55.12807444371704</v>
          </cell>
          <cell r="U195">
            <v>56.495652813697291</v>
          </cell>
          <cell r="V195">
            <v>58.880267925305738</v>
          </cell>
          <cell r="W195">
            <v>57.914829605377903</v>
          </cell>
          <cell r="X195">
            <v>59.38186437067592</v>
          </cell>
          <cell r="Y195">
            <v>56.677757019324972</v>
          </cell>
          <cell r="Z195">
            <v>57.757651702545331</v>
          </cell>
          <cell r="AA195">
            <v>58.469885452837708</v>
          </cell>
          <cell r="AB195">
            <v>54.401966408398636</v>
          </cell>
          <cell r="AC195">
            <v>53.389569438864818</v>
          </cell>
          <cell r="AD195">
            <v>52.029238079297997</v>
          </cell>
          <cell r="AE195">
            <v>52.656530523981097</v>
          </cell>
        </row>
        <row r="196">
          <cell r="B196" t="str">
            <v>SYR</v>
          </cell>
          <cell r="D196">
            <v>59.402225538556131</v>
          </cell>
          <cell r="E196">
            <v>66.364079169394287</v>
          </cell>
          <cell r="F196">
            <v>69.795668504081192</v>
          </cell>
          <cell r="G196">
            <v>74.291603205100586</v>
          </cell>
          <cell r="H196">
            <v>75.44034552627619</v>
          </cell>
          <cell r="I196">
            <v>75.223438361417976</v>
          </cell>
          <cell r="J196">
            <v>76.604432987366735</v>
          </cell>
          <cell r="K196">
            <v>74.246869660019158</v>
          </cell>
          <cell r="L196">
            <v>75.451273510313811</v>
          </cell>
          <cell r="M196">
            <v>72.976222467797001</v>
          </cell>
          <cell r="N196">
            <v>72.456633935384374</v>
          </cell>
          <cell r="O196">
            <v>68.53557971360361</v>
          </cell>
          <cell r="P196">
            <v>66.73999510966901</v>
          </cell>
          <cell r="Q196">
            <v>67.113280819184652</v>
          </cell>
          <cell r="R196">
            <v>68.970978927755013</v>
          </cell>
          <cell r="S196">
            <v>80.2947154705858</v>
          </cell>
          <cell r="T196">
            <v>82.109371811854459</v>
          </cell>
          <cell r="U196">
            <v>85.510868925623996</v>
          </cell>
          <cell r="V196">
            <v>85.76615696363163</v>
          </cell>
          <cell r="W196">
            <v>82.403207828943195</v>
          </cell>
          <cell r="X196">
            <v>82.328404328276207</v>
          </cell>
          <cell r="Y196">
            <v>77.763949598110401</v>
          </cell>
          <cell r="Z196">
            <v>64.558046856538496</v>
          </cell>
          <cell r="AA196">
            <v>49.685704698543809</v>
          </cell>
          <cell r="AB196">
            <v>46.036475550727609</v>
          </cell>
          <cell r="AC196">
            <v>45.056559800876492</v>
          </cell>
          <cell r="AD196">
            <v>43.213130978266747</v>
          </cell>
          <cell r="AE196">
            <v>47.082816193815979</v>
          </cell>
        </row>
        <row r="197">
          <cell r="B197" t="str">
            <v>TWN</v>
          </cell>
          <cell r="D197">
            <v>141.44230626785381</v>
          </cell>
          <cell r="E197">
            <v>150.79508646914999</v>
          </cell>
          <cell r="F197">
            <v>158.87214381849677</v>
          </cell>
          <cell r="G197">
            <v>168.67684935870216</v>
          </cell>
          <cell r="H197">
            <v>177.36175293986514</v>
          </cell>
          <cell r="I197">
            <v>186.65482110071952</v>
          </cell>
          <cell r="J197">
            <v>196.43530524907001</v>
          </cell>
          <cell r="K197">
            <v>211.22454817788071</v>
          </cell>
          <cell r="L197">
            <v>221.28432737157272</v>
          </cell>
          <cell r="M197">
            <v>230.6695707600484</v>
          </cell>
          <cell r="N197">
            <v>251.6674995388679</v>
          </cell>
          <cell r="O197">
            <v>255.95249723811045</v>
          </cell>
          <cell r="P197">
            <v>265.60069042214616</v>
          </cell>
          <cell r="Q197">
            <v>275.97526699155299</v>
          </cell>
          <cell r="R197">
            <v>285.10417577028329</v>
          </cell>
          <cell r="S197">
            <v>291.64153000347414</v>
          </cell>
          <cell r="T197">
            <v>299.84331508810499</v>
          </cell>
          <cell r="U197">
            <v>303.60348266301611</v>
          </cell>
          <cell r="V197">
            <v>292.13536927770468</v>
          </cell>
          <cell r="W197">
            <v>276.34621260605184</v>
          </cell>
          <cell r="X197">
            <v>293.82974813588271</v>
          </cell>
          <cell r="Y197">
            <v>293.18191396665583</v>
          </cell>
          <cell r="Z197">
            <v>284.61471013379128</v>
          </cell>
          <cell r="AA197">
            <v>285.65012955591499</v>
          </cell>
          <cell r="AB197">
            <v>286.63896219474117</v>
          </cell>
          <cell r="AC197">
            <v>287.77865991303935</v>
          </cell>
          <cell r="AD197">
            <v>291.90281493376392</v>
          </cell>
          <cell r="AE197">
            <v>301.03943987699881</v>
          </cell>
        </row>
        <row r="198">
          <cell r="B198" t="str">
            <v>TJK</v>
          </cell>
          <cell r="D198">
            <v>21.199685450195574</v>
          </cell>
          <cell r="E198">
            <v>22.315344975919071</v>
          </cell>
          <cell r="F198">
            <v>19.008127022970591</v>
          </cell>
          <cell r="G198">
            <v>13.792895472705379</v>
          </cell>
          <cell r="H198">
            <v>11.229640788050954</v>
          </cell>
          <cell r="I198">
            <v>10.208024473713349</v>
          </cell>
          <cell r="J198">
            <v>9.0294669102289866</v>
          </cell>
          <cell r="K198">
            <v>9.1286194263486458</v>
          </cell>
          <cell r="L198">
            <v>8.8336148326966555</v>
          </cell>
          <cell r="M198">
            <v>8.4538930775202914</v>
          </cell>
          <cell r="N198">
            <v>8.1397571792944792</v>
          </cell>
          <cell r="O198">
            <v>7.7569658909508572</v>
          </cell>
          <cell r="P198">
            <v>7.7333439434874638</v>
          </cell>
          <cell r="Q198">
            <v>7.9979667499981879</v>
          </cell>
          <cell r="R198">
            <v>8.8587394419160326</v>
          </cell>
          <cell r="S198">
            <v>9.0343404479300418</v>
          </cell>
          <cell r="T198">
            <v>9.5995602406067793</v>
          </cell>
          <cell r="U198">
            <v>10.396460956064024</v>
          </cell>
          <cell r="V198">
            <v>10.75343284602967</v>
          </cell>
          <cell r="W198">
            <v>10.436350708154942</v>
          </cell>
          <cell r="X198">
            <v>10.564015494860483</v>
          </cell>
          <cell r="Y198">
            <v>10.777085343203765</v>
          </cell>
          <cell r="Z198">
            <v>11.821287944525096</v>
          </cell>
          <cell r="AA198">
            <v>11.615480815328315</v>
          </cell>
          <cell r="AB198">
            <v>13.468433339940091</v>
          </cell>
          <cell r="AC198">
            <v>14.260366683285763</v>
          </cell>
          <cell r="AD198">
            <v>14.718908290544043</v>
          </cell>
          <cell r="AE198">
            <v>15.327725683213659</v>
          </cell>
        </row>
        <row r="199">
          <cell r="B199" t="str">
            <v>TZA</v>
          </cell>
          <cell r="D199">
            <v>274.97473083390236</v>
          </cell>
          <cell r="E199">
            <v>275.50621841199234</v>
          </cell>
          <cell r="F199">
            <v>275.54960044083919</v>
          </cell>
          <cell r="G199">
            <v>276.315097433598</v>
          </cell>
          <cell r="H199">
            <v>276.68953575169917</v>
          </cell>
          <cell r="I199">
            <v>280.62157472109476</v>
          </cell>
          <cell r="J199">
            <v>292.12549950489358</v>
          </cell>
          <cell r="K199">
            <v>277.7704037972008</v>
          </cell>
          <cell r="L199">
            <v>294.88708771029621</v>
          </cell>
          <cell r="M199">
            <v>290.81029841881991</v>
          </cell>
          <cell r="N199">
            <v>266.87988426287734</v>
          </cell>
          <cell r="O199">
            <v>295.97378881228633</v>
          </cell>
          <cell r="P199">
            <v>274.82550689288871</v>
          </cell>
          <cell r="Q199">
            <v>301.51797846433419</v>
          </cell>
          <cell r="R199">
            <v>299.32194515125599</v>
          </cell>
          <cell r="S199">
            <v>316.62673417627991</v>
          </cell>
          <cell r="T199">
            <v>285.17379406266372</v>
          </cell>
          <cell r="U199">
            <v>300.98560438068478</v>
          </cell>
          <cell r="V199">
            <v>301.93701819746781</v>
          </cell>
          <cell r="W199">
            <v>295.186900503863</v>
          </cell>
          <cell r="X199">
            <v>299.38619401669837</v>
          </cell>
          <cell r="Y199">
            <v>288.32138060668058</v>
          </cell>
          <cell r="Z199">
            <v>288.62926330010703</v>
          </cell>
          <cell r="AA199">
            <v>284.77128771316592</v>
          </cell>
          <cell r="AB199">
            <v>285.54709905218954</v>
          </cell>
          <cell r="AC199">
            <v>290.31364695589497</v>
          </cell>
          <cell r="AD199">
            <v>292.86046114125276</v>
          </cell>
          <cell r="AE199">
            <v>295.73226885529186</v>
          </cell>
        </row>
        <row r="200">
          <cell r="B200" t="str">
            <v>THA</v>
          </cell>
          <cell r="D200">
            <v>218.49757448819707</v>
          </cell>
          <cell r="E200">
            <v>232.8293370183799</v>
          </cell>
          <cell r="F200">
            <v>243.71856112610689</v>
          </cell>
          <cell r="G200">
            <v>254.84049065939337</v>
          </cell>
          <cell r="H200">
            <v>272.81576317397031</v>
          </cell>
          <cell r="I200">
            <v>288.5484472027847</v>
          </cell>
          <cell r="J200">
            <v>307.744097444126</v>
          </cell>
          <cell r="K200">
            <v>313.32870678124266</v>
          </cell>
          <cell r="L200">
            <v>288.93691181542067</v>
          </cell>
          <cell r="M200">
            <v>297.17158603135113</v>
          </cell>
          <cell r="N200">
            <v>294.78275203138116</v>
          </cell>
          <cell r="O200">
            <v>297.30799375940342</v>
          </cell>
          <cell r="P200">
            <v>310.2293637650767</v>
          </cell>
          <cell r="Q200">
            <v>318.4293355121153</v>
          </cell>
          <cell r="R200">
            <v>343.13376730373938</v>
          </cell>
          <cell r="S200">
            <v>351.90825059988538</v>
          </cell>
          <cell r="T200">
            <v>350.16012053252649</v>
          </cell>
          <cell r="U200">
            <v>367.60334446036239</v>
          </cell>
          <cell r="V200">
            <v>371.32664084513402</v>
          </cell>
          <cell r="W200">
            <v>367.72035584698608</v>
          </cell>
          <cell r="X200">
            <v>390.42249677956681</v>
          </cell>
          <cell r="Y200">
            <v>399.70836731020427</v>
          </cell>
          <cell r="Z200">
            <v>424.06339243295901</v>
          </cell>
          <cell r="AA200">
            <v>431.54382478367774</v>
          </cell>
          <cell r="AB200">
            <v>420.91070411741248</v>
          </cell>
          <cell r="AC200">
            <v>416.29899623763959</v>
          </cell>
          <cell r="AD200">
            <v>415.68404330843811</v>
          </cell>
          <cell r="AE200">
            <v>418.83969277115528</v>
          </cell>
        </row>
        <row r="201">
          <cell r="B201" t="str">
            <v>TLS</v>
          </cell>
          <cell r="D201">
            <v>4.1124891128786958</v>
          </cell>
          <cell r="E201">
            <v>4.2014034866910821</v>
          </cell>
          <cell r="F201">
            <v>4.1835395937320818</v>
          </cell>
          <cell r="G201">
            <v>4.2082505609144469</v>
          </cell>
          <cell r="H201">
            <v>4.3520734279947577</v>
          </cell>
          <cell r="I201">
            <v>4.3897387207457523</v>
          </cell>
          <cell r="J201">
            <v>4.3178244294079429</v>
          </cell>
          <cell r="K201">
            <v>4.3099723813642461</v>
          </cell>
          <cell r="L201">
            <v>4.5535655160676001</v>
          </cell>
          <cell r="M201">
            <v>4.7736159856659786</v>
          </cell>
          <cell r="N201">
            <v>4.9924952466852996</v>
          </cell>
          <cell r="O201">
            <v>8.0413773154732162</v>
          </cell>
          <cell r="P201">
            <v>7.9954844844590287</v>
          </cell>
          <cell r="Q201">
            <v>8.1108598903703601</v>
          </cell>
          <cell r="R201">
            <v>8.9571648306921059</v>
          </cell>
          <cell r="S201">
            <v>8.4668538565380906</v>
          </cell>
          <cell r="T201">
            <v>9.3622088968009685</v>
          </cell>
          <cell r="U201">
            <v>9.8776065970496632</v>
          </cell>
          <cell r="V201">
            <v>9.7994366469490295</v>
          </cell>
          <cell r="W201">
            <v>9.9284939404499504</v>
          </cell>
          <cell r="X201">
            <v>9.7888553755854133</v>
          </cell>
          <cell r="Y201">
            <v>8.5312995102422793</v>
          </cell>
          <cell r="Z201">
            <v>8.7960976425377488</v>
          </cell>
          <cell r="AA201">
            <v>8.7348638958331684</v>
          </cell>
          <cell r="AB201">
            <v>8.4873132181881878</v>
          </cell>
          <cell r="AC201">
            <v>8.440846098195216</v>
          </cell>
          <cell r="AD201">
            <v>8.4548468238003931</v>
          </cell>
          <cell r="AE201">
            <v>8.5005967449528974</v>
          </cell>
        </row>
        <row r="202">
          <cell r="B202" t="str">
            <v>TGO</v>
          </cell>
          <cell r="D202">
            <v>10.692708685981579</v>
          </cell>
          <cell r="E202">
            <v>10.59782551029148</v>
          </cell>
          <cell r="F202">
            <v>10.33503278980252</v>
          </cell>
          <cell r="G202">
            <v>10.311273391857201</v>
          </cell>
          <cell r="H202">
            <v>10.784874844527021</v>
          </cell>
          <cell r="I202">
            <v>10.71569593163054</v>
          </cell>
          <cell r="J202">
            <v>11.386622115720673</v>
          </cell>
          <cell r="K202">
            <v>11.40661325551514</v>
          </cell>
          <cell r="L202">
            <v>12.188722770655442</v>
          </cell>
          <cell r="M202">
            <v>12.400263296418693</v>
          </cell>
          <cell r="N202">
            <v>12.231975769378753</v>
          </cell>
          <cell r="O202">
            <v>12.06323249623037</v>
          </cell>
          <cell r="P202">
            <v>12.219260388271961</v>
          </cell>
          <cell r="Q202">
            <v>12.601543098172302</v>
          </cell>
          <cell r="R202">
            <v>12.275147721098111</v>
          </cell>
          <cell r="S202">
            <v>13.16966189487405</v>
          </cell>
          <cell r="T202">
            <v>12.392494653746619</v>
          </cell>
          <cell r="U202">
            <v>12.351277320496951</v>
          </cell>
          <cell r="V202">
            <v>13.147757689908929</v>
          </cell>
          <cell r="W202">
            <v>14.337606570092092</v>
          </cell>
          <cell r="X202">
            <v>14.220840127086312</v>
          </cell>
          <cell r="Y202">
            <v>14.366078301493049</v>
          </cell>
          <cell r="Z202">
            <v>14.063384222013248</v>
          </cell>
          <cell r="AA202">
            <v>14.405535625456469</v>
          </cell>
          <cell r="AB202">
            <v>14.385793687850025</v>
          </cell>
          <cell r="AC202">
            <v>14.84980706657776</v>
          </cell>
          <cell r="AD202">
            <v>15.266281290235131</v>
          </cell>
          <cell r="AE202">
            <v>15.60527891059165</v>
          </cell>
        </row>
        <row r="203">
          <cell r="B203" t="str">
            <v>TKL</v>
          </cell>
          <cell r="D203">
            <v>2.2261903158000003E-4</v>
          </cell>
          <cell r="E203">
            <v>2.2244234956999995E-4</v>
          </cell>
          <cell r="F203">
            <v>2.1653011067000001E-4</v>
          </cell>
          <cell r="G203">
            <v>2.2384509380999999E-4</v>
          </cell>
          <cell r="H203">
            <v>2.1280697754999999E-4</v>
          </cell>
          <cell r="I203">
            <v>2.1457832279000002E-4</v>
          </cell>
          <cell r="J203">
            <v>2.1629058692999999E-4</v>
          </cell>
          <cell r="K203">
            <v>2.1716216851000003E-4</v>
          </cell>
          <cell r="L203">
            <v>2.1891040988999998E-4</v>
          </cell>
          <cell r="M203">
            <v>2.1903368725000001E-4</v>
          </cell>
          <cell r="N203">
            <v>2.1896847684999996E-4</v>
          </cell>
          <cell r="O203">
            <v>2.1930332308999997E-4</v>
          </cell>
          <cell r="P203">
            <v>2.1962460684999996E-4</v>
          </cell>
          <cell r="Q203">
            <v>2.1837630541000002E-4</v>
          </cell>
          <cell r="R203">
            <v>2.2764199090999999E-4</v>
          </cell>
          <cell r="S203">
            <v>2.2725440114999997E-4</v>
          </cell>
          <cell r="T203">
            <v>2.1750257127000001E-4</v>
          </cell>
          <cell r="U203">
            <v>2.1624888163000001E-4</v>
          </cell>
          <cell r="V203">
            <v>2.1917741328999997E-4</v>
          </cell>
          <cell r="W203">
            <v>2.1566007837E-4</v>
          </cell>
          <cell r="X203">
            <v>2.1752018495000002E-4</v>
          </cell>
          <cell r="Y203">
            <v>2.1485703534999999E-4</v>
          </cell>
          <cell r="Z203">
            <v>2.1660712817000001E-4</v>
          </cell>
          <cell r="AA203">
            <v>2.1697421455135551E-4</v>
          </cell>
          <cell r="AB203">
            <v>2.1751949036867386E-4</v>
          </cell>
          <cell r="AC203">
            <v>2.1794855449524462E-4</v>
          </cell>
          <cell r="AD203">
            <v>2.1837787689686834E-4</v>
          </cell>
          <cell r="AE203">
            <v>2.18807199298492E-4</v>
          </cell>
        </row>
        <row r="204">
          <cell r="B204" t="str">
            <v>TON</v>
          </cell>
          <cell r="D204">
            <v>0.14055454250772925</v>
          </cell>
          <cell r="E204">
            <v>0.13925173877563637</v>
          </cell>
          <cell r="F204">
            <v>0.14391656343390266</v>
          </cell>
          <cell r="G204">
            <v>0.13916594621984821</v>
          </cell>
          <cell r="H204">
            <v>0.18201325988636172</v>
          </cell>
          <cell r="I204">
            <v>0.18027305862784665</v>
          </cell>
          <cell r="J204">
            <v>0.1900659515002153</v>
          </cell>
          <cell r="K204">
            <v>0.18815127434243395</v>
          </cell>
          <cell r="L204">
            <v>0.19771904189970424</v>
          </cell>
          <cell r="M204">
            <v>0.19486064110404697</v>
          </cell>
          <cell r="N204">
            <v>0.20301835468693696</v>
          </cell>
          <cell r="O204">
            <v>0.20918761731133451</v>
          </cell>
          <cell r="P204">
            <v>0.19932288299273407</v>
          </cell>
          <cell r="Q204">
            <v>0.1953781165463383</v>
          </cell>
          <cell r="R204">
            <v>0.20800928333381474</v>
          </cell>
          <cell r="S204">
            <v>0.21114244200701898</v>
          </cell>
          <cell r="T204">
            <v>-0.30423481677459263</v>
          </cell>
          <cell r="U204">
            <v>-0.26018144675145005</v>
          </cell>
          <cell r="V204">
            <v>-0.24544394976360628</v>
          </cell>
          <cell r="W204">
            <v>-0.25031504777411789</v>
          </cell>
          <cell r="X204">
            <v>-0.23734869386619883</v>
          </cell>
          <cell r="Y204">
            <v>0.31513987628274232</v>
          </cell>
          <cell r="Z204">
            <v>0.41211719054289342</v>
          </cell>
          <cell r="AA204">
            <v>0.28221177065593223</v>
          </cell>
          <cell r="AB204">
            <v>0.20924794397554672</v>
          </cell>
          <cell r="AC204">
            <v>0.20896152560212006</v>
          </cell>
          <cell r="AD204">
            <v>0.22128507707588158</v>
          </cell>
          <cell r="AE204">
            <v>0.2298226214230753</v>
          </cell>
        </row>
        <row r="205">
          <cell r="B205" t="str">
            <v>TTO</v>
          </cell>
          <cell r="D205">
            <v>20.694626680679249</v>
          </cell>
          <cell r="E205">
            <v>21.379705814143836</v>
          </cell>
          <cell r="F205">
            <v>22.211840347843875</v>
          </cell>
          <cell r="G205">
            <v>20.721453465764359</v>
          </cell>
          <cell r="H205">
            <v>19.165475227609896</v>
          </cell>
          <cell r="I205">
            <v>17.869409476227201</v>
          </cell>
          <cell r="J205">
            <v>20.247425263604434</v>
          </cell>
          <cell r="K205">
            <v>20.157975896248509</v>
          </cell>
          <cell r="L205">
            <v>22.131570889914499</v>
          </cell>
          <cell r="M205">
            <v>24.025257765368039</v>
          </cell>
          <cell r="N205">
            <v>26.441903082419611</v>
          </cell>
          <cell r="O205">
            <v>29.254026403968041</v>
          </cell>
          <cell r="P205">
            <v>31.915208794808084</v>
          </cell>
          <cell r="Q205">
            <v>37.391800479446474</v>
          </cell>
          <cell r="R205">
            <v>40.562583046703224</v>
          </cell>
          <cell r="S205">
            <v>48.046970974407934</v>
          </cell>
          <cell r="T205">
            <v>53.308979241791263</v>
          </cell>
          <cell r="U205">
            <v>56.927890131776365</v>
          </cell>
          <cell r="V205">
            <v>56.076674386834306</v>
          </cell>
          <cell r="W205">
            <v>54.313438043604791</v>
          </cell>
          <cell r="X205">
            <v>58.305723224731508</v>
          </cell>
          <cell r="Y205">
            <v>56.59893526335167</v>
          </cell>
          <cell r="Z205">
            <v>54.13959124306232</v>
          </cell>
          <cell r="AA205">
            <v>55.615649016318208</v>
          </cell>
          <cell r="AB205">
            <v>55.904026519560531</v>
          </cell>
          <cell r="AC205">
            <v>55.028595478093493</v>
          </cell>
          <cell r="AD205">
            <v>52.599076163937042</v>
          </cell>
          <cell r="AE205">
            <v>52.31068116049773</v>
          </cell>
        </row>
        <row r="206">
          <cell r="B206" t="str">
            <v>TUN</v>
          </cell>
          <cell r="D206">
            <v>20.986920294787861</v>
          </cell>
          <cell r="E206">
            <v>22.090933177558089</v>
          </cell>
          <cell r="F206">
            <v>24.025710680849212</v>
          </cell>
          <cell r="G206">
            <v>25.167227138637681</v>
          </cell>
          <cell r="H206">
            <v>25.173899934774713</v>
          </cell>
          <cell r="I206">
            <v>25.514487200845846</v>
          </cell>
          <cell r="J206">
            <v>26.528936758590376</v>
          </cell>
          <cell r="K206">
            <v>27.082698797410927</v>
          </cell>
          <cell r="L206">
            <v>28.238084070140939</v>
          </cell>
          <cell r="M206">
            <v>29.523613802157776</v>
          </cell>
          <cell r="N206">
            <v>30.490770202096851</v>
          </cell>
          <cell r="O206">
            <v>31.620342286526355</v>
          </cell>
          <cell r="P206">
            <v>31.274086591219966</v>
          </cell>
          <cell r="Q206">
            <v>30.940472354743967</v>
          </cell>
          <cell r="R206">
            <v>32.411820673505325</v>
          </cell>
          <cell r="S206">
            <v>33.282808547066701</v>
          </cell>
          <cell r="T206">
            <v>34.388849477448566</v>
          </cell>
          <cell r="U206">
            <v>35.143493888252081</v>
          </cell>
          <cell r="V206">
            <v>36.113560074165235</v>
          </cell>
          <cell r="W206">
            <v>36.272311962601343</v>
          </cell>
          <cell r="X206">
            <v>38.489500066177968</v>
          </cell>
          <cell r="Y206">
            <v>37.335764616054355</v>
          </cell>
          <cell r="Z206">
            <v>39.178750277425095</v>
          </cell>
          <cell r="AA206">
            <v>38.813506010760769</v>
          </cell>
          <cell r="AB206">
            <v>40.772298866719886</v>
          </cell>
          <cell r="AC206">
            <v>41.061900244588955</v>
          </cell>
          <cell r="AD206">
            <v>40.496870789991021</v>
          </cell>
          <cell r="AE206">
            <v>41.487602249423936</v>
          </cell>
        </row>
        <row r="207">
          <cell r="B207" t="str">
            <v>TUR</v>
          </cell>
          <cell r="D207">
            <v>211.00059238968447</v>
          </cell>
          <cell r="E207">
            <v>216.1956031367244</v>
          </cell>
          <cell r="F207">
            <v>228.93722671718086</v>
          </cell>
          <cell r="G207">
            <v>238.73133167044011</v>
          </cell>
          <cell r="H207">
            <v>235.21583384072017</v>
          </cell>
          <cell r="I207">
            <v>256.11990779967664</v>
          </cell>
          <cell r="J207">
            <v>274.48053281371739</v>
          </cell>
          <cell r="K207">
            <v>287.05991385819823</v>
          </cell>
          <cell r="L207">
            <v>291.57170157401094</v>
          </cell>
          <cell r="M207">
            <v>291.81284632211634</v>
          </cell>
          <cell r="N207">
            <v>316.83571716844693</v>
          </cell>
          <cell r="O207">
            <v>284.7728738454266</v>
          </cell>
          <cell r="P207">
            <v>294.55409060955026</v>
          </cell>
          <cell r="Q207">
            <v>307.9413317486019</v>
          </cell>
          <cell r="R207">
            <v>314.17850760682893</v>
          </cell>
          <cell r="S207">
            <v>328.80089696064613</v>
          </cell>
          <cell r="T207">
            <v>333.89677368816967</v>
          </cell>
          <cell r="U207">
            <v>365.47384260801908</v>
          </cell>
          <cell r="V207">
            <v>368.721083249473</v>
          </cell>
          <cell r="W207">
            <v>364.59108625272319</v>
          </cell>
          <cell r="X207">
            <v>381.5380112296574</v>
          </cell>
          <cell r="Y207">
            <v>394.29919410918939</v>
          </cell>
          <cell r="Z207">
            <v>417.42428707480411</v>
          </cell>
          <cell r="AA207">
            <v>410.96506484887317</v>
          </cell>
          <cell r="AB207">
            <v>437.96070337459599</v>
          </cell>
          <cell r="AC207">
            <v>451.18434890333134</v>
          </cell>
          <cell r="AD207">
            <v>475.01221998046009</v>
          </cell>
          <cell r="AE207">
            <v>522.2706865304325</v>
          </cell>
        </row>
        <row r="208">
          <cell r="B208" t="str">
            <v>TKM</v>
          </cell>
          <cell r="D208">
            <v>78.151840257275325</v>
          </cell>
          <cell r="E208">
            <v>71.154988300799772</v>
          </cell>
          <cell r="F208">
            <v>52.011831200586585</v>
          </cell>
          <cell r="G208">
            <v>54.979333322118698</v>
          </cell>
          <cell r="H208">
            <v>56.466984032291094</v>
          </cell>
          <cell r="I208">
            <v>56.162059627233702</v>
          </cell>
          <cell r="J208">
            <v>54.456405377273803</v>
          </cell>
          <cell r="K208">
            <v>46.547180230075142</v>
          </cell>
          <cell r="L208">
            <v>48.554077736988667</v>
          </cell>
          <cell r="M208">
            <v>59.689678510738965</v>
          </cell>
          <cell r="N208">
            <v>67.461516784922935</v>
          </cell>
          <cell r="O208">
            <v>71.395016974873016</v>
          </cell>
          <cell r="P208">
            <v>78.548250521332861</v>
          </cell>
          <cell r="Q208">
            <v>88.3385651602716</v>
          </cell>
          <cell r="R208">
            <v>90.902641640967602</v>
          </cell>
          <cell r="S208">
            <v>95.0599690099707</v>
          </cell>
          <cell r="T208">
            <v>99.273042523088407</v>
          </cell>
          <cell r="U208">
            <v>104.09741694307017</v>
          </cell>
          <cell r="V208">
            <v>108.2185002884618</v>
          </cell>
          <cell r="W208">
            <v>89.056246774074367</v>
          </cell>
          <cell r="X208">
            <v>98.693936076614222</v>
          </cell>
          <cell r="Y208">
            <v>109.76764593498116</v>
          </cell>
          <cell r="Z208">
            <v>117.05033236826795</v>
          </cell>
          <cell r="AA208">
            <v>120.93366640101209</v>
          </cell>
          <cell r="AB208">
            <v>121.79195427555734</v>
          </cell>
          <cell r="AC208">
            <v>124.73291815050241</v>
          </cell>
          <cell r="AD208">
            <v>124.96251886745448</v>
          </cell>
          <cell r="AE208">
            <v>119.44392667757235</v>
          </cell>
        </row>
        <row r="209">
          <cell r="B209" t="str">
            <v>TCA</v>
          </cell>
          <cell r="D209">
            <v>-9.2432598201161509E-2</v>
          </cell>
          <cell r="E209">
            <v>-9.2010553855670321E-2</v>
          </cell>
          <cell r="F209">
            <v>-9.1636141578114491E-2</v>
          </cell>
          <cell r="G209">
            <v>-9.1223151033204483E-2</v>
          </cell>
          <cell r="H209">
            <v>-9.0756869536621557E-2</v>
          </cell>
          <cell r="I209">
            <v>-8.3329232601038264E-2</v>
          </cell>
          <cell r="J209">
            <v>-8.2890521699879011E-2</v>
          </cell>
          <cell r="K209">
            <v>-8.2922663319903944E-2</v>
          </cell>
          <cell r="L209">
            <v>-8.1910516447732631E-2</v>
          </cell>
          <cell r="M209">
            <v>-8.1102792102896698E-2</v>
          </cell>
          <cell r="N209">
            <v>-7.45475902395379E-2</v>
          </cell>
          <cell r="O209">
            <v>-5.5106572116726503E-2</v>
          </cell>
          <cell r="P209">
            <v>-5.4343588736229326E-2</v>
          </cell>
          <cell r="Q209">
            <v>-5.3448930134262065E-2</v>
          </cell>
          <cell r="R209">
            <v>-5.2470547914715449E-2</v>
          </cell>
          <cell r="S209">
            <v>-4.6212955143274115E-2</v>
          </cell>
          <cell r="T209">
            <v>0.34672144508818248</v>
          </cell>
          <cell r="U209">
            <v>0.37364421235422968</v>
          </cell>
          <cell r="V209">
            <v>0.40641876666681565</v>
          </cell>
          <cell r="W209">
            <v>0.41200185442745241</v>
          </cell>
          <cell r="X209">
            <v>0.45021761685035794</v>
          </cell>
          <cell r="Y209">
            <v>0.14481825079582661</v>
          </cell>
          <cell r="Z209">
            <v>0.24190001618495094</v>
          </cell>
          <cell r="AA209">
            <v>0.24772245129265491</v>
          </cell>
          <cell r="AB209">
            <v>0.22145224902453287</v>
          </cell>
          <cell r="AC209">
            <v>0.22158490654094648</v>
          </cell>
          <cell r="AD209">
            <v>0.22205478048887867</v>
          </cell>
          <cell r="AE209">
            <v>0.22252465443681074</v>
          </cell>
        </row>
        <row r="210">
          <cell r="B210" t="str">
            <v>TUV</v>
          </cell>
          <cell r="D210">
            <v>3.4401096204000007E-3</v>
          </cell>
          <cell r="E210">
            <v>3.7826472304999985E-3</v>
          </cell>
          <cell r="F210">
            <v>3.8866898912000005E-3</v>
          </cell>
          <cell r="G210">
            <v>3.8369203088000009E-3</v>
          </cell>
          <cell r="H210">
            <v>3.9366426936000001E-3</v>
          </cell>
          <cell r="I210">
            <v>4.0049776213E-3</v>
          </cell>
          <cell r="J210">
            <v>4.0638414927999999E-3</v>
          </cell>
          <cell r="K210">
            <v>4.1657487692999999E-3</v>
          </cell>
          <cell r="L210">
            <v>4.2046265256999995E-3</v>
          </cell>
          <cell r="M210">
            <v>4.3039209206E-3</v>
          </cell>
          <cell r="N210">
            <v>4.3442218349000012E-3</v>
          </cell>
          <cell r="O210">
            <v>4.9350380516000004E-3</v>
          </cell>
          <cell r="P210">
            <v>5.1071010353000001E-3</v>
          </cell>
          <cell r="Q210">
            <v>5.1728513824999996E-3</v>
          </cell>
          <cell r="R210">
            <v>5.2314094261000001E-3</v>
          </cell>
          <cell r="S210">
            <v>5.2931532319000002E-3</v>
          </cell>
          <cell r="T210">
            <v>2.8448732007000004E-3</v>
          </cell>
          <cell r="U210">
            <v>2.9367492127000006E-3</v>
          </cell>
          <cell r="V210">
            <v>3.0127717889999999E-3</v>
          </cell>
          <cell r="W210">
            <v>3.0886541492999992E-3</v>
          </cell>
          <cell r="X210">
            <v>3.1648609001000009E-3</v>
          </cell>
          <cell r="Y210">
            <v>6.4049301308999997E-3</v>
          </cell>
          <cell r="Z210">
            <v>6.475687555500001E-3</v>
          </cell>
          <cell r="AA210">
            <v>6.5614118236586661E-3</v>
          </cell>
          <cell r="AB210">
            <v>6.647628981894106E-3</v>
          </cell>
          <cell r="AC210">
            <v>6.7337281558147019E-3</v>
          </cell>
          <cell r="AD210">
            <v>6.8199451136019074E-3</v>
          </cell>
          <cell r="AE210">
            <v>6.9062152921719588E-3</v>
          </cell>
        </row>
        <row r="211">
          <cell r="B211" t="str">
            <v>UGA</v>
          </cell>
          <cell r="D211">
            <v>38.074523869640821</v>
          </cell>
          <cell r="E211">
            <v>38.791797194269947</v>
          </cell>
          <cell r="F211">
            <v>39.23077180006031</v>
          </cell>
          <cell r="G211">
            <v>39.686675909874154</v>
          </cell>
          <cell r="H211">
            <v>39.574355718644092</v>
          </cell>
          <cell r="I211">
            <v>39.797705346511805</v>
          </cell>
          <cell r="J211">
            <v>40.243497660573702</v>
          </cell>
          <cell r="K211">
            <v>41.28588574834626</v>
          </cell>
          <cell r="L211">
            <v>43.567938230547227</v>
          </cell>
          <cell r="M211">
            <v>42.923111129230037</v>
          </cell>
          <cell r="N211">
            <v>43.014751128238025</v>
          </cell>
          <cell r="O211">
            <v>41.511627794789561</v>
          </cell>
          <cell r="P211">
            <v>44.220145354186329</v>
          </cell>
          <cell r="Q211">
            <v>46.968527049938686</v>
          </cell>
          <cell r="R211">
            <v>48.872336994254852</v>
          </cell>
          <cell r="S211">
            <v>48.861197008348661</v>
          </cell>
          <cell r="T211">
            <v>51.139600879964718</v>
          </cell>
          <cell r="U211">
            <v>53.280359999023446</v>
          </cell>
          <cell r="V211">
            <v>62.184524647314461</v>
          </cell>
          <cell r="W211">
            <v>63.811236039857974</v>
          </cell>
          <cell r="X211">
            <v>63.532529399820483</v>
          </cell>
          <cell r="Y211">
            <v>64.32871779690096</v>
          </cell>
          <cell r="Z211">
            <v>66.536302605201286</v>
          </cell>
          <cell r="AA211">
            <v>68.269253880770862</v>
          </cell>
          <cell r="AB211">
            <v>67.584829007499494</v>
          </cell>
          <cell r="AC211">
            <v>69.503688723374779</v>
          </cell>
          <cell r="AD211">
            <v>71.399216117451147</v>
          </cell>
          <cell r="AE211">
            <v>72.93819547992122</v>
          </cell>
        </row>
        <row r="212">
          <cell r="B212" t="str">
            <v>UKR</v>
          </cell>
          <cell r="D212">
            <v>947.49346978788128</v>
          </cell>
          <cell r="E212">
            <v>891.60191941929406</v>
          </cell>
          <cell r="F212">
            <v>750.86098867170188</v>
          </cell>
          <cell r="G212">
            <v>656.61944359058054</v>
          </cell>
          <cell r="H212">
            <v>547.38840096321962</v>
          </cell>
          <cell r="I212">
            <v>530.89956992535133</v>
          </cell>
          <cell r="J212">
            <v>452.17729250653349</v>
          </cell>
          <cell r="K212">
            <v>432.03954683354721</v>
          </cell>
          <cell r="L212">
            <v>406.73449288770968</v>
          </cell>
          <cell r="M212">
            <v>404.15996735132961</v>
          </cell>
          <cell r="N212">
            <v>398.4827200917473</v>
          </cell>
          <cell r="O212">
            <v>420.52808317557515</v>
          </cell>
          <cell r="P212">
            <v>426.06349294588483</v>
          </cell>
          <cell r="Q212">
            <v>449.3382250061307</v>
          </cell>
          <cell r="R212">
            <v>425.87152949663232</v>
          </cell>
          <cell r="S212">
            <v>418.1936335773396</v>
          </cell>
          <cell r="T212">
            <v>421.68371315108078</v>
          </cell>
          <cell r="U212">
            <v>427.78815950559249</v>
          </cell>
          <cell r="V212">
            <v>413.49268460896991</v>
          </cell>
          <cell r="W212">
            <v>348.68984208276913</v>
          </cell>
          <cell r="X212">
            <v>368.91733266484391</v>
          </cell>
          <cell r="Y212">
            <v>406.94926897145115</v>
          </cell>
          <cell r="Z212">
            <v>397.0011565249352</v>
          </cell>
          <cell r="AA212">
            <v>385.89659626701336</v>
          </cell>
          <cell r="AB212">
            <v>343.25337090363013</v>
          </cell>
          <cell r="AC212">
            <v>285.01086076396962</v>
          </cell>
          <cell r="AD212">
            <v>297.82265599941945</v>
          </cell>
          <cell r="AE212">
            <v>275.95041654470606</v>
          </cell>
        </row>
        <row r="213">
          <cell r="B213" t="str">
            <v>ARE</v>
          </cell>
          <cell r="D213">
            <v>79.52719051345521</v>
          </cell>
          <cell r="E213">
            <v>89.159985019937039</v>
          </cell>
          <cell r="F213">
            <v>88.438824464643105</v>
          </cell>
          <cell r="G213">
            <v>91.824507502118479</v>
          </cell>
          <cell r="H213">
            <v>101.83331219219853</v>
          </cell>
          <cell r="I213">
            <v>107.15825874983416</v>
          </cell>
          <cell r="J213">
            <v>112.29673286417965</v>
          </cell>
          <cell r="K213">
            <v>113.26891287632836</v>
          </cell>
          <cell r="L213">
            <v>113.86206660544519</v>
          </cell>
          <cell r="M213">
            <v>115.84971484134937</v>
          </cell>
          <cell r="N213">
            <v>116.28268779667299</v>
          </cell>
          <cell r="O213">
            <v>129.18598609281216</v>
          </cell>
          <cell r="P213">
            <v>132.08398045087426</v>
          </cell>
          <cell r="Q213">
            <v>139.19026391990357</v>
          </cell>
          <cell r="R213">
            <v>145.80982632804941</v>
          </cell>
          <cell r="S213">
            <v>153.95232760554887</v>
          </cell>
          <cell r="T213">
            <v>160.49307877882143</v>
          </cell>
          <cell r="U213">
            <v>170.57186551322721</v>
          </cell>
          <cell r="V213">
            <v>198.31020709489178</v>
          </cell>
          <cell r="W213">
            <v>198.56623318179118</v>
          </cell>
          <cell r="X213">
            <v>206.66727255228744</v>
          </cell>
          <cell r="Y213">
            <v>212.59859362080181</v>
          </cell>
          <cell r="Z213">
            <v>223.23951726786893</v>
          </cell>
          <cell r="AA213">
            <v>235.35519909903945</v>
          </cell>
          <cell r="AB213">
            <v>236.69797036685176</v>
          </cell>
          <cell r="AC213">
            <v>243.8235361950606</v>
          </cell>
          <cell r="AD213">
            <v>243.91802197229703</v>
          </cell>
          <cell r="AE213">
            <v>246.21950586211773</v>
          </cell>
        </row>
        <row r="214">
          <cell r="B214" t="str">
            <v>GBR</v>
          </cell>
          <cell r="D214">
            <v>764.36003857324113</v>
          </cell>
          <cell r="E214">
            <v>773.78188586889462</v>
          </cell>
          <cell r="F214">
            <v>751.8939440804038</v>
          </cell>
          <cell r="G214">
            <v>728.9120293463294</v>
          </cell>
          <cell r="H214">
            <v>721.68160618968932</v>
          </cell>
          <cell r="I214">
            <v>714.61630621055656</v>
          </cell>
          <cell r="J214">
            <v>733.74013501367756</v>
          </cell>
          <cell r="K214">
            <v>709.29975409467534</v>
          </cell>
          <cell r="L214">
            <v>709.41635917858082</v>
          </cell>
          <cell r="M214">
            <v>692.74425169570145</v>
          </cell>
          <cell r="N214">
            <v>693.15684684791654</v>
          </cell>
          <cell r="O214">
            <v>700.71331144609871</v>
          </cell>
          <cell r="P214">
            <v>683.22051398765802</v>
          </cell>
          <cell r="Q214">
            <v>692.88777361950906</v>
          </cell>
          <cell r="R214">
            <v>685.77272446214863</v>
          </cell>
          <cell r="S214">
            <v>679.9413818692467</v>
          </cell>
          <cell r="T214">
            <v>678.04704879108317</v>
          </cell>
          <cell r="U214">
            <v>664.90995458253906</v>
          </cell>
          <cell r="V214">
            <v>644.85951013062038</v>
          </cell>
          <cell r="W214">
            <v>588.00677903818007</v>
          </cell>
          <cell r="X214">
            <v>602.67607187196018</v>
          </cell>
          <cell r="Y214">
            <v>559.87396580795621</v>
          </cell>
          <cell r="Z214">
            <v>581.40280886172388</v>
          </cell>
          <cell r="AA214">
            <v>564.59829796073541</v>
          </cell>
          <cell r="AB214">
            <v>524.77238630847455</v>
          </cell>
          <cell r="AC214">
            <v>506.52670077476864</v>
          </cell>
          <cell r="AD214">
            <v>479.07226669694057</v>
          </cell>
          <cell r="AE214">
            <v>465.68057258122218</v>
          </cell>
        </row>
        <row r="215">
          <cell r="B215" t="str">
            <v>USA</v>
          </cell>
          <cell r="D215">
            <v>5813.0307338540133</v>
          </cell>
          <cell r="E215">
            <v>5769.2912432470148</v>
          </cell>
          <cell r="F215">
            <v>5863.305388900877</v>
          </cell>
          <cell r="G215">
            <v>5981.8965407503301</v>
          </cell>
          <cell r="H215">
            <v>6083.1579703099242</v>
          </cell>
          <cell r="I215">
            <v>6140.2561154870818</v>
          </cell>
          <cell r="J215">
            <v>6292.4879445617853</v>
          </cell>
          <cell r="K215">
            <v>6455.7616517146434</v>
          </cell>
          <cell r="L215">
            <v>6491.3742049608609</v>
          </cell>
          <cell r="M215">
            <v>6541.939531772161</v>
          </cell>
          <cell r="N215">
            <v>6729.1774548115209</v>
          </cell>
          <cell r="O215">
            <v>6623.7535499489868</v>
          </cell>
          <cell r="P215">
            <v>6564.5211730144802</v>
          </cell>
          <cell r="Q215">
            <v>6664.8696442540731</v>
          </cell>
          <cell r="R215">
            <v>6815.9505907330931</v>
          </cell>
          <cell r="S215">
            <v>6811.7708698654542</v>
          </cell>
          <cell r="T215">
            <v>6712.6961067294205</v>
          </cell>
          <cell r="U215">
            <v>6916.1940836804843</v>
          </cell>
          <cell r="V215">
            <v>6633.3858074263881</v>
          </cell>
          <cell r="W215">
            <v>6270.0812631842791</v>
          </cell>
          <cell r="X215">
            <v>6539.1416973434343</v>
          </cell>
          <cell r="Y215">
            <v>6768.0402512125611</v>
          </cell>
          <cell r="Z215">
            <v>6596.1542123590334</v>
          </cell>
          <cell r="AA215">
            <v>6679.0525913221254</v>
          </cell>
          <cell r="AB215">
            <v>6825.7272518377204</v>
          </cell>
          <cell r="AC215">
            <v>6683.5185299190634</v>
          </cell>
          <cell r="AD215">
            <v>6586.7089712758288</v>
          </cell>
          <cell r="AE215">
            <v>6571.2200565111334</v>
          </cell>
        </row>
        <row r="216">
          <cell r="B216" t="str">
            <v>URY</v>
          </cell>
          <cell r="D216">
            <v>2.9545061498308698</v>
          </cell>
          <cell r="E216">
            <v>4.7712602128375821</v>
          </cell>
          <cell r="F216">
            <v>6.541170375592781</v>
          </cell>
          <cell r="G216">
            <v>7.2148262470149866</v>
          </cell>
          <cell r="H216">
            <v>7.3264640105537104</v>
          </cell>
          <cell r="I216">
            <v>7.6648223675133842</v>
          </cell>
          <cell r="J216">
            <v>9.0206817752809521</v>
          </cell>
          <cell r="K216">
            <v>8.7435568846878162</v>
          </cell>
          <cell r="L216">
            <v>8.3275322276701225</v>
          </cell>
          <cell r="M216">
            <v>9.457786733660118</v>
          </cell>
          <cell r="N216">
            <v>7.5853032446653472</v>
          </cell>
          <cell r="O216">
            <v>18.730256994243074</v>
          </cell>
          <cell r="P216">
            <v>19.182142673157088</v>
          </cell>
          <cell r="Q216">
            <v>19.884500497059008</v>
          </cell>
          <cell r="R216">
            <v>21.712512054665012</v>
          </cell>
          <cell r="S216">
            <v>21.629906294109325</v>
          </cell>
          <cell r="T216">
            <v>18.193261471477523</v>
          </cell>
          <cell r="U216">
            <v>17.274559522597713</v>
          </cell>
          <cell r="V216">
            <v>21.251246983538095</v>
          </cell>
          <cell r="W216">
            <v>21.223243122059348</v>
          </cell>
          <cell r="X216">
            <v>18.407325953207913</v>
          </cell>
          <cell r="Y216">
            <v>28.824951065690065</v>
          </cell>
          <cell r="Z216">
            <v>30.868216413692615</v>
          </cell>
          <cell r="AA216">
            <v>30.278421089441284</v>
          </cell>
          <cell r="AB216">
            <v>29.867011180624843</v>
          </cell>
          <cell r="AC216">
            <v>29.606094762211512</v>
          </cell>
          <cell r="AD216">
            <v>29.449558610445621</v>
          </cell>
          <cell r="AE216">
            <v>29.589317170145627</v>
          </cell>
        </row>
        <row r="217">
          <cell r="B217" t="str">
            <v>UZB</v>
          </cell>
          <cell r="D217">
            <v>164.60496110316984</v>
          </cell>
          <cell r="E217">
            <v>166.58381724278763</v>
          </cell>
          <cell r="F217">
            <v>158.17099059304076</v>
          </cell>
          <cell r="G217">
            <v>160.51038558001395</v>
          </cell>
          <cell r="H217">
            <v>158.32135448738637</v>
          </cell>
          <cell r="I217">
            <v>146.78532849524859</v>
          </cell>
          <cell r="J217">
            <v>148.05068664307646</v>
          </cell>
          <cell r="K217">
            <v>151.45515728400355</v>
          </cell>
          <cell r="L217">
            <v>166.56426393184012</v>
          </cell>
          <cell r="M217">
            <v>166.40203547677933</v>
          </cell>
          <cell r="N217">
            <v>167.92122463962764</v>
          </cell>
          <cell r="O217">
            <v>171.21968646070343</v>
          </cell>
          <cell r="P217">
            <v>179.57589579478488</v>
          </cell>
          <cell r="Q217">
            <v>175.15993713827933</v>
          </cell>
          <cell r="R217">
            <v>173.50215728417669</v>
          </cell>
          <cell r="S217">
            <v>170.91215411756565</v>
          </cell>
          <cell r="T217">
            <v>178.09165711189891</v>
          </cell>
          <cell r="U217">
            <v>178.24063941439192</v>
          </cell>
          <cell r="V217">
            <v>181.58642088783179</v>
          </cell>
          <cell r="W217">
            <v>167.58988376982842</v>
          </cell>
          <cell r="X217">
            <v>168.05255331654556</v>
          </cell>
          <cell r="Y217">
            <v>163.86439023415093</v>
          </cell>
          <cell r="Z217">
            <v>168.68966716291399</v>
          </cell>
          <cell r="AA217">
            <v>156.50734927615071</v>
          </cell>
          <cell r="AB217">
            <v>159.80265039998548</v>
          </cell>
          <cell r="AC217">
            <v>158.39237901907708</v>
          </cell>
          <cell r="AD217">
            <v>149.38996888187478</v>
          </cell>
          <cell r="AE217">
            <v>152.00118441558274</v>
          </cell>
        </row>
        <row r="218">
          <cell r="B218" t="str">
            <v>VUT</v>
          </cell>
          <cell r="D218">
            <v>0.43694199896838881</v>
          </cell>
          <cell r="E218">
            <v>0.39328468820412038</v>
          </cell>
          <cell r="F218">
            <v>0.4090192012196267</v>
          </cell>
          <cell r="G218">
            <v>0.42889957058898304</v>
          </cell>
          <cell r="H218">
            <v>0.43294888972042611</v>
          </cell>
          <cell r="I218">
            <v>0.43716081955454761</v>
          </cell>
          <cell r="J218">
            <v>0.44523897583787037</v>
          </cell>
          <cell r="K218">
            <v>0.45042397880566198</v>
          </cell>
          <cell r="L218">
            <v>0.45979674184184838</v>
          </cell>
          <cell r="M218">
            <v>0.4600890994623093</v>
          </cell>
          <cell r="N218">
            <v>0.4486488807563091</v>
          </cell>
          <cell r="O218">
            <v>0.43599046484655596</v>
          </cell>
          <cell r="P218">
            <v>0.43206502374929712</v>
          </cell>
          <cell r="Q218">
            <v>0.43978295220361358</v>
          </cell>
          <cell r="R218">
            <v>0.45144471630608107</v>
          </cell>
          <cell r="S218">
            <v>0.45790782978900579</v>
          </cell>
          <cell r="T218">
            <v>0.4483342784545713</v>
          </cell>
          <cell r="U218">
            <v>0.56542970325252162</v>
          </cell>
          <cell r="V218">
            <v>0.52404462589898027</v>
          </cell>
          <cell r="W218">
            <v>0.54860781308249196</v>
          </cell>
          <cell r="X218">
            <v>0.57092101765589776</v>
          </cell>
          <cell r="Y218">
            <v>0.62827201348224493</v>
          </cell>
          <cell r="Z218">
            <v>0.69873542819924883</v>
          </cell>
          <cell r="AA218">
            <v>0.61804842569622043</v>
          </cell>
          <cell r="AB218">
            <v>0.57418725889884503</v>
          </cell>
          <cell r="AC218">
            <v>0.57921666314320841</v>
          </cell>
          <cell r="AD218">
            <v>0.5876658265615311</v>
          </cell>
          <cell r="AE218">
            <v>0.59629952716560353</v>
          </cell>
        </row>
        <row r="219">
          <cell r="B219" t="str">
            <v>VAT</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row>
        <row r="220">
          <cell r="B220" t="str">
            <v>VEN</v>
          </cell>
          <cell r="D220">
            <v>287.73879852454479</v>
          </cell>
          <cell r="E220">
            <v>287.92247157548263</v>
          </cell>
          <cell r="F220">
            <v>291.18914225672864</v>
          </cell>
          <cell r="G220">
            <v>302.97763560530223</v>
          </cell>
          <cell r="H220">
            <v>295.18162638528298</v>
          </cell>
          <cell r="I220">
            <v>312.41920911868181</v>
          </cell>
          <cell r="J220">
            <v>321.48717110357694</v>
          </cell>
          <cell r="K220">
            <v>330.72902017090098</v>
          </cell>
          <cell r="L220">
            <v>338.20249291949733</v>
          </cell>
          <cell r="M220">
            <v>319.85687231974123</v>
          </cell>
          <cell r="N220">
            <v>330.31835520389973</v>
          </cell>
          <cell r="O220">
            <v>345.07283958498402</v>
          </cell>
          <cell r="P220">
            <v>329.33797758507433</v>
          </cell>
          <cell r="Q220">
            <v>337.29040563271212</v>
          </cell>
          <cell r="R220">
            <v>340.67156751829435</v>
          </cell>
          <cell r="S220">
            <v>353.85962581306848</v>
          </cell>
          <cell r="T220">
            <v>237.90605827484822</v>
          </cell>
          <cell r="U220">
            <v>238.21565237165021</v>
          </cell>
          <cell r="V220">
            <v>266.58142307470655</v>
          </cell>
          <cell r="W220">
            <v>265.84183194309793</v>
          </cell>
          <cell r="X220">
            <v>286.32918597082818</v>
          </cell>
          <cell r="Y220">
            <v>325.22180527116495</v>
          </cell>
          <cell r="Z220">
            <v>357.25445323163245</v>
          </cell>
          <cell r="AA220">
            <v>357.30526598991304</v>
          </cell>
          <cell r="AB220">
            <v>354.04313988685448</v>
          </cell>
          <cell r="AC220">
            <v>332.14549267721543</v>
          </cell>
          <cell r="AD220">
            <v>320.52039452089116</v>
          </cell>
          <cell r="AE220">
            <v>303.27438871955349</v>
          </cell>
        </row>
        <row r="221">
          <cell r="B221" t="str">
            <v>VNM</v>
          </cell>
          <cell r="D221">
            <v>56.335266167664805</v>
          </cell>
          <cell r="E221">
            <v>59.373101094912791</v>
          </cell>
          <cell r="F221">
            <v>61.568151614556008</v>
          </cell>
          <cell r="G221">
            <v>66.813779273764965</v>
          </cell>
          <cell r="H221">
            <v>77.744396374544408</v>
          </cell>
          <cell r="I221">
            <v>84.412764277868405</v>
          </cell>
          <cell r="J221">
            <v>91.072180799176579</v>
          </cell>
          <cell r="K221">
            <v>96.478200138517167</v>
          </cell>
          <cell r="L221">
            <v>106.73693542496829</v>
          </cell>
          <cell r="M221">
            <v>110.15803930711999</v>
          </cell>
          <cell r="N221">
            <v>115.73836853518617</v>
          </cell>
          <cell r="O221">
            <v>146.61878760724582</v>
          </cell>
          <cell r="P221">
            <v>164.01615569861102</v>
          </cell>
          <cell r="Q221">
            <v>169.4252962995746</v>
          </cell>
          <cell r="R221">
            <v>191.17030654656142</v>
          </cell>
          <cell r="S221">
            <v>202.24110748826379</v>
          </cell>
          <cell r="T221">
            <v>217.9479262897278</v>
          </cell>
          <cell r="U221">
            <v>231.52015840611497</v>
          </cell>
          <cell r="V221">
            <v>242.25981801927483</v>
          </cell>
          <cell r="W221">
            <v>259.97749220539777</v>
          </cell>
          <cell r="X221">
            <v>278.37164191983561</v>
          </cell>
          <cell r="Y221">
            <v>265.6876830813622</v>
          </cell>
          <cell r="Z221">
            <v>264.95830206987381</v>
          </cell>
          <cell r="AA221">
            <v>277.12348998841514</v>
          </cell>
          <cell r="AB221">
            <v>290.57008542802583</v>
          </cell>
          <cell r="AC221">
            <v>321.72008172646213</v>
          </cell>
          <cell r="AD221">
            <v>338.07777902358384</v>
          </cell>
          <cell r="AE221">
            <v>341.1934131039576</v>
          </cell>
        </row>
        <row r="222">
          <cell r="B222" t="str">
            <v>VGB</v>
          </cell>
          <cell r="D222">
            <v>3.0604418918754199E-2</v>
          </cell>
          <cell r="E222">
            <v>3.3257308811026003E-2</v>
          </cell>
          <cell r="F222">
            <v>3.5368341334088796E-2</v>
          </cell>
          <cell r="G222">
            <v>3.3810761513108002E-2</v>
          </cell>
          <cell r="H222">
            <v>3.383289870199687E-2</v>
          </cell>
          <cell r="I222">
            <v>3.3739578992769394E-2</v>
          </cell>
          <cell r="J222">
            <v>3.7610954408198297E-2</v>
          </cell>
          <cell r="K222">
            <v>3.6086067546412998E-2</v>
          </cell>
          <cell r="L222">
            <v>3.5758174270890397E-2</v>
          </cell>
          <cell r="M222">
            <v>3.7263216236082801E-2</v>
          </cell>
          <cell r="N222">
            <v>3.59417391990988E-2</v>
          </cell>
          <cell r="O222">
            <v>1.0074024674061641E-2</v>
          </cell>
          <cell r="P222">
            <v>1.0166966428037799E-2</v>
          </cell>
          <cell r="Q222">
            <v>1.0570195256106259E-2</v>
          </cell>
          <cell r="R222">
            <v>4.6095267048054077E-2</v>
          </cell>
          <cell r="S222">
            <v>4.2103458861589893E-2</v>
          </cell>
          <cell r="T222">
            <v>8.3668253807439058E-2</v>
          </cell>
          <cell r="U222">
            <v>0.11646347030234991</v>
          </cell>
          <cell r="V222">
            <v>0.11782871058073149</v>
          </cell>
          <cell r="W222">
            <v>0.12112130467216251</v>
          </cell>
          <cell r="X222">
            <v>0.12554452411997788</v>
          </cell>
          <cell r="Y222">
            <v>8.968150677286249E-2</v>
          </cell>
          <cell r="Z222">
            <v>0.15426003628033036</v>
          </cell>
          <cell r="AA222">
            <v>0.15816606092823735</v>
          </cell>
          <cell r="AB222">
            <v>0.1789913271745632</v>
          </cell>
          <cell r="AC222">
            <v>0.18239232504254324</v>
          </cell>
          <cell r="AD222">
            <v>0.18272882877044852</v>
          </cell>
          <cell r="AE222">
            <v>0.18306544510196432</v>
          </cell>
        </row>
        <row r="223">
          <cell r="B223" t="str">
            <v>VIR</v>
          </cell>
          <cell r="D223">
            <v>8.8922653825994E-2</v>
          </cell>
          <cell r="E223">
            <v>8.9519722942834001E-2</v>
          </cell>
          <cell r="F223">
            <v>9.0306955464195995E-2</v>
          </cell>
          <cell r="G223">
            <v>9.1137173776814004E-2</v>
          </cell>
          <cell r="H223">
            <v>9.2023537566158012E-2</v>
          </cell>
          <cell r="I223">
            <v>9.2073391108123986E-2</v>
          </cell>
          <cell r="J223">
            <v>9.2713796649341998E-2</v>
          </cell>
          <cell r="K223">
            <v>9.3339378586196009E-2</v>
          </cell>
          <cell r="L223">
            <v>8.6078272347978005E-2</v>
          </cell>
          <cell r="M223">
            <v>8.6498396505057987E-2</v>
          </cell>
          <cell r="N223">
            <v>8.6900046189138005E-2</v>
          </cell>
          <cell r="O223">
            <v>-5.7979781553380016E-3</v>
          </cell>
          <cell r="P223">
            <v>-5.6504006799539958E-3</v>
          </cell>
          <cell r="Q223">
            <v>-5.522697435859994E-3</v>
          </cell>
          <cell r="R223">
            <v>-5.5140836906560076E-3</v>
          </cell>
          <cell r="S223">
            <v>-3.714677792936022E-3</v>
          </cell>
          <cell r="T223">
            <v>-1.0129088870193981E-2</v>
          </cell>
          <cell r="U223">
            <v>-8.3600450055319742E-3</v>
          </cell>
          <cell r="V223">
            <v>-7.2137996243580027E-3</v>
          </cell>
          <cell r="W223">
            <v>-6.5888917951799908E-3</v>
          </cell>
          <cell r="X223">
            <v>-6.0536618948839882E-3</v>
          </cell>
          <cell r="Y223">
            <v>1.4727114663520002E-3</v>
          </cell>
          <cell r="Z223">
            <v>1.6008793498919899E-3</v>
          </cell>
          <cell r="AA223">
            <v>1.8183499456495694E-3</v>
          </cell>
          <cell r="AB223">
            <v>2.1267338054769686E-3</v>
          </cell>
          <cell r="AC223">
            <v>2.2721310875007117E-3</v>
          </cell>
          <cell r="AD223">
            <v>2.5086412602475655E-3</v>
          </cell>
          <cell r="AE223">
            <v>2.7464592478158162E-3</v>
          </cell>
        </row>
        <row r="224">
          <cell r="B224" t="str">
            <v>WLF</v>
          </cell>
          <cell r="D224">
            <v>8.807927619926801E-3</v>
          </cell>
          <cell r="E224">
            <v>8.8351526963528007E-3</v>
          </cell>
          <cell r="F224">
            <v>8.9754729030087996E-3</v>
          </cell>
          <cell r="G224">
            <v>8.9858082506267985E-3</v>
          </cell>
          <cell r="H224">
            <v>9.0054069828708009E-3</v>
          </cell>
          <cell r="I224">
            <v>9.0013713904592008E-3</v>
          </cell>
          <cell r="J224">
            <v>9.0594212683692017E-3</v>
          </cell>
          <cell r="K224">
            <v>9.0480579836671998E-3</v>
          </cell>
          <cell r="L224">
            <v>9.0557640496911999E-3</v>
          </cell>
          <cell r="M224">
            <v>9.0774780968771989E-3</v>
          </cell>
          <cell r="N224">
            <v>9.1681688497352015E-3</v>
          </cell>
          <cell r="O224">
            <v>9.1441337989091997E-3</v>
          </cell>
          <cell r="P224">
            <v>9.2219474809571989E-3</v>
          </cell>
          <cell r="Q224">
            <v>9.2402616922712E-3</v>
          </cell>
          <cell r="R224">
            <v>9.2220095084392037E-3</v>
          </cell>
          <cell r="S224">
            <v>9.2232446694552016E-3</v>
          </cell>
          <cell r="T224">
            <v>9.2249841563832001E-3</v>
          </cell>
          <cell r="U224">
            <v>9.2139671134812001E-3</v>
          </cell>
          <cell r="V224">
            <v>9.2430709640551993E-3</v>
          </cell>
          <cell r="W224">
            <v>9.2026767267991989E-3</v>
          </cell>
          <cell r="X224">
            <v>9.216891595133201E-3</v>
          </cell>
          <cell r="Y224">
            <v>1.65287697670112E-2</v>
          </cell>
          <cell r="Z224">
            <v>1.6528689601659201E-2</v>
          </cell>
          <cell r="AA224">
            <v>1.6528896179294122E-2</v>
          </cell>
          <cell r="AB224">
            <v>1.6529310990083371E-2</v>
          </cell>
          <cell r="AC224">
            <v>1.6529593318061645E-2</v>
          </cell>
          <cell r="AD224">
            <v>1.653046948502869E-2</v>
          </cell>
          <cell r="AE224">
            <v>1.6531131701016322E-2</v>
          </cell>
        </row>
        <row r="225">
          <cell r="B225" t="str">
            <v>ESH</v>
          </cell>
          <cell r="D225">
            <v>0.51935806475340196</v>
          </cell>
          <cell r="E225">
            <v>0.55071257921181926</v>
          </cell>
          <cell r="F225">
            <v>0.53307490529295665</v>
          </cell>
          <cell r="G225">
            <v>0.53486900936754955</v>
          </cell>
          <cell r="H225">
            <v>0.53689011028475941</v>
          </cell>
          <cell r="I225">
            <v>0.54623634134982424</v>
          </cell>
          <cell r="J225">
            <v>0.55558199451150958</v>
          </cell>
          <cell r="K225">
            <v>0.57382494473938261</v>
          </cell>
          <cell r="L225">
            <v>0.55740709658652365</v>
          </cell>
          <cell r="M225">
            <v>0.56908111023634222</v>
          </cell>
          <cell r="N225">
            <v>0.62649363668059344</v>
          </cell>
          <cell r="O225">
            <v>0.68322089656968876</v>
          </cell>
          <cell r="P225">
            <v>0.64081371948508015</v>
          </cell>
          <cell r="Q225">
            <v>0.66345752582129314</v>
          </cell>
          <cell r="R225">
            <v>0.67991538176725086</v>
          </cell>
          <cell r="S225">
            <v>0.68732512079499108</v>
          </cell>
          <cell r="T225">
            <v>0.69268342880146205</v>
          </cell>
          <cell r="U225">
            <v>0.71712317783066326</v>
          </cell>
          <cell r="V225">
            <v>0.72714967293432697</v>
          </cell>
          <cell r="W225">
            <v>0.74417297108285485</v>
          </cell>
          <cell r="X225">
            <v>0.75752486971405197</v>
          </cell>
          <cell r="Y225">
            <v>0.80731735816511618</v>
          </cell>
          <cell r="Z225">
            <v>0.82369025428764475</v>
          </cell>
          <cell r="AA225">
            <v>0.76887769873584744</v>
          </cell>
          <cell r="AB225">
            <v>0.74921692322100464</v>
          </cell>
          <cell r="AC225">
            <v>0.76456073750296816</v>
          </cell>
          <cell r="AD225">
            <v>0.7764242174778142</v>
          </cell>
          <cell r="AE225">
            <v>0.79741857518045534</v>
          </cell>
        </row>
        <row r="226">
          <cell r="B226" t="str">
            <v>YEM</v>
          </cell>
          <cell r="D226">
            <v>14.682135996936555</v>
          </cell>
          <cell r="E226">
            <v>16.452165618736672</v>
          </cell>
          <cell r="F226">
            <v>17.339592110245611</v>
          </cell>
          <cell r="G226">
            <v>16.718456954476689</v>
          </cell>
          <cell r="H226">
            <v>22.37883325727725</v>
          </cell>
          <cell r="I226">
            <v>22.690707275848272</v>
          </cell>
          <cell r="J226">
            <v>23.264928052136696</v>
          </cell>
          <cell r="K226">
            <v>24.619507204553404</v>
          </cell>
          <cell r="L226">
            <v>25.316021130651418</v>
          </cell>
          <cell r="M226">
            <v>27.557821751061429</v>
          </cell>
          <cell r="N226">
            <v>29.230910724891061</v>
          </cell>
          <cell r="O226">
            <v>30.307841152863681</v>
          </cell>
          <cell r="P226">
            <v>30.458181974723711</v>
          </cell>
          <cell r="Q226">
            <v>34.807907453666395</v>
          </cell>
          <cell r="R226">
            <v>35.674228451856017</v>
          </cell>
          <cell r="S226">
            <v>39.293676886373348</v>
          </cell>
          <cell r="T226">
            <v>42.326483089703608</v>
          </cell>
          <cell r="U226">
            <v>47.101147860636274</v>
          </cell>
          <cell r="V226">
            <v>46.616015608426807</v>
          </cell>
          <cell r="W226">
            <v>51.357972173311722</v>
          </cell>
          <cell r="X226">
            <v>50.744351296933317</v>
          </cell>
          <cell r="Y226">
            <v>46.022736856465258</v>
          </cell>
          <cell r="Z226">
            <v>44.182008257234315</v>
          </cell>
          <cell r="AA226">
            <v>52.810137270642066</v>
          </cell>
          <cell r="AB226">
            <v>52.38983846057981</v>
          </cell>
          <cell r="AC226">
            <v>37.213914476141952</v>
          </cell>
          <cell r="AD226">
            <v>35.019373958649496</v>
          </cell>
          <cell r="AE226">
            <v>36.367133757193997</v>
          </cell>
        </row>
        <row r="227">
          <cell r="B227" t="str">
            <v>ZMB</v>
          </cell>
          <cell r="D227">
            <v>385.354838983229</v>
          </cell>
          <cell r="E227">
            <v>385.72467034049572</v>
          </cell>
          <cell r="F227">
            <v>385.60611692505762</v>
          </cell>
          <cell r="G227">
            <v>385.3297644026938</v>
          </cell>
          <cell r="H227">
            <v>384.77430580063543</v>
          </cell>
          <cell r="I227">
            <v>384.44692925777474</v>
          </cell>
          <cell r="J227">
            <v>413.22164249469154</v>
          </cell>
          <cell r="K227">
            <v>378.0598776039796</v>
          </cell>
          <cell r="L227">
            <v>386.54412422553315</v>
          </cell>
          <cell r="M227">
            <v>349.88043423849291</v>
          </cell>
          <cell r="N227">
            <v>392.028090167203</v>
          </cell>
          <cell r="O227">
            <v>365.38870867391819</v>
          </cell>
          <cell r="P227">
            <v>361.96933379440372</v>
          </cell>
          <cell r="Q227">
            <v>379.41118116077968</v>
          </cell>
          <cell r="R227">
            <v>408.49214466603098</v>
          </cell>
          <cell r="S227">
            <v>466.7524618754652</v>
          </cell>
          <cell r="T227">
            <v>397.32233200448235</v>
          </cell>
          <cell r="U227">
            <v>379.07852507449957</v>
          </cell>
          <cell r="V227">
            <v>400.71372296101617</v>
          </cell>
          <cell r="W227">
            <v>352.0240741105743</v>
          </cell>
          <cell r="X227">
            <v>386.61921772019986</v>
          </cell>
          <cell r="Y227">
            <v>348.515446939789</v>
          </cell>
          <cell r="Z227">
            <v>349.73637961059626</v>
          </cell>
          <cell r="AA227">
            <v>375.71556572821402</v>
          </cell>
          <cell r="AB227">
            <v>364.6399668007968</v>
          </cell>
          <cell r="AC227">
            <v>364.7073080310405</v>
          </cell>
          <cell r="AD227">
            <v>365.15317229716266</v>
          </cell>
          <cell r="AE227">
            <v>366.19454268763121</v>
          </cell>
        </row>
        <row r="228">
          <cell r="B228" t="str">
            <v>ZWE</v>
          </cell>
          <cell r="D228">
            <v>73.777124852280394</v>
          </cell>
          <cell r="E228">
            <v>73.832006209784595</v>
          </cell>
          <cell r="F228">
            <v>74.952817175618009</v>
          </cell>
          <cell r="G228">
            <v>70.441552996930994</v>
          </cell>
          <cell r="H228">
            <v>69.604475931474795</v>
          </cell>
          <cell r="I228">
            <v>69.593918506348601</v>
          </cell>
          <cell r="J228">
            <v>71.316970938368996</v>
          </cell>
          <cell r="K228">
            <v>70.403778651714603</v>
          </cell>
          <cell r="L228">
            <v>71.450228731593</v>
          </cell>
          <cell r="M228">
            <v>74.217984382373601</v>
          </cell>
          <cell r="N228">
            <v>71.305719222882999</v>
          </cell>
          <cell r="O228">
            <v>72.126448762253801</v>
          </cell>
          <cell r="P228">
            <v>68.21237476061961</v>
          </cell>
          <cell r="Q228">
            <v>65.80122580539539</v>
          </cell>
          <cell r="R228">
            <v>66.068825234569204</v>
          </cell>
          <cell r="S228">
            <v>66.637764453509391</v>
          </cell>
          <cell r="T228">
            <v>65.8246680551986</v>
          </cell>
          <cell r="U228">
            <v>66.009104225722808</v>
          </cell>
          <cell r="V228">
            <v>64.342962677307398</v>
          </cell>
          <cell r="W228">
            <v>63.884301558040789</v>
          </cell>
          <cell r="X228">
            <v>66.233419905994396</v>
          </cell>
          <cell r="Y228">
            <v>66.894785307754603</v>
          </cell>
          <cell r="Z228">
            <v>66.558591905674604</v>
          </cell>
          <cell r="AA228">
            <v>66.461354326447335</v>
          </cell>
          <cell r="AB228">
            <v>65.019380388616838</v>
          </cell>
          <cell r="AC228">
            <v>65.440838630086461</v>
          </cell>
          <cell r="AD228">
            <v>65.14544728986499</v>
          </cell>
          <cell r="AE228">
            <v>66.015736812274611</v>
          </cell>
        </row>
        <row r="229">
          <cell r="B229" t="str">
            <v>EU28</v>
          </cell>
          <cell r="D229">
            <v>5396.1764352509299</v>
          </cell>
          <cell r="E229">
            <v>5320.863383183012</v>
          </cell>
          <cell r="F229">
            <v>5094.2150831518629</v>
          </cell>
          <cell r="G229">
            <v>4986.2559453065351</v>
          </cell>
          <cell r="H229">
            <v>4959.0122984068239</v>
          </cell>
          <cell r="I229">
            <v>5000.3979740836048</v>
          </cell>
          <cell r="J229">
            <v>5125.9773521938851</v>
          </cell>
          <cell r="K229">
            <v>5024.3441082422887</v>
          </cell>
          <cell r="L229">
            <v>4971.5408258206162</v>
          </cell>
          <cell r="M229">
            <v>4879.9956723207861</v>
          </cell>
          <cell r="N229">
            <v>4894.2503274064402</v>
          </cell>
          <cell r="O229">
            <v>4901.1705356009616</v>
          </cell>
          <cell r="P229">
            <v>4873.1729098300902</v>
          </cell>
          <cell r="Q229">
            <v>4975.5484297611338</v>
          </cell>
          <cell r="R229">
            <v>4975.1408650093417</v>
          </cell>
          <cell r="S229">
            <v>4947.8224439028181</v>
          </cell>
          <cell r="T229">
            <v>4946.5287119612603</v>
          </cell>
          <cell r="U229">
            <v>4901.1039482012084</v>
          </cell>
          <cell r="V229">
            <v>4785.6434980052318</v>
          </cell>
          <cell r="W229">
            <v>4438.6556380747115</v>
          </cell>
          <cell r="X229">
            <v>4553.3790170318453</v>
          </cell>
          <cell r="Y229">
            <v>4307.6641866315476</v>
          </cell>
          <cell r="Z229">
            <v>4269.5710601063411</v>
          </cell>
          <cell r="AA229">
            <v>4186.3612458353882</v>
          </cell>
          <cell r="AB229">
            <v>4022.1226166424094</v>
          </cell>
          <cell r="AC229">
            <v>4076.1304515940501</v>
          </cell>
          <cell r="AD229">
            <v>4080.5238493470315</v>
          </cell>
          <cell r="AE229">
            <v>4128.2888355691603</v>
          </cell>
        </row>
        <row r="230">
          <cell r="B230" t="str">
            <v>Global</v>
          </cell>
          <cell r="D230">
            <v>35891.402733723589</v>
          </cell>
          <cell r="E230">
            <v>35987.484029349689</v>
          </cell>
          <cell r="F230">
            <v>36053.598585076739</v>
          </cell>
          <cell r="G230">
            <v>36163.487352753058</v>
          </cell>
          <cell r="H230">
            <v>36493.338478370417</v>
          </cell>
          <cell r="I230">
            <v>37240.329512275224</v>
          </cell>
          <cell r="J230">
            <v>37638.939516570281</v>
          </cell>
          <cell r="K230">
            <v>38802.257354342983</v>
          </cell>
          <cell r="L230">
            <v>38208.891242763391</v>
          </cell>
          <cell r="M230">
            <v>38105.10475911446</v>
          </cell>
          <cell r="N230">
            <v>38799.326806176796</v>
          </cell>
          <cell r="O230">
            <v>39416.671446619446</v>
          </cell>
          <cell r="P230">
            <v>40555.930803655581</v>
          </cell>
          <cell r="Q230">
            <v>41799.727107020452</v>
          </cell>
          <cell r="R230">
            <v>43491.349652077603</v>
          </cell>
          <cell r="S230">
            <v>44712.393540948236</v>
          </cell>
          <cell r="T230">
            <v>45172.081123052267</v>
          </cell>
          <cell r="U230">
            <v>46196.587889236594</v>
          </cell>
          <cell r="V230">
            <v>46554.845219794988</v>
          </cell>
          <cell r="W230">
            <v>46345.496538984109</v>
          </cell>
          <cell r="X230">
            <v>48173.821936861554</v>
          </cell>
          <cell r="Y230">
            <v>49521.933338066818</v>
          </cell>
          <cell r="Z230">
            <v>50295.790091738891</v>
          </cell>
          <cell r="AA230">
            <v>50921.255486231268</v>
          </cell>
          <cell r="AB230">
            <v>51713.801940611367</v>
          </cell>
          <cell r="AC230">
            <v>51777.222676261939</v>
          </cell>
          <cell r="AD230">
            <v>52041.037703185801</v>
          </cell>
          <cell r="AE230">
            <v>52577.861514315548</v>
          </cell>
        </row>
      </sheetData>
      <sheetData sheetId="5" refreshError="1">
        <row r="2">
          <cell r="C2" t="str">
            <v>ISO2</v>
          </cell>
          <cell r="D2" t="str">
            <v>ISO3</v>
          </cell>
          <cell r="E2" t="str">
            <v>Numeric</v>
          </cell>
        </row>
        <row r="3">
          <cell r="B3" t="str">
            <v>Afghanistan</v>
          </cell>
          <cell r="C3" t="str">
            <v>AF</v>
          </cell>
          <cell r="D3" t="str">
            <v>AFG</v>
          </cell>
          <cell r="E3">
            <v>4</v>
          </cell>
        </row>
        <row r="4">
          <cell r="B4" t="str">
            <v>Albania</v>
          </cell>
          <cell r="C4" t="str">
            <v>AL</v>
          </cell>
          <cell r="D4" t="str">
            <v>ALB</v>
          </cell>
          <cell r="E4">
            <v>8</v>
          </cell>
        </row>
        <row r="5">
          <cell r="B5" t="str">
            <v>Algeria</v>
          </cell>
          <cell r="C5" t="str">
            <v>DZ</v>
          </cell>
          <cell r="D5" t="str">
            <v>DZA</v>
          </cell>
          <cell r="E5">
            <v>12</v>
          </cell>
        </row>
        <row r="6">
          <cell r="B6" t="str">
            <v>American Samoa</v>
          </cell>
          <cell r="C6" t="str">
            <v>AS</v>
          </cell>
          <cell r="D6" t="str">
            <v>ASM</v>
          </cell>
          <cell r="E6">
            <v>16</v>
          </cell>
        </row>
        <row r="7">
          <cell r="B7" t="str">
            <v>Andorra</v>
          </cell>
          <cell r="C7" t="str">
            <v>AD</v>
          </cell>
          <cell r="D7" t="str">
            <v>AND</v>
          </cell>
          <cell r="E7">
            <v>20</v>
          </cell>
        </row>
        <row r="8">
          <cell r="B8" t="str">
            <v>Angola</v>
          </cell>
          <cell r="C8" t="str">
            <v>AO</v>
          </cell>
          <cell r="D8" t="str">
            <v>AGO</v>
          </cell>
          <cell r="E8">
            <v>24</v>
          </cell>
        </row>
        <row r="9">
          <cell r="B9" t="str">
            <v>Anguilla</v>
          </cell>
          <cell r="C9" t="str">
            <v>AI</v>
          </cell>
          <cell r="D9" t="str">
            <v>AIA</v>
          </cell>
          <cell r="E9">
            <v>660</v>
          </cell>
        </row>
        <row r="10">
          <cell r="B10" t="str">
            <v>Antarctica</v>
          </cell>
          <cell r="C10" t="str">
            <v>AQ</v>
          </cell>
          <cell r="D10" t="str">
            <v>ATA</v>
          </cell>
          <cell r="E10">
            <v>10</v>
          </cell>
        </row>
        <row r="11">
          <cell r="B11" t="str">
            <v>Antigua and Barbuda</v>
          </cell>
          <cell r="C11" t="str">
            <v>AG</v>
          </cell>
          <cell r="D11" t="str">
            <v>ATG</v>
          </cell>
          <cell r="E11">
            <v>28</v>
          </cell>
        </row>
        <row r="12">
          <cell r="B12" t="str">
            <v>Argentina</v>
          </cell>
          <cell r="C12" t="str">
            <v>AR</v>
          </cell>
          <cell r="D12" t="str">
            <v>ARG</v>
          </cell>
          <cell r="E12">
            <v>32</v>
          </cell>
        </row>
        <row r="13">
          <cell r="B13" t="str">
            <v>Armenia</v>
          </cell>
          <cell r="C13" t="str">
            <v>AM</v>
          </cell>
          <cell r="D13" t="str">
            <v>ARM</v>
          </cell>
          <cell r="E13">
            <v>51</v>
          </cell>
        </row>
        <row r="14">
          <cell r="B14" t="str">
            <v>Aruba</v>
          </cell>
          <cell r="C14" t="str">
            <v>AW</v>
          </cell>
          <cell r="D14" t="str">
            <v>ABW</v>
          </cell>
          <cell r="E14">
            <v>533</v>
          </cell>
        </row>
        <row r="15">
          <cell r="B15" t="str">
            <v>Australia</v>
          </cell>
          <cell r="C15" t="str">
            <v>AU</v>
          </cell>
          <cell r="D15" t="str">
            <v>AUS</v>
          </cell>
          <cell r="E15">
            <v>36</v>
          </cell>
        </row>
        <row r="16">
          <cell r="B16" t="str">
            <v>Austria</v>
          </cell>
          <cell r="C16" t="str">
            <v>AT</v>
          </cell>
          <cell r="D16" t="str">
            <v>AUT</v>
          </cell>
          <cell r="E16">
            <v>40</v>
          </cell>
        </row>
        <row r="17">
          <cell r="B17" t="str">
            <v>Azerbaijan</v>
          </cell>
          <cell r="C17" t="str">
            <v>AZ</v>
          </cell>
          <cell r="D17" t="str">
            <v>AZE</v>
          </cell>
          <cell r="E17">
            <v>31</v>
          </cell>
        </row>
        <row r="18">
          <cell r="B18" t="str">
            <v>Bahamas (the)</v>
          </cell>
          <cell r="C18" t="str">
            <v>BS</v>
          </cell>
          <cell r="D18" t="str">
            <v>BHS</v>
          </cell>
          <cell r="E18">
            <v>44</v>
          </cell>
        </row>
        <row r="19">
          <cell r="B19" t="str">
            <v>Bahrain</v>
          </cell>
          <cell r="C19" t="str">
            <v>BH</v>
          </cell>
          <cell r="D19" t="str">
            <v>BHR</v>
          </cell>
          <cell r="E19">
            <v>48</v>
          </cell>
        </row>
        <row r="20">
          <cell r="B20" t="str">
            <v>Bangladesh</v>
          </cell>
          <cell r="C20" t="str">
            <v>BD</v>
          </cell>
          <cell r="D20" t="str">
            <v>BGD</v>
          </cell>
          <cell r="E20">
            <v>50</v>
          </cell>
        </row>
        <row r="21">
          <cell r="B21" t="str">
            <v>Barbados</v>
          </cell>
          <cell r="C21" t="str">
            <v>BB</v>
          </cell>
          <cell r="D21" t="str">
            <v>BRB</v>
          </cell>
          <cell r="E21">
            <v>52</v>
          </cell>
        </row>
        <row r="22">
          <cell r="B22" t="str">
            <v>Belarus</v>
          </cell>
          <cell r="C22" t="str">
            <v>BY</v>
          </cell>
          <cell r="D22" t="str">
            <v>BLR</v>
          </cell>
          <cell r="E22">
            <v>112</v>
          </cell>
        </row>
        <row r="23">
          <cell r="B23" t="str">
            <v>Belgium</v>
          </cell>
          <cell r="C23" t="str">
            <v>BE</v>
          </cell>
          <cell r="D23" t="str">
            <v>BEL</v>
          </cell>
          <cell r="E23">
            <v>56</v>
          </cell>
        </row>
        <row r="24">
          <cell r="B24" t="str">
            <v>Belize</v>
          </cell>
          <cell r="C24" t="str">
            <v>BZ</v>
          </cell>
          <cell r="D24" t="str">
            <v>BLZ</v>
          </cell>
          <cell r="E24">
            <v>84</v>
          </cell>
        </row>
        <row r="25">
          <cell r="B25" t="str">
            <v>Benin</v>
          </cell>
          <cell r="C25" t="str">
            <v>BJ</v>
          </cell>
          <cell r="D25" t="str">
            <v>BEN</v>
          </cell>
          <cell r="E25">
            <v>204</v>
          </cell>
        </row>
        <row r="26">
          <cell r="B26" t="str">
            <v>Bermuda</v>
          </cell>
          <cell r="C26" t="str">
            <v>BM</v>
          </cell>
          <cell r="D26" t="str">
            <v>BMU</v>
          </cell>
          <cell r="E26">
            <v>60</v>
          </cell>
        </row>
        <row r="27">
          <cell r="B27" t="str">
            <v>Bhutan</v>
          </cell>
          <cell r="C27" t="str">
            <v>BT</v>
          </cell>
          <cell r="D27" t="str">
            <v>BTN</v>
          </cell>
          <cell r="E27">
            <v>64</v>
          </cell>
        </row>
        <row r="28">
          <cell r="B28" t="str">
            <v>Bolivia (Plurinational State of)</v>
          </cell>
          <cell r="C28" t="str">
            <v>BO</v>
          </cell>
          <cell r="D28" t="str">
            <v>BOL</v>
          </cell>
          <cell r="E28">
            <v>68</v>
          </cell>
        </row>
        <row r="29">
          <cell r="B29" t="str">
            <v>Bonaire, Sint Eustatius and Saba</v>
          </cell>
          <cell r="C29" t="str">
            <v>BQ</v>
          </cell>
          <cell r="D29" t="str">
            <v>BES</v>
          </cell>
          <cell r="E29">
            <v>535</v>
          </cell>
        </row>
        <row r="30">
          <cell r="B30" t="str">
            <v>Bosnia and Herzegovina</v>
          </cell>
          <cell r="C30" t="str">
            <v>BA</v>
          </cell>
          <cell r="D30" t="str">
            <v>BIH</v>
          </cell>
          <cell r="E30">
            <v>70</v>
          </cell>
        </row>
        <row r="31">
          <cell r="B31" t="str">
            <v>Botswana</v>
          </cell>
          <cell r="C31" t="str">
            <v>BW</v>
          </cell>
          <cell r="D31" t="str">
            <v>BWA</v>
          </cell>
          <cell r="E31">
            <v>72</v>
          </cell>
        </row>
        <row r="32">
          <cell r="B32" t="str">
            <v>Bouvet Island</v>
          </cell>
          <cell r="C32" t="str">
            <v>BV</v>
          </cell>
          <cell r="D32" t="str">
            <v>BVT</v>
          </cell>
          <cell r="E32">
            <v>74</v>
          </cell>
        </row>
        <row r="33">
          <cell r="B33" t="str">
            <v>Brazil</v>
          </cell>
          <cell r="C33" t="str">
            <v>BR</v>
          </cell>
          <cell r="D33" t="str">
            <v>BRA</v>
          </cell>
          <cell r="E33">
            <v>76</v>
          </cell>
        </row>
        <row r="34">
          <cell r="B34" t="str">
            <v>British Indian Ocean Territory (the)</v>
          </cell>
          <cell r="C34" t="str">
            <v>IO</v>
          </cell>
          <cell r="D34" t="str">
            <v>IOT</v>
          </cell>
          <cell r="E34">
            <v>86</v>
          </cell>
        </row>
        <row r="35">
          <cell r="B35" t="str">
            <v>Brunei Darussalam</v>
          </cell>
          <cell r="C35" t="str">
            <v>BN</v>
          </cell>
          <cell r="D35" t="str">
            <v>BRN</v>
          </cell>
          <cell r="E35">
            <v>96</v>
          </cell>
        </row>
        <row r="36">
          <cell r="B36" t="str">
            <v>Bulgaria</v>
          </cell>
          <cell r="C36" t="str">
            <v>BG</v>
          </cell>
          <cell r="D36" t="str">
            <v>BGR</v>
          </cell>
          <cell r="E36">
            <v>100</v>
          </cell>
        </row>
        <row r="37">
          <cell r="B37" t="str">
            <v>Burkina Faso</v>
          </cell>
          <cell r="C37" t="str">
            <v>BF</v>
          </cell>
          <cell r="D37" t="str">
            <v>BFA</v>
          </cell>
          <cell r="E37">
            <v>854</v>
          </cell>
        </row>
        <row r="38">
          <cell r="B38" t="str">
            <v>Burundi</v>
          </cell>
          <cell r="C38" t="str">
            <v>BI</v>
          </cell>
          <cell r="D38" t="str">
            <v>BDI</v>
          </cell>
          <cell r="E38">
            <v>108</v>
          </cell>
        </row>
        <row r="39">
          <cell r="B39" t="str">
            <v>Cabo Verde</v>
          </cell>
          <cell r="C39" t="str">
            <v>CV</v>
          </cell>
          <cell r="D39" t="str">
            <v>CPV</v>
          </cell>
          <cell r="E39">
            <v>132</v>
          </cell>
        </row>
        <row r="40">
          <cell r="B40" t="str">
            <v>Cambodia</v>
          </cell>
          <cell r="C40" t="str">
            <v>KH</v>
          </cell>
          <cell r="D40" t="str">
            <v>KHM</v>
          </cell>
          <cell r="E40">
            <v>116</v>
          </cell>
        </row>
        <row r="41">
          <cell r="B41" t="str">
            <v>Cameroon</v>
          </cell>
          <cell r="C41" t="str">
            <v>CM</v>
          </cell>
          <cell r="D41" t="str">
            <v>CMR</v>
          </cell>
          <cell r="E41">
            <v>120</v>
          </cell>
        </row>
        <row r="42">
          <cell r="B42" t="str">
            <v>Canada</v>
          </cell>
          <cell r="C42" t="str">
            <v>CA</v>
          </cell>
          <cell r="D42" t="str">
            <v>CAN</v>
          </cell>
          <cell r="E42">
            <v>124</v>
          </cell>
        </row>
        <row r="43">
          <cell r="B43" t="str">
            <v>Cayman Islands (the)</v>
          </cell>
          <cell r="C43" t="str">
            <v>KY</v>
          </cell>
          <cell r="D43" t="str">
            <v>CYM</v>
          </cell>
          <cell r="E43">
            <v>136</v>
          </cell>
        </row>
        <row r="44">
          <cell r="B44" t="str">
            <v>Central African Republic (the)</v>
          </cell>
          <cell r="C44" t="str">
            <v>CF</v>
          </cell>
          <cell r="D44" t="str">
            <v>CAF</v>
          </cell>
          <cell r="E44">
            <v>140</v>
          </cell>
        </row>
        <row r="45">
          <cell r="B45" t="str">
            <v>Chad</v>
          </cell>
          <cell r="C45" t="str">
            <v>TD</v>
          </cell>
          <cell r="D45" t="str">
            <v>TCD</v>
          </cell>
          <cell r="E45">
            <v>148</v>
          </cell>
        </row>
        <row r="46">
          <cell r="B46" t="str">
            <v>Chile</v>
          </cell>
          <cell r="C46" t="str">
            <v>CL</v>
          </cell>
          <cell r="D46" t="str">
            <v>CHL</v>
          </cell>
          <cell r="E46">
            <v>152</v>
          </cell>
        </row>
        <row r="47">
          <cell r="B47" t="str">
            <v>China</v>
          </cell>
          <cell r="C47" t="str">
            <v>CN</v>
          </cell>
          <cell r="D47" t="str">
            <v>CHN</v>
          </cell>
          <cell r="E47">
            <v>156</v>
          </cell>
        </row>
        <row r="48">
          <cell r="B48" t="str">
            <v>Christmas Island</v>
          </cell>
          <cell r="C48" t="str">
            <v>CX</v>
          </cell>
          <cell r="D48" t="str">
            <v>CXR</v>
          </cell>
          <cell r="E48">
            <v>162</v>
          </cell>
        </row>
        <row r="49">
          <cell r="B49" t="str">
            <v>Cocos (Keeling) Islands (the)</v>
          </cell>
          <cell r="C49" t="str">
            <v>CC</v>
          </cell>
          <cell r="D49" t="str">
            <v>CCK</v>
          </cell>
          <cell r="E49">
            <v>166</v>
          </cell>
        </row>
        <row r="50">
          <cell r="B50" t="str">
            <v>Colombia</v>
          </cell>
          <cell r="C50" t="str">
            <v>CO</v>
          </cell>
          <cell r="D50" t="str">
            <v>COL</v>
          </cell>
          <cell r="E50">
            <v>170</v>
          </cell>
        </row>
        <row r="51">
          <cell r="B51" t="str">
            <v>Comoros (the)</v>
          </cell>
          <cell r="C51" t="str">
            <v>KM</v>
          </cell>
          <cell r="D51" t="str">
            <v>COM</v>
          </cell>
          <cell r="E51">
            <v>174</v>
          </cell>
        </row>
        <row r="52">
          <cell r="B52" t="str">
            <v>Congo (the Democratic Republic of the)</v>
          </cell>
          <cell r="C52" t="str">
            <v>CD</v>
          </cell>
          <cell r="D52" t="str">
            <v>COD</v>
          </cell>
          <cell r="E52">
            <v>180</v>
          </cell>
        </row>
        <row r="53">
          <cell r="B53" t="str">
            <v>Congo (the)</v>
          </cell>
          <cell r="C53" t="str">
            <v>CG</v>
          </cell>
          <cell r="D53" t="str">
            <v>COG</v>
          </cell>
          <cell r="E53">
            <v>178</v>
          </cell>
        </row>
        <row r="54">
          <cell r="B54" t="str">
            <v>Cook Islands (the)</v>
          </cell>
          <cell r="C54" t="str">
            <v>CK</v>
          </cell>
          <cell r="D54" t="str">
            <v>COK</v>
          </cell>
          <cell r="E54">
            <v>184</v>
          </cell>
        </row>
        <row r="55">
          <cell r="B55" t="str">
            <v>Costa Rica</v>
          </cell>
          <cell r="C55" t="str">
            <v>CR</v>
          </cell>
          <cell r="D55" t="str">
            <v>CRI</v>
          </cell>
          <cell r="E55">
            <v>188</v>
          </cell>
        </row>
        <row r="56">
          <cell r="B56" t="str">
            <v>Croatia</v>
          </cell>
          <cell r="C56" t="str">
            <v>HR</v>
          </cell>
          <cell r="D56" t="str">
            <v>HRV</v>
          </cell>
          <cell r="E56">
            <v>191</v>
          </cell>
        </row>
        <row r="57">
          <cell r="B57" t="str">
            <v>Cuba</v>
          </cell>
          <cell r="C57" t="str">
            <v>CU</v>
          </cell>
          <cell r="D57" t="str">
            <v>CUB</v>
          </cell>
          <cell r="E57">
            <v>192</v>
          </cell>
        </row>
        <row r="58">
          <cell r="B58" t="str">
            <v>Curaçao</v>
          </cell>
          <cell r="C58" t="str">
            <v>CW</v>
          </cell>
          <cell r="D58" t="str">
            <v>CUW</v>
          </cell>
          <cell r="E58">
            <v>531</v>
          </cell>
        </row>
        <row r="59">
          <cell r="B59" t="str">
            <v>Cyprus</v>
          </cell>
          <cell r="C59" t="str">
            <v>CY</v>
          </cell>
          <cell r="D59" t="str">
            <v>CYP</v>
          </cell>
          <cell r="E59">
            <v>196</v>
          </cell>
        </row>
        <row r="60">
          <cell r="B60" t="str">
            <v>Czechia</v>
          </cell>
          <cell r="C60" t="str">
            <v>CZ</v>
          </cell>
          <cell r="D60" t="str">
            <v>CZE</v>
          </cell>
          <cell r="E60">
            <v>203</v>
          </cell>
        </row>
        <row r="61">
          <cell r="B61" t="str">
            <v>Côte d'Ivoire</v>
          </cell>
          <cell r="C61" t="str">
            <v>CI</v>
          </cell>
          <cell r="D61" t="str">
            <v>CIV</v>
          </cell>
          <cell r="E61">
            <v>384</v>
          </cell>
        </row>
        <row r="62">
          <cell r="B62" t="str">
            <v>Denmark</v>
          </cell>
          <cell r="C62" t="str">
            <v>DK</v>
          </cell>
          <cell r="D62" t="str">
            <v>DNK</v>
          </cell>
          <cell r="E62">
            <v>208</v>
          </cell>
        </row>
        <row r="63">
          <cell r="B63" t="str">
            <v>Djibouti</v>
          </cell>
          <cell r="C63" t="str">
            <v>DJ</v>
          </cell>
          <cell r="D63" t="str">
            <v>DJI</v>
          </cell>
          <cell r="E63">
            <v>262</v>
          </cell>
        </row>
        <row r="64">
          <cell r="B64" t="str">
            <v>Dominica</v>
          </cell>
          <cell r="C64" t="str">
            <v>DM</v>
          </cell>
          <cell r="D64" t="str">
            <v>DMA</v>
          </cell>
          <cell r="E64">
            <v>212</v>
          </cell>
        </row>
        <row r="65">
          <cell r="B65" t="str">
            <v>Dominican Republic (the)</v>
          </cell>
          <cell r="C65" t="str">
            <v>DO</v>
          </cell>
          <cell r="D65" t="str">
            <v>DOM</v>
          </cell>
          <cell r="E65">
            <v>214</v>
          </cell>
        </row>
        <row r="66">
          <cell r="B66" t="str">
            <v>Ecuador</v>
          </cell>
          <cell r="C66" t="str">
            <v>EC</v>
          </cell>
          <cell r="D66" t="str">
            <v>ECU</v>
          </cell>
          <cell r="E66">
            <v>218</v>
          </cell>
        </row>
        <row r="67">
          <cell r="B67" t="str">
            <v>Egypt</v>
          </cell>
          <cell r="C67" t="str">
            <v>EG</v>
          </cell>
          <cell r="D67" t="str">
            <v>EGY</v>
          </cell>
          <cell r="E67">
            <v>818</v>
          </cell>
        </row>
        <row r="68">
          <cell r="B68" t="str">
            <v>El Salvador</v>
          </cell>
          <cell r="C68" t="str">
            <v>SV</v>
          </cell>
          <cell r="D68" t="str">
            <v>SLV</v>
          </cell>
          <cell r="E68">
            <v>222</v>
          </cell>
        </row>
        <row r="69">
          <cell r="B69" t="str">
            <v>Equatorial Guinea</v>
          </cell>
          <cell r="C69" t="str">
            <v>GQ</v>
          </cell>
          <cell r="D69" t="str">
            <v>GNQ</v>
          </cell>
          <cell r="E69">
            <v>226</v>
          </cell>
        </row>
        <row r="70">
          <cell r="B70" t="str">
            <v>Eritrea</v>
          </cell>
          <cell r="C70" t="str">
            <v>ER</v>
          </cell>
          <cell r="D70" t="str">
            <v>ERI</v>
          </cell>
          <cell r="E70">
            <v>232</v>
          </cell>
        </row>
        <row r="71">
          <cell r="B71" t="str">
            <v>Estonia</v>
          </cell>
          <cell r="C71" t="str">
            <v>EE</v>
          </cell>
          <cell r="D71" t="str">
            <v>EST</v>
          </cell>
          <cell r="E71">
            <v>233</v>
          </cell>
        </row>
        <row r="72">
          <cell r="B72" t="str">
            <v>Eswatini</v>
          </cell>
          <cell r="C72" t="str">
            <v>SZ</v>
          </cell>
          <cell r="D72" t="str">
            <v>SWZ</v>
          </cell>
          <cell r="E72">
            <v>748</v>
          </cell>
        </row>
        <row r="73">
          <cell r="B73" t="str">
            <v>Ethiopia</v>
          </cell>
          <cell r="C73" t="str">
            <v>ET</v>
          </cell>
          <cell r="D73" t="str">
            <v>ETH</v>
          </cell>
          <cell r="E73">
            <v>231</v>
          </cell>
        </row>
        <row r="74">
          <cell r="B74" t="str">
            <v>Falkland Islands (the) [Malvinas]</v>
          </cell>
          <cell r="C74" t="str">
            <v>FK</v>
          </cell>
          <cell r="D74" t="str">
            <v>FLK</v>
          </cell>
          <cell r="E74">
            <v>238</v>
          </cell>
        </row>
        <row r="75">
          <cell r="B75" t="str">
            <v>Faroe Islands (the)</v>
          </cell>
          <cell r="C75" t="str">
            <v>FO</v>
          </cell>
          <cell r="D75" t="str">
            <v>FRO</v>
          </cell>
          <cell r="E75">
            <v>234</v>
          </cell>
        </row>
        <row r="76">
          <cell r="B76" t="str">
            <v>Fiji</v>
          </cell>
          <cell r="C76" t="str">
            <v>FJ</v>
          </cell>
          <cell r="D76" t="str">
            <v>FJI</v>
          </cell>
          <cell r="E76">
            <v>242</v>
          </cell>
        </row>
        <row r="77">
          <cell r="B77" t="str">
            <v>Finland</v>
          </cell>
          <cell r="C77" t="str">
            <v>FI</v>
          </cell>
          <cell r="D77" t="str">
            <v>FIN</v>
          </cell>
          <cell r="E77">
            <v>246</v>
          </cell>
        </row>
        <row r="78">
          <cell r="B78" t="str">
            <v>France</v>
          </cell>
          <cell r="C78" t="str">
            <v>FR</v>
          </cell>
          <cell r="D78" t="str">
            <v>FRA</v>
          </cell>
          <cell r="E78">
            <v>250</v>
          </cell>
        </row>
        <row r="79">
          <cell r="B79" t="str">
            <v>French Guiana</v>
          </cell>
          <cell r="C79" t="str">
            <v>GF</v>
          </cell>
          <cell r="D79" t="str">
            <v>GUF</v>
          </cell>
          <cell r="E79">
            <v>254</v>
          </cell>
        </row>
        <row r="80">
          <cell r="B80" t="str">
            <v>French Polynesia</v>
          </cell>
          <cell r="C80" t="str">
            <v>PF</v>
          </cell>
          <cell r="D80" t="str">
            <v>PYF</v>
          </cell>
          <cell r="E80">
            <v>258</v>
          </cell>
        </row>
        <row r="81">
          <cell r="B81" t="str">
            <v>French Southern Territories (the)</v>
          </cell>
          <cell r="C81" t="str">
            <v>TF</v>
          </cell>
          <cell r="D81" t="str">
            <v>ATF</v>
          </cell>
          <cell r="E81">
            <v>260</v>
          </cell>
        </row>
        <row r="82">
          <cell r="B82" t="str">
            <v>Gabon</v>
          </cell>
          <cell r="C82" t="str">
            <v>GA</v>
          </cell>
          <cell r="D82" t="str">
            <v>GAB</v>
          </cell>
          <cell r="E82">
            <v>266</v>
          </cell>
        </row>
        <row r="83">
          <cell r="B83" t="str">
            <v>Gambia (the)</v>
          </cell>
          <cell r="C83" t="str">
            <v>GM</v>
          </cell>
          <cell r="D83" t="str">
            <v>GMB</v>
          </cell>
          <cell r="E83">
            <v>270</v>
          </cell>
        </row>
        <row r="84">
          <cell r="B84" t="str">
            <v>Georgia</v>
          </cell>
          <cell r="C84" t="str">
            <v>GE</v>
          </cell>
          <cell r="D84" t="str">
            <v>GEO</v>
          </cell>
          <cell r="E84">
            <v>268</v>
          </cell>
        </row>
        <row r="85">
          <cell r="B85" t="str">
            <v>Germany</v>
          </cell>
          <cell r="C85" t="str">
            <v>DE</v>
          </cell>
          <cell r="D85" t="str">
            <v>DEU</v>
          </cell>
          <cell r="E85">
            <v>276</v>
          </cell>
        </row>
        <row r="86">
          <cell r="B86" t="str">
            <v>Ghana</v>
          </cell>
          <cell r="C86" t="str">
            <v>GH</v>
          </cell>
          <cell r="D86" t="str">
            <v>GHA</v>
          </cell>
          <cell r="E86">
            <v>288</v>
          </cell>
        </row>
        <row r="87">
          <cell r="B87" t="str">
            <v>Gibraltar</v>
          </cell>
          <cell r="C87" t="str">
            <v>GI</v>
          </cell>
          <cell r="D87" t="str">
            <v>GIB</v>
          </cell>
          <cell r="E87">
            <v>292</v>
          </cell>
        </row>
        <row r="88">
          <cell r="B88" t="str">
            <v>Greece</v>
          </cell>
          <cell r="C88" t="str">
            <v>GR</v>
          </cell>
          <cell r="D88" t="str">
            <v>GRC</v>
          </cell>
          <cell r="E88">
            <v>300</v>
          </cell>
        </row>
        <row r="89">
          <cell r="B89" t="str">
            <v>Greenland</v>
          </cell>
          <cell r="C89" t="str">
            <v>GL</v>
          </cell>
          <cell r="D89" t="str">
            <v>GRL</v>
          </cell>
          <cell r="E89">
            <v>304</v>
          </cell>
        </row>
        <row r="90">
          <cell r="B90" t="str">
            <v>Grenada</v>
          </cell>
          <cell r="C90" t="str">
            <v>GD</v>
          </cell>
          <cell r="D90" t="str">
            <v>GRD</v>
          </cell>
          <cell r="E90">
            <v>308</v>
          </cell>
        </row>
        <row r="91">
          <cell r="B91" t="str">
            <v>Guadeloupe</v>
          </cell>
          <cell r="C91" t="str">
            <v>GP</v>
          </cell>
          <cell r="D91" t="str">
            <v>GLP</v>
          </cell>
          <cell r="E91">
            <v>312</v>
          </cell>
        </row>
        <row r="92">
          <cell r="B92" t="str">
            <v>Guam</v>
          </cell>
          <cell r="C92" t="str">
            <v>GU</v>
          </cell>
          <cell r="D92" t="str">
            <v>GUM</v>
          </cell>
          <cell r="E92">
            <v>316</v>
          </cell>
        </row>
        <row r="93">
          <cell r="B93" t="str">
            <v>Guatemala</v>
          </cell>
          <cell r="C93" t="str">
            <v>GT</v>
          </cell>
          <cell r="D93" t="str">
            <v>GTM</v>
          </cell>
          <cell r="E93">
            <v>320</v>
          </cell>
        </row>
        <row r="94">
          <cell r="B94" t="str">
            <v>Guernsey</v>
          </cell>
          <cell r="C94" t="str">
            <v>GG</v>
          </cell>
          <cell r="D94" t="str">
            <v>GGY</v>
          </cell>
          <cell r="E94">
            <v>831</v>
          </cell>
        </row>
        <row r="95">
          <cell r="B95" t="str">
            <v>Guinea</v>
          </cell>
          <cell r="C95" t="str">
            <v>GN</v>
          </cell>
          <cell r="D95" t="str">
            <v>GIN</v>
          </cell>
          <cell r="E95">
            <v>324</v>
          </cell>
        </row>
        <row r="96">
          <cell r="B96" t="str">
            <v>Guinea-Bissau</v>
          </cell>
          <cell r="C96" t="str">
            <v>GW</v>
          </cell>
          <cell r="D96" t="str">
            <v>GNB</v>
          </cell>
          <cell r="E96">
            <v>624</v>
          </cell>
        </row>
        <row r="97">
          <cell r="B97" t="str">
            <v>Guyana</v>
          </cell>
          <cell r="C97" t="str">
            <v>GY</v>
          </cell>
          <cell r="D97" t="str">
            <v>GUY</v>
          </cell>
          <cell r="E97">
            <v>328</v>
          </cell>
        </row>
        <row r="98">
          <cell r="B98" t="str">
            <v>Haiti</v>
          </cell>
          <cell r="C98" t="str">
            <v>HT</v>
          </cell>
          <cell r="D98" t="str">
            <v>HTI</v>
          </cell>
          <cell r="E98">
            <v>332</v>
          </cell>
        </row>
        <row r="99">
          <cell r="B99" t="str">
            <v>Heard Island and McDonald Islands</v>
          </cell>
          <cell r="C99" t="str">
            <v>HM</v>
          </cell>
          <cell r="D99" t="str">
            <v>HMD</v>
          </cell>
          <cell r="E99">
            <v>334</v>
          </cell>
        </row>
        <row r="100">
          <cell r="B100" t="str">
            <v>Holy See (the)</v>
          </cell>
          <cell r="C100" t="str">
            <v>VA</v>
          </cell>
          <cell r="D100" t="str">
            <v>VAT</v>
          </cell>
          <cell r="E100">
            <v>336</v>
          </cell>
        </row>
        <row r="101">
          <cell r="B101" t="str">
            <v>Honduras</v>
          </cell>
          <cell r="C101" t="str">
            <v>HN</v>
          </cell>
          <cell r="D101" t="str">
            <v>HND</v>
          </cell>
          <cell r="E101">
            <v>340</v>
          </cell>
        </row>
        <row r="102">
          <cell r="B102" t="str">
            <v>Hong Kong</v>
          </cell>
          <cell r="C102" t="str">
            <v>HK</v>
          </cell>
          <cell r="D102" t="str">
            <v>HKG</v>
          </cell>
          <cell r="E102">
            <v>344</v>
          </cell>
        </row>
        <row r="103">
          <cell r="B103" t="str">
            <v>Hungary</v>
          </cell>
          <cell r="C103" t="str">
            <v>HU</v>
          </cell>
          <cell r="D103" t="str">
            <v>HUN</v>
          </cell>
          <cell r="E103">
            <v>348</v>
          </cell>
        </row>
        <row r="104">
          <cell r="B104" t="str">
            <v>Iceland</v>
          </cell>
          <cell r="C104" t="str">
            <v>IS</v>
          </cell>
          <cell r="D104" t="str">
            <v>ISL</v>
          </cell>
          <cell r="E104">
            <v>352</v>
          </cell>
        </row>
        <row r="105">
          <cell r="B105" t="str">
            <v>India</v>
          </cell>
          <cell r="C105" t="str">
            <v>IN</v>
          </cell>
          <cell r="D105" t="str">
            <v>IND</v>
          </cell>
          <cell r="E105">
            <v>356</v>
          </cell>
        </row>
        <row r="106">
          <cell r="B106" t="str">
            <v>Indonesia</v>
          </cell>
          <cell r="C106" t="str">
            <v>ID</v>
          </cell>
          <cell r="D106" t="str">
            <v>IDN</v>
          </cell>
          <cell r="E106">
            <v>360</v>
          </cell>
        </row>
        <row r="107">
          <cell r="B107" t="str">
            <v>Iran (Islamic Republic of)</v>
          </cell>
          <cell r="C107" t="str">
            <v>IR</v>
          </cell>
          <cell r="D107" t="str">
            <v>IRN</v>
          </cell>
          <cell r="E107">
            <v>364</v>
          </cell>
        </row>
        <row r="108">
          <cell r="B108" t="str">
            <v>Iraq</v>
          </cell>
          <cell r="C108" t="str">
            <v>IQ</v>
          </cell>
          <cell r="D108" t="str">
            <v>IRQ</v>
          </cell>
          <cell r="E108">
            <v>368</v>
          </cell>
        </row>
        <row r="109">
          <cell r="B109" t="str">
            <v>Ireland</v>
          </cell>
          <cell r="C109" t="str">
            <v>IE</v>
          </cell>
          <cell r="D109" t="str">
            <v>IRL</v>
          </cell>
          <cell r="E109">
            <v>372</v>
          </cell>
        </row>
        <row r="110">
          <cell r="B110" t="str">
            <v>Isle of Man</v>
          </cell>
          <cell r="C110" t="str">
            <v>IM</v>
          </cell>
          <cell r="D110" t="str">
            <v>IMN</v>
          </cell>
          <cell r="E110">
            <v>833</v>
          </cell>
        </row>
        <row r="111">
          <cell r="B111" t="str">
            <v>Israel</v>
          </cell>
          <cell r="C111" t="str">
            <v>IL</v>
          </cell>
          <cell r="D111" t="str">
            <v>ISR</v>
          </cell>
          <cell r="E111">
            <v>376</v>
          </cell>
        </row>
        <row r="112">
          <cell r="B112" t="str">
            <v>Italy</v>
          </cell>
          <cell r="C112" t="str">
            <v>IT</v>
          </cell>
          <cell r="D112" t="str">
            <v>ITA</v>
          </cell>
          <cell r="E112">
            <v>380</v>
          </cell>
        </row>
        <row r="113">
          <cell r="B113" t="str">
            <v>Jamaica</v>
          </cell>
          <cell r="C113" t="str">
            <v>JM</v>
          </cell>
          <cell r="D113" t="str">
            <v>JAM</v>
          </cell>
          <cell r="E113">
            <v>388</v>
          </cell>
        </row>
        <row r="114">
          <cell r="B114" t="str">
            <v>Japan</v>
          </cell>
          <cell r="C114" t="str">
            <v>JP</v>
          </cell>
          <cell r="D114" t="str">
            <v>JPN</v>
          </cell>
          <cell r="E114">
            <v>392</v>
          </cell>
        </row>
        <row r="115">
          <cell r="B115" t="str">
            <v>Jersey</v>
          </cell>
          <cell r="C115" t="str">
            <v>JE</v>
          </cell>
          <cell r="D115" t="str">
            <v>JEY</v>
          </cell>
          <cell r="E115">
            <v>832</v>
          </cell>
        </row>
        <row r="116">
          <cell r="B116" t="str">
            <v>Jordan</v>
          </cell>
          <cell r="C116" t="str">
            <v>JO</v>
          </cell>
          <cell r="D116" t="str">
            <v>JOR</v>
          </cell>
          <cell r="E116">
            <v>400</v>
          </cell>
        </row>
        <row r="117">
          <cell r="B117" t="str">
            <v>Kazakhstan</v>
          </cell>
          <cell r="C117" t="str">
            <v>KZ</v>
          </cell>
          <cell r="D117" t="str">
            <v>KAZ</v>
          </cell>
          <cell r="E117">
            <v>398</v>
          </cell>
        </row>
        <row r="118">
          <cell r="B118" t="str">
            <v>Kenya</v>
          </cell>
          <cell r="C118" t="str">
            <v>KE</v>
          </cell>
          <cell r="D118" t="str">
            <v>KEN</v>
          </cell>
          <cell r="E118">
            <v>404</v>
          </cell>
        </row>
        <row r="119">
          <cell r="B119" t="str">
            <v>Kiribati</v>
          </cell>
          <cell r="C119" t="str">
            <v>KI</v>
          </cell>
          <cell r="D119" t="str">
            <v>KIR</v>
          </cell>
          <cell r="E119">
            <v>296</v>
          </cell>
        </row>
        <row r="120">
          <cell r="B120" t="str">
            <v>Korea (the Democratic People's Republic of)</v>
          </cell>
          <cell r="C120" t="str">
            <v>KP</v>
          </cell>
          <cell r="D120" t="str">
            <v>PRK</v>
          </cell>
          <cell r="E120">
            <v>408</v>
          </cell>
        </row>
        <row r="121">
          <cell r="B121" t="str">
            <v>Korea (the Republic of)</v>
          </cell>
          <cell r="C121" t="str">
            <v>KR</v>
          </cell>
          <cell r="D121" t="str">
            <v>KOR</v>
          </cell>
          <cell r="E121">
            <v>410</v>
          </cell>
        </row>
        <row r="122">
          <cell r="B122" t="str">
            <v>Kuwait</v>
          </cell>
          <cell r="C122" t="str">
            <v>KW</v>
          </cell>
          <cell r="D122" t="str">
            <v>KWT</v>
          </cell>
          <cell r="E122">
            <v>414</v>
          </cell>
        </row>
        <row r="123">
          <cell r="B123" t="str">
            <v>Kyrgyzstan</v>
          </cell>
          <cell r="C123" t="str">
            <v>KG</v>
          </cell>
          <cell r="D123" t="str">
            <v>KGZ</v>
          </cell>
          <cell r="E123">
            <v>417</v>
          </cell>
        </row>
        <row r="124">
          <cell r="B124" t="str">
            <v>Lao People's Democratic Republic (the)</v>
          </cell>
          <cell r="C124" t="str">
            <v>LA</v>
          </cell>
          <cell r="D124" t="str">
            <v>LAO</v>
          </cell>
          <cell r="E124">
            <v>418</v>
          </cell>
        </row>
        <row r="125">
          <cell r="B125" t="str">
            <v>Latvia</v>
          </cell>
          <cell r="C125" t="str">
            <v>LV</v>
          </cell>
          <cell r="D125" t="str">
            <v>LVA</v>
          </cell>
          <cell r="E125">
            <v>428</v>
          </cell>
        </row>
        <row r="126">
          <cell r="B126" t="str">
            <v>Lebanon</v>
          </cell>
          <cell r="C126" t="str">
            <v>LB</v>
          </cell>
          <cell r="D126" t="str">
            <v>LBN</v>
          </cell>
          <cell r="E126">
            <v>422</v>
          </cell>
        </row>
        <row r="127">
          <cell r="B127" t="str">
            <v>Lesotho</v>
          </cell>
          <cell r="C127" t="str">
            <v>LS</v>
          </cell>
          <cell r="D127" t="str">
            <v>LSO</v>
          </cell>
          <cell r="E127">
            <v>426</v>
          </cell>
        </row>
        <row r="128">
          <cell r="B128" t="str">
            <v>Liberia</v>
          </cell>
          <cell r="C128" t="str">
            <v>LR</v>
          </cell>
          <cell r="D128" t="str">
            <v>LBR</v>
          </cell>
          <cell r="E128">
            <v>430</v>
          </cell>
        </row>
        <row r="129">
          <cell r="B129" t="str">
            <v>Libya</v>
          </cell>
          <cell r="C129" t="str">
            <v>LY</v>
          </cell>
          <cell r="D129" t="str">
            <v>LBY</v>
          </cell>
          <cell r="E129">
            <v>434</v>
          </cell>
        </row>
        <row r="130">
          <cell r="B130" t="str">
            <v>Liechtenstein</v>
          </cell>
          <cell r="C130" t="str">
            <v>LI</v>
          </cell>
          <cell r="D130" t="str">
            <v>LIE</v>
          </cell>
          <cell r="E130">
            <v>438</v>
          </cell>
        </row>
        <row r="131">
          <cell r="B131" t="str">
            <v>Lithuania</v>
          </cell>
          <cell r="C131" t="str">
            <v>LT</v>
          </cell>
          <cell r="D131" t="str">
            <v>LTU</v>
          </cell>
          <cell r="E131">
            <v>440</v>
          </cell>
        </row>
        <row r="132">
          <cell r="B132" t="str">
            <v>Luxembourg</v>
          </cell>
          <cell r="C132" t="str">
            <v>LU</v>
          </cell>
          <cell r="D132" t="str">
            <v>LUX</v>
          </cell>
          <cell r="E132">
            <v>442</v>
          </cell>
        </row>
        <row r="133">
          <cell r="B133" t="str">
            <v>Macao</v>
          </cell>
          <cell r="C133" t="str">
            <v>MO</v>
          </cell>
          <cell r="D133" t="str">
            <v>MAC</v>
          </cell>
          <cell r="E133">
            <v>446</v>
          </cell>
        </row>
        <row r="134">
          <cell r="B134" t="str">
            <v>Madagascar</v>
          </cell>
          <cell r="C134" t="str">
            <v>MG</v>
          </cell>
          <cell r="D134" t="str">
            <v>MDG</v>
          </cell>
          <cell r="E134">
            <v>450</v>
          </cell>
        </row>
        <row r="135">
          <cell r="B135" t="str">
            <v>Malawi</v>
          </cell>
          <cell r="C135" t="str">
            <v>MW</v>
          </cell>
          <cell r="D135" t="str">
            <v>MWI</v>
          </cell>
          <cell r="E135">
            <v>454</v>
          </cell>
        </row>
        <row r="136">
          <cell r="B136" t="str">
            <v>Malaysia</v>
          </cell>
          <cell r="C136" t="str">
            <v>MY</v>
          </cell>
          <cell r="D136" t="str">
            <v>MYS</v>
          </cell>
          <cell r="E136">
            <v>458</v>
          </cell>
        </row>
        <row r="137">
          <cell r="B137" t="str">
            <v>Maldives</v>
          </cell>
          <cell r="C137" t="str">
            <v>MV</v>
          </cell>
          <cell r="D137" t="str">
            <v>MDV</v>
          </cell>
          <cell r="E137">
            <v>462</v>
          </cell>
        </row>
        <row r="138">
          <cell r="B138" t="str">
            <v>Mali</v>
          </cell>
          <cell r="C138" t="str">
            <v>ML</v>
          </cell>
          <cell r="D138" t="str">
            <v>MLI</v>
          </cell>
          <cell r="E138">
            <v>466</v>
          </cell>
        </row>
        <row r="139">
          <cell r="B139" t="str">
            <v>Malta</v>
          </cell>
          <cell r="C139" t="str">
            <v>MT</v>
          </cell>
          <cell r="D139" t="str">
            <v>MLT</v>
          </cell>
          <cell r="E139">
            <v>470</v>
          </cell>
        </row>
        <row r="140">
          <cell r="B140" t="str">
            <v>Marshall Islands (the)</v>
          </cell>
          <cell r="C140" t="str">
            <v>MH</v>
          </cell>
          <cell r="D140" t="str">
            <v>MHL</v>
          </cell>
          <cell r="E140">
            <v>584</v>
          </cell>
        </row>
        <row r="141">
          <cell r="B141" t="str">
            <v>Martinique</v>
          </cell>
          <cell r="C141" t="str">
            <v>MQ</v>
          </cell>
          <cell r="D141" t="str">
            <v>MTQ</v>
          </cell>
          <cell r="E141">
            <v>474</v>
          </cell>
        </row>
        <row r="142">
          <cell r="B142" t="str">
            <v>Mauritania</v>
          </cell>
          <cell r="C142" t="str">
            <v>MR</v>
          </cell>
          <cell r="D142" t="str">
            <v>MRT</v>
          </cell>
          <cell r="E142">
            <v>478</v>
          </cell>
        </row>
        <row r="143">
          <cell r="B143" t="str">
            <v>Mauritius</v>
          </cell>
          <cell r="C143" t="str">
            <v>MU</v>
          </cell>
          <cell r="D143" t="str">
            <v>MUS</v>
          </cell>
          <cell r="E143">
            <v>480</v>
          </cell>
        </row>
        <row r="144">
          <cell r="B144" t="str">
            <v>Mayotte</v>
          </cell>
          <cell r="C144" t="str">
            <v>YT</v>
          </cell>
          <cell r="D144" t="str">
            <v>MYT</v>
          </cell>
          <cell r="E144">
            <v>175</v>
          </cell>
        </row>
        <row r="145">
          <cell r="B145" t="str">
            <v>Mexico</v>
          </cell>
          <cell r="C145" t="str">
            <v>MX</v>
          </cell>
          <cell r="D145" t="str">
            <v>MEX</v>
          </cell>
          <cell r="E145">
            <v>484</v>
          </cell>
        </row>
        <row r="146">
          <cell r="B146" t="str">
            <v>Micronesia (Federated States of)</v>
          </cell>
          <cell r="C146" t="str">
            <v>FM</v>
          </cell>
          <cell r="D146" t="str">
            <v>FSM</v>
          </cell>
          <cell r="E146">
            <v>583</v>
          </cell>
        </row>
        <row r="147">
          <cell r="B147" t="str">
            <v>Moldova (the Republic of)</v>
          </cell>
          <cell r="C147" t="str">
            <v>MD</v>
          </cell>
          <cell r="D147" t="str">
            <v>MDA</v>
          </cell>
          <cell r="E147">
            <v>498</v>
          </cell>
        </row>
        <row r="148">
          <cell r="B148" t="str">
            <v>Monaco</v>
          </cell>
          <cell r="C148" t="str">
            <v>MC</v>
          </cell>
          <cell r="D148" t="str">
            <v>MCO</v>
          </cell>
          <cell r="E148">
            <v>492</v>
          </cell>
        </row>
        <row r="149">
          <cell r="B149" t="str">
            <v>Mongolia</v>
          </cell>
          <cell r="C149" t="str">
            <v>MN</v>
          </cell>
          <cell r="D149" t="str">
            <v>MNG</v>
          </cell>
          <cell r="E149">
            <v>496</v>
          </cell>
        </row>
        <row r="150">
          <cell r="B150" t="str">
            <v>Montenegro</v>
          </cell>
          <cell r="C150" t="str">
            <v>ME</v>
          </cell>
          <cell r="D150" t="str">
            <v>MNE</v>
          </cell>
          <cell r="E150">
            <v>499</v>
          </cell>
        </row>
        <row r="151">
          <cell r="B151" t="str">
            <v>Montserrat</v>
          </cell>
          <cell r="C151" t="str">
            <v>MS</v>
          </cell>
          <cell r="D151" t="str">
            <v>MSR</v>
          </cell>
          <cell r="E151">
            <v>500</v>
          </cell>
        </row>
        <row r="152">
          <cell r="B152" t="str">
            <v>Morocco</v>
          </cell>
          <cell r="C152" t="str">
            <v>MA</v>
          </cell>
          <cell r="D152" t="str">
            <v>MAR</v>
          </cell>
          <cell r="E152">
            <v>504</v>
          </cell>
        </row>
        <row r="153">
          <cell r="B153" t="str">
            <v>Mozambique</v>
          </cell>
          <cell r="C153" t="str">
            <v>MZ</v>
          </cell>
          <cell r="D153" t="str">
            <v>MOZ</v>
          </cell>
          <cell r="E153">
            <v>508</v>
          </cell>
        </row>
        <row r="154">
          <cell r="B154" t="str">
            <v>Myanmar</v>
          </cell>
          <cell r="C154" t="str">
            <v>MM</v>
          </cell>
          <cell r="D154" t="str">
            <v>MMR</v>
          </cell>
          <cell r="E154">
            <v>104</v>
          </cell>
        </row>
        <row r="155">
          <cell r="B155" t="str">
            <v>Namibia</v>
          </cell>
          <cell r="C155" t="str">
            <v>NA</v>
          </cell>
          <cell r="D155" t="str">
            <v>NAM</v>
          </cell>
          <cell r="E155">
            <v>516</v>
          </cell>
        </row>
        <row r="156">
          <cell r="B156" t="str">
            <v>Nauru</v>
          </cell>
          <cell r="C156" t="str">
            <v>NR</v>
          </cell>
          <cell r="D156" t="str">
            <v>NRU</v>
          </cell>
          <cell r="E156">
            <v>520</v>
          </cell>
        </row>
        <row r="157">
          <cell r="B157" t="str">
            <v>Nepal</v>
          </cell>
          <cell r="C157" t="str">
            <v>NP</v>
          </cell>
          <cell r="D157" t="str">
            <v>NPL</v>
          </cell>
          <cell r="E157">
            <v>524</v>
          </cell>
        </row>
        <row r="158">
          <cell r="B158" t="str">
            <v>Netherlands (the)</v>
          </cell>
          <cell r="C158" t="str">
            <v>NL</v>
          </cell>
          <cell r="D158" t="str">
            <v>NLD</v>
          </cell>
          <cell r="E158">
            <v>528</v>
          </cell>
        </row>
        <row r="159">
          <cell r="B159" t="str">
            <v>New Caledonia</v>
          </cell>
          <cell r="C159" t="str">
            <v>NC</v>
          </cell>
          <cell r="D159" t="str">
            <v>NCL</v>
          </cell>
          <cell r="E159">
            <v>540</v>
          </cell>
        </row>
        <row r="160">
          <cell r="B160" t="str">
            <v>New Zealand</v>
          </cell>
          <cell r="C160" t="str">
            <v>NZ</v>
          </cell>
          <cell r="D160" t="str">
            <v>NZL</v>
          </cell>
          <cell r="E160">
            <v>554</v>
          </cell>
        </row>
        <row r="161">
          <cell r="B161" t="str">
            <v>Nicaragua</v>
          </cell>
          <cell r="C161" t="str">
            <v>NI</v>
          </cell>
          <cell r="D161" t="str">
            <v>NIC</v>
          </cell>
          <cell r="E161">
            <v>558</v>
          </cell>
        </row>
        <row r="162">
          <cell r="B162" t="str">
            <v>Niger (the)</v>
          </cell>
          <cell r="C162" t="str">
            <v>NE</v>
          </cell>
          <cell r="D162" t="str">
            <v>NER</v>
          </cell>
          <cell r="E162">
            <v>562</v>
          </cell>
        </row>
        <row r="163">
          <cell r="B163" t="str">
            <v>Nigeria</v>
          </cell>
          <cell r="C163" t="str">
            <v>NG</v>
          </cell>
          <cell r="D163" t="str">
            <v>NGA</v>
          </cell>
          <cell r="E163">
            <v>566</v>
          </cell>
        </row>
        <row r="164">
          <cell r="B164" t="str">
            <v>Niue</v>
          </cell>
          <cell r="C164" t="str">
            <v>NU</v>
          </cell>
          <cell r="D164" t="str">
            <v>NIU</v>
          </cell>
          <cell r="E164">
            <v>570</v>
          </cell>
        </row>
        <row r="165">
          <cell r="B165" t="str">
            <v>Norfolk Island</v>
          </cell>
          <cell r="C165" t="str">
            <v>NF</v>
          </cell>
          <cell r="D165" t="str">
            <v>NFK</v>
          </cell>
          <cell r="E165">
            <v>574</v>
          </cell>
        </row>
        <row r="166">
          <cell r="B166" t="str">
            <v>Northern Mariana Islands (the)</v>
          </cell>
          <cell r="C166" t="str">
            <v>MP</v>
          </cell>
          <cell r="D166" t="str">
            <v>MNP</v>
          </cell>
          <cell r="E166">
            <v>580</v>
          </cell>
        </row>
        <row r="167">
          <cell r="B167" t="str">
            <v>Norway</v>
          </cell>
          <cell r="C167" t="str">
            <v>NO</v>
          </cell>
          <cell r="D167" t="str">
            <v>NOR</v>
          </cell>
          <cell r="E167">
            <v>578</v>
          </cell>
        </row>
        <row r="168">
          <cell r="B168" t="str">
            <v>Oman</v>
          </cell>
          <cell r="C168" t="str">
            <v>OM</v>
          </cell>
          <cell r="D168" t="str">
            <v>OMN</v>
          </cell>
          <cell r="E168">
            <v>512</v>
          </cell>
        </row>
        <row r="169">
          <cell r="B169" t="str">
            <v>Pakistan</v>
          </cell>
          <cell r="C169" t="str">
            <v>PK</v>
          </cell>
          <cell r="D169" t="str">
            <v>PAK</v>
          </cell>
          <cell r="E169">
            <v>586</v>
          </cell>
        </row>
        <row r="170">
          <cell r="B170" t="str">
            <v>Palau</v>
          </cell>
          <cell r="C170" t="str">
            <v>PW</v>
          </cell>
          <cell r="D170" t="str">
            <v>PLW</v>
          </cell>
          <cell r="E170">
            <v>585</v>
          </cell>
        </row>
        <row r="171">
          <cell r="B171" t="str">
            <v>Palestine, State of</v>
          </cell>
          <cell r="C171" t="str">
            <v>PS</v>
          </cell>
          <cell r="D171" t="str">
            <v>PSE</v>
          </cell>
          <cell r="E171">
            <v>275</v>
          </cell>
        </row>
        <row r="172">
          <cell r="B172" t="str">
            <v>Panama</v>
          </cell>
          <cell r="C172" t="str">
            <v>PA</v>
          </cell>
          <cell r="D172" t="str">
            <v>PAN</v>
          </cell>
          <cell r="E172">
            <v>591</v>
          </cell>
        </row>
        <row r="173">
          <cell r="B173" t="str">
            <v>Papua New Guinea</v>
          </cell>
          <cell r="C173" t="str">
            <v>PG</v>
          </cell>
          <cell r="D173" t="str">
            <v>PNG</v>
          </cell>
          <cell r="E173">
            <v>598</v>
          </cell>
        </row>
        <row r="174">
          <cell r="B174" t="str">
            <v>Paraguay</v>
          </cell>
          <cell r="C174" t="str">
            <v>PY</v>
          </cell>
          <cell r="D174" t="str">
            <v>PRY</v>
          </cell>
          <cell r="E174">
            <v>600</v>
          </cell>
        </row>
        <row r="175">
          <cell r="B175" t="str">
            <v>Peru</v>
          </cell>
          <cell r="C175" t="str">
            <v>PE</v>
          </cell>
          <cell r="D175" t="str">
            <v>PER</v>
          </cell>
          <cell r="E175">
            <v>604</v>
          </cell>
        </row>
        <row r="176">
          <cell r="B176" t="str">
            <v>Philippines (the)</v>
          </cell>
          <cell r="C176" t="str">
            <v>PH</v>
          </cell>
          <cell r="D176" t="str">
            <v>PHL</v>
          </cell>
          <cell r="E176">
            <v>608</v>
          </cell>
        </row>
        <row r="177">
          <cell r="B177" t="str">
            <v>Pitcairn</v>
          </cell>
          <cell r="C177" t="str">
            <v>PN</v>
          </cell>
          <cell r="D177" t="str">
            <v>PCN</v>
          </cell>
          <cell r="E177">
            <v>612</v>
          </cell>
        </row>
        <row r="178">
          <cell r="B178" t="str">
            <v>Poland</v>
          </cell>
          <cell r="C178" t="str">
            <v>PL</v>
          </cell>
          <cell r="D178" t="str">
            <v>POL</v>
          </cell>
          <cell r="E178">
            <v>616</v>
          </cell>
        </row>
        <row r="179">
          <cell r="B179" t="str">
            <v>Portugal</v>
          </cell>
          <cell r="C179" t="str">
            <v>PT</v>
          </cell>
          <cell r="D179" t="str">
            <v>PRT</v>
          </cell>
          <cell r="E179">
            <v>620</v>
          </cell>
        </row>
        <row r="180">
          <cell r="B180" t="str">
            <v>Puerto Rico</v>
          </cell>
          <cell r="C180" t="str">
            <v>PR</v>
          </cell>
          <cell r="D180" t="str">
            <v>PRI</v>
          </cell>
          <cell r="E180">
            <v>630</v>
          </cell>
        </row>
        <row r="181">
          <cell r="B181" t="str">
            <v>Qatar</v>
          </cell>
          <cell r="C181" t="str">
            <v>QA</v>
          </cell>
          <cell r="D181" t="str">
            <v>QAT</v>
          </cell>
          <cell r="E181">
            <v>634</v>
          </cell>
        </row>
        <row r="182">
          <cell r="B182" t="str">
            <v>Republic of North Macedonia</v>
          </cell>
          <cell r="C182" t="str">
            <v>MK</v>
          </cell>
          <cell r="D182" t="str">
            <v>MKD</v>
          </cell>
          <cell r="E182">
            <v>807</v>
          </cell>
        </row>
        <row r="183">
          <cell r="B183" t="str">
            <v>Romania</v>
          </cell>
          <cell r="C183" t="str">
            <v>RO</v>
          </cell>
          <cell r="D183" t="str">
            <v>ROU</v>
          </cell>
          <cell r="E183">
            <v>642</v>
          </cell>
        </row>
        <row r="184">
          <cell r="B184" t="str">
            <v>Russian Federation (the)</v>
          </cell>
          <cell r="C184" t="str">
            <v>RU</v>
          </cell>
          <cell r="D184" t="str">
            <v>RUS</v>
          </cell>
          <cell r="E184">
            <v>643</v>
          </cell>
        </row>
        <row r="185">
          <cell r="B185" t="str">
            <v>Rwanda</v>
          </cell>
          <cell r="C185" t="str">
            <v>RW</v>
          </cell>
          <cell r="D185" t="str">
            <v>RWA</v>
          </cell>
          <cell r="E185">
            <v>646</v>
          </cell>
        </row>
        <row r="186">
          <cell r="B186" t="str">
            <v>Réunion</v>
          </cell>
          <cell r="C186" t="str">
            <v>RE</v>
          </cell>
          <cell r="D186" t="str">
            <v>REU</v>
          </cell>
          <cell r="E186">
            <v>638</v>
          </cell>
        </row>
        <row r="187">
          <cell r="B187" t="str">
            <v>Saint Barthélemy</v>
          </cell>
          <cell r="C187" t="str">
            <v>BL</v>
          </cell>
          <cell r="D187" t="str">
            <v>BLM</v>
          </cell>
          <cell r="E187">
            <v>652</v>
          </cell>
        </row>
        <row r="188">
          <cell r="B188" t="str">
            <v>Saint Helena, Ascension and Tristan da Cunha</v>
          </cell>
          <cell r="C188" t="str">
            <v>SH</v>
          </cell>
          <cell r="D188" t="str">
            <v>SHN</v>
          </cell>
          <cell r="E188">
            <v>654</v>
          </cell>
        </row>
        <row r="189">
          <cell r="B189" t="str">
            <v>Saint Kitts and Nevis</v>
          </cell>
          <cell r="C189" t="str">
            <v>KN</v>
          </cell>
          <cell r="D189" t="str">
            <v>KNA</v>
          </cell>
          <cell r="E189">
            <v>659</v>
          </cell>
        </row>
        <row r="190">
          <cell r="B190" t="str">
            <v>Saint Lucia</v>
          </cell>
          <cell r="C190" t="str">
            <v>LC</v>
          </cell>
          <cell r="D190" t="str">
            <v>LCA</v>
          </cell>
          <cell r="E190">
            <v>662</v>
          </cell>
        </row>
        <row r="191">
          <cell r="B191" t="str">
            <v>Saint Martin (French part)</v>
          </cell>
          <cell r="C191" t="str">
            <v>MF</v>
          </cell>
          <cell r="D191" t="str">
            <v>MAF</v>
          </cell>
          <cell r="E191">
            <v>663</v>
          </cell>
        </row>
        <row r="192">
          <cell r="B192" t="str">
            <v>Saint Pierre and Miquelon</v>
          </cell>
          <cell r="C192" t="str">
            <v>PM</v>
          </cell>
          <cell r="D192" t="str">
            <v>SPM</v>
          </cell>
          <cell r="E192">
            <v>666</v>
          </cell>
        </row>
        <row r="193">
          <cell r="B193" t="str">
            <v>Saint Vincent and the Grenadines</v>
          </cell>
          <cell r="C193" t="str">
            <v>VC</v>
          </cell>
          <cell r="D193" t="str">
            <v>VCT</v>
          </cell>
          <cell r="E193">
            <v>670</v>
          </cell>
        </row>
        <row r="194">
          <cell r="B194" t="str">
            <v>Samoa</v>
          </cell>
          <cell r="C194" t="str">
            <v>WS</v>
          </cell>
          <cell r="D194" t="str">
            <v>WSM</v>
          </cell>
          <cell r="E194">
            <v>882</v>
          </cell>
        </row>
        <row r="195">
          <cell r="B195" t="str">
            <v>San Marino</v>
          </cell>
          <cell r="C195" t="str">
            <v>SM</v>
          </cell>
          <cell r="D195" t="str">
            <v>SMR</v>
          </cell>
          <cell r="E195">
            <v>674</v>
          </cell>
        </row>
        <row r="196">
          <cell r="B196" t="str">
            <v>Sao Tome and Principe</v>
          </cell>
          <cell r="C196" t="str">
            <v>ST</v>
          </cell>
          <cell r="D196" t="str">
            <v>STP</v>
          </cell>
          <cell r="E196">
            <v>678</v>
          </cell>
        </row>
        <row r="197">
          <cell r="B197" t="str">
            <v>Saudi Arabia</v>
          </cell>
          <cell r="C197" t="str">
            <v>SA</v>
          </cell>
          <cell r="D197" t="str">
            <v>SAU</v>
          </cell>
          <cell r="E197">
            <v>682</v>
          </cell>
        </row>
        <row r="198">
          <cell r="B198" t="str">
            <v>Senegal</v>
          </cell>
          <cell r="C198" t="str">
            <v>SN</v>
          </cell>
          <cell r="D198" t="str">
            <v>SEN</v>
          </cell>
          <cell r="E198">
            <v>686</v>
          </cell>
        </row>
        <row r="199">
          <cell r="B199" t="str">
            <v>Serbia</v>
          </cell>
          <cell r="C199" t="str">
            <v>RS</v>
          </cell>
          <cell r="D199" t="str">
            <v>SRB</v>
          </cell>
          <cell r="E199">
            <v>688</v>
          </cell>
        </row>
        <row r="200">
          <cell r="B200" t="str">
            <v>Seychelles</v>
          </cell>
          <cell r="C200" t="str">
            <v>SC</v>
          </cell>
          <cell r="D200" t="str">
            <v>SYC</v>
          </cell>
          <cell r="E200">
            <v>690</v>
          </cell>
        </row>
        <row r="201">
          <cell r="B201" t="str">
            <v>Sierra Leone</v>
          </cell>
          <cell r="C201" t="str">
            <v>SL</v>
          </cell>
          <cell r="D201" t="str">
            <v>SLE</v>
          </cell>
          <cell r="E201">
            <v>694</v>
          </cell>
        </row>
        <row r="202">
          <cell r="B202" t="str">
            <v>Singapore</v>
          </cell>
          <cell r="C202" t="str">
            <v>SG</v>
          </cell>
          <cell r="D202" t="str">
            <v>SGP</v>
          </cell>
          <cell r="E202">
            <v>702</v>
          </cell>
        </row>
        <row r="203">
          <cell r="B203" t="str">
            <v>Sint Maarten (Dutch part)</v>
          </cell>
          <cell r="C203" t="str">
            <v>SX</v>
          </cell>
          <cell r="D203" t="str">
            <v>SXM</v>
          </cell>
          <cell r="E203">
            <v>534</v>
          </cell>
        </row>
        <row r="204">
          <cell r="B204" t="str">
            <v>Slovakia</v>
          </cell>
          <cell r="C204" t="str">
            <v>SK</v>
          </cell>
          <cell r="D204" t="str">
            <v>SVK</v>
          </cell>
          <cell r="E204">
            <v>703</v>
          </cell>
        </row>
        <row r="205">
          <cell r="B205" t="str">
            <v>Slovenia</v>
          </cell>
          <cell r="C205" t="str">
            <v>SI</v>
          </cell>
          <cell r="D205" t="str">
            <v>SVN</v>
          </cell>
          <cell r="E205">
            <v>705</v>
          </cell>
        </row>
        <row r="206">
          <cell r="B206" t="str">
            <v>Solomon Islands</v>
          </cell>
          <cell r="C206" t="str">
            <v>SB</v>
          </cell>
          <cell r="D206" t="str">
            <v>SLB</v>
          </cell>
          <cell r="E206">
            <v>90</v>
          </cell>
        </row>
        <row r="207">
          <cell r="B207" t="str">
            <v>Somalia</v>
          </cell>
          <cell r="C207" t="str">
            <v>SO</v>
          </cell>
          <cell r="D207" t="str">
            <v>SOM</v>
          </cell>
          <cell r="E207">
            <v>706</v>
          </cell>
        </row>
        <row r="208">
          <cell r="B208" t="str">
            <v>South Africa</v>
          </cell>
          <cell r="C208" t="str">
            <v>ZA</v>
          </cell>
          <cell r="D208" t="str">
            <v>ZAF</v>
          </cell>
          <cell r="E208">
            <v>710</v>
          </cell>
        </row>
        <row r="209">
          <cell r="B209" t="str">
            <v>South Georgia and the South Sandwich Islands</v>
          </cell>
          <cell r="C209" t="str">
            <v>GS</v>
          </cell>
          <cell r="D209" t="str">
            <v>SGS</v>
          </cell>
          <cell r="E209">
            <v>239</v>
          </cell>
        </row>
        <row r="210">
          <cell r="B210" t="str">
            <v>South Sudan</v>
          </cell>
          <cell r="C210" t="str">
            <v>SS</v>
          </cell>
          <cell r="D210" t="str">
            <v>SSD</v>
          </cell>
          <cell r="E210">
            <v>728</v>
          </cell>
        </row>
        <row r="211">
          <cell r="B211" t="str">
            <v>Spain</v>
          </cell>
          <cell r="C211" t="str">
            <v>ES</v>
          </cell>
          <cell r="D211" t="str">
            <v>ESP</v>
          </cell>
          <cell r="E211">
            <v>724</v>
          </cell>
        </row>
        <row r="212">
          <cell r="B212" t="str">
            <v>Sri Lanka</v>
          </cell>
          <cell r="C212" t="str">
            <v>LK</v>
          </cell>
          <cell r="D212" t="str">
            <v>LKA</v>
          </cell>
          <cell r="E212">
            <v>144</v>
          </cell>
        </row>
        <row r="213">
          <cell r="B213" t="str">
            <v>Sudan (the)</v>
          </cell>
          <cell r="C213" t="str">
            <v>SD</v>
          </cell>
          <cell r="D213" t="str">
            <v>SDN</v>
          </cell>
          <cell r="E213">
            <v>729</v>
          </cell>
        </row>
        <row r="214">
          <cell r="B214" t="str">
            <v>Suriname</v>
          </cell>
          <cell r="C214" t="str">
            <v>SR</v>
          </cell>
          <cell r="D214" t="str">
            <v>SUR</v>
          </cell>
          <cell r="E214">
            <v>740</v>
          </cell>
        </row>
        <row r="215">
          <cell r="B215" t="str">
            <v>Svalbard and Jan Mayen</v>
          </cell>
          <cell r="C215" t="str">
            <v>SJ</v>
          </cell>
          <cell r="D215" t="str">
            <v>SJM</v>
          </cell>
          <cell r="E215">
            <v>744</v>
          </cell>
        </row>
        <row r="216">
          <cell r="B216" t="str">
            <v>Sweden</v>
          </cell>
          <cell r="C216" t="str">
            <v>SE</v>
          </cell>
          <cell r="D216" t="str">
            <v>SWE</v>
          </cell>
          <cell r="E216">
            <v>752</v>
          </cell>
        </row>
        <row r="217">
          <cell r="B217" t="str">
            <v>Switzerland</v>
          </cell>
          <cell r="C217" t="str">
            <v>CH</v>
          </cell>
          <cell r="D217" t="str">
            <v>CHE</v>
          </cell>
          <cell r="E217">
            <v>756</v>
          </cell>
        </row>
        <row r="218">
          <cell r="B218" t="str">
            <v>Syrian Arab Republic</v>
          </cell>
          <cell r="C218" t="str">
            <v>SY</v>
          </cell>
          <cell r="D218" t="str">
            <v>SYR</v>
          </cell>
          <cell r="E218">
            <v>760</v>
          </cell>
        </row>
        <row r="219">
          <cell r="B219" t="str">
            <v>Taiwan (Province of China)</v>
          </cell>
          <cell r="C219" t="str">
            <v>TW</v>
          </cell>
          <cell r="D219" t="str">
            <v>TWN</v>
          </cell>
          <cell r="E219">
            <v>158</v>
          </cell>
        </row>
        <row r="220">
          <cell r="B220" t="str">
            <v>Tajikistan</v>
          </cell>
          <cell r="C220" t="str">
            <v>TJ</v>
          </cell>
          <cell r="D220" t="str">
            <v>TJK</v>
          </cell>
          <cell r="E220">
            <v>762</v>
          </cell>
        </row>
        <row r="221">
          <cell r="B221" t="str">
            <v>Tanzania, United Republic of</v>
          </cell>
          <cell r="C221" t="str">
            <v>TZ</v>
          </cell>
          <cell r="D221" t="str">
            <v>TZA</v>
          </cell>
          <cell r="E221">
            <v>834</v>
          </cell>
        </row>
        <row r="222">
          <cell r="B222" t="str">
            <v>Thailand</v>
          </cell>
          <cell r="C222" t="str">
            <v>TH</v>
          </cell>
          <cell r="D222" t="str">
            <v>THA</v>
          </cell>
          <cell r="E222">
            <v>764</v>
          </cell>
        </row>
        <row r="223">
          <cell r="B223" t="str">
            <v>Timor-Leste</v>
          </cell>
          <cell r="C223" t="str">
            <v>TL</v>
          </cell>
          <cell r="D223" t="str">
            <v>TLS</v>
          </cell>
          <cell r="E223">
            <v>626</v>
          </cell>
        </row>
        <row r="224">
          <cell r="B224" t="str">
            <v>Togo</v>
          </cell>
          <cell r="C224" t="str">
            <v>TG</v>
          </cell>
          <cell r="D224" t="str">
            <v>TGO</v>
          </cell>
          <cell r="E224">
            <v>768</v>
          </cell>
        </row>
        <row r="225">
          <cell r="B225" t="str">
            <v>Tokelau</v>
          </cell>
          <cell r="C225" t="str">
            <v>TK</v>
          </cell>
          <cell r="D225" t="str">
            <v>TKL</v>
          </cell>
          <cell r="E225">
            <v>772</v>
          </cell>
        </row>
        <row r="226">
          <cell r="B226" t="str">
            <v>Tonga</v>
          </cell>
          <cell r="C226" t="str">
            <v>TO</v>
          </cell>
          <cell r="D226" t="str">
            <v>TON</v>
          </cell>
          <cell r="E226">
            <v>776</v>
          </cell>
        </row>
        <row r="227">
          <cell r="B227" t="str">
            <v>Trinidad and Tobago</v>
          </cell>
          <cell r="C227" t="str">
            <v>TT</v>
          </cell>
          <cell r="D227" t="str">
            <v>TTO</v>
          </cell>
          <cell r="E227">
            <v>780</v>
          </cell>
        </row>
        <row r="228">
          <cell r="B228" t="str">
            <v>Tunisia</v>
          </cell>
          <cell r="C228" t="str">
            <v>TN</v>
          </cell>
          <cell r="D228" t="str">
            <v>TUN</v>
          </cell>
          <cell r="E228">
            <v>788</v>
          </cell>
        </row>
        <row r="229">
          <cell r="B229" t="str">
            <v>Turkey</v>
          </cell>
          <cell r="C229" t="str">
            <v>TR</v>
          </cell>
          <cell r="D229" t="str">
            <v>TUR</v>
          </cell>
          <cell r="E229">
            <v>792</v>
          </cell>
        </row>
        <row r="230">
          <cell r="B230" t="str">
            <v>Turkmenistan</v>
          </cell>
          <cell r="C230" t="str">
            <v>TM</v>
          </cell>
          <cell r="D230" t="str">
            <v>TKM</v>
          </cell>
          <cell r="E230">
            <v>795</v>
          </cell>
        </row>
        <row r="231">
          <cell r="B231" t="str">
            <v>Turks and Caicos Islands (the)</v>
          </cell>
          <cell r="C231" t="str">
            <v>TC</v>
          </cell>
          <cell r="D231" t="str">
            <v>TCA</v>
          </cell>
          <cell r="E231">
            <v>796</v>
          </cell>
        </row>
        <row r="232">
          <cell r="B232" t="str">
            <v>Tuvalu</v>
          </cell>
          <cell r="C232" t="str">
            <v>TV</v>
          </cell>
          <cell r="D232" t="str">
            <v>TUV</v>
          </cell>
          <cell r="E232">
            <v>798</v>
          </cell>
        </row>
        <row r="233">
          <cell r="B233" t="str">
            <v>Uganda</v>
          </cell>
          <cell r="C233" t="str">
            <v>UG</v>
          </cell>
          <cell r="D233" t="str">
            <v>UGA</v>
          </cell>
          <cell r="E233">
            <v>800</v>
          </cell>
        </row>
        <row r="234">
          <cell r="B234" t="str">
            <v>Ukraine</v>
          </cell>
          <cell r="C234" t="str">
            <v>UA</v>
          </cell>
          <cell r="D234" t="str">
            <v>UKR</v>
          </cell>
          <cell r="E234">
            <v>804</v>
          </cell>
        </row>
        <row r="235">
          <cell r="B235" t="str">
            <v>United Arab Emirates (the)</v>
          </cell>
          <cell r="C235" t="str">
            <v>AE</v>
          </cell>
          <cell r="D235" t="str">
            <v>ARE</v>
          </cell>
          <cell r="E235">
            <v>784</v>
          </cell>
        </row>
        <row r="236">
          <cell r="B236" t="str">
            <v>United Kingdom of Great Britain and Northern Ireland (the)</v>
          </cell>
          <cell r="C236" t="str">
            <v>GB</v>
          </cell>
          <cell r="D236" t="str">
            <v>GBR</v>
          </cell>
          <cell r="E236">
            <v>826</v>
          </cell>
        </row>
        <row r="237">
          <cell r="B237" t="str">
            <v>United States Minor Outlying Islands (the)</v>
          </cell>
          <cell r="C237" t="str">
            <v>UM</v>
          </cell>
          <cell r="D237" t="str">
            <v>UMI</v>
          </cell>
          <cell r="E237">
            <v>581</v>
          </cell>
        </row>
        <row r="238">
          <cell r="B238" t="str">
            <v>United States of America (the)</v>
          </cell>
          <cell r="C238" t="str">
            <v>US</v>
          </cell>
          <cell r="D238" t="str">
            <v>USA</v>
          </cell>
          <cell r="E238">
            <v>840</v>
          </cell>
        </row>
        <row r="239">
          <cell r="B239" t="str">
            <v>Uruguay</v>
          </cell>
          <cell r="C239" t="str">
            <v>UY</v>
          </cell>
          <cell r="D239" t="str">
            <v>URY</v>
          </cell>
          <cell r="E239">
            <v>858</v>
          </cell>
        </row>
        <row r="240">
          <cell r="B240" t="str">
            <v>Uzbekistan</v>
          </cell>
          <cell r="C240" t="str">
            <v>UZ</v>
          </cell>
          <cell r="D240" t="str">
            <v>UZB</v>
          </cell>
          <cell r="E240">
            <v>860</v>
          </cell>
        </row>
        <row r="241">
          <cell r="B241" t="str">
            <v>Vanuatu</v>
          </cell>
          <cell r="C241" t="str">
            <v>VU</v>
          </cell>
          <cell r="D241" t="str">
            <v>VUT</v>
          </cell>
          <cell r="E241">
            <v>548</v>
          </cell>
        </row>
        <row r="242">
          <cell r="B242" t="str">
            <v>Venezuela (Bolivarian Republic of)</v>
          </cell>
          <cell r="C242" t="str">
            <v>VE</v>
          </cell>
          <cell r="D242" t="str">
            <v>VEN</v>
          </cell>
          <cell r="E242">
            <v>862</v>
          </cell>
        </row>
        <row r="243">
          <cell r="B243" t="str">
            <v>Viet Nam</v>
          </cell>
          <cell r="C243" t="str">
            <v>VN</v>
          </cell>
          <cell r="D243" t="str">
            <v>VNM</v>
          </cell>
          <cell r="E243">
            <v>704</v>
          </cell>
        </row>
        <row r="244">
          <cell r="B244" t="str">
            <v>Virgin Islands (British)</v>
          </cell>
          <cell r="C244" t="str">
            <v>VG</v>
          </cell>
          <cell r="D244" t="str">
            <v>VGB</v>
          </cell>
          <cell r="E244">
            <v>92</v>
          </cell>
        </row>
        <row r="245">
          <cell r="B245" t="str">
            <v>Virgin Islands (U.S.)</v>
          </cell>
          <cell r="C245" t="str">
            <v>VI</v>
          </cell>
          <cell r="D245" t="str">
            <v>VIR</v>
          </cell>
          <cell r="E245">
            <v>850</v>
          </cell>
        </row>
        <row r="246">
          <cell r="B246" t="str">
            <v>Wallis and Futuna</v>
          </cell>
          <cell r="C246" t="str">
            <v>WF</v>
          </cell>
          <cell r="D246" t="str">
            <v>WLF</v>
          </cell>
          <cell r="E246">
            <v>876</v>
          </cell>
        </row>
        <row r="247">
          <cell r="B247" t="str">
            <v>Western Sahara</v>
          </cell>
          <cell r="C247" t="str">
            <v>EH</v>
          </cell>
          <cell r="D247" t="str">
            <v>ESH</v>
          </cell>
          <cell r="E247">
            <v>732</v>
          </cell>
        </row>
        <row r="248">
          <cell r="B248" t="str">
            <v>Yemen</v>
          </cell>
          <cell r="C248" t="str">
            <v>YE</v>
          </cell>
          <cell r="D248" t="str">
            <v>YEM</v>
          </cell>
          <cell r="E248">
            <v>887</v>
          </cell>
        </row>
        <row r="249">
          <cell r="B249" t="str">
            <v>Zambia</v>
          </cell>
          <cell r="C249" t="str">
            <v>ZM</v>
          </cell>
          <cell r="D249" t="str">
            <v>ZMB</v>
          </cell>
          <cell r="E249">
            <v>894</v>
          </cell>
        </row>
        <row r="250">
          <cell r="B250" t="str">
            <v>Zimbabwe</v>
          </cell>
          <cell r="C250" t="str">
            <v>ZW</v>
          </cell>
          <cell r="D250" t="str">
            <v>ZWE</v>
          </cell>
          <cell r="E250">
            <v>716</v>
          </cell>
        </row>
        <row r="251">
          <cell r="B251" t="str">
            <v>Åland Islands</v>
          </cell>
          <cell r="C251" t="str">
            <v>AX</v>
          </cell>
          <cell r="D251" t="str">
            <v>ALA</v>
          </cell>
          <cell r="E251">
            <v>248</v>
          </cell>
        </row>
      </sheetData>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log"/>
      <sheetName val="Assumptions"/>
      <sheetName val="Overview_Pledge_Action"/>
      <sheetName val="Country codes"/>
      <sheetName val="Graph country"/>
      <sheetName val="Pledge table (2020)"/>
      <sheetName val="Pledge table (2030)"/>
      <sheetName val="Overview emissions (2020)"/>
      <sheetName val="Overview emissions (2030)"/>
      <sheetName val="Overview emissions"/>
      <sheetName val="Overview population"/>
      <sheetName val="Overview GDP (MER)"/>
      <sheetName val="Overview GDP (PPP)"/>
      <sheetName val="GDP-POP"/>
      <sheetName val="GDP (MER) (hist)"/>
      <sheetName val="Population (hist)"/>
      <sheetName val="GDP_reg (MER)"/>
      <sheetName val="GDP_reg (PPP)"/>
      <sheetName val="Emissions"/>
      <sheetName val="Historic"/>
      <sheetName val="hTotal EM (incl LULUCF)"/>
      <sheetName val="hTotal EM (excl LULUCF)"/>
      <sheetName val="hTotal EM (LULUCF)"/>
      <sheetName val="hTotal EM (incl LULUCF)_UNFCCC"/>
      <sheetName val="hTotal EM (excl LULUCF)_UNFCCC"/>
      <sheetName val="hTotal EM (LULUCF)_NATCOM"/>
      <sheetName val="historic emissions actions"/>
      <sheetName val="offset"/>
      <sheetName val="hCO2 (excl LULUCF)"/>
      <sheetName val="hCO2 (LULUCF)"/>
      <sheetName val="hCO2 (peat)"/>
      <sheetName val="5D Peat decay+fires"/>
      <sheetName val="hCH4 (excl LULUCF)"/>
      <sheetName val="hCH4 (LULUCF)"/>
      <sheetName val="hN2O (excl LULUCF)"/>
      <sheetName val="hN2O (LULUCF)"/>
      <sheetName val="hF-gases"/>
      <sheetName val="hAviationBunkers"/>
      <sheetName val="Projections"/>
      <sheetName val="pTotal (excl LULUCF)"/>
      <sheetName val="pTotal (LULUCF)"/>
      <sheetName val="pCO2 (excl LULUCF)"/>
      <sheetName val="pCO2 (LULUCF, excl peat)"/>
      <sheetName val="pPeat (LULUCF)"/>
      <sheetName val="pCH4 (excl LULUCF)"/>
      <sheetName val="pCH4 (LULUCF)"/>
      <sheetName val="pN2O (excl LULUCF)"/>
      <sheetName val="pN2O (LULUCF)"/>
      <sheetName val="pF-gases"/>
      <sheetName val="pAviationBunkers"/>
      <sheetName val="National"/>
      <sheetName val="Pledges"/>
      <sheetName val="INDCs"/>
      <sheetName val="Actions"/>
      <sheetName val="Actions_2"/>
      <sheetName val="Pledges information"/>
      <sheetName val="Emissions per GDP (MER)"/>
      <sheetName val="Emissions per capita"/>
      <sheetName val="Sheet1"/>
      <sheetName val="compare"/>
    </sheetNames>
    <sheetDataSet>
      <sheetData sheetId="0"/>
      <sheetData sheetId="1"/>
      <sheetData sheetId="2">
        <row r="2">
          <cell r="B2">
            <v>21</v>
          </cell>
        </row>
        <row r="3">
          <cell r="B3">
            <v>310</v>
          </cell>
        </row>
        <row r="22">
          <cell r="B22">
            <v>21</v>
          </cell>
        </row>
        <row r="23">
          <cell r="B23">
            <v>310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B1">
            <v>1000</v>
          </cell>
        </row>
      </sheetData>
      <sheetData sheetId="58"/>
      <sheetData sheetId="59"/>
      <sheetData sheetId="6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
      <sheetName val="Overview INDCs_update"/>
      <sheetName val="Overview_Evaluation"/>
      <sheetName val="Overview_compareC&amp;C"/>
      <sheetName val="INDCs"/>
      <sheetName val="%share INDCs"/>
      <sheetName val="Pledges"/>
      <sheetName val="input FAIR"/>
      <sheetName val="IIASA_LULUCF"/>
      <sheetName val="Graphs I"/>
      <sheetName val="Graphs II"/>
      <sheetName val="Graph III "/>
      <sheetName val="INDC paper_table"/>
      <sheetName val="Cost paper_fig 1"/>
      <sheetName val="Argentina"/>
      <sheetName val="Australia"/>
      <sheetName val="Brazil"/>
      <sheetName val="Canada"/>
      <sheetName val="China"/>
      <sheetName val="EU"/>
      <sheetName val="India"/>
      <sheetName val="Indonesia"/>
      <sheetName val="Japan"/>
      <sheetName val="Mexico"/>
      <sheetName val="Russia"/>
      <sheetName val="South Africa"/>
      <sheetName val="South Korea"/>
      <sheetName val="Turkey"/>
      <sheetName val="USA"/>
      <sheetName val="Chile"/>
      <sheetName val="Colombia"/>
      <sheetName val="DR_Congo"/>
      <sheetName val="Ethiopia"/>
      <sheetName val="Gabon"/>
      <sheetName val="Jordan"/>
      <sheetName val="Kazachstan"/>
      <sheetName val="Kenya"/>
      <sheetName val="Morocco"/>
      <sheetName val="New Zealand"/>
      <sheetName val="Norway"/>
      <sheetName val="Peru"/>
      <sheetName val="Serbia"/>
      <sheetName val="Singapore"/>
      <sheetName val="Switzerland"/>
      <sheetName val="Ukraine"/>
      <sheetName val="2 Degree"/>
      <sheetName val="UNEP"/>
      <sheetName val="data"/>
      <sheetName val="LULUCF_all countries"/>
      <sheetName val="IIASA_NC LULUCF"/>
      <sheetName val="GDP (MER)"/>
      <sheetName val="GDP (PPP)"/>
      <sheetName val="PPP per capita"/>
      <sheetName val="Population"/>
      <sheetName val="UNFCCC history (excl)"/>
      <sheetName val="UNFCCC history (incl)"/>
      <sheetName val="PBL_BAU_SAR"/>
      <sheetName val="PBL_BAU_AR4"/>
      <sheetName val="FAO_forest land"/>
      <sheetName val="IIASA"/>
      <sheetName val="Graph IV (Landuse)"/>
      <sheetName val="Graph V (Landuse)"/>
      <sheetName val="Sheet2"/>
    </sheetNames>
    <sheetDataSet>
      <sheetData sheetId="0"/>
      <sheetData sheetId="1">
        <row r="13">
          <cell r="C13" t="str">
            <v>Greenhouse gas emissions (MtCO2eq)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
          <cell r="E1" t="b">
            <v>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
      <sheetName val="Overview INDCs_update"/>
      <sheetName val="Overview_Evaluation"/>
      <sheetName val="Overview_compareC&amp;C"/>
      <sheetName val="INDCs"/>
      <sheetName val="%share INDCs"/>
      <sheetName val="Pledges"/>
      <sheetName val="input FAIR"/>
      <sheetName val="IIASA_LULUCF"/>
      <sheetName val="Graphs I"/>
      <sheetName val="Graphs II"/>
      <sheetName val="Graph III "/>
      <sheetName val="INDC paper_table"/>
      <sheetName val="Cost paper_fig 1"/>
      <sheetName val="Argentina"/>
      <sheetName val="Australia"/>
      <sheetName val="Brazil"/>
      <sheetName val="Canada"/>
      <sheetName val="China"/>
      <sheetName val="EU"/>
      <sheetName val="India"/>
      <sheetName val="Indonesia"/>
      <sheetName val="Japan"/>
      <sheetName val="Mexico"/>
      <sheetName val="Russia"/>
      <sheetName val="South Africa"/>
      <sheetName val="South Korea"/>
      <sheetName val="Turkey"/>
      <sheetName val="USA"/>
      <sheetName val="Chile"/>
      <sheetName val="Colombia"/>
      <sheetName val="DR_Congo"/>
      <sheetName val="Ethiopia"/>
      <sheetName val="Gabon"/>
      <sheetName val="Jordan"/>
      <sheetName val="Kazachstan"/>
      <sheetName val="Kenya"/>
      <sheetName val="Morocco"/>
      <sheetName val="New Zealand"/>
      <sheetName val="Norway"/>
      <sheetName val="Peru"/>
      <sheetName val="Serbia"/>
      <sheetName val="Singapore"/>
      <sheetName val="Switzerland"/>
      <sheetName val="Ukraine"/>
      <sheetName val="2 Degree"/>
      <sheetName val="UNEP"/>
      <sheetName val="data"/>
      <sheetName val="LULUCF_all countries"/>
      <sheetName val="IIASA_NC LULUCF"/>
      <sheetName val="GDP (MER)"/>
      <sheetName val="GDP (PPP)"/>
      <sheetName val="PPP per capita"/>
      <sheetName val="Population"/>
      <sheetName val="UNFCCC history (excl)"/>
      <sheetName val="UNFCCC history (incl)"/>
      <sheetName val="PBL_BAU_SAR"/>
      <sheetName val="PBL_BAU_AR4"/>
      <sheetName val="FAO_forest land"/>
      <sheetName val="IIASA"/>
      <sheetName val="Graph IV (Landuse)"/>
      <sheetName val="Graph V (Landuse)"/>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
          <cell r="E1" t="b">
            <v>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ing"/>
      <sheetName val="for Meike"/>
      <sheetName val="Ranges"/>
      <sheetName val="LULUCF"/>
      <sheetName val="Input_ES"/>
      <sheetName val="Commitments"/>
      <sheetName val="Admin"/>
    </sheetNames>
    <sheetDataSet>
      <sheetData sheetId="0"/>
      <sheetData sheetId="1"/>
      <sheetData sheetId="2"/>
      <sheetData sheetId="3"/>
      <sheetData sheetId="4"/>
      <sheetData sheetId="5"/>
      <sheetData sheetId="6">
        <row r="6">
          <cell r="C6" t="str">
            <v>Argentina</v>
          </cell>
        </row>
        <row r="7">
          <cell r="C7" t="str">
            <v>Australia</v>
          </cell>
        </row>
        <row r="8">
          <cell r="C8" t="str">
            <v>Bhutan</v>
          </cell>
        </row>
        <row r="9">
          <cell r="C9" t="str">
            <v>Brazil</v>
          </cell>
        </row>
        <row r="10">
          <cell r="C10" t="str">
            <v>Canada</v>
          </cell>
        </row>
        <row r="11">
          <cell r="C11" t="str">
            <v>Chile</v>
          </cell>
        </row>
        <row r="12">
          <cell r="C12" t="str">
            <v>China</v>
          </cell>
        </row>
        <row r="13">
          <cell r="C13" t="str">
            <v>Costa Rica</v>
          </cell>
        </row>
        <row r="14">
          <cell r="C14" t="str">
            <v>Ethiopia</v>
          </cell>
        </row>
        <row r="15">
          <cell r="C15" t="str">
            <v>EU</v>
          </cell>
        </row>
        <row r="16">
          <cell r="C16" t="str">
            <v>Gabon</v>
          </cell>
        </row>
        <row r="17">
          <cell r="C17" t="str">
            <v>Gambia</v>
          </cell>
        </row>
        <row r="18">
          <cell r="C18" t="str">
            <v>India</v>
          </cell>
        </row>
        <row r="19">
          <cell r="C19" t="str">
            <v>Indonesia</v>
          </cell>
        </row>
        <row r="20">
          <cell r="C20" t="str">
            <v>Japan</v>
          </cell>
        </row>
        <row r="21">
          <cell r="C21" t="str">
            <v>Kazakhstan</v>
          </cell>
        </row>
        <row r="22">
          <cell r="C22" t="str">
            <v>Mexico</v>
          </cell>
        </row>
        <row r="23">
          <cell r="C23" t="str">
            <v>Morocco</v>
          </cell>
        </row>
        <row r="24">
          <cell r="C24" t="str">
            <v>Nepal</v>
          </cell>
        </row>
        <row r="25">
          <cell r="C25" t="str">
            <v>New Zealand</v>
          </cell>
        </row>
        <row r="26">
          <cell r="C26" t="str">
            <v>Norway</v>
          </cell>
        </row>
        <row r="27">
          <cell r="C27" t="str">
            <v>Peru</v>
          </cell>
        </row>
        <row r="28">
          <cell r="C28" t="str">
            <v>Philippines</v>
          </cell>
        </row>
        <row r="29">
          <cell r="C29" t="str">
            <v>Russia</v>
          </cell>
        </row>
        <row r="30">
          <cell r="C30" t="str">
            <v>Saudi Arabia</v>
          </cell>
        </row>
        <row r="31">
          <cell r="C31" t="str">
            <v>Singapore</v>
          </cell>
        </row>
        <row r="32">
          <cell r="C32" t="str">
            <v>South Africa</v>
          </cell>
        </row>
        <row r="33">
          <cell r="C33" t="str">
            <v>South Korea</v>
          </cell>
        </row>
        <row r="34">
          <cell r="C34" t="str">
            <v>Switzerland</v>
          </cell>
        </row>
        <row r="35">
          <cell r="C35" t="str">
            <v>Turkey</v>
          </cell>
        </row>
        <row r="36">
          <cell r="C36" t="str">
            <v>UAE</v>
          </cell>
        </row>
        <row r="37">
          <cell r="C37" t="str">
            <v>Ukraine</v>
          </cell>
        </row>
        <row r="38">
          <cell r="C38" t="str">
            <v>USA</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
      <sheetName val="GlobalNew"/>
      <sheetName val="AllCountries"/>
      <sheetName val="EU28"/>
      <sheetName val="Mexico"/>
      <sheetName val="Norway"/>
      <sheetName val="Russia"/>
      <sheetName val="Switzerland"/>
      <sheetName val="USA"/>
      <sheetName val="World"/>
      <sheetName val="PBL raw"/>
      <sheetName val="Data collection"/>
      <sheetName val="Admin"/>
      <sheetName val="old&gt;&gt;&gt;&gt;"/>
      <sheetName val="Global"/>
      <sheetName val="China"/>
      <sheetName val="India"/>
      <sheetName val="AllCountries_Grap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6">
          <cell r="D6" t="str">
            <v>List_StudyType</v>
          </cell>
          <cell r="F6" t="str">
            <v>List_ScenarioType</v>
          </cell>
          <cell r="H6" t="str">
            <v>List_YesNo</v>
          </cell>
          <cell r="J6" t="str">
            <v>List_Sectors</v>
          </cell>
          <cell r="L6" t="str">
            <v>List_Gases</v>
          </cell>
        </row>
        <row r="7">
          <cell r="D7" t="str">
            <v>Official estimate</v>
          </cell>
          <cell r="F7" t="str">
            <v>Reference scenario</v>
          </cell>
          <cell r="H7" t="str">
            <v>Yes</v>
          </cell>
          <cell r="J7" t="str">
            <v>All excl. LULUCF</v>
          </cell>
          <cell r="L7" t="str">
            <v>All gases</v>
          </cell>
        </row>
        <row r="8">
          <cell r="D8" t="str">
            <v>Estimate from national team</v>
          </cell>
          <cell r="F8" t="str">
            <v>INDC - conditional</v>
          </cell>
          <cell r="H8" t="str">
            <v>No</v>
          </cell>
          <cell r="J8" t="str">
            <v>All</v>
          </cell>
          <cell r="L8" t="str">
            <v>CO2 only</v>
          </cell>
        </row>
        <row r="9">
          <cell r="D9" t="str">
            <v>Estimate from global model</v>
          </cell>
          <cell r="F9" t="str">
            <v>2020 pledges</v>
          </cell>
          <cell r="H9" t="str">
            <v>n.a.</v>
          </cell>
          <cell r="J9" t="str">
            <v>Energy only</v>
          </cell>
          <cell r="L9" t="str">
            <v>Non-CO2</v>
          </cell>
        </row>
        <row r="10">
          <cell r="F10" t="str">
            <v>Current policies</v>
          </cell>
          <cell r="J10" t="str">
            <v>LULUCF only</v>
          </cell>
        </row>
        <row r="11">
          <cell r="F11" t="str">
            <v>INDC - unconditional</v>
          </cell>
          <cell r="J11" t="str">
            <v>Process emissions</v>
          </cell>
        </row>
        <row r="22">
          <cell r="D22" t="str">
            <v>List_Sources</v>
          </cell>
        </row>
        <row r="23">
          <cell r="D23" t="str">
            <v>Estimate from national team</v>
          </cell>
        </row>
        <row r="24">
          <cell r="D24" t="str">
            <v>CAT</v>
          </cell>
        </row>
        <row r="25">
          <cell r="D25" t="str">
            <v>PBL</v>
          </cell>
        </row>
        <row r="26">
          <cell r="D26" t="str">
            <v>LSE</v>
          </cell>
        </row>
        <row r="27">
          <cell r="D27" t="str">
            <v>WEO2014</v>
          </cell>
        </row>
        <row r="28">
          <cell r="D28" t="str">
            <v>Official estimate</v>
          </cell>
        </row>
        <row r="41">
          <cell r="D41" t="str">
            <v>Current policies</v>
          </cell>
        </row>
        <row r="42">
          <cell r="D42" t="str">
            <v>Current policies</v>
          </cell>
        </row>
        <row r="43">
          <cell r="D43" t="str">
            <v>INDC - unconditional</v>
          </cell>
        </row>
        <row r="44">
          <cell r="D44" t="str">
            <v>INDC - unconditional</v>
          </cell>
        </row>
        <row r="45">
          <cell r="D45" t="str">
            <v>INDC - conditional</v>
          </cell>
        </row>
        <row r="46">
          <cell r="D46" t="str">
            <v>INDC - conditional</v>
          </cell>
        </row>
      </sheetData>
      <sheetData sheetId="13" refreshError="1"/>
      <sheetData sheetId="14" refreshError="1"/>
      <sheetData sheetId="15" refreshError="1"/>
      <sheetData sheetId="16" refreshError="1"/>
      <sheetData sheetId="1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e"/>
      <sheetName val="Submitted INDCs"/>
      <sheetName val="Aggregation (harm)"/>
      <sheetName val="Aggregation (unharm)"/>
      <sheetName val="Results by country"/>
      <sheetName val="Overview rawdata"/>
      <sheetName val="AllCountries_1990"/>
      <sheetName val="AllCountries_2010"/>
      <sheetName val="AllCountries_2020"/>
      <sheetName val="AllCountries_2025"/>
      <sheetName val="AllCountries_2030"/>
      <sheetName val="NonINDC_addScen"/>
      <sheetName val="Argentina"/>
      <sheetName val="Australia"/>
      <sheetName val="Brazil"/>
      <sheetName val="Canada"/>
      <sheetName val="China"/>
      <sheetName val="EU28"/>
      <sheetName val="India"/>
      <sheetName val="Indonesia"/>
      <sheetName val="Japan"/>
      <sheetName val="Mexico"/>
      <sheetName val="Morocco"/>
      <sheetName val="Norway"/>
      <sheetName val="Russia"/>
      <sheetName val="SaudiArabia"/>
      <sheetName val="SouthAfrica"/>
      <sheetName val="SouthKorea"/>
      <sheetName val="Switzerland"/>
      <sheetName val="Turkey"/>
      <sheetName val="USA"/>
      <sheetName val="World"/>
      <sheetName val="Bunkers"/>
      <sheetName val="PBL raw"/>
      <sheetName val="IEA based raw"/>
      <sheetName val="CAT raw"/>
      <sheetName val="LSE raw"/>
      <sheetName val="National raw"/>
      <sheetName val="Official raw"/>
      <sheetName val="U.Melbourne raw"/>
      <sheetName val="DEA raw"/>
      <sheetName val="NIES raw"/>
      <sheetName val="CROADS raw"/>
      <sheetName val="Climate Advisers raw"/>
      <sheetName val="NCSC raw"/>
      <sheetName val="ERI raw"/>
      <sheetName val="IGES raw"/>
      <sheetName val="OCN raw"/>
      <sheetName val="WRI raw"/>
      <sheetName val="RHG raw"/>
      <sheetName val="Official old"/>
      <sheetName val="LULUCF_CRF"/>
      <sheetName val="LULUCF_EDGAR"/>
      <sheetName val="LULUCF_FAO"/>
      <sheetName val="LULUCF_DG_CLIMA"/>
      <sheetName val="Data collection"/>
      <sheetName val="Admin"/>
      <sheetName val="old&gt;&gt;&gt;&gt;"/>
      <sheetName val="Global"/>
      <sheetName val="China_old"/>
      <sheetName val="India_old"/>
      <sheetName val="AllCountries_Graph"/>
    </sheetNames>
    <sheetDataSet>
      <sheetData sheetId="0"/>
      <sheetData sheetId="1">
        <row r="3">
          <cell r="C3" t="str">
            <v>Submitted INDCs</v>
          </cell>
        </row>
        <row r="4">
          <cell r="C4" t="str">
            <v>Domenican Republic</v>
          </cell>
        </row>
        <row r="5">
          <cell r="C5" t="str">
            <v>Democratic Republic of the Congo</v>
          </cell>
        </row>
        <row r="6">
          <cell r="C6" t="str">
            <v>Djibuti</v>
          </cell>
        </row>
        <row r="7">
          <cell r="C7" t="str">
            <v>Australia</v>
          </cell>
        </row>
        <row r="8">
          <cell r="C8" t="str">
            <v>Benin</v>
          </cell>
        </row>
        <row r="9">
          <cell r="C9" t="str">
            <v>Trinidad and Tobago</v>
          </cell>
        </row>
        <row r="10">
          <cell r="C10" t="str">
            <v>Macedonia</v>
          </cell>
        </row>
        <row r="11">
          <cell r="C11" t="str">
            <v>Monaco</v>
          </cell>
        </row>
        <row r="12">
          <cell r="C12" t="str">
            <v>Kenya</v>
          </cell>
        </row>
        <row r="13">
          <cell r="C13" t="str">
            <v>Marshall Islands</v>
          </cell>
        </row>
        <row r="14">
          <cell r="C14" t="str">
            <v>Japan</v>
          </cell>
        </row>
        <row r="15">
          <cell r="C15" t="str">
            <v>New Zealand</v>
          </cell>
        </row>
        <row r="16">
          <cell r="C16" t="str">
            <v>Singapore</v>
          </cell>
        </row>
        <row r="17">
          <cell r="C17" t="str">
            <v>SouthKorea</v>
          </cell>
        </row>
        <row r="18">
          <cell r="C18" t="str">
            <v>China</v>
          </cell>
        </row>
        <row r="19">
          <cell r="C19" t="str">
            <v>Iceland</v>
          </cell>
        </row>
        <row r="20">
          <cell r="C20" t="str">
            <v>Serbia</v>
          </cell>
        </row>
        <row r="21">
          <cell r="C21" t="str">
            <v>Ethiopia</v>
          </cell>
        </row>
        <row r="22">
          <cell r="C22" t="str">
            <v>Morocco</v>
          </cell>
        </row>
        <row r="23">
          <cell r="C23" t="str">
            <v>Canada</v>
          </cell>
        </row>
        <row r="24">
          <cell r="C24" t="str">
            <v>Andorra</v>
          </cell>
        </row>
        <row r="25">
          <cell r="C25" t="str">
            <v>Liechtenstein</v>
          </cell>
        </row>
        <row r="26">
          <cell r="C26" t="str">
            <v>Russia</v>
          </cell>
        </row>
        <row r="27">
          <cell r="C27" t="str">
            <v>Gabon</v>
          </cell>
        </row>
        <row r="28">
          <cell r="C28" t="str">
            <v>USA</v>
          </cell>
        </row>
        <row r="29">
          <cell r="C29" t="str">
            <v>Mexico</v>
          </cell>
        </row>
        <row r="30">
          <cell r="C30" t="str">
            <v>Norway</v>
          </cell>
        </row>
        <row r="31">
          <cell r="C31" t="str">
            <v>EU28</v>
          </cell>
        </row>
        <row r="32">
          <cell r="C32" t="str">
            <v>Switzerland</v>
          </cell>
        </row>
        <row r="33">
          <cell r="C33" t="str">
            <v>Indonesia</v>
          </cell>
        </row>
        <row r="34">
          <cell r="C34" t="str">
            <v>SouthAfrica</v>
          </cell>
        </row>
        <row r="35">
          <cell r="C35" t="str">
            <v>India</v>
          </cell>
        </row>
        <row r="36">
          <cell r="C36" t="str">
            <v>Turkey</v>
          </cell>
        </row>
        <row r="37">
          <cell r="C37"/>
        </row>
        <row r="38">
          <cell r="C38"/>
        </row>
        <row r="39">
          <cell r="C39"/>
        </row>
        <row r="40">
          <cell r="C40"/>
        </row>
        <row r="41">
          <cell r="C41"/>
        </row>
        <row r="42">
          <cell r="C42"/>
        </row>
        <row r="43">
          <cell r="C43"/>
        </row>
        <row r="44">
          <cell r="C44"/>
        </row>
        <row r="45">
          <cell r="C45"/>
        </row>
        <row r="46">
          <cell r="C46"/>
        </row>
        <row r="47">
          <cell r="C47"/>
        </row>
        <row r="48">
          <cell r="C48"/>
        </row>
        <row r="49">
          <cell r="C49"/>
        </row>
        <row r="50">
          <cell r="C50"/>
        </row>
        <row r="51">
          <cell r="C51"/>
        </row>
        <row r="52">
          <cell r="C52"/>
        </row>
        <row r="53">
          <cell r="C53"/>
        </row>
        <row r="54">
          <cell r="C54"/>
        </row>
        <row r="55">
          <cell r="C55"/>
        </row>
        <row r="56">
          <cell r="C56"/>
        </row>
        <row r="57">
          <cell r="C57"/>
        </row>
        <row r="58">
          <cell r="C58"/>
        </row>
        <row r="59">
          <cell r="C59"/>
        </row>
        <row r="60">
          <cell r="C60"/>
        </row>
        <row r="61">
          <cell r="C61"/>
        </row>
        <row r="62">
          <cell r="C62"/>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ow r="6">
          <cell r="D6" t="str">
            <v>List_StudyType</v>
          </cell>
          <cell r="F6" t="str">
            <v>List_ScenarioType</v>
          </cell>
          <cell r="H6" t="str">
            <v>List_YesNo</v>
          </cell>
          <cell r="J6" t="str">
            <v>List_Sectors</v>
          </cell>
          <cell r="L6" t="str">
            <v>List_Gases</v>
          </cell>
        </row>
        <row r="7">
          <cell r="D7" t="str">
            <v>Official estimate</v>
          </cell>
          <cell r="F7" t="str">
            <v>Reference scenario</v>
          </cell>
          <cell r="H7" t="str">
            <v>Yes</v>
          </cell>
          <cell r="J7" t="str">
            <v>All excl. LULUCF</v>
          </cell>
          <cell r="L7" t="str">
            <v>All gases</v>
          </cell>
        </row>
        <row r="8">
          <cell r="D8" t="str">
            <v>Estimate from national team</v>
          </cell>
          <cell r="F8" t="str">
            <v>INDC - conditional</v>
          </cell>
          <cell r="H8" t="str">
            <v>No</v>
          </cell>
          <cell r="J8" t="str">
            <v>All</v>
          </cell>
          <cell r="L8" t="str">
            <v>CO2 only</v>
          </cell>
        </row>
        <row r="9">
          <cell r="D9" t="str">
            <v>Estimate from global model</v>
          </cell>
          <cell r="F9" t="str">
            <v>2020 pledges</v>
          </cell>
          <cell r="H9" t="str">
            <v>n.a.</v>
          </cell>
          <cell r="J9" t="str">
            <v>Energy only</v>
          </cell>
          <cell r="L9" t="str">
            <v>Non-CO2</v>
          </cell>
        </row>
        <row r="10">
          <cell r="D10"/>
          <cell r="F10" t="str">
            <v>Current policies</v>
          </cell>
          <cell r="H10"/>
          <cell r="J10" t="str">
            <v>LULUCF only</v>
          </cell>
          <cell r="L10"/>
        </row>
        <row r="11">
          <cell r="D11"/>
          <cell r="F11" t="str">
            <v>INDC - unconditional</v>
          </cell>
          <cell r="H11"/>
          <cell r="J11" t="str">
            <v>Process emissions</v>
          </cell>
          <cell r="L11"/>
        </row>
        <row r="12">
          <cell r="D12"/>
          <cell r="F12"/>
          <cell r="H12"/>
          <cell r="J12"/>
          <cell r="L12"/>
        </row>
        <row r="13">
          <cell r="D13"/>
          <cell r="F13"/>
          <cell r="H13"/>
          <cell r="J13"/>
          <cell r="L13"/>
        </row>
        <row r="14">
          <cell r="D14"/>
          <cell r="F14"/>
          <cell r="H14"/>
          <cell r="J14"/>
          <cell r="L14"/>
        </row>
        <row r="15">
          <cell r="D15"/>
          <cell r="F15"/>
          <cell r="H15"/>
          <cell r="J15"/>
          <cell r="L15"/>
        </row>
        <row r="16">
          <cell r="D16"/>
          <cell r="F16"/>
          <cell r="H16"/>
          <cell r="J16"/>
          <cell r="L16"/>
        </row>
        <row r="22">
          <cell r="D22" t="str">
            <v>List_Sources</v>
          </cell>
        </row>
        <row r="23">
          <cell r="D23" t="str">
            <v>Estimate from national team</v>
          </cell>
        </row>
        <row r="24">
          <cell r="D24" t="str">
            <v>CAT</v>
          </cell>
        </row>
        <row r="25">
          <cell r="D25" t="str">
            <v>PBL</v>
          </cell>
        </row>
        <row r="26">
          <cell r="D26" t="str">
            <v>LSE</v>
          </cell>
        </row>
        <row r="27">
          <cell r="D27" t="str">
            <v>WEO2014 adjusted</v>
          </cell>
        </row>
        <row r="28">
          <cell r="D28" t="str">
            <v>Official estimate</v>
          </cell>
        </row>
        <row r="29">
          <cell r="D29" t="str">
            <v>U.Melbourne</v>
          </cell>
        </row>
        <row r="30">
          <cell r="D30" t="str">
            <v>DEA</v>
          </cell>
        </row>
        <row r="31">
          <cell r="D31" t="str">
            <v>NIES</v>
          </cell>
        </row>
        <row r="32">
          <cell r="D32" t="str">
            <v>Croads</v>
          </cell>
        </row>
        <row r="33">
          <cell r="D33" t="str">
            <v>Climate Advisers</v>
          </cell>
        </row>
        <row r="34">
          <cell r="D34" t="str">
            <v>NCSC</v>
          </cell>
        </row>
        <row r="35">
          <cell r="D35" t="str">
            <v>ERI</v>
          </cell>
        </row>
        <row r="46">
          <cell r="D46"/>
        </row>
        <row r="47">
          <cell r="D47" t="str">
            <v>List_scenarios</v>
          </cell>
        </row>
        <row r="48">
          <cell r="D48" t="str">
            <v>Scenario</v>
          </cell>
        </row>
      </sheetData>
      <sheetData sheetId="57"/>
      <sheetData sheetId="58"/>
      <sheetData sheetId="59"/>
      <sheetData sheetId="60"/>
      <sheetData sheetId="6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ocu"/>
      <sheetName val="Fig Impact new NDCs"/>
      <sheetName val="Fig Reduction"/>
      <sheetName val="Fig Gap"/>
      <sheetName val="Fig NDC types"/>
      <sheetName val="Tables Intentsity"/>
      <sheetName val="Table LULUCF"/>
      <sheetName val="Table PerCap"/>
      <sheetName val="Overview NDCs"/>
      <sheetName val="NDCs"/>
      <sheetName val="input site"/>
      <sheetName val="NZ targets"/>
      <sheetName val="NZT data"/>
      <sheetName val="Surpluses"/>
      <sheetName val="UNEP EGR"/>
      <sheetName val="IIASA Proj"/>
      <sheetName val="input FAIR"/>
      <sheetName val="ARG"/>
      <sheetName val="AUS"/>
      <sheetName val="BRA"/>
      <sheetName val="CAN"/>
      <sheetName val="CHI"/>
      <sheetName val="EU27"/>
      <sheetName val="USA"/>
      <sheetName val="UK"/>
      <sheetName val="IND"/>
      <sheetName val="INDO"/>
      <sheetName val="JAP"/>
      <sheetName val="MEX"/>
      <sheetName val="RUS"/>
      <sheetName val="SAF"/>
      <sheetName val="SKOR"/>
      <sheetName val="TUR"/>
      <sheetName val="CHL"/>
      <sheetName val="COL"/>
      <sheetName val="EGP"/>
      <sheetName val="ETH"/>
      <sheetName val="IRA"/>
      <sheetName val="KAZ"/>
      <sheetName val="MAR"/>
      <sheetName val="SAU"/>
      <sheetName val="PHL"/>
      <sheetName val="THA"/>
      <sheetName val="UKR"/>
      <sheetName val="COD"/>
      <sheetName val="UAE"/>
      <sheetName val="VTN"/>
      <sheetName val="Factsheet"/>
      <sheetName val="Factsheet2019"/>
      <sheetName val="Factsheet2021_preCOVID"/>
      <sheetName val="Factsheet2021_postCOVID"/>
      <sheetName val="Factsheet2022_postCOVID"/>
      <sheetName val="Factsheet2022_postCOVID_SSP1"/>
      <sheetName val="Factsheet2022_postCOVID_SSP3"/>
      <sheetName val="Factsheet2023"/>
      <sheetName val="Factsheet2023_SSP1"/>
      <sheetName val="Factsheet2023_SSP3"/>
      <sheetName val="PBL_CurPol"/>
      <sheetName val="PBL_CurPol2019"/>
      <sheetName val="PBL_CurPol2021_preCOVID"/>
      <sheetName val="PBL_CurPol2021_postCOVID"/>
      <sheetName val="PBL_CurPol2022_postCOVID"/>
      <sheetName val="PBL_CurPol2022_postCOVID_SSP1"/>
      <sheetName val="PBL_CurPol2022_postCOVID_SSP3"/>
      <sheetName val="PBL_CurPol2023"/>
      <sheetName val="PBL_CurPol2024_SSP3"/>
      <sheetName val="PBL_CurPol2024_SSP1"/>
      <sheetName val="DATA"/>
      <sheetName val="IMAGE CurPol SSP"/>
      <sheetName val="IMAGE SSP2 2024 CurPol"/>
      <sheetName val="IMAGE SSP1 2024 CurPol"/>
      <sheetName val="IMAGE SSP3 2024 CurPol"/>
      <sheetName val="IMAGE CDLINKS CurPol"/>
      <sheetName val="GDP_OECD (2019)andCAT"/>
      <sheetName val="Pledge 2020"/>
      <sheetName val="CRF"/>
      <sheetName val="CRF 2023"/>
      <sheetName val="BUR"/>
      <sheetName val="NatCom"/>
      <sheetName val="GHG_hist"/>
      <sheetName val="EDGAR23"/>
      <sheetName val="PRIMAPExcl_CR"/>
      <sheetName val="PRIMAPExcl_TP"/>
      <sheetName val="LULUCF_hist"/>
      <sheetName val="LUC NGHGI"/>
      <sheetName val="FAOSTAT21"/>
      <sheetName val="PRIMAP_TP"/>
      <sheetName val="IIASA"/>
      <sheetName val="FAOSTAT21 CO2"/>
      <sheetName val="FAOSTAT CO2"/>
      <sheetName val="Add info"/>
      <sheetName val="IMAGE SSP2"/>
      <sheetName val="IMAGE CurPol"/>
      <sheetName val="IMAGE COMMIT CurPol"/>
      <sheetName val="TBD"/>
      <sheetName val="Graph Map NDC"/>
      <sheetName val="NDCs-LULUCF"/>
      <sheetName val="NOT USED"/>
      <sheetName val="CRF 2019"/>
      <sheetName val="EDGAR+FAO"/>
      <sheetName val="FactshHist"/>
      <sheetName val="EDGAR FAO 2021 input"/>
      <sheetName val="PBLMax"/>
      <sheetName val="IMAGE BAU"/>
      <sheetName val="NCMin"/>
      <sheetName val="NCMax"/>
      <sheetName val="UNFCCC SAR"/>
      <sheetName val="SSP"/>
      <sheetName val="FAOSTAT"/>
      <sheetName val="ghg-emissions"/>
      <sheetName val="Variation median"/>
      <sheetName val="Factsheet2021_NDC"/>
      <sheetName val="IMAGE CDLINKS 2C"/>
      <sheetName val="IMAGE CDLINKS 1_5C"/>
      <sheetName val="NDC Tool for Infographics Proto"/>
    </sheetNames>
    <sheetDataSet>
      <sheetData sheetId="0"/>
      <sheetData sheetId="1"/>
      <sheetData sheetId="2"/>
      <sheetData sheetId="3"/>
      <sheetData sheetId="4"/>
      <sheetData sheetId="5"/>
      <sheetData sheetId="6"/>
      <sheetData sheetId="7"/>
      <sheetData sheetId="8">
        <row r="2">
          <cell r="AR2" t="str">
            <v>NGHGI</v>
          </cell>
          <cell r="AU2" t="str">
            <v>PRIMAP_CR</v>
          </cell>
        </row>
      </sheetData>
      <sheetData sheetId="9">
        <row r="15">
          <cell r="C15" t="str">
            <v>B</v>
          </cell>
          <cell r="V15"/>
          <cell r="X15"/>
          <cell r="Z15">
            <v>42.28376256</v>
          </cell>
          <cell r="AA15">
            <v>42.28376256</v>
          </cell>
          <cell r="AB15"/>
          <cell r="AC15"/>
          <cell r="AL15" t="str">
            <v>Excluding</v>
          </cell>
        </row>
        <row r="16">
          <cell r="C16" t="str">
            <v>B</v>
          </cell>
          <cell r="P16">
            <v>15.148</v>
          </cell>
          <cell r="V16"/>
          <cell r="X16"/>
          <cell r="Z16">
            <v>11.978</v>
          </cell>
          <cell r="AA16">
            <v>11.978</v>
          </cell>
          <cell r="AB16"/>
          <cell r="AC16"/>
          <cell r="AL16" t="str">
            <v>Excluding</v>
          </cell>
        </row>
        <row r="17">
          <cell r="C17" t="str">
            <v>B</v>
          </cell>
          <cell r="P17">
            <v>251.3272</v>
          </cell>
          <cell r="V17"/>
          <cell r="X17">
            <v>233.734296</v>
          </cell>
          <cell r="Z17"/>
          <cell r="AA17"/>
          <cell r="AB17">
            <v>196.03521600000002</v>
          </cell>
          <cell r="AC17">
            <v>196.03521600000002</v>
          </cell>
          <cell r="AL17" t="str">
            <v>Including</v>
          </cell>
        </row>
        <row r="18">
          <cell r="V18"/>
          <cell r="X18"/>
          <cell r="Z18"/>
          <cell r="AA18"/>
          <cell r="AB18"/>
          <cell r="AC18"/>
          <cell r="AL18" t="str">
            <v>Excluding</v>
          </cell>
        </row>
        <row r="19">
          <cell r="C19" t="str">
            <v>B</v>
          </cell>
          <cell r="V19">
            <v>0.33681999999999995</v>
          </cell>
          <cell r="X19"/>
          <cell r="Z19"/>
          <cell r="AA19"/>
          <cell r="AB19"/>
          <cell r="AC19"/>
          <cell r="AL19" t="str">
            <v>Excluding</v>
          </cell>
        </row>
        <row r="20">
          <cell r="C20" t="str">
            <v>B</v>
          </cell>
          <cell r="V20"/>
          <cell r="X20">
            <v>125.61250000000001</v>
          </cell>
          <cell r="Z20"/>
          <cell r="AA20"/>
          <cell r="AB20">
            <v>96.625</v>
          </cell>
          <cell r="AC20">
            <v>96.625</v>
          </cell>
          <cell r="AL20" t="str">
            <v>Including</v>
          </cell>
        </row>
        <row r="21">
          <cell r="V21"/>
          <cell r="X21"/>
          <cell r="Z21"/>
          <cell r="AA21"/>
          <cell r="AB21"/>
          <cell r="AC21"/>
          <cell r="AL21" t="str">
            <v>Excluding</v>
          </cell>
        </row>
        <row r="22">
          <cell r="C22" t="str">
            <v>F</v>
          </cell>
          <cell r="V22"/>
          <cell r="X22">
            <v>483</v>
          </cell>
          <cell r="Z22"/>
          <cell r="AA22"/>
          <cell r="AB22">
            <v>369</v>
          </cell>
          <cell r="AC22">
            <v>369</v>
          </cell>
          <cell r="AL22" t="str">
            <v>Including</v>
          </cell>
        </row>
        <row r="23">
          <cell r="C23" t="str">
            <v>F</v>
          </cell>
          <cell r="V23"/>
          <cell r="X23"/>
          <cell r="Z23"/>
          <cell r="AA23"/>
          <cell r="AB23"/>
          <cell r="AC23"/>
          <cell r="AL23" t="str">
            <v>Excluding</v>
          </cell>
        </row>
        <row r="24">
          <cell r="V24"/>
          <cell r="X24"/>
          <cell r="Z24"/>
          <cell r="AA24"/>
          <cell r="AB24"/>
          <cell r="AC24"/>
          <cell r="AL24" t="str">
            <v>Excluding</v>
          </cell>
        </row>
        <row r="25">
          <cell r="C25" t="str">
            <v>A</v>
          </cell>
          <cell r="V25"/>
          <cell r="X25">
            <v>444.74</v>
          </cell>
          <cell r="Z25"/>
          <cell r="AA25"/>
          <cell r="AB25">
            <v>444.74</v>
          </cell>
          <cell r="AC25">
            <v>432.71999999999997</v>
          </cell>
          <cell r="AL25" t="str">
            <v>Including</v>
          </cell>
        </row>
        <row r="26">
          <cell r="C26" t="str">
            <v>A</v>
          </cell>
          <cell r="V26"/>
          <cell r="X26"/>
          <cell r="Z26"/>
          <cell r="AA26"/>
          <cell r="AB26"/>
          <cell r="AC26"/>
          <cell r="AL26" t="str">
            <v>Including</v>
          </cell>
        </row>
        <row r="27">
          <cell r="C27" t="str">
            <v>A</v>
          </cell>
          <cell r="V27">
            <v>47.665150000000004</v>
          </cell>
          <cell r="X27"/>
          <cell r="Z27"/>
          <cell r="AA27"/>
          <cell r="AB27"/>
          <cell r="AC27"/>
          <cell r="AL27" t="str">
            <v>Excluding</v>
          </cell>
        </row>
        <row r="28">
          <cell r="C28" t="str">
            <v>C</v>
          </cell>
          <cell r="V28"/>
          <cell r="X28"/>
          <cell r="Z28">
            <v>3.7531781</v>
          </cell>
          <cell r="AA28">
            <v>3.7531781</v>
          </cell>
          <cell r="AB28"/>
          <cell r="AC28"/>
          <cell r="AL28" t="str">
            <v>Excluding</v>
          </cell>
        </row>
        <row r="29">
          <cell r="C29" t="str">
            <v>G</v>
          </cell>
          <cell r="V29"/>
          <cell r="X29"/>
          <cell r="Z29"/>
          <cell r="AA29"/>
          <cell r="AB29"/>
          <cell r="AC29"/>
          <cell r="AL29" t="str">
            <v>Excluding</v>
          </cell>
        </row>
        <row r="30">
          <cell r="C30" t="str">
            <v>B</v>
          </cell>
          <cell r="U30">
            <v>409.41</v>
          </cell>
          <cell r="V30">
            <v>397.4</v>
          </cell>
          <cell r="X30"/>
          <cell r="Z30">
            <v>373.4</v>
          </cell>
          <cell r="AA30">
            <v>373.4</v>
          </cell>
          <cell r="AB30"/>
          <cell r="AC30"/>
          <cell r="AL30" t="str">
            <v>Excluding</v>
          </cell>
        </row>
        <row r="31">
          <cell r="C31" t="str">
            <v>B</v>
          </cell>
          <cell r="S31">
            <v>2.5024999999999995</v>
          </cell>
          <cell r="V31"/>
          <cell r="X31"/>
          <cell r="Z31"/>
          <cell r="AA31"/>
          <cell r="AB31">
            <v>1.4013999999999998</v>
          </cell>
          <cell r="AC31">
            <v>1.4013999999999998</v>
          </cell>
          <cell r="AL31" t="str">
            <v>Including</v>
          </cell>
        </row>
        <row r="32">
          <cell r="C32" t="str">
            <v>A</v>
          </cell>
          <cell r="V32">
            <v>104.64471768874512</v>
          </cell>
          <cell r="X32"/>
          <cell r="AL32" t="str">
            <v>Including</v>
          </cell>
        </row>
        <row r="33">
          <cell r="C33" t="str">
            <v>A</v>
          </cell>
          <cell r="V33"/>
          <cell r="X33"/>
          <cell r="Z33"/>
          <cell r="AA33"/>
          <cell r="AB33"/>
          <cell r="AC33"/>
          <cell r="AL33" t="str">
            <v>Including</v>
          </cell>
        </row>
        <row r="34">
          <cell r="C34" t="str">
            <v>G</v>
          </cell>
          <cell r="V34"/>
          <cell r="X34"/>
          <cell r="Z34"/>
          <cell r="AA34"/>
          <cell r="AB34"/>
          <cell r="AC34"/>
          <cell r="AL34" t="str">
            <v>Excluding</v>
          </cell>
        </row>
        <row r="35">
          <cell r="C35" t="str">
            <v>F</v>
          </cell>
          <cell r="V35"/>
          <cell r="X35"/>
          <cell r="Z35">
            <v>17.685000000000002</v>
          </cell>
          <cell r="AA35">
            <v>17.685000000000002</v>
          </cell>
          <cell r="AB35"/>
          <cell r="AC35"/>
          <cell r="AL35" t="str">
            <v>Excluding</v>
          </cell>
        </row>
        <row r="36">
          <cell r="V36"/>
          <cell r="X36"/>
          <cell r="Z36"/>
          <cell r="AA36"/>
          <cell r="AB36"/>
          <cell r="AC36"/>
          <cell r="AL36" t="str">
            <v>Excluding</v>
          </cell>
        </row>
        <row r="37">
          <cell r="C37" t="str">
            <v>F</v>
          </cell>
          <cell r="V37"/>
          <cell r="X37"/>
          <cell r="Z37"/>
          <cell r="AA37"/>
          <cell r="AB37"/>
          <cell r="AC37"/>
          <cell r="AL37" t="str">
            <v>Excluding</v>
          </cell>
        </row>
        <row r="38">
          <cell r="C38" t="str">
            <v>G</v>
          </cell>
          <cell r="V38"/>
          <cell r="X38"/>
          <cell r="Z38"/>
          <cell r="AA38"/>
          <cell r="AB38"/>
          <cell r="AC38"/>
          <cell r="AL38" t="str">
            <v>Excluding</v>
          </cell>
        </row>
        <row r="39">
          <cell r="C39" t="str">
            <v>A</v>
          </cell>
          <cell r="V39"/>
          <cell r="X39">
            <v>42.203829259999999</v>
          </cell>
          <cell r="Z39"/>
          <cell r="AA39"/>
          <cell r="AB39">
            <v>34.692978289999999</v>
          </cell>
          <cell r="AC39">
            <v>34.692978289999999</v>
          </cell>
          <cell r="AL39" t="str">
            <v>Including</v>
          </cell>
        </row>
        <row r="40">
          <cell r="C40" t="str">
            <v>A</v>
          </cell>
          <cell r="Z40">
            <v>19.396126200000001</v>
          </cell>
          <cell r="AA40">
            <v>19.396126200000001</v>
          </cell>
          <cell r="AB40"/>
          <cell r="AC40"/>
          <cell r="AL40" t="str">
            <v>Excluding</v>
          </cell>
        </row>
        <row r="41">
          <cell r="C41" t="str">
            <v>A</v>
          </cell>
          <cell r="V41"/>
          <cell r="X41">
            <v>1197</v>
          </cell>
          <cell r="Z41"/>
          <cell r="AA41"/>
          <cell r="AB41">
            <v>1197.0000000000002</v>
          </cell>
          <cell r="AC41">
            <v>1197.0000000000002</v>
          </cell>
          <cell r="AL41" t="str">
            <v>Including</v>
          </cell>
        </row>
        <row r="42">
          <cell r="C42" t="str">
            <v>G</v>
          </cell>
          <cell r="V42"/>
          <cell r="X42"/>
          <cell r="Z42"/>
          <cell r="AA42"/>
          <cell r="AB42"/>
          <cell r="AC42"/>
          <cell r="AL42" t="str">
            <v>Excluding</v>
          </cell>
        </row>
        <row r="43">
          <cell r="C43" t="str">
            <v>A</v>
          </cell>
          <cell r="V43"/>
          <cell r="X43"/>
          <cell r="Z43"/>
          <cell r="AA43"/>
          <cell r="AB43"/>
          <cell r="AC43"/>
          <cell r="AL43" t="str">
            <v>Including</v>
          </cell>
        </row>
        <row r="44">
          <cell r="C44" t="str">
            <v>B</v>
          </cell>
          <cell r="V44"/>
          <cell r="X44">
            <v>110.51469999999999</v>
          </cell>
          <cell r="Z44"/>
          <cell r="AA44"/>
          <cell r="AB44">
            <v>96.748369999999994</v>
          </cell>
          <cell r="AC44">
            <v>96.748369999999994</v>
          </cell>
          <cell r="AL44" t="str">
            <v>Including</v>
          </cell>
        </row>
        <row r="45">
          <cell r="C45" t="str">
            <v>B</v>
          </cell>
          <cell r="V45"/>
          <cell r="X45">
            <v>72.250450000000001</v>
          </cell>
          <cell r="Z45"/>
          <cell r="AA45"/>
          <cell r="AB45">
            <v>59.588000000000001</v>
          </cell>
          <cell r="AC45">
            <v>59.588000000000001</v>
          </cell>
          <cell r="AL45" t="str">
            <v>Including</v>
          </cell>
        </row>
        <row r="46">
          <cell r="C46" t="str">
            <v>B</v>
          </cell>
          <cell r="U46">
            <v>155</v>
          </cell>
          <cell r="V46"/>
          <cell r="X46"/>
          <cell r="AL46" t="str">
            <v>Including</v>
          </cell>
        </row>
        <row r="47">
          <cell r="C47" t="str">
            <v>B</v>
          </cell>
          <cell r="U47">
            <v>104.187</v>
          </cell>
          <cell r="V47"/>
          <cell r="X47"/>
          <cell r="Z47">
            <v>64.887600000000006</v>
          </cell>
          <cell r="AA47">
            <v>64.887600000000006</v>
          </cell>
          <cell r="AB47"/>
          <cell r="AC47"/>
          <cell r="AL47" t="str">
            <v>Including</v>
          </cell>
        </row>
        <row r="48">
          <cell r="C48" t="str">
            <v>A</v>
          </cell>
          <cell r="V48">
            <v>517.29999999999995</v>
          </cell>
          <cell r="X48"/>
          <cell r="Z48">
            <v>517.29999999999995</v>
          </cell>
          <cell r="AA48">
            <v>517.29999999999995</v>
          </cell>
          <cell r="AB48"/>
          <cell r="AC48"/>
          <cell r="AL48" t="str">
            <v>Excluding</v>
          </cell>
        </row>
        <row r="49">
          <cell r="C49" t="str">
            <v>B</v>
          </cell>
          <cell r="V49"/>
          <cell r="X49"/>
          <cell r="Z49"/>
          <cell r="AA49"/>
          <cell r="AB49"/>
          <cell r="AC49"/>
          <cell r="AL49" t="str">
            <v>Excluding</v>
          </cell>
        </row>
        <row r="50">
          <cell r="V50"/>
          <cell r="X50"/>
          <cell r="Z50"/>
          <cell r="AA50"/>
          <cell r="AB50"/>
          <cell r="AC50"/>
          <cell r="AL50" t="str">
            <v>Excluding</v>
          </cell>
        </row>
        <row r="51">
          <cell r="C51" t="str">
            <v>B</v>
          </cell>
          <cell r="V51"/>
          <cell r="X51"/>
          <cell r="Z51">
            <v>145.13967</v>
          </cell>
          <cell r="AA51">
            <v>145.13967</v>
          </cell>
          <cell r="AB51"/>
          <cell r="AC51"/>
          <cell r="AL51" t="str">
            <v>Excluding</v>
          </cell>
        </row>
        <row r="52">
          <cell r="C52" t="str">
            <v>B</v>
          </cell>
          <cell r="U52">
            <v>84.96</v>
          </cell>
          <cell r="V52"/>
          <cell r="X52">
            <v>23.449069999999999</v>
          </cell>
          <cell r="Z52"/>
          <cell r="AA52"/>
          <cell r="AB52">
            <v>8.2294499999999999</v>
          </cell>
          <cell r="AC52">
            <v>8.2294499999999999</v>
          </cell>
          <cell r="AL52" t="str">
            <v>Including</v>
          </cell>
        </row>
        <row r="53">
          <cell r="C53" t="str">
            <v>F</v>
          </cell>
          <cell r="V53">
            <v>131</v>
          </cell>
          <cell r="X53"/>
          <cell r="Z53">
            <v>122.8</v>
          </cell>
          <cell r="AA53">
            <v>104.5</v>
          </cell>
          <cell r="AB53"/>
          <cell r="AC53"/>
          <cell r="AL53" t="str">
            <v>Excluding</v>
          </cell>
        </row>
        <row r="54">
          <cell r="C54" t="str">
            <v>E</v>
          </cell>
          <cell r="AL54" t="str">
            <v>Including</v>
          </cell>
        </row>
        <row r="55">
          <cell r="C55" t="str">
            <v>B</v>
          </cell>
          <cell r="U55">
            <v>345.8</v>
          </cell>
          <cell r="V55"/>
          <cell r="X55">
            <v>268</v>
          </cell>
          <cell r="Z55"/>
          <cell r="AA55"/>
          <cell r="AB55">
            <v>234.49999999999997</v>
          </cell>
          <cell r="AC55">
            <v>234.49999999999997</v>
          </cell>
          <cell r="AL55" t="str">
            <v>Including</v>
          </cell>
        </row>
        <row r="56">
          <cell r="C56" t="str">
            <v>B</v>
          </cell>
          <cell r="V56"/>
          <cell r="X56"/>
          <cell r="Z56"/>
          <cell r="AA56"/>
          <cell r="AB56">
            <v>8.3680000000000018E-2</v>
          </cell>
          <cell r="AC56">
            <v>8.3680000000000018E-2</v>
          </cell>
          <cell r="AL56" t="str">
            <v>Including</v>
          </cell>
        </row>
        <row r="57">
          <cell r="C57" t="str">
            <v>B</v>
          </cell>
          <cell r="V57"/>
          <cell r="X57"/>
          <cell r="AL57" t="str">
            <v>Including</v>
          </cell>
        </row>
        <row r="58">
          <cell r="C58" t="str">
            <v>B</v>
          </cell>
          <cell r="V58"/>
          <cell r="X58"/>
          <cell r="Z58">
            <v>12.325500000000002</v>
          </cell>
          <cell r="AA58">
            <v>12.325500000000002</v>
          </cell>
          <cell r="AB58"/>
          <cell r="AC58"/>
          <cell r="AL58" t="str">
            <v>Excluding</v>
          </cell>
        </row>
        <row r="59">
          <cell r="C59" t="str">
            <v>G</v>
          </cell>
          <cell r="V59"/>
          <cell r="X59"/>
          <cell r="Z59"/>
          <cell r="AA59"/>
          <cell r="AB59"/>
          <cell r="AC59"/>
          <cell r="AL59" t="str">
            <v>Excluding</v>
          </cell>
        </row>
        <row r="60">
          <cell r="C60" t="str">
            <v>F</v>
          </cell>
          <cell r="V60"/>
          <cell r="X60">
            <v>9.3735520000000001</v>
          </cell>
          <cell r="Z60"/>
          <cell r="AA60"/>
          <cell r="AB60">
            <v>9.3735520000000001</v>
          </cell>
          <cell r="AC60">
            <v>9.3735520000000001</v>
          </cell>
          <cell r="AL60" t="str">
            <v>Including</v>
          </cell>
        </row>
        <row r="61">
          <cell r="C61" t="str">
            <v>B</v>
          </cell>
          <cell r="V61">
            <v>24.576160000000002</v>
          </cell>
          <cell r="X61"/>
          <cell r="Z61"/>
          <cell r="AA61"/>
          <cell r="AB61"/>
          <cell r="AC61"/>
          <cell r="AL61" t="str">
            <v>Excluding</v>
          </cell>
        </row>
        <row r="62">
          <cell r="C62" t="str">
            <v>A</v>
          </cell>
          <cell r="V62"/>
          <cell r="X62"/>
          <cell r="Z62"/>
          <cell r="AA62"/>
          <cell r="AB62"/>
          <cell r="AC62"/>
          <cell r="AL62" t="str">
            <v>Including</v>
          </cell>
        </row>
        <row r="63">
          <cell r="C63" t="str">
            <v>G</v>
          </cell>
          <cell r="V63"/>
          <cell r="X63"/>
          <cell r="Z63"/>
          <cell r="AA63"/>
          <cell r="AB63"/>
          <cell r="AC63"/>
          <cell r="AL63" t="str">
            <v>Excluding</v>
          </cell>
        </row>
        <row r="64">
          <cell r="C64" t="str">
            <v>A</v>
          </cell>
          <cell r="V64"/>
          <cell r="X64"/>
          <cell r="Z64"/>
          <cell r="AA64"/>
          <cell r="AB64"/>
          <cell r="AC64"/>
          <cell r="AL64" t="str">
            <v>Including</v>
          </cell>
        </row>
        <row r="65">
          <cell r="C65" t="str">
            <v>A</v>
          </cell>
          <cell r="V65"/>
          <cell r="X65"/>
          <cell r="Z65"/>
          <cell r="AA65"/>
          <cell r="AB65"/>
          <cell r="AC65"/>
          <cell r="AL65" t="str">
            <v>Including</v>
          </cell>
        </row>
        <row r="66">
          <cell r="C66" t="str">
            <v>A</v>
          </cell>
          <cell r="V66"/>
          <cell r="X66"/>
          <cell r="Z66"/>
          <cell r="AA66"/>
          <cell r="AB66"/>
          <cell r="AC66"/>
          <cell r="AL66" t="str">
            <v>Including</v>
          </cell>
        </row>
        <row r="67">
          <cell r="C67" t="str">
            <v>B</v>
          </cell>
          <cell r="V67">
            <v>2.6849999999999996</v>
          </cell>
          <cell r="X67"/>
          <cell r="Z67">
            <v>1.79</v>
          </cell>
          <cell r="AA67">
            <v>1.79</v>
          </cell>
          <cell r="AB67"/>
          <cell r="AC67"/>
          <cell r="AL67" t="str">
            <v>Excluding</v>
          </cell>
        </row>
        <row r="68">
          <cell r="C68" t="str">
            <v>A</v>
          </cell>
          <cell r="V68"/>
          <cell r="X68"/>
          <cell r="Z68">
            <v>0.11214064693999999</v>
          </cell>
          <cell r="AA68">
            <v>0.11214064693999999</v>
          </cell>
          <cell r="AB68"/>
          <cell r="AC68"/>
          <cell r="AL68" t="str">
            <v>Excluding</v>
          </cell>
        </row>
        <row r="69">
          <cell r="C69" t="str">
            <v>A</v>
          </cell>
          <cell r="V69"/>
          <cell r="X69"/>
          <cell r="AL69" t="str">
            <v>Including</v>
          </cell>
        </row>
        <row r="70">
          <cell r="C70" t="str">
            <v>G</v>
          </cell>
          <cell r="V70"/>
          <cell r="X70"/>
          <cell r="Z70"/>
          <cell r="AA70"/>
          <cell r="AB70"/>
          <cell r="AC70"/>
          <cell r="AL70" t="str">
            <v>Excluding</v>
          </cell>
        </row>
        <row r="71">
          <cell r="C71" t="str">
            <v>B</v>
          </cell>
          <cell r="V71"/>
          <cell r="X71"/>
          <cell r="Z71"/>
          <cell r="AA71"/>
          <cell r="AB71"/>
          <cell r="AC71"/>
          <cell r="AL71" t="str">
            <v>Excluding</v>
          </cell>
        </row>
        <row r="72">
          <cell r="C72" t="str">
            <v>G</v>
          </cell>
          <cell r="V72"/>
          <cell r="X72"/>
          <cell r="Z72"/>
          <cell r="AA72"/>
          <cell r="AB72"/>
          <cell r="AC72"/>
          <cell r="AL72" t="str">
            <v>Excluding</v>
          </cell>
        </row>
        <row r="73">
          <cell r="C73" t="str">
            <v>A</v>
          </cell>
          <cell r="V73"/>
          <cell r="X73"/>
          <cell r="Z73"/>
          <cell r="AA73"/>
          <cell r="AB73">
            <v>19.939328639999999</v>
          </cell>
          <cell r="AC73">
            <v>19.939328639999999</v>
          </cell>
          <cell r="AL73" t="str">
            <v>Including</v>
          </cell>
        </row>
        <row r="74">
          <cell r="C74" t="str">
            <v>G</v>
          </cell>
          <cell r="V74"/>
          <cell r="X74"/>
          <cell r="Z74"/>
          <cell r="AA74"/>
          <cell r="AB74"/>
          <cell r="AC74"/>
          <cell r="AL74" t="str">
            <v>Excluding</v>
          </cell>
        </row>
        <row r="75">
          <cell r="C75" t="str">
            <v>A</v>
          </cell>
          <cell r="V75"/>
          <cell r="X75"/>
          <cell r="Z75"/>
          <cell r="AA75"/>
          <cell r="AB75"/>
          <cell r="AC75"/>
          <cell r="AL75" t="str">
            <v>Including</v>
          </cell>
        </row>
        <row r="76">
          <cell r="C76" t="str">
            <v>B</v>
          </cell>
          <cell r="V76"/>
          <cell r="X76"/>
          <cell r="Z76"/>
          <cell r="AA76"/>
          <cell r="AB76">
            <v>144</v>
          </cell>
          <cell r="AC76">
            <v>144</v>
          </cell>
          <cell r="AL76" t="str">
            <v>Including</v>
          </cell>
        </row>
        <row r="77">
          <cell r="V77"/>
          <cell r="X77"/>
          <cell r="Z77"/>
          <cell r="AA77"/>
          <cell r="AB77"/>
          <cell r="AC77"/>
          <cell r="AL77" t="str">
            <v>Excluding</v>
          </cell>
        </row>
        <row r="78">
          <cell r="V78"/>
          <cell r="X78"/>
          <cell r="Z78"/>
          <cell r="AA78"/>
          <cell r="AB78"/>
          <cell r="AC78"/>
          <cell r="AL78" t="str">
            <v>Excluding</v>
          </cell>
        </row>
        <row r="79">
          <cell r="C79" t="str">
            <v>G</v>
          </cell>
          <cell r="V79"/>
          <cell r="X79"/>
          <cell r="Z79"/>
          <cell r="AA79"/>
          <cell r="AB79"/>
          <cell r="AC79"/>
          <cell r="AL79" t="str">
            <v>Excluding</v>
          </cell>
        </row>
        <row r="80">
          <cell r="C80" t="str">
            <v>A</v>
          </cell>
          <cell r="V80"/>
          <cell r="X80"/>
          <cell r="Z80"/>
          <cell r="AA80"/>
          <cell r="AB80"/>
          <cell r="AC80"/>
          <cell r="AL80" t="str">
            <v>Including</v>
          </cell>
        </row>
        <row r="81">
          <cell r="C81" t="str">
            <v>A</v>
          </cell>
          <cell r="V81"/>
          <cell r="X81"/>
          <cell r="Z81"/>
          <cell r="AA81"/>
          <cell r="AB81"/>
          <cell r="AC81"/>
          <cell r="AL81" t="str">
            <v>Including</v>
          </cell>
        </row>
        <row r="82">
          <cell r="V82"/>
          <cell r="X82"/>
          <cell r="Z82"/>
          <cell r="AA82"/>
          <cell r="AB82"/>
          <cell r="AC82"/>
          <cell r="AL82" t="str">
            <v>Excluding</v>
          </cell>
        </row>
        <row r="83">
          <cell r="V83"/>
          <cell r="X83"/>
          <cell r="Z83"/>
          <cell r="AA83"/>
          <cell r="AB83"/>
          <cell r="AC83"/>
          <cell r="AL83" t="str">
            <v>Excluding</v>
          </cell>
        </row>
        <row r="84">
          <cell r="V84"/>
          <cell r="X84"/>
          <cell r="Z84"/>
          <cell r="AA84"/>
          <cell r="AB84"/>
          <cell r="AC84"/>
          <cell r="AL84" t="str">
            <v>Excluding</v>
          </cell>
        </row>
        <row r="85">
          <cell r="C85" t="str">
            <v>B</v>
          </cell>
          <cell r="V85"/>
          <cell r="X85"/>
          <cell r="Z85">
            <v>1.6588943280000001</v>
          </cell>
          <cell r="AA85">
            <v>1.6588943280000001</v>
          </cell>
          <cell r="AB85"/>
          <cell r="AC85"/>
          <cell r="AL85" t="str">
            <v>Excluding</v>
          </cell>
        </row>
        <row r="86">
          <cell r="C86" t="str">
            <v>B</v>
          </cell>
          <cell r="V86">
            <v>32.657000000000004</v>
          </cell>
          <cell r="X86"/>
          <cell r="Z86">
            <v>28.815000000000001</v>
          </cell>
          <cell r="AA86">
            <v>28.815000000000001</v>
          </cell>
          <cell r="AB86"/>
          <cell r="AC86"/>
          <cell r="AL86" t="str">
            <v>Excluding</v>
          </cell>
        </row>
        <row r="87">
          <cell r="C87" t="str">
            <v>A</v>
          </cell>
          <cell r="V87"/>
          <cell r="X87"/>
          <cell r="Z87"/>
          <cell r="AA87"/>
          <cell r="AB87"/>
          <cell r="AC87"/>
          <cell r="AL87" t="str">
            <v>Including</v>
          </cell>
        </row>
        <row r="88">
          <cell r="C88" t="str">
            <v>B</v>
          </cell>
          <cell r="V88"/>
          <cell r="X88">
            <v>62.857500000000002</v>
          </cell>
          <cell r="Z88"/>
          <cell r="AA88"/>
          <cell r="AB88">
            <v>40.672500000000007</v>
          </cell>
          <cell r="AC88">
            <v>40.672500000000007</v>
          </cell>
          <cell r="AL88" t="str">
            <v>Including</v>
          </cell>
        </row>
        <row r="89">
          <cell r="V89"/>
          <cell r="X89"/>
          <cell r="Z89"/>
          <cell r="AA89"/>
          <cell r="AB89"/>
          <cell r="AC89"/>
          <cell r="AL89" t="str">
            <v>Excluding</v>
          </cell>
        </row>
        <row r="90">
          <cell r="C90" t="str">
            <v>A</v>
          </cell>
          <cell r="V90"/>
          <cell r="X90"/>
          <cell r="Z90"/>
          <cell r="AA90"/>
          <cell r="AB90"/>
          <cell r="AC90"/>
          <cell r="AL90" t="str">
            <v>Including</v>
          </cell>
        </row>
        <row r="91">
          <cell r="V91"/>
          <cell r="X91"/>
          <cell r="Z91"/>
          <cell r="AA91"/>
          <cell r="AB91"/>
          <cell r="AC91"/>
          <cell r="AL91" t="str">
            <v>Excluding</v>
          </cell>
        </row>
        <row r="92">
          <cell r="C92" t="str">
            <v>A</v>
          </cell>
          <cell r="V92">
            <v>0.1509894</v>
          </cell>
          <cell r="X92"/>
          <cell r="Z92"/>
          <cell r="AA92"/>
          <cell r="AB92"/>
          <cell r="AC92"/>
          <cell r="AL92" t="str">
            <v>Excluding</v>
          </cell>
        </row>
        <row r="93">
          <cell r="V93"/>
          <cell r="X93"/>
          <cell r="Z93"/>
          <cell r="AA93"/>
          <cell r="AB93"/>
          <cell r="AC93"/>
          <cell r="AL93" t="str">
            <v>Excluding</v>
          </cell>
        </row>
        <row r="94">
          <cell r="C94" t="str">
            <v>B</v>
          </cell>
          <cell r="V94"/>
          <cell r="X94">
            <v>47.818800000000003</v>
          </cell>
          <cell r="Z94"/>
          <cell r="AA94"/>
          <cell r="AB94">
            <v>41.679900000000004</v>
          </cell>
          <cell r="AC94">
            <v>41.679900000000004</v>
          </cell>
          <cell r="AL94" t="str">
            <v>Including</v>
          </cell>
        </row>
        <row r="95">
          <cell r="C95" t="str">
            <v>B</v>
          </cell>
          <cell r="U95">
            <v>23.175000000000001</v>
          </cell>
          <cell r="V95"/>
          <cell r="X95"/>
          <cell r="Z95"/>
          <cell r="AA95"/>
          <cell r="AB95">
            <v>44.64</v>
          </cell>
          <cell r="AC95">
            <v>44.64</v>
          </cell>
          <cell r="AL95" t="str">
            <v>Excluding</v>
          </cell>
        </row>
        <row r="96">
          <cell r="C96" t="str">
            <v>G</v>
          </cell>
          <cell r="V96"/>
          <cell r="X96"/>
          <cell r="Z96"/>
          <cell r="AA96"/>
          <cell r="AB96"/>
          <cell r="AC96"/>
          <cell r="AL96" t="str">
            <v>Excluding</v>
          </cell>
        </row>
        <row r="97">
          <cell r="C97" t="str">
            <v>G</v>
          </cell>
          <cell r="V97"/>
          <cell r="X97"/>
          <cell r="Z97"/>
          <cell r="AA97"/>
          <cell r="AB97"/>
          <cell r="AC97"/>
          <cell r="AL97" t="str">
            <v>Excluding</v>
          </cell>
        </row>
        <row r="98">
          <cell r="C98" t="str">
            <v>C</v>
          </cell>
          <cell r="V98"/>
          <cell r="X98">
            <v>12.810692999999999</v>
          </cell>
          <cell r="Z98"/>
          <cell r="AA98"/>
          <cell r="AB98">
            <v>9.9788555999999993</v>
          </cell>
          <cell r="AC98">
            <v>9.9788555999999993</v>
          </cell>
          <cell r="AL98" t="str">
            <v>Including</v>
          </cell>
        </row>
        <row r="99">
          <cell r="C99" t="str">
            <v>B</v>
          </cell>
          <cell r="V99"/>
          <cell r="X99"/>
          <cell r="Z99">
            <v>24.5837</v>
          </cell>
          <cell r="AA99">
            <v>24.5837</v>
          </cell>
          <cell r="AB99"/>
          <cell r="AC99"/>
          <cell r="AL99" t="str">
            <v>Excluding</v>
          </cell>
        </row>
        <row r="100">
          <cell r="V100"/>
          <cell r="X100"/>
          <cell r="Z100"/>
          <cell r="AA100"/>
          <cell r="AB100"/>
          <cell r="AC100"/>
          <cell r="AL100" t="str">
            <v>Excluding</v>
          </cell>
        </row>
        <row r="101">
          <cell r="C101" t="str">
            <v>A</v>
          </cell>
          <cell r="V101"/>
          <cell r="X101"/>
          <cell r="Z101"/>
          <cell r="AA101"/>
          <cell r="AB101"/>
          <cell r="AC101"/>
          <cell r="AL101" t="str">
            <v>Including</v>
          </cell>
        </row>
        <row r="102">
          <cell r="C102" t="str">
            <v>A</v>
          </cell>
          <cell r="V102">
            <v>7.9749872457754174</v>
          </cell>
          <cell r="X102"/>
          <cell r="Z102">
            <v>7.9749872457754174</v>
          </cell>
          <cell r="AA102">
            <v>7.9749872457754174</v>
          </cell>
          <cell r="AB102"/>
          <cell r="AC102"/>
          <cell r="AL102" t="str">
            <v>Including</v>
          </cell>
        </row>
        <row r="103">
          <cell r="C103" t="str">
            <v>E</v>
          </cell>
          <cell r="V103"/>
          <cell r="X103">
            <v>4739</v>
          </cell>
          <cell r="Z103"/>
          <cell r="AA103"/>
          <cell r="AB103">
            <v>4168</v>
          </cell>
          <cell r="AC103">
            <v>4168</v>
          </cell>
          <cell r="AL103" t="str">
            <v>Including</v>
          </cell>
        </row>
        <row r="104">
          <cell r="C104" t="str">
            <v>B</v>
          </cell>
          <cell r="V104"/>
          <cell r="X104">
            <v>2036.99</v>
          </cell>
          <cell r="Z104"/>
          <cell r="AA104"/>
          <cell r="AB104">
            <v>1692.7100000000003</v>
          </cell>
          <cell r="AC104">
            <v>1692.7100000000003</v>
          </cell>
          <cell r="AL104" t="str">
            <v>Including</v>
          </cell>
        </row>
        <row r="105">
          <cell r="C105" t="str">
            <v>C</v>
          </cell>
          <cell r="V105"/>
          <cell r="X105">
            <v>1958.6718575693235</v>
          </cell>
          <cell r="Z105"/>
          <cell r="AA105"/>
          <cell r="AB105">
            <v>1795.44920277188</v>
          </cell>
          <cell r="AC105">
            <v>1795.44920277188</v>
          </cell>
          <cell r="AL105" t="str">
            <v>Including</v>
          </cell>
        </row>
        <row r="106">
          <cell r="C106" t="str">
            <v>G</v>
          </cell>
          <cell r="V106"/>
          <cell r="X106"/>
          <cell r="Z106"/>
          <cell r="AA106"/>
          <cell r="AB106"/>
          <cell r="AC106"/>
          <cell r="AL106" t="str">
            <v>Excluding</v>
          </cell>
        </row>
        <row r="107">
          <cell r="C107" t="str">
            <v>A</v>
          </cell>
          <cell r="V107"/>
          <cell r="X107"/>
          <cell r="Z107"/>
          <cell r="AA107"/>
          <cell r="AB107"/>
          <cell r="AC107"/>
          <cell r="AL107" t="str">
            <v>Including</v>
          </cell>
        </row>
        <row r="108">
          <cell r="C108" t="str">
            <v>F</v>
          </cell>
          <cell r="V108">
            <v>81.56</v>
          </cell>
          <cell r="X108"/>
          <cell r="Z108">
            <v>81.56</v>
          </cell>
          <cell r="AA108">
            <v>81.56</v>
          </cell>
          <cell r="AB108"/>
          <cell r="AC108"/>
          <cell r="AL108" t="str">
            <v>Excluding</v>
          </cell>
        </row>
        <row r="109">
          <cell r="C109" t="str">
            <v>A</v>
          </cell>
          <cell r="V109"/>
          <cell r="X109"/>
          <cell r="Z109"/>
          <cell r="AA109"/>
          <cell r="AB109"/>
          <cell r="AC109"/>
          <cell r="AL109" t="str">
            <v>Including</v>
          </cell>
        </row>
        <row r="110">
          <cell r="C110" t="str">
            <v>B</v>
          </cell>
          <cell r="R110">
            <v>14.492000000000001</v>
          </cell>
          <cell r="V110">
            <v>13.361624000000001</v>
          </cell>
          <cell r="X110"/>
          <cell r="Z110">
            <v>13.042800000000002</v>
          </cell>
          <cell r="AA110">
            <v>13.042800000000002</v>
          </cell>
          <cell r="AB110"/>
          <cell r="AC110"/>
          <cell r="AL110" t="str">
            <v>Including</v>
          </cell>
        </row>
        <row r="111">
          <cell r="C111" t="str">
            <v>A</v>
          </cell>
          <cell r="V111">
            <v>1078.9643999999998</v>
          </cell>
          <cell r="X111"/>
          <cell r="Z111">
            <v>1078.9643999999998</v>
          </cell>
          <cell r="AA111">
            <v>1078.9643999999998</v>
          </cell>
          <cell r="AB111"/>
          <cell r="AC111"/>
          <cell r="AL111" t="str">
            <v>Including</v>
          </cell>
        </row>
        <row r="112">
          <cell r="C112" t="str">
            <v>B</v>
          </cell>
          <cell r="U112">
            <v>46.315789473684212</v>
          </cell>
          <cell r="V112"/>
          <cell r="X112">
            <v>50.26258</v>
          </cell>
          <cell r="Z112"/>
          <cell r="AA112"/>
          <cell r="AB112">
            <v>43.884079999999997</v>
          </cell>
          <cell r="AC112">
            <v>43.884079999999997</v>
          </cell>
          <cell r="AL112" t="str">
            <v>Including</v>
          </cell>
        </row>
        <row r="113">
          <cell r="C113" t="str">
            <v>A</v>
          </cell>
          <cell r="V113"/>
          <cell r="X113">
            <v>314.65300000000002</v>
          </cell>
          <cell r="Z113"/>
          <cell r="AA113"/>
          <cell r="AB113">
            <v>277.63499999999999</v>
          </cell>
          <cell r="AC113">
            <v>277.63499999999999</v>
          </cell>
          <cell r="AL113" t="str">
            <v>Including</v>
          </cell>
        </row>
        <row r="114">
          <cell r="C114" t="str">
            <v>B</v>
          </cell>
          <cell r="V114"/>
          <cell r="X114"/>
          <cell r="Z114"/>
          <cell r="AA114"/>
          <cell r="AB114">
            <v>100.1</v>
          </cell>
          <cell r="AC114">
            <v>100.1</v>
          </cell>
          <cell r="AL114" t="str">
            <v>Including</v>
          </cell>
        </row>
        <row r="115">
          <cell r="C115" t="str">
            <v>B</v>
          </cell>
          <cell r="V115">
            <v>0.10464</v>
          </cell>
          <cell r="X115"/>
          <cell r="Z115">
            <v>4.5839999999999999E-2</v>
          </cell>
          <cell r="AA115">
            <v>4.5839999999999999E-2</v>
          </cell>
          <cell r="AB115"/>
          <cell r="AC115"/>
          <cell r="AL115" t="str">
            <v>Excluding</v>
          </cell>
        </row>
        <row r="116">
          <cell r="C116" t="str">
            <v>B</v>
          </cell>
          <cell r="V116"/>
          <cell r="X116">
            <v>172.7116</v>
          </cell>
          <cell r="Z116"/>
          <cell r="AA116"/>
          <cell r="AB116">
            <v>112.16867499999998</v>
          </cell>
          <cell r="AC116">
            <v>112.16867499999998</v>
          </cell>
          <cell r="AL116" t="str">
            <v>Including</v>
          </cell>
        </row>
        <row r="117">
          <cell r="C117" t="str">
            <v>A</v>
          </cell>
          <cell r="V117">
            <v>535.87800000000004</v>
          </cell>
          <cell r="X117"/>
          <cell r="Z117">
            <v>535.87800000000004</v>
          </cell>
          <cell r="AA117">
            <v>535.87800000000004</v>
          </cell>
          <cell r="AB117"/>
          <cell r="AC117"/>
          <cell r="AL117" t="str">
            <v>Including</v>
          </cell>
        </row>
        <row r="118">
          <cell r="C118" t="str">
            <v>G</v>
          </cell>
          <cell r="V118"/>
          <cell r="X118"/>
          <cell r="AL118" t="str">
            <v>Excluding</v>
          </cell>
        </row>
        <row r="119">
          <cell r="C119" t="str">
            <v>B</v>
          </cell>
          <cell r="V119"/>
          <cell r="X119">
            <v>24.83625675</v>
          </cell>
          <cell r="Z119"/>
          <cell r="AA119"/>
          <cell r="AB119">
            <v>19.900680626</v>
          </cell>
          <cell r="AC119">
            <v>19.900680626</v>
          </cell>
          <cell r="AL119" t="str">
            <v>Including</v>
          </cell>
        </row>
        <row r="120">
          <cell r="C120" t="str">
            <v>G</v>
          </cell>
          <cell r="V120"/>
          <cell r="X120"/>
          <cell r="Z120"/>
          <cell r="AA120"/>
          <cell r="AB120"/>
          <cell r="AC120"/>
          <cell r="AL120" t="str">
            <v>Excluding</v>
          </cell>
        </row>
        <row r="121">
          <cell r="C121" t="str">
            <v>A</v>
          </cell>
          <cell r="V121"/>
          <cell r="X121"/>
          <cell r="Z121"/>
          <cell r="AA121"/>
          <cell r="AB121"/>
          <cell r="AC121"/>
          <cell r="AL121" t="str">
            <v>Including</v>
          </cell>
        </row>
        <row r="122">
          <cell r="C122" t="str">
            <v>B</v>
          </cell>
          <cell r="V122"/>
          <cell r="X122">
            <v>37.4</v>
          </cell>
          <cell r="Z122"/>
          <cell r="AA122"/>
          <cell r="AB122">
            <v>30.799999999999997</v>
          </cell>
          <cell r="AC122">
            <v>30.799999999999997</v>
          </cell>
          <cell r="AL122" t="str">
            <v>Including</v>
          </cell>
        </row>
        <row r="123">
          <cell r="C123" t="str">
            <v>B</v>
          </cell>
          <cell r="V123">
            <v>2.696958</v>
          </cell>
          <cell r="X123"/>
          <cell r="Z123">
            <v>1.9478030000000002</v>
          </cell>
          <cell r="AA123">
            <v>1.9478030000000002</v>
          </cell>
          <cell r="AB123"/>
          <cell r="AC123"/>
          <cell r="AL123" t="str">
            <v>Excluding</v>
          </cell>
        </row>
        <row r="124">
          <cell r="C124" t="str">
            <v>B</v>
          </cell>
          <cell r="V124"/>
          <cell r="X124"/>
          <cell r="Z124">
            <v>4.5066999999999995</v>
          </cell>
          <cell r="AA124">
            <v>4.5066999999999995</v>
          </cell>
          <cell r="AB124"/>
          <cell r="AC124"/>
          <cell r="AL124" t="str">
            <v>Excluding</v>
          </cell>
        </row>
        <row r="125">
          <cell r="V125"/>
          <cell r="X125"/>
          <cell r="Z125"/>
          <cell r="AA125"/>
          <cell r="AB125"/>
          <cell r="AC125"/>
          <cell r="AL125" t="str">
            <v>Excluding</v>
          </cell>
        </row>
        <row r="126">
          <cell r="C126" t="str">
            <v>A</v>
          </cell>
          <cell r="V126">
            <v>0.14230725033771408</v>
          </cell>
          <cell r="X126"/>
          <cell r="Z126"/>
          <cell r="AA126"/>
          <cell r="AB126"/>
          <cell r="AC126"/>
          <cell r="AL126" t="str">
            <v>Excluding</v>
          </cell>
        </row>
        <row r="127">
          <cell r="C127" t="str">
            <v>A</v>
          </cell>
          <cell r="V127"/>
          <cell r="X127"/>
          <cell r="Z127"/>
          <cell r="AA127"/>
          <cell r="AB127"/>
          <cell r="AC127"/>
          <cell r="AL127" t="str">
            <v>Including</v>
          </cell>
        </row>
        <row r="128">
          <cell r="C128" t="str">
            <v>A</v>
          </cell>
          <cell r="V128"/>
          <cell r="X128"/>
          <cell r="Z128"/>
          <cell r="AA128"/>
          <cell r="AB128"/>
          <cell r="AC128"/>
          <cell r="AL128" t="str">
            <v>Including</v>
          </cell>
        </row>
        <row r="129">
          <cell r="V129"/>
          <cell r="X129"/>
          <cell r="Z129"/>
          <cell r="AA129"/>
          <cell r="AB129"/>
          <cell r="AC129"/>
          <cell r="AL129" t="str">
            <v>Excluding</v>
          </cell>
        </row>
        <row r="130">
          <cell r="C130" t="str">
            <v>B</v>
          </cell>
          <cell r="V130">
            <v>8.5530619999999988</v>
          </cell>
          <cell r="X130"/>
          <cell r="Z130">
            <v>7.8199424000000004</v>
          </cell>
          <cell r="AA130">
            <v>7.8199424000000004</v>
          </cell>
          <cell r="AB130"/>
          <cell r="AC130"/>
          <cell r="AL130" t="str">
            <v>Excluding</v>
          </cell>
        </row>
        <row r="131">
          <cell r="C131" t="str">
            <v>B</v>
          </cell>
          <cell r="V131"/>
          <cell r="X131"/>
          <cell r="AL131" t="str">
            <v>Excluding</v>
          </cell>
        </row>
        <row r="132">
          <cell r="C132" t="str">
            <v>G</v>
          </cell>
          <cell r="V132"/>
          <cell r="X132"/>
          <cell r="Z132"/>
          <cell r="AA132"/>
          <cell r="AB132"/>
          <cell r="AC132"/>
          <cell r="AL132" t="str">
            <v>Excluding</v>
          </cell>
        </row>
        <row r="133">
          <cell r="C133" t="str">
            <v>D</v>
          </cell>
          <cell r="V133"/>
          <cell r="X133">
            <v>591.02717147751491</v>
          </cell>
          <cell r="Z133"/>
          <cell r="AA133"/>
          <cell r="AB133">
            <v>500.09991432712815</v>
          </cell>
          <cell r="AC133">
            <v>500.09991432712815</v>
          </cell>
          <cell r="AL133" t="str">
            <v>Including</v>
          </cell>
        </row>
        <row r="134">
          <cell r="C134" t="str">
            <v>B</v>
          </cell>
          <cell r="V134">
            <v>2.9699999999999998</v>
          </cell>
          <cell r="X134"/>
          <cell r="Z134">
            <v>2.508</v>
          </cell>
          <cell r="AA134">
            <v>2.508</v>
          </cell>
          <cell r="AB134"/>
          <cell r="AC134"/>
          <cell r="AL134" t="str">
            <v>Excluding</v>
          </cell>
        </row>
        <row r="135">
          <cell r="C135" t="str">
            <v>G</v>
          </cell>
          <cell r="V135"/>
          <cell r="X135"/>
          <cell r="Z135"/>
          <cell r="AA135"/>
          <cell r="AB135"/>
          <cell r="AC135"/>
          <cell r="AL135" t="str">
            <v>Excluding</v>
          </cell>
        </row>
        <row r="136">
          <cell r="C136" t="str">
            <v>A</v>
          </cell>
          <cell r="V136"/>
          <cell r="X136"/>
          <cell r="Z136"/>
          <cell r="AA136"/>
          <cell r="AB136"/>
          <cell r="AC136"/>
          <cell r="AL136" t="str">
            <v>Including</v>
          </cell>
        </row>
        <row r="137">
          <cell r="C137" t="str">
            <v>A</v>
          </cell>
          <cell r="V137">
            <v>9.3401000000000012E-2</v>
          </cell>
          <cell r="X137"/>
          <cell r="Z137"/>
          <cell r="AA137"/>
          <cell r="AB137"/>
          <cell r="AC137"/>
          <cell r="AL137" t="str">
            <v>Excluding</v>
          </cell>
        </row>
        <row r="138">
          <cell r="V138"/>
          <cell r="X138"/>
          <cell r="Z138"/>
          <cell r="AA138"/>
          <cell r="AB138"/>
          <cell r="AC138"/>
          <cell r="AL138" t="str">
            <v>Excluding</v>
          </cell>
        </row>
        <row r="139">
          <cell r="C139" t="str">
            <v>B</v>
          </cell>
          <cell r="V139"/>
          <cell r="X139">
            <v>18.330099483999998</v>
          </cell>
          <cell r="Z139"/>
          <cell r="AA139"/>
          <cell r="AB139">
            <v>14.6340957</v>
          </cell>
          <cell r="AC139">
            <v>14.6340957</v>
          </cell>
          <cell r="AL139" t="str">
            <v>Including</v>
          </cell>
        </row>
        <row r="140">
          <cell r="C140" t="str">
            <v>B</v>
          </cell>
          <cell r="V140"/>
          <cell r="X140"/>
          <cell r="Z140"/>
          <cell r="AA140"/>
          <cell r="AB140">
            <v>4.8999999999999995</v>
          </cell>
          <cell r="AC140">
            <v>4.8999999999999995</v>
          </cell>
          <cell r="AL140" t="str">
            <v>Including</v>
          </cell>
        </row>
        <row r="141">
          <cell r="C141" t="str">
            <v>B</v>
          </cell>
          <cell r="U141">
            <v>991</v>
          </cell>
          <cell r="V141"/>
          <cell r="X141">
            <v>758.94</v>
          </cell>
          <cell r="Z141"/>
          <cell r="AA141"/>
          <cell r="AB141">
            <v>622.72</v>
          </cell>
          <cell r="AC141">
            <v>622.72</v>
          </cell>
          <cell r="AL141" t="str">
            <v>Including</v>
          </cell>
        </row>
        <row r="142">
          <cell r="C142" t="str">
            <v>A</v>
          </cell>
          <cell r="V142">
            <v>0.108</v>
          </cell>
          <cell r="X142"/>
          <cell r="Z142">
            <v>9.7500000000000003E-2</v>
          </cell>
          <cell r="AA142">
            <v>9.7500000000000003E-2</v>
          </cell>
          <cell r="AB142"/>
          <cell r="AC142"/>
          <cell r="AL142" t="str">
            <v>Excluding</v>
          </cell>
        </row>
        <row r="143">
          <cell r="C143" t="str">
            <v>A</v>
          </cell>
          <cell r="V143"/>
          <cell r="X143">
            <v>12.374999999999998</v>
          </cell>
          <cell r="Z143"/>
          <cell r="AA143"/>
          <cell r="AB143">
            <v>8.2499999999999982</v>
          </cell>
          <cell r="AC143">
            <v>8.2499999999999982</v>
          </cell>
          <cell r="AL143" t="str">
            <v>Including</v>
          </cell>
        </row>
        <row r="144">
          <cell r="C144" t="str">
            <v>A</v>
          </cell>
          <cell r="V144">
            <v>5.1229780000000003E-2</v>
          </cell>
          <cell r="X144"/>
          <cell r="Z144"/>
          <cell r="AA144"/>
          <cell r="AB144"/>
          <cell r="AC144"/>
          <cell r="AL144" t="str">
            <v>Excluding</v>
          </cell>
        </row>
        <row r="145">
          <cell r="C145" t="str">
            <v>B</v>
          </cell>
          <cell r="T145">
            <v>74.3</v>
          </cell>
          <cell r="V145"/>
          <cell r="X145"/>
          <cell r="Z145">
            <v>44.72</v>
          </cell>
          <cell r="AA145">
            <v>44.72</v>
          </cell>
          <cell r="AB145"/>
          <cell r="AC145"/>
          <cell r="AL145" t="str">
            <v>Excluding</v>
          </cell>
        </row>
        <row r="146">
          <cell r="V146"/>
          <cell r="X146"/>
          <cell r="Z146"/>
          <cell r="AA146"/>
          <cell r="AB146"/>
          <cell r="AC146"/>
          <cell r="AL146" t="str">
            <v>Excluding</v>
          </cell>
        </row>
        <row r="147">
          <cell r="C147" t="str">
            <v>B</v>
          </cell>
          <cell r="U147">
            <v>142.35</v>
          </cell>
          <cell r="V147"/>
          <cell r="X147">
            <v>141.76400000000001</v>
          </cell>
          <cell r="Z147"/>
          <cell r="AA147"/>
          <cell r="AB147">
            <v>99.064000000000021</v>
          </cell>
          <cell r="AC147">
            <v>99.064000000000021</v>
          </cell>
          <cell r="AL147" t="str">
            <v>Including</v>
          </cell>
        </row>
        <row r="148">
          <cell r="C148" t="str">
            <v>G</v>
          </cell>
          <cell r="V148"/>
          <cell r="X148"/>
          <cell r="Z148"/>
          <cell r="AA148"/>
          <cell r="AB148"/>
          <cell r="AC148"/>
          <cell r="AL148" t="str">
            <v>Excluding</v>
          </cell>
        </row>
        <row r="149">
          <cell r="C149" t="str">
            <v>G</v>
          </cell>
          <cell r="V149"/>
          <cell r="X149"/>
          <cell r="Z149"/>
          <cell r="AA149"/>
          <cell r="AB149"/>
          <cell r="AC149"/>
          <cell r="AL149" t="str">
            <v>Excluding</v>
          </cell>
        </row>
        <row r="150">
          <cell r="C150" t="str">
            <v>B</v>
          </cell>
          <cell r="V150"/>
          <cell r="X150">
            <v>20.64704343</v>
          </cell>
          <cell r="Z150"/>
          <cell r="AA150"/>
          <cell r="AB150">
            <v>2.5930815000000007</v>
          </cell>
          <cell r="AC150">
            <v>2.5930815000000007</v>
          </cell>
          <cell r="AL150" t="str">
            <v>Including</v>
          </cell>
        </row>
        <row r="151">
          <cell r="C151" t="str">
            <v>G</v>
          </cell>
          <cell r="V151"/>
          <cell r="X151"/>
          <cell r="Z151"/>
          <cell r="AA151"/>
          <cell r="AB151"/>
          <cell r="AC151"/>
          <cell r="AL151" t="str">
            <v>Excluding</v>
          </cell>
        </row>
        <row r="152">
          <cell r="C152" t="str">
            <v>G</v>
          </cell>
          <cell r="V152"/>
          <cell r="X152"/>
          <cell r="Z152"/>
          <cell r="AA152"/>
          <cell r="AB152"/>
          <cell r="AC152"/>
          <cell r="AL152" t="str">
            <v>Excluding</v>
          </cell>
        </row>
        <row r="153">
          <cell r="C153" t="str">
            <v>A</v>
          </cell>
          <cell r="V153"/>
          <cell r="X153"/>
          <cell r="Z153"/>
          <cell r="AA153"/>
          <cell r="AB153"/>
          <cell r="AC153"/>
          <cell r="AL153" t="str">
            <v>Including</v>
          </cell>
        </row>
        <row r="154">
          <cell r="V154"/>
          <cell r="X154"/>
          <cell r="Z154"/>
          <cell r="AA154"/>
          <cell r="AB154"/>
          <cell r="AC154"/>
          <cell r="AL154" t="str">
            <v>Excluding</v>
          </cell>
        </row>
        <row r="155">
          <cell r="V155"/>
          <cell r="X155"/>
          <cell r="Z155"/>
          <cell r="AA155"/>
          <cell r="AB155"/>
          <cell r="AC155"/>
          <cell r="AL155" t="str">
            <v>Excluding</v>
          </cell>
        </row>
        <row r="156">
          <cell r="C156" t="str">
            <v>A</v>
          </cell>
          <cell r="V156"/>
          <cell r="X156">
            <v>57.226523209118135</v>
          </cell>
          <cell r="Z156"/>
          <cell r="AA156"/>
          <cell r="AB156">
            <v>57.226523209118135</v>
          </cell>
          <cell r="AC156">
            <v>57.226523209118135</v>
          </cell>
          <cell r="AL156" t="str">
            <v>Excluding</v>
          </cell>
        </row>
        <row r="157">
          <cell r="V157"/>
          <cell r="X157"/>
          <cell r="Z157"/>
          <cell r="AA157"/>
          <cell r="AB157"/>
          <cell r="AC157"/>
          <cell r="AL157" t="str">
            <v>Excluding</v>
          </cell>
        </row>
        <row r="158">
          <cell r="C158" t="str">
            <v>B</v>
          </cell>
          <cell r="V158"/>
          <cell r="X158">
            <v>82.332220667408336</v>
          </cell>
          <cell r="Z158"/>
          <cell r="AA158"/>
          <cell r="AB158">
            <v>52.330672667408336</v>
          </cell>
          <cell r="AC158">
            <v>52.330672667408336</v>
          </cell>
          <cell r="AL158" t="str">
            <v>Including</v>
          </cell>
        </row>
        <row r="159">
          <cell r="C159" t="str">
            <v>B</v>
          </cell>
          <cell r="V159"/>
          <cell r="X159">
            <v>720</v>
          </cell>
          <cell r="Z159"/>
          <cell r="AA159"/>
          <cell r="AB159">
            <v>495.00000000000006</v>
          </cell>
          <cell r="AC159">
            <v>495.00000000000006</v>
          </cell>
          <cell r="AL159" t="str">
            <v>Including</v>
          </cell>
        </row>
        <row r="160">
          <cell r="C160" t="str">
            <v>G</v>
          </cell>
          <cell r="V160"/>
          <cell r="X160"/>
          <cell r="Z160"/>
          <cell r="AA160"/>
          <cell r="AB160"/>
          <cell r="AC160"/>
          <cell r="AL160" t="str">
            <v>Excluding</v>
          </cell>
        </row>
        <row r="161">
          <cell r="V161"/>
          <cell r="X161"/>
          <cell r="Z161"/>
          <cell r="AA161"/>
          <cell r="AB161"/>
          <cell r="AC161"/>
          <cell r="AL161" t="str">
            <v>Excluding</v>
          </cell>
        </row>
        <row r="162">
          <cell r="C162" t="str">
            <v>A</v>
          </cell>
          <cell r="V162">
            <v>30.427467753744629</v>
          </cell>
          <cell r="X162"/>
          <cell r="Z162"/>
          <cell r="AA162"/>
          <cell r="AB162"/>
          <cell r="AC162"/>
          <cell r="AL162" t="str">
            <v>Excluding</v>
          </cell>
        </row>
        <row r="163">
          <cell r="C163" t="str">
            <v>B</v>
          </cell>
          <cell r="V163"/>
          <cell r="X163"/>
          <cell r="Z163">
            <v>88.713520000000003</v>
          </cell>
          <cell r="AA163">
            <v>88.713520000000003</v>
          </cell>
          <cell r="AB163"/>
          <cell r="AC163"/>
          <cell r="AL163" t="str">
            <v>Excluding</v>
          </cell>
        </row>
        <row r="164">
          <cell r="C164" t="str">
            <v>F</v>
          </cell>
          <cell r="U164">
            <v>1603</v>
          </cell>
          <cell r="V164"/>
          <cell r="X164"/>
          <cell r="Z164"/>
          <cell r="AA164"/>
          <cell r="AB164">
            <v>1282.4000000000001</v>
          </cell>
          <cell r="AC164">
            <v>1282.4000000000001</v>
          </cell>
          <cell r="AL164" t="str">
            <v>Including</v>
          </cell>
        </row>
        <row r="165">
          <cell r="C165" t="str">
            <v>G</v>
          </cell>
          <cell r="V165"/>
          <cell r="X165"/>
          <cell r="Z165"/>
          <cell r="AA165"/>
          <cell r="AB165"/>
          <cell r="AC165"/>
          <cell r="AL165" t="str">
            <v>Excluding</v>
          </cell>
        </row>
        <row r="166">
          <cell r="C166" t="str">
            <v>G</v>
          </cell>
          <cell r="V166"/>
          <cell r="X166"/>
          <cell r="Z166"/>
          <cell r="AA166"/>
          <cell r="AB166"/>
          <cell r="AC166"/>
          <cell r="AL166" t="str">
            <v>Excluding</v>
          </cell>
        </row>
        <row r="167">
          <cell r="C167" t="str">
            <v>G</v>
          </cell>
          <cell r="V167"/>
          <cell r="X167"/>
          <cell r="Z167"/>
          <cell r="AA167"/>
          <cell r="AB167"/>
          <cell r="AC167"/>
          <cell r="AL167" t="str">
            <v>Excluding</v>
          </cell>
        </row>
        <row r="168">
          <cell r="C168" t="str">
            <v>B</v>
          </cell>
          <cell r="S168">
            <v>102.54</v>
          </cell>
          <cell r="V168"/>
          <cell r="X168">
            <v>92.286000000000001</v>
          </cell>
          <cell r="Z168"/>
          <cell r="AA168"/>
          <cell r="AB168">
            <v>82.032000000000011</v>
          </cell>
          <cell r="AC168">
            <v>82.032000000000011</v>
          </cell>
          <cell r="AL168" t="str">
            <v>Including</v>
          </cell>
        </row>
        <row r="169">
          <cell r="C169" t="str">
            <v>F</v>
          </cell>
          <cell r="V169"/>
          <cell r="X169">
            <v>238.64000000000001</v>
          </cell>
          <cell r="Z169"/>
          <cell r="AA169"/>
          <cell r="AB169">
            <v>208.81</v>
          </cell>
          <cell r="AC169">
            <v>208.81</v>
          </cell>
          <cell r="AL169" t="str">
            <v>Including</v>
          </cell>
        </row>
        <row r="170">
          <cell r="C170" t="str">
            <v>B</v>
          </cell>
          <cell r="V170"/>
          <cell r="X170"/>
          <cell r="Z170">
            <v>96.000000000000014</v>
          </cell>
          <cell r="AA170">
            <v>96.000000000000014</v>
          </cell>
          <cell r="AB170"/>
          <cell r="AC170"/>
          <cell r="AL170" t="str">
            <v>Excluding</v>
          </cell>
        </row>
        <row r="171">
          <cell r="V171"/>
          <cell r="X171"/>
          <cell r="Z171"/>
          <cell r="AA171"/>
          <cell r="AB171"/>
          <cell r="AC171"/>
          <cell r="AL171" t="str">
            <v>Excluding</v>
          </cell>
        </row>
        <row r="172">
          <cell r="C172" t="str">
            <v>A</v>
          </cell>
          <cell r="V172"/>
          <cell r="X172"/>
          <cell r="Z172"/>
          <cell r="AA172"/>
          <cell r="AB172"/>
          <cell r="AC172"/>
          <cell r="AL172" t="str">
            <v>Including</v>
          </cell>
        </row>
        <row r="173">
          <cell r="C173" t="str">
            <v>A</v>
          </cell>
          <cell r="V173"/>
          <cell r="X173"/>
          <cell r="Z173"/>
          <cell r="AA173"/>
          <cell r="AB173"/>
          <cell r="AC173"/>
          <cell r="AL173" t="str">
            <v>Including</v>
          </cell>
        </row>
        <row r="174">
          <cell r="V174"/>
          <cell r="X174"/>
          <cell r="Z174"/>
          <cell r="AA174"/>
          <cell r="AB174"/>
          <cell r="AC174"/>
          <cell r="AL174" t="str">
            <v>Excluding</v>
          </cell>
        </row>
        <row r="175">
          <cell r="C175" t="str">
            <v>G</v>
          </cell>
          <cell r="V175"/>
          <cell r="X175"/>
          <cell r="Z175"/>
          <cell r="AA175"/>
          <cell r="AB175"/>
          <cell r="AC175"/>
          <cell r="AL175" t="str">
            <v>Excluding</v>
          </cell>
        </row>
        <row r="176">
          <cell r="V176"/>
          <cell r="X176"/>
          <cell r="Z176"/>
          <cell r="AA176"/>
          <cell r="AB176"/>
          <cell r="AC176"/>
          <cell r="AL176" t="str">
            <v>Excluding</v>
          </cell>
        </row>
        <row r="177">
          <cell r="C177" t="str">
            <v>A</v>
          </cell>
          <cell r="V177"/>
          <cell r="X177"/>
          <cell r="Z177"/>
          <cell r="AA177"/>
          <cell r="AB177"/>
          <cell r="AC177"/>
          <cell r="AL177" t="str">
            <v>Including</v>
          </cell>
        </row>
        <row r="178">
          <cell r="C178" t="str">
            <v>A</v>
          </cell>
          <cell r="AL178" t="str">
            <v>Including</v>
          </cell>
        </row>
        <row r="179">
          <cell r="C179" t="str">
            <v>G</v>
          </cell>
          <cell r="V179"/>
          <cell r="X179"/>
          <cell r="Z179"/>
          <cell r="AA179"/>
          <cell r="AB179"/>
          <cell r="AC179"/>
          <cell r="AL179" t="str">
            <v>Excluding</v>
          </cell>
        </row>
        <row r="180">
          <cell r="C180" t="str">
            <v>G</v>
          </cell>
          <cell r="V180"/>
          <cell r="X180"/>
          <cell r="Z180"/>
          <cell r="AA180"/>
          <cell r="AB180"/>
          <cell r="AC180"/>
          <cell r="AL180" t="str">
            <v>Excluding</v>
          </cell>
        </row>
        <row r="181">
          <cell r="C181" t="str">
            <v>A</v>
          </cell>
          <cell r="V181"/>
          <cell r="X181"/>
          <cell r="Z181"/>
          <cell r="AA181"/>
          <cell r="AB181">
            <v>0.1704</v>
          </cell>
          <cell r="AC181">
            <v>0.1704</v>
          </cell>
          <cell r="AL181" t="str">
            <v>Including</v>
          </cell>
        </row>
        <row r="182">
          <cell r="C182" t="str">
            <v>B</v>
          </cell>
          <cell r="V182"/>
          <cell r="X182"/>
          <cell r="Z182">
            <v>0.183</v>
          </cell>
          <cell r="AA182">
            <v>0.183</v>
          </cell>
          <cell r="AB182"/>
          <cell r="AC182"/>
          <cell r="AL182" t="str">
            <v>Excluding</v>
          </cell>
        </row>
        <row r="183">
          <cell r="C183" t="str">
            <v>C</v>
          </cell>
          <cell r="V183">
            <v>836.5</v>
          </cell>
          <cell r="X183"/>
          <cell r="Z183">
            <v>836.5</v>
          </cell>
          <cell r="AA183">
            <v>836.5</v>
          </cell>
          <cell r="AB183"/>
          <cell r="AC183"/>
          <cell r="AL183" t="str">
            <v>Excluding</v>
          </cell>
        </row>
        <row r="184">
          <cell r="C184" t="str">
            <v>C</v>
          </cell>
          <cell r="V184">
            <v>40.676273499999994</v>
          </cell>
          <cell r="X184"/>
          <cell r="Z184">
            <v>33.825532700000004</v>
          </cell>
          <cell r="AA184">
            <v>33.825532700000004</v>
          </cell>
          <cell r="AB184"/>
          <cell r="AC184"/>
          <cell r="AL184" t="str">
            <v>Including</v>
          </cell>
        </row>
        <row r="185">
          <cell r="C185" t="str">
            <v>A</v>
          </cell>
          <cell r="V185">
            <v>77.374238304000002</v>
          </cell>
          <cell r="X185"/>
          <cell r="Z185"/>
          <cell r="AA185"/>
          <cell r="AB185"/>
          <cell r="AC185"/>
          <cell r="AL185" t="str">
            <v>Excluding</v>
          </cell>
        </row>
        <row r="186">
          <cell r="C186" t="str">
            <v>B</v>
          </cell>
          <cell r="V186"/>
          <cell r="X186"/>
          <cell r="Z186">
            <v>0.63481937799999999</v>
          </cell>
          <cell r="AA186">
            <v>0.63481937799999999</v>
          </cell>
          <cell r="AB186"/>
          <cell r="AC186"/>
          <cell r="AL186" t="str">
            <v>Excluding</v>
          </cell>
        </row>
        <row r="187">
          <cell r="C187" t="str">
            <v>G</v>
          </cell>
          <cell r="V187"/>
          <cell r="X187"/>
          <cell r="Z187"/>
          <cell r="AA187"/>
          <cell r="AB187"/>
          <cell r="AC187"/>
          <cell r="AL187" t="str">
            <v>Excluding</v>
          </cell>
        </row>
        <row r="188">
          <cell r="C188" t="str">
            <v>D</v>
          </cell>
          <cell r="V188">
            <v>65</v>
          </cell>
          <cell r="X188"/>
          <cell r="Z188"/>
          <cell r="AA188"/>
          <cell r="AB188"/>
          <cell r="AC188"/>
          <cell r="AL188" t="str">
            <v>Including</v>
          </cell>
        </row>
        <row r="189">
          <cell r="C189" t="str">
            <v>A</v>
          </cell>
          <cell r="V189"/>
          <cell r="X189"/>
          <cell r="Z189"/>
          <cell r="AA189"/>
          <cell r="AB189"/>
          <cell r="AC189"/>
          <cell r="AL189" t="str">
            <v>Including</v>
          </cell>
        </row>
        <row r="190">
          <cell r="C190" t="str">
            <v>A</v>
          </cell>
          <cell r="V190"/>
          <cell r="X190"/>
          <cell r="Z190"/>
          <cell r="AA190"/>
          <cell r="AB190"/>
          <cell r="AC190"/>
          <cell r="AL190" t="str">
            <v>Including</v>
          </cell>
        </row>
        <row r="191">
          <cell r="C191" t="str">
            <v>A</v>
          </cell>
          <cell r="V191"/>
          <cell r="X191">
            <v>4.3999491199999996</v>
          </cell>
          <cell r="Z191"/>
          <cell r="AA191"/>
          <cell r="AB191">
            <v>3.4571028800000003</v>
          </cell>
          <cell r="AC191">
            <v>3.4571028800000003</v>
          </cell>
          <cell r="AL191" t="str">
            <v>Including</v>
          </cell>
        </row>
        <row r="192">
          <cell r="C192" t="str">
            <v>G</v>
          </cell>
          <cell r="V192"/>
          <cell r="X192"/>
          <cell r="Z192"/>
          <cell r="AA192"/>
          <cell r="AB192"/>
          <cell r="AC192"/>
          <cell r="AL192" t="str">
            <v>Excluding</v>
          </cell>
        </row>
        <row r="193">
          <cell r="C193" t="str">
            <v>F</v>
          </cell>
          <cell r="V193">
            <v>614</v>
          </cell>
          <cell r="X193"/>
          <cell r="Z193">
            <v>398</v>
          </cell>
          <cell r="AA193">
            <v>398</v>
          </cell>
          <cell r="AB193"/>
          <cell r="AC193"/>
          <cell r="AL193" t="str">
            <v>Excluding</v>
          </cell>
        </row>
        <row r="194">
          <cell r="C194" t="str">
            <v>A</v>
          </cell>
          <cell r="V194"/>
          <cell r="X194"/>
          <cell r="Z194"/>
          <cell r="AA194"/>
          <cell r="AB194"/>
          <cell r="AC194"/>
          <cell r="AL194" t="str">
            <v>Including</v>
          </cell>
        </row>
        <row r="195">
          <cell r="C195" t="str">
            <v>G</v>
          </cell>
          <cell r="V195"/>
          <cell r="X195"/>
          <cell r="Z195"/>
          <cell r="AA195"/>
          <cell r="AB195"/>
          <cell r="AC195"/>
          <cell r="AL195" t="str">
            <v>Excluding</v>
          </cell>
        </row>
        <row r="196">
          <cell r="V196"/>
          <cell r="X196"/>
          <cell r="Z196"/>
          <cell r="AA196"/>
          <cell r="AB196"/>
          <cell r="AC196"/>
          <cell r="AL196" t="str">
            <v>Excluding</v>
          </cell>
        </row>
        <row r="197">
          <cell r="C197" t="str">
            <v>B</v>
          </cell>
          <cell r="V197"/>
          <cell r="X197"/>
          <cell r="Z197"/>
          <cell r="AA197"/>
          <cell r="AB197">
            <v>0.54339999999999999</v>
          </cell>
          <cell r="AC197">
            <v>0.54339999999999999</v>
          </cell>
          <cell r="AL197" t="str">
            <v>Including</v>
          </cell>
        </row>
        <row r="198">
          <cell r="C198" t="str">
            <v>B</v>
          </cell>
          <cell r="V198"/>
          <cell r="X198"/>
          <cell r="Z198">
            <v>0.7589999999999999</v>
          </cell>
          <cell r="AA198">
            <v>0.7589999999999999</v>
          </cell>
          <cell r="AB198"/>
          <cell r="AC198"/>
          <cell r="AL198" t="str">
            <v>Excluding</v>
          </cell>
        </row>
        <row r="199">
          <cell r="V199"/>
          <cell r="X199"/>
          <cell r="Z199"/>
          <cell r="AA199"/>
          <cell r="AB199"/>
          <cell r="AC199"/>
          <cell r="AL199" t="str">
            <v>Excluding</v>
          </cell>
        </row>
        <row r="200">
          <cell r="C200" t="str">
            <v>G</v>
          </cell>
          <cell r="V200"/>
          <cell r="X200"/>
          <cell r="Z200"/>
          <cell r="AA200"/>
          <cell r="AB200"/>
          <cell r="AC200"/>
          <cell r="AL200" t="str">
            <v>Excluding</v>
          </cell>
        </row>
        <row r="201">
          <cell r="C201" t="str">
            <v>G</v>
          </cell>
          <cell r="V201"/>
          <cell r="X201"/>
          <cell r="Z201"/>
          <cell r="AA201"/>
          <cell r="AB201"/>
          <cell r="AC201"/>
          <cell r="AL201" t="str">
            <v>Excluding</v>
          </cell>
        </row>
        <row r="202">
          <cell r="C202" t="str">
            <v>G</v>
          </cell>
          <cell r="V202"/>
          <cell r="X202"/>
          <cell r="Z202"/>
          <cell r="AA202"/>
          <cell r="AB202"/>
          <cell r="AC202"/>
          <cell r="AL202" t="str">
            <v>Excluding</v>
          </cell>
        </row>
        <row r="203">
          <cell r="C203" t="str">
            <v>G</v>
          </cell>
          <cell r="V203"/>
          <cell r="X203"/>
          <cell r="Z203"/>
          <cell r="AA203"/>
          <cell r="AB203"/>
          <cell r="AC203"/>
          <cell r="AL203" t="str">
            <v>Excluding</v>
          </cell>
        </row>
        <row r="204">
          <cell r="C204" t="str">
            <v>A</v>
          </cell>
          <cell r="V204"/>
          <cell r="X204"/>
          <cell r="Z204"/>
          <cell r="AA204"/>
          <cell r="AB204"/>
          <cell r="AC204"/>
          <cell r="AL204" t="str">
            <v>Including</v>
          </cell>
        </row>
        <row r="205">
          <cell r="C205" t="str">
            <v>A</v>
          </cell>
          <cell r="V205">
            <v>26.65</v>
          </cell>
          <cell r="X205"/>
          <cell r="Z205"/>
          <cell r="AA205"/>
          <cell r="AB205"/>
          <cell r="AC205"/>
          <cell r="AL205" t="str">
            <v>Excluding</v>
          </cell>
        </row>
        <row r="206">
          <cell r="V206"/>
          <cell r="X206"/>
          <cell r="Z206"/>
          <cell r="AA206"/>
          <cell r="AB206"/>
          <cell r="AC206"/>
          <cell r="AL206" t="str">
            <v>Excluding</v>
          </cell>
        </row>
        <row r="207">
          <cell r="C207" t="str">
            <v>B</v>
          </cell>
          <cell r="V207"/>
          <cell r="X207">
            <v>214</v>
          </cell>
          <cell r="Z207"/>
          <cell r="AA207"/>
          <cell r="AB207"/>
          <cell r="AC207"/>
          <cell r="AL207" t="str">
            <v>Including</v>
          </cell>
        </row>
        <row r="208">
          <cell r="C208" t="str">
            <v>A</v>
          </cell>
          <cell r="V208"/>
          <cell r="X208">
            <v>25.958073600000002</v>
          </cell>
          <cell r="Z208"/>
          <cell r="AA208"/>
          <cell r="AB208">
            <v>21.631728000000003</v>
          </cell>
          <cell r="AC208">
            <v>21.631728000000003</v>
          </cell>
          <cell r="AL208" t="str">
            <v>Including</v>
          </cell>
        </row>
        <row r="209">
          <cell r="C209" t="str">
            <v>B</v>
          </cell>
          <cell r="V209">
            <v>130.95000000000002</v>
          </cell>
          <cell r="X209"/>
          <cell r="Z209">
            <v>116.4</v>
          </cell>
          <cell r="AA209">
            <v>116.4</v>
          </cell>
          <cell r="AB209"/>
          <cell r="AC209"/>
          <cell r="AL209" t="str">
            <v>Excluding</v>
          </cell>
        </row>
        <row r="210">
          <cell r="C210" t="str">
            <v>B</v>
          </cell>
          <cell r="V210">
            <v>444</v>
          </cell>
          <cell r="X210"/>
          <cell r="Z210">
            <v>416.25</v>
          </cell>
          <cell r="AA210">
            <v>416.25</v>
          </cell>
          <cell r="AB210"/>
          <cell r="AC210"/>
          <cell r="AL210" t="str">
            <v>Excluding</v>
          </cell>
        </row>
        <row r="211">
          <cell r="V211"/>
          <cell r="X211"/>
          <cell r="Z211"/>
          <cell r="AA211"/>
          <cell r="AB211"/>
          <cell r="AC211"/>
          <cell r="AL211" t="str">
            <v>Excluding</v>
          </cell>
        </row>
        <row r="212">
          <cell r="C212" t="str">
            <v>B</v>
          </cell>
          <cell r="V212"/>
          <cell r="X212">
            <v>34.532204495999999</v>
          </cell>
          <cell r="Z212"/>
          <cell r="AA212"/>
          <cell r="AB212">
            <v>26.759932495999998</v>
          </cell>
          <cell r="AC212">
            <v>26.759932495999998</v>
          </cell>
          <cell r="AL212" t="str">
            <v>Including</v>
          </cell>
        </row>
        <row r="213">
          <cell r="V213"/>
          <cell r="X213"/>
          <cell r="Z213"/>
          <cell r="AA213"/>
          <cell r="AB213"/>
          <cell r="AC213"/>
          <cell r="AL213" t="str">
            <v>Excluding</v>
          </cell>
        </row>
        <row r="214">
          <cell r="C214" t="str">
            <v>G</v>
          </cell>
          <cell r="V214"/>
          <cell r="X214"/>
          <cell r="Z214"/>
          <cell r="AA214"/>
          <cell r="AB214"/>
          <cell r="AC214"/>
          <cell r="AL214" t="str">
            <v>Excluding</v>
          </cell>
        </row>
        <row r="215">
          <cell r="C215" t="str">
            <v>C</v>
          </cell>
          <cell r="V215"/>
          <cell r="X215"/>
          <cell r="Z215">
            <v>87.899010000000004</v>
          </cell>
          <cell r="AA215">
            <v>87.899010000000004</v>
          </cell>
          <cell r="AB215"/>
          <cell r="AC215"/>
          <cell r="AL215" t="str">
            <v>Excluding</v>
          </cell>
        </row>
        <row r="216">
          <cell r="C216" t="str">
            <v>D</v>
          </cell>
          <cell r="V216">
            <v>62.2</v>
          </cell>
          <cell r="X216"/>
          <cell r="Z216">
            <v>42.4</v>
          </cell>
          <cell r="AA216">
            <v>42.4</v>
          </cell>
          <cell r="AB216"/>
          <cell r="AC216"/>
          <cell r="AL216" t="str">
            <v>Excluding</v>
          </cell>
        </row>
        <row r="217">
          <cell r="C217" t="str">
            <v>B</v>
          </cell>
          <cell r="V217"/>
          <cell r="X217">
            <v>693.25000000000011</v>
          </cell>
          <cell r="Z217"/>
          <cell r="AA217"/>
          <cell r="AB217">
            <v>693.25000000000011</v>
          </cell>
          <cell r="AC217">
            <v>693.25000000000011</v>
          </cell>
          <cell r="AL217" t="str">
            <v>Including</v>
          </cell>
        </row>
        <row r="218">
          <cell r="C218" t="str">
            <v>G</v>
          </cell>
          <cell r="V218"/>
          <cell r="X218"/>
          <cell r="Z218"/>
          <cell r="AA218"/>
          <cell r="AB218"/>
          <cell r="AC218"/>
          <cell r="AL218" t="str">
            <v>Excluding</v>
          </cell>
        </row>
        <row r="219">
          <cell r="V219"/>
          <cell r="X219"/>
          <cell r="Z219"/>
          <cell r="AA219"/>
          <cell r="AB219"/>
          <cell r="AC219"/>
          <cell r="AL219" t="str">
            <v>Excluding</v>
          </cell>
        </row>
        <row r="220">
          <cell r="C220" t="str">
            <v>G</v>
          </cell>
          <cell r="V220"/>
          <cell r="X220"/>
          <cell r="Z220"/>
          <cell r="AA220"/>
          <cell r="AB220"/>
          <cell r="AC220"/>
          <cell r="AL220" t="str">
            <v>Excluding</v>
          </cell>
        </row>
        <row r="221">
          <cell r="C221" t="str">
            <v>B</v>
          </cell>
          <cell r="V221"/>
          <cell r="X221"/>
          <cell r="Z221">
            <v>60.293999999999997</v>
          </cell>
          <cell r="AA221">
            <v>60.293999999999997</v>
          </cell>
          <cell r="AB221"/>
          <cell r="AC221"/>
          <cell r="AL221" t="str">
            <v>Excluding</v>
          </cell>
        </row>
        <row r="222">
          <cell r="C222" t="str">
            <v>A</v>
          </cell>
          <cell r="V222"/>
          <cell r="X222">
            <v>530.53200000000004</v>
          </cell>
          <cell r="AL222" t="str">
            <v>Including</v>
          </cell>
        </row>
        <row r="223">
          <cell r="C223" t="str">
            <v>A</v>
          </cell>
          <cell r="AL223" t="str">
            <v>Including</v>
          </cell>
        </row>
        <row r="224">
          <cell r="C224" t="str">
            <v>A</v>
          </cell>
          <cell r="V224"/>
          <cell r="X224">
            <v>440.74509642456803</v>
          </cell>
          <cell r="Z224"/>
          <cell r="AA224"/>
          <cell r="AB224">
            <v>440.74509642456803</v>
          </cell>
          <cell r="AC224">
            <v>440.74509642456803</v>
          </cell>
          <cell r="AL224" t="str">
            <v>Including</v>
          </cell>
        </row>
        <row r="225">
          <cell r="C225" t="str">
            <v>A</v>
          </cell>
          <cell r="V225"/>
          <cell r="X225">
            <v>4084.7208835959937</v>
          </cell>
          <cell r="AL225" t="str">
            <v>Including</v>
          </cell>
        </row>
        <row r="226">
          <cell r="C226" t="str">
            <v>G</v>
          </cell>
          <cell r="V226"/>
          <cell r="X226"/>
          <cell r="Z226"/>
          <cell r="AA226"/>
          <cell r="AB226"/>
          <cell r="AC226"/>
          <cell r="AL226" t="str">
            <v>Excluding</v>
          </cell>
        </row>
        <row r="227">
          <cell r="C227" t="str">
            <v>D</v>
          </cell>
          <cell r="V227">
            <v>380</v>
          </cell>
          <cell r="X227"/>
          <cell r="Z227">
            <v>380</v>
          </cell>
          <cell r="AA227">
            <v>380</v>
          </cell>
          <cell r="AB227"/>
          <cell r="AC227"/>
          <cell r="AL227" t="str">
            <v>Excluding</v>
          </cell>
        </row>
        <row r="228">
          <cell r="C228" t="str">
            <v>G</v>
          </cell>
          <cell r="V228"/>
          <cell r="X228"/>
          <cell r="Z228"/>
          <cell r="AA228"/>
          <cell r="AB228"/>
          <cell r="AC228"/>
          <cell r="AL228" t="str">
            <v>Excluding</v>
          </cell>
        </row>
        <row r="229">
          <cell r="V229"/>
          <cell r="X229"/>
          <cell r="Z229"/>
          <cell r="AA229"/>
          <cell r="AB229"/>
          <cell r="AC229"/>
          <cell r="AL229" t="str">
            <v>Excluding</v>
          </cell>
        </row>
        <row r="230">
          <cell r="C230" t="str">
            <v>C</v>
          </cell>
          <cell r="V230"/>
          <cell r="X230"/>
          <cell r="Z230">
            <v>334.90536000000003</v>
          </cell>
          <cell r="AA230">
            <v>334.90536000000003</v>
          </cell>
          <cell r="AB230"/>
          <cell r="AC230"/>
          <cell r="AL230" t="str">
            <v>Excluding</v>
          </cell>
        </row>
        <row r="231">
          <cell r="C231" t="str">
            <v>B</v>
          </cell>
          <cell r="U231">
            <v>928</v>
          </cell>
          <cell r="V231"/>
          <cell r="X231">
            <v>882.28000000000009</v>
          </cell>
          <cell r="Z231"/>
          <cell r="AA231"/>
          <cell r="AB231">
            <v>719.25</v>
          </cell>
          <cell r="AC231">
            <v>719.25</v>
          </cell>
          <cell r="AL231" t="str">
            <v>Including</v>
          </cell>
        </row>
        <row r="232">
          <cell r="V232"/>
          <cell r="X232"/>
          <cell r="Z232"/>
          <cell r="AA232"/>
          <cell r="AB232"/>
          <cell r="AC232"/>
          <cell r="AL232" t="str">
            <v>Excluding</v>
          </cell>
        </row>
        <row r="233">
          <cell r="V233"/>
          <cell r="X233"/>
          <cell r="Z233"/>
          <cell r="AA233"/>
          <cell r="AB233"/>
          <cell r="AC233"/>
          <cell r="AL233" t="str">
            <v>Excluding</v>
          </cell>
        </row>
        <row r="234">
          <cell r="V234"/>
          <cell r="X234"/>
          <cell r="Z234"/>
          <cell r="AA234"/>
          <cell r="AB234"/>
          <cell r="AC234"/>
          <cell r="AL234" t="str">
            <v>Excluding</v>
          </cell>
        </row>
        <row r="235">
          <cell r="V235"/>
          <cell r="X235"/>
          <cell r="Z235"/>
          <cell r="AA235"/>
          <cell r="AB235"/>
          <cell r="AC235"/>
          <cell r="AL235" t="str">
            <v>Excluding</v>
          </cell>
        </row>
        <row r="236">
          <cell r="C236" t="str">
            <v>B</v>
          </cell>
          <cell r="V236">
            <v>43.371900000000004</v>
          </cell>
          <cell r="X236"/>
          <cell r="Z236">
            <v>37.676600000000001</v>
          </cell>
          <cell r="AA236">
            <v>37.676600000000001</v>
          </cell>
          <cell r="AB236"/>
          <cell r="AC236"/>
          <cell r="AL236" t="str">
            <v>Excluding</v>
          </cell>
        </row>
        <row r="237">
          <cell r="C237" t="str">
            <v>A</v>
          </cell>
          <cell r="V237">
            <v>60.638297872340431</v>
          </cell>
          <cell r="X237"/>
          <cell r="Z237">
            <v>42.851063829787236</v>
          </cell>
          <cell r="AA237">
            <v>42.851063829787236</v>
          </cell>
          <cell r="AB237"/>
          <cell r="AC237"/>
          <cell r="AL237" t="str">
            <v>Including</v>
          </cell>
        </row>
        <row r="238">
          <cell r="C238" t="str">
            <v>G</v>
          </cell>
          <cell r="AL238" t="str">
            <v>Excluding</v>
          </cell>
        </row>
      </sheetData>
      <sheetData sheetId="10"/>
      <sheetData sheetId="11">
        <row r="246">
          <cell r="J246" t="str">
            <v>2018 emissions</v>
          </cell>
          <cell r="K246" t="str">
            <v>Domestic policies</v>
          </cell>
          <cell r="L246" t="str">
            <v>Domestic policies &amp; net-zero targets</v>
          </cell>
          <cell r="M246" t="str">
            <v>2 Degree &amp; net-zero targets</v>
          </cell>
          <cell r="N246" t="str">
            <v>2 degree scenario</v>
          </cell>
          <cell r="O246" t="str">
            <v>1.5 Degree &amp; net-zero targets2</v>
          </cell>
          <cell r="P246" t="str">
            <v>1.5 degree scenario3</v>
          </cell>
        </row>
        <row r="247">
          <cell r="I247" t="str">
            <v>EU28 (net-zero)</v>
          </cell>
          <cell r="J247">
            <v>3.4898668492999998</v>
          </cell>
          <cell r="K247">
            <v>3.4929891818531242</v>
          </cell>
          <cell r="L247">
            <v>0</v>
          </cell>
          <cell r="M247">
            <v>0</v>
          </cell>
          <cell r="N247">
            <v>0.73787976456758608</v>
          </cell>
          <cell r="O247">
            <v>0</v>
          </cell>
          <cell r="P247">
            <v>0.3998131520737922</v>
          </cell>
        </row>
        <row r="248">
          <cell r="I248" t="str">
            <v>China (net-zero)</v>
          </cell>
          <cell r="J248">
            <v>13.038949070000001</v>
          </cell>
          <cell r="K248">
            <v>13.845495529695199</v>
          </cell>
          <cell r="L248">
            <v>4.7626249274752119</v>
          </cell>
          <cell r="M248">
            <v>4.7626249274752119</v>
          </cell>
          <cell r="N248">
            <v>2.1157686358692485</v>
          </cell>
          <cell r="O248">
            <v>4.7626249274752119</v>
          </cell>
          <cell r="P248">
            <v>0.99531636903488041</v>
          </cell>
        </row>
        <row r="249">
          <cell r="I249" t="str">
            <v>Japan, SAF and others (net-zero)</v>
          </cell>
          <cell r="J249">
            <v>22.37003963337299</v>
          </cell>
          <cell r="K249">
            <v>40.322402746500686</v>
          </cell>
          <cell r="L249">
            <v>8.7228945232185549</v>
          </cell>
          <cell r="M249">
            <v>8.7228945232185549</v>
          </cell>
          <cell r="N249">
            <v>11.814828085529355</v>
          </cell>
          <cell r="O249">
            <v>8.7228945232185549</v>
          </cell>
          <cell r="P249">
            <v>4.056825949356436</v>
          </cell>
        </row>
        <row r="250">
          <cell r="I250" t="str">
            <v>Net zero-target Under Discussion</v>
          </cell>
          <cell r="J250">
            <v>4.9571126342867471</v>
          </cell>
          <cell r="K250">
            <v>-8.1932633290519696</v>
          </cell>
          <cell r="L250">
            <v>-4.7626249274752119</v>
          </cell>
          <cell r="M250">
            <v>-4.7626249274752119</v>
          </cell>
          <cell r="N250">
            <v>0.60569585527656233</v>
          </cell>
          <cell r="O250">
            <v>-4.7626249274752119</v>
          </cell>
          <cell r="P250">
            <v>5.6808593365529014E-2</v>
          </cell>
        </row>
        <row r="251">
          <cell r="I251" t="str">
            <v xml:space="preserve">United States </v>
          </cell>
          <cell r="J251">
            <v>5.5860032584999999</v>
          </cell>
          <cell r="K251">
            <v>3.5353947036293598</v>
          </cell>
          <cell r="L251">
            <v>0</v>
          </cell>
          <cell r="M251">
            <v>0</v>
          </cell>
          <cell r="N251">
            <v>1.2483378063451447</v>
          </cell>
          <cell r="O251">
            <v>0</v>
          </cell>
          <cell r="P251">
            <v>-0.18746200843184818</v>
          </cell>
        </row>
        <row r="252">
          <cell r="I252" t="str">
            <v>Other</v>
          </cell>
          <cell r="J252">
            <v>0.76535545961455398</v>
          </cell>
          <cell r="K252">
            <v>-2.5645082909333041</v>
          </cell>
          <cell r="L252">
            <v>0.97088641269608011</v>
          </cell>
          <cell r="M252">
            <v>0.46398346749603192</v>
          </cell>
          <cell r="N252">
            <v>-0.78435433884910744</v>
          </cell>
          <cell r="O252">
            <v>7.9107645656250725E-2</v>
          </cell>
          <cell r="P252">
            <v>0.26656965408810063</v>
          </cell>
        </row>
        <row r="287">
          <cell r="Q287" t="str">
            <v>Number of countries</v>
          </cell>
          <cell r="S287" t="str">
            <v>Emissions share in 2018</v>
          </cell>
        </row>
        <row r="288">
          <cell r="P288" t="str">
            <v>Achieved</v>
          </cell>
          <cell r="Q288">
            <v>6</v>
          </cell>
          <cell r="S288">
            <v>5.7882977338734646E-4</v>
          </cell>
        </row>
        <row r="289">
          <cell r="P289" t="str">
            <v>In Policy Document (incl. EU27 + UK as a group)</v>
          </cell>
          <cell r="Q289">
            <v>29</v>
          </cell>
          <cell r="S289">
            <v>0.25679745581501212</v>
          </cell>
        </row>
        <row r="290">
          <cell r="P290" t="str">
            <v>Proposed legislation</v>
          </cell>
          <cell r="Q290">
            <v>84</v>
          </cell>
          <cell r="S290">
            <v>0.54136687722562515</v>
          </cell>
        </row>
        <row r="291">
          <cell r="P291" t="str">
            <v>In Law</v>
          </cell>
          <cell r="Q291">
            <v>13</v>
          </cell>
          <cell r="S291">
            <v>8.7280084256654414E-2</v>
          </cell>
        </row>
        <row r="292">
          <cell r="P292" t="str">
            <v>Net zero-target Under Discussion</v>
          </cell>
          <cell r="Q292">
            <v>57</v>
          </cell>
          <cell r="S292">
            <v>9.873285314828717E-2</v>
          </cell>
        </row>
        <row r="293">
          <cell r="P293" t="str">
            <v>Climate ambition alliance *</v>
          </cell>
          <cell r="Q293">
            <v>0</v>
          </cell>
          <cell r="S293">
            <v>0</v>
          </cell>
        </row>
        <row r="294">
          <cell r="P294" t="str">
            <v>No target</v>
          </cell>
          <cell r="Q294">
            <v>36</v>
          </cell>
          <cell r="S294">
            <v>1.218771723166337E-2</v>
          </cell>
        </row>
      </sheetData>
      <sheetData sheetId="12">
        <row r="3">
          <cell r="B3" t="str">
            <v>AFG</v>
          </cell>
          <cell r="C3">
            <v>1</v>
          </cell>
          <cell r="D3" t="str">
            <v>Not Specified</v>
          </cell>
          <cell r="E3">
            <v>2050</v>
          </cell>
          <cell r="F3">
            <v>2065</v>
          </cell>
        </row>
        <row r="4">
          <cell r="B4" t="str">
            <v>AGO</v>
          </cell>
          <cell r="C4">
            <v>1</v>
          </cell>
          <cell r="D4" t="str">
            <v>Carbon dioxide only</v>
          </cell>
          <cell r="E4">
            <v>2050</v>
          </cell>
          <cell r="F4">
            <v>2065</v>
          </cell>
        </row>
        <row r="5">
          <cell r="B5" t="str">
            <v>ARG</v>
          </cell>
          <cell r="C5">
            <v>3</v>
          </cell>
          <cell r="D5" t="str">
            <v>Carbon dioxide and other GHGs</v>
          </cell>
          <cell r="E5">
            <v>2050</v>
          </cell>
          <cell r="F5">
            <v>2050</v>
          </cell>
        </row>
        <row r="6">
          <cell r="B6" t="str">
            <v>ARM</v>
          </cell>
          <cell r="C6">
            <v>1</v>
          </cell>
          <cell r="D6" t="str">
            <v>Carbon dioxide and other GHGs</v>
          </cell>
          <cell r="E6">
            <v>2050</v>
          </cell>
          <cell r="F6">
            <v>2050</v>
          </cell>
        </row>
        <row r="7">
          <cell r="B7" t="str">
            <v>ATG</v>
          </cell>
          <cell r="C7">
            <v>3</v>
          </cell>
          <cell r="D7" t="str">
            <v>Not Specified</v>
          </cell>
          <cell r="E7">
            <v>2040</v>
          </cell>
          <cell r="F7">
            <v>2055</v>
          </cell>
        </row>
        <row r="8">
          <cell r="B8" t="str">
            <v>AUT</v>
          </cell>
          <cell r="C8">
            <v>4</v>
          </cell>
          <cell r="D8" t="str">
            <v>Carbon dioxide and other GHGs</v>
          </cell>
          <cell r="E8">
            <v>2040</v>
          </cell>
          <cell r="F8">
            <v>2040</v>
          </cell>
        </row>
        <row r="9">
          <cell r="B9" t="str">
            <v>BEL</v>
          </cell>
          <cell r="C9">
            <v>3</v>
          </cell>
          <cell r="D9" t="str">
            <v>Carbon dioxide and other GHGs</v>
          </cell>
          <cell r="E9">
            <v>2050</v>
          </cell>
          <cell r="F9">
            <v>2050</v>
          </cell>
        </row>
        <row r="10">
          <cell r="B10" t="str">
            <v>BEN</v>
          </cell>
          <cell r="C10">
            <v>5</v>
          </cell>
          <cell r="D10" t="str">
            <v>Carbon dioxide and other GHGs</v>
          </cell>
          <cell r="E10">
            <v>2000</v>
          </cell>
          <cell r="F10">
            <v>2000</v>
          </cell>
        </row>
        <row r="11">
          <cell r="B11" t="str">
            <v>BFA</v>
          </cell>
          <cell r="C11">
            <v>1</v>
          </cell>
          <cell r="D11" t="str">
            <v>Not Specified</v>
          </cell>
          <cell r="E11">
            <v>2050</v>
          </cell>
          <cell r="F11">
            <v>2065</v>
          </cell>
        </row>
        <row r="12">
          <cell r="B12" t="str">
            <v>BGD</v>
          </cell>
          <cell r="C12">
            <v>1</v>
          </cell>
          <cell r="D12" t="str">
            <v>Carbon dioxide and other GHGs</v>
          </cell>
          <cell r="E12">
            <v>2050</v>
          </cell>
          <cell r="F12">
            <v>2050</v>
          </cell>
        </row>
        <row r="13">
          <cell r="B13" t="str">
            <v>BHS</v>
          </cell>
          <cell r="C13">
            <v>1</v>
          </cell>
          <cell r="D13" t="str">
            <v>Carbon dioxide and other GHGs</v>
          </cell>
          <cell r="E13">
            <v>2050</v>
          </cell>
          <cell r="F13">
            <v>2050</v>
          </cell>
        </row>
        <row r="14">
          <cell r="B14" t="str">
            <v>BLZ</v>
          </cell>
          <cell r="C14">
            <v>3</v>
          </cell>
          <cell r="D14" t="str">
            <v>Carbon dioxide and other GHGs</v>
          </cell>
          <cell r="E14">
            <v>2050</v>
          </cell>
          <cell r="F14">
            <v>2050</v>
          </cell>
        </row>
        <row r="15">
          <cell r="B15" t="str">
            <v>BRB</v>
          </cell>
          <cell r="C15">
            <v>3</v>
          </cell>
          <cell r="D15" t="str">
            <v>Carbon dioxide and other GHGs</v>
          </cell>
          <cell r="E15">
            <v>2030</v>
          </cell>
          <cell r="F15">
            <v>2030</v>
          </cell>
        </row>
        <row r="16">
          <cell r="B16" t="str">
            <v>BTN</v>
          </cell>
          <cell r="C16">
            <v>5</v>
          </cell>
          <cell r="D16" t="str">
            <v>Carbon dioxide and other GHGs</v>
          </cell>
          <cell r="E16">
            <v>2030</v>
          </cell>
          <cell r="F16">
            <v>2030</v>
          </cell>
        </row>
        <row r="17">
          <cell r="B17" t="str">
            <v>CAF</v>
          </cell>
          <cell r="C17">
            <v>1</v>
          </cell>
          <cell r="D17" t="str">
            <v>Carbon dioxide and other GHGs</v>
          </cell>
          <cell r="E17">
            <v>2050</v>
          </cell>
          <cell r="F17">
            <v>2050</v>
          </cell>
        </row>
        <row r="18">
          <cell r="B18" t="str">
            <v>CAN</v>
          </cell>
          <cell r="C18">
            <v>4</v>
          </cell>
          <cell r="D18" t="str">
            <v>Carbon dioxide and other GHGs</v>
          </cell>
          <cell r="E18">
            <v>2050</v>
          </cell>
          <cell r="F18">
            <v>2050</v>
          </cell>
        </row>
        <row r="19">
          <cell r="B19" t="str">
            <v>CHE</v>
          </cell>
          <cell r="C19">
            <v>4</v>
          </cell>
          <cell r="D19" t="str">
            <v>Carbon dioxide and other GHGs</v>
          </cell>
          <cell r="E19">
            <v>2050</v>
          </cell>
          <cell r="F19">
            <v>2050</v>
          </cell>
        </row>
        <row r="20">
          <cell r="B20" t="str">
            <v>CHL</v>
          </cell>
          <cell r="C20">
            <v>4</v>
          </cell>
          <cell r="D20" t="str">
            <v>Not Specified</v>
          </cell>
          <cell r="E20">
            <v>2050</v>
          </cell>
          <cell r="F20">
            <v>2065</v>
          </cell>
        </row>
        <row r="21">
          <cell r="B21" t="str">
            <v>CHN</v>
          </cell>
          <cell r="C21">
            <v>3</v>
          </cell>
          <cell r="D21" t="str">
            <v>Carbon dioxide only</v>
          </cell>
          <cell r="E21">
            <v>2060</v>
          </cell>
          <cell r="F21">
            <v>2075</v>
          </cell>
        </row>
        <row r="22">
          <cell r="B22" t="str">
            <v>COD</v>
          </cell>
          <cell r="C22">
            <v>1</v>
          </cell>
          <cell r="D22" t="str">
            <v>Carbon dioxide only</v>
          </cell>
          <cell r="E22">
            <v>2050</v>
          </cell>
          <cell r="F22">
            <v>2065</v>
          </cell>
        </row>
        <row r="23">
          <cell r="B23" t="str">
            <v>COG</v>
          </cell>
          <cell r="C23">
            <v>2</v>
          </cell>
          <cell r="D23" t="str">
            <v>Carbon dioxide and other GHGs</v>
          </cell>
          <cell r="E23">
            <v>2030</v>
          </cell>
          <cell r="F23" t="str">
            <v/>
          </cell>
        </row>
        <row r="24">
          <cell r="B24" t="str">
            <v>COL</v>
          </cell>
          <cell r="C24">
            <v>4</v>
          </cell>
          <cell r="D24" t="str">
            <v>Carbon dioxide and other GHGs</v>
          </cell>
          <cell r="E24">
            <v>2050</v>
          </cell>
          <cell r="F24">
            <v>2050</v>
          </cell>
        </row>
        <row r="25">
          <cell r="B25" t="str">
            <v>COM</v>
          </cell>
          <cell r="C25">
            <v>5</v>
          </cell>
          <cell r="D25" t="str">
            <v>Carbon dioxide and other GHGs</v>
          </cell>
          <cell r="E25">
            <v>2050</v>
          </cell>
          <cell r="F25">
            <v>2050</v>
          </cell>
        </row>
        <row r="26">
          <cell r="B26" t="str">
            <v>CPV</v>
          </cell>
          <cell r="C26">
            <v>3</v>
          </cell>
          <cell r="D26" t="str">
            <v>Not Specified</v>
          </cell>
          <cell r="E26">
            <v>2050</v>
          </cell>
          <cell r="F26">
            <v>2065</v>
          </cell>
        </row>
        <row r="27">
          <cell r="B27" t="str">
            <v>CRI</v>
          </cell>
          <cell r="C27">
            <v>3</v>
          </cell>
          <cell r="D27" t="str">
            <v>Carbon dioxide and other GHGs</v>
          </cell>
          <cell r="E27">
            <v>2050</v>
          </cell>
          <cell r="F27">
            <v>2050</v>
          </cell>
        </row>
        <row r="28">
          <cell r="B28" t="str">
            <v>CYP</v>
          </cell>
          <cell r="C28">
            <v>3</v>
          </cell>
          <cell r="D28" t="str">
            <v>Carbon dioxide and other GHGs</v>
          </cell>
          <cell r="E28">
            <v>2050</v>
          </cell>
          <cell r="F28">
            <v>2050</v>
          </cell>
        </row>
        <row r="29">
          <cell r="B29" t="str">
            <v>CZE</v>
          </cell>
          <cell r="C29">
            <v>1</v>
          </cell>
          <cell r="D29" t="str">
            <v>Carbon dioxide and other GHGs</v>
          </cell>
          <cell r="E29">
            <v>2050</v>
          </cell>
          <cell r="F29">
            <v>2050</v>
          </cell>
        </row>
        <row r="30">
          <cell r="B30" t="str">
            <v>DEU</v>
          </cell>
          <cell r="C30">
            <v>4</v>
          </cell>
          <cell r="D30" t="str">
            <v>Carbon dioxide and other GHGs</v>
          </cell>
          <cell r="E30">
            <v>2045</v>
          </cell>
          <cell r="F30">
            <v>2045</v>
          </cell>
        </row>
        <row r="31">
          <cell r="B31" t="str">
            <v>DJI</v>
          </cell>
          <cell r="C31">
            <v>1</v>
          </cell>
          <cell r="D31" t="str">
            <v>Carbon dioxide only</v>
          </cell>
          <cell r="E31">
            <v>2050</v>
          </cell>
          <cell r="F31">
            <v>2065</v>
          </cell>
        </row>
        <row r="32">
          <cell r="B32" t="str">
            <v>DMA</v>
          </cell>
          <cell r="C32">
            <v>3</v>
          </cell>
          <cell r="D32" t="str">
            <v>Carbon dioxide only</v>
          </cell>
          <cell r="E32">
            <v>2030</v>
          </cell>
          <cell r="F32">
            <v>2045</v>
          </cell>
        </row>
        <row r="33">
          <cell r="B33" t="str">
            <v>DNK</v>
          </cell>
          <cell r="C33">
            <v>2</v>
          </cell>
          <cell r="D33" t="str">
            <v>Carbon dioxide and other GHGs</v>
          </cell>
          <cell r="E33">
            <v>2045</v>
          </cell>
          <cell r="F33">
            <v>2045</v>
          </cell>
        </row>
        <row r="34">
          <cell r="B34" t="str">
            <v>DOM</v>
          </cell>
          <cell r="C34">
            <v>1</v>
          </cell>
          <cell r="D34" t="str">
            <v>Carbon dioxide and other GHGs</v>
          </cell>
          <cell r="E34">
            <v>2050</v>
          </cell>
          <cell r="F34">
            <v>2050</v>
          </cell>
        </row>
        <row r="35">
          <cell r="B35" t="str">
            <v>ECU</v>
          </cell>
          <cell r="C35">
            <v>3</v>
          </cell>
          <cell r="D35" t="str">
            <v>Carbon dioxide and other GHGs</v>
          </cell>
          <cell r="E35">
            <v>2050</v>
          </cell>
          <cell r="F35">
            <v>2050</v>
          </cell>
        </row>
        <row r="36">
          <cell r="B36" t="str">
            <v>ERI</v>
          </cell>
          <cell r="C36">
            <v>1</v>
          </cell>
          <cell r="D36" t="str">
            <v>Carbon dioxide and other GHGs</v>
          </cell>
          <cell r="E36">
            <v>2050</v>
          </cell>
          <cell r="F36">
            <v>2050</v>
          </cell>
        </row>
        <row r="37">
          <cell r="B37" t="str">
            <v>ESP</v>
          </cell>
          <cell r="C37">
            <v>4</v>
          </cell>
          <cell r="D37" t="str">
            <v>Carbon dioxide and other GHGs</v>
          </cell>
          <cell r="E37">
            <v>2050</v>
          </cell>
          <cell r="F37">
            <v>2050</v>
          </cell>
        </row>
        <row r="38">
          <cell r="B38" t="str">
            <v>EST</v>
          </cell>
          <cell r="C38">
            <v>2</v>
          </cell>
          <cell r="D38" t="str">
            <v>Carbon dioxide and other GHGs</v>
          </cell>
          <cell r="E38">
            <v>2050</v>
          </cell>
          <cell r="F38">
            <v>2050</v>
          </cell>
        </row>
        <row r="39">
          <cell r="B39" t="str">
            <v>ETH</v>
          </cell>
          <cell r="C39">
            <v>3</v>
          </cell>
          <cell r="D39" t="str">
            <v>Carbon dioxide and other GHGs</v>
          </cell>
          <cell r="E39">
            <v>2050</v>
          </cell>
          <cell r="F39">
            <v>2050</v>
          </cell>
        </row>
        <row r="40">
          <cell r="B40" t="str">
            <v>FIN</v>
          </cell>
          <cell r="C40">
            <v>4</v>
          </cell>
          <cell r="D40" t="str">
            <v>Carbon dioxide and other GHGs</v>
          </cell>
          <cell r="E40">
            <v>2035</v>
          </cell>
          <cell r="F40">
            <v>2035</v>
          </cell>
        </row>
        <row r="41">
          <cell r="B41" t="str">
            <v>FJI</v>
          </cell>
          <cell r="C41">
            <v>4</v>
          </cell>
          <cell r="D41" t="str">
            <v>Carbon dioxide and other GHGs</v>
          </cell>
          <cell r="E41">
            <v>2050</v>
          </cell>
          <cell r="F41">
            <v>2050</v>
          </cell>
        </row>
        <row r="42">
          <cell r="B42" t="str">
            <v>FRA</v>
          </cell>
          <cell r="C42">
            <v>4</v>
          </cell>
          <cell r="D42" t="str">
            <v>Carbon dioxide and other GHGs</v>
          </cell>
          <cell r="E42">
            <v>2050</v>
          </cell>
          <cell r="F42">
            <v>2050</v>
          </cell>
        </row>
        <row r="43">
          <cell r="B43" t="str">
            <v>FSM</v>
          </cell>
          <cell r="C43">
            <v>2</v>
          </cell>
          <cell r="D43" t="str">
            <v>Not Specified</v>
          </cell>
          <cell r="E43">
            <v>2050</v>
          </cell>
          <cell r="F43">
            <v>2065</v>
          </cell>
        </row>
        <row r="44">
          <cell r="B44" t="str">
            <v>GAB</v>
          </cell>
          <cell r="C44">
            <v>5</v>
          </cell>
          <cell r="D44" t="str">
            <v>Carbon dioxide and other GHGs</v>
          </cell>
          <cell r="E44">
            <v>2050</v>
          </cell>
          <cell r="F44">
            <v>2050</v>
          </cell>
        </row>
        <row r="45">
          <cell r="B45" t="str">
            <v>GBR</v>
          </cell>
          <cell r="C45">
            <v>4</v>
          </cell>
          <cell r="D45" t="str">
            <v>Carbon dioxide and other GHGs</v>
          </cell>
          <cell r="E45">
            <v>2050</v>
          </cell>
          <cell r="F45">
            <v>2050</v>
          </cell>
        </row>
        <row r="46">
          <cell r="B46" t="str">
            <v>GIN</v>
          </cell>
          <cell r="C46">
            <v>1</v>
          </cell>
          <cell r="D46" t="str">
            <v>Carbon dioxide and other GHGs</v>
          </cell>
          <cell r="E46">
            <v>2050</v>
          </cell>
          <cell r="F46">
            <v>2050</v>
          </cell>
        </row>
        <row r="47">
          <cell r="B47" t="str">
            <v>GMB</v>
          </cell>
          <cell r="C47">
            <v>3</v>
          </cell>
          <cell r="D47" t="str">
            <v>Carbon dioxide only</v>
          </cell>
          <cell r="E47">
            <v>2050</v>
          </cell>
          <cell r="F47">
            <v>2065</v>
          </cell>
        </row>
        <row r="48">
          <cell r="B48" t="str">
            <v>GNB</v>
          </cell>
          <cell r="C48">
            <v>1</v>
          </cell>
          <cell r="D48" t="str">
            <v>Carbon dioxide and other GHGs</v>
          </cell>
          <cell r="E48">
            <v>2050</v>
          </cell>
          <cell r="F48">
            <v>2050</v>
          </cell>
        </row>
        <row r="49">
          <cell r="B49" t="str">
            <v>GRC</v>
          </cell>
          <cell r="C49">
            <v>4</v>
          </cell>
          <cell r="D49" t="str">
            <v>Carbon dioxide and other GHGs</v>
          </cell>
          <cell r="E49">
            <v>2050</v>
          </cell>
          <cell r="F49">
            <v>2050</v>
          </cell>
        </row>
        <row r="50">
          <cell r="B50" t="str">
            <v>GRD</v>
          </cell>
          <cell r="C50">
            <v>1</v>
          </cell>
          <cell r="D50" t="str">
            <v>Carbon dioxide and other GHGs</v>
          </cell>
          <cell r="E50">
            <v>2050</v>
          </cell>
          <cell r="F50">
            <v>2050</v>
          </cell>
        </row>
        <row r="51">
          <cell r="B51" t="str">
            <v>GUY</v>
          </cell>
          <cell r="C51">
            <v>5</v>
          </cell>
          <cell r="D51" t="str">
            <v>Not Specified</v>
          </cell>
          <cell r="E51">
            <v>2050</v>
          </cell>
          <cell r="F51">
            <v>2065</v>
          </cell>
        </row>
        <row r="52">
          <cell r="B52" t="str">
            <v>HRV</v>
          </cell>
          <cell r="C52">
            <v>3</v>
          </cell>
          <cell r="D52" t="str">
            <v>Carbon dioxide and other GHGs</v>
          </cell>
          <cell r="E52">
            <v>2050</v>
          </cell>
          <cell r="F52">
            <v>2050</v>
          </cell>
        </row>
        <row r="53">
          <cell r="B53" t="str">
            <v>HTI</v>
          </cell>
          <cell r="C53">
            <v>2</v>
          </cell>
          <cell r="D53" t="str">
            <v>Not Specified</v>
          </cell>
          <cell r="E53">
            <v>2050</v>
          </cell>
          <cell r="F53">
            <v>2065</v>
          </cell>
        </row>
        <row r="54">
          <cell r="B54" t="str">
            <v>HUN</v>
          </cell>
          <cell r="C54">
            <v>4</v>
          </cell>
          <cell r="D54" t="str">
            <v>Carbon dioxide and other GHGs</v>
          </cell>
          <cell r="E54">
            <v>2050</v>
          </cell>
          <cell r="F54">
            <v>2050</v>
          </cell>
        </row>
        <row r="55">
          <cell r="B55" t="str">
            <v>IRL</v>
          </cell>
          <cell r="C55">
            <v>4</v>
          </cell>
          <cell r="D55" t="str">
            <v>Carbon dioxide and other GHGs</v>
          </cell>
          <cell r="E55">
            <v>2050</v>
          </cell>
          <cell r="F55">
            <v>2050</v>
          </cell>
        </row>
        <row r="56">
          <cell r="B56" t="str">
            <v>ISL</v>
          </cell>
          <cell r="C56">
            <v>4</v>
          </cell>
          <cell r="D56" t="str">
            <v>Carbon dioxide and other GHGs</v>
          </cell>
          <cell r="E56">
            <v>2040</v>
          </cell>
          <cell r="F56">
            <v>2040</v>
          </cell>
        </row>
        <row r="57">
          <cell r="B57" t="str">
            <v>ITA</v>
          </cell>
          <cell r="C57">
            <v>3</v>
          </cell>
          <cell r="D57" t="str">
            <v>Carbon dioxide and other GHGs</v>
          </cell>
          <cell r="E57">
            <v>2050</v>
          </cell>
          <cell r="F57">
            <v>2050</v>
          </cell>
        </row>
        <row r="58">
          <cell r="B58" t="str">
            <v>JAM</v>
          </cell>
          <cell r="C58">
            <v>1</v>
          </cell>
          <cell r="D58" t="str">
            <v>Carbon dioxide and other GHGs</v>
          </cell>
          <cell r="E58">
            <v>2050</v>
          </cell>
          <cell r="F58">
            <v>2050</v>
          </cell>
        </row>
        <row r="59">
          <cell r="B59" t="str">
            <v>JPN</v>
          </cell>
          <cell r="C59">
            <v>4</v>
          </cell>
          <cell r="D59" t="str">
            <v>Carbon dioxide and other GHGs</v>
          </cell>
          <cell r="E59">
            <v>2050</v>
          </cell>
          <cell r="F59">
            <v>2050</v>
          </cell>
        </row>
        <row r="60">
          <cell r="B60" t="str">
            <v>KHM</v>
          </cell>
          <cell r="C60">
            <v>3</v>
          </cell>
          <cell r="D60" t="str">
            <v>Carbon dioxide and other GHGs</v>
          </cell>
          <cell r="E60">
            <v>2050</v>
          </cell>
          <cell r="F60">
            <v>2050</v>
          </cell>
        </row>
        <row r="61">
          <cell r="B61" t="str">
            <v>KIR</v>
          </cell>
          <cell r="C61">
            <v>1</v>
          </cell>
          <cell r="D61" t="str">
            <v>Carbon dioxide only</v>
          </cell>
          <cell r="E61">
            <v>2050</v>
          </cell>
          <cell r="F61">
            <v>2065</v>
          </cell>
        </row>
        <row r="62">
          <cell r="B62" t="str">
            <v>KNA</v>
          </cell>
          <cell r="C62">
            <v>1</v>
          </cell>
          <cell r="D62" t="str">
            <v>Carbon dioxide only</v>
          </cell>
          <cell r="E62">
            <v>2050</v>
          </cell>
          <cell r="F62">
            <v>2065</v>
          </cell>
        </row>
        <row r="63">
          <cell r="B63" t="str">
            <v>KOR</v>
          </cell>
          <cell r="C63">
            <v>4</v>
          </cell>
          <cell r="D63" t="str">
            <v>Carbon dioxide and other GHGs</v>
          </cell>
          <cell r="E63">
            <v>2050</v>
          </cell>
          <cell r="F63">
            <v>2050</v>
          </cell>
        </row>
        <row r="64">
          <cell r="B64" t="str">
            <v>LAO</v>
          </cell>
          <cell r="C64">
            <v>3</v>
          </cell>
          <cell r="D64" t="str">
            <v>Carbon dioxide and other GHGs</v>
          </cell>
          <cell r="E64">
            <v>2050</v>
          </cell>
          <cell r="F64">
            <v>2050</v>
          </cell>
        </row>
        <row r="65">
          <cell r="B65" t="str">
            <v>LBN</v>
          </cell>
          <cell r="C65">
            <v>3</v>
          </cell>
          <cell r="D65" t="str">
            <v>Carbon dioxide and other GHGs</v>
          </cell>
          <cell r="E65">
            <v>2050</v>
          </cell>
          <cell r="F65">
            <v>2050</v>
          </cell>
        </row>
        <row r="66">
          <cell r="B66" t="str">
            <v>LBR</v>
          </cell>
          <cell r="C66">
            <v>3</v>
          </cell>
          <cell r="D66" t="str">
            <v>Not Specified</v>
          </cell>
          <cell r="E66">
            <v>2050</v>
          </cell>
          <cell r="F66">
            <v>2065</v>
          </cell>
        </row>
        <row r="67">
          <cell r="B67" t="str">
            <v>LCA</v>
          </cell>
          <cell r="C67">
            <v>1</v>
          </cell>
          <cell r="D67" t="str">
            <v>Carbon dioxide only</v>
          </cell>
          <cell r="E67">
            <v>2050</v>
          </cell>
          <cell r="F67">
            <v>2065</v>
          </cell>
        </row>
        <row r="68">
          <cell r="B68" t="str">
            <v>LSO</v>
          </cell>
          <cell r="C68">
            <v>1</v>
          </cell>
          <cell r="D68" t="str">
            <v>Carbon dioxide only</v>
          </cell>
          <cell r="E68">
            <v>2050</v>
          </cell>
          <cell r="F68">
            <v>2065</v>
          </cell>
        </row>
        <row r="69">
          <cell r="B69" t="str">
            <v>LTU</v>
          </cell>
          <cell r="C69">
            <v>3</v>
          </cell>
          <cell r="D69" t="str">
            <v>Carbon dioxide and other GHGs</v>
          </cell>
          <cell r="E69">
            <v>2050</v>
          </cell>
          <cell r="F69">
            <v>2050</v>
          </cell>
        </row>
        <row r="70">
          <cell r="B70" t="str">
            <v>LUX</v>
          </cell>
          <cell r="C70">
            <v>4</v>
          </cell>
          <cell r="D70" t="str">
            <v>Carbon dioxide and other GHGs</v>
          </cell>
          <cell r="E70">
            <v>2050</v>
          </cell>
          <cell r="F70">
            <v>2050</v>
          </cell>
        </row>
        <row r="71">
          <cell r="B71" t="str">
            <v>LVA</v>
          </cell>
          <cell r="C71">
            <v>3</v>
          </cell>
          <cell r="D71" t="str">
            <v>Carbon dioxide and other GHGs</v>
          </cell>
          <cell r="E71">
            <v>2050</v>
          </cell>
          <cell r="F71">
            <v>2050</v>
          </cell>
        </row>
        <row r="72">
          <cell r="B72" t="str">
            <v>MCO</v>
          </cell>
          <cell r="C72">
            <v>3</v>
          </cell>
          <cell r="D72" t="str">
            <v>Carbon dioxide and other GHGs</v>
          </cell>
          <cell r="E72">
            <v>2050</v>
          </cell>
          <cell r="F72">
            <v>2050</v>
          </cell>
        </row>
        <row r="73">
          <cell r="B73" t="str">
            <v>MDG</v>
          </cell>
          <cell r="C73">
            <v>1</v>
          </cell>
          <cell r="D73" t="str">
            <v>Carbon dioxide only</v>
          </cell>
          <cell r="E73">
            <v>2050</v>
          </cell>
          <cell r="F73">
            <v>2065</v>
          </cell>
        </row>
        <row r="74">
          <cell r="B74" t="str">
            <v>MDV</v>
          </cell>
          <cell r="C74">
            <v>4</v>
          </cell>
          <cell r="D74" t="str">
            <v>Not Specified</v>
          </cell>
          <cell r="E74">
            <v>2030</v>
          </cell>
          <cell r="F74">
            <v>2045</v>
          </cell>
        </row>
        <row r="75">
          <cell r="B75" t="str">
            <v>MEX</v>
          </cell>
          <cell r="C75">
            <v>1</v>
          </cell>
          <cell r="D75" t="str">
            <v>Carbon dioxide only</v>
          </cell>
          <cell r="E75">
            <v>2050</v>
          </cell>
          <cell r="F75">
            <v>2065</v>
          </cell>
        </row>
        <row r="76">
          <cell r="B76" t="str">
            <v>MHL</v>
          </cell>
          <cell r="C76">
            <v>3</v>
          </cell>
          <cell r="D76" t="str">
            <v>Carbon dioxide and other GHGs</v>
          </cell>
          <cell r="E76">
            <v>2050</v>
          </cell>
          <cell r="F76">
            <v>2050</v>
          </cell>
        </row>
        <row r="77">
          <cell r="B77" t="str">
            <v>MLI</v>
          </cell>
          <cell r="C77">
            <v>1</v>
          </cell>
          <cell r="D77" t="str">
            <v>Carbon dioxide and other GHGs</v>
          </cell>
          <cell r="E77">
            <v>2050</v>
          </cell>
          <cell r="F77">
            <v>2050</v>
          </cell>
        </row>
        <row r="78">
          <cell r="B78" t="str">
            <v>MLT</v>
          </cell>
          <cell r="C78">
            <v>3</v>
          </cell>
          <cell r="D78" t="str">
            <v>Carbon dioxide and other GHGs</v>
          </cell>
          <cell r="E78">
            <v>2050</v>
          </cell>
          <cell r="F78">
            <v>2050</v>
          </cell>
        </row>
        <row r="79">
          <cell r="B79" t="str">
            <v>MMR</v>
          </cell>
          <cell r="C79">
            <v>1</v>
          </cell>
          <cell r="D79" t="str">
            <v>Carbon dioxide and other GHGs</v>
          </cell>
          <cell r="E79">
            <v>2040</v>
          </cell>
          <cell r="F79">
            <v>2040</v>
          </cell>
        </row>
        <row r="80">
          <cell r="B80" t="str">
            <v>MOZ</v>
          </cell>
          <cell r="C80">
            <v>1</v>
          </cell>
          <cell r="D80" t="str">
            <v>Not Specified</v>
          </cell>
          <cell r="E80">
            <v>2050</v>
          </cell>
          <cell r="F80">
            <v>2065</v>
          </cell>
        </row>
        <row r="81">
          <cell r="B81" t="str">
            <v>MRT</v>
          </cell>
          <cell r="C81">
            <v>1</v>
          </cell>
          <cell r="D81" t="str">
            <v>Carbon dioxide and other GHGs</v>
          </cell>
          <cell r="E81">
            <v>2030</v>
          </cell>
          <cell r="F81">
            <v>2030</v>
          </cell>
        </row>
        <row r="82">
          <cell r="B82" t="str">
            <v>MUS</v>
          </cell>
          <cell r="C82">
            <v>1</v>
          </cell>
          <cell r="D82" t="str">
            <v>Not Specified</v>
          </cell>
          <cell r="E82">
            <v>2050</v>
          </cell>
          <cell r="F82">
            <v>2065</v>
          </cell>
        </row>
        <row r="83">
          <cell r="B83" t="str">
            <v>MWI</v>
          </cell>
          <cell r="C83">
            <v>1</v>
          </cell>
          <cell r="D83" t="str">
            <v>Carbon dioxide and other GHGs</v>
          </cell>
          <cell r="E83">
            <v>2050</v>
          </cell>
          <cell r="F83">
            <v>2050</v>
          </cell>
        </row>
        <row r="84">
          <cell r="B84" t="str">
            <v>NAM</v>
          </cell>
          <cell r="C84">
            <v>3</v>
          </cell>
          <cell r="D84" t="str">
            <v>Carbon dioxide and other GHGs</v>
          </cell>
          <cell r="E84">
            <v>2050</v>
          </cell>
          <cell r="F84">
            <v>2050</v>
          </cell>
        </row>
        <row r="85">
          <cell r="B85" t="str">
            <v>NER</v>
          </cell>
          <cell r="C85">
            <v>1</v>
          </cell>
          <cell r="D85" t="str">
            <v>Not Specified</v>
          </cell>
          <cell r="E85">
            <v>2050</v>
          </cell>
          <cell r="F85">
            <v>2065</v>
          </cell>
        </row>
        <row r="86">
          <cell r="B86" t="str">
            <v>NIC</v>
          </cell>
          <cell r="C86">
            <v>1</v>
          </cell>
          <cell r="D86" t="str">
            <v>Carbon dioxide and other GHGs</v>
          </cell>
          <cell r="E86">
            <v>2050</v>
          </cell>
          <cell r="F86">
            <v>2050</v>
          </cell>
        </row>
        <row r="87">
          <cell r="B87" t="str">
            <v>NOR</v>
          </cell>
          <cell r="C87">
            <v>4</v>
          </cell>
          <cell r="D87" t="str">
            <v>Carbon dioxide and other GHGs</v>
          </cell>
          <cell r="E87">
            <v>2050</v>
          </cell>
          <cell r="F87">
            <v>2050</v>
          </cell>
        </row>
        <row r="88">
          <cell r="B88" t="str">
            <v>NPL</v>
          </cell>
          <cell r="C88">
            <v>3</v>
          </cell>
          <cell r="D88" t="str">
            <v>Carbon dioxide and other GHGs</v>
          </cell>
          <cell r="E88">
            <v>2045</v>
          </cell>
          <cell r="F88">
            <v>2045</v>
          </cell>
        </row>
        <row r="89">
          <cell r="B89" t="str">
            <v>NRU</v>
          </cell>
          <cell r="C89">
            <v>1</v>
          </cell>
          <cell r="D89" t="str">
            <v>Carbon dioxide and other GHGs</v>
          </cell>
          <cell r="E89">
            <v>2050</v>
          </cell>
          <cell r="F89">
            <v>2050</v>
          </cell>
        </row>
        <row r="90">
          <cell r="B90" t="str">
            <v>NZL</v>
          </cell>
          <cell r="C90">
            <v>4</v>
          </cell>
          <cell r="D90" t="str">
            <v>Carbon dioxide and other GHGs</v>
          </cell>
          <cell r="E90">
            <v>2050</v>
          </cell>
          <cell r="F90">
            <v>2050</v>
          </cell>
        </row>
        <row r="91">
          <cell r="B91" t="str">
            <v>PAK</v>
          </cell>
          <cell r="C91">
            <v>1</v>
          </cell>
          <cell r="D91" t="str">
            <v>Carbon dioxide and other GHGs</v>
          </cell>
          <cell r="E91">
            <v>2050</v>
          </cell>
          <cell r="F91">
            <v>2050</v>
          </cell>
        </row>
        <row r="92">
          <cell r="B92" t="str">
            <v>PER</v>
          </cell>
          <cell r="C92">
            <v>3</v>
          </cell>
          <cell r="D92" t="str">
            <v>Carbon dioxide and other GHGs</v>
          </cell>
          <cell r="E92">
            <v>2050</v>
          </cell>
          <cell r="F92">
            <v>2050</v>
          </cell>
        </row>
        <row r="93">
          <cell r="B93" t="str">
            <v>PLW</v>
          </cell>
          <cell r="C93">
            <v>1</v>
          </cell>
          <cell r="D93" t="str">
            <v>Carbon dioxide and other GHGs</v>
          </cell>
          <cell r="E93">
            <v>2050</v>
          </cell>
          <cell r="F93">
            <v>2050</v>
          </cell>
        </row>
        <row r="94">
          <cell r="B94" t="str">
            <v>PNG</v>
          </cell>
          <cell r="C94">
            <v>3</v>
          </cell>
          <cell r="D94" t="str">
            <v>Carbon dioxide and other GHGs</v>
          </cell>
          <cell r="E94">
            <v>2050</v>
          </cell>
          <cell r="F94">
            <v>2050</v>
          </cell>
        </row>
        <row r="95">
          <cell r="B95" t="str">
            <v>PRT</v>
          </cell>
          <cell r="C95">
            <v>4</v>
          </cell>
          <cell r="D95" t="str">
            <v>Not Specified</v>
          </cell>
          <cell r="E95">
            <v>2050</v>
          </cell>
          <cell r="F95">
            <v>2065</v>
          </cell>
        </row>
        <row r="96">
          <cell r="B96" t="str">
            <v>RWA</v>
          </cell>
          <cell r="C96">
            <v>1</v>
          </cell>
          <cell r="D96" t="str">
            <v>Not Specified</v>
          </cell>
          <cell r="E96">
            <v>2050</v>
          </cell>
          <cell r="F96">
            <v>2065</v>
          </cell>
        </row>
        <row r="97">
          <cell r="B97" t="str">
            <v>SEN</v>
          </cell>
          <cell r="C97">
            <v>1</v>
          </cell>
          <cell r="D97" t="str">
            <v>Carbon dioxide and other GHGs</v>
          </cell>
          <cell r="E97">
            <v>2050</v>
          </cell>
          <cell r="F97">
            <v>2050</v>
          </cell>
        </row>
        <row r="98">
          <cell r="B98" t="str">
            <v>SLB</v>
          </cell>
          <cell r="C98">
            <v>1</v>
          </cell>
          <cell r="D98" t="str">
            <v>Carbon dioxide only</v>
          </cell>
          <cell r="E98">
            <v>2050</v>
          </cell>
          <cell r="F98">
            <v>2065</v>
          </cell>
        </row>
        <row r="99">
          <cell r="B99" t="str">
            <v>SLE</v>
          </cell>
          <cell r="C99">
            <v>1</v>
          </cell>
          <cell r="D99" t="str">
            <v>Carbon dioxide and other GHGs</v>
          </cell>
          <cell r="E99">
            <v>2050</v>
          </cell>
          <cell r="F99">
            <v>2050</v>
          </cell>
        </row>
        <row r="100">
          <cell r="B100" t="str">
            <v>STP</v>
          </cell>
          <cell r="C100">
            <v>1</v>
          </cell>
          <cell r="D100" t="str">
            <v>Carbon dioxide and other GHGs</v>
          </cell>
          <cell r="E100">
            <v>2050</v>
          </cell>
          <cell r="F100">
            <v>2050</v>
          </cell>
        </row>
        <row r="101">
          <cell r="B101" t="str">
            <v>SUR</v>
          </cell>
          <cell r="C101">
            <v>5</v>
          </cell>
          <cell r="D101" t="str">
            <v>Carbon dioxide only</v>
          </cell>
          <cell r="E101">
            <v>2050</v>
          </cell>
          <cell r="F101">
            <v>2065</v>
          </cell>
        </row>
        <row r="102">
          <cell r="B102" t="str">
            <v>SVK</v>
          </cell>
          <cell r="C102">
            <v>3</v>
          </cell>
          <cell r="D102" t="str">
            <v>Not Specified</v>
          </cell>
          <cell r="E102">
            <v>2050</v>
          </cell>
          <cell r="F102">
            <v>2065</v>
          </cell>
        </row>
        <row r="103">
          <cell r="B103" t="str">
            <v>SVN</v>
          </cell>
          <cell r="C103">
            <v>3</v>
          </cell>
          <cell r="D103" t="str">
            <v>Carbon dioxide and other GHGs</v>
          </cell>
          <cell r="E103">
            <v>2050</v>
          </cell>
          <cell r="F103">
            <v>2050</v>
          </cell>
        </row>
        <row r="104">
          <cell r="B104" t="str">
            <v>SWE</v>
          </cell>
          <cell r="C104">
            <v>4</v>
          </cell>
          <cell r="D104" t="str">
            <v>Carbon dioxide and other GHGs</v>
          </cell>
          <cell r="E104">
            <v>2045</v>
          </cell>
          <cell r="F104">
            <v>2045</v>
          </cell>
        </row>
        <row r="105">
          <cell r="B105" t="str">
            <v>SYC</v>
          </cell>
          <cell r="C105">
            <v>1</v>
          </cell>
          <cell r="D105" t="str">
            <v>Carbon dioxide and other GHGs</v>
          </cell>
          <cell r="E105">
            <v>2050</v>
          </cell>
          <cell r="F105">
            <v>2050</v>
          </cell>
        </row>
        <row r="106">
          <cell r="B106" t="str">
            <v>TCD</v>
          </cell>
          <cell r="C106">
            <v>1</v>
          </cell>
          <cell r="D106" t="str">
            <v>Carbon dioxide and other GHGs</v>
          </cell>
          <cell r="E106">
            <v>2050</v>
          </cell>
          <cell r="F106">
            <v>2050</v>
          </cell>
        </row>
        <row r="107">
          <cell r="B107" t="str">
            <v>TGO</v>
          </cell>
          <cell r="C107">
            <v>1</v>
          </cell>
          <cell r="D107" t="str">
            <v>Carbon dioxide and other GHGs</v>
          </cell>
          <cell r="E107">
            <v>2050</v>
          </cell>
          <cell r="F107">
            <v>2050</v>
          </cell>
        </row>
        <row r="108">
          <cell r="B108" t="str">
            <v>TLS</v>
          </cell>
          <cell r="C108">
            <v>1</v>
          </cell>
          <cell r="D108" t="str">
            <v>Carbon dioxide and other GHGs</v>
          </cell>
          <cell r="E108">
            <v>2050</v>
          </cell>
          <cell r="F108">
            <v>2050</v>
          </cell>
        </row>
        <row r="109">
          <cell r="B109" t="str">
            <v>TON</v>
          </cell>
          <cell r="C109">
            <v>3</v>
          </cell>
          <cell r="D109" t="str">
            <v>Carbon dioxide and other GHGs</v>
          </cell>
          <cell r="E109">
            <v>2050</v>
          </cell>
          <cell r="F109">
            <v>2050</v>
          </cell>
        </row>
        <row r="110">
          <cell r="B110" t="str">
            <v>TTO</v>
          </cell>
          <cell r="C110">
            <v>1</v>
          </cell>
          <cell r="D110" t="str">
            <v>Carbon dioxide only</v>
          </cell>
          <cell r="E110">
            <v>2050</v>
          </cell>
          <cell r="F110">
            <v>2065</v>
          </cell>
        </row>
        <row r="111">
          <cell r="B111" t="str">
            <v>TUV</v>
          </cell>
          <cell r="C111">
            <v>3</v>
          </cell>
          <cell r="D111" t="str">
            <v>Carbon dioxide and other GHGs</v>
          </cell>
          <cell r="E111">
            <v>2050</v>
          </cell>
          <cell r="F111">
            <v>2050</v>
          </cell>
        </row>
        <row r="112">
          <cell r="B112" t="str">
            <v>UGA</v>
          </cell>
          <cell r="C112">
            <v>1</v>
          </cell>
          <cell r="D112" t="str">
            <v>Carbon dioxide only</v>
          </cell>
          <cell r="E112">
            <v>2050</v>
          </cell>
          <cell r="F112">
            <v>2065</v>
          </cell>
        </row>
        <row r="113">
          <cell r="B113" t="str">
            <v>URY</v>
          </cell>
          <cell r="C113">
            <v>3</v>
          </cell>
          <cell r="D113" t="str">
            <v>Carbon dioxide and other GHGs</v>
          </cell>
          <cell r="E113">
            <v>2050</v>
          </cell>
          <cell r="F113">
            <v>2050</v>
          </cell>
        </row>
        <row r="114">
          <cell r="B114" t="str">
            <v>USA</v>
          </cell>
          <cell r="C114">
            <v>4</v>
          </cell>
          <cell r="D114" t="str">
            <v>Carbon dioxide and other GHGs</v>
          </cell>
          <cell r="E114">
            <v>2050</v>
          </cell>
          <cell r="F114">
            <v>2050</v>
          </cell>
        </row>
        <row r="115">
          <cell r="B115" t="str">
            <v>VCT</v>
          </cell>
          <cell r="C115">
            <v>1</v>
          </cell>
          <cell r="D115" t="str">
            <v>Carbon dioxide and other GHGs</v>
          </cell>
          <cell r="E115">
            <v>2050</v>
          </cell>
          <cell r="F115">
            <v>2050</v>
          </cell>
        </row>
        <row r="116">
          <cell r="B116" t="str">
            <v>VUT</v>
          </cell>
          <cell r="C116">
            <v>3</v>
          </cell>
          <cell r="D116" t="str">
            <v>Carbon dioxide and other GHGs</v>
          </cell>
          <cell r="E116">
            <v>2050</v>
          </cell>
          <cell r="F116">
            <v>2050</v>
          </cell>
        </row>
        <row r="117">
          <cell r="B117" t="str">
            <v>WSM</v>
          </cell>
          <cell r="C117">
            <v>1</v>
          </cell>
          <cell r="D117" t="str">
            <v>Carbon dioxide and other GHGs</v>
          </cell>
          <cell r="E117">
            <v>2050</v>
          </cell>
          <cell r="F117">
            <v>2050</v>
          </cell>
        </row>
        <row r="118">
          <cell r="B118" t="str">
            <v>YEM</v>
          </cell>
          <cell r="C118">
            <v>1</v>
          </cell>
          <cell r="D118" t="str">
            <v>Carbon dioxide and other GHGs</v>
          </cell>
          <cell r="E118">
            <v>2050</v>
          </cell>
          <cell r="F118">
            <v>2050</v>
          </cell>
        </row>
        <row r="119">
          <cell r="B119" t="str">
            <v>ZAF</v>
          </cell>
          <cell r="C119">
            <v>2</v>
          </cell>
          <cell r="D119" t="str">
            <v>Carbon dioxide only</v>
          </cell>
          <cell r="E119">
            <v>2050</v>
          </cell>
          <cell r="F119">
            <v>2065</v>
          </cell>
        </row>
        <row r="120">
          <cell r="B120" t="str">
            <v>ZMB</v>
          </cell>
          <cell r="C120">
            <v>1</v>
          </cell>
          <cell r="D120" t="str">
            <v>Carbon dioxide and other GHGs</v>
          </cell>
          <cell r="E120">
            <v>2050</v>
          </cell>
          <cell r="F120">
            <v>2050</v>
          </cell>
        </row>
        <row r="121">
          <cell r="B121" t="str">
            <v>ZWE</v>
          </cell>
          <cell r="C121">
            <v>2</v>
          </cell>
          <cell r="D121" t="str">
            <v>Carbon dioxide and other GHGs</v>
          </cell>
          <cell r="E121">
            <v>2030</v>
          </cell>
          <cell r="F121" t="str">
            <v/>
          </cell>
        </row>
        <row r="122">
          <cell r="B122" t="str">
            <v>ALB</v>
          </cell>
          <cell r="C122">
            <v>3</v>
          </cell>
          <cell r="D122" t="str">
            <v>Carbon dioxide and other GHGs</v>
          </cell>
          <cell r="E122">
            <v>2030</v>
          </cell>
          <cell r="F122" t="str">
            <v/>
          </cell>
        </row>
        <row r="123">
          <cell r="B123" t="str">
            <v>AND</v>
          </cell>
          <cell r="C123">
            <v>3</v>
          </cell>
          <cell r="D123" t="str">
            <v>Carbon dioxide and other GHGs</v>
          </cell>
          <cell r="E123">
            <v>2050</v>
          </cell>
          <cell r="F123">
            <v>2050</v>
          </cell>
        </row>
        <row r="124">
          <cell r="B124" t="str">
            <v>ARE</v>
          </cell>
          <cell r="C124">
            <v>3</v>
          </cell>
          <cell r="D124" t="str">
            <v>Not Specified</v>
          </cell>
          <cell r="E124">
            <v>2050</v>
          </cell>
          <cell r="F124">
            <v>2065</v>
          </cell>
        </row>
        <row r="125">
          <cell r="B125" t="str">
            <v>AUS</v>
          </cell>
          <cell r="C125">
            <v>4</v>
          </cell>
          <cell r="D125" t="str">
            <v>Carbon dioxide and other GHGs</v>
          </cell>
          <cell r="E125">
            <v>2050</v>
          </cell>
          <cell r="F125">
            <v>2050</v>
          </cell>
        </row>
        <row r="126">
          <cell r="B126" t="str">
            <v>AZE</v>
          </cell>
          <cell r="C126">
            <v>3</v>
          </cell>
          <cell r="D126" t="str">
            <v>Carbon dioxide and other GHGs</v>
          </cell>
          <cell r="E126">
            <v>2050</v>
          </cell>
          <cell r="F126" t="str">
            <v/>
          </cell>
        </row>
        <row r="127">
          <cell r="B127" t="str">
            <v>BDI</v>
          </cell>
          <cell r="C127">
            <v>1</v>
          </cell>
          <cell r="D127" t="str">
            <v>Carbon dioxide and other GHGs</v>
          </cell>
          <cell r="E127">
            <v>2050</v>
          </cell>
          <cell r="F127">
            <v>2050</v>
          </cell>
        </row>
        <row r="128">
          <cell r="B128" t="str">
            <v>BGR</v>
          </cell>
          <cell r="C128">
            <v>1</v>
          </cell>
          <cell r="D128" t="str">
            <v>Not Specified</v>
          </cell>
          <cell r="E128">
            <v>2050</v>
          </cell>
          <cell r="F128">
            <v>2065</v>
          </cell>
        </row>
        <row r="129">
          <cell r="B129" t="str">
            <v>BHR</v>
          </cell>
          <cell r="C129">
            <v>2</v>
          </cell>
          <cell r="D129" t="str">
            <v>Not Specified</v>
          </cell>
          <cell r="E129">
            <v>2060</v>
          </cell>
          <cell r="F129">
            <v>2075</v>
          </cell>
        </row>
        <row r="130">
          <cell r="B130" t="str">
            <v>BIH</v>
          </cell>
          <cell r="C130">
            <v>2</v>
          </cell>
          <cell r="D130" t="str">
            <v>Carbon dioxide and other GHGs</v>
          </cell>
          <cell r="E130">
            <v>2050</v>
          </cell>
          <cell r="F130" t="str">
            <v/>
          </cell>
        </row>
        <row r="131">
          <cell r="B131" t="str">
            <v>BLR</v>
          </cell>
          <cell r="C131">
            <v>3</v>
          </cell>
          <cell r="D131" t="str">
            <v>Carbon dioxide and other GHGs</v>
          </cell>
          <cell r="E131">
            <v>2030</v>
          </cell>
          <cell r="F131" t="str">
            <v/>
          </cell>
        </row>
        <row r="132">
          <cell r="B132" t="str">
            <v>BMU</v>
          </cell>
          <cell r="C132">
            <v>3</v>
          </cell>
          <cell r="D132" t="str">
            <v>Not Specified</v>
          </cell>
          <cell r="E132">
            <v>2035</v>
          </cell>
          <cell r="F132" t="str">
            <v/>
          </cell>
        </row>
        <row r="133">
          <cell r="B133" t="str">
            <v>BOL</v>
          </cell>
          <cell r="C133">
            <v>3</v>
          </cell>
          <cell r="D133" t="str">
            <v>Not Specified</v>
          </cell>
          <cell r="F133">
            <v>15</v>
          </cell>
        </row>
        <row r="134">
          <cell r="B134" t="str">
            <v>BRA</v>
          </cell>
          <cell r="C134">
            <v>3</v>
          </cell>
          <cell r="D134" t="str">
            <v>Carbon dioxide and other GHGs</v>
          </cell>
          <cell r="E134">
            <v>2050</v>
          </cell>
          <cell r="F134">
            <v>2050</v>
          </cell>
        </row>
        <row r="135">
          <cell r="B135" t="str">
            <v>BRN</v>
          </cell>
          <cell r="C135">
            <v>3</v>
          </cell>
          <cell r="D135" t="str">
            <v>Carbon dioxide and other GHGs</v>
          </cell>
          <cell r="E135">
            <v>2030</v>
          </cell>
          <cell r="F135" t="str">
            <v/>
          </cell>
        </row>
        <row r="136">
          <cell r="B136" t="str">
            <v>BWA</v>
          </cell>
          <cell r="C136">
            <v>3</v>
          </cell>
          <cell r="D136" t="str">
            <v>Carbon dioxide and other GHGs</v>
          </cell>
          <cell r="E136">
            <v>2030</v>
          </cell>
          <cell r="F136" t="str">
            <v/>
          </cell>
        </row>
        <row r="137">
          <cell r="B137" t="str">
            <v>CIV</v>
          </cell>
          <cell r="C137">
            <v>2</v>
          </cell>
          <cell r="D137" t="str">
            <v>Carbon dioxide and other GHGs</v>
          </cell>
          <cell r="E137">
            <v>2030</v>
          </cell>
          <cell r="F137" t="str">
            <v/>
          </cell>
        </row>
        <row r="138">
          <cell r="B138" t="str">
            <v>CMR</v>
          </cell>
          <cell r="C138">
            <v>3</v>
          </cell>
          <cell r="D138" t="str">
            <v>Carbon dioxide and other GHGs</v>
          </cell>
          <cell r="E138">
            <v>2030</v>
          </cell>
          <cell r="F138" t="str">
            <v/>
          </cell>
        </row>
        <row r="139">
          <cell r="B139" t="str">
            <v>CUB</v>
          </cell>
          <cell r="C139">
            <v>3</v>
          </cell>
          <cell r="D139" t="str">
            <v>Carbon dioxide and other GHGs</v>
          </cell>
          <cell r="E139">
            <v>2030</v>
          </cell>
          <cell r="F139" t="str">
            <v/>
          </cell>
        </row>
        <row r="140">
          <cell r="B140" t="str">
            <v>CYM</v>
          </cell>
          <cell r="C140">
            <v>3</v>
          </cell>
          <cell r="D140" t="str">
            <v>Carbon dioxide and other GHGs</v>
          </cell>
          <cell r="E140">
            <v>2040</v>
          </cell>
          <cell r="F140" t="str">
            <v/>
          </cell>
        </row>
        <row r="141">
          <cell r="B141" t="str">
            <v>DZA</v>
          </cell>
          <cell r="C141">
            <v>3</v>
          </cell>
          <cell r="D141" t="str">
            <v>Carbon dioxide and other GHGs</v>
          </cell>
          <cell r="E141">
            <v>2030</v>
          </cell>
          <cell r="F141" t="str">
            <v/>
          </cell>
        </row>
        <row r="142">
          <cell r="B142" t="str">
            <v>EGY</v>
          </cell>
          <cell r="C142">
            <v>3</v>
          </cell>
          <cell r="D142" t="str">
            <v>Carbon dioxide and other GHGs</v>
          </cell>
          <cell r="E142">
            <v>2030</v>
          </cell>
          <cell r="F142" t="str">
            <v/>
          </cell>
        </row>
        <row r="143">
          <cell r="B143" t="str">
            <v>GEO</v>
          </cell>
          <cell r="C143">
            <v>3</v>
          </cell>
          <cell r="D143" t="str">
            <v>Carbon dioxide and other GHGs</v>
          </cell>
          <cell r="E143">
            <v>2050</v>
          </cell>
          <cell r="F143">
            <v>2050</v>
          </cell>
        </row>
        <row r="144">
          <cell r="B144" t="str">
            <v>GHA</v>
          </cell>
          <cell r="C144">
            <v>2</v>
          </cell>
          <cell r="D144" t="str">
            <v>Carbon dioxide and other GHGs</v>
          </cell>
          <cell r="E144">
            <v>2070</v>
          </cell>
          <cell r="F144">
            <v>2070</v>
          </cell>
        </row>
        <row r="145">
          <cell r="B145" t="str">
            <v>GNQ</v>
          </cell>
          <cell r="C145">
            <v>3</v>
          </cell>
          <cell r="D145" t="str">
            <v>Carbon dioxide and other GHGs</v>
          </cell>
          <cell r="E145">
            <v>2050</v>
          </cell>
          <cell r="F145" t="str">
            <v/>
          </cell>
        </row>
        <row r="146">
          <cell r="B146" t="str">
            <v>GTM</v>
          </cell>
          <cell r="C146">
            <v>4</v>
          </cell>
          <cell r="D146" t="str">
            <v>Carbon dioxide and other GHGs</v>
          </cell>
          <cell r="E146">
            <v>2030</v>
          </cell>
          <cell r="F146" t="str">
            <v/>
          </cell>
        </row>
        <row r="147">
          <cell r="B147" t="str">
            <v>HND</v>
          </cell>
          <cell r="C147">
            <v>3</v>
          </cell>
          <cell r="D147" t="str">
            <v>Carbon dioxide and other GHGs</v>
          </cell>
          <cell r="E147">
            <v>2030</v>
          </cell>
          <cell r="F147" t="str">
            <v/>
          </cell>
        </row>
        <row r="148">
          <cell r="B148" t="str">
            <v>IDN</v>
          </cell>
          <cell r="C148">
            <v>1</v>
          </cell>
          <cell r="D148" t="str">
            <v>Not Specified</v>
          </cell>
          <cell r="E148">
            <v>2060</v>
          </cell>
          <cell r="F148">
            <v>2075</v>
          </cell>
        </row>
        <row r="149">
          <cell r="B149" t="str">
            <v>IND</v>
          </cell>
          <cell r="C149">
            <v>3</v>
          </cell>
          <cell r="D149" t="str">
            <v>Not Specified</v>
          </cell>
          <cell r="E149">
            <v>2070</v>
          </cell>
          <cell r="F149">
            <v>2085</v>
          </cell>
        </row>
        <row r="150">
          <cell r="B150" t="str">
            <v>IRN</v>
          </cell>
          <cell r="C150">
            <v>4</v>
          </cell>
          <cell r="D150" t="str">
            <v>Carbon dioxide and other GHGs</v>
          </cell>
          <cell r="E150">
            <v>2030</v>
          </cell>
          <cell r="F150" t="str">
            <v/>
          </cell>
        </row>
        <row r="151">
          <cell r="B151" t="str">
            <v>IRQ</v>
          </cell>
          <cell r="C151">
            <v>3</v>
          </cell>
          <cell r="D151" t="str">
            <v>Carbon dioxide and other GHGs</v>
          </cell>
          <cell r="E151">
            <v>2030</v>
          </cell>
          <cell r="F151" t="str">
            <v/>
          </cell>
        </row>
        <row r="152">
          <cell r="B152" t="str">
            <v>ISR</v>
          </cell>
          <cell r="C152">
            <v>1</v>
          </cell>
          <cell r="D152" t="str">
            <v>Not Specified</v>
          </cell>
          <cell r="E152">
            <v>2050</v>
          </cell>
          <cell r="F152">
            <v>2065</v>
          </cell>
        </row>
        <row r="153">
          <cell r="B153" t="str">
            <v>JOR</v>
          </cell>
          <cell r="C153">
            <v>3</v>
          </cell>
          <cell r="D153" t="str">
            <v>Carbon dioxide and other GHGs</v>
          </cell>
          <cell r="E153">
            <v>2030</v>
          </cell>
          <cell r="F153" t="str">
            <v/>
          </cell>
        </row>
        <row r="154">
          <cell r="B154" t="str">
            <v>KAZ</v>
          </cell>
          <cell r="C154">
            <v>3</v>
          </cell>
          <cell r="D154" t="str">
            <v>Carbon dioxide and other GHGs</v>
          </cell>
          <cell r="E154">
            <v>2060</v>
          </cell>
          <cell r="F154">
            <v>2060</v>
          </cell>
        </row>
        <row r="155">
          <cell r="B155" t="str">
            <v>KEN</v>
          </cell>
          <cell r="C155">
            <v>3</v>
          </cell>
          <cell r="D155" t="str">
            <v>Carbon dioxide and other GHGs</v>
          </cell>
          <cell r="E155">
            <v>2030</v>
          </cell>
          <cell r="F155" t="str">
            <v/>
          </cell>
        </row>
        <row r="156">
          <cell r="B156" t="str">
            <v>KGZ</v>
          </cell>
          <cell r="C156">
            <v>1</v>
          </cell>
          <cell r="D156" t="str">
            <v>Not Specified</v>
          </cell>
          <cell r="E156">
            <v>2050</v>
          </cell>
          <cell r="F156">
            <v>2065</v>
          </cell>
        </row>
        <row r="157">
          <cell r="B157" t="str">
            <v>KWT</v>
          </cell>
          <cell r="C157">
            <v>2</v>
          </cell>
          <cell r="D157" t="str">
            <v>Not Specified</v>
          </cell>
          <cell r="E157">
            <v>2060</v>
          </cell>
          <cell r="F157">
            <v>2075</v>
          </cell>
        </row>
        <row r="158">
          <cell r="B158" t="str">
            <v>LBY</v>
          </cell>
          <cell r="C158">
            <v>0</v>
          </cell>
          <cell r="D158" t="str">
            <v>Not Specified</v>
          </cell>
        </row>
        <row r="159">
          <cell r="B159" t="str">
            <v>LIE</v>
          </cell>
          <cell r="C159">
            <v>3</v>
          </cell>
          <cell r="D159" t="str">
            <v>Carbon dioxide and other GHGs</v>
          </cell>
          <cell r="E159">
            <v>2030</v>
          </cell>
          <cell r="F159" t="str">
            <v/>
          </cell>
        </row>
        <row r="160">
          <cell r="B160" t="str">
            <v>LKA</v>
          </cell>
          <cell r="C160">
            <v>2</v>
          </cell>
          <cell r="D160" t="str">
            <v>Carbon dioxide and other GHGs</v>
          </cell>
          <cell r="E160">
            <v>2050</v>
          </cell>
          <cell r="F160">
            <v>2050</v>
          </cell>
        </row>
        <row r="161">
          <cell r="B161" t="str">
            <v>MAR</v>
          </cell>
          <cell r="C161">
            <v>3</v>
          </cell>
          <cell r="D161" t="str">
            <v>Carbon dioxide and other GHGs</v>
          </cell>
          <cell r="E161">
            <v>2030</v>
          </cell>
          <cell r="F161" t="str">
            <v/>
          </cell>
        </row>
        <row r="162">
          <cell r="B162" t="str">
            <v>MDA</v>
          </cell>
          <cell r="C162">
            <v>3</v>
          </cell>
          <cell r="D162" t="str">
            <v>Carbon dioxide and other GHGs</v>
          </cell>
          <cell r="E162">
            <v>2030</v>
          </cell>
          <cell r="F162" t="str">
            <v/>
          </cell>
        </row>
        <row r="163">
          <cell r="B163" t="str">
            <v>MKD</v>
          </cell>
          <cell r="C163">
            <v>3</v>
          </cell>
          <cell r="D163" t="str">
            <v>Carbon dioxide and other GHGs</v>
          </cell>
          <cell r="E163">
            <v>2030</v>
          </cell>
          <cell r="F163" t="str">
            <v/>
          </cell>
        </row>
        <row r="164">
          <cell r="B164" t="str">
            <v>MNE</v>
          </cell>
          <cell r="C164">
            <v>3</v>
          </cell>
          <cell r="D164" t="str">
            <v>Carbon dioxide and other GHGs</v>
          </cell>
          <cell r="E164">
            <v>2030</v>
          </cell>
          <cell r="F164" t="str">
            <v/>
          </cell>
        </row>
        <row r="165">
          <cell r="B165" t="str">
            <v>MNG</v>
          </cell>
          <cell r="C165">
            <v>3</v>
          </cell>
          <cell r="D165" t="str">
            <v>Carbon dioxide and other GHGs</v>
          </cell>
          <cell r="E165">
            <v>2030</v>
          </cell>
          <cell r="F165" t="str">
            <v/>
          </cell>
        </row>
        <row r="166">
          <cell r="B166" t="str">
            <v>MYS</v>
          </cell>
          <cell r="C166">
            <v>3</v>
          </cell>
          <cell r="D166" t="str">
            <v>Carbon dioxide and other GHGs</v>
          </cell>
          <cell r="E166">
            <v>2050</v>
          </cell>
          <cell r="F166">
            <v>2050</v>
          </cell>
        </row>
        <row r="167">
          <cell r="B167" t="str">
            <v>NGA</v>
          </cell>
          <cell r="C167">
            <v>4</v>
          </cell>
          <cell r="D167" t="str">
            <v>Carbon dioxide and other GHGs</v>
          </cell>
          <cell r="E167">
            <v>2070</v>
          </cell>
          <cell r="F167">
            <v>2070</v>
          </cell>
        </row>
        <row r="168">
          <cell r="B168" t="str">
            <v>NLD</v>
          </cell>
          <cell r="C168">
            <v>4</v>
          </cell>
          <cell r="D168" t="str">
            <v>Carbon dioxide and other GHGs</v>
          </cell>
          <cell r="E168">
            <v>2050</v>
          </cell>
          <cell r="F168" t="str">
            <v/>
          </cell>
        </row>
        <row r="169">
          <cell r="B169" t="str">
            <v>OMN</v>
          </cell>
          <cell r="C169">
            <v>3</v>
          </cell>
          <cell r="D169" t="str">
            <v>Carbon dioxide only</v>
          </cell>
          <cell r="E169">
            <v>2050</v>
          </cell>
          <cell r="F169">
            <v>2065</v>
          </cell>
        </row>
        <row r="170">
          <cell r="B170" t="str">
            <v>PAN</v>
          </cell>
          <cell r="C170">
            <v>3</v>
          </cell>
          <cell r="D170" t="str">
            <v>Carbon dioxide and other GHGs</v>
          </cell>
          <cell r="E170">
            <v>2050</v>
          </cell>
          <cell r="F170">
            <v>2050</v>
          </cell>
        </row>
        <row r="171">
          <cell r="B171" t="str">
            <v>PHL</v>
          </cell>
          <cell r="C171">
            <v>3</v>
          </cell>
          <cell r="D171" t="str">
            <v>Carbon dioxide and other GHGs</v>
          </cell>
          <cell r="E171">
            <v>2030</v>
          </cell>
          <cell r="F171" t="str">
            <v/>
          </cell>
        </row>
        <row r="172">
          <cell r="B172" t="str">
            <v>POL</v>
          </cell>
          <cell r="C172">
            <v>3</v>
          </cell>
          <cell r="D172" t="str">
            <v>Carbon dioxide only</v>
          </cell>
          <cell r="E172">
            <v>2030</v>
          </cell>
          <cell r="F172" t="str">
            <v/>
          </cell>
        </row>
        <row r="173">
          <cell r="B173" t="str">
            <v>PRK</v>
          </cell>
          <cell r="C173">
            <v>3</v>
          </cell>
          <cell r="D173" t="str">
            <v>Carbon dioxide and other GHGs</v>
          </cell>
          <cell r="E173">
            <v>2030</v>
          </cell>
          <cell r="F173" t="str">
            <v/>
          </cell>
        </row>
        <row r="174">
          <cell r="B174" t="str">
            <v>PRY</v>
          </cell>
          <cell r="C174">
            <v>3</v>
          </cell>
          <cell r="D174" t="str">
            <v>Carbon dioxide and other GHGs</v>
          </cell>
          <cell r="E174">
            <v>2030</v>
          </cell>
          <cell r="F174" t="str">
            <v/>
          </cell>
        </row>
        <row r="175">
          <cell r="B175" t="str">
            <v>PSE</v>
          </cell>
          <cell r="C175">
            <v>3</v>
          </cell>
          <cell r="D175" t="str">
            <v>Carbon dioxide and other GHGs</v>
          </cell>
          <cell r="E175">
            <v>2040</v>
          </cell>
          <cell r="F175" t="str">
            <v/>
          </cell>
        </row>
        <row r="176">
          <cell r="B176" t="str">
            <v>QAT</v>
          </cell>
          <cell r="C176">
            <v>3</v>
          </cell>
          <cell r="D176" t="str">
            <v>Carbon dioxide and other GHGs</v>
          </cell>
          <cell r="E176">
            <v>2030</v>
          </cell>
          <cell r="F176" t="str">
            <v/>
          </cell>
        </row>
        <row r="177">
          <cell r="B177" t="str">
            <v>ROU</v>
          </cell>
          <cell r="C177">
            <v>3</v>
          </cell>
          <cell r="D177" t="str">
            <v>Carbon dioxide and other GHGs</v>
          </cell>
          <cell r="E177">
            <v>2050</v>
          </cell>
          <cell r="F177">
            <v>2050</v>
          </cell>
        </row>
        <row r="178">
          <cell r="B178" t="str">
            <v>RUS</v>
          </cell>
          <cell r="C178">
            <v>3</v>
          </cell>
          <cell r="D178" t="str">
            <v>Carbon dioxide and other GHGs</v>
          </cell>
          <cell r="E178">
            <v>2060</v>
          </cell>
          <cell r="F178">
            <v>2060</v>
          </cell>
        </row>
        <row r="179">
          <cell r="B179" t="str">
            <v>SAU</v>
          </cell>
          <cell r="C179">
            <v>3</v>
          </cell>
          <cell r="D179" t="str">
            <v>Carbon dioxide and other GHGs</v>
          </cell>
          <cell r="E179">
            <v>2060</v>
          </cell>
          <cell r="F179">
            <v>2060</v>
          </cell>
        </row>
        <row r="180">
          <cell r="B180" t="str">
            <v>SDN</v>
          </cell>
          <cell r="C180">
            <v>1</v>
          </cell>
          <cell r="D180" t="str">
            <v>Carbon dioxide and other GHGs</v>
          </cell>
          <cell r="E180">
            <v>2050</v>
          </cell>
          <cell r="F180">
            <v>2050</v>
          </cell>
        </row>
        <row r="181">
          <cell r="B181" t="str">
            <v>SLV</v>
          </cell>
          <cell r="C181">
            <v>3</v>
          </cell>
          <cell r="D181" t="str">
            <v>Carbon dioxide and other GHGs</v>
          </cell>
          <cell r="E181">
            <v>2030</v>
          </cell>
          <cell r="F181">
            <v>2030</v>
          </cell>
        </row>
        <row r="182">
          <cell r="B182" t="str">
            <v>SMR</v>
          </cell>
          <cell r="C182">
            <v>3</v>
          </cell>
          <cell r="D182" t="str">
            <v>Carbon dioxide and other GHGs</v>
          </cell>
          <cell r="E182">
            <v>2030</v>
          </cell>
          <cell r="F182" t="str">
            <v/>
          </cell>
        </row>
        <row r="183">
          <cell r="B183" t="str">
            <v>SOM</v>
          </cell>
          <cell r="C183">
            <v>1</v>
          </cell>
          <cell r="D183" t="str">
            <v>Carbon dioxide and other GHGs</v>
          </cell>
          <cell r="E183">
            <v>2050</v>
          </cell>
          <cell r="F183">
            <v>2050</v>
          </cell>
        </row>
        <row r="184">
          <cell r="B184" t="str">
            <v>SRB</v>
          </cell>
          <cell r="C184">
            <v>3</v>
          </cell>
          <cell r="D184" t="str">
            <v>Carbon dioxide and other GHGs</v>
          </cell>
          <cell r="E184">
            <v>2030</v>
          </cell>
          <cell r="F184" t="str">
            <v/>
          </cell>
        </row>
        <row r="185">
          <cell r="B185" t="str">
            <v>SWZ</v>
          </cell>
          <cell r="C185">
            <v>3</v>
          </cell>
          <cell r="D185" t="str">
            <v>Carbon dioxide and other GHGs</v>
          </cell>
          <cell r="E185">
            <v>2030</v>
          </cell>
          <cell r="F185" t="str">
            <v/>
          </cell>
        </row>
        <row r="186">
          <cell r="B186" t="str">
            <v>SYR</v>
          </cell>
          <cell r="C186">
            <v>0</v>
          </cell>
          <cell r="D186" t="str">
            <v>Not Specified</v>
          </cell>
          <cell r="F186">
            <v>15</v>
          </cell>
        </row>
        <row r="187">
          <cell r="B187" t="str">
            <v>THA</v>
          </cell>
          <cell r="C187">
            <v>3</v>
          </cell>
          <cell r="D187" t="str">
            <v>Carbon dioxide and other GHGs</v>
          </cell>
          <cell r="E187">
            <v>2065</v>
          </cell>
          <cell r="F187">
            <v>2065</v>
          </cell>
        </row>
        <row r="188">
          <cell r="B188" t="str">
            <v>TJK</v>
          </cell>
          <cell r="C188">
            <v>3</v>
          </cell>
          <cell r="D188" t="str">
            <v>Carbon dioxide and other GHGs</v>
          </cell>
          <cell r="E188">
            <v>2030</v>
          </cell>
          <cell r="F188" t="str">
            <v/>
          </cell>
        </row>
        <row r="189">
          <cell r="B189" t="str">
            <v>TKM</v>
          </cell>
          <cell r="C189">
            <v>3</v>
          </cell>
          <cell r="D189" t="str">
            <v>Carbon dioxide and other GHGs</v>
          </cell>
          <cell r="E189">
            <v>2030</v>
          </cell>
          <cell r="F189" t="str">
            <v/>
          </cell>
        </row>
        <row r="190">
          <cell r="B190" t="str">
            <v>TUN</v>
          </cell>
          <cell r="C190">
            <v>3</v>
          </cell>
          <cell r="D190" t="str">
            <v>Carbon dioxide only</v>
          </cell>
          <cell r="E190">
            <v>2050</v>
          </cell>
          <cell r="F190">
            <v>2065</v>
          </cell>
        </row>
        <row r="191">
          <cell r="B191" t="str">
            <v>TUR</v>
          </cell>
          <cell r="C191">
            <v>3</v>
          </cell>
          <cell r="D191" t="str">
            <v>Carbon dioxide and other GHGs</v>
          </cell>
          <cell r="E191">
            <v>2053</v>
          </cell>
          <cell r="F191">
            <v>2053</v>
          </cell>
        </row>
        <row r="192">
          <cell r="B192" t="str">
            <v>TZA</v>
          </cell>
          <cell r="C192">
            <v>1</v>
          </cell>
          <cell r="D192" t="str">
            <v>Carbon dioxide only</v>
          </cell>
          <cell r="E192">
            <v>2050</v>
          </cell>
          <cell r="F192">
            <v>2065</v>
          </cell>
        </row>
        <row r="193">
          <cell r="B193" t="str">
            <v>UKR</v>
          </cell>
          <cell r="C193">
            <v>3</v>
          </cell>
          <cell r="D193" t="str">
            <v>Carbon dioxide and other GHGs</v>
          </cell>
          <cell r="E193">
            <v>2060</v>
          </cell>
          <cell r="F193">
            <v>2060</v>
          </cell>
        </row>
        <row r="194">
          <cell r="B194" t="str">
            <v>UZB</v>
          </cell>
          <cell r="C194">
            <v>3</v>
          </cell>
          <cell r="D194" t="str">
            <v>Carbon dioxide and other GHGs</v>
          </cell>
          <cell r="E194">
            <v>2030</v>
          </cell>
          <cell r="F194">
            <v>2030</v>
          </cell>
        </row>
        <row r="195">
          <cell r="B195" t="str">
            <v>VEN</v>
          </cell>
          <cell r="C195">
            <v>3</v>
          </cell>
          <cell r="D195" t="str">
            <v>Carbon dioxide and other GHGs</v>
          </cell>
          <cell r="E195">
            <v>2030</v>
          </cell>
          <cell r="F195" t="str">
            <v/>
          </cell>
        </row>
        <row r="196">
          <cell r="B196" t="str">
            <v>VNM</v>
          </cell>
          <cell r="C196">
            <v>3</v>
          </cell>
          <cell r="D196" t="str">
            <v>Carbon dioxide and other GHGs</v>
          </cell>
          <cell r="E196">
            <v>2050</v>
          </cell>
          <cell r="F196">
            <v>2050</v>
          </cell>
        </row>
        <row r="197">
          <cell r="B197" t="str">
            <v>SSD</v>
          </cell>
          <cell r="C197">
            <v>1</v>
          </cell>
          <cell r="D197" t="str">
            <v>Not Specified</v>
          </cell>
          <cell r="E197">
            <v>2050</v>
          </cell>
          <cell r="F197">
            <v>2065</v>
          </cell>
        </row>
        <row r="198">
          <cell r="B198" t="str">
            <v>SGP</v>
          </cell>
          <cell r="C198">
            <v>3</v>
          </cell>
          <cell r="D198" t="str">
            <v>Carbon dioxide and other GHGs</v>
          </cell>
          <cell r="E198">
            <v>2050</v>
          </cell>
          <cell r="F198">
            <v>2050</v>
          </cell>
        </row>
        <row r="199">
          <cell r="B199" t="str">
            <v>EUU</v>
          </cell>
          <cell r="C199">
            <v>4</v>
          </cell>
          <cell r="D199" t="str">
            <v>Carbon dioxide and other GHGs</v>
          </cell>
          <cell r="E199">
            <v>2050</v>
          </cell>
          <cell r="F199">
            <v>2050</v>
          </cell>
        </row>
        <row r="200">
          <cell r="B200" t="str">
            <v>NIU</v>
          </cell>
          <cell r="C200">
            <v>1</v>
          </cell>
          <cell r="D200" t="str">
            <v>Not Specified</v>
          </cell>
          <cell r="E200">
            <v>2050</v>
          </cell>
          <cell r="F200">
            <v>2065</v>
          </cell>
        </row>
      </sheetData>
      <sheetData sheetId="13">
        <row r="36">
          <cell r="Q36">
            <v>4993.0374982335452</v>
          </cell>
        </row>
      </sheetData>
      <sheetData sheetId="14">
        <row r="9">
          <cell r="C9">
            <v>52654.88886730693</v>
          </cell>
        </row>
        <row r="27">
          <cell r="I27">
            <v>50.831797040294703</v>
          </cell>
        </row>
        <row r="29">
          <cell r="I29">
            <v>51.42774936</v>
          </cell>
        </row>
      </sheetData>
      <sheetData sheetId="15">
        <row r="3">
          <cell r="DV3">
            <v>9.4306212000000009</v>
          </cell>
        </row>
        <row r="5">
          <cell r="EQ5">
            <v>-10.055070799999999</v>
          </cell>
        </row>
        <row r="8">
          <cell r="DV8">
            <v>70.380510651231504</v>
          </cell>
          <cell r="EA8">
            <v>74.832910651231487</v>
          </cell>
          <cell r="EF8">
            <v>80.899610651231498</v>
          </cell>
          <cell r="EQ8">
            <v>60.937810651231494</v>
          </cell>
          <cell r="ER8">
            <v>9.4427000000000092</v>
          </cell>
          <cell r="ES8">
            <v>13.895099999999992</v>
          </cell>
          <cell r="ET8">
            <v>19.961800000000004</v>
          </cell>
        </row>
        <row r="19">
          <cell r="EQ19">
            <v>-7.8966816966233894E-2</v>
          </cell>
        </row>
        <row r="27">
          <cell r="EQ27">
            <v>-6.107938853930178</v>
          </cell>
        </row>
        <row r="32">
          <cell r="EQ32">
            <v>50.030932023973861</v>
          </cell>
          <cell r="ER32">
            <v>0.24660000000000082</v>
          </cell>
          <cell r="ES32">
            <v>-5.9651199999999989</v>
          </cell>
          <cell r="ET32">
            <v>-6.9491699999999952</v>
          </cell>
        </row>
        <row r="33">
          <cell r="DV33">
            <v>-14.377724000000001</v>
          </cell>
          <cell r="EA33">
            <v>-14.724724</v>
          </cell>
          <cell r="EF33">
            <v>-15.113924000000001</v>
          </cell>
          <cell r="EQ33">
            <v>-14.093024</v>
          </cell>
          <cell r="ER33">
            <v>-0.28470000000000084</v>
          </cell>
          <cell r="ES33">
            <v>-0.63170000000000037</v>
          </cell>
          <cell r="ET33">
            <v>-1.020900000000001</v>
          </cell>
        </row>
        <row r="40">
          <cell r="DV40">
            <v>3.723859477922252</v>
          </cell>
          <cell r="EA40">
            <v>-9.2912805220777468</v>
          </cell>
          <cell r="EF40">
            <v>-15.719120522077748</v>
          </cell>
          <cell r="EQ40">
            <v>-12.384230522077747</v>
          </cell>
          <cell r="ER40">
            <v>16.108089999999997</v>
          </cell>
          <cell r="ES40">
            <v>3.0929500000000001</v>
          </cell>
          <cell r="ET40">
            <v>-3.3348900000000015</v>
          </cell>
        </row>
        <row r="44">
          <cell r="DV44">
            <v>-6.9388125303029682</v>
          </cell>
          <cell r="EA44">
            <v>-6.938582530302968</v>
          </cell>
          <cell r="EF44">
            <v>-6.9383325303029686</v>
          </cell>
          <cell r="EQ44">
            <v>-6.9390125303029677</v>
          </cell>
          <cell r="ER44">
            <v>1.9999999999953388E-4</v>
          </cell>
          <cell r="ES44">
            <v>4.2999999999970839E-4</v>
          </cell>
          <cell r="ET44">
            <v>6.7999999999912575E-4</v>
          </cell>
        </row>
        <row r="48">
          <cell r="EQ48">
            <v>-2.0170114944717747</v>
          </cell>
          <cell r="ER48">
            <v>-0.67659000000000002</v>
          </cell>
          <cell r="ES48">
            <v>0.14778000000000002</v>
          </cell>
          <cell r="ET48">
            <v>0.74212000000000033</v>
          </cell>
        </row>
        <row r="57">
          <cell r="DV57">
            <v>-12.981746704273483</v>
          </cell>
          <cell r="EA57">
            <v>-21.994846704273485</v>
          </cell>
          <cell r="EF57">
            <v>-23.117646704273483</v>
          </cell>
          <cell r="EQ57">
            <v>-19.281346704273481</v>
          </cell>
          <cell r="ER57">
            <v>6.2995999999999981</v>
          </cell>
          <cell r="ES57">
            <v>-2.7135000000000034</v>
          </cell>
          <cell r="ET57">
            <v>-3.8363000000000014</v>
          </cell>
        </row>
        <row r="61">
          <cell r="DV61">
            <v>-8.6878912000000081</v>
          </cell>
          <cell r="EA61">
            <v>-6.810501200000008</v>
          </cell>
          <cell r="EF61">
            <v>-5.0020012000000076</v>
          </cell>
          <cell r="EQ61">
            <v>-10.699521200000007</v>
          </cell>
          <cell r="ER61">
            <v>2.0116299999999985</v>
          </cell>
          <cell r="ES61">
            <v>3.8890199999999986</v>
          </cell>
          <cell r="ET61">
            <v>5.697519999999999</v>
          </cell>
        </row>
        <row r="76">
          <cell r="DV76">
            <v>14.6050392</v>
          </cell>
          <cell r="EA76">
            <v>17.578839199999997</v>
          </cell>
          <cell r="EF76">
            <v>25.252039199999999</v>
          </cell>
          <cell r="EQ76">
            <v>5.2975791999999995</v>
          </cell>
          <cell r="ER76">
            <v>9.3074600000000007</v>
          </cell>
          <cell r="ES76">
            <v>12.281259999999998</v>
          </cell>
          <cell r="ET76">
            <v>19.954459999999997</v>
          </cell>
        </row>
        <row r="82">
          <cell r="DV82">
            <v>29.672356399999998</v>
          </cell>
          <cell r="EA82">
            <v>24.426216399999998</v>
          </cell>
          <cell r="EF82">
            <v>21.781886399999998</v>
          </cell>
          <cell r="EQ82">
            <v>35.840916399999998</v>
          </cell>
          <cell r="ER82">
            <v>-6.1685599999999994</v>
          </cell>
          <cell r="ES82">
            <v>-11.4147</v>
          </cell>
          <cell r="ET82">
            <v>-14.05903</v>
          </cell>
        </row>
        <row r="86">
          <cell r="EQ86">
            <v>0.59883494545454452</v>
          </cell>
        </row>
        <row r="90">
          <cell r="EQ90">
            <v>9.4486386267721389</v>
          </cell>
        </row>
        <row r="93">
          <cell r="EQ93">
            <v>21.523191999999987</v>
          </cell>
          <cell r="ER93">
            <v>-2.8249999999999886E-2</v>
          </cell>
          <cell r="ES93">
            <v>-0.26684999999999803</v>
          </cell>
          <cell r="ET93">
            <v>-0.46485999999999805</v>
          </cell>
        </row>
        <row r="100">
          <cell r="EQ100">
            <v>-8.5332731280369445E-2</v>
          </cell>
        </row>
        <row r="102">
          <cell r="EQ102">
            <v>49.105526093939936</v>
          </cell>
          <cell r="ER102">
            <v>2.3106000000000009</v>
          </cell>
          <cell r="ES102">
            <v>1.6664999999999992</v>
          </cell>
          <cell r="ET102">
            <v>1.5805000000000007</v>
          </cell>
        </row>
        <row r="104">
          <cell r="EQ104">
            <v>-17.197339538461463</v>
          </cell>
        </row>
        <row r="107">
          <cell r="EQ107">
            <v>-10.488497645320196</v>
          </cell>
        </row>
        <row r="110">
          <cell r="EQ110">
            <v>-0.56103367999999976</v>
          </cell>
        </row>
        <row r="121">
          <cell r="DV121">
            <v>-219.53152800000004</v>
          </cell>
          <cell r="EA121">
            <v>-257.59262800000005</v>
          </cell>
          <cell r="EF121">
            <v>-183.59722800000003</v>
          </cell>
          <cell r="EQ121">
            <v>-283.300228</v>
          </cell>
          <cell r="ER121">
            <v>63.768699999999967</v>
          </cell>
          <cell r="ES121">
            <v>25.707599999999957</v>
          </cell>
          <cell r="ET121">
            <v>99.702999999999975</v>
          </cell>
        </row>
        <row r="127">
          <cell r="EQ127">
            <v>-0.75450663546797625</v>
          </cell>
        </row>
        <row r="128">
          <cell r="EQ128">
            <v>-0.29133749240537227</v>
          </cell>
        </row>
        <row r="131">
          <cell r="EQ131">
            <v>-0.70808543999999984</v>
          </cell>
        </row>
        <row r="138">
          <cell r="DV138">
            <v>-114.0298694603174</v>
          </cell>
          <cell r="EA138">
            <v>-114.3769694603174</v>
          </cell>
          <cell r="EF138">
            <v>-114.34976946031739</v>
          </cell>
          <cell r="EQ138">
            <v>-110.3131694603174</v>
          </cell>
          <cell r="ER138">
            <v>-3.716700000000003</v>
          </cell>
          <cell r="ES138">
            <v>-4.0638000000000005</v>
          </cell>
          <cell r="ET138">
            <v>-4.0365999999999929</v>
          </cell>
        </row>
        <row r="146">
          <cell r="DV146">
            <v>0</v>
          </cell>
          <cell r="EA146">
            <v>0</v>
          </cell>
          <cell r="EF146">
            <v>0</v>
          </cell>
          <cell r="EQ146">
            <v>0</v>
          </cell>
          <cell r="ER146">
            <v>0</v>
          </cell>
          <cell r="ES146">
            <v>0</v>
          </cell>
          <cell r="ET146">
            <v>0</v>
          </cell>
        </row>
        <row r="147">
          <cell r="DV147">
            <v>-5.2755733201970445</v>
          </cell>
          <cell r="EA147">
            <v>-1.9369633201970444</v>
          </cell>
          <cell r="EF147">
            <v>8.5866766798029559</v>
          </cell>
          <cell r="EQ147">
            <v>-3.7097833201970447</v>
          </cell>
          <cell r="ER147">
            <v>-1.5657899999999998</v>
          </cell>
          <cell r="ES147">
            <v>1.7728200000000003</v>
          </cell>
          <cell r="ET147">
            <v>12.29646</v>
          </cell>
        </row>
        <row r="152">
          <cell r="EQ152">
            <v>4.0349884444444424</v>
          </cell>
        </row>
        <row r="156">
          <cell r="DV156">
            <v>30.319718999999999</v>
          </cell>
          <cell r="EA156">
            <v>14.728018999999996</v>
          </cell>
          <cell r="EF156">
            <v>3.908418999999995</v>
          </cell>
          <cell r="EQ156">
            <v>39.253118999999991</v>
          </cell>
          <cell r="ER156">
            <v>-8.9333999999999918</v>
          </cell>
          <cell r="ES156">
            <v>-24.525099999999995</v>
          </cell>
          <cell r="ET156">
            <v>-35.344699999999996</v>
          </cell>
        </row>
        <row r="157">
          <cell r="DV157">
            <v>89.414813884379768</v>
          </cell>
          <cell r="EA157">
            <v>76.219213884379769</v>
          </cell>
          <cell r="EF157">
            <v>75.213613884379768</v>
          </cell>
          <cell r="EQ157">
            <v>79.697813884379769</v>
          </cell>
          <cell r="ER157">
            <v>9.7169999999999987</v>
          </cell>
          <cell r="ES157">
            <v>-3.4786000000000001</v>
          </cell>
          <cell r="ET157">
            <v>-4.4842000000000013</v>
          </cell>
        </row>
        <row r="169">
          <cell r="EQ169">
            <v>0</v>
          </cell>
        </row>
        <row r="176">
          <cell r="EQ176">
            <v>0.85895457294581345</v>
          </cell>
        </row>
        <row r="179">
          <cell r="EQ179">
            <v>-0.54246319999999892</v>
          </cell>
        </row>
        <row r="185">
          <cell r="EQ185">
            <v>-0.11085248275862067</v>
          </cell>
        </row>
        <row r="195">
          <cell r="EQ195">
            <v>0</v>
          </cell>
        </row>
        <row r="196">
          <cell r="EQ196">
            <v>-1.4967789498412698</v>
          </cell>
        </row>
        <row r="200">
          <cell r="EQ200">
            <v>19.037284949753683</v>
          </cell>
        </row>
        <row r="219">
          <cell r="EQ219">
            <v>-41.732307500854716</v>
          </cell>
        </row>
      </sheetData>
      <sheetData sheetId="16"/>
      <sheetData sheetId="17">
        <row r="5">
          <cell r="AB5">
            <v>347.70799939999898</v>
          </cell>
          <cell r="AC5">
            <v>382.26525140000001</v>
          </cell>
          <cell r="AD5">
            <v>376.10160839999998</v>
          </cell>
        </row>
        <row r="6">
          <cell r="AB6">
            <v>347.70799939999898</v>
          </cell>
          <cell r="AC6">
            <v>382.26525140000001</v>
          </cell>
          <cell r="AD6">
            <v>376.10160839999998</v>
          </cell>
        </row>
        <row r="7">
          <cell r="AB7">
            <v>347.70799939999898</v>
          </cell>
          <cell r="AC7">
            <v>382.26525140000001</v>
          </cell>
          <cell r="AD7">
            <v>376.10160839999998</v>
          </cell>
        </row>
        <row r="8">
          <cell r="L8">
            <v>483</v>
          </cell>
        </row>
        <row r="10">
          <cell r="X10">
            <v>356.522268</v>
          </cell>
          <cell r="Y10">
            <v>356.522268</v>
          </cell>
        </row>
        <row r="18">
          <cell r="P18">
            <v>0</v>
          </cell>
          <cell r="Q18">
            <v>0</v>
          </cell>
          <cell r="R18">
            <v>0</v>
          </cell>
          <cell r="S18">
            <v>0</v>
          </cell>
          <cell r="T18">
            <v>0</v>
          </cell>
          <cell r="U18">
            <v>0</v>
          </cell>
          <cell r="BA18">
            <v>36.656841852000014</v>
          </cell>
          <cell r="BB18">
            <v>0</v>
          </cell>
        </row>
        <row r="23">
          <cell r="AI23">
            <v>442.13599059999996</v>
          </cell>
          <cell r="AN23">
            <v>482.93439059999997</v>
          </cell>
          <cell r="AS23">
            <v>531.46189060000006</v>
          </cell>
        </row>
        <row r="24">
          <cell r="A24">
            <v>1</v>
          </cell>
        </row>
        <row r="37">
          <cell r="E37">
            <v>219.76533900000001</v>
          </cell>
          <cell r="F37">
            <v>226.72520649999899</v>
          </cell>
          <cell r="G37">
            <v>231.7827437</v>
          </cell>
          <cell r="H37">
            <v>235.79209789999999</v>
          </cell>
          <cell r="I37">
            <v>239.0306439</v>
          </cell>
          <cell r="J37">
            <v>240.464055199999</v>
          </cell>
          <cell r="K37">
            <v>254.0613693</v>
          </cell>
          <cell r="L37">
            <v>254.97566620000001</v>
          </cell>
          <cell r="M37">
            <v>260.97099459999998</v>
          </cell>
          <cell r="N37">
            <v>266.25564420000001</v>
          </cell>
          <cell r="O37">
            <v>269.35187610000003</v>
          </cell>
          <cell r="P37">
            <v>270.81882139999999</v>
          </cell>
          <cell r="Q37">
            <v>260.277148799999</v>
          </cell>
          <cell r="R37">
            <v>275.95731410000002</v>
          </cell>
          <cell r="S37">
            <v>284.99208909999999</v>
          </cell>
          <cell r="T37">
            <v>292.1839597</v>
          </cell>
          <cell r="U37">
            <v>302.71440260000003</v>
          </cell>
          <cell r="V37">
            <v>317.53420449999999</v>
          </cell>
          <cell r="W37">
            <v>319.7365403</v>
          </cell>
          <cell r="X37">
            <v>299.45897339999999</v>
          </cell>
          <cell r="Y37">
            <v>311.61576200000002</v>
          </cell>
          <cell r="Z37">
            <v>321.51864369999998</v>
          </cell>
          <cell r="AA37">
            <v>323.23276149999998</v>
          </cell>
          <cell r="AB37">
            <v>331.61221180000001</v>
          </cell>
          <cell r="AC37">
            <v>332.80296060000001</v>
          </cell>
          <cell r="AD37">
            <v>338.1899014</v>
          </cell>
          <cell r="AE37">
            <v>340.845828199999</v>
          </cell>
          <cell r="AF37">
            <v>339.824005</v>
          </cell>
          <cell r="AG37">
            <v>337.45879129999997</v>
          </cell>
          <cell r="AH37">
            <v>328.97416079999999</v>
          </cell>
          <cell r="AI37">
            <v>319.98860939999997</v>
          </cell>
          <cell r="AJ37">
            <v>342.71795709999998</v>
          </cell>
        </row>
        <row r="41">
          <cell r="E41">
            <v>268.04632900000001</v>
          </cell>
          <cell r="F41">
            <v>293.23489649999999</v>
          </cell>
          <cell r="G41">
            <v>300.6844337</v>
          </cell>
          <cell r="H41">
            <v>297.2894579</v>
          </cell>
          <cell r="I41">
            <v>303.69821389999998</v>
          </cell>
          <cell r="J41">
            <v>308.82040519999998</v>
          </cell>
          <cell r="K41">
            <v>341.46146929999998</v>
          </cell>
          <cell r="L41">
            <v>337.57842620000002</v>
          </cell>
          <cell r="M41">
            <v>362.13577459999999</v>
          </cell>
          <cell r="N41">
            <v>352.8550242</v>
          </cell>
          <cell r="O41">
            <v>353.24405610000002</v>
          </cell>
          <cell r="P41">
            <v>353.195791399999</v>
          </cell>
          <cell r="Q41">
            <v>356.71852879999898</v>
          </cell>
          <cell r="R41">
            <v>372.85904410000001</v>
          </cell>
          <cell r="S41">
            <v>388.35511910000002</v>
          </cell>
          <cell r="T41">
            <v>384.61642970000003</v>
          </cell>
          <cell r="U41">
            <v>410.70517260000003</v>
          </cell>
          <cell r="V41">
            <v>430.42477450000001</v>
          </cell>
          <cell r="W41">
            <v>409.65291029999997</v>
          </cell>
          <cell r="X41">
            <v>365.5844634</v>
          </cell>
          <cell r="Y41">
            <v>379.08907199999999</v>
          </cell>
          <cell r="Z41">
            <v>376.80787369999899</v>
          </cell>
          <cell r="AA41">
            <v>413.74929150000003</v>
          </cell>
          <cell r="AB41">
            <v>418.05176180000001</v>
          </cell>
          <cell r="AC41">
            <v>392.51737059999999</v>
          </cell>
          <cell r="AD41">
            <v>375.73041139999998</v>
          </cell>
          <cell r="AE41">
            <v>369.60427819999899</v>
          </cell>
          <cell r="AF41">
            <v>378.10782499999999</v>
          </cell>
          <cell r="AG41">
            <v>374.30096129999998</v>
          </cell>
          <cell r="AH41">
            <v>361.25494079999999</v>
          </cell>
          <cell r="AI41">
            <v>347.70799939999898</v>
          </cell>
          <cell r="AJ41">
            <v>365.87595709999999</v>
          </cell>
        </row>
      </sheetData>
      <sheetData sheetId="18">
        <row r="5">
          <cell r="AB5">
            <v>487.729999999999</v>
          </cell>
          <cell r="AC5">
            <v>443.42244052652097</v>
          </cell>
          <cell r="AD5">
            <v>429.31306869077298</v>
          </cell>
        </row>
        <row r="6">
          <cell r="AB6">
            <v>487.729999999999</v>
          </cell>
          <cell r="AC6">
            <v>443.42244052652097</v>
          </cell>
          <cell r="AD6">
            <v>429.31306869077298</v>
          </cell>
        </row>
        <row r="7">
          <cell r="AB7">
            <v>487.729999999999</v>
          </cell>
          <cell r="AC7">
            <v>407.7582491</v>
          </cell>
          <cell r="AD7">
            <v>304.25650419999999</v>
          </cell>
        </row>
        <row r="10">
          <cell r="X10">
            <v>411.31872499999963</v>
          </cell>
          <cell r="Y10">
            <v>411.31872499999963</v>
          </cell>
        </row>
        <row r="18">
          <cell r="P18">
            <v>15.28900000000101</v>
          </cell>
          <cell r="Q18">
            <v>0</v>
          </cell>
          <cell r="R18">
            <v>0</v>
          </cell>
          <cell r="S18">
            <v>0</v>
          </cell>
          <cell r="T18">
            <v>0</v>
          </cell>
          <cell r="U18">
            <v>0</v>
          </cell>
          <cell r="BA18">
            <v>0</v>
          </cell>
          <cell r="BB18">
            <v>0</v>
          </cell>
        </row>
        <row r="23">
          <cell r="AN23">
            <v>554.59232088583997</v>
          </cell>
          <cell r="AS23">
            <v>559.01464788583985</v>
          </cell>
        </row>
        <row r="37">
          <cell r="E37">
            <v>432.3</v>
          </cell>
          <cell r="F37">
            <v>432.29</v>
          </cell>
          <cell r="G37">
            <v>435.94</v>
          </cell>
          <cell r="H37">
            <v>436.47</v>
          </cell>
          <cell r="I37">
            <v>436.79</v>
          </cell>
          <cell r="J37">
            <v>445.15</v>
          </cell>
          <cell r="K37">
            <v>451.56</v>
          </cell>
          <cell r="L37">
            <v>463.66</v>
          </cell>
          <cell r="M37">
            <v>477.67</v>
          </cell>
          <cell r="N37">
            <v>483.53</v>
          </cell>
          <cell r="O37">
            <v>494.99</v>
          </cell>
          <cell r="P37">
            <v>502.76</v>
          </cell>
          <cell r="Q37">
            <v>506.42</v>
          </cell>
          <cell r="R37">
            <v>504.99</v>
          </cell>
          <cell r="S37">
            <v>521.87</v>
          </cell>
          <cell r="T37">
            <v>528.54999999999995</v>
          </cell>
          <cell r="U37">
            <v>532.91999999999996</v>
          </cell>
          <cell r="V37">
            <v>539.54999999999995</v>
          </cell>
          <cell r="W37">
            <v>541.91</v>
          </cell>
          <cell r="X37">
            <v>544.87</v>
          </cell>
          <cell r="Y37">
            <v>539.98</v>
          </cell>
          <cell r="Z37">
            <v>541.79</v>
          </cell>
          <cell r="AA37">
            <v>545.04</v>
          </cell>
          <cell r="AB37">
            <v>536.65</v>
          </cell>
          <cell r="AC37">
            <v>528.41</v>
          </cell>
          <cell r="AD37">
            <v>537.08000000000004</v>
          </cell>
          <cell r="AE37">
            <v>545.09</v>
          </cell>
          <cell r="AF37">
            <v>552.22</v>
          </cell>
          <cell r="AG37">
            <v>553.45000000000005</v>
          </cell>
          <cell r="AH37">
            <v>547.94000000000005</v>
          </cell>
          <cell r="AI37">
            <v>529.67999999999995</v>
          </cell>
          <cell r="AJ37">
            <v>521.67999999999995</v>
          </cell>
        </row>
        <row r="41">
          <cell r="E41">
            <v>627.91</v>
          </cell>
          <cell r="F41">
            <v>613.33000000000004</v>
          </cell>
          <cell r="G41">
            <v>549.44000000000005</v>
          </cell>
          <cell r="H41">
            <v>528.28</v>
          </cell>
          <cell r="I41">
            <v>523.98</v>
          </cell>
          <cell r="J41">
            <v>507.46</v>
          </cell>
          <cell r="K41">
            <v>515.44000000000005</v>
          </cell>
          <cell r="L41">
            <v>515.98</v>
          </cell>
          <cell r="M41">
            <v>517.44000000000005</v>
          </cell>
          <cell r="N41">
            <v>532.52</v>
          </cell>
          <cell r="O41">
            <v>558.91</v>
          </cell>
          <cell r="P41">
            <v>578.92999999999995</v>
          </cell>
          <cell r="Q41">
            <v>574.86</v>
          </cell>
          <cell r="R41">
            <v>583.71</v>
          </cell>
          <cell r="S41">
            <v>577.16</v>
          </cell>
          <cell r="T41">
            <v>608.18999999999903</v>
          </cell>
          <cell r="U41">
            <v>618.54999999999995</v>
          </cell>
          <cell r="V41">
            <v>633.08999999999901</v>
          </cell>
          <cell r="W41">
            <v>621.97</v>
          </cell>
          <cell r="X41">
            <v>622.61</v>
          </cell>
          <cell r="Y41">
            <v>605.27</v>
          </cell>
          <cell r="Z41">
            <v>586.219999999999</v>
          </cell>
          <cell r="AA41">
            <v>571.45999999999901</v>
          </cell>
          <cell r="AB41">
            <v>553.73</v>
          </cell>
          <cell r="AC41">
            <v>548.51</v>
          </cell>
          <cell r="AD41">
            <v>533.79999999999995</v>
          </cell>
          <cell r="AE41">
            <v>505.74</v>
          </cell>
          <cell r="AF41">
            <v>503.1</v>
          </cell>
          <cell r="AG41">
            <v>507.46</v>
          </cell>
          <cell r="AH41">
            <v>499.2</v>
          </cell>
          <cell r="AI41">
            <v>487.729999999999</v>
          </cell>
          <cell r="AJ41">
            <v>458.659999999999</v>
          </cell>
        </row>
      </sheetData>
      <sheetData sheetId="19">
        <row r="5">
          <cell r="AB5">
            <v>1779.4345866000001</v>
          </cell>
          <cell r="AC5">
            <v>1814.4623829565101</v>
          </cell>
          <cell r="AD5">
            <v>1817.56104851689</v>
          </cell>
        </row>
        <row r="6">
          <cell r="AB6">
            <v>1779.4345866000001</v>
          </cell>
          <cell r="AC6">
            <v>1818.3247455999999</v>
          </cell>
          <cell r="AD6">
            <v>1887.1063346000001</v>
          </cell>
        </row>
        <row r="7">
          <cell r="AB7">
            <v>1779.4345866000001</v>
          </cell>
          <cell r="AC7">
            <v>1806.8966186</v>
          </cell>
          <cell r="AD7">
            <v>1817.56104851689</v>
          </cell>
        </row>
        <row r="13">
          <cell r="R13">
            <v>1640.6917599186165</v>
          </cell>
          <cell r="S13">
            <v>1640.6917599186165</v>
          </cell>
        </row>
        <row r="17">
          <cell r="R17">
            <v>1640.6917599186165</v>
          </cell>
          <cell r="S17">
            <v>1640.6917599186165</v>
          </cell>
        </row>
        <row r="18">
          <cell r="P18">
            <v>291.60541339999986</v>
          </cell>
          <cell r="Q18">
            <v>194.52541339999993</v>
          </cell>
          <cell r="R18">
            <v>0</v>
          </cell>
          <cell r="S18">
            <v>0</v>
          </cell>
          <cell r="T18">
            <v>0</v>
          </cell>
          <cell r="U18">
            <v>0</v>
          </cell>
          <cell r="BA18">
            <v>0</v>
          </cell>
          <cell r="BB18">
            <v>0</v>
          </cell>
        </row>
        <row r="23">
          <cell r="AI23">
            <v>1483.9719557999999</v>
          </cell>
          <cell r="AN23">
            <v>1514.6809558</v>
          </cell>
          <cell r="AS23">
            <v>1502.0199557999999</v>
          </cell>
        </row>
        <row r="24">
          <cell r="A24">
            <v>1</v>
          </cell>
        </row>
        <row r="37">
          <cell r="E37">
            <v>679.31198479999898</v>
          </cell>
          <cell r="F37">
            <v>701.31282220000003</v>
          </cell>
          <cell r="G37">
            <v>711.98034789999997</v>
          </cell>
          <cell r="H37">
            <v>727.51767929999903</v>
          </cell>
          <cell r="I37">
            <v>746.89823039999999</v>
          </cell>
          <cell r="J37">
            <v>773.84362490000001</v>
          </cell>
          <cell r="K37">
            <v>766.88775629999896</v>
          </cell>
          <cell r="L37">
            <v>795.91423029999999</v>
          </cell>
          <cell r="M37">
            <v>815.83598159999997</v>
          </cell>
          <cell r="N37">
            <v>833.00887409999996</v>
          </cell>
          <cell r="O37">
            <v>861.97754029999896</v>
          </cell>
          <cell r="P37">
            <v>887.19567879999897</v>
          </cell>
          <cell r="Q37">
            <v>904.47023320000005</v>
          </cell>
          <cell r="R37">
            <v>930.45980629999997</v>
          </cell>
          <cell r="S37">
            <v>971.99568099999999</v>
          </cell>
          <cell r="T37">
            <v>984.37650919999999</v>
          </cell>
          <cell r="U37">
            <v>991.498824299999</v>
          </cell>
          <cell r="V37">
            <v>994.54967889999898</v>
          </cell>
          <cell r="W37">
            <v>1022.924321</v>
          </cell>
          <cell r="X37">
            <v>1010.18667899999</v>
          </cell>
          <cell r="Y37">
            <v>1073.3017929999901</v>
          </cell>
          <cell r="Z37">
            <v>1097.707633</v>
          </cell>
          <cell r="AA37">
            <v>1130.7547359999901</v>
          </cell>
          <cell r="AB37">
            <v>1173.0072279999999</v>
          </cell>
          <cell r="AC37">
            <v>1203.093179</v>
          </cell>
          <cell r="AD37">
            <v>1186.435573</v>
          </cell>
          <cell r="AE37">
            <v>1167.2852559999999</v>
          </cell>
          <cell r="AF37">
            <v>1154.0672119999999</v>
          </cell>
          <cell r="AG37">
            <v>1132.6623930000001</v>
          </cell>
          <cell r="AH37">
            <v>1144.6993640000001</v>
          </cell>
          <cell r="AI37">
            <v>1137.114587</v>
          </cell>
          <cell r="AJ37">
            <v>1159.8217400000001</v>
          </cell>
        </row>
        <row r="41">
          <cell r="E41">
            <v>1592.2949094999999</v>
          </cell>
          <cell r="F41">
            <v>1432.2650799999999</v>
          </cell>
          <cell r="G41">
            <v>1556.5996123</v>
          </cell>
          <cell r="H41">
            <v>1609.2854084000001</v>
          </cell>
          <cell r="I41">
            <v>1606.3411993</v>
          </cell>
          <cell r="J41">
            <v>2750.3618209000001</v>
          </cell>
          <cell r="K41">
            <v>2017.5148632999999</v>
          </cell>
          <cell r="L41">
            <v>1712.4034948999999</v>
          </cell>
          <cell r="M41">
            <v>1992.6485545999999</v>
          </cell>
          <cell r="N41">
            <v>1963.8572991000001</v>
          </cell>
          <cell r="O41">
            <v>2044.3486292999901</v>
          </cell>
          <cell r="P41">
            <v>2014.6404227999899</v>
          </cell>
          <cell r="Q41">
            <v>2241.6814101999998</v>
          </cell>
          <cell r="R41">
            <v>3354.4170672999999</v>
          </cell>
          <cell r="S41">
            <v>3590.3116129999999</v>
          </cell>
          <cell r="T41">
            <v>2557.9008392000001</v>
          </cell>
          <cell r="U41">
            <v>2194.7325352999901</v>
          </cell>
          <cell r="V41">
            <v>1846.6301315000001</v>
          </cell>
          <cell r="W41">
            <v>1984.5873626</v>
          </cell>
          <cell r="X41">
            <v>1332.8935348</v>
          </cell>
          <cell r="Y41">
            <v>1330.3769035999901</v>
          </cell>
          <cell r="Z41">
            <v>1430.3683876999901</v>
          </cell>
          <cell r="AA41">
            <v>1312.9159686999999</v>
          </cell>
          <cell r="AB41">
            <v>1564.56213339999</v>
          </cell>
          <cell r="AC41">
            <v>1452.9861734000001</v>
          </cell>
          <cell r="AD41">
            <v>1563.3392004</v>
          </cell>
          <cell r="AE41">
            <v>1576.2064108</v>
          </cell>
          <cell r="AF41">
            <v>1464.7191558</v>
          </cell>
          <cell r="AG41">
            <v>1471.4966181</v>
          </cell>
          <cell r="AH41">
            <v>1706.5399934</v>
          </cell>
          <cell r="AI41">
            <v>1779.4345866000001</v>
          </cell>
          <cell r="AJ41">
            <v>1794.4940636753599</v>
          </cell>
        </row>
      </sheetData>
      <sheetData sheetId="20">
        <row r="5">
          <cell r="AB5">
            <v>658.78838959999996</v>
          </cell>
          <cell r="AC5">
            <v>574.96534399401401</v>
          </cell>
          <cell r="AD5">
            <v>480.74523447307598</v>
          </cell>
        </row>
        <row r="6">
          <cell r="AB6">
            <v>658.78838959999996</v>
          </cell>
          <cell r="AC6">
            <v>668.43614439999897</v>
          </cell>
          <cell r="AD6">
            <v>648.51454369999897</v>
          </cell>
        </row>
        <row r="7">
          <cell r="AB7">
            <v>658.78838959999996</v>
          </cell>
          <cell r="AC7">
            <v>574.96534399401401</v>
          </cell>
          <cell r="AD7">
            <v>480.74523447307598</v>
          </cell>
        </row>
        <row r="10">
          <cell r="X10">
            <v>494.03988684999979</v>
          </cell>
          <cell r="Y10">
            <v>494.03988684999979</v>
          </cell>
        </row>
        <row r="18">
          <cell r="P18">
            <v>0</v>
          </cell>
          <cell r="Q18">
            <v>0</v>
          </cell>
          <cell r="R18">
            <v>0</v>
          </cell>
          <cell r="S18">
            <v>0</v>
          </cell>
          <cell r="T18">
            <v>0</v>
          </cell>
          <cell r="U18">
            <v>0</v>
          </cell>
          <cell r="BA18">
            <v>0</v>
          </cell>
          <cell r="BB18">
            <v>0</v>
          </cell>
        </row>
        <row r="23">
          <cell r="AN23">
            <v>733.3654413999999</v>
          </cell>
          <cell r="AS23">
            <v>723.10374139999988</v>
          </cell>
        </row>
        <row r="37">
          <cell r="E37">
            <v>588.60282380000001</v>
          </cell>
          <cell r="F37">
            <v>582.03122169999995</v>
          </cell>
          <cell r="G37">
            <v>599.24266160000002</v>
          </cell>
          <cell r="H37">
            <v>601.74365439999997</v>
          </cell>
          <cell r="I37">
            <v>621.93412890000002</v>
          </cell>
          <cell r="J37">
            <v>639.070285299999</v>
          </cell>
          <cell r="K37">
            <v>660.76780299999996</v>
          </cell>
          <cell r="L37">
            <v>676.39422430000002</v>
          </cell>
          <cell r="M37">
            <v>682.43482989999995</v>
          </cell>
          <cell r="N37">
            <v>694.51693829999999</v>
          </cell>
          <cell r="O37">
            <v>719.46371369999997</v>
          </cell>
          <cell r="P37">
            <v>710.17183979999902</v>
          </cell>
          <cell r="Q37">
            <v>715.48976549999998</v>
          </cell>
          <cell r="R37">
            <v>734.14054650000003</v>
          </cell>
          <cell r="S37">
            <v>736.7254567</v>
          </cell>
          <cell r="T37">
            <v>732.22009300000002</v>
          </cell>
          <cell r="U37">
            <v>725.289222899999</v>
          </cell>
          <cell r="V37">
            <v>748.07009089999997</v>
          </cell>
          <cell r="W37">
            <v>730.80123560000004</v>
          </cell>
          <cell r="X37">
            <v>689.54931839999995</v>
          </cell>
          <cell r="Y37">
            <v>701.86754739999901</v>
          </cell>
          <cell r="Z37">
            <v>711.31282320000003</v>
          </cell>
          <cell r="AA37">
            <v>716.3705003</v>
          </cell>
          <cell r="AB37">
            <v>723.09630440000001</v>
          </cell>
          <cell r="AC37">
            <v>720.19545909999999</v>
          </cell>
          <cell r="AD37">
            <v>722.91826800000001</v>
          </cell>
          <cell r="AE37">
            <v>704.92786749999902</v>
          </cell>
          <cell r="AF37">
            <v>712.23380139999995</v>
          </cell>
          <cell r="AG37">
            <v>724.61577979999902</v>
          </cell>
          <cell r="AH37">
            <v>723.67929040000001</v>
          </cell>
          <cell r="AI37">
            <v>658.78838959999996</v>
          </cell>
          <cell r="AJ37">
            <v>670.42830449999997</v>
          </cell>
        </row>
        <row r="41">
          <cell r="E41">
            <v>524.09580478999999</v>
          </cell>
          <cell r="F41">
            <v>513.5494559</v>
          </cell>
          <cell r="G41">
            <v>542.23035758000003</v>
          </cell>
          <cell r="H41">
            <v>554.00349233999998</v>
          </cell>
          <cell r="I41">
            <v>564.9642351</v>
          </cell>
          <cell r="J41">
            <v>596.70334375999903</v>
          </cell>
          <cell r="K41">
            <v>612.86610186999997</v>
          </cell>
          <cell r="L41">
            <v>624.80613770000002</v>
          </cell>
          <cell r="M41">
            <v>624.89738354999997</v>
          </cell>
          <cell r="N41">
            <v>644.87257268999997</v>
          </cell>
          <cell r="O41">
            <v>681.687001309999</v>
          </cell>
          <cell r="P41">
            <v>663.77258817999996</v>
          </cell>
          <cell r="Q41">
            <v>703.79517997999994</v>
          </cell>
          <cell r="R41">
            <v>723.24039497000001</v>
          </cell>
          <cell r="S41">
            <v>724.29179855999996</v>
          </cell>
          <cell r="T41">
            <v>726.67768450599999</v>
          </cell>
          <cell r="U41">
            <v>705.95651840999994</v>
          </cell>
          <cell r="V41">
            <v>731.19360027999903</v>
          </cell>
          <cell r="W41">
            <v>709.4252616</v>
          </cell>
          <cell r="X41">
            <v>640.75419754999996</v>
          </cell>
          <cell r="Y41">
            <v>683.69454812999902</v>
          </cell>
          <cell r="Z41">
            <v>699.36282301999995</v>
          </cell>
          <cell r="AA41">
            <v>695.18401009000002</v>
          </cell>
          <cell r="AB41">
            <v>703.36310260000005</v>
          </cell>
          <cell r="AC41">
            <v>680.87948883000001</v>
          </cell>
          <cell r="AD41">
            <v>722.94216909199997</v>
          </cell>
          <cell r="AE41">
            <v>693.97203465999996</v>
          </cell>
          <cell r="AF41">
            <v>696.007190119999</v>
          </cell>
          <cell r="AG41">
            <v>713.32213076999994</v>
          </cell>
          <cell r="AH41">
            <v>704.85817896000003</v>
          </cell>
          <cell r="AI41">
            <v>645.4007077</v>
          </cell>
          <cell r="AJ41">
            <v>653.12573377000001</v>
          </cell>
        </row>
      </sheetData>
      <sheetData sheetId="21">
        <row r="5">
          <cell r="AB5">
            <v>12535.597779896299</v>
          </cell>
          <cell r="AC5">
            <v>13737.849570311701</v>
          </cell>
          <cell r="AD5">
            <v>13845.495529695199</v>
          </cell>
        </row>
        <row r="6">
          <cell r="AB6">
            <v>12535.597779896299</v>
          </cell>
          <cell r="AC6">
            <v>13737.849570311701</v>
          </cell>
          <cell r="AD6">
            <v>13845.495529695199</v>
          </cell>
        </row>
        <row r="7">
          <cell r="AB7">
            <v>12535.597779896299</v>
          </cell>
          <cell r="AC7">
            <v>13023.7983</v>
          </cell>
          <cell r="AD7">
            <v>12775.05818</v>
          </cell>
        </row>
        <row r="10">
          <cell r="X10">
            <v>12811.738950081126</v>
          </cell>
        </row>
        <row r="13">
          <cell r="P13">
            <v>12160.4</v>
          </cell>
        </row>
        <row r="18">
          <cell r="P18">
            <v>695.60222010370126</v>
          </cell>
          <cell r="Q18">
            <v>695.60222010370126</v>
          </cell>
          <cell r="R18">
            <v>0</v>
          </cell>
          <cell r="S18">
            <v>0</v>
          </cell>
          <cell r="T18">
            <v>0</v>
          </cell>
          <cell r="U18">
            <v>0</v>
          </cell>
        </row>
        <row r="23">
          <cell r="AN23">
            <v>14813.839837829912</v>
          </cell>
          <cell r="AS23">
            <v>15533.058475659822</v>
          </cell>
        </row>
        <row r="24">
          <cell r="A24">
            <v>1</v>
          </cell>
        </row>
        <row r="31">
          <cell r="BM31">
            <v>4762.6249274752117</v>
          </cell>
        </row>
        <row r="37">
          <cell r="E37">
            <v>3645</v>
          </cell>
          <cell r="F37">
            <v>3779</v>
          </cell>
          <cell r="G37">
            <v>3915</v>
          </cell>
          <cell r="H37">
            <v>4097</v>
          </cell>
          <cell r="I37">
            <v>4349</v>
          </cell>
          <cell r="J37">
            <v>4704</v>
          </cell>
          <cell r="K37">
            <v>4886</v>
          </cell>
          <cell r="L37">
            <v>4865</v>
          </cell>
          <cell r="M37">
            <v>4724</v>
          </cell>
          <cell r="N37">
            <v>4795</v>
          </cell>
          <cell r="O37">
            <v>4928</v>
          </cell>
          <cell r="P37">
            <v>5043</v>
          </cell>
          <cell r="Q37">
            <v>5456</v>
          </cell>
          <cell r="R37">
            <v>6244</v>
          </cell>
          <cell r="S37">
            <v>7064</v>
          </cell>
          <cell r="T37">
            <v>7819</v>
          </cell>
          <cell r="U37">
            <v>8579</v>
          </cell>
          <cell r="V37">
            <v>9129</v>
          </cell>
          <cell r="W37">
            <v>9688</v>
          </cell>
          <cell r="X37">
            <v>10176</v>
          </cell>
          <cell r="Y37">
            <v>11006</v>
          </cell>
          <cell r="Z37">
            <v>12055</v>
          </cell>
          <cell r="AA37">
            <v>12403</v>
          </cell>
          <cell r="AB37">
            <v>12695</v>
          </cell>
          <cell r="AC37">
            <v>12889</v>
          </cell>
          <cell r="AD37">
            <v>12685</v>
          </cell>
          <cell r="AE37">
            <v>12514</v>
          </cell>
          <cell r="AF37">
            <v>12769</v>
          </cell>
          <cell r="AG37">
            <v>13115</v>
          </cell>
          <cell r="AH37">
            <v>13396</v>
          </cell>
          <cell r="AI37">
            <v>13693</v>
          </cell>
          <cell r="AJ37">
            <v>14218</v>
          </cell>
        </row>
        <row r="42">
          <cell r="E42">
            <v>3237.5209999999902</v>
          </cell>
          <cell r="F42">
            <v>3371.5209999999902</v>
          </cell>
          <cell r="G42">
            <v>3507.5209999999902</v>
          </cell>
          <cell r="H42">
            <v>3689.5209999999902</v>
          </cell>
          <cell r="I42">
            <v>3941.5209999999902</v>
          </cell>
          <cell r="J42">
            <v>4263.9281818181798</v>
          </cell>
          <cell r="K42">
            <v>4413.3353636363599</v>
          </cell>
          <cell r="L42">
            <v>4359.74254545454</v>
          </cell>
          <cell r="M42">
            <v>4186.1497272727202</v>
          </cell>
          <cell r="N42">
            <v>4224.5569090909003</v>
          </cell>
          <cell r="O42">
            <v>4324.9640909090904</v>
          </cell>
          <cell r="P42">
            <v>4407.3712727272696</v>
          </cell>
          <cell r="Q42">
            <v>4787.7784545454497</v>
          </cell>
          <cell r="R42">
            <v>5543.1856363636298</v>
          </cell>
          <cell r="S42">
            <v>6330.5928181818099</v>
          </cell>
          <cell r="T42">
            <v>7053</v>
          </cell>
          <cell r="U42">
            <v>7767.6</v>
          </cell>
          <cell r="V42">
            <v>8272.2000000000007</v>
          </cell>
          <cell r="W42">
            <v>8785.7999999999993</v>
          </cell>
          <cell r="X42">
            <v>9228.4</v>
          </cell>
          <cell r="Y42">
            <v>10013</v>
          </cell>
          <cell r="Z42">
            <v>11270.5</v>
          </cell>
          <cell r="AA42">
            <v>11827</v>
          </cell>
          <cell r="AB42">
            <v>11849.5</v>
          </cell>
          <cell r="AC42">
            <v>11774</v>
          </cell>
          <cell r="AD42">
            <v>11565.461300413301</v>
          </cell>
          <cell r="AE42">
            <v>11386.788523482201</v>
          </cell>
          <cell r="AF42">
            <v>11633.656627374799</v>
          </cell>
          <cell r="AG42">
            <v>11972.058960620099</v>
          </cell>
          <cell r="AH42">
            <v>12247.171541517</v>
          </cell>
          <cell r="AI42">
            <v>12535.966640000001</v>
          </cell>
          <cell r="AJ42">
            <v>13038.949070000001</v>
          </cell>
        </row>
      </sheetData>
      <sheetData sheetId="22">
        <row r="5">
          <cell r="AB5">
            <v>3059.4255521</v>
          </cell>
        </row>
      </sheetData>
      <sheetData sheetId="23">
        <row r="5">
          <cell r="AB5">
            <v>5249.8052782000004</v>
          </cell>
          <cell r="AC5">
            <v>4667.1020345349398</v>
          </cell>
          <cell r="AD5">
            <v>3535.3947036293598</v>
          </cell>
        </row>
        <row r="6">
          <cell r="AB6">
            <v>5249.8052782000004</v>
          </cell>
          <cell r="AC6">
            <v>5316.4061094999997</v>
          </cell>
          <cell r="AD6">
            <v>4704.0327035</v>
          </cell>
        </row>
        <row r="7">
          <cell r="AB7">
            <v>5249.8052782000004</v>
          </cell>
          <cell r="AC7">
            <v>4667.1020345349398</v>
          </cell>
          <cell r="AD7">
            <v>3535.3947036293598</v>
          </cell>
        </row>
        <row r="11">
          <cell r="X11">
            <v>4821.3098953919925</v>
          </cell>
          <cell r="Y11">
            <v>4821.3098953919925</v>
          </cell>
        </row>
        <row r="12">
          <cell r="X12">
            <v>4955.2351702639926</v>
          </cell>
          <cell r="Y12">
            <v>4955.2351702639926</v>
          </cell>
        </row>
        <row r="18">
          <cell r="P18">
            <v>308.093628987991</v>
          </cell>
          <cell r="Q18">
            <v>308.093628987991</v>
          </cell>
          <cell r="R18">
            <v>221.17049829305324</v>
          </cell>
          <cell r="S18">
            <v>221.17049829305324</v>
          </cell>
          <cell r="T18">
            <v>0</v>
          </cell>
          <cell r="U18">
            <v>0</v>
          </cell>
          <cell r="BA18">
            <v>0</v>
          </cell>
          <cell r="BB18">
            <v>0</v>
          </cell>
        </row>
        <row r="23">
          <cell r="AN23">
            <v>5836.7150318999993</v>
          </cell>
          <cell r="AS23">
            <v>5663.9520318999994</v>
          </cell>
        </row>
        <row r="37">
          <cell r="E37">
            <v>6487.3309479999998</v>
          </cell>
          <cell r="F37">
            <v>6418.4061899999997</v>
          </cell>
          <cell r="G37">
            <v>6534.8801270000004</v>
          </cell>
          <cell r="H37">
            <v>6639.5255049999996</v>
          </cell>
          <cell r="I37">
            <v>6745.1667909999996</v>
          </cell>
          <cell r="J37">
            <v>6821.9337180000002</v>
          </cell>
          <cell r="K37">
            <v>7023.5296289999997</v>
          </cell>
          <cell r="L37">
            <v>7079.2068629999903</v>
          </cell>
          <cell r="M37">
            <v>7124.684268</v>
          </cell>
          <cell r="N37">
            <v>7169.8854279999996</v>
          </cell>
          <cell r="O37">
            <v>7369.1629720000001</v>
          </cell>
          <cell r="P37">
            <v>7253.5223079999996</v>
          </cell>
          <cell r="Q37">
            <v>7293.2777370000003</v>
          </cell>
          <cell r="R37">
            <v>7352.7023609999997</v>
          </cell>
          <cell r="S37">
            <v>7464.3649180000002</v>
          </cell>
          <cell r="T37">
            <v>7477.3583609999996</v>
          </cell>
          <cell r="U37">
            <v>7407.9214949999996</v>
          </cell>
          <cell r="V37">
            <v>7511.4479579999997</v>
          </cell>
          <cell r="W37">
            <v>7294.5417189999998</v>
          </cell>
          <cell r="X37">
            <v>6840.7415419999998</v>
          </cell>
          <cell r="Y37">
            <v>7058.1979080000001</v>
          </cell>
          <cell r="Z37">
            <v>6907.2032360000003</v>
          </cell>
          <cell r="AA37">
            <v>6670.5335320000004</v>
          </cell>
          <cell r="AB37">
            <v>6841.6610929999997</v>
          </cell>
          <cell r="AC37">
            <v>6898.5255959999904</v>
          </cell>
          <cell r="AD37">
            <v>6737.3586439999999</v>
          </cell>
          <cell r="AE37">
            <v>6578.4323619999996</v>
          </cell>
          <cell r="AF37">
            <v>6561.8244399999903</v>
          </cell>
          <cell r="AG37">
            <v>6754.8316480000003</v>
          </cell>
          <cell r="AH37">
            <v>6617.9168760000002</v>
          </cell>
          <cell r="AI37">
            <v>6025.9736130000001</v>
          </cell>
          <cell r="AJ37">
            <v>6340.2282919999998</v>
          </cell>
        </row>
        <row r="41">
          <cell r="E41">
            <v>5606.3765309999999</v>
          </cell>
          <cell r="F41">
            <v>5531.2220923999903</v>
          </cell>
          <cell r="G41">
            <v>5652.3559180000002</v>
          </cell>
          <cell r="H41">
            <v>5776.4471980999997</v>
          </cell>
          <cell r="I41">
            <v>5871.5865815999996</v>
          </cell>
          <cell r="J41">
            <v>5973.1182781999996</v>
          </cell>
          <cell r="K41">
            <v>6157.1753595999999</v>
          </cell>
          <cell r="L41">
            <v>6229.3540849999899</v>
          </cell>
          <cell r="M41">
            <v>6274.6391967999998</v>
          </cell>
          <cell r="N41">
            <v>6328.9008944999996</v>
          </cell>
          <cell r="O41">
            <v>6533.3747845999997</v>
          </cell>
          <cell r="P41">
            <v>6410.9519487999996</v>
          </cell>
          <cell r="Q41">
            <v>6496.6647118999999</v>
          </cell>
          <cell r="R41">
            <v>6524.5589688999999</v>
          </cell>
          <cell r="S41">
            <v>6754.7752928</v>
          </cell>
          <cell r="T41">
            <v>6696.2637435999904</v>
          </cell>
          <cell r="U41">
            <v>6589.4916481</v>
          </cell>
          <cell r="V41">
            <v>6737.3473158999996</v>
          </cell>
          <cell r="W41">
            <v>6531.1272947999996</v>
          </cell>
          <cell r="X41">
            <v>6120.2845394999904</v>
          </cell>
          <cell r="Y41">
            <v>6307.1768000000002</v>
          </cell>
          <cell r="Z41">
            <v>6115.9785362000002</v>
          </cell>
          <cell r="AA41">
            <v>5884.9412290999999</v>
          </cell>
          <cell r="AB41">
            <v>6092.4396741</v>
          </cell>
          <cell r="AC41">
            <v>6129.6888698999901</v>
          </cell>
          <cell r="AD41">
            <v>6065.4951246999999</v>
          </cell>
          <cell r="AE41">
            <v>5763.0946014999899</v>
          </cell>
          <cell r="AF41">
            <v>5787.6284318999997</v>
          </cell>
          <cell r="AG41">
            <v>5989.7018876000002</v>
          </cell>
          <cell r="AH41">
            <v>5913.8717878999996</v>
          </cell>
          <cell r="AI41">
            <v>5249.8052782000004</v>
          </cell>
          <cell r="AJ41">
            <v>5586.0032584999999</v>
          </cell>
        </row>
      </sheetData>
      <sheetData sheetId="24">
        <row r="5">
          <cell r="AB5">
            <v>410.224039194</v>
          </cell>
          <cell r="AC5">
            <v>388.68711582499998</v>
          </cell>
          <cell r="AD5">
            <v>349.05918402499998</v>
          </cell>
        </row>
        <row r="6">
          <cell r="AB6">
            <v>410.224039194</v>
          </cell>
          <cell r="AC6">
            <v>404.87151112499998</v>
          </cell>
          <cell r="AD6">
            <v>402.38820642500002</v>
          </cell>
        </row>
        <row r="7">
          <cell r="AB7">
            <v>410.224039194</v>
          </cell>
          <cell r="AC7">
            <v>388.68711582499998</v>
          </cell>
          <cell r="AD7">
            <v>349.05918402499998</v>
          </cell>
        </row>
        <row r="24">
          <cell r="A24">
            <v>1</v>
          </cell>
        </row>
        <row r="37">
          <cell r="E37">
            <v>806.30184250000002</v>
          </cell>
          <cell r="F37">
            <v>815.17002400000001</v>
          </cell>
          <cell r="G37">
            <v>794.89952049999999</v>
          </cell>
          <cell r="H37">
            <v>775.93279940000002</v>
          </cell>
          <cell r="I37">
            <v>763.72411290000002</v>
          </cell>
          <cell r="J37">
            <v>757.6442164</v>
          </cell>
          <cell r="K37">
            <v>778.38472560000002</v>
          </cell>
          <cell r="L37">
            <v>754.22594100000003</v>
          </cell>
          <cell r="M37">
            <v>752.806842799999</v>
          </cell>
          <cell r="N37">
            <v>723.80160879999903</v>
          </cell>
          <cell r="O37">
            <v>723.91957620000005</v>
          </cell>
          <cell r="P37">
            <v>727.06354309999995</v>
          </cell>
          <cell r="Q37">
            <v>705.87963730000001</v>
          </cell>
          <cell r="R37">
            <v>711.31328539999902</v>
          </cell>
          <cell r="S37">
            <v>707.93097009999997</v>
          </cell>
          <cell r="T37">
            <v>699.59539119999999</v>
          </cell>
          <cell r="U37">
            <v>692.19547709999995</v>
          </cell>
          <cell r="V37">
            <v>680.03134779999903</v>
          </cell>
          <cell r="W37">
            <v>658.72730569999999</v>
          </cell>
          <cell r="X37">
            <v>601.90031349999902</v>
          </cell>
          <cell r="Y37">
            <v>615.72458689999996</v>
          </cell>
          <cell r="Z37">
            <v>570.23351649999995</v>
          </cell>
          <cell r="AA37">
            <v>586.32848279999996</v>
          </cell>
          <cell r="AB37">
            <v>572.04066179999995</v>
          </cell>
          <cell r="AC37">
            <v>531.43016150000005</v>
          </cell>
          <cell r="AD37">
            <v>513.88019320000001</v>
          </cell>
          <cell r="AE37">
            <v>488.30930660000001</v>
          </cell>
          <cell r="AF37">
            <v>476.87421490000003</v>
          </cell>
          <cell r="AG37">
            <v>467.86995130000003</v>
          </cell>
          <cell r="AH37">
            <v>453.23364629999998</v>
          </cell>
          <cell r="AI37">
            <v>408.96507659999997</v>
          </cell>
          <cell r="AJ37">
            <v>429.4894711</v>
          </cell>
        </row>
        <row r="41">
          <cell r="E41">
            <v>817.45431984000004</v>
          </cell>
          <cell r="F41">
            <v>825.81354274</v>
          </cell>
          <cell r="G41">
            <v>804.70009366099998</v>
          </cell>
          <cell r="H41">
            <v>785.14847144700002</v>
          </cell>
          <cell r="I41">
            <v>772.52612510200004</v>
          </cell>
          <cell r="J41">
            <v>766.46263129500005</v>
          </cell>
          <cell r="K41">
            <v>786.18448831199998</v>
          </cell>
          <cell r="L41">
            <v>761.47290527200005</v>
          </cell>
          <cell r="M41">
            <v>759.25533011399898</v>
          </cell>
          <cell r="N41">
            <v>730.37189939499899</v>
          </cell>
          <cell r="O41">
            <v>730.24628629599999</v>
          </cell>
          <cell r="P41">
            <v>732.74322427699997</v>
          </cell>
          <cell r="Q41">
            <v>710.72817805299997</v>
          </cell>
          <cell r="R41">
            <v>716.01862635299995</v>
          </cell>
          <cell r="S41">
            <v>711.783829341</v>
          </cell>
          <cell r="T41">
            <v>703.07706162399995</v>
          </cell>
          <cell r="U41">
            <v>695.26932673299996</v>
          </cell>
          <cell r="V41">
            <v>682.76261706999901</v>
          </cell>
          <cell r="W41">
            <v>660.62704309599997</v>
          </cell>
          <cell r="X41">
            <v>603.71673303099897</v>
          </cell>
          <cell r="Y41">
            <v>617.48194659499995</v>
          </cell>
          <cell r="Z41">
            <v>571.39376857699995</v>
          </cell>
          <cell r="AA41">
            <v>587.66205422799999</v>
          </cell>
          <cell r="AB41">
            <v>573.31894124099995</v>
          </cell>
          <cell r="AC41">
            <v>532.31518384000003</v>
          </cell>
          <cell r="AD41">
            <v>514.96971076199998</v>
          </cell>
          <cell r="AE41">
            <v>489.45828905799999</v>
          </cell>
          <cell r="AF41">
            <v>477.76327029800001</v>
          </cell>
          <cell r="AG41">
            <v>469.37703413999998</v>
          </cell>
          <cell r="AH41">
            <v>455.06301821900001</v>
          </cell>
          <cell r="AI41">
            <v>410.224039194</v>
          </cell>
          <cell r="AJ41">
            <v>430.65374372500003</v>
          </cell>
        </row>
      </sheetData>
      <sheetData sheetId="25">
        <row r="5">
          <cell r="AB5">
            <v>2745.0218135856398</v>
          </cell>
          <cell r="AC5">
            <v>3506.9657988455801</v>
          </cell>
          <cell r="AD5">
            <v>4140.8871007765001</v>
          </cell>
        </row>
        <row r="6">
          <cell r="AB6">
            <v>2745.0218135856398</v>
          </cell>
          <cell r="AC6">
            <v>3506.9657988455801</v>
          </cell>
          <cell r="AD6">
            <v>4140.8871007765001</v>
          </cell>
        </row>
        <row r="7">
          <cell r="AB7">
            <v>2745.0218135856398</v>
          </cell>
          <cell r="AC7">
            <v>3372.5017223999998</v>
          </cell>
          <cell r="AD7">
            <v>3702.6324327000002</v>
          </cell>
        </row>
        <row r="9">
          <cell r="AM9">
            <v>2137.0735485211217</v>
          </cell>
        </row>
        <row r="10">
          <cell r="X10">
            <v>3839.3140498859484</v>
          </cell>
          <cell r="Y10">
            <v>3632.9768138039249</v>
          </cell>
        </row>
        <row r="18">
          <cell r="P18">
            <v>1561.9781864143602</v>
          </cell>
          <cell r="Q18">
            <v>778.97818641436015</v>
          </cell>
          <cell r="R18">
            <v>0</v>
          </cell>
          <cell r="S18">
            <v>0</v>
          </cell>
          <cell r="T18">
            <v>304.51240240476454</v>
          </cell>
          <cell r="U18">
            <v>29.396087628732857</v>
          </cell>
        </row>
        <row r="23">
          <cell r="AN23">
            <v>3845.2402171493736</v>
          </cell>
          <cell r="AS23">
            <v>4518.2159229646513</v>
          </cell>
        </row>
        <row r="24">
          <cell r="A24">
            <v>1</v>
          </cell>
        </row>
        <row r="37">
          <cell r="E37">
            <v>1169</v>
          </cell>
          <cell r="F37">
            <v>1224</v>
          </cell>
          <cell r="G37">
            <v>1264</v>
          </cell>
          <cell r="H37">
            <v>1288</v>
          </cell>
          <cell r="I37">
            <v>1340</v>
          </cell>
          <cell r="J37">
            <v>1401</v>
          </cell>
          <cell r="K37">
            <v>1472</v>
          </cell>
          <cell r="L37">
            <v>1514</v>
          </cell>
          <cell r="M37">
            <v>1541</v>
          </cell>
          <cell r="N37">
            <v>1609</v>
          </cell>
          <cell r="O37">
            <v>1646</v>
          </cell>
          <cell r="P37">
            <v>1642</v>
          </cell>
          <cell r="Q37">
            <v>1632</v>
          </cell>
          <cell r="R37">
            <v>1684</v>
          </cell>
          <cell r="S37">
            <v>1753</v>
          </cell>
          <cell r="T37">
            <v>1816</v>
          </cell>
          <cell r="U37">
            <v>1896</v>
          </cell>
          <cell r="V37">
            <v>1992</v>
          </cell>
          <cell r="W37">
            <v>2113</v>
          </cell>
          <cell r="X37">
            <v>2271</v>
          </cell>
          <cell r="Y37">
            <v>2273</v>
          </cell>
          <cell r="Z37">
            <v>2408</v>
          </cell>
          <cell r="AA37">
            <v>2580</v>
          </cell>
          <cell r="AB37">
            <v>2607</v>
          </cell>
          <cell r="AC37">
            <v>2816</v>
          </cell>
          <cell r="AD37">
            <v>2927</v>
          </cell>
          <cell r="AE37">
            <v>2998</v>
          </cell>
          <cell r="AF37">
            <v>3078</v>
          </cell>
          <cell r="AG37">
            <v>3225</v>
          </cell>
          <cell r="AH37">
            <v>3249</v>
          </cell>
          <cell r="AI37">
            <v>3069</v>
          </cell>
          <cell r="AJ37">
            <v>3356</v>
          </cell>
        </row>
        <row r="41">
          <cell r="E41">
            <v>1170.4849999999999</v>
          </cell>
          <cell r="F41">
            <v>1228.6931529999999</v>
          </cell>
          <cell r="G41">
            <v>1271.901306</v>
          </cell>
          <cell r="H41">
            <v>1299.109459</v>
          </cell>
          <cell r="I41">
            <v>1354.3176120000001</v>
          </cell>
          <cell r="J41">
            <v>1376.19144166666</v>
          </cell>
          <cell r="K41">
            <v>1408.06527133333</v>
          </cell>
          <cell r="L41">
            <v>1410.9391009999999</v>
          </cell>
          <cell r="M41">
            <v>1398.8129306666599</v>
          </cell>
          <cell r="N41">
            <v>1427.6867603333301</v>
          </cell>
          <cell r="O41">
            <v>1425.56059</v>
          </cell>
          <cell r="P41">
            <v>1427.76218428571</v>
          </cell>
          <cell r="Q41">
            <v>1423.9637785714201</v>
          </cell>
          <cell r="R41">
            <v>1482.16537285714</v>
          </cell>
          <cell r="S41">
            <v>1557.3669671428499</v>
          </cell>
          <cell r="T41">
            <v>1626.5685614285701</v>
          </cell>
          <cell r="U41">
            <v>1712.77015571428</v>
          </cell>
          <cell r="V41">
            <v>1814.9717499999999</v>
          </cell>
          <cell r="W41">
            <v>1911.00039666666</v>
          </cell>
          <cell r="X41">
            <v>2044.02904333333</v>
          </cell>
          <cell r="Y41">
            <v>2021.0576900000001</v>
          </cell>
          <cell r="Z41">
            <v>2143.7891974999998</v>
          </cell>
          <cell r="AA41">
            <v>2303.5207049999999</v>
          </cell>
          <cell r="AB41">
            <v>2318.2522125</v>
          </cell>
          <cell r="AC41">
            <v>2514.9837200000002</v>
          </cell>
          <cell r="AD41">
            <v>2622.7388599999999</v>
          </cell>
          <cell r="AE41">
            <v>2690.4940000000001</v>
          </cell>
          <cell r="AF41">
            <v>2770.4940000000001</v>
          </cell>
          <cell r="AG41">
            <v>2917.4940000000001</v>
          </cell>
          <cell r="AH41">
            <v>2933.5449201000001</v>
          </cell>
          <cell r="AI41">
            <v>2745.0218135856398</v>
          </cell>
          <cell r="AJ41">
            <v>3024.6467601999998</v>
          </cell>
        </row>
      </sheetData>
      <sheetData sheetId="26">
        <row r="5">
          <cell r="AB5">
            <v>1896.92004113843</v>
          </cell>
          <cell r="AC5">
            <v>2006.36102126743</v>
          </cell>
          <cell r="AD5">
            <v>2125.2996099908401</v>
          </cell>
        </row>
        <row r="6">
          <cell r="AB6">
            <v>1896.92004113843</v>
          </cell>
          <cell r="AC6">
            <v>2159.1235019999999</v>
          </cell>
          <cell r="AD6">
            <v>2445.6074250000001</v>
          </cell>
        </row>
        <row r="7">
          <cell r="AB7">
            <v>1825.863139</v>
          </cell>
          <cell r="AC7">
            <v>2006.36102126743</v>
          </cell>
          <cell r="AD7">
            <v>2125.2996099908401</v>
          </cell>
        </row>
        <row r="10">
          <cell r="X10">
            <v>1681.5902496000001</v>
          </cell>
          <cell r="Y10">
            <v>1438.2273246</v>
          </cell>
        </row>
        <row r="18">
          <cell r="P18">
            <v>0</v>
          </cell>
          <cell r="Q18">
            <v>0</v>
          </cell>
          <cell r="R18">
            <v>0</v>
          </cell>
          <cell r="S18">
            <v>0</v>
          </cell>
          <cell r="T18">
            <v>0</v>
          </cell>
          <cell r="U18">
            <v>0</v>
          </cell>
          <cell r="BA18">
            <v>0</v>
          </cell>
          <cell r="BB18">
            <v>0</v>
          </cell>
        </row>
        <row r="23">
          <cell r="AI23">
            <v>1410.4286603156627</v>
          </cell>
          <cell r="AN23">
            <v>1714.1577607364848</v>
          </cell>
          <cell r="AS23">
            <v>2031.2771623044791</v>
          </cell>
        </row>
        <row r="24">
          <cell r="A24">
            <v>1</v>
          </cell>
        </row>
        <row r="37">
          <cell r="E37">
            <v>286.33294999999998</v>
          </cell>
          <cell r="F37">
            <v>314.68344000000002</v>
          </cell>
          <cell r="G37">
            <v>329.39915000000002</v>
          </cell>
          <cell r="H37">
            <v>341.60109</v>
          </cell>
          <cell r="I37">
            <v>357.656129999999</v>
          </cell>
          <cell r="J37">
            <v>388.99486521666603</v>
          </cell>
          <cell r="K37">
            <v>420.333600433333</v>
          </cell>
          <cell r="L37">
            <v>451.67233564999998</v>
          </cell>
          <cell r="M37">
            <v>483.01107086666599</v>
          </cell>
          <cell r="N37">
            <v>514.34980608333296</v>
          </cell>
          <cell r="O37">
            <v>545.6885413</v>
          </cell>
          <cell r="P37">
            <v>572.62106459999995</v>
          </cell>
          <cell r="Q37">
            <v>573.32817649999902</v>
          </cell>
          <cell r="R37">
            <v>612.62030819999995</v>
          </cell>
          <cell r="S37">
            <v>617.22246140000004</v>
          </cell>
          <cell r="T37">
            <v>618.03249860000005</v>
          </cell>
          <cell r="U37">
            <v>628.01383339999995</v>
          </cell>
          <cell r="V37">
            <v>642.6012796</v>
          </cell>
          <cell r="W37">
            <v>644.1844165</v>
          </cell>
          <cell r="X37">
            <v>667.86931509999999</v>
          </cell>
          <cell r="Y37">
            <v>703.92129839999996</v>
          </cell>
          <cell r="Z37">
            <v>760.81593459999999</v>
          </cell>
          <cell r="AA37">
            <v>814.86835450000001</v>
          </cell>
          <cell r="AB37">
            <v>773.511034899999</v>
          </cell>
          <cell r="AC37">
            <v>814.76150050000001</v>
          </cell>
          <cell r="AD37">
            <v>834.61734569999999</v>
          </cell>
          <cell r="AE37">
            <v>856.09119139999905</v>
          </cell>
          <cell r="AF37">
            <v>887.91696376666596</v>
          </cell>
          <cell r="AG37">
            <v>919.74273613333298</v>
          </cell>
          <cell r="AH37">
            <v>951.56850850000001</v>
          </cell>
          <cell r="AI37">
            <v>902.45434850000004</v>
          </cell>
          <cell r="AJ37">
            <v>919.22086850000005</v>
          </cell>
        </row>
        <row r="41">
          <cell r="E41">
            <v>485.69282999999899</v>
          </cell>
          <cell r="F41">
            <v>585.95885999999996</v>
          </cell>
          <cell r="G41">
            <v>538.32700999999997</v>
          </cell>
          <cell r="H41">
            <v>401.10329000000002</v>
          </cell>
          <cell r="I41">
            <v>523.21328999999901</v>
          </cell>
          <cell r="J41">
            <v>615.68583188333298</v>
          </cell>
          <cell r="K41">
            <v>708.15837376666605</v>
          </cell>
          <cell r="L41">
            <v>800.630915649999</v>
          </cell>
          <cell r="M41">
            <v>893.10345753333297</v>
          </cell>
          <cell r="N41">
            <v>985.57599941666604</v>
          </cell>
          <cell r="O41">
            <v>1078.0485412999999</v>
          </cell>
          <cell r="P41">
            <v>525.07906460000004</v>
          </cell>
          <cell r="Q41">
            <v>747.31017649999899</v>
          </cell>
          <cell r="R41">
            <v>587.87730820000002</v>
          </cell>
          <cell r="S41">
            <v>967.46646139999996</v>
          </cell>
          <cell r="T41">
            <v>1018.2044986</v>
          </cell>
          <cell r="U41">
            <v>1773.28383339999</v>
          </cell>
          <cell r="V41">
            <v>942.59427959999903</v>
          </cell>
          <cell r="W41">
            <v>873.0544165</v>
          </cell>
          <cell r="X41">
            <v>1275.0743150999999</v>
          </cell>
          <cell r="Y41">
            <v>864.13329839999994</v>
          </cell>
          <cell r="Z41">
            <v>1018.9099346</v>
          </cell>
          <cell r="AA41">
            <v>1461.5923545000001</v>
          </cell>
          <cell r="AB41">
            <v>1276.8450349</v>
          </cell>
          <cell r="AC41">
            <v>1676.8325004999999</v>
          </cell>
          <cell r="AD41">
            <v>2400.1963457000002</v>
          </cell>
          <cell r="AE41">
            <v>1363.7431913999999</v>
          </cell>
          <cell r="AF41">
            <v>1376.4339637666601</v>
          </cell>
          <cell r="AG41">
            <v>1643.25273613333</v>
          </cell>
          <cell r="AH41">
            <v>1877.8106990000001</v>
          </cell>
          <cell r="AI41">
            <v>1825.863139</v>
          </cell>
          <cell r="AJ41">
            <v>1836.9278589999999</v>
          </cell>
        </row>
      </sheetData>
      <sheetData sheetId="27">
        <row r="5">
          <cell r="AB5">
            <v>1093.33858706</v>
          </cell>
          <cell r="AC5">
            <v>984.13075486313699</v>
          </cell>
          <cell r="AD5">
            <v>849.02019737703495</v>
          </cell>
        </row>
        <row r="6">
          <cell r="AB6">
            <v>1093.33858706</v>
          </cell>
          <cell r="AC6">
            <v>1042.13343652</v>
          </cell>
          <cell r="AD6">
            <v>932.02437892</v>
          </cell>
        </row>
        <row r="7">
          <cell r="AB7">
            <v>1093.33858706</v>
          </cell>
          <cell r="AC7">
            <v>984.13075486313699</v>
          </cell>
          <cell r="AD7">
            <v>849.02019737703495</v>
          </cell>
        </row>
        <row r="9">
          <cell r="AM9">
            <v>0</v>
          </cell>
        </row>
        <row r="10">
          <cell r="X10">
            <v>913.31320037250009</v>
          </cell>
          <cell r="Y10">
            <v>913.31320037250009</v>
          </cell>
        </row>
        <row r="18">
          <cell r="P18">
            <v>231.78166165199991</v>
          </cell>
          <cell r="Q18">
            <v>231.78166165199991</v>
          </cell>
          <cell r="R18">
            <v>0</v>
          </cell>
          <cell r="S18">
            <v>0</v>
          </cell>
          <cell r="T18">
            <v>0</v>
          </cell>
          <cell r="U18">
            <v>0</v>
          </cell>
          <cell r="BA18">
            <v>68.43662566949979</v>
          </cell>
          <cell r="BB18">
            <v>68.43662566949979</v>
          </cell>
        </row>
        <row r="23">
          <cell r="AN23">
            <v>1099.3545711200002</v>
          </cell>
          <cell r="AS23">
            <v>1088.46557112</v>
          </cell>
        </row>
        <row r="37">
          <cell r="E37" t="str">
            <v>`</v>
          </cell>
          <cell r="F37">
            <v>1283.796294</v>
          </cell>
          <cell r="G37">
            <v>1295.61202</v>
          </cell>
          <cell r="H37">
            <v>1291.392139</v>
          </cell>
          <cell r="I37">
            <v>1352.4297609999901</v>
          </cell>
          <cell r="J37">
            <v>1373.81825399999</v>
          </cell>
          <cell r="K37">
            <v>1386.747603</v>
          </cell>
          <cell r="L37">
            <v>1378.810238</v>
          </cell>
          <cell r="M37">
            <v>1330.304187</v>
          </cell>
          <cell r="N37">
            <v>1353.662403</v>
          </cell>
          <cell r="O37">
            <v>1373.30342</v>
          </cell>
          <cell r="P37">
            <v>1347.5614250000001</v>
          </cell>
          <cell r="Q37">
            <v>1371.613877</v>
          </cell>
          <cell r="R37">
            <v>1378.4520319999999</v>
          </cell>
          <cell r="S37">
            <v>1369.8293000000001</v>
          </cell>
          <cell r="T37">
            <v>1377.463876</v>
          </cell>
          <cell r="U37">
            <v>1356.0802470000001</v>
          </cell>
          <cell r="V37">
            <v>1391.30026</v>
          </cell>
          <cell r="W37">
            <v>1318.507415</v>
          </cell>
          <cell r="X37">
            <v>1246.549622</v>
          </cell>
          <cell r="Y37">
            <v>1300.046748</v>
          </cell>
          <cell r="Z37">
            <v>1350.7411359999901</v>
          </cell>
          <cell r="AA37">
            <v>1393.5941560000001</v>
          </cell>
          <cell r="AB37">
            <v>1405.350424</v>
          </cell>
          <cell r="AC37">
            <v>1356.5110219999999</v>
          </cell>
          <cell r="AD37">
            <v>1317.836196</v>
          </cell>
          <cell r="AE37">
            <v>1300.1467729999999</v>
          </cell>
          <cell r="AF37">
            <v>1286.736263</v>
          </cell>
          <cell r="AG37">
            <v>1242.7157070000001</v>
          </cell>
          <cell r="AH37">
            <v>1207.742416</v>
          </cell>
          <cell r="AI37">
            <v>1144.932497</v>
          </cell>
          <cell r="AJ37">
            <v>1168.0944649999999</v>
          </cell>
        </row>
        <row r="41">
          <cell r="E41">
            <v>1206.0618474800001</v>
          </cell>
          <cell r="F41">
            <v>1211.7184594</v>
          </cell>
          <cell r="G41">
            <v>1219.8434519299999</v>
          </cell>
          <cell r="H41">
            <v>1212.35570502</v>
          </cell>
          <cell r="I41">
            <v>1273.58042291999</v>
          </cell>
          <cell r="J41">
            <v>1295.2577695299899</v>
          </cell>
          <cell r="K41">
            <v>1304.4849838099999</v>
          </cell>
          <cell r="L41">
            <v>1295.5307509100001</v>
          </cell>
          <cell r="M41">
            <v>1246.55443152</v>
          </cell>
          <cell r="N41">
            <v>1270.6848529900001</v>
          </cell>
          <cell r="O41">
            <v>1289.2178953999901</v>
          </cell>
          <cell r="P41">
            <v>1262.8273634899999</v>
          </cell>
          <cell r="Q41">
            <v>1285.1078469500001</v>
          </cell>
          <cell r="R41">
            <v>1280.4133197399999</v>
          </cell>
          <cell r="S41">
            <v>1275.20821746</v>
          </cell>
          <cell r="T41">
            <v>1288.6226328400001</v>
          </cell>
          <cell r="U41">
            <v>1272.1130156300001</v>
          </cell>
          <cell r="V41">
            <v>1311.39924202</v>
          </cell>
          <cell r="W41">
            <v>1248.3955893699999</v>
          </cell>
          <cell r="X41">
            <v>1179.53617439</v>
          </cell>
          <cell r="Y41">
            <v>1229.19280149</v>
          </cell>
          <cell r="Z41">
            <v>1281.62108621999</v>
          </cell>
          <cell r="AA41">
            <v>1321.69838564</v>
          </cell>
          <cell r="AB41">
            <v>1340.6966684199999</v>
          </cell>
          <cell r="AC41">
            <v>1294.77655411</v>
          </cell>
          <cell r="AD41">
            <v>1261.70375279</v>
          </cell>
          <cell r="AE41">
            <v>1247.86093456</v>
          </cell>
          <cell r="AF41">
            <v>1230.4881711200001</v>
          </cell>
          <cell r="AG41">
            <v>1186.9060561700001</v>
          </cell>
          <cell r="AH41">
            <v>1157.04248392</v>
          </cell>
          <cell r="AI41">
            <v>1093.33858706</v>
          </cell>
          <cell r="AJ41">
            <v>1116.3998745199999</v>
          </cell>
        </row>
      </sheetData>
      <sheetData sheetId="28">
        <row r="5">
          <cell r="AB5">
            <v>489.49547533690497</v>
          </cell>
          <cell r="AC5">
            <v>433.98545279318802</v>
          </cell>
          <cell r="AD5">
            <v>428.56603965282602</v>
          </cell>
        </row>
        <row r="6">
          <cell r="AB6">
            <v>507.14576099999999</v>
          </cell>
          <cell r="AC6">
            <v>534.8567094</v>
          </cell>
          <cell r="AD6">
            <v>574.93665339999995</v>
          </cell>
        </row>
        <row r="7">
          <cell r="AB7">
            <v>489.49547533690497</v>
          </cell>
          <cell r="AC7">
            <v>433.98545279318802</v>
          </cell>
          <cell r="AD7">
            <v>428.56603965282602</v>
          </cell>
        </row>
        <row r="10">
          <cell r="X10">
            <v>634.99018718173716</v>
          </cell>
          <cell r="Y10">
            <v>563.2451792557747</v>
          </cell>
        </row>
        <row r="18">
          <cell r="P18">
            <v>0</v>
          </cell>
          <cell r="Q18">
            <v>182.50452466309503</v>
          </cell>
          <cell r="R18">
            <v>0</v>
          </cell>
          <cell r="S18">
            <v>0</v>
          </cell>
          <cell r="T18">
            <v>241.05403432282355</v>
          </cell>
          <cell r="U18">
            <v>145.39402375487361</v>
          </cell>
          <cell r="BA18">
            <v>63.841460301374013</v>
          </cell>
          <cell r="BB18">
            <v>0</v>
          </cell>
        </row>
        <row r="23">
          <cell r="AI23">
            <v>584.65015274954976</v>
          </cell>
          <cell r="AN23">
            <v>628.43454837324941</v>
          </cell>
          <cell r="AS23">
            <v>663.76654399694905</v>
          </cell>
        </row>
        <row r="24">
          <cell r="A24">
            <v>0.98799999999999999</v>
          </cell>
        </row>
        <row r="37">
          <cell r="E37">
            <v>466.72001110000002</v>
          </cell>
          <cell r="F37">
            <v>476.48213520000002</v>
          </cell>
          <cell r="G37">
            <v>478.68927989999997</v>
          </cell>
          <cell r="H37">
            <v>479.34464830000002</v>
          </cell>
          <cell r="I37">
            <v>510.0868165</v>
          </cell>
          <cell r="J37">
            <v>500.357608499999</v>
          </cell>
          <cell r="K37">
            <v>521.68944869999996</v>
          </cell>
          <cell r="L37">
            <v>551.98437279999996</v>
          </cell>
          <cell r="M37">
            <v>577.82912829999998</v>
          </cell>
          <cell r="N37">
            <v>569.14230829999997</v>
          </cell>
          <cell r="O37">
            <v>587.8144125</v>
          </cell>
          <cell r="P37">
            <v>583.99913729999901</v>
          </cell>
          <cell r="Q37">
            <v>606.42194110000003</v>
          </cell>
          <cell r="R37">
            <v>606.86507179999899</v>
          </cell>
          <cell r="S37">
            <v>626.81697389999999</v>
          </cell>
          <cell r="T37">
            <v>636.92615890000002</v>
          </cell>
          <cell r="U37">
            <v>653.2754529</v>
          </cell>
          <cell r="V37">
            <v>687.42594440000005</v>
          </cell>
          <cell r="W37">
            <v>736.25257309999995</v>
          </cell>
          <cell r="X37">
            <v>718.44688169999995</v>
          </cell>
          <cell r="Y37">
            <v>718.14718549999998</v>
          </cell>
          <cell r="Z37">
            <v>735.75276550000001</v>
          </cell>
          <cell r="AA37">
            <v>722.40190150000001</v>
          </cell>
          <cell r="AB37">
            <v>735.4531892</v>
          </cell>
          <cell r="AC37">
            <v>734.99819479999996</v>
          </cell>
        </row>
        <row r="38">
          <cell r="AD38">
            <v>745.77883229999998</v>
          </cell>
          <cell r="AE38">
            <v>785.54039109999997</v>
          </cell>
          <cell r="AF38">
            <v>757.10635509999997</v>
          </cell>
          <cell r="AG38">
            <v>765.60079480000002</v>
          </cell>
          <cell r="AH38">
            <v>736.62957270000004</v>
          </cell>
          <cell r="AI38">
            <v>714.82334460000004</v>
          </cell>
          <cell r="AJ38">
            <v>711.35941000000003</v>
          </cell>
        </row>
        <row r="41">
          <cell r="E41">
            <v>248.83041399999999</v>
          </cell>
          <cell r="F41">
            <v>258.59253810000001</v>
          </cell>
          <cell r="G41">
            <v>260.799682799999</v>
          </cell>
          <cell r="H41">
            <v>261.45505120000001</v>
          </cell>
          <cell r="I41">
            <v>292.19721939999999</v>
          </cell>
          <cell r="J41">
            <v>282.468011399999</v>
          </cell>
          <cell r="K41">
            <v>303.79985159999899</v>
          </cell>
          <cell r="L41">
            <v>334.09477569999899</v>
          </cell>
          <cell r="M41">
            <v>359.93953119999998</v>
          </cell>
          <cell r="N41">
            <v>351.252711199999</v>
          </cell>
          <cell r="O41">
            <v>369.9248154</v>
          </cell>
          <cell r="P41">
            <v>371.241398099999</v>
          </cell>
          <cell r="Q41">
            <v>407.96474410000002</v>
          </cell>
          <cell r="R41">
            <v>405.71497409999898</v>
          </cell>
          <cell r="S41">
            <v>420.62780559999999</v>
          </cell>
          <cell r="T41">
            <v>437.01531660000001</v>
          </cell>
          <cell r="U41">
            <v>449.18777920000002</v>
          </cell>
          <cell r="V41">
            <v>491.86469510000001</v>
          </cell>
          <cell r="W41">
            <v>538.49075189999996</v>
          </cell>
          <cell r="X41">
            <v>542.23370090000003</v>
          </cell>
          <cell r="Y41">
            <v>531.10052680000001</v>
          </cell>
          <cell r="Z41">
            <v>554.01740529999995</v>
          </cell>
          <cell r="AA41">
            <v>536.63184579999995</v>
          </cell>
          <cell r="AB41">
            <v>548.65557869999998</v>
          </cell>
          <cell r="AC41">
            <v>553.53163429999995</v>
          </cell>
        </row>
        <row r="42">
          <cell r="AD42">
            <v>552.40577689999998</v>
          </cell>
          <cell r="AE42">
            <v>600.40140910000002</v>
          </cell>
          <cell r="AF42">
            <v>552.37859279999998</v>
          </cell>
          <cell r="AG42">
            <v>569.8737102</v>
          </cell>
          <cell r="AH42">
            <v>534.68860010000003</v>
          </cell>
          <cell r="AI42">
            <v>507.14576099999999</v>
          </cell>
          <cell r="AJ42">
            <v>497.9452154</v>
          </cell>
        </row>
      </sheetData>
      <sheetData sheetId="29">
        <row r="5">
          <cell r="AB5">
            <v>1503.8019792</v>
          </cell>
          <cell r="AC5">
            <v>1745.38245538921</v>
          </cell>
          <cell r="AD5">
            <v>1803.3771344301699</v>
          </cell>
        </row>
        <row r="6">
          <cell r="AB6">
            <v>1503.8019792</v>
          </cell>
          <cell r="AC6">
            <v>1796.4014058999901</v>
          </cell>
          <cell r="AD6">
            <v>1885.621349</v>
          </cell>
        </row>
        <row r="7">
          <cell r="AB7">
            <v>1503.8019792</v>
          </cell>
          <cell r="AC7">
            <v>1745.38245538921</v>
          </cell>
          <cell r="AD7">
            <v>1803.3771344301699</v>
          </cell>
        </row>
        <row r="9">
          <cell r="AM9">
            <v>1057.7377138888887</v>
          </cell>
        </row>
        <row r="10">
          <cell r="X10">
            <v>1950.7758230749996</v>
          </cell>
          <cell r="Y10">
            <v>1565.779650575</v>
          </cell>
        </row>
        <row r="13">
          <cell r="BB13">
            <v>2744.0882299999994</v>
          </cell>
        </row>
        <row r="17">
          <cell r="BB17">
            <v>2903.42823</v>
          </cell>
        </row>
        <row r="18">
          <cell r="P18">
            <v>1121.9869478259998</v>
          </cell>
          <cell r="Q18">
            <v>308.36897347000058</v>
          </cell>
          <cell r="R18">
            <v>0</v>
          </cell>
          <cell r="S18">
            <v>0</v>
          </cell>
          <cell r="T18">
            <v>357.21486556982973</v>
          </cell>
          <cell r="U18">
            <v>0</v>
          </cell>
          <cell r="BB18">
            <v>416.64694440022959</v>
          </cell>
        </row>
        <row r="23">
          <cell r="AN23">
            <v>1611.4707290000001</v>
          </cell>
          <cell r="AS23">
            <v>1742.2687290000003</v>
          </cell>
        </row>
        <row r="37">
          <cell r="E37">
            <v>3166.5790510000002</v>
          </cell>
          <cell r="F37">
            <v>3005.3193959999999</v>
          </cell>
          <cell r="G37">
            <v>2524.6180449999902</v>
          </cell>
          <cell r="H37">
            <v>2385.6120030000002</v>
          </cell>
          <cell r="I37">
            <v>2122.8124029999999</v>
          </cell>
          <cell r="J37">
            <v>2070.711487</v>
          </cell>
          <cell r="K37">
            <v>2019.459809</v>
          </cell>
          <cell r="L37">
            <v>1901.80420599999</v>
          </cell>
          <cell r="M37">
            <v>1870.0183099999999</v>
          </cell>
          <cell r="N37">
            <v>1900.5037159999999</v>
          </cell>
          <cell r="O37">
            <v>1895.0013839999999</v>
          </cell>
          <cell r="P37">
            <v>1928.619954</v>
          </cell>
          <cell r="Q37">
            <v>1908.5018660000001</v>
          </cell>
          <cell r="R37">
            <v>1940.1178</v>
          </cell>
          <cell r="S37">
            <v>1952.6171569999999</v>
          </cell>
          <cell r="T37">
            <v>1970.6026870000001</v>
          </cell>
          <cell r="U37">
            <v>2030.163084</v>
          </cell>
          <cell r="V37">
            <v>2030.122263</v>
          </cell>
          <cell r="W37">
            <v>2059.4902889999998</v>
          </cell>
          <cell r="X37">
            <v>1925.03818</v>
          </cell>
          <cell r="Y37">
            <v>2019.3934300000001</v>
          </cell>
          <cell r="Z37">
            <v>2076.0581929999998</v>
          </cell>
          <cell r="AA37">
            <v>2100.9465190000001</v>
          </cell>
          <cell r="AB37">
            <v>2041.8052070000001</v>
          </cell>
          <cell r="AC37">
            <v>2037.6433139999999</v>
          </cell>
          <cell r="AD37">
            <v>2033.33496299999</v>
          </cell>
          <cell r="AE37">
            <v>2033.9683620000001</v>
          </cell>
          <cell r="AF37">
            <v>2082.644323</v>
          </cell>
          <cell r="AG37">
            <v>2145.2413799999999</v>
          </cell>
          <cell r="AH37">
            <v>2136.5179469999998</v>
          </cell>
          <cell r="AI37">
            <v>2061.3618889999998</v>
          </cell>
          <cell r="AJ37">
            <v>2156.5993399999902</v>
          </cell>
        </row>
        <row r="41">
          <cell r="E41">
            <v>3089.1634435599999</v>
          </cell>
          <cell r="F41">
            <v>2969.2368499099998</v>
          </cell>
          <cell r="G41">
            <v>2481.6801745499902</v>
          </cell>
          <cell r="H41">
            <v>2286.90094335</v>
          </cell>
          <cell r="I41">
            <v>1940.6558659</v>
          </cell>
          <cell r="J41">
            <v>1811.5595195999999</v>
          </cell>
          <cell r="K41">
            <v>1693.7857320999999</v>
          </cell>
          <cell r="L41">
            <v>1500.6862827999901</v>
          </cell>
          <cell r="M41">
            <v>1459.6457696</v>
          </cell>
          <cell r="N41">
            <v>1444.0502382</v>
          </cell>
          <cell r="O41">
            <v>1421.7441137999999</v>
          </cell>
          <cell r="P41">
            <v>1404.382366</v>
          </cell>
          <cell r="Q41">
            <v>1358.5160648000001</v>
          </cell>
          <cell r="R41">
            <v>1386.4941435000001</v>
          </cell>
          <cell r="S41">
            <v>1408.5004117999999</v>
          </cell>
          <cell r="T41">
            <v>1430.9136583</v>
          </cell>
          <cell r="U41">
            <v>1490.744158</v>
          </cell>
          <cell r="V41">
            <v>1471.1623414999999</v>
          </cell>
          <cell r="W41">
            <v>1463.36380739999</v>
          </cell>
          <cell r="X41">
            <v>1255.3329575</v>
          </cell>
          <cell r="Y41">
            <v>1321.3272923</v>
          </cell>
          <cell r="Z41">
            <v>1425.39051459999</v>
          </cell>
          <cell r="AA41">
            <v>1439.4695724000001</v>
          </cell>
          <cell r="AB41">
            <v>1429.1729238</v>
          </cell>
          <cell r="AC41">
            <v>1380.2107653</v>
          </cell>
          <cell r="AD41">
            <v>1450.05337449999</v>
          </cell>
          <cell r="AE41">
            <v>1418.6577612000001</v>
          </cell>
          <cell r="AF41">
            <v>1479.7371290000001</v>
          </cell>
          <cell r="AG41">
            <v>1567.9526573999999</v>
          </cell>
          <cell r="AH41">
            <v>1586.0157039999999</v>
          </cell>
          <cell r="AI41">
            <v>1503.8019792</v>
          </cell>
          <cell r="AJ41">
            <v>1671.77465819999</v>
          </cell>
        </row>
      </sheetData>
      <sheetData sheetId="30">
        <row r="5">
          <cell r="AB5">
            <v>525.42173609080305</v>
          </cell>
          <cell r="AC5">
            <v>472.51394942069101</v>
          </cell>
          <cell r="AD5">
            <v>477.68951848837003</v>
          </cell>
        </row>
        <row r="6">
          <cell r="AB6">
            <v>525.42173609080305</v>
          </cell>
          <cell r="AC6">
            <v>508.30299020000001</v>
          </cell>
          <cell r="AD6">
            <v>513.58077330000003</v>
          </cell>
        </row>
        <row r="7">
          <cell r="AB7">
            <v>491.64366499999898</v>
          </cell>
          <cell r="AC7">
            <v>472.51394942069101</v>
          </cell>
          <cell r="AD7">
            <v>474.05237349999902</v>
          </cell>
        </row>
        <row r="13">
          <cell r="R13">
            <v>398</v>
          </cell>
        </row>
        <row r="17">
          <cell r="R17">
            <v>510</v>
          </cell>
        </row>
        <row r="18">
          <cell r="P18">
            <v>0</v>
          </cell>
          <cell r="Q18">
            <v>57.578263909196949</v>
          </cell>
          <cell r="R18">
            <v>0</v>
          </cell>
          <cell r="S18">
            <v>0</v>
          </cell>
          <cell r="T18">
            <v>0</v>
          </cell>
          <cell r="U18">
            <v>0</v>
          </cell>
          <cell r="BA18">
            <v>0</v>
          </cell>
          <cell r="BB18">
            <v>0</v>
          </cell>
        </row>
        <row r="23">
          <cell r="AI23">
            <v>639.04330000000004</v>
          </cell>
          <cell r="AN23">
            <v>711.84339999999997</v>
          </cell>
          <cell r="AS23">
            <v>785.74270000000001</v>
          </cell>
        </row>
        <row r="24">
          <cell r="A24">
            <v>1</v>
          </cell>
        </row>
        <row r="37">
          <cell r="E37">
            <v>355</v>
          </cell>
          <cell r="F37">
            <v>363</v>
          </cell>
          <cell r="G37">
            <v>371</v>
          </cell>
          <cell r="H37">
            <v>379</v>
          </cell>
          <cell r="I37">
            <v>387</v>
          </cell>
          <cell r="J37">
            <v>399</v>
          </cell>
          <cell r="K37">
            <v>410</v>
          </cell>
          <cell r="L37">
            <v>422</v>
          </cell>
          <cell r="M37">
            <v>433</v>
          </cell>
          <cell r="N37">
            <v>445</v>
          </cell>
          <cell r="O37">
            <v>456</v>
          </cell>
          <cell r="P37">
            <v>453</v>
          </cell>
          <cell r="Q37">
            <v>463</v>
          </cell>
          <cell r="R37">
            <v>481</v>
          </cell>
          <cell r="S37">
            <v>496</v>
          </cell>
          <cell r="T37">
            <v>493</v>
          </cell>
          <cell r="U37">
            <v>497</v>
          </cell>
          <cell r="V37">
            <v>532</v>
          </cell>
          <cell r="W37">
            <v>526</v>
          </cell>
          <cell r="X37">
            <v>544</v>
          </cell>
          <cell r="Y37">
            <v>530</v>
          </cell>
          <cell r="Z37">
            <v>521</v>
          </cell>
          <cell r="AA37">
            <v>534</v>
          </cell>
          <cell r="AB37">
            <v>537</v>
          </cell>
          <cell r="AC37">
            <v>537</v>
          </cell>
          <cell r="AD37">
            <v>536</v>
          </cell>
          <cell r="AE37">
            <v>523</v>
          </cell>
          <cell r="AF37">
            <v>521</v>
          </cell>
          <cell r="AG37">
            <v>529.68043499999999</v>
          </cell>
          <cell r="AH37">
            <v>520.25878999999998</v>
          </cell>
          <cell r="AI37">
            <v>491.64366499999898</v>
          </cell>
          <cell r="AJ37">
            <v>495.245751699999</v>
          </cell>
        </row>
        <row r="41">
          <cell r="E41">
            <v>338</v>
          </cell>
          <cell r="F41">
            <v>346</v>
          </cell>
          <cell r="G41">
            <v>353</v>
          </cell>
          <cell r="H41">
            <v>361</v>
          </cell>
          <cell r="I41">
            <v>368</v>
          </cell>
          <cell r="J41">
            <v>381</v>
          </cell>
          <cell r="K41">
            <v>394</v>
          </cell>
          <cell r="L41">
            <v>407</v>
          </cell>
          <cell r="M41">
            <v>419</v>
          </cell>
          <cell r="N41">
            <v>432</v>
          </cell>
          <cell r="O41">
            <v>444</v>
          </cell>
          <cell r="P41">
            <v>447</v>
          </cell>
          <cell r="Q41">
            <v>451</v>
          </cell>
          <cell r="R41">
            <v>463</v>
          </cell>
          <cell r="S41">
            <v>483</v>
          </cell>
          <cell r="T41">
            <v>494</v>
          </cell>
          <cell r="U41">
            <v>494</v>
          </cell>
          <cell r="V41">
            <v>526</v>
          </cell>
          <cell r="W41">
            <v>526</v>
          </cell>
          <cell r="X41">
            <v>531</v>
          </cell>
          <cell r="Y41">
            <v>519</v>
          </cell>
          <cell r="Z41">
            <v>510</v>
          </cell>
          <cell r="AA41">
            <v>523</v>
          </cell>
          <cell r="AB41">
            <v>518</v>
          </cell>
          <cell r="AC41">
            <v>520</v>
          </cell>
          <cell r="AD41">
            <v>513</v>
          </cell>
          <cell r="AE41">
            <v>490</v>
          </cell>
          <cell r="AF41">
            <v>490</v>
          </cell>
          <cell r="AG41">
            <v>497.92305299999998</v>
          </cell>
          <cell r="AH41">
            <v>487.744025999999</v>
          </cell>
          <cell r="AI41">
            <v>458.37151899999901</v>
          </cell>
          <cell r="AJ41">
            <v>461.21622369999898</v>
          </cell>
        </row>
      </sheetData>
      <sheetData sheetId="31">
        <row r="5">
          <cell r="AB5">
            <v>628.52400972999999</v>
          </cell>
          <cell r="AC5">
            <v>577.33487198872899</v>
          </cell>
          <cell r="AD5">
            <v>417.40889260295597</v>
          </cell>
        </row>
        <row r="6">
          <cell r="AB6">
            <v>628.52400972999999</v>
          </cell>
          <cell r="AC6">
            <v>644.28846503</v>
          </cell>
          <cell r="AD6">
            <v>614.31839852999997</v>
          </cell>
        </row>
        <row r="7">
          <cell r="AB7">
            <v>628.52400972999999</v>
          </cell>
          <cell r="AC7">
            <v>577.33487198872899</v>
          </cell>
          <cell r="AD7">
            <v>417.40889260295597</v>
          </cell>
        </row>
        <row r="10">
          <cell r="X10">
            <v>479.31016933000001</v>
          </cell>
          <cell r="Y10">
            <v>479.31016933000001</v>
          </cell>
        </row>
        <row r="18">
          <cell r="P18">
            <v>0</v>
          </cell>
          <cell r="Q18">
            <v>0</v>
          </cell>
          <cell r="R18">
            <v>0</v>
          </cell>
          <cell r="S18">
            <v>0</v>
          </cell>
          <cell r="T18">
            <v>19.151107397044029</v>
          </cell>
          <cell r="U18">
            <v>19.151107397044029</v>
          </cell>
          <cell r="BA18">
            <v>0</v>
          </cell>
          <cell r="BB18">
            <v>0</v>
          </cell>
        </row>
        <row r="23">
          <cell r="AN23">
            <v>760.41066902</v>
          </cell>
          <cell r="AS23">
            <v>792.89236902000005</v>
          </cell>
        </row>
        <row r="24">
          <cell r="A24">
            <v>1</v>
          </cell>
        </row>
        <row r="37">
          <cell r="E37">
            <v>294.65539189999998</v>
          </cell>
          <cell r="F37">
            <v>318.12326460000003</v>
          </cell>
          <cell r="G37">
            <v>346.38067100000001</v>
          </cell>
          <cell r="H37">
            <v>381.87063660000001</v>
          </cell>
          <cell r="I37">
            <v>407.09740959999999</v>
          </cell>
          <cell r="J37">
            <v>437.55535220000002</v>
          </cell>
          <cell r="K37">
            <v>474.43368709999999</v>
          </cell>
          <cell r="L37">
            <v>506.35195110000001</v>
          </cell>
          <cell r="M37">
            <v>435.17435560000001</v>
          </cell>
          <cell r="N37">
            <v>473.48204279999999</v>
          </cell>
          <cell r="O37">
            <v>507.11009610000002</v>
          </cell>
          <cell r="P37">
            <v>520.49904819999995</v>
          </cell>
          <cell r="Q37">
            <v>543.17323859999999</v>
          </cell>
          <cell r="R37">
            <v>553.62082450000003</v>
          </cell>
          <cell r="S37">
            <v>561.95800839999902</v>
          </cell>
          <cell r="T37">
            <v>565.65895160000002</v>
          </cell>
          <cell r="U37">
            <v>572.09681009999997</v>
          </cell>
          <cell r="V37">
            <v>585.65456500000005</v>
          </cell>
          <cell r="W37">
            <v>598.86615280000001</v>
          </cell>
          <cell r="X37">
            <v>603.02768059999903</v>
          </cell>
          <cell r="Y37">
            <v>661.86097670000004</v>
          </cell>
          <cell r="Z37">
            <v>690.70883449999997</v>
          </cell>
          <cell r="AA37">
            <v>694.11867139999902</v>
          </cell>
          <cell r="AB37">
            <v>703.27059389999897</v>
          </cell>
          <cell r="AC37">
            <v>697.77306510000005</v>
          </cell>
          <cell r="AD37">
            <v>698.358847499999</v>
          </cell>
          <cell r="AE37">
            <v>699.38829290000001</v>
          </cell>
          <cell r="AF37">
            <v>716.7473913</v>
          </cell>
          <cell r="AG37">
            <v>733.77514659999997</v>
          </cell>
          <cell r="AH37">
            <v>712.48239999999998</v>
          </cell>
          <cell r="AI37">
            <v>670.45360000000005</v>
          </cell>
          <cell r="AJ37">
            <v>684.99199999999996</v>
          </cell>
        </row>
        <row r="41">
          <cell r="E41">
            <v>256.55006831999998</v>
          </cell>
          <cell r="F41">
            <v>284.28720047000002</v>
          </cell>
          <cell r="G41">
            <v>313.48253640000001</v>
          </cell>
          <cell r="H41">
            <v>350.78875220999998</v>
          </cell>
          <cell r="I41">
            <v>373.90723088999999</v>
          </cell>
          <cell r="J41">
            <v>406.37091958000002</v>
          </cell>
          <cell r="K41">
            <v>439.78657530999999</v>
          </cell>
          <cell r="L41">
            <v>466.97915</v>
          </cell>
          <cell r="M41">
            <v>387.17224578999998</v>
          </cell>
          <cell r="N41">
            <v>417.64930845999999</v>
          </cell>
          <cell r="O41">
            <v>448.21511379999998</v>
          </cell>
          <cell r="P41">
            <v>462.15679165999899</v>
          </cell>
          <cell r="Q41">
            <v>487.10256292999998</v>
          </cell>
          <cell r="R41">
            <v>498.13791787000002</v>
          </cell>
          <cell r="S41">
            <v>505.25044259999902</v>
          </cell>
          <cell r="T41">
            <v>511.06208020000003</v>
          </cell>
          <cell r="U41">
            <v>516.41286094999998</v>
          </cell>
          <cell r="V41">
            <v>529.28155913000001</v>
          </cell>
          <cell r="W41">
            <v>541.58754796999995</v>
          </cell>
          <cell r="X41">
            <v>546.16989762999901</v>
          </cell>
          <cell r="Y41">
            <v>607.56067731999997</v>
          </cell>
          <cell r="Z41">
            <v>637.66058350999901</v>
          </cell>
          <cell r="AA41">
            <v>646.72343046999902</v>
          </cell>
          <cell r="AB41">
            <v>660.37568627999894</v>
          </cell>
          <cell r="AC41">
            <v>654.12436902000002</v>
          </cell>
          <cell r="AD41">
            <v>653.62317450999899</v>
          </cell>
          <cell r="AE41">
            <v>653.44367222000005</v>
          </cell>
          <cell r="AF41">
            <v>674.91032676999998</v>
          </cell>
          <cell r="AG41">
            <v>692.14052632999994</v>
          </cell>
          <cell r="AH41">
            <v>670.70029473</v>
          </cell>
          <cell r="AI41">
            <v>628.52400972999999</v>
          </cell>
          <cell r="AJ41">
            <v>642.91492472999903</v>
          </cell>
        </row>
      </sheetData>
      <sheetData sheetId="32">
        <row r="5">
          <cell r="AB5">
            <v>467.043205459999</v>
          </cell>
          <cell r="AC5">
            <v>522.16198469989399</v>
          </cell>
          <cell r="AD5">
            <v>548.41404172390696</v>
          </cell>
        </row>
        <row r="6">
          <cell r="AB6">
            <v>467.043205459999</v>
          </cell>
          <cell r="AC6">
            <v>615.90833099999998</v>
          </cell>
          <cell r="AD6">
            <v>739.238756649999</v>
          </cell>
        </row>
        <row r="7">
          <cell r="AB7">
            <v>467.043205459999</v>
          </cell>
          <cell r="AC7">
            <v>522.16198469989399</v>
          </cell>
          <cell r="AD7">
            <v>548.41404172390696</v>
          </cell>
        </row>
        <row r="9">
          <cell r="AM9">
            <v>346.62500000000006</v>
          </cell>
        </row>
        <row r="10">
          <cell r="X10">
            <v>601.6656713724999</v>
          </cell>
          <cell r="Y10">
            <v>601.6656713724999</v>
          </cell>
        </row>
        <row r="18">
          <cell r="P18">
            <v>0</v>
          </cell>
          <cell r="Q18">
            <v>0</v>
          </cell>
          <cell r="R18">
            <v>0</v>
          </cell>
          <cell r="S18">
            <v>0</v>
          </cell>
          <cell r="T18">
            <v>144.83595827609315</v>
          </cell>
          <cell r="U18">
            <v>144.83595827609315</v>
          </cell>
          <cell r="BA18">
            <v>420.76044968917</v>
          </cell>
          <cell r="BB18">
            <v>420.76044968917</v>
          </cell>
        </row>
        <row r="23">
          <cell r="AN23">
            <v>563.75085389000003</v>
          </cell>
          <cell r="AS23">
            <v>621.12275389000001</v>
          </cell>
        </row>
        <row r="37">
          <cell r="E37">
            <v>219.52615109999999</v>
          </cell>
          <cell r="F37">
            <v>226.79472129999999</v>
          </cell>
          <cell r="G37">
            <v>233.13248259999901</v>
          </cell>
          <cell r="H37">
            <v>240.77174649999901</v>
          </cell>
          <cell r="I37">
            <v>234.38782999999901</v>
          </cell>
          <cell r="J37">
            <v>248.24890880000001</v>
          </cell>
          <cell r="K37">
            <v>267.581386299999</v>
          </cell>
          <cell r="L37">
            <v>278.813840499999</v>
          </cell>
          <cell r="M37">
            <v>280.31895880000002</v>
          </cell>
          <cell r="N37">
            <v>277.77679910000001</v>
          </cell>
          <cell r="O37">
            <v>298.91675469999899</v>
          </cell>
          <cell r="P37">
            <v>279.74013780000001</v>
          </cell>
          <cell r="Q37">
            <v>285.623365199999</v>
          </cell>
          <cell r="R37">
            <v>304.79478749999998</v>
          </cell>
          <cell r="S37">
            <v>314.42356999999998</v>
          </cell>
          <cell r="T37">
            <v>337.57499849999999</v>
          </cell>
          <cell r="U37">
            <v>358.00253470000001</v>
          </cell>
          <cell r="V37">
            <v>391.697005899999</v>
          </cell>
          <cell r="W37">
            <v>388.4945563</v>
          </cell>
          <cell r="X37">
            <v>395.17714119999999</v>
          </cell>
          <cell r="Y37">
            <v>398.79316469999998</v>
          </cell>
          <cell r="Z37">
            <v>428.61758909999998</v>
          </cell>
          <cell r="AA37">
            <v>448.18445809999997</v>
          </cell>
          <cell r="AB37">
            <v>440.19530079999998</v>
          </cell>
          <cell r="AC37">
            <v>459.489508</v>
          </cell>
          <cell r="AD37">
            <v>474.96753480000001</v>
          </cell>
          <cell r="AE37">
            <v>501.10790639999902</v>
          </cell>
          <cell r="AF37">
            <v>528.56592890000002</v>
          </cell>
          <cell r="AG37">
            <v>523.10803369999996</v>
          </cell>
          <cell r="AH37">
            <v>508.72587349999998</v>
          </cell>
          <cell r="AI37">
            <v>523.99081669999998</v>
          </cell>
          <cell r="AJ37">
            <v>564.38974989999997</v>
          </cell>
        </row>
        <row r="41">
          <cell r="E41">
            <v>153.01519535</v>
          </cell>
          <cell r="F41">
            <v>159.42158153</v>
          </cell>
          <cell r="G41">
            <v>165.658914559999</v>
          </cell>
          <cell r="H41">
            <v>174.168634599999</v>
          </cell>
          <cell r="I41">
            <v>166.37420211</v>
          </cell>
          <cell r="J41">
            <v>180.48314769999999</v>
          </cell>
          <cell r="K41">
            <v>200.45345445999899</v>
          </cell>
          <cell r="L41">
            <v>208.36532552999901</v>
          </cell>
          <cell r="M41">
            <v>209.70676257</v>
          </cell>
          <cell r="N41">
            <v>206.58447913000001</v>
          </cell>
          <cell r="O41">
            <v>230.865091059999</v>
          </cell>
          <cell r="P41">
            <v>208.95656065</v>
          </cell>
          <cell r="Q41">
            <v>216.34181662999899</v>
          </cell>
          <cell r="R41">
            <v>233.63614605999999</v>
          </cell>
          <cell r="S41">
            <v>244.73692181000001</v>
          </cell>
          <cell r="T41">
            <v>265.79656103999997</v>
          </cell>
          <cell r="U41">
            <v>286.54750245999998</v>
          </cell>
          <cell r="V41">
            <v>319.91730010999999</v>
          </cell>
          <cell r="W41">
            <v>320.57780657000001</v>
          </cell>
          <cell r="X41">
            <v>324.32764687999997</v>
          </cell>
          <cell r="Y41">
            <v>326.91268548999898</v>
          </cell>
          <cell r="Z41">
            <v>353.035730389999</v>
          </cell>
          <cell r="AA41">
            <v>374.79934731999998</v>
          </cell>
          <cell r="AB41">
            <v>363.70747664999999</v>
          </cell>
          <cell r="AC41">
            <v>382.61201574</v>
          </cell>
          <cell r="AD41">
            <v>402.16096759999999</v>
          </cell>
          <cell r="AE41">
            <v>427.99760778999899</v>
          </cell>
          <cell r="AF41">
            <v>453.60679389000001</v>
          </cell>
          <cell r="AG41">
            <v>453.35578644999998</v>
          </cell>
          <cell r="AH41">
            <v>446.00558895</v>
          </cell>
          <cell r="AI41">
            <v>467.043205459999</v>
          </cell>
          <cell r="AJ41">
            <v>517.24399047999998</v>
          </cell>
        </row>
      </sheetData>
      <sheetData sheetId="33">
        <row r="6">
          <cell r="AB6">
            <v>107.961889099999</v>
          </cell>
          <cell r="AC6">
            <v>118.74083570000001</v>
          </cell>
          <cell r="AD6">
            <v>126.35006809999901</v>
          </cell>
        </row>
        <row r="7">
          <cell r="AB7">
            <v>107.07790439999999</v>
          </cell>
          <cell r="AC7">
            <v>114.8629578</v>
          </cell>
          <cell r="AD7">
            <v>121.7092902</v>
          </cell>
        </row>
        <row r="10">
          <cell r="X10">
            <v>94.215499999999992</v>
          </cell>
          <cell r="Y10">
            <v>94.215499999999992</v>
          </cell>
        </row>
        <row r="18">
          <cell r="BA18">
            <v>6.9703208500004905</v>
          </cell>
          <cell r="BB18">
            <v>0</v>
          </cell>
        </row>
        <row r="23">
          <cell r="T23"/>
          <cell r="U23"/>
          <cell r="AI23">
            <v>123.64552</v>
          </cell>
          <cell r="AN23">
            <v>136.54071999999999</v>
          </cell>
          <cell r="AS23">
            <v>151.24672000000001</v>
          </cell>
        </row>
        <row r="24">
          <cell r="A24">
            <v>1</v>
          </cell>
        </row>
        <row r="37">
          <cell r="E37">
            <v>52.015999999999998</v>
          </cell>
          <cell r="F37">
            <v>54.473100000000002</v>
          </cell>
          <cell r="G37">
            <v>56.930199999999999</v>
          </cell>
          <cell r="H37">
            <v>59.387300000000003</v>
          </cell>
          <cell r="I37">
            <v>61.8444</v>
          </cell>
          <cell r="J37">
            <v>64.301500000000004</v>
          </cell>
          <cell r="K37">
            <v>66.758600000000001</v>
          </cell>
          <cell r="L37">
            <v>69.215699999999998</v>
          </cell>
          <cell r="M37">
            <v>71.672799999999995</v>
          </cell>
          <cell r="N37">
            <v>74.129900000000006</v>
          </cell>
          <cell r="O37">
            <v>76.587000000000003</v>
          </cell>
          <cell r="P37">
            <v>78.114500000000007</v>
          </cell>
          <cell r="Q37">
            <v>79.641999999999996</v>
          </cell>
          <cell r="R37">
            <v>81.169499999999999</v>
          </cell>
          <cell r="S37">
            <v>82.697000000000003</v>
          </cell>
          <cell r="T37">
            <v>84.224500000000006</v>
          </cell>
          <cell r="U37">
            <v>85.751999999999995</v>
          </cell>
          <cell r="V37">
            <v>87.279499999999999</v>
          </cell>
          <cell r="W37">
            <v>88.807000000000002</v>
          </cell>
          <cell r="X37">
            <v>90.334500000000006</v>
          </cell>
          <cell r="Y37">
            <v>91.861999999999995</v>
          </cell>
          <cell r="Z37">
            <v>96.009333333333302</v>
          </cell>
          <cell r="AA37">
            <v>100.156666666666</v>
          </cell>
          <cell r="AB37">
            <v>104.304</v>
          </cell>
          <cell r="AC37">
            <v>101.47399999999899</v>
          </cell>
          <cell r="AD37">
            <v>108.24299999999999</v>
          </cell>
          <cell r="AE37">
            <v>111.678</v>
          </cell>
          <cell r="AF37">
            <v>108.6267445</v>
          </cell>
          <cell r="AG37">
            <v>109.4514964</v>
          </cell>
          <cell r="AH37">
            <v>108.1977558</v>
          </cell>
          <cell r="AI37">
            <v>107.07790439999999</v>
          </cell>
          <cell r="AJ37">
            <v>106.1575684</v>
          </cell>
        </row>
        <row r="41">
          <cell r="E41">
            <v>1.9549999999999901</v>
          </cell>
          <cell r="F41">
            <v>3.1505999999999901</v>
          </cell>
          <cell r="G41">
            <v>4.3461999999999996</v>
          </cell>
          <cell r="H41">
            <v>5.5417999999999896</v>
          </cell>
          <cell r="I41">
            <v>6.7374000000000001</v>
          </cell>
          <cell r="J41">
            <v>7.9329999999999998</v>
          </cell>
          <cell r="K41">
            <v>9.1285999999999898</v>
          </cell>
          <cell r="L41">
            <v>10.3241999999999</v>
          </cell>
          <cell r="M41">
            <v>11.519799999999901</v>
          </cell>
          <cell r="N41">
            <v>12.715400000000001</v>
          </cell>
          <cell r="O41">
            <v>13.911</v>
          </cell>
          <cell r="P41">
            <v>14.513</v>
          </cell>
          <cell r="Q41">
            <v>15.115</v>
          </cell>
          <cell r="R41">
            <v>15.716999999999899</v>
          </cell>
          <cell r="S41">
            <v>16.318999999999999</v>
          </cell>
          <cell r="T41">
            <v>16.920999999999999</v>
          </cell>
          <cell r="U41">
            <v>17.523</v>
          </cell>
          <cell r="V41">
            <v>18.125</v>
          </cell>
          <cell r="W41">
            <v>18.727</v>
          </cell>
          <cell r="X41">
            <v>19.329000000000001</v>
          </cell>
          <cell r="Y41">
            <v>19.931000000000001</v>
          </cell>
          <cell r="Z41">
            <v>24.093333333333302</v>
          </cell>
          <cell r="AA41">
            <v>28.255666666666599</v>
          </cell>
          <cell r="AB41">
            <v>32.4179999999999</v>
          </cell>
          <cell r="AC41">
            <v>45.751999999999903</v>
          </cell>
          <cell r="AD41">
            <v>63.270999999999901</v>
          </cell>
          <cell r="AE41">
            <v>46.1859999999999</v>
          </cell>
          <cell r="AF41">
            <v>42.131364499999897</v>
          </cell>
          <cell r="AG41">
            <v>41.952736399999999</v>
          </cell>
          <cell r="AH41">
            <v>39.695615799999999</v>
          </cell>
          <cell r="AI41">
            <v>37.572384399999898</v>
          </cell>
          <cell r="AJ41">
            <v>36.927978400000001</v>
          </cell>
        </row>
      </sheetData>
      <sheetData sheetId="34">
        <row r="6">
          <cell r="AB6">
            <v>282.82861919999903</v>
          </cell>
          <cell r="AC6">
            <v>306.12782089999899</v>
          </cell>
          <cell r="AD6">
            <v>319.47322609999998</v>
          </cell>
        </row>
        <row r="7">
          <cell r="AB7">
            <v>282.82861919999903</v>
          </cell>
          <cell r="AC7">
            <v>304.37742309999999</v>
          </cell>
          <cell r="AD7">
            <v>315.48100229999898</v>
          </cell>
        </row>
        <row r="18">
          <cell r="T18">
            <v>0</v>
          </cell>
          <cell r="U18">
            <v>0</v>
          </cell>
          <cell r="BA18">
            <v>30.406828149999996</v>
          </cell>
          <cell r="BB18">
            <v>0</v>
          </cell>
        </row>
        <row r="23">
          <cell r="AI23">
            <v>291.42560519999904</v>
          </cell>
          <cell r="AN23">
            <v>298.56100519999904</v>
          </cell>
          <cell r="AS23">
            <v>308.56390519999906</v>
          </cell>
        </row>
        <row r="24">
          <cell r="A24">
            <v>1</v>
          </cell>
        </row>
        <row r="37">
          <cell r="E37">
            <v>98.258527909999998</v>
          </cell>
          <cell r="F37">
            <v>100.7829</v>
          </cell>
          <cell r="G37">
            <v>105.7489027</v>
          </cell>
          <cell r="H37">
            <v>107.833011599999</v>
          </cell>
          <cell r="I37">
            <v>109.144211599999</v>
          </cell>
          <cell r="J37">
            <v>111.69433629999899</v>
          </cell>
          <cell r="K37">
            <v>113.217626799999</v>
          </cell>
          <cell r="L37">
            <v>119.06861459999899</v>
          </cell>
          <cell r="M37">
            <v>119.010180499999</v>
          </cell>
          <cell r="N37">
            <v>113.73841</v>
          </cell>
          <cell r="O37">
            <v>116.500282299999</v>
          </cell>
          <cell r="P37">
            <v>115.70992209999901</v>
          </cell>
          <cell r="Q37">
            <v>115.8602109</v>
          </cell>
          <cell r="R37">
            <v>120.0972074</v>
          </cell>
          <cell r="S37">
            <v>122.889912299999</v>
          </cell>
          <cell r="T37">
            <v>127.8376523</v>
          </cell>
          <cell r="U37">
            <v>131.95218510000001</v>
          </cell>
          <cell r="V37">
            <v>134.09646549999999</v>
          </cell>
          <cell r="W37">
            <v>135.0644532</v>
          </cell>
          <cell r="X37">
            <v>140.59605819999999</v>
          </cell>
          <cell r="Y37">
            <v>149.75038330000001</v>
          </cell>
          <cell r="Z37">
            <v>148.78887779999999</v>
          </cell>
          <cell r="AA37">
            <v>152.41742099999999</v>
          </cell>
          <cell r="AB37">
            <v>157.43154039999999</v>
          </cell>
          <cell r="AC37">
            <v>160.38062740000001</v>
          </cell>
          <cell r="AD37">
            <v>165.27315049999899</v>
          </cell>
          <cell r="AE37">
            <v>170.13314370000001</v>
          </cell>
          <cell r="AF37">
            <v>165.21423559999999</v>
          </cell>
          <cell r="AG37">
            <v>174.50405119999999</v>
          </cell>
          <cell r="AH37">
            <v>182.69325119999999</v>
          </cell>
          <cell r="AI37">
            <v>169.48385119999901</v>
          </cell>
          <cell r="AJ37">
            <v>176.63245119999999</v>
          </cell>
        </row>
        <row r="41">
          <cell r="E41">
            <v>216.56852791</v>
          </cell>
          <cell r="F41">
            <v>220.16989999999899</v>
          </cell>
          <cell r="G41">
            <v>225.50290269999999</v>
          </cell>
          <cell r="H41">
            <v>228.05801159999999</v>
          </cell>
          <cell r="I41">
            <v>230.1912116</v>
          </cell>
          <cell r="J41">
            <v>232.59633629999999</v>
          </cell>
          <cell r="K41">
            <v>234.50362680000001</v>
          </cell>
          <cell r="L41">
            <v>242.04261459999901</v>
          </cell>
          <cell r="M41">
            <v>240.97918049999899</v>
          </cell>
          <cell r="N41">
            <v>235.78040999999999</v>
          </cell>
          <cell r="O41">
            <v>219.75228229999999</v>
          </cell>
          <cell r="P41">
            <v>200.279922099999</v>
          </cell>
          <cell r="Q41">
            <v>200.23121090000001</v>
          </cell>
          <cell r="R41">
            <v>218.74220739999899</v>
          </cell>
          <cell r="S41">
            <v>221.27391230000001</v>
          </cell>
          <cell r="T41">
            <v>213.43465230000001</v>
          </cell>
          <cell r="U41">
            <v>216.1171851</v>
          </cell>
          <cell r="V41">
            <v>219.7634655</v>
          </cell>
          <cell r="W41">
            <v>216.38845319999999</v>
          </cell>
          <cell r="X41">
            <v>215.9860582</v>
          </cell>
          <cell r="Y41">
            <v>225.2893833</v>
          </cell>
          <cell r="Z41">
            <v>233.25587780000001</v>
          </cell>
          <cell r="AA41">
            <v>234.32642099999899</v>
          </cell>
          <cell r="AB41">
            <v>224.82454039999999</v>
          </cell>
          <cell r="AC41">
            <v>231.52462739999899</v>
          </cell>
          <cell r="AD41">
            <v>228.0081505</v>
          </cell>
          <cell r="AE41">
            <v>250.05014370000001</v>
          </cell>
          <cell r="AF41">
            <v>272.24323559999999</v>
          </cell>
          <cell r="AG41">
            <v>273.52005120000001</v>
          </cell>
          <cell r="AH41">
            <v>288.873635199999</v>
          </cell>
          <cell r="AI41">
            <v>282.82861919999903</v>
          </cell>
          <cell r="AJ41">
            <v>289.59149019999899</v>
          </cell>
        </row>
      </sheetData>
      <sheetData sheetId="35">
        <row r="5">
          <cell r="AB5">
            <v>0</v>
          </cell>
          <cell r="AC5">
            <v>389.06589305</v>
          </cell>
          <cell r="AD5">
            <v>442.17304389999947</v>
          </cell>
        </row>
        <row r="6">
          <cell r="AB6">
            <v>0</v>
          </cell>
          <cell r="AC6">
            <v>407.25246229999999</v>
          </cell>
          <cell r="AD6">
            <v>483.327663999999</v>
          </cell>
        </row>
        <row r="7">
          <cell r="AB7">
            <v>0</v>
          </cell>
          <cell r="AC7">
            <v>370.87932380000001</v>
          </cell>
          <cell r="AD7">
            <v>401.01842379999999</v>
          </cell>
        </row>
        <row r="24">
          <cell r="A24">
            <v>1</v>
          </cell>
        </row>
        <row r="37">
          <cell r="E37">
            <v>128</v>
          </cell>
          <cell r="F37">
            <v>131</v>
          </cell>
          <cell r="G37">
            <v>134</v>
          </cell>
          <cell r="H37">
            <v>147</v>
          </cell>
          <cell r="I37">
            <v>138</v>
          </cell>
          <cell r="J37">
            <v>150</v>
          </cell>
          <cell r="K37">
            <v>150</v>
          </cell>
          <cell r="L37">
            <v>162</v>
          </cell>
          <cell r="M37">
            <v>173</v>
          </cell>
          <cell r="N37">
            <v>177</v>
          </cell>
          <cell r="O37">
            <v>191</v>
          </cell>
          <cell r="P37">
            <v>185</v>
          </cell>
          <cell r="Q37">
            <v>193</v>
          </cell>
          <cell r="R37">
            <v>218</v>
          </cell>
          <cell r="S37">
            <v>228</v>
          </cell>
          <cell r="T37">
            <v>251</v>
          </cell>
          <cell r="U37">
            <v>264</v>
          </cell>
          <cell r="V37">
            <v>274</v>
          </cell>
          <cell r="W37">
            <v>286</v>
          </cell>
          <cell r="X37">
            <v>291</v>
          </cell>
          <cell r="Y37">
            <v>291</v>
          </cell>
          <cell r="Z37">
            <v>308</v>
          </cell>
          <cell r="AA37">
            <v>306</v>
          </cell>
          <cell r="AB37">
            <v>302</v>
          </cell>
          <cell r="AC37">
            <v>318</v>
          </cell>
          <cell r="AD37">
            <v>313</v>
          </cell>
          <cell r="AE37">
            <v>329</v>
          </cell>
          <cell r="AF37">
            <v>348</v>
          </cell>
          <cell r="AG37">
            <v>347</v>
          </cell>
          <cell r="AH37">
            <v>353</v>
          </cell>
          <cell r="AI37">
            <v>337</v>
          </cell>
          <cell r="AJ37">
            <v>346</v>
          </cell>
        </row>
        <row r="41">
          <cell r="E41">
            <v>128</v>
          </cell>
          <cell r="F41">
            <v>131</v>
          </cell>
          <cell r="G41">
            <v>134</v>
          </cell>
          <cell r="H41">
            <v>147</v>
          </cell>
          <cell r="I41">
            <v>138</v>
          </cell>
          <cell r="J41">
            <v>150</v>
          </cell>
          <cell r="K41">
            <v>150</v>
          </cell>
          <cell r="L41">
            <v>162</v>
          </cell>
          <cell r="M41">
            <v>173</v>
          </cell>
          <cell r="N41">
            <v>177</v>
          </cell>
          <cell r="O41">
            <v>191</v>
          </cell>
          <cell r="P41">
            <v>185</v>
          </cell>
          <cell r="Q41">
            <v>193</v>
          </cell>
          <cell r="R41">
            <v>218</v>
          </cell>
          <cell r="S41">
            <v>228</v>
          </cell>
          <cell r="T41">
            <v>251</v>
          </cell>
          <cell r="U41">
            <v>264</v>
          </cell>
          <cell r="V41">
            <v>274</v>
          </cell>
          <cell r="W41">
            <v>286</v>
          </cell>
          <cell r="X41">
            <v>291</v>
          </cell>
          <cell r="Y41">
            <v>291</v>
          </cell>
          <cell r="Z41">
            <v>308</v>
          </cell>
          <cell r="AA41">
            <v>306</v>
          </cell>
          <cell r="AB41">
            <v>302</v>
          </cell>
          <cell r="AC41">
            <v>318</v>
          </cell>
          <cell r="AD41">
            <v>313</v>
          </cell>
          <cell r="AE41">
            <v>329</v>
          </cell>
          <cell r="AF41">
            <v>348</v>
          </cell>
          <cell r="AG41">
            <v>347</v>
          </cell>
          <cell r="AH41">
            <v>353</v>
          </cell>
          <cell r="AI41">
            <v>337</v>
          </cell>
          <cell r="AJ41">
            <v>346</v>
          </cell>
        </row>
      </sheetData>
      <sheetData sheetId="36">
        <row r="6">
          <cell r="AB6">
            <v>258.8762026</v>
          </cell>
          <cell r="AC6">
            <v>271.34122389999999</v>
          </cell>
          <cell r="AD6">
            <v>313.41291230000002</v>
          </cell>
        </row>
        <row r="7">
          <cell r="AB7">
            <v>258.8762026</v>
          </cell>
          <cell r="AC7">
            <v>261.53161269999998</v>
          </cell>
          <cell r="AD7">
            <v>286.6176284</v>
          </cell>
        </row>
        <row r="18">
          <cell r="T18">
            <v>47.80172964999997</v>
          </cell>
          <cell r="U18">
            <v>0</v>
          </cell>
          <cell r="BA18">
            <v>0</v>
          </cell>
          <cell r="BB18">
            <v>0</v>
          </cell>
        </row>
        <row r="24">
          <cell r="A24">
            <v>1</v>
          </cell>
        </row>
        <row r="37">
          <cell r="E37">
            <v>53.79</v>
          </cell>
          <cell r="F37">
            <v>53.79</v>
          </cell>
          <cell r="G37">
            <v>55.5</v>
          </cell>
          <cell r="H37">
            <v>50.88</v>
          </cell>
          <cell r="I37">
            <v>76.650000000000006</v>
          </cell>
          <cell r="J37">
            <v>75.943333330000002</v>
          </cell>
          <cell r="K37">
            <v>79.426666670000003</v>
          </cell>
          <cell r="L37">
            <v>84.78</v>
          </cell>
          <cell r="M37">
            <v>87.02333333</v>
          </cell>
          <cell r="N37">
            <v>89.646666670000002</v>
          </cell>
          <cell r="O37">
            <v>89.55</v>
          </cell>
          <cell r="P37">
            <v>86.126153849999994</v>
          </cell>
          <cell r="Q37">
            <v>68.192307690000007</v>
          </cell>
          <cell r="R37">
            <v>119.6484615</v>
          </cell>
          <cell r="S37">
            <v>114.3746154</v>
          </cell>
          <cell r="T37">
            <v>93.590769230000006</v>
          </cell>
          <cell r="U37">
            <v>88.376923079999997</v>
          </cell>
          <cell r="V37">
            <v>87.273076919999994</v>
          </cell>
          <cell r="W37">
            <v>136.44923080000001</v>
          </cell>
          <cell r="X37">
            <v>132.8353846</v>
          </cell>
          <cell r="Y37">
            <v>129.02153849999999</v>
          </cell>
          <cell r="Z37">
            <v>117.9976923</v>
          </cell>
          <cell r="AA37">
            <v>120.24384619999999</v>
          </cell>
          <cell r="AB37">
            <v>117.12</v>
          </cell>
          <cell r="AC37">
            <v>117.604</v>
          </cell>
          <cell r="AD37">
            <v>122.97799999999999</v>
          </cell>
          <cell r="AE37">
            <v>123.05200000000001</v>
          </cell>
          <cell r="AF37">
            <v>129.82599999999999</v>
          </cell>
          <cell r="AG37">
            <v>137.06</v>
          </cell>
          <cell r="AH37">
            <v>137.18618269999999</v>
          </cell>
          <cell r="AI37">
            <v>136.24284259999999</v>
          </cell>
          <cell r="AJ37">
            <v>140.83920850000001</v>
          </cell>
        </row>
        <row r="41">
          <cell r="E41">
            <v>22.529999999999902</v>
          </cell>
          <cell r="F41">
            <v>28.61</v>
          </cell>
          <cell r="G41">
            <v>35.18</v>
          </cell>
          <cell r="H41">
            <v>32.04</v>
          </cell>
          <cell r="I41">
            <v>47.55</v>
          </cell>
          <cell r="J41">
            <v>47.1</v>
          </cell>
          <cell r="K41">
            <v>50.84</v>
          </cell>
          <cell r="L41">
            <v>56.45</v>
          </cell>
          <cell r="M41">
            <v>58.95</v>
          </cell>
          <cell r="N41">
            <v>61.83</v>
          </cell>
          <cell r="O41">
            <v>61.989999999999903</v>
          </cell>
          <cell r="P41">
            <v>67.83</v>
          </cell>
          <cell r="Q41">
            <v>59.159999998000004</v>
          </cell>
          <cell r="R41">
            <v>119.879999962</v>
          </cell>
          <cell r="S41">
            <v>123.870000015</v>
          </cell>
          <cell r="T41">
            <v>112.35</v>
          </cell>
          <cell r="U41">
            <v>116.4</v>
          </cell>
          <cell r="V41">
            <v>124.56</v>
          </cell>
          <cell r="W41">
            <v>183.00000003</v>
          </cell>
          <cell r="X41">
            <v>188.64999997999999</v>
          </cell>
          <cell r="Y41">
            <v>194.10000004</v>
          </cell>
          <cell r="Z41">
            <v>192.33999999</v>
          </cell>
          <cell r="AA41">
            <v>203.85000005000001</v>
          </cell>
          <cell r="AB41">
            <v>209.99</v>
          </cell>
          <cell r="AC41">
            <v>216.5</v>
          </cell>
          <cell r="AD41">
            <v>227.9</v>
          </cell>
          <cell r="AE41">
            <v>234</v>
          </cell>
          <cell r="AF41">
            <v>246.79999999999899</v>
          </cell>
          <cell r="AG41">
            <v>260.06</v>
          </cell>
          <cell r="AH41">
            <v>260.00286269999998</v>
          </cell>
          <cell r="AI41">
            <v>258.8762026</v>
          </cell>
          <cell r="AJ41">
            <v>259.66456849999997</v>
          </cell>
        </row>
      </sheetData>
      <sheetData sheetId="37">
        <row r="5">
          <cell r="AB5">
            <v>933.02896999999996</v>
          </cell>
          <cell r="AC5">
            <v>1162.3235549999999</v>
          </cell>
          <cell r="AD5">
            <v>1349.5548199999998</v>
          </cell>
        </row>
        <row r="6">
          <cell r="AB6">
            <v>933.02896999999996</v>
          </cell>
          <cell r="AC6">
            <v>1179.2540409999999</v>
          </cell>
          <cell r="AD6">
            <v>1352.4367669999999</v>
          </cell>
        </row>
        <row r="7">
          <cell r="AB7">
            <v>933.02896999999996</v>
          </cell>
          <cell r="AC7">
            <v>1145.393069</v>
          </cell>
          <cell r="AD7">
            <v>1346.672873</v>
          </cell>
        </row>
        <row r="24">
          <cell r="A24">
            <v>1</v>
          </cell>
        </row>
        <row r="37">
          <cell r="E37">
            <v>377</v>
          </cell>
          <cell r="F37">
            <v>399</v>
          </cell>
          <cell r="G37">
            <v>404</v>
          </cell>
          <cell r="H37">
            <v>397</v>
          </cell>
          <cell r="I37">
            <v>441</v>
          </cell>
          <cell r="J37">
            <v>438</v>
          </cell>
          <cell r="K37">
            <v>444</v>
          </cell>
          <cell r="L37">
            <v>432</v>
          </cell>
          <cell r="M37">
            <v>456</v>
          </cell>
          <cell r="N37">
            <v>524</v>
          </cell>
          <cell r="O37">
            <v>516</v>
          </cell>
          <cell r="P37">
            <v>540</v>
          </cell>
          <cell r="Q37">
            <v>545</v>
          </cell>
          <cell r="R37">
            <v>581</v>
          </cell>
          <cell r="S37">
            <v>625</v>
          </cell>
          <cell r="T37">
            <v>652</v>
          </cell>
          <cell r="U37">
            <v>701</v>
          </cell>
          <cell r="V37">
            <v>717</v>
          </cell>
          <cell r="W37">
            <v>731</v>
          </cell>
          <cell r="X37">
            <v>744</v>
          </cell>
          <cell r="Y37">
            <v>768</v>
          </cell>
          <cell r="Z37">
            <v>782</v>
          </cell>
          <cell r="AA37">
            <v>802</v>
          </cell>
          <cell r="AB37">
            <v>810</v>
          </cell>
          <cell r="AC37">
            <v>847</v>
          </cell>
          <cell r="AD37">
            <v>838</v>
          </cell>
          <cell r="AE37">
            <v>883</v>
          </cell>
          <cell r="AF37">
            <v>905</v>
          </cell>
          <cell r="AG37">
            <v>940</v>
          </cell>
          <cell r="AH37">
            <v>969</v>
          </cell>
          <cell r="AI37">
            <v>908</v>
          </cell>
          <cell r="AJ37">
            <v>976</v>
          </cell>
        </row>
        <row r="41">
          <cell r="E41">
            <v>409</v>
          </cell>
          <cell r="F41">
            <v>431</v>
          </cell>
          <cell r="G41">
            <v>436</v>
          </cell>
          <cell r="H41">
            <v>429</v>
          </cell>
          <cell r="I41">
            <v>473</v>
          </cell>
          <cell r="J41">
            <v>466.166666666666</v>
          </cell>
          <cell r="K41">
            <v>468.33333333333297</v>
          </cell>
          <cell r="L41">
            <v>452.5</v>
          </cell>
          <cell r="M41">
            <v>472.666666666666</v>
          </cell>
          <cell r="N41">
            <v>536.83333333333303</v>
          </cell>
          <cell r="O41">
            <v>525</v>
          </cell>
          <cell r="P41">
            <v>550.29999999999995</v>
          </cell>
          <cell r="Q41">
            <v>556.6</v>
          </cell>
          <cell r="R41">
            <v>593.9</v>
          </cell>
          <cell r="S41">
            <v>639.20000000000005</v>
          </cell>
          <cell r="T41">
            <v>667.5</v>
          </cell>
          <cell r="U41">
            <v>717.8</v>
          </cell>
          <cell r="V41">
            <v>735.1</v>
          </cell>
          <cell r="W41">
            <v>750.4</v>
          </cell>
          <cell r="X41">
            <v>764.7</v>
          </cell>
          <cell r="Y41">
            <v>790</v>
          </cell>
          <cell r="Z41">
            <v>804.20061199999998</v>
          </cell>
          <cell r="AA41">
            <v>824.51487399999996</v>
          </cell>
          <cell r="AB41">
            <v>832.82913599999995</v>
          </cell>
          <cell r="AC41">
            <v>870.14339800000005</v>
          </cell>
          <cell r="AD41">
            <v>861.45766000000003</v>
          </cell>
          <cell r="AE41">
            <v>906.77192200000002</v>
          </cell>
          <cell r="AF41">
            <v>929.086184</v>
          </cell>
          <cell r="AG41">
            <v>964.40044599999999</v>
          </cell>
          <cell r="AH41">
            <v>993.71470799999997</v>
          </cell>
          <cell r="AI41">
            <v>933.02896999999996</v>
          </cell>
          <cell r="AJ41">
            <v>1001.27838</v>
          </cell>
        </row>
      </sheetData>
      <sheetData sheetId="38">
        <row r="5">
          <cell r="AB5">
            <v>342.86878828092199</v>
          </cell>
          <cell r="AC5">
            <v>383.60756650000002</v>
          </cell>
          <cell r="AD5">
            <v>425.6865967</v>
          </cell>
        </row>
        <row r="6">
          <cell r="AB6">
            <v>342.86878828092199</v>
          </cell>
          <cell r="AC6">
            <v>383.60756650000002</v>
          </cell>
          <cell r="AD6">
            <v>425.6865967</v>
          </cell>
        </row>
        <row r="7">
          <cell r="AB7">
            <v>342.86878828092199</v>
          </cell>
          <cell r="AC7">
            <v>375.89905004771401</v>
          </cell>
          <cell r="AD7">
            <v>392.79152413854098</v>
          </cell>
        </row>
        <row r="9">
          <cell r="AM9">
            <v>148.072</v>
          </cell>
        </row>
        <row r="10">
          <cell r="X10">
            <v>314.93160574393943</v>
          </cell>
          <cell r="Y10">
            <v>287.16810574393941</v>
          </cell>
        </row>
        <row r="18">
          <cell r="T18">
            <v>0</v>
          </cell>
          <cell r="U18">
            <v>0</v>
          </cell>
          <cell r="BA18">
            <v>0</v>
          </cell>
          <cell r="BB18">
            <v>0</v>
          </cell>
        </row>
        <row r="23">
          <cell r="AN23">
            <v>433.38327314909105</v>
          </cell>
          <cell r="AS23">
            <v>462.97107314909101</v>
          </cell>
        </row>
        <row r="37">
          <cell r="E37">
            <v>385.60299715756702</v>
          </cell>
          <cell r="F37">
            <v>370.31218885787399</v>
          </cell>
          <cell r="G37">
            <v>343.62244107901699</v>
          </cell>
          <cell r="H37">
            <v>307.94755147081599</v>
          </cell>
          <cell r="I37">
            <v>260.51339219679102</v>
          </cell>
          <cell r="J37">
            <v>243.20855602524</v>
          </cell>
          <cell r="K37">
            <v>224.96922292030001</v>
          </cell>
          <cell r="L37">
            <v>217.101214621699</v>
          </cell>
          <cell r="M37">
            <v>213.08115147137599</v>
          </cell>
          <cell r="N37">
            <v>186.72004155091901</v>
          </cell>
          <cell r="O37">
            <v>216.18893959649699</v>
          </cell>
          <cell r="P37">
            <v>210.09145033632899</v>
          </cell>
          <cell r="Q37">
            <v>232.445247900786</v>
          </cell>
          <cell r="R37">
            <v>253.92385290269999</v>
          </cell>
          <cell r="S37">
            <v>260.48082057162998</v>
          </cell>
          <cell r="T37">
            <v>273.972959581954</v>
          </cell>
          <cell r="U37">
            <v>291.44678554550802</v>
          </cell>
          <cell r="V37">
            <v>293.34922138138199</v>
          </cell>
          <cell r="W37">
            <v>288.54379866797802</v>
          </cell>
          <cell r="X37">
            <v>276.71949816050301</v>
          </cell>
          <cell r="Y37">
            <v>300.82700170909101</v>
          </cell>
          <cell r="Z37">
            <v>290.78092843152302</v>
          </cell>
          <cell r="AA37">
            <v>295.68366144974499</v>
          </cell>
          <cell r="AB37">
            <v>303.671288493595</v>
          </cell>
          <cell r="AC37">
            <v>351.47631588274498</v>
          </cell>
          <cell r="AD37">
            <v>355.83286571507</v>
          </cell>
          <cell r="AE37">
            <v>360.91021986908203</v>
          </cell>
          <cell r="AF37">
            <v>379.43588894909101</v>
          </cell>
          <cell r="AG37">
            <v>392.75475276373197</v>
          </cell>
          <cell r="AH37">
            <v>359.628252806636</v>
          </cell>
          <cell r="AI37">
            <v>342.86878828092199</v>
          </cell>
          <cell r="AJ37">
            <v>356.68552666355902</v>
          </cell>
        </row>
        <row r="41">
          <cell r="E41">
            <v>381.69478369090035</v>
          </cell>
          <cell r="F41">
            <v>371.84823339120732</v>
          </cell>
          <cell r="G41">
            <v>350.63887327901699</v>
          </cell>
          <cell r="H41">
            <v>319.09032353748262</v>
          </cell>
          <cell r="I41">
            <v>277.54099646345765</v>
          </cell>
          <cell r="J41">
            <v>266.55342049190659</v>
          </cell>
          <cell r="K41">
            <v>254.47583292030001</v>
          </cell>
          <cell r="L41">
            <v>253.30821662169899</v>
          </cell>
          <cell r="M41">
            <v>254.2123312047093</v>
          </cell>
          <cell r="N41">
            <v>235.863268150919</v>
          </cell>
          <cell r="O41">
            <v>272.7609846631637</v>
          </cell>
          <cell r="P41">
            <v>263.84220060299572</v>
          </cell>
          <cell r="Q41">
            <v>284.7139990341193</v>
          </cell>
          <cell r="R41">
            <v>301.7509838360333</v>
          </cell>
          <cell r="S41">
            <v>303.21073703829666</v>
          </cell>
          <cell r="T41">
            <v>311.41400664862067</v>
          </cell>
          <cell r="U41">
            <v>324.46471481217475</v>
          </cell>
          <cell r="V41">
            <v>320.22333311471527</v>
          </cell>
          <cell r="W41">
            <v>312.14334873464463</v>
          </cell>
          <cell r="X41">
            <v>296.920734160503</v>
          </cell>
          <cell r="Y41">
            <v>315.7674229757576</v>
          </cell>
          <cell r="Z41">
            <v>302.46156729818961</v>
          </cell>
          <cell r="AA41">
            <v>303.4137839830783</v>
          </cell>
          <cell r="AB41">
            <v>306.87671409359501</v>
          </cell>
          <cell r="AC41">
            <v>355.79706481607832</v>
          </cell>
          <cell r="AD41">
            <v>361.16926951507003</v>
          </cell>
          <cell r="AE41">
            <v>366.78429966908203</v>
          </cell>
          <cell r="AF41">
            <v>385.84510314909102</v>
          </cell>
          <cell r="AG41">
            <v>401.66176123039867</v>
          </cell>
          <cell r="AH41">
            <v>364.68016693996935</v>
          </cell>
          <cell r="AI41">
            <v>342.86878828092199</v>
          </cell>
          <cell r="AJ41">
            <v>356.68552666355902</v>
          </cell>
        </row>
      </sheetData>
      <sheetData sheetId="39">
        <row r="6">
          <cell r="AB6">
            <v>89.995040399999993</v>
          </cell>
          <cell r="AC6">
            <v>108.404032999999</v>
          </cell>
          <cell r="AD6">
            <v>122.5404308</v>
          </cell>
        </row>
        <row r="7">
          <cell r="AB7">
            <v>89.995040399999993</v>
          </cell>
          <cell r="AC7">
            <v>91.8086804</v>
          </cell>
          <cell r="AD7">
            <v>85.200887399999999</v>
          </cell>
        </row>
        <row r="10">
          <cell r="X10">
            <v>105.46971249999999</v>
          </cell>
          <cell r="Y10">
            <v>76.430312499999985</v>
          </cell>
        </row>
        <row r="23">
          <cell r="AI23">
            <v>94.138379999999984</v>
          </cell>
          <cell r="AN23">
            <v>104.21625999999999</v>
          </cell>
          <cell r="AS23">
            <v>109.35982999999997</v>
          </cell>
        </row>
        <row r="24">
          <cell r="A24">
            <v>1</v>
          </cell>
        </row>
        <row r="37">
          <cell r="E37">
            <v>37</v>
          </cell>
          <cell r="F37">
            <v>38</v>
          </cell>
          <cell r="G37">
            <v>38</v>
          </cell>
          <cell r="H37">
            <v>39</v>
          </cell>
          <cell r="I37">
            <v>41</v>
          </cell>
          <cell r="J37">
            <v>43</v>
          </cell>
          <cell r="K37">
            <v>45</v>
          </cell>
          <cell r="L37">
            <v>47</v>
          </cell>
          <cell r="M37">
            <v>49</v>
          </cell>
          <cell r="N37">
            <v>51</v>
          </cell>
          <cell r="O37">
            <v>53</v>
          </cell>
          <cell r="P37">
            <v>55</v>
          </cell>
          <cell r="Q37">
            <v>57</v>
          </cell>
          <cell r="R37">
            <v>60</v>
          </cell>
          <cell r="S37">
            <v>62</v>
          </cell>
          <cell r="T37">
            <v>64</v>
          </cell>
          <cell r="U37">
            <v>67</v>
          </cell>
          <cell r="V37">
            <v>69</v>
          </cell>
          <cell r="W37">
            <v>71</v>
          </cell>
          <cell r="X37">
            <v>73</v>
          </cell>
          <cell r="Y37">
            <v>75.249600000000001</v>
          </cell>
          <cell r="Z37">
            <v>78.856899999999996</v>
          </cell>
          <cell r="AA37">
            <v>82.464200000000005</v>
          </cell>
          <cell r="AB37">
            <v>83.400350000000003</v>
          </cell>
          <cell r="AC37">
            <v>84.336500000000001</v>
          </cell>
          <cell r="AD37">
            <v>85.512</v>
          </cell>
          <cell r="AE37">
            <v>86.6875</v>
          </cell>
          <cell r="AF37">
            <v>89.688749999999999</v>
          </cell>
          <cell r="AG37">
            <v>92.69</v>
          </cell>
          <cell r="AH37">
            <v>97.89</v>
          </cell>
          <cell r="AI37">
            <v>91.79</v>
          </cell>
          <cell r="AJ37">
            <v>98.89</v>
          </cell>
        </row>
        <row r="41">
          <cell r="E41">
            <v>41</v>
          </cell>
          <cell r="F41">
            <v>42</v>
          </cell>
          <cell r="G41">
            <v>42</v>
          </cell>
          <cell r="H41">
            <v>43</v>
          </cell>
          <cell r="I41">
            <v>45</v>
          </cell>
          <cell r="J41">
            <v>47</v>
          </cell>
          <cell r="K41">
            <v>49</v>
          </cell>
          <cell r="L41">
            <v>51</v>
          </cell>
          <cell r="M41">
            <v>53</v>
          </cell>
          <cell r="N41">
            <v>55</v>
          </cell>
          <cell r="O41">
            <v>57</v>
          </cell>
          <cell r="P41">
            <v>57.5</v>
          </cell>
          <cell r="Q41">
            <v>58</v>
          </cell>
          <cell r="R41">
            <v>59.5</v>
          </cell>
          <cell r="S41">
            <v>60</v>
          </cell>
          <cell r="T41">
            <v>62</v>
          </cell>
          <cell r="U41">
            <v>65</v>
          </cell>
          <cell r="V41">
            <v>67</v>
          </cell>
          <cell r="W41">
            <v>69</v>
          </cell>
          <cell r="X41">
            <v>70.864699999999999</v>
          </cell>
          <cell r="Y41">
            <v>72.978999999999999</v>
          </cell>
          <cell r="Z41">
            <v>76.673749999999998</v>
          </cell>
          <cell r="AA41">
            <v>80.368499999999997</v>
          </cell>
          <cell r="AB41">
            <v>81.374750000000006</v>
          </cell>
          <cell r="AC41">
            <v>82.381</v>
          </cell>
          <cell r="AD41">
            <v>83.741349999999997</v>
          </cell>
          <cell r="AE41">
            <v>85.101699999999994</v>
          </cell>
          <cell r="AF41">
            <v>88.023049999999998</v>
          </cell>
          <cell r="AG41">
            <v>90.944400000000002</v>
          </cell>
          <cell r="AH41">
            <v>96.119720200000003</v>
          </cell>
          <cell r="AI41">
            <v>89.995040399999993</v>
          </cell>
          <cell r="AJ41">
            <v>97.071928400000004</v>
          </cell>
        </row>
      </sheetData>
      <sheetData sheetId="40">
        <row r="6">
          <cell r="AB6">
            <v>650.70402000000001</v>
          </cell>
          <cell r="AC6">
            <v>734.96583899999996</v>
          </cell>
          <cell r="AD6">
            <v>783.75626799999998</v>
          </cell>
        </row>
        <row r="7">
          <cell r="AB7">
            <v>650.70402000000001</v>
          </cell>
          <cell r="AC7">
            <v>734.96583899999996</v>
          </cell>
          <cell r="AD7">
            <v>783.75626799999998</v>
          </cell>
        </row>
        <row r="9">
          <cell r="AM9">
            <v>278.83333333333337</v>
          </cell>
        </row>
        <row r="10">
          <cell r="X10">
            <v>760.6713629999997</v>
          </cell>
          <cell r="Y10">
            <v>760.6713629999997</v>
          </cell>
        </row>
        <row r="18">
          <cell r="T18">
            <v>52.743732000000023</v>
          </cell>
          <cell r="U18">
            <v>52.743732000000023</v>
          </cell>
          <cell r="BA18">
            <v>0</v>
          </cell>
          <cell r="BB18">
            <v>0</v>
          </cell>
        </row>
        <row r="23">
          <cell r="AI23">
            <v>662.48565999999994</v>
          </cell>
          <cell r="AN23">
            <v>717.85625999999991</v>
          </cell>
          <cell r="AS23">
            <v>760.49625999999989</v>
          </cell>
        </row>
        <row r="24">
          <cell r="A24">
            <v>1</v>
          </cell>
        </row>
        <row r="37">
          <cell r="E37">
            <v>168.0114323</v>
          </cell>
          <cell r="F37">
            <v>181.29544136999999</v>
          </cell>
          <cell r="G37">
            <v>194.57945043999999</v>
          </cell>
          <cell r="H37">
            <v>207.86345950999899</v>
          </cell>
          <cell r="I37">
            <v>221.14746858000001</v>
          </cell>
          <cell r="J37">
            <v>234.43147764999901</v>
          </cell>
          <cell r="K37">
            <v>247.71548672</v>
          </cell>
          <cell r="L37">
            <v>260.999495789999</v>
          </cell>
          <cell r="M37">
            <v>274.28350485999999</v>
          </cell>
          <cell r="N37">
            <v>287.56751393000002</v>
          </cell>
          <cell r="O37">
            <v>300.85152299999999</v>
          </cell>
          <cell r="P37">
            <v>324.0849159</v>
          </cell>
          <cell r="Q37">
            <v>347.31830879999899</v>
          </cell>
          <cell r="R37">
            <v>370.551701699999</v>
          </cell>
          <cell r="S37">
            <v>393.78509459999998</v>
          </cell>
          <cell r="T37">
            <v>417.01848749999999</v>
          </cell>
          <cell r="U37">
            <v>440.25188039999898</v>
          </cell>
          <cell r="V37">
            <v>463.48527329999899</v>
          </cell>
          <cell r="W37">
            <v>486.71866619999901</v>
          </cell>
          <cell r="X37">
            <v>509.95205909999902</v>
          </cell>
          <cell r="Y37">
            <v>533.18545199999903</v>
          </cell>
          <cell r="Z37">
            <v>539.47732599999995</v>
          </cell>
          <cell r="AA37">
            <v>545.76919999999996</v>
          </cell>
          <cell r="AB37">
            <v>572.75290499999903</v>
          </cell>
          <cell r="AC37">
            <v>599.73660999999902</v>
          </cell>
          <cell r="AD37">
            <v>626.72031500000003</v>
          </cell>
          <cell r="AE37">
            <v>653.70402000000001</v>
          </cell>
          <cell r="AF37">
            <v>664.70402000000001</v>
          </cell>
          <cell r="AG37">
            <v>667.70402000000001</v>
          </cell>
          <cell r="AH37">
            <v>651.70402000000001</v>
          </cell>
          <cell r="AI37">
            <v>650.70402000000001</v>
          </cell>
          <cell r="AJ37">
            <v>660.70402000000001</v>
          </cell>
        </row>
        <row r="41">
          <cell r="E41">
            <v>152.77143229999999</v>
          </cell>
          <cell r="F41">
            <v>166.16259137</v>
          </cell>
          <cell r="G41">
            <v>179.55375043999999</v>
          </cell>
          <cell r="H41">
            <v>192.94490950999901</v>
          </cell>
          <cell r="I41">
            <v>206.33606857999999</v>
          </cell>
          <cell r="J41">
            <v>219.72722764999901</v>
          </cell>
          <cell r="K41">
            <v>233.11838671999999</v>
          </cell>
          <cell r="L41">
            <v>246.50954578999901</v>
          </cell>
          <cell r="M41">
            <v>259.90070486000002</v>
          </cell>
          <cell r="N41">
            <v>273.29186392999998</v>
          </cell>
          <cell r="O41">
            <v>286.68302299999999</v>
          </cell>
          <cell r="P41">
            <v>310.4283259</v>
          </cell>
          <cell r="Q41">
            <v>334.17362879999899</v>
          </cell>
          <cell r="R41">
            <v>357.91893169999997</v>
          </cell>
          <cell r="S41">
            <v>381.66423459999999</v>
          </cell>
          <cell r="T41">
            <v>405.4095375</v>
          </cell>
          <cell r="U41">
            <v>429.15484039999899</v>
          </cell>
          <cell r="V41">
            <v>452.900143299999</v>
          </cell>
          <cell r="W41">
            <v>476.64544619999901</v>
          </cell>
          <cell r="X41">
            <v>500.39074909999903</v>
          </cell>
          <cell r="Y41">
            <v>524.13605199999995</v>
          </cell>
          <cell r="Z41">
            <v>530.37712599999998</v>
          </cell>
          <cell r="AA41">
            <v>536.6182</v>
          </cell>
          <cell r="AB41">
            <v>563.57220499999903</v>
          </cell>
          <cell r="AC41">
            <v>590.52620999999897</v>
          </cell>
          <cell r="AD41">
            <v>617.48021500000004</v>
          </cell>
          <cell r="AE41">
            <v>644.43421999999998</v>
          </cell>
          <cell r="AF41">
            <v>655.43501819599999</v>
          </cell>
          <cell r="AG41">
            <v>658.43581639199999</v>
          </cell>
          <cell r="AH41">
            <v>642.436614588</v>
          </cell>
          <cell r="AI41">
            <v>641.437412784</v>
          </cell>
          <cell r="AJ41">
            <v>651.47192989600001</v>
          </cell>
        </row>
      </sheetData>
      <sheetData sheetId="41">
        <row r="6">
          <cell r="AB6">
            <v>245.1019987</v>
          </cell>
          <cell r="AC6">
            <v>262.24386010000001</v>
          </cell>
          <cell r="AD6">
            <v>287.337594999999</v>
          </cell>
        </row>
        <row r="7">
          <cell r="AB7">
            <v>245.1019987</v>
          </cell>
          <cell r="AC7">
            <v>262.24386010000001</v>
          </cell>
          <cell r="AD7">
            <v>287.337594999999</v>
          </cell>
        </row>
        <row r="10">
          <cell r="X10" t="str">
            <v/>
          </cell>
          <cell r="Y10">
            <v>113.61427457500001</v>
          </cell>
        </row>
        <row r="18">
          <cell r="BA18">
            <v>0</v>
          </cell>
          <cell r="BB18">
            <v>0</v>
          </cell>
        </row>
        <row r="23">
          <cell r="AI23">
            <v>232.34299960000001</v>
          </cell>
          <cell r="AN23">
            <v>265.59659959999999</v>
          </cell>
          <cell r="AS23">
            <v>294.95369960000005</v>
          </cell>
        </row>
        <row r="24">
          <cell r="A24">
            <v>1</v>
          </cell>
        </row>
        <row r="37">
          <cell r="E37">
            <v>104.2236351</v>
          </cell>
          <cell r="F37">
            <v>104.1173264</v>
          </cell>
          <cell r="G37">
            <v>106.7562492</v>
          </cell>
          <cell r="H37">
            <v>110.991272999999</v>
          </cell>
          <cell r="I37">
            <v>117.9441877</v>
          </cell>
          <cell r="J37">
            <v>130.17496159999999</v>
          </cell>
          <cell r="K37">
            <v>135.84272329999999</v>
          </cell>
          <cell r="L37">
            <v>144.8975658</v>
          </cell>
          <cell r="M37">
            <v>138.56580259999899</v>
          </cell>
          <cell r="N37">
            <v>142.78689609999901</v>
          </cell>
          <cell r="O37">
            <v>144.23981699999999</v>
          </cell>
          <cell r="P37">
            <v>143.05252949999999</v>
          </cell>
          <cell r="Q37">
            <v>146.30896960000001</v>
          </cell>
          <cell r="R37">
            <v>148.97521660000001</v>
          </cell>
          <cell r="S37">
            <v>151.4603304</v>
          </cell>
          <cell r="T37">
            <v>155.20594349999999</v>
          </cell>
          <cell r="U37">
            <v>148.20365369999999</v>
          </cell>
          <cell r="V37">
            <v>155.3665365</v>
          </cell>
          <cell r="W37">
            <v>158.1634981</v>
          </cell>
          <cell r="X37">
            <v>160.26605480000001</v>
          </cell>
          <cell r="Y37">
            <v>166.45709830000001</v>
          </cell>
          <cell r="Z37">
            <v>167.58085890000001</v>
          </cell>
          <cell r="AA37">
            <v>173.07474740000001</v>
          </cell>
          <cell r="AB37">
            <v>184.8948738</v>
          </cell>
          <cell r="AC37">
            <v>194.26337599999999</v>
          </cell>
          <cell r="AD37">
            <v>202.01279959999999</v>
          </cell>
          <cell r="AE37">
            <v>211.8274414</v>
          </cell>
          <cell r="AF37">
            <v>220.1460807</v>
          </cell>
          <cell r="AG37">
            <v>228.46472</v>
          </cell>
          <cell r="AH37">
            <v>236.78335939999999</v>
          </cell>
          <cell r="AI37">
            <v>245.1019987</v>
          </cell>
          <cell r="AJ37">
            <v>248.530371</v>
          </cell>
        </row>
        <row r="41">
          <cell r="E41">
            <v>101.63711579999899</v>
          </cell>
          <cell r="F41">
            <v>101.5308071</v>
          </cell>
          <cell r="G41">
            <v>104.16972989999999</v>
          </cell>
          <cell r="H41">
            <v>108.40475369999901</v>
          </cell>
          <cell r="I41">
            <v>115.35766839999999</v>
          </cell>
          <cell r="J41">
            <v>127.588442299999</v>
          </cell>
          <cell r="K41">
            <v>133.24945099999999</v>
          </cell>
          <cell r="L41">
            <v>142.3196921</v>
          </cell>
          <cell r="M41">
            <v>136.11693299999999</v>
          </cell>
          <cell r="N41">
            <v>140.20069669999901</v>
          </cell>
          <cell r="O41">
            <v>141.66032859999899</v>
          </cell>
          <cell r="P41">
            <v>154.3494633</v>
          </cell>
          <cell r="Q41">
            <v>157.68597310000001</v>
          </cell>
          <cell r="R41">
            <v>160.31051719999999</v>
          </cell>
          <cell r="S41">
            <v>162.79277590000001</v>
          </cell>
          <cell r="T41">
            <v>166.6040094</v>
          </cell>
          <cell r="U41">
            <v>177.72491049999999</v>
          </cell>
          <cell r="V41">
            <v>184.87810830000001</v>
          </cell>
          <cell r="W41">
            <v>187.65587439999999</v>
          </cell>
          <cell r="X41">
            <v>189.76569900000001</v>
          </cell>
          <cell r="Y41">
            <v>196.05364879999999</v>
          </cell>
          <cell r="Z41">
            <v>107.24718849999999</v>
          </cell>
          <cell r="AA41">
            <v>112.7276913</v>
          </cell>
          <cell r="AB41">
            <v>124.57559379999999</v>
          </cell>
          <cell r="AC41">
            <v>133.9666138</v>
          </cell>
          <cell r="AD41">
            <v>141.70373599999999</v>
          </cell>
          <cell r="AE41">
            <v>152.01402780000001</v>
          </cell>
          <cell r="AF41">
            <v>160.82831709999999</v>
          </cell>
          <cell r="AG41">
            <v>169.64260639999901</v>
          </cell>
          <cell r="AH41">
            <v>178.45689579999899</v>
          </cell>
          <cell r="AI41">
            <v>187.2711851</v>
          </cell>
          <cell r="AJ41">
            <v>191.41736739999999</v>
          </cell>
        </row>
        <row r="50">
          <cell r="T50"/>
          <cell r="U50"/>
        </row>
      </sheetData>
      <sheetData sheetId="42">
        <row r="6">
          <cell r="AB6">
            <v>361.71600000000001</v>
          </cell>
          <cell r="AC6">
            <v>393.23725380000002</v>
          </cell>
          <cell r="AD6">
            <v>426.89284800000001</v>
          </cell>
        </row>
        <row r="7">
          <cell r="AB7">
            <v>361.71600000000001</v>
          </cell>
          <cell r="AC7">
            <v>370.08612840000001</v>
          </cell>
          <cell r="AD7">
            <v>380.5673453</v>
          </cell>
        </row>
        <row r="23">
          <cell r="AI23">
            <v>389.56835999999998</v>
          </cell>
          <cell r="AN23">
            <v>481.95176000000004</v>
          </cell>
          <cell r="AS23">
            <v>563.50995999999998</v>
          </cell>
        </row>
        <row r="24">
          <cell r="A24">
            <v>1</v>
          </cell>
        </row>
        <row r="37">
          <cell r="E37">
            <v>205.76547389999999</v>
          </cell>
          <cell r="F37">
            <v>213.26703567499999</v>
          </cell>
          <cell r="G37">
            <v>220.76859744999999</v>
          </cell>
          <cell r="H37">
            <v>228.27015922499999</v>
          </cell>
          <cell r="I37">
            <v>235.77172099999899</v>
          </cell>
          <cell r="J37">
            <v>237.45960083333301</v>
          </cell>
          <cell r="K37">
            <v>239.14748066666601</v>
          </cell>
          <cell r="L37">
            <v>240.83536049999901</v>
          </cell>
          <cell r="M37">
            <v>242.52324033333301</v>
          </cell>
          <cell r="N37">
            <v>244.21112016666601</v>
          </cell>
          <cell r="O37">
            <v>245.899</v>
          </cell>
          <cell r="P37">
            <v>257.08099999999899</v>
          </cell>
          <cell r="Q37">
            <v>268.767</v>
          </cell>
          <cell r="R37">
            <v>282.07</v>
          </cell>
          <cell r="S37">
            <v>301.02499999999998</v>
          </cell>
          <cell r="T37">
            <v>306.78300000000002</v>
          </cell>
          <cell r="U37">
            <v>311.85000000000002</v>
          </cell>
          <cell r="V37">
            <v>323.53399999999999</v>
          </cell>
          <cell r="W37">
            <v>327.32499999999999</v>
          </cell>
          <cell r="X37">
            <v>328.28899999999999</v>
          </cell>
          <cell r="Y37">
            <v>339.54</v>
          </cell>
          <cell r="Z37">
            <v>337.27099999999899</v>
          </cell>
          <cell r="AA37">
            <v>352.46899999999999</v>
          </cell>
          <cell r="AB37">
            <v>348.07499999999999</v>
          </cell>
          <cell r="AC37">
            <v>346.77600000000001</v>
          </cell>
          <cell r="AD37">
            <v>345.91699999999997</v>
          </cell>
          <cell r="AE37">
            <v>360.80399999999997</v>
          </cell>
          <cell r="AF37">
            <v>368.01799999999997</v>
          </cell>
          <cell r="AG37">
            <v>372.64800000000002</v>
          </cell>
          <cell r="AH37">
            <v>372.71600000000001</v>
          </cell>
          <cell r="AI37">
            <v>361.71600000000001</v>
          </cell>
          <cell r="AJ37">
            <v>359.71600000000001</v>
          </cell>
        </row>
        <row r="41">
          <cell r="E41">
            <v>218.49926160000001</v>
          </cell>
          <cell r="F41">
            <v>237.93630644999999</v>
          </cell>
          <cell r="G41">
            <v>257.37335130000002</v>
          </cell>
          <cell r="H41">
            <v>276.81039614999997</v>
          </cell>
          <cell r="I41">
            <v>296.24744099999998</v>
          </cell>
          <cell r="J41">
            <v>280.28220083333298</v>
          </cell>
          <cell r="K41">
            <v>264.31696066666598</v>
          </cell>
          <cell r="L41">
            <v>248.351720499999</v>
          </cell>
          <cell r="M41">
            <v>232.386480333333</v>
          </cell>
          <cell r="N41">
            <v>216.421240166666</v>
          </cell>
          <cell r="O41">
            <v>200.45599999999999</v>
          </cell>
          <cell r="P41">
            <v>202.64499999999899</v>
          </cell>
          <cell r="Q41">
            <v>224.64099999999999</v>
          </cell>
          <cell r="R41">
            <v>236.18299999999999</v>
          </cell>
          <cell r="S41">
            <v>246.878999999999</v>
          </cell>
          <cell r="T41">
            <v>248.44300000000001</v>
          </cell>
          <cell r="U41">
            <v>250.46</v>
          </cell>
          <cell r="V41">
            <v>255.13799999999901</v>
          </cell>
          <cell r="W41">
            <v>258.140999999999</v>
          </cell>
          <cell r="X41">
            <v>257.09199999999998</v>
          </cell>
          <cell r="Y41">
            <v>273.71300000000002</v>
          </cell>
          <cell r="Z41">
            <v>262.63499999999902</v>
          </cell>
          <cell r="AA41">
            <v>271.774</v>
          </cell>
          <cell r="AB41">
            <v>264.96499999999997</v>
          </cell>
          <cell r="AC41">
            <v>246.268</v>
          </cell>
          <cell r="AD41">
            <v>258.58</v>
          </cell>
          <cell r="AE41">
            <v>273.75</v>
          </cell>
          <cell r="AF41">
            <v>282.63799999999998</v>
          </cell>
          <cell r="AG41">
            <v>286.68</v>
          </cell>
          <cell r="AH41">
            <v>280.71800000000002</v>
          </cell>
          <cell r="AI41">
            <v>270.07503800000001</v>
          </cell>
          <cell r="AJ41">
            <v>267.53593999999998</v>
          </cell>
        </row>
      </sheetData>
      <sheetData sheetId="43">
        <row r="6">
          <cell r="AD6">
            <v>404.66669141</v>
          </cell>
        </row>
        <row r="7">
          <cell r="AD7">
            <v>394.04062570999997</v>
          </cell>
        </row>
        <row r="18">
          <cell r="R18">
            <v>0</v>
          </cell>
          <cell r="S18">
            <v>0</v>
          </cell>
          <cell r="T18">
            <v>0</v>
          </cell>
          <cell r="U18">
            <v>0</v>
          </cell>
          <cell r="BA18">
            <v>138.16128869999989</v>
          </cell>
          <cell r="BB18">
            <v>138.16128869999989</v>
          </cell>
        </row>
        <row r="23">
          <cell r="AN23">
            <v>392.67141237852837</v>
          </cell>
          <cell r="AS23">
            <v>428.67411237852832</v>
          </cell>
        </row>
        <row r="37">
          <cell r="E37">
            <v>942.80046879999895</v>
          </cell>
          <cell r="F37">
            <v>856.4256226</v>
          </cell>
          <cell r="G37">
            <v>801.27459190000002</v>
          </cell>
          <cell r="H37">
            <v>711.081213399999</v>
          </cell>
          <cell r="I37">
            <v>604.91318939999996</v>
          </cell>
          <cell r="J37">
            <v>562.10757639999997</v>
          </cell>
          <cell r="K37">
            <v>515.42149919999997</v>
          </cell>
          <cell r="L37">
            <v>499.63265180000002</v>
          </cell>
          <cell r="M37">
            <v>480.91302019999898</v>
          </cell>
          <cell r="N37">
            <v>449.76906250000002</v>
          </cell>
          <cell r="O37">
            <v>427.91724210000001</v>
          </cell>
          <cell r="P37">
            <v>445.990655</v>
          </cell>
          <cell r="Q37">
            <v>431.03449360000002</v>
          </cell>
          <cell r="R37">
            <v>440.31178219999998</v>
          </cell>
          <cell r="S37">
            <v>443.118426</v>
          </cell>
          <cell r="T37">
            <v>442.40201330000002</v>
          </cell>
          <cell r="U37">
            <v>460.03564349999903</v>
          </cell>
          <cell r="V37">
            <v>463.41536449999899</v>
          </cell>
          <cell r="W37">
            <v>451.14547879999998</v>
          </cell>
          <cell r="X37">
            <v>390.5330874</v>
          </cell>
          <cell r="Y37">
            <v>407.34575480000001</v>
          </cell>
          <cell r="Z37">
            <v>428.74900430000002</v>
          </cell>
          <cell r="AA37">
            <v>417.831800399999</v>
          </cell>
          <cell r="AB37">
            <v>409.24315910000001</v>
          </cell>
          <cell r="AC37">
            <v>362.74771569999899</v>
          </cell>
          <cell r="AD37">
            <v>319.16658480000001</v>
          </cell>
          <cell r="AE37">
            <v>337.60614989999999</v>
          </cell>
          <cell r="AF37">
            <v>323.2865908</v>
          </cell>
          <cell r="AG37">
            <v>339.8152437</v>
          </cell>
          <cell r="AH37">
            <v>334.11810839999998</v>
          </cell>
          <cell r="AI37">
            <v>318.0349478</v>
          </cell>
          <cell r="AJ37">
            <v>327.25876549999998</v>
          </cell>
        </row>
        <row r="41">
          <cell r="E41">
            <v>911.39397172999895</v>
          </cell>
          <cell r="F41">
            <v>816.83207914000002</v>
          </cell>
          <cell r="G41">
            <v>761.95425906000003</v>
          </cell>
          <cell r="H41">
            <v>678.27014572999997</v>
          </cell>
          <cell r="I41">
            <v>567.92751277999901</v>
          </cell>
          <cell r="J41">
            <v>529.98233548999997</v>
          </cell>
          <cell r="K41">
            <v>487.696773309999</v>
          </cell>
          <cell r="L41">
            <v>477.16514927999998</v>
          </cell>
          <cell r="M41">
            <v>452.81470983999998</v>
          </cell>
          <cell r="N41">
            <v>418.75255116</v>
          </cell>
          <cell r="O41">
            <v>405.00498570000002</v>
          </cell>
          <cell r="P41">
            <v>428.63181499000001</v>
          </cell>
          <cell r="Q41">
            <v>416.23324601000002</v>
          </cell>
          <cell r="R41">
            <v>419.058424889999</v>
          </cell>
          <cell r="S41">
            <v>433.54563600400002</v>
          </cell>
          <cell r="T41">
            <v>433.45573065399998</v>
          </cell>
          <cell r="U41">
            <v>448.037286609999</v>
          </cell>
          <cell r="V41">
            <v>449.344362109999</v>
          </cell>
          <cell r="W41">
            <v>451.991108023999</v>
          </cell>
          <cell r="X41">
            <v>385.78526982</v>
          </cell>
          <cell r="Y41">
            <v>398.34895462399999</v>
          </cell>
          <cell r="Z41">
            <v>437.35872897199999</v>
          </cell>
          <cell r="AA41">
            <v>422.86348159999898</v>
          </cell>
          <cell r="AB41">
            <v>428.22992185999999</v>
          </cell>
          <cell r="AC41">
            <v>382.82346476999999</v>
          </cell>
          <cell r="AD41">
            <v>338.90873133000002</v>
          </cell>
          <cell r="AE41">
            <v>361.957604099999</v>
          </cell>
          <cell r="AF41">
            <v>336.72630557000002</v>
          </cell>
          <cell r="AG41">
            <v>364.73131635999999</v>
          </cell>
          <cell r="AH41">
            <v>357.44986290999998</v>
          </cell>
          <cell r="AI41">
            <v>317.63204433599998</v>
          </cell>
          <cell r="AJ41">
            <v>341.489125309999</v>
          </cell>
        </row>
      </sheetData>
      <sheetData sheetId="44">
        <row r="6">
          <cell r="AB6">
            <v>295.79929873999902</v>
          </cell>
          <cell r="AC6">
            <v>335.959276759999</v>
          </cell>
          <cell r="AD6">
            <v>378.36559037999899</v>
          </cell>
        </row>
        <row r="7">
          <cell r="AB7">
            <v>291.40393069999902</v>
          </cell>
          <cell r="AC7">
            <v>325.85193522999998</v>
          </cell>
          <cell r="AD7">
            <v>360.925485979999</v>
          </cell>
        </row>
        <row r="10">
          <cell r="X10">
            <v>370.40845826750001</v>
          </cell>
          <cell r="Y10">
            <v>309.13345826749998</v>
          </cell>
        </row>
        <row r="17">
          <cell r="BB17">
            <v>356.9</v>
          </cell>
        </row>
        <row r="18">
          <cell r="BA18">
            <v>0</v>
          </cell>
          <cell r="BB18">
            <v>0</v>
          </cell>
        </row>
        <row r="23">
          <cell r="AI23">
            <v>334.86103970999994</v>
          </cell>
          <cell r="AN23">
            <v>403.31763970999987</v>
          </cell>
          <cell r="AS23">
            <v>484.17713971000001</v>
          </cell>
        </row>
        <row r="24">
          <cell r="A24">
            <v>1</v>
          </cell>
        </row>
        <row r="37">
          <cell r="E37">
            <v>35.207147210000002</v>
          </cell>
          <cell r="F37">
            <v>33.869339119999999</v>
          </cell>
          <cell r="G37">
            <v>34.257214150000003</v>
          </cell>
          <cell r="H37">
            <v>34.549164079999997</v>
          </cell>
          <cell r="I37">
            <v>39.840645389999999</v>
          </cell>
          <cell r="J37">
            <v>39.035529160000003</v>
          </cell>
          <cell r="K37">
            <v>39.11607051</v>
          </cell>
          <cell r="L37">
            <v>38.729331250000001</v>
          </cell>
          <cell r="M37">
            <v>39.276057739999999</v>
          </cell>
          <cell r="N37">
            <v>36.78715425</v>
          </cell>
          <cell r="O37">
            <v>37.15651845</v>
          </cell>
          <cell r="P37">
            <v>39.610688600000003</v>
          </cell>
          <cell r="Q37">
            <v>38.563375960000002</v>
          </cell>
          <cell r="R37">
            <v>41.946869769999999</v>
          </cell>
          <cell r="S37">
            <v>43.490348820000001</v>
          </cell>
          <cell r="T37">
            <v>43.539068159999999</v>
          </cell>
          <cell r="U37">
            <v>45.825590259999998</v>
          </cell>
          <cell r="V37">
            <v>42.663274629999997</v>
          </cell>
          <cell r="W37">
            <v>45.206641220000002</v>
          </cell>
          <cell r="X37">
            <v>45.564450389999998</v>
          </cell>
          <cell r="Y37">
            <v>47.04369827</v>
          </cell>
          <cell r="Z37">
            <v>47.268959799999998</v>
          </cell>
          <cell r="AA37">
            <v>45.470657000000003</v>
          </cell>
          <cell r="AB37">
            <v>48.92342275</v>
          </cell>
          <cell r="AC37">
            <v>51.136103910000003</v>
          </cell>
          <cell r="AD37">
            <v>50.277288399999897</v>
          </cell>
          <cell r="AE37">
            <v>51.30121321</v>
          </cell>
          <cell r="AF37">
            <v>52.345990810000004</v>
          </cell>
          <cell r="AG37">
            <v>53.412045890000002</v>
          </cell>
          <cell r="AH37">
            <v>54.499811770000001</v>
          </cell>
          <cell r="AI37">
            <v>55.609730599999999</v>
          </cell>
          <cell r="AJ37">
            <v>56.742253550000001</v>
          </cell>
        </row>
        <row r="41">
          <cell r="E41">
            <v>203.95768131</v>
          </cell>
          <cell r="F41">
            <v>202.61987321999999</v>
          </cell>
          <cell r="G41">
            <v>203.00774824999999</v>
          </cell>
          <cell r="H41">
            <v>203.29969818000001</v>
          </cell>
          <cell r="I41">
            <v>208.59117949</v>
          </cell>
          <cell r="J41">
            <v>207.78606325999999</v>
          </cell>
          <cell r="K41">
            <v>208.87309220999899</v>
          </cell>
          <cell r="L41">
            <v>214.17957995</v>
          </cell>
          <cell r="M41">
            <v>215.71525073999999</v>
          </cell>
          <cell r="N41">
            <v>208.03438334999899</v>
          </cell>
          <cell r="O41">
            <v>205.09607394999901</v>
          </cell>
          <cell r="P41">
            <v>202.19227480000001</v>
          </cell>
          <cell r="Q41">
            <v>202.58118106000001</v>
          </cell>
          <cell r="R41">
            <v>207.71835476999999</v>
          </cell>
          <cell r="S41">
            <v>212.41070582</v>
          </cell>
          <cell r="T41">
            <v>211.40665695999999</v>
          </cell>
          <cell r="U41">
            <v>218.27145345999901</v>
          </cell>
          <cell r="V41">
            <v>208.11826922999899</v>
          </cell>
          <cell r="W41">
            <v>212.86889712000001</v>
          </cell>
          <cell r="X41">
            <v>213.82441158999899</v>
          </cell>
          <cell r="Y41">
            <v>217.43383306999999</v>
          </cell>
          <cell r="Z41">
            <v>218.38600299999999</v>
          </cell>
          <cell r="AA41">
            <v>211.07439649999901</v>
          </cell>
          <cell r="AB41">
            <v>217.67947344999999</v>
          </cell>
          <cell r="AC41">
            <v>216.68713971</v>
          </cell>
          <cell r="AD41">
            <v>218.22148849999999</v>
          </cell>
          <cell r="AE41">
            <v>232.81541331</v>
          </cell>
          <cell r="AF41">
            <v>247.430190909999</v>
          </cell>
          <cell r="AG41">
            <v>262.066245989999</v>
          </cell>
          <cell r="AH41">
            <v>276.724011869999</v>
          </cell>
          <cell r="AI41">
            <v>291.40393069999902</v>
          </cell>
          <cell r="AJ41">
            <v>298.24645364999901</v>
          </cell>
        </row>
      </sheetData>
      <sheetData sheetId="45">
        <row r="5">
          <cell r="AB5">
            <v>215.19587570000002</v>
          </cell>
          <cell r="AC5">
            <v>186.52174024999948</v>
          </cell>
          <cell r="AD5">
            <v>216.11209984999999</v>
          </cell>
        </row>
        <row r="6">
          <cell r="AB6">
            <v>215.19587570000002</v>
          </cell>
          <cell r="AC6">
            <v>189.32432900000001</v>
          </cell>
          <cell r="AD6">
            <v>221.25993829999999</v>
          </cell>
        </row>
        <row r="7">
          <cell r="AB7">
            <v>215.19587570000002</v>
          </cell>
          <cell r="AC7">
            <v>183.71915149999899</v>
          </cell>
          <cell r="AD7">
            <v>210.9642614</v>
          </cell>
        </row>
        <row r="9">
          <cell r="BA9">
            <v>308</v>
          </cell>
          <cell r="BB9">
            <v>308</v>
          </cell>
        </row>
        <row r="24">
          <cell r="A24">
            <v>1</v>
          </cell>
        </row>
        <row r="37">
          <cell r="E37">
            <v>61.733196000000007</v>
          </cell>
          <cell r="F37">
            <v>67.093713000000008</v>
          </cell>
          <cell r="G37">
            <v>68.891410000000008</v>
          </cell>
          <cell r="H37">
            <v>77.132881999999995</v>
          </cell>
          <cell r="I37">
            <v>83.610335000000006</v>
          </cell>
          <cell r="J37">
            <v>85.171050000000008</v>
          </cell>
          <cell r="K37">
            <v>91.810504000000009</v>
          </cell>
          <cell r="L37">
            <v>95.705538000000004</v>
          </cell>
          <cell r="M37">
            <v>105.18804</v>
          </cell>
          <cell r="N37">
            <v>105.84142999999999</v>
          </cell>
          <cell r="O37">
            <v>140.03651000000002</v>
          </cell>
          <cell r="P37">
            <v>140.08017000000001</v>
          </cell>
          <cell r="Q37">
            <v>130.50272999999999</v>
          </cell>
          <cell r="R37">
            <v>161.48085</v>
          </cell>
          <cell r="S37">
            <v>176.48545999999999</v>
          </cell>
          <cell r="T37">
            <v>189.76223999999999</v>
          </cell>
          <cell r="U37">
            <v>192.01181</v>
          </cell>
          <cell r="V37">
            <v>198.47057999999998</v>
          </cell>
          <cell r="W37">
            <v>215.09510999999998</v>
          </cell>
          <cell r="X37">
            <v>218.97108</v>
          </cell>
          <cell r="Y37">
            <v>205.381</v>
          </cell>
          <cell r="Z37">
            <v>214.26673000000002</v>
          </cell>
          <cell r="AA37">
            <v>251.80974000000001</v>
          </cell>
          <cell r="AB37">
            <v>251.18201000000002</v>
          </cell>
          <cell r="AC37">
            <v>244.62974</v>
          </cell>
          <cell r="AD37">
            <v>268.40462000000002</v>
          </cell>
          <cell r="AE37">
            <v>259.88639999999998</v>
          </cell>
          <cell r="AF37">
            <v>226.86242999999999</v>
          </cell>
          <cell r="AG37">
            <v>224.96435000000002</v>
          </cell>
          <cell r="AH37">
            <v>231.91532999999998</v>
          </cell>
          <cell r="AI37">
            <v>223.55126000000001</v>
          </cell>
          <cell r="AJ37">
            <v>237.67740000000001</v>
          </cell>
        </row>
        <row r="41">
          <cell r="E41">
            <v>57.50619600000001</v>
          </cell>
          <cell r="F41">
            <v>62.866713000000004</v>
          </cell>
          <cell r="G41">
            <v>64.664409999999904</v>
          </cell>
          <cell r="H41">
            <v>72.905881999999991</v>
          </cell>
          <cell r="I41">
            <v>79.383335000000002</v>
          </cell>
          <cell r="J41">
            <v>80.037716666666597</v>
          </cell>
          <cell r="K41">
            <v>85.770837333333304</v>
          </cell>
          <cell r="L41">
            <v>88.759537999999992</v>
          </cell>
          <cell r="M41">
            <v>97.335706666666994</v>
          </cell>
          <cell r="N41">
            <v>97.082763333332991</v>
          </cell>
          <cell r="O41">
            <v>130.37151000000003</v>
          </cell>
          <cell r="P41">
            <v>129.70157000000003</v>
          </cell>
          <cell r="Q41">
            <v>119.41052999999999</v>
          </cell>
          <cell r="R41">
            <v>149.67505</v>
          </cell>
          <cell r="S41">
            <v>163.96605999999997</v>
          </cell>
          <cell r="T41">
            <v>176.52923999999999</v>
          </cell>
          <cell r="U41">
            <v>179.311990888888</v>
          </cell>
          <cell r="V41">
            <v>186.303941777777</v>
          </cell>
          <cell r="W41">
            <v>203.46165266666597</v>
          </cell>
          <cell r="X41">
            <v>207.870803555555</v>
          </cell>
          <cell r="Y41">
            <v>194.81390444444401</v>
          </cell>
          <cell r="Z41">
            <v>204.23281533333403</v>
          </cell>
          <cell r="AA41">
            <v>242.309006222222</v>
          </cell>
          <cell r="AB41">
            <v>242.21445711111102</v>
          </cell>
          <cell r="AC41">
            <v>236.195368</v>
          </cell>
          <cell r="AD41">
            <v>260.00538000000006</v>
          </cell>
          <cell r="AE41">
            <v>251.49593113999998</v>
          </cell>
          <cell r="AF41">
            <v>218.48073227999998</v>
          </cell>
          <cell r="AG41">
            <v>216.59142341999902</v>
          </cell>
          <cell r="AH41">
            <v>223.55117455999999</v>
          </cell>
          <cell r="AI41">
            <v>215.19587570000002</v>
          </cell>
          <cell r="AJ41">
            <v>229.33015636000002</v>
          </cell>
        </row>
      </sheetData>
      <sheetData sheetId="46">
        <row r="5">
          <cell r="AB5">
            <v>388.63880610000001</v>
          </cell>
          <cell r="AC5">
            <v>464.8992964499995</v>
          </cell>
          <cell r="AD5">
            <v>596.58099029999994</v>
          </cell>
        </row>
        <row r="6">
          <cell r="AB6">
            <v>388.63880610000001</v>
          </cell>
          <cell r="AC6">
            <v>479.13253759999901</v>
          </cell>
          <cell r="AD6">
            <v>644.88826229999995</v>
          </cell>
        </row>
        <row r="7">
          <cell r="AB7">
            <v>388.63880610000001</v>
          </cell>
          <cell r="AC7">
            <v>450.66605529999998</v>
          </cell>
          <cell r="AD7">
            <v>548.27371830000004</v>
          </cell>
        </row>
        <row r="24">
          <cell r="A24">
            <v>1</v>
          </cell>
        </row>
        <row r="37">
          <cell r="E37">
            <v>84.45</v>
          </cell>
          <cell r="F37">
            <v>84.452250000000006</v>
          </cell>
          <cell r="G37">
            <v>84.454499999999996</v>
          </cell>
          <cell r="H37">
            <v>84.45675</v>
          </cell>
          <cell r="I37">
            <v>84.459000000000003</v>
          </cell>
          <cell r="J37">
            <v>93.015000000000001</v>
          </cell>
          <cell r="K37">
            <v>101.571</v>
          </cell>
          <cell r="L37">
            <v>110.127</v>
          </cell>
          <cell r="M37">
            <v>118.682999999999</v>
          </cell>
          <cell r="N37">
            <v>127.238999999999</v>
          </cell>
          <cell r="O37">
            <v>135.79499999999999</v>
          </cell>
          <cell r="P37">
            <v>150.706208</v>
          </cell>
          <cell r="Q37">
            <v>165.61741599999999</v>
          </cell>
          <cell r="R37">
            <v>180.52862399999901</v>
          </cell>
          <cell r="S37">
            <v>195.439832</v>
          </cell>
          <cell r="T37">
            <v>210.35104000000001</v>
          </cell>
          <cell r="U37">
            <v>225.262248</v>
          </cell>
          <cell r="V37">
            <v>240.17345599999999</v>
          </cell>
          <cell r="W37">
            <v>255.084664</v>
          </cell>
          <cell r="X37">
            <v>269.995871999999</v>
          </cell>
          <cell r="Y37">
            <v>284.90708000000001</v>
          </cell>
          <cell r="Z37">
            <v>287.692696666666</v>
          </cell>
          <cell r="AA37">
            <v>290.47831333333301</v>
          </cell>
          <cell r="AB37">
            <v>293.26392999999899</v>
          </cell>
          <cell r="AC37">
            <v>315.91460999999998</v>
          </cell>
          <cell r="AD37">
            <v>336.070425</v>
          </cell>
          <cell r="AE37">
            <v>356.22624000000002</v>
          </cell>
          <cell r="AF37">
            <v>359.36617209999997</v>
          </cell>
          <cell r="AG37">
            <v>405.26062450000001</v>
          </cell>
          <cell r="AH37">
            <v>453.00443369999999</v>
          </cell>
          <cell r="AI37">
            <v>441.06004610000002</v>
          </cell>
          <cell r="AJ37">
            <v>440.82765569999998</v>
          </cell>
        </row>
        <row r="41">
          <cell r="E41">
            <v>103.83</v>
          </cell>
          <cell r="F41">
            <v>103.83225</v>
          </cell>
          <cell r="G41">
            <v>103.834499999999</v>
          </cell>
          <cell r="H41">
            <v>103.83674999999999</v>
          </cell>
          <cell r="I41">
            <v>103.839</v>
          </cell>
          <cell r="J41">
            <v>111.6825</v>
          </cell>
          <cell r="K41">
            <v>119.526</v>
          </cell>
          <cell r="L41">
            <v>127.36949999999899</v>
          </cell>
          <cell r="M41">
            <v>135.21299999999999</v>
          </cell>
          <cell r="N41">
            <v>143.0565</v>
          </cell>
          <cell r="O41">
            <v>150.89999999999901</v>
          </cell>
          <cell r="P41">
            <v>162.231067</v>
          </cell>
          <cell r="Q41">
            <v>173.56213399999999</v>
          </cell>
          <cell r="R41">
            <v>184.89320099999901</v>
          </cell>
          <cell r="S41">
            <v>196.224268</v>
          </cell>
          <cell r="T41">
            <v>207.55533500000001</v>
          </cell>
          <cell r="U41">
            <v>218.886402</v>
          </cell>
          <cell r="V41">
            <v>230.21746899999999</v>
          </cell>
          <cell r="W41">
            <v>241.54853600000001</v>
          </cell>
          <cell r="X41">
            <v>252.87960299999901</v>
          </cell>
          <cell r="Y41">
            <v>264.21066999999999</v>
          </cell>
          <cell r="Z41">
            <v>262.48181333333298</v>
          </cell>
          <cell r="AA41">
            <v>260.75295666666602</v>
          </cell>
          <cell r="AB41">
            <v>259.02409999999998</v>
          </cell>
          <cell r="AC41">
            <v>278.65969999999999</v>
          </cell>
          <cell r="AD41">
            <v>297.69734999999997</v>
          </cell>
          <cell r="AE41">
            <v>316.73500000000001</v>
          </cell>
          <cell r="AF41">
            <v>316.64243209999898</v>
          </cell>
          <cell r="AG41">
            <v>359.30438450000003</v>
          </cell>
          <cell r="AH41">
            <v>403.8156937</v>
          </cell>
          <cell r="AI41">
            <v>388.63880610000001</v>
          </cell>
          <cell r="AJ41">
            <v>389.59613569999999</v>
          </cell>
        </row>
      </sheetData>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ow r="3">
          <cell r="AZ3">
            <v>1</v>
          </cell>
          <cell r="BA3">
            <v>-6.2891263684406562E-2</v>
          </cell>
          <cell r="BC3">
            <v>1.0147566468806166</v>
          </cell>
          <cell r="BD3">
            <v>1.0420394463676099</v>
          </cell>
          <cell r="BE3">
            <v>0.93710873631559344</v>
          </cell>
          <cell r="BJ3">
            <v>1</v>
          </cell>
          <cell r="BK3">
            <v>788.66109180000001</v>
          </cell>
          <cell r="BL3"/>
          <cell r="BM3">
            <v>1.0160407944952965</v>
          </cell>
          <cell r="BN3">
            <v>0.99104322214770624</v>
          </cell>
          <cell r="BO3">
            <v>0.89124770158973365</v>
          </cell>
          <cell r="BU3">
            <v>1</v>
          </cell>
          <cell r="BV3">
            <v>799.86496160000002</v>
          </cell>
          <cell r="BW3"/>
          <cell r="BX3">
            <v>0.95157732297396325</v>
          </cell>
          <cell r="BY3">
            <v>0.97716147990348468</v>
          </cell>
          <cell r="BZ3">
            <v>0.8787638153244991</v>
          </cell>
          <cell r="CF3">
            <v>1</v>
          </cell>
          <cell r="CG3">
            <v>799.86496160000002</v>
          </cell>
          <cell r="CH3"/>
          <cell r="CI3">
            <v>0.95638543498452833</v>
          </cell>
          <cell r="CJ3">
            <v>0.9780006453464517</v>
          </cell>
          <cell r="CK3">
            <v>0.90794916797729408</v>
          </cell>
          <cell r="CQ3">
            <v>1</v>
          </cell>
          <cell r="CR3">
            <v>799.86496160000002</v>
          </cell>
          <cell r="CS3"/>
          <cell r="CT3">
            <v>0.95157732297396325</v>
          </cell>
          <cell r="CU3">
            <v>0.95480925203864009</v>
          </cell>
          <cell r="CV3">
            <v>0.86038938672551546</v>
          </cell>
        </row>
        <row r="4">
          <cell r="AZ4">
            <v>2</v>
          </cell>
          <cell r="BA4">
            <v>-0.37651979173341432</v>
          </cell>
          <cell r="BC4">
            <v>0.91454112834865975</v>
          </cell>
          <cell r="BD4">
            <v>0.80864676102710775</v>
          </cell>
          <cell r="BE4">
            <v>0.62348020826658568</v>
          </cell>
          <cell r="BJ4">
            <v>2</v>
          </cell>
          <cell r="BK4">
            <v>6236.109007</v>
          </cell>
          <cell r="BL4"/>
          <cell r="BM4">
            <v>0.91946580224363295</v>
          </cell>
          <cell r="BN4">
            <v>0.81300120881610494</v>
          </cell>
          <cell r="BO4">
            <v>0.62683756050642103</v>
          </cell>
          <cell r="BU4">
            <v>2</v>
          </cell>
          <cell r="BV4">
            <v>5884.6385369999998</v>
          </cell>
          <cell r="BW4"/>
          <cell r="BX4">
            <v>0.9743825274819935</v>
          </cell>
          <cell r="BY4">
            <v>0.86155914745184625</v>
          </cell>
          <cell r="BZ4">
            <v>0.66427654518145296</v>
          </cell>
          <cell r="CF4">
            <v>2</v>
          </cell>
          <cell r="CG4">
            <v>5884.6385369999998</v>
          </cell>
          <cell r="CH4"/>
          <cell r="CI4">
            <v>0.98343566713969965</v>
          </cell>
          <cell r="CJ4">
            <v>0.86155914745184625</v>
          </cell>
          <cell r="CK4">
            <v>0.67576396893961277</v>
          </cell>
          <cell r="CQ4">
            <v>2</v>
          </cell>
          <cell r="CR4">
            <v>5884.6385369999998</v>
          </cell>
          <cell r="CS4"/>
          <cell r="CT4">
            <v>0.9743825274819935</v>
          </cell>
          <cell r="CU4">
            <v>0.83092338027582036</v>
          </cell>
          <cell r="CV4">
            <v>0.63584332177939629</v>
          </cell>
        </row>
        <row r="5">
          <cell r="AZ5">
            <v>3</v>
          </cell>
          <cell r="BA5">
            <v>-3.6879705916602168E-2</v>
          </cell>
          <cell r="BC5">
            <v>1.0618461239442516</v>
          </cell>
          <cell r="BD5">
            <v>0.97096436070493908</v>
          </cell>
          <cell r="BE5">
            <v>0.96312029408339783</v>
          </cell>
          <cell r="BJ5">
            <v>3</v>
          </cell>
          <cell r="BK5">
            <v>713.03866830000004</v>
          </cell>
          <cell r="BL5"/>
          <cell r="BM5">
            <v>0.96263925438502052</v>
          </cell>
          <cell r="BN5">
            <v>0.88024845328013179</v>
          </cell>
          <cell r="BO5">
            <v>0.87313724735901532</v>
          </cell>
          <cell r="BU5">
            <v>3</v>
          </cell>
          <cell r="BV5">
            <v>682.44522089999998</v>
          </cell>
          <cell r="BW5"/>
          <cell r="BX5">
            <v>1.0057935655183954</v>
          </cell>
          <cell r="BY5">
            <v>0.91970925383910174</v>
          </cell>
          <cell r="BZ5">
            <v>0.91227925851535563</v>
          </cell>
          <cell r="CF5">
            <v>3</v>
          </cell>
          <cell r="CG5">
            <v>682.44522089999998</v>
          </cell>
          <cell r="CH5"/>
          <cell r="CI5">
            <v>1.0113366590276625</v>
          </cell>
          <cell r="CJ5">
            <v>0.94872911693341422</v>
          </cell>
          <cell r="CK5">
            <v>0.99805752740453346</v>
          </cell>
          <cell r="CQ5">
            <v>3</v>
          </cell>
          <cell r="CR5">
            <v>682.44522089999998</v>
          </cell>
          <cell r="CS5"/>
          <cell r="CT5">
            <v>1.0057935655183954</v>
          </cell>
          <cell r="CU5">
            <v>0.91546006504012944</v>
          </cell>
          <cell r="CV5">
            <v>0.91227925851535563</v>
          </cell>
        </row>
        <row r="6">
          <cell r="AZ6">
            <v>4</v>
          </cell>
          <cell r="BA6">
            <v>0.40780897898877488</v>
          </cell>
          <cell r="BC6">
            <v>1.1027885225387266</v>
          </cell>
          <cell r="BD6">
            <v>1.2510927075424365</v>
          </cell>
          <cell r="BE6">
            <v>1.4078089789887749</v>
          </cell>
          <cell r="BJ6">
            <v>4</v>
          </cell>
          <cell r="BK6">
            <v>278.07172200000002</v>
          </cell>
          <cell r="BL6"/>
          <cell r="BM6">
            <v>1.0059392130495024</v>
          </cell>
          <cell r="BN6">
            <v>1.1412189988883514</v>
          </cell>
          <cell r="BO6">
            <v>1.2841721032676598</v>
          </cell>
          <cell r="BU6">
            <v>4</v>
          </cell>
          <cell r="BV6">
            <v>289.59603509999999</v>
          </cell>
          <cell r="BW6"/>
          <cell r="BX6">
            <v>0.96590842172065361</v>
          </cell>
          <cell r="BY6">
            <v>1.0958048237449782</v>
          </cell>
          <cell r="BZ6">
            <v>1.2330691888674965</v>
          </cell>
          <cell r="CF6">
            <v>4</v>
          </cell>
          <cell r="CG6">
            <v>289.59603509999999</v>
          </cell>
          <cell r="CH6"/>
          <cell r="CI6">
            <v>0.96759444685918461</v>
          </cell>
          <cell r="CJ6">
            <v>1.1389067447790466</v>
          </cell>
          <cell r="CK6">
            <v>1.319278488320174</v>
          </cell>
          <cell r="CQ6">
            <v>4</v>
          </cell>
          <cell r="CR6">
            <v>289.59603509999999</v>
          </cell>
          <cell r="CS6"/>
          <cell r="CT6">
            <v>0.95994729466762829</v>
          </cell>
          <cell r="CU6">
            <v>1.0771575375260194</v>
          </cell>
          <cell r="CV6">
            <v>1.2047327166715502</v>
          </cell>
        </row>
        <row r="7">
          <cell r="AZ7">
            <v>5</v>
          </cell>
          <cell r="BA7">
            <v>8.0029731073812949E-2</v>
          </cell>
          <cell r="BC7">
            <v>1.0397562842822163</v>
          </cell>
          <cell r="BD7">
            <v>1.0623049531365274</v>
          </cell>
          <cell r="BE7">
            <v>1.0800297310738129</v>
          </cell>
          <cell r="BJ7">
            <v>5</v>
          </cell>
          <cell r="BK7">
            <v>1099.9293130000001</v>
          </cell>
          <cell r="BL7"/>
          <cell r="BM7">
            <v>1.0058274235664448</v>
          </cell>
          <cell r="BN7">
            <v>1.027640294372262</v>
          </cell>
          <cell r="BO7">
            <v>1.0447866853058401</v>
          </cell>
          <cell r="BU7">
            <v>5</v>
          </cell>
          <cell r="BV7">
            <v>1128.0033969999999</v>
          </cell>
          <cell r="BW7"/>
          <cell r="BX7">
            <v>0.98079409152701336</v>
          </cell>
          <cell r="BY7">
            <v>1.0020640771173139</v>
          </cell>
          <cell r="BZ7">
            <v>1.0187837235741943</v>
          </cell>
          <cell r="CF7">
            <v>5</v>
          </cell>
          <cell r="CG7">
            <v>1128.0033969999999</v>
          </cell>
          <cell r="CH7"/>
          <cell r="CI7">
            <v>0.98766874145439176</v>
          </cell>
          <cell r="CJ7">
            <v>1.0269961367350249</v>
          </cell>
          <cell r="CK7">
            <v>1.069538630130535</v>
          </cell>
          <cell r="CQ7">
            <v>5</v>
          </cell>
          <cell r="CR7">
            <v>1128.0033969999999</v>
          </cell>
          <cell r="CS7"/>
          <cell r="CT7">
            <v>0.98079409152701336</v>
          </cell>
          <cell r="CU7">
            <v>1.0001639735390069</v>
          </cell>
          <cell r="CV7">
            <v>1.0083479241804876</v>
          </cell>
        </row>
        <row r="8">
          <cell r="AZ8">
            <v>6</v>
          </cell>
          <cell r="BA8">
            <v>0.18186750755887049</v>
          </cell>
          <cell r="BC8">
            <v>1.0410899763599215</v>
          </cell>
          <cell r="BD8">
            <v>1.1081828689997151</v>
          </cell>
          <cell r="BE8">
            <v>1.1818675075588705</v>
          </cell>
          <cell r="BJ8">
            <v>6</v>
          </cell>
          <cell r="BK8">
            <v>1231.4286440000001</v>
          </cell>
          <cell r="BL8"/>
          <cell r="BM8">
            <v>0.97545794947417186</v>
          </cell>
          <cell r="BN8">
            <v>1.0383211956534608</v>
          </cell>
          <cell r="BO8">
            <v>1.1073606332321111</v>
          </cell>
          <cell r="BU8">
            <v>6</v>
          </cell>
          <cell r="BV8">
            <v>1226.9011829999999</v>
          </cell>
          <cell r="BW8"/>
          <cell r="BX8">
            <v>0.97905754484874441</v>
          </cell>
          <cell r="BY8">
            <v>1.0421527664302528</v>
          </cell>
          <cell r="BZ8">
            <v>1.111446970542207</v>
          </cell>
          <cell r="CF8">
            <v>6</v>
          </cell>
          <cell r="CG8">
            <v>1226.9011829999999</v>
          </cell>
          <cell r="CH8"/>
          <cell r="CI8">
            <v>0.98072899247651357</v>
          </cell>
          <cell r="CJ8">
            <v>1.0591933593737879</v>
          </cell>
          <cell r="CK8">
            <v>1.1176934855726892</v>
          </cell>
          <cell r="CQ8">
            <v>6</v>
          </cell>
          <cell r="CR8">
            <v>1226.9011829999999</v>
          </cell>
          <cell r="CS8"/>
          <cell r="CT8">
            <v>0.97677997888422297</v>
          </cell>
          <cell r="CU8">
            <v>1.025269247733726</v>
          </cell>
          <cell r="CV8">
            <v>1.0918993340529817</v>
          </cell>
        </row>
        <row r="9">
          <cell r="AZ9">
            <v>7</v>
          </cell>
          <cell r="BA9">
            <v>0.1280585905829108</v>
          </cell>
          <cell r="BC9">
            <v>1.1232748405709643</v>
          </cell>
          <cell r="BD9">
            <v>1.0940237819602099</v>
          </cell>
          <cell r="BE9">
            <v>1.1280585905829108</v>
          </cell>
          <cell r="BJ9">
            <v>7</v>
          </cell>
          <cell r="BK9">
            <v>859.85387730000002</v>
          </cell>
          <cell r="BL9"/>
          <cell r="BM9">
            <v>1.0034309150401965</v>
          </cell>
          <cell r="BN9">
            <v>0.97730069699599642</v>
          </cell>
          <cell r="BO9">
            <v>1.0077042793838431</v>
          </cell>
          <cell r="BU9">
            <v>7</v>
          </cell>
          <cell r="BV9">
            <v>868.96205380000004</v>
          </cell>
          <cell r="BW9"/>
          <cell r="BX9">
            <v>0.99291327984568423</v>
          </cell>
          <cell r="BY9">
            <v>0.96705695021455029</v>
          </cell>
          <cell r="BZ9">
            <v>0.99714185217969054</v>
          </cell>
          <cell r="CF9">
            <v>7</v>
          </cell>
          <cell r="CG9">
            <v>868.96205380000004</v>
          </cell>
          <cell r="CH9"/>
          <cell r="CI9">
            <v>0.99564273361782518</v>
          </cell>
          <cell r="CJ9">
            <v>0.98601517730563815</v>
          </cell>
          <cell r="CK9">
            <v>1.0108698951555877</v>
          </cell>
          <cell r="CQ9">
            <v>7</v>
          </cell>
          <cell r="CR9">
            <v>868.96205380000004</v>
          </cell>
          <cell r="CS9"/>
          <cell r="CT9">
            <v>0.99006732559654709</v>
          </cell>
          <cell r="CU9">
            <v>0.95708173118200335</v>
          </cell>
          <cell r="CV9">
            <v>0.9722495355907248</v>
          </cell>
        </row>
        <row r="10">
          <cell r="AZ10">
            <v>8</v>
          </cell>
          <cell r="BA10">
            <v>0.32115862569635922</v>
          </cell>
          <cell r="BC10">
            <v>1.0735220972559332</v>
          </cell>
          <cell r="BD10">
            <v>1.1489518161275178</v>
          </cell>
          <cell r="BE10">
            <v>1.3211586256963592</v>
          </cell>
          <cell r="BJ10">
            <v>8</v>
          </cell>
          <cell r="BK10">
            <v>716.7807742</v>
          </cell>
          <cell r="BL10"/>
          <cell r="BM10">
            <v>1.0010875334942821</v>
          </cell>
          <cell r="BN10">
            <v>1.0714277262209524</v>
          </cell>
          <cell r="BO10">
            <v>1.2320150962274512</v>
          </cell>
          <cell r="BU10">
            <v>8</v>
          </cell>
          <cell r="BV10">
            <v>741.47329760000002</v>
          </cell>
          <cell r="BW10"/>
          <cell r="BX10">
            <v>0.96774934393807355</v>
          </cell>
          <cell r="BY10">
            <v>1.0357470694977053</v>
          </cell>
          <cell r="BZ10">
            <v>1.1909865633170711</v>
          </cell>
          <cell r="CF10">
            <v>8</v>
          </cell>
          <cell r="CG10">
            <v>741.47329760000002</v>
          </cell>
          <cell r="CH10"/>
          <cell r="CI10">
            <v>0.97365098386867022</v>
          </cell>
          <cell r="CJ10">
            <v>1.0454291829706539</v>
          </cell>
          <cell r="CK10">
            <v>1.1909865633170711</v>
          </cell>
          <cell r="CQ10">
            <v>8</v>
          </cell>
          <cell r="CR10">
            <v>741.47329760000002</v>
          </cell>
          <cell r="CS10"/>
          <cell r="CT10">
            <v>0.96655898500751591</v>
          </cell>
          <cell r="CU10">
            <v>1.0242395994082831</v>
          </cell>
          <cell r="CV10">
            <v>1.1601370252190975</v>
          </cell>
        </row>
        <row r="11">
          <cell r="AZ11">
            <v>9</v>
          </cell>
          <cell r="BA11">
            <v>1.0423265442892728</v>
          </cell>
          <cell r="BC11">
            <v>1.2281192029698291</v>
          </cell>
          <cell r="BD11">
            <v>1.6208828262745623</v>
          </cell>
          <cell r="BE11">
            <v>2.0423265442892728</v>
          </cell>
          <cell r="BJ11">
            <v>9</v>
          </cell>
          <cell r="BK11">
            <v>433.22587620000002</v>
          </cell>
          <cell r="BL11"/>
          <cell r="BM11">
            <v>1.0797328696129254</v>
          </cell>
          <cell r="BN11">
            <v>1.425041202097983</v>
          </cell>
          <cell r="BO11">
            <v>1.7955643841571622</v>
          </cell>
          <cell r="BU11">
            <v>9</v>
          </cell>
          <cell r="BV11">
            <v>494.24159739999999</v>
          </cell>
          <cell r="BW11"/>
          <cell r="BX11">
            <v>0.94643636019455779</v>
          </cell>
          <cell r="BY11">
            <v>1.2491152639674599</v>
          </cell>
          <cell r="BZ11">
            <v>1.5738961627109698</v>
          </cell>
          <cell r="CF11">
            <v>9</v>
          </cell>
          <cell r="CG11">
            <v>494.24159739999999</v>
          </cell>
          <cell r="CH11"/>
          <cell r="CI11">
            <v>0.95484851092852918</v>
          </cell>
          <cell r="CJ11">
            <v>1.2675369329801276</v>
          </cell>
          <cell r="CK11">
            <v>1.6189028211436307</v>
          </cell>
          <cell r="CQ11">
            <v>9</v>
          </cell>
          <cell r="CR11">
            <v>494.24159739999999</v>
          </cell>
          <cell r="CS11"/>
          <cell r="CT11">
            <v>0.94367659173068663</v>
          </cell>
          <cell r="CU11">
            <v>1.2403009837278491</v>
          </cell>
          <cell r="CV11">
            <v>1.5518181887510909</v>
          </cell>
        </row>
        <row r="12">
          <cell r="AZ12">
            <v>10</v>
          </cell>
          <cell r="BA12">
            <v>-6.2539664163047126E-2</v>
          </cell>
          <cell r="BC12">
            <v>1.0464124318413333</v>
          </cell>
          <cell r="BD12">
            <v>0.9422574206529124</v>
          </cell>
          <cell r="BE12">
            <v>0.93746033583695287</v>
          </cell>
          <cell r="BJ12">
            <v>10</v>
          </cell>
          <cell r="BK12">
            <v>621.0480632</v>
          </cell>
          <cell r="BL12"/>
          <cell r="BM12">
            <v>0.98184272753078605</v>
          </cell>
          <cell r="BN12">
            <v>0.88411468344468058</v>
          </cell>
          <cell r="BO12">
            <v>0.87961360653028442</v>
          </cell>
          <cell r="BU12">
            <v>10</v>
          </cell>
          <cell r="BV12">
            <v>597.75320050000005</v>
          </cell>
          <cell r="BW12"/>
          <cell r="BX12">
            <v>1.0201058292786171</v>
          </cell>
          <cell r="BY12">
            <v>0.91856925456980454</v>
          </cell>
          <cell r="BZ12">
            <v>0.91389276752186954</v>
          </cell>
          <cell r="CF12">
            <v>10</v>
          </cell>
          <cell r="CG12">
            <v>597.75320050000005</v>
          </cell>
          <cell r="CH12"/>
          <cell r="CI12">
            <v>1.0219167925478747</v>
          </cell>
          <cell r="CJ12">
            <v>0.91856925456980454</v>
          </cell>
          <cell r="CK12">
            <v>0.91389276752186954</v>
          </cell>
          <cell r="CQ12">
            <v>10</v>
          </cell>
          <cell r="CR12">
            <v>597.75320050000005</v>
          </cell>
          <cell r="CS12"/>
          <cell r="CT12">
            <v>1.0201058292786171</v>
          </cell>
          <cell r="CU12">
            <v>0.90062770141211346</v>
          </cell>
          <cell r="CV12">
            <v>0.84505960726907126</v>
          </cell>
        </row>
        <row r="13">
          <cell r="AZ13">
            <v>11</v>
          </cell>
          <cell r="BA13">
            <v>-0.49207481254975582</v>
          </cell>
          <cell r="BC13">
            <v>0.90961256466005347</v>
          </cell>
          <cell r="BD13">
            <v>0.73841495085293118</v>
          </cell>
          <cell r="BE13">
            <v>0.50792518745024418</v>
          </cell>
          <cell r="BJ13">
            <v>11</v>
          </cell>
          <cell r="BK13">
            <v>3521.0535890000001</v>
          </cell>
          <cell r="BL13"/>
          <cell r="BM13">
            <v>0.9272310183518766</v>
          </cell>
          <cell r="BN13">
            <v>0.75271744635750271</v>
          </cell>
          <cell r="BO13">
            <v>0.51776328417590578</v>
          </cell>
          <cell r="BU13">
            <v>11</v>
          </cell>
          <cell r="BV13">
            <v>3267.4502689999999</v>
          </cell>
          <cell r="BW13"/>
          <cell r="BX13">
            <v>0.99919810133765197</v>
          </cell>
          <cell r="BY13">
            <v>0.81113964951366802</v>
          </cell>
          <cell r="BZ13">
            <v>0.55794950799907639</v>
          </cell>
          <cell r="CF13">
            <v>11</v>
          </cell>
          <cell r="CG13">
            <v>3267.4502689999999</v>
          </cell>
          <cell r="CH13"/>
          <cell r="CI13">
            <v>0.99977296498588364</v>
          </cell>
          <cell r="CJ13">
            <v>0.82499162595611619</v>
          </cell>
          <cell r="CK13">
            <v>0.58637612939658268</v>
          </cell>
          <cell r="CQ13">
            <v>11</v>
          </cell>
          <cell r="CR13">
            <v>3267.4502689999999</v>
          </cell>
          <cell r="CS13"/>
          <cell r="CT13">
            <v>0.99513648223104656</v>
          </cell>
          <cell r="CU13">
            <v>0.78833168545262766</v>
          </cell>
          <cell r="CV13">
            <v>0.521770876336344</v>
          </cell>
        </row>
        <row r="14">
          <cell r="AZ14">
            <v>12</v>
          </cell>
          <cell r="BA14">
            <v>-0.545003303770486</v>
          </cell>
          <cell r="BC14">
            <v>0.89707889461099277</v>
          </cell>
          <cell r="BD14">
            <v>0.70620343832521915</v>
          </cell>
          <cell r="BE14">
            <v>0.454996696229514</v>
          </cell>
          <cell r="BJ14">
            <v>12</v>
          </cell>
          <cell r="BK14">
            <v>1043.0948539999999</v>
          </cell>
          <cell r="BL14"/>
          <cell r="BM14">
            <v>0.93975576002601979</v>
          </cell>
          <cell r="BN14">
            <v>0.73979975775050666</v>
          </cell>
          <cell r="BO14">
            <v>0.47664232058420264</v>
          </cell>
          <cell r="BU14">
            <v>12</v>
          </cell>
          <cell r="BV14">
            <v>970.31567749999999</v>
          </cell>
          <cell r="BW14"/>
          <cell r="BX14">
            <v>1.0102427694723093</v>
          </cell>
          <cell r="BY14">
            <v>0.79528893348216567</v>
          </cell>
          <cell r="BZ14">
            <v>0.51239319669757688</v>
          </cell>
          <cell r="CF14">
            <v>12</v>
          </cell>
          <cell r="CG14">
            <v>970.31567749999999</v>
          </cell>
          <cell r="CH14"/>
          <cell r="CI14">
            <v>1.0104942523173699</v>
          </cell>
          <cell r="CJ14">
            <v>0.82071414405587451</v>
          </cell>
          <cell r="CK14">
            <v>0.53828511999898776</v>
          </cell>
          <cell r="CQ14">
            <v>12</v>
          </cell>
          <cell r="CR14">
            <v>970.31567749999999</v>
          </cell>
          <cell r="CS14"/>
          <cell r="CT14">
            <v>1.0044791720609223</v>
          </cell>
          <cell r="CU14">
            <v>0.79528893348216567</v>
          </cell>
          <cell r="CV14">
            <v>0.51239319669757688</v>
          </cell>
        </row>
        <row r="15">
          <cell r="AZ15">
            <v>13</v>
          </cell>
          <cell r="BA15">
            <v>0.22795381745027665</v>
          </cell>
          <cell r="BC15">
            <v>1.1338083029425599</v>
          </cell>
          <cell r="BD15">
            <v>1.1767984976424644</v>
          </cell>
          <cell r="BE15">
            <v>1.2279538174502767</v>
          </cell>
          <cell r="BJ15">
            <v>13</v>
          </cell>
          <cell r="BK15">
            <v>608.31417280000005</v>
          </cell>
          <cell r="BL15"/>
          <cell r="BM15">
            <v>1.0437053995924914</v>
          </cell>
          <cell r="BN15">
            <v>1.0832791954637819</v>
          </cell>
          <cell r="BO15">
            <v>1.1303692400178118</v>
          </cell>
          <cell r="BU15">
            <v>13</v>
          </cell>
          <cell r="BV15">
            <v>659.47958779999999</v>
          </cell>
          <cell r="BW15"/>
          <cell r="BX15">
            <v>0.96273000490887972</v>
          </cell>
          <cell r="BY15">
            <v>0.99923348635901488</v>
          </cell>
          <cell r="BZ15">
            <v>1.0426700718575295</v>
          </cell>
          <cell r="CF15">
            <v>13</v>
          </cell>
          <cell r="CG15">
            <v>659.47958779999999</v>
          </cell>
          <cell r="CH15"/>
          <cell r="CI15">
            <v>0.97143610553142856</v>
          </cell>
          <cell r="CJ15">
            <v>1.0428008640791058</v>
          </cell>
          <cell r="CK15">
            <v>1.132863969047293</v>
          </cell>
          <cell r="CQ15">
            <v>13</v>
          </cell>
          <cell r="CR15">
            <v>659.47958779999999</v>
          </cell>
          <cell r="CS15"/>
          <cell r="CT15">
            <v>0.96273000490887972</v>
          </cell>
          <cell r="CU15">
            <v>0.98614459114776143</v>
          </cell>
          <cell r="CV15">
            <v>1.0078811273213202</v>
          </cell>
        </row>
        <row r="16">
          <cell r="AZ16">
            <v>14</v>
          </cell>
          <cell r="BA16">
            <v>0.15924184796407292</v>
          </cell>
          <cell r="BC16">
            <v>1.0181573052802553</v>
          </cell>
          <cell r="BD16">
            <v>1.0392626274737136</v>
          </cell>
          <cell r="BE16">
            <v>1.1592418479640729</v>
          </cell>
          <cell r="BJ16">
            <v>14</v>
          </cell>
          <cell r="BK16">
            <v>413.70755600000001</v>
          </cell>
          <cell r="BL16"/>
          <cell r="BM16">
            <v>1.0035455206914325</v>
          </cell>
          <cell r="BN16">
            <v>1.0243479560716555</v>
          </cell>
          <cell r="BO16">
            <v>1.1426053301284156</v>
          </cell>
          <cell r="BU16">
            <v>14</v>
          </cell>
          <cell r="BV16">
            <v>409.98708749999997</v>
          </cell>
          <cell r="BW16"/>
          <cell r="BX16">
            <v>1.0126522940798717</v>
          </cell>
          <cell r="BY16">
            <v>1.033643503223745</v>
          </cell>
          <cell r="BZ16">
            <v>1.1529740155535997</v>
          </cell>
          <cell r="CF16">
            <v>14</v>
          </cell>
          <cell r="CG16">
            <v>409.98708749999997</v>
          </cell>
          <cell r="CH16"/>
          <cell r="CI16">
            <v>1.0156167797785245</v>
          </cell>
          <cell r="CJ16">
            <v>1.033643503223745</v>
          </cell>
          <cell r="CK16">
            <v>1.1529740155535997</v>
          </cell>
          <cell r="CQ16">
            <v>14</v>
          </cell>
          <cell r="CR16">
            <v>409.98708749999997</v>
          </cell>
          <cell r="CS16"/>
          <cell r="CT16">
            <v>1.0121483594281158</v>
          </cell>
          <cell r="CU16">
            <v>1.0199430763263784</v>
          </cell>
          <cell r="CV16">
            <v>1.0678888572284104</v>
          </cell>
        </row>
        <row r="17">
          <cell r="AZ17">
            <v>15</v>
          </cell>
          <cell r="BA17">
            <v>0.25887624506268048</v>
          </cell>
          <cell r="BC17">
            <v>1.007075720973396</v>
          </cell>
          <cell r="BD17">
            <v>1.1158153219193001</v>
          </cell>
          <cell r="BE17">
            <v>1.2588762450626805</v>
          </cell>
          <cell r="BJ17">
            <v>15</v>
          </cell>
          <cell r="BK17">
            <v>632.84641350000004</v>
          </cell>
          <cell r="BL17"/>
          <cell r="BM17">
            <v>0.97816520358616199</v>
          </cell>
          <cell r="BN17">
            <v>1.0837831741934962</v>
          </cell>
          <cell r="BO17">
            <v>1.2227371913517213</v>
          </cell>
          <cell r="BU17">
            <v>15</v>
          </cell>
          <cell r="BV17">
            <v>629.4534645</v>
          </cell>
          <cell r="BW17"/>
          <cell r="BX17">
            <v>0.98343781679193532</v>
          </cell>
          <cell r="BY17">
            <v>1.0896251009513667</v>
          </cell>
          <cell r="BZ17">
            <v>1.2293281232706601</v>
          </cell>
          <cell r="CF17">
            <v>15</v>
          </cell>
          <cell r="CG17">
            <v>629.4534645</v>
          </cell>
          <cell r="CH17"/>
          <cell r="CI17">
            <v>0.99125695197495323</v>
          </cell>
          <cell r="CJ17">
            <v>1.111295605903321</v>
          </cell>
          <cell r="CK17">
            <v>1.2962617389161311</v>
          </cell>
          <cell r="CQ17">
            <v>15</v>
          </cell>
          <cell r="CR17">
            <v>629.4534645</v>
          </cell>
          <cell r="CS17"/>
          <cell r="CT17">
            <v>0.98343781679193532</v>
          </cell>
          <cell r="CU17">
            <v>1.059034779261691</v>
          </cell>
          <cell r="CV17">
            <v>1.1699806492973996</v>
          </cell>
        </row>
        <row r="18">
          <cell r="AZ18">
            <v>16</v>
          </cell>
          <cell r="BA18">
            <v>-9.9985844619140951E-2</v>
          </cell>
          <cell r="BC18">
            <v>0.9618351339365302</v>
          </cell>
          <cell r="BD18">
            <v>0.9301972537522829</v>
          </cell>
          <cell r="BE18">
            <v>0.90001415538085905</v>
          </cell>
          <cell r="BJ18">
            <v>16</v>
          </cell>
          <cell r="BK18">
            <v>2694.010362</v>
          </cell>
          <cell r="BL18"/>
          <cell r="BM18">
            <v>0.9724247816386089</v>
          </cell>
          <cell r="BN18">
            <v>0.94043857356180427</v>
          </cell>
          <cell r="BO18">
            <v>0.90992316420793329</v>
          </cell>
          <cell r="BU18">
            <v>16</v>
          </cell>
          <cell r="BV18">
            <v>2597.7964440000001</v>
          </cell>
          <cell r="BW18"/>
          <cell r="BX18">
            <v>1.0084402278903111</v>
          </cell>
          <cell r="BY18">
            <v>0.97526935486096922</v>
          </cell>
          <cell r="BZ18">
            <v>0.94362375414815214</v>
          </cell>
          <cell r="CF18">
            <v>16</v>
          </cell>
          <cell r="CG18">
            <v>2597.7964440000001</v>
          </cell>
          <cell r="CH18"/>
          <cell r="CI18">
            <v>1.0123062342526965</v>
          </cell>
          <cell r="CJ18">
            <v>0.98855543784742228</v>
          </cell>
          <cell r="CK18">
            <v>0.95544663184425549</v>
          </cell>
          <cell r="CQ18">
            <v>16</v>
          </cell>
          <cell r="CR18">
            <v>2597.7964440000001</v>
          </cell>
          <cell r="CS18"/>
          <cell r="CT18">
            <v>1.0083532771386527</v>
          </cell>
          <cell r="CU18">
            <v>0.96287994014392608</v>
          </cell>
          <cell r="CV18">
            <v>0.92174181077401696</v>
          </cell>
        </row>
        <row r="19">
          <cell r="AZ19">
            <v>17</v>
          </cell>
          <cell r="BA19">
            <v>5.027211989365532E-2</v>
          </cell>
          <cell r="BC19">
            <v>1.0400181580018433</v>
          </cell>
          <cell r="BD19">
            <v>1.0506357342243651</v>
          </cell>
          <cell r="BE19">
            <v>1.0502721198936553</v>
          </cell>
          <cell r="BJ19">
            <v>17</v>
          </cell>
          <cell r="BK19">
            <v>2853.0996009999999</v>
          </cell>
          <cell r="BL19"/>
          <cell r="BM19">
            <v>0.99031346224635364</v>
          </cell>
          <cell r="BN19">
            <v>1.0004236017556403</v>
          </cell>
          <cell r="BO19">
            <v>1.0000773653327499</v>
          </cell>
          <cell r="BU19">
            <v>17</v>
          </cell>
          <cell r="BV19">
            <v>2873.515868</v>
          </cell>
          <cell r="BW19"/>
          <cell r="BX19">
            <v>0.98327730689253323</v>
          </cell>
          <cell r="BY19">
            <v>0.99331561408311675</v>
          </cell>
          <cell r="BZ19">
            <v>0.99297183766239072</v>
          </cell>
          <cell r="CF19">
            <v>17</v>
          </cell>
          <cell r="CG19">
            <v>2873.515868</v>
          </cell>
          <cell r="CH19"/>
          <cell r="CI19">
            <v>0.98890821115809646</v>
          </cell>
          <cell r="CJ19">
            <v>1.0117243179070541</v>
          </cell>
          <cell r="CK19">
            <v>1.0298227599451664</v>
          </cell>
          <cell r="CQ19">
            <v>17</v>
          </cell>
          <cell r="CR19">
            <v>2873.515868</v>
          </cell>
          <cell r="CS19"/>
          <cell r="CT19">
            <v>0.98327730689253323</v>
          </cell>
          <cell r="CU19">
            <v>0.98362120263431496</v>
          </cell>
          <cell r="CV19">
            <v>0.96995126555722089</v>
          </cell>
        </row>
        <row r="20">
          <cell r="AZ20">
            <v>18</v>
          </cell>
          <cell r="BA20">
            <v>0.54596995282917371</v>
          </cell>
          <cell r="BC20">
            <v>1.1802466713351316</v>
          </cell>
          <cell r="BD20">
            <v>1.3249927655583336</v>
          </cell>
          <cell r="BE20">
            <v>1.5459699528291737</v>
          </cell>
          <cell r="BJ20">
            <v>18</v>
          </cell>
          <cell r="BK20">
            <v>3708.1323299999999</v>
          </cell>
          <cell r="BL20"/>
          <cell r="BM20">
            <v>1.0057536484950633</v>
          </cell>
          <cell r="BN20">
            <v>1.1290998234143386</v>
          </cell>
          <cell r="BO20">
            <v>1.3174067407135925</v>
          </cell>
          <cell r="BU20">
            <v>18</v>
          </cell>
          <cell r="BV20">
            <v>3845.4744460000002</v>
          </cell>
          <cell r="BW20"/>
          <cell r="BX20">
            <v>0.96983289640094505</v>
          </cell>
          <cell r="BY20">
            <v>1.0887737307304419</v>
          </cell>
          <cell r="BZ20">
            <v>1.2703552176978892</v>
          </cell>
          <cell r="CF20">
            <v>18</v>
          </cell>
          <cell r="CG20">
            <v>3845.4744460000002</v>
          </cell>
          <cell r="CH20"/>
          <cell r="CI20">
            <v>0.98286675504965815</v>
          </cell>
          <cell r="CJ20">
            <v>1.1123763037324812</v>
          </cell>
          <cell r="CK20">
            <v>1.2902584020838113</v>
          </cell>
          <cell r="CQ20">
            <v>18</v>
          </cell>
          <cell r="CR20">
            <v>3845.4744460000002</v>
          </cell>
          <cell r="CS20"/>
          <cell r="CT20">
            <v>0.96983289640094505</v>
          </cell>
          <cell r="CU20">
            <v>1.0770141556107227</v>
          </cell>
          <cell r="CV20">
            <v>1.2589087512921338</v>
          </cell>
        </row>
        <row r="21">
          <cell r="AZ21">
            <v>19</v>
          </cell>
          <cell r="BA21">
            <v>-0.24937799104837499</v>
          </cell>
          <cell r="BC21">
            <v>1.0516008932273329</v>
          </cell>
          <cell r="BD21">
            <v>0.92969307930045597</v>
          </cell>
          <cell r="BE21">
            <v>0.75062200895162501</v>
          </cell>
          <cell r="BJ21">
            <v>19</v>
          </cell>
          <cell r="BK21">
            <v>788.91908850000004</v>
          </cell>
          <cell r="BL21"/>
          <cell r="BM21">
            <v>1.0098329754129152</v>
          </cell>
          <cell r="BN21">
            <v>0.89276714629779175</v>
          </cell>
          <cell r="BO21">
            <v>0.72080849454563545</v>
          </cell>
          <cell r="BU21">
            <v>19</v>
          </cell>
          <cell r="BV21">
            <v>799.73573020000003</v>
          </cell>
          <cell r="BW21"/>
          <cell r="BX21">
            <v>0.99617471173979555</v>
          </cell>
          <cell r="BY21">
            <v>0.88069222957421389</v>
          </cell>
          <cell r="BZ21">
            <v>0.71105936502022749</v>
          </cell>
          <cell r="CF21">
            <v>19</v>
          </cell>
          <cell r="CG21">
            <v>799.73573020000003</v>
          </cell>
          <cell r="CH21"/>
          <cell r="CI21">
            <v>0.99617471173979555</v>
          </cell>
          <cell r="CJ21">
            <v>0.9110295487683655</v>
          </cell>
          <cell r="CK21">
            <v>0.74679651920154266</v>
          </cell>
          <cell r="CQ21">
            <v>19</v>
          </cell>
          <cell r="CR21">
            <v>799.73573020000003</v>
          </cell>
          <cell r="CS21"/>
          <cell r="CT21">
            <v>0.99117043401595317</v>
          </cell>
          <cell r="CU21">
            <v>0.8804634689814127</v>
          </cell>
          <cell r="CV21">
            <v>0.64607405651778405</v>
          </cell>
        </row>
        <row r="22">
          <cell r="AZ22">
            <v>20</v>
          </cell>
          <cell r="BA22">
            <v>0.21499773339451278</v>
          </cell>
          <cell r="BC22">
            <v>1.1600054749087749</v>
          </cell>
          <cell r="BD22">
            <v>1.2045260270549545</v>
          </cell>
          <cell r="BE22">
            <v>1.2149977333945128</v>
          </cell>
          <cell r="BJ22">
            <v>20</v>
          </cell>
          <cell r="BK22">
            <v>14447.033729999999</v>
          </cell>
          <cell r="BL22"/>
          <cell r="BM22">
            <v>1.0427118100180417</v>
          </cell>
          <cell r="BN22">
            <v>1.0827306776143313</v>
          </cell>
          <cell r="BO22">
            <v>1.0921435399735862</v>
          </cell>
          <cell r="BU22">
            <v>20</v>
          </cell>
          <cell r="BV22">
            <v>15710.003640000001</v>
          </cell>
          <cell r="BW22"/>
          <cell r="BX22">
            <v>0.95888537235246618</v>
          </cell>
          <cell r="BY22">
            <v>0.99568701436659879</v>
          </cell>
          <cell r="BZ22">
            <v>1.0043431511260936</v>
          </cell>
          <cell r="CF22">
            <v>20</v>
          </cell>
          <cell r="CG22">
            <v>15710.003640000001</v>
          </cell>
          <cell r="CH22"/>
          <cell r="CI22">
            <v>0.97390838276549496</v>
          </cell>
          <cell r="CJ22">
            <v>1.0259730483962524</v>
          </cell>
          <cell r="CK22">
            <v>1.0638458061711207</v>
          </cell>
          <cell r="CQ22">
            <v>20</v>
          </cell>
          <cell r="CR22">
            <v>15710.003640000001</v>
          </cell>
          <cell r="CS22"/>
          <cell r="CT22">
            <v>0.95888537235246618</v>
          </cell>
          <cell r="CU22">
            <v>0.98128799395364386</v>
          </cell>
          <cell r="CV22">
            <v>0.98059536266032654</v>
          </cell>
        </row>
        <row r="23">
          <cell r="AZ23">
            <v>21</v>
          </cell>
          <cell r="BA23">
            <v>0.42484393268474663</v>
          </cell>
          <cell r="BC23">
            <v>1.20620137183832</v>
          </cell>
          <cell r="BD23">
            <v>1.2916191112726481</v>
          </cell>
          <cell r="BE23">
            <v>1.4248439326847466</v>
          </cell>
          <cell r="BJ23">
            <v>21</v>
          </cell>
          <cell r="BK23">
            <v>1612.334065</v>
          </cell>
          <cell r="BL23"/>
          <cell r="BM23">
            <v>1.0456309555178938</v>
          </cell>
          <cell r="BN23">
            <v>1.1196778224740913</v>
          </cell>
          <cell r="BO23">
            <v>1.2351676573923902</v>
          </cell>
          <cell r="BU23">
            <v>21</v>
          </cell>
          <cell r="BV23">
            <v>1724.156845</v>
          </cell>
          <cell r="BW23"/>
          <cell r="BX23">
            <v>0.97781499049177278</v>
          </cell>
          <cell r="BY23">
            <v>1.0470594367532728</v>
          </cell>
          <cell r="BZ23">
            <v>1.1550590050872083</v>
          </cell>
          <cell r="CF23">
            <v>21</v>
          </cell>
          <cell r="CG23">
            <v>1724.156845</v>
          </cell>
          <cell r="CH23"/>
          <cell r="CI23">
            <v>0.98093662106478208</v>
          </cell>
          <cell r="CJ23">
            <v>1.058858964120466</v>
          </cell>
          <cell r="CK23">
            <v>1.1698417740071863</v>
          </cell>
          <cell r="CQ23">
            <v>21</v>
          </cell>
          <cell r="CR23">
            <v>1724.156845</v>
          </cell>
          <cell r="CS23"/>
          <cell r="CT23">
            <v>0.97685519211525274</v>
          </cell>
          <cell r="CU23">
            <v>1.0378372251671661</v>
          </cell>
          <cell r="CV23">
            <v>1.1296052748224295</v>
          </cell>
        </row>
        <row r="24">
          <cell r="AZ24">
            <v>22</v>
          </cell>
          <cell r="BA24">
            <v>0.52431875926629967</v>
          </cell>
          <cell r="BC24">
            <v>1.3068242840181479</v>
          </cell>
          <cell r="BD24">
            <v>1.401268334656453</v>
          </cell>
          <cell r="BE24">
            <v>1.5243187592662997</v>
          </cell>
          <cell r="BJ24">
            <v>22</v>
          </cell>
          <cell r="BK24">
            <v>1117.784204</v>
          </cell>
          <cell r="BL24"/>
          <cell r="BM24">
            <v>1.0874592856565364</v>
          </cell>
          <cell r="BN24">
            <v>1.166049851425526</v>
          </cell>
          <cell r="BO24">
            <v>1.268444892964331</v>
          </cell>
          <cell r="BU24">
            <v>22</v>
          </cell>
          <cell r="BV24">
            <v>1244.1737869999999</v>
          </cell>
          <cell r="BW24"/>
          <cell r="BX24">
            <v>0.97698956906250922</v>
          </cell>
          <cell r="BY24">
            <v>1.0475965002789438</v>
          </cell>
          <cell r="BZ24">
            <v>1.1395897259809413</v>
          </cell>
          <cell r="CF24">
            <v>22</v>
          </cell>
          <cell r="CG24">
            <v>1244.1737869999999</v>
          </cell>
          <cell r="CH24"/>
          <cell r="CI24">
            <v>0.98472008911043518</v>
          </cell>
          <cell r="CJ24">
            <v>1.0475965002789438</v>
          </cell>
          <cell r="CK24">
            <v>1.1395897259809413</v>
          </cell>
          <cell r="CQ24">
            <v>22</v>
          </cell>
          <cell r="CR24">
            <v>1244.1737869999999</v>
          </cell>
          <cell r="CS24"/>
          <cell r="CT24">
            <v>0.97698956906250922</v>
          </cell>
          <cell r="CU24">
            <v>1.017467458821437</v>
          </cell>
          <cell r="CV24">
            <v>1.0470982748600617</v>
          </cell>
        </row>
        <row r="25">
          <cell r="AZ25">
            <v>23</v>
          </cell>
          <cell r="BA25">
            <v>-0.28627289001492751</v>
          </cell>
          <cell r="BC25">
            <v>0.92013734160581406</v>
          </cell>
          <cell r="BD25">
            <v>0.81698042362830647</v>
          </cell>
          <cell r="BE25">
            <v>0.71372710998507249</v>
          </cell>
          <cell r="BJ25">
            <v>23</v>
          </cell>
          <cell r="BK25">
            <v>1283.5698609999999</v>
          </cell>
          <cell r="BL25"/>
          <cell r="BM25">
            <v>0.93374805876654976</v>
          </cell>
          <cell r="BN25">
            <v>0.82906523854567193</v>
          </cell>
          <cell r="BO25">
            <v>0.72428459676960266</v>
          </cell>
          <cell r="BU25">
            <v>23</v>
          </cell>
          <cell r="BV25">
            <v>1186.880746</v>
          </cell>
          <cell r="BW25"/>
          <cell r="BX25">
            <v>1.009815746054743</v>
          </cell>
          <cell r="BY25">
            <v>0.89660495090717385</v>
          </cell>
          <cell r="BZ25">
            <v>0.78328836518171974</v>
          </cell>
          <cell r="CF25">
            <v>23</v>
          </cell>
          <cell r="CG25">
            <v>1186.880746</v>
          </cell>
          <cell r="CH25"/>
          <cell r="CI25">
            <v>1.0134245288251693</v>
          </cell>
          <cell r="CJ25">
            <v>0.89689141685244211</v>
          </cell>
          <cell r="CK25">
            <v>0.78328836518171974</v>
          </cell>
          <cell r="CQ25">
            <v>23</v>
          </cell>
          <cell r="CR25">
            <v>1186.880746</v>
          </cell>
          <cell r="CS25"/>
          <cell r="CT25">
            <v>1.009815746054743</v>
          </cell>
          <cell r="CU25">
            <v>0.88326615438832956</v>
          </cell>
          <cell r="CV25">
            <v>0.76778625885389706</v>
          </cell>
        </row>
        <row r="26">
          <cell r="AZ26">
            <v>24</v>
          </cell>
          <cell r="BA26">
            <v>-1.2475366999703974E-2</v>
          </cell>
          <cell r="BC26">
            <v>0.9307189782940084</v>
          </cell>
          <cell r="BD26">
            <v>0.95939150064302448</v>
          </cell>
          <cell r="BE26">
            <v>0.98752463300029603</v>
          </cell>
          <cell r="BJ26">
            <v>24</v>
          </cell>
          <cell r="BK26">
            <v>636.74357280000004</v>
          </cell>
          <cell r="BL26"/>
          <cell r="BM26">
            <v>0.95250372820096096</v>
          </cell>
          <cell r="BN26">
            <v>0.98184737012864909</v>
          </cell>
          <cell r="BO26">
            <v>1.0106389969045322</v>
          </cell>
          <cell r="BU26">
            <v>24</v>
          </cell>
          <cell r="BV26">
            <v>613.85129359999996</v>
          </cell>
          <cell r="BW26"/>
          <cell r="BX26">
            <v>0.98802533011392524</v>
          </cell>
          <cell r="BY26">
            <v>1.0184632807948197</v>
          </cell>
          <cell r="BZ26">
            <v>1.048328630092179</v>
          </cell>
          <cell r="CF26">
            <v>24</v>
          </cell>
          <cell r="CG26">
            <v>613.85129359999996</v>
          </cell>
          <cell r="CH26"/>
          <cell r="CI26">
            <v>0.99209807871205091</v>
          </cell>
          <cell r="CJ26">
            <v>1.0184632807948197</v>
          </cell>
          <cell r="CK26">
            <v>1.048328630092179</v>
          </cell>
          <cell r="CQ26">
            <v>24</v>
          </cell>
          <cell r="CR26">
            <v>613.85129359999996</v>
          </cell>
          <cell r="CS26"/>
          <cell r="CT26">
            <v>0.98802533011392524</v>
          </cell>
          <cell r="CU26">
            <v>0.99156400651869636</v>
          </cell>
          <cell r="CV26">
            <v>0.96827650110835151</v>
          </cell>
        </row>
        <row r="27">
          <cell r="AZ27">
            <v>25</v>
          </cell>
          <cell r="BA27">
            <v>0.43088430774115172</v>
          </cell>
          <cell r="BC27">
            <v>1.1567770317759767</v>
          </cell>
          <cell r="BD27">
            <v>1.2600445320100764</v>
          </cell>
          <cell r="BE27">
            <v>1.4308843077411517</v>
          </cell>
          <cell r="BJ27">
            <v>25</v>
          </cell>
          <cell r="BK27">
            <v>789.77166460000001</v>
          </cell>
          <cell r="BL27"/>
          <cell r="BM27">
            <v>1.0413297046007999</v>
          </cell>
          <cell r="BN27">
            <v>1.1342910208784414</v>
          </cell>
          <cell r="BO27">
            <v>1.2880808423473034</v>
          </cell>
          <cell r="BU27">
            <v>25</v>
          </cell>
          <cell r="BV27">
            <v>836.29170690000001</v>
          </cell>
          <cell r="BW27"/>
          <cell r="BX27">
            <v>0.98340410100269049</v>
          </cell>
          <cell r="BY27">
            <v>1.0711942977656712</v>
          </cell>
          <cell r="BZ27">
            <v>1.2164293183905062</v>
          </cell>
          <cell r="CF27">
            <v>25</v>
          </cell>
          <cell r="CG27">
            <v>836.29170690000001</v>
          </cell>
          <cell r="CH27"/>
          <cell r="CI27">
            <v>0.98781713069831023</v>
          </cell>
          <cell r="CJ27">
            <v>1.0789731263678457</v>
          </cell>
          <cell r="CK27">
            <v>1.2164293183905062</v>
          </cell>
          <cell r="CQ27">
            <v>25</v>
          </cell>
          <cell r="CR27">
            <v>836.29170690000001</v>
          </cell>
          <cell r="CS27"/>
          <cell r="CT27">
            <v>0.98340410100269049</v>
          </cell>
          <cell r="CU27">
            <v>1.0614827895901338</v>
          </cell>
          <cell r="CV27">
            <v>1.1939166487333905</v>
          </cell>
        </row>
        <row r="28">
          <cell r="AZ28">
            <v>26</v>
          </cell>
          <cell r="BA28">
            <v>0.45476808662351753</v>
          </cell>
          <cell r="BC28">
            <v>1.1521476533770814</v>
          </cell>
          <cell r="BD28">
            <v>1.278806740582944</v>
          </cell>
          <cell r="BE28">
            <v>1.4547680866235175</v>
          </cell>
          <cell r="BJ28">
            <v>26</v>
          </cell>
          <cell r="BK28">
            <v>254.25471379999999</v>
          </cell>
          <cell r="BL28"/>
          <cell r="BM28">
            <v>1.035725840690392</v>
          </cell>
          <cell r="BN28">
            <v>1.1495863247983567</v>
          </cell>
          <cell r="BO28">
            <v>1.3077671903520869</v>
          </cell>
          <cell r="BU28">
            <v>26</v>
          </cell>
          <cell r="BV28">
            <v>273.20894909999998</v>
          </cell>
          <cell r="BW28"/>
          <cell r="BX28">
            <v>0.96387097885147577</v>
          </cell>
          <cell r="BY28">
            <v>1.069832239986461</v>
          </cell>
          <cell r="BZ28">
            <v>1.2170390969817613</v>
          </cell>
          <cell r="CF28">
            <v>26</v>
          </cell>
          <cell r="CG28">
            <v>273.20894909999998</v>
          </cell>
          <cell r="CH28"/>
          <cell r="CI28">
            <v>0.96754273901026189</v>
          </cell>
          <cell r="CJ28">
            <v>1.1013732470442708</v>
          </cell>
          <cell r="CK28">
            <v>1.2660395621486702</v>
          </cell>
          <cell r="CQ28">
            <v>26</v>
          </cell>
          <cell r="CR28">
            <v>273.20894909999998</v>
          </cell>
          <cell r="CS28"/>
          <cell r="CT28">
            <v>0.96072470058684423</v>
          </cell>
          <cell r="CU28">
            <v>1.069832239986461</v>
          </cell>
          <cell r="CV28">
            <v>1.2170390969817613</v>
          </cell>
        </row>
        <row r="29">
          <cell r="AZ29">
            <v>27</v>
          </cell>
          <cell r="BA29">
            <v>4.1702322398681879E-2</v>
          </cell>
          <cell r="BC29">
            <v>1.0603983691748038</v>
          </cell>
          <cell r="BD29">
            <v>1.0584554655912177</v>
          </cell>
          <cell r="BE29">
            <v>1.0417023223986819</v>
          </cell>
          <cell r="BJ29">
            <v>27</v>
          </cell>
          <cell r="BK29">
            <v>49382.81828</v>
          </cell>
          <cell r="BL29"/>
          <cell r="BM29">
            <v>0.99565886076439614</v>
          </cell>
          <cell r="BN29">
            <v>0.99383457545347698</v>
          </cell>
          <cell r="BO29">
            <v>0.97810424622043257</v>
          </cell>
          <cell r="BU29">
            <v>27</v>
          </cell>
          <cell r="BV29">
            <v>50355.6518</v>
          </cell>
          <cell r="BW29"/>
          <cell r="BX29">
            <v>0.97642347646068994</v>
          </cell>
          <cell r="BY29">
            <v>0.97463443497716773</v>
          </cell>
          <cell r="BZ29">
            <v>0.9592080039365114</v>
          </cell>
          <cell r="CF29">
            <v>27</v>
          </cell>
          <cell r="CG29">
            <v>50355.6518</v>
          </cell>
          <cell r="CH29"/>
          <cell r="CI29">
            <v>0.98518355882761999</v>
          </cell>
          <cell r="CJ29">
            <v>0.99136653206523173</v>
          </cell>
          <cell r="CK29">
            <v>0.98650742919976364</v>
          </cell>
          <cell r="CQ29">
            <v>27</v>
          </cell>
          <cell r="CR29">
            <v>50355.6518</v>
          </cell>
          <cell r="CS29"/>
          <cell r="CT29">
            <v>0.97642347646068994</v>
          </cell>
          <cell r="CU29">
            <v>0.95895298732602696</v>
          </cell>
          <cell r="CV29">
            <v>0.93415318488249821</v>
          </cell>
        </row>
      </sheetData>
      <sheetData sheetId="69"/>
      <sheetData sheetId="70"/>
      <sheetData sheetId="71"/>
      <sheetData sheetId="72">
        <row r="3">
          <cell r="P3">
            <v>5</v>
          </cell>
          <cell r="Q3">
            <v>0.31477537837949265</v>
          </cell>
          <cell r="S3">
            <v>1.1281855683725901</v>
          </cell>
          <cell r="T3">
            <v>1.2214804733760414</v>
          </cell>
          <cell r="U3">
            <v>1.3147753783794927</v>
          </cell>
          <cell r="V3">
            <v>1.5197171603864619</v>
          </cell>
          <cell r="W3">
            <v>1.4489410148643043</v>
          </cell>
          <cell r="X3">
            <v>1.4701501208075871</v>
          </cell>
          <cell r="Y3">
            <v>1.4913592267508702</v>
          </cell>
          <cell r="Z3">
            <v>5</v>
          </cell>
          <cell r="AA3">
            <v>1272.0632636116138</v>
          </cell>
          <cell r="AB3"/>
          <cell r="AC3">
            <v>1.0476123013992056</v>
          </cell>
          <cell r="AD3">
            <v>1.134244228698605</v>
          </cell>
          <cell r="AE3">
            <v>1.2208761559980046</v>
          </cell>
          <cell r="AF3">
            <v>1.4111813131636646</v>
          </cell>
          <cell r="AG3">
            <v>1.3454598904002195</v>
          </cell>
          <cell r="AH3">
            <v>1.3651542748266334</v>
          </cell>
          <cell r="AI3">
            <v>1.3848486592530476</v>
          </cell>
        </row>
        <row r="4">
          <cell r="P4">
            <v>1</v>
          </cell>
          <cell r="Q4">
            <v>-7.2534073469484373E-2</v>
          </cell>
          <cell r="S4">
            <v>0.95168946957270373</v>
          </cell>
          <cell r="T4">
            <v>0.93957769805160973</v>
          </cell>
          <cell r="U4">
            <v>0.92746592653051563</v>
          </cell>
          <cell r="V4">
            <v>0.94589759722669797</v>
          </cell>
          <cell r="W4">
            <v>0.90132866197653405</v>
          </cell>
          <cell r="X4">
            <v>0.88454047414616055</v>
          </cell>
          <cell r="Y4">
            <v>0.86775228631578694</v>
          </cell>
          <cell r="Z4">
            <v>1</v>
          </cell>
          <cell r="AA4">
            <v>652.60896760434423</v>
          </cell>
          <cell r="AB4"/>
          <cell r="AC4">
            <v>0.98009892905296814</v>
          </cell>
          <cell r="AD4">
            <v>0.96762560169537082</v>
          </cell>
          <cell r="AE4">
            <v>0.95515227433777339</v>
          </cell>
          <cell r="AF4">
            <v>0.97413416001325137</v>
          </cell>
          <cell r="AG4">
            <v>0.9282347704494166</v>
          </cell>
          <cell r="AH4">
            <v>0.91094542824341651</v>
          </cell>
          <cell r="AI4">
            <v>0.89365608603741642</v>
          </cell>
        </row>
        <row r="5">
          <cell r="P5">
            <v>12</v>
          </cell>
          <cell r="Q5">
            <v>1.35065360985831E-2</v>
          </cell>
          <cell r="S5">
            <v>0.9941185504495238</v>
          </cell>
          <cell r="T5">
            <v>1.0038125432740534</v>
          </cell>
          <cell r="U5">
            <v>1.0135065360985831</v>
          </cell>
          <cell r="V5">
            <v>1.0304390158921086</v>
          </cell>
          <cell r="W5">
            <v>1.0127384786458584</v>
          </cell>
          <cell r="X5">
            <v>1.0301458041364189</v>
          </cell>
          <cell r="Y5">
            <v>1.0475531296269789</v>
          </cell>
          <cell r="Z5">
            <v>12</v>
          </cell>
          <cell r="AA5">
            <v>1094.3549461876682</v>
          </cell>
          <cell r="AB5"/>
          <cell r="AC5">
            <v>0.99763908883185226</v>
          </cell>
          <cell r="AD5">
            <v>1.0073674116402671</v>
          </cell>
          <cell r="AE5">
            <v>1.0170957344486815</v>
          </cell>
          <cell r="AF5">
            <v>1.0340881783631808</v>
          </cell>
          <cell r="AG5">
            <v>1.0163249570228301</v>
          </cell>
          <cell r="AH5">
            <v>1.0337939282371278</v>
          </cell>
          <cell r="AI5">
            <v>1.0512628994514253</v>
          </cell>
        </row>
        <row r="6">
          <cell r="P6">
            <v>20</v>
          </cell>
          <cell r="Q6">
            <v>0.23533070753525309</v>
          </cell>
          <cell r="S6">
            <v>1.1203325648367572</v>
          </cell>
          <cell r="T6">
            <v>1.1778316361860053</v>
          </cell>
          <cell r="U6">
            <v>1.2353307075352531</v>
          </cell>
          <cell r="V6">
            <v>1.2140008166562997</v>
          </cell>
          <cell r="W6">
            <v>1.2882005620935677</v>
          </cell>
          <cell r="X6">
            <v>1.2694960351162805</v>
          </cell>
          <cell r="Y6">
            <v>1.2507915081389931</v>
          </cell>
          <cell r="Z6">
            <v>20</v>
          </cell>
          <cell r="AA6">
            <v>13862.882897937523</v>
          </cell>
          <cell r="AB6"/>
          <cell r="AC6">
            <v>1.0448918547232278</v>
          </cell>
          <cell r="AD6">
            <v>1.0985190661358795</v>
          </cell>
          <cell r="AE6">
            <v>1.1521462775485309</v>
          </cell>
          <cell r="AF6">
            <v>1.1322526942134779</v>
          </cell>
          <cell r="AG6">
            <v>1.2014559933617404</v>
          </cell>
          <cell r="AH6">
            <v>1.1840109877460496</v>
          </cell>
          <cell r="AI6">
            <v>1.1665659821303589</v>
          </cell>
        </row>
        <row r="7">
          <cell r="P7">
            <v>9</v>
          </cell>
          <cell r="Q7">
            <v>0.43251942477232741</v>
          </cell>
          <cell r="S7">
            <v>1.1134239698036805</v>
          </cell>
          <cell r="T7">
            <v>1.2729716972880039</v>
          </cell>
          <cell r="U7">
            <v>1.4325194247723274</v>
          </cell>
          <cell r="V7">
            <v>1.5750907434078112</v>
          </cell>
          <cell r="W7">
            <v>1.8450618392754485</v>
          </cell>
          <cell r="X7">
            <v>2.0869040806200063</v>
          </cell>
          <cell r="Y7">
            <v>2.3287463219645645</v>
          </cell>
          <cell r="Z7">
            <v>9</v>
          </cell>
          <cell r="AA7">
            <v>471.36135439508894</v>
          </cell>
          <cell r="AB7"/>
          <cell r="AC7">
            <v>1.0424787245772247</v>
          </cell>
          <cell r="AD7">
            <v>1.1918603761024551</v>
          </cell>
          <cell r="AE7">
            <v>1.3412420276276855</v>
          </cell>
          <cell r="AF7">
            <v>1.4747289745977765</v>
          </cell>
          <cell r="AG7">
            <v>1.7274980287276547</v>
          </cell>
          <cell r="AH7">
            <v>1.9539305451303914</v>
          </cell>
          <cell r="AI7">
            <v>2.1803630615331282</v>
          </cell>
        </row>
        <row r="8">
          <cell r="P8">
            <v>18</v>
          </cell>
          <cell r="Q8">
            <v>0.57114423533571168</v>
          </cell>
          <cell r="S8">
            <v>1.1514750518799308</v>
          </cell>
          <cell r="T8">
            <v>1.3613096436078214</v>
          </cell>
          <cell r="U8">
            <v>1.5711442353357117</v>
          </cell>
          <cell r="V8">
            <v>1.6588035431080077</v>
          </cell>
          <cell r="W8">
            <v>1.9210618529007875</v>
          </cell>
          <cell r="X8">
            <v>2.2197670635199267</v>
          </cell>
          <cell r="Y8">
            <v>2.5184722741390662</v>
          </cell>
          <cell r="Z8">
            <v>18</v>
          </cell>
          <cell r="AA8">
            <v>3599.5456794584138</v>
          </cell>
          <cell r="AB8"/>
          <cell r="AC8">
            <v>1.0555420773253468</v>
          </cell>
          <cell r="AD8">
            <v>1.2478946953743129</v>
          </cell>
          <cell r="AE8">
            <v>1.4402473134232785</v>
          </cell>
          <cell r="AF8">
            <v>1.5206034511197117</v>
          </cell>
          <cell r="AG8">
            <v>1.7610122039299037</v>
          </cell>
          <cell r="AH8">
            <v>2.0348313526905044</v>
          </cell>
          <cell r="AI8">
            <v>2.3086505014511056</v>
          </cell>
        </row>
        <row r="9">
          <cell r="P9">
            <v>22</v>
          </cell>
          <cell r="Q9">
            <v>0.51837746868676926</v>
          </cell>
          <cell r="S9">
            <v>1.1496099681209853</v>
          </cell>
          <cell r="T9">
            <v>1.3339937184038773</v>
          </cell>
          <cell r="U9">
            <v>1.5183774686867693</v>
          </cell>
          <cell r="V9">
            <v>1.7456826404300549</v>
          </cell>
          <cell r="W9">
            <v>1.819622003245732</v>
          </cell>
          <cell r="X9">
            <v>1.9449713431543143</v>
          </cell>
          <cell r="Y9">
            <v>2.0703206830628966</v>
          </cell>
          <cell r="Z9">
            <v>22</v>
          </cell>
          <cell r="AA9">
            <v>971.08810714498975</v>
          </cell>
          <cell r="AB9"/>
          <cell r="AC9">
            <v>1.0549145305494636</v>
          </cell>
          <cell r="AD9">
            <v>1.2241102602007539</v>
          </cell>
          <cell r="AE9">
            <v>1.3933059898520439</v>
          </cell>
          <cell r="AF9">
            <v>1.6018876263987081</v>
          </cell>
          <cell r="AG9">
            <v>1.6697364711171609</v>
          </cell>
          <cell r="AH9">
            <v>1.784760560792096</v>
          </cell>
          <cell r="AI9">
            <v>1.899784650467031</v>
          </cell>
        </row>
        <row r="10">
          <cell r="P10">
            <v>23</v>
          </cell>
          <cell r="Q10">
            <v>-0.13649927231100967</v>
          </cell>
          <cell r="S10">
            <v>0.95124555206262129</v>
          </cell>
          <cell r="T10">
            <v>0.9073731398758057</v>
          </cell>
          <cell r="U10">
            <v>0.86350072768899033</v>
          </cell>
          <cell r="V10">
            <v>0.95628531517031556</v>
          </cell>
          <cell r="W10">
            <v>0.85744105722779662</v>
          </cell>
          <cell r="X10">
            <v>0.86941473537635183</v>
          </cell>
          <cell r="Y10">
            <v>0.88138841352490682</v>
          </cell>
          <cell r="Z10">
            <v>23</v>
          </cell>
          <cell r="AA10">
            <v>1199.832664492978</v>
          </cell>
          <cell r="AB10"/>
          <cell r="AC10">
            <v>0.97991055082264378</v>
          </cell>
          <cell r="AD10">
            <v>0.93471607974345561</v>
          </cell>
          <cell r="AE10">
            <v>0.88952160866426766</v>
          </cell>
          <cell r="AF10">
            <v>0.98510218302756491</v>
          </cell>
          <cell r="AG10">
            <v>0.88327933504043143</v>
          </cell>
          <cell r="AH10">
            <v>0.89561383008693374</v>
          </cell>
          <cell r="AI10">
            <v>0.90794832513343582</v>
          </cell>
        </row>
        <row r="11">
          <cell r="P11">
            <v>19</v>
          </cell>
          <cell r="Q11">
            <v>0.11135773515432779</v>
          </cell>
          <cell r="S11">
            <v>1.0533777547966598</v>
          </cell>
          <cell r="T11">
            <v>1.0823677449754938</v>
          </cell>
          <cell r="U11">
            <v>1.1113577351543278</v>
          </cell>
          <cell r="V11">
            <v>1.1275448124974088</v>
          </cell>
          <cell r="W11">
            <v>1.1072032731403265</v>
          </cell>
          <cell r="X11">
            <v>1.0887064329703746</v>
          </cell>
          <cell r="Y11">
            <v>1.0702095928004232</v>
          </cell>
          <cell r="Z11">
            <v>19</v>
          </cell>
          <cell r="AA11">
            <v>855.56570857012582</v>
          </cell>
          <cell r="AB11"/>
          <cell r="AC11">
            <v>1.0206885179361622</v>
          </cell>
          <cell r="AD11">
            <v>1.0487788682173202</v>
          </cell>
          <cell r="AE11">
            <v>1.0768692184984781</v>
          </cell>
          <cell r="AF11">
            <v>1.0925539658816397</v>
          </cell>
          <cell r="AG11">
            <v>1.0728436809773145</v>
          </cell>
          <cell r="AH11">
            <v>1.0549208491217903</v>
          </cell>
          <cell r="AI11">
            <v>1.0369980172662663</v>
          </cell>
        </row>
        <row r="12">
          <cell r="P12">
            <v>17</v>
          </cell>
          <cell r="Q12">
            <v>0.2710343429818145</v>
          </cell>
          <cell r="S12">
            <v>1.1139402907930636</v>
          </cell>
          <cell r="T12">
            <v>1.1924873168874388</v>
          </cell>
          <cell r="U12">
            <v>1.2710343429818145</v>
          </cell>
          <cell r="V12">
            <v>1.3406818775264355</v>
          </cell>
          <cell r="W12">
            <v>1.4162154159397284</v>
          </cell>
          <cell r="X12">
            <v>1.5073979794750321</v>
          </cell>
          <cell r="Y12">
            <v>1.5985805430103357</v>
          </cell>
          <cell r="Z12">
            <v>17</v>
          </cell>
          <cell r="AA12">
            <v>2394.4509424576327</v>
          </cell>
          <cell r="AB12"/>
          <cell r="AC12">
            <v>1.0426597197903851</v>
          </cell>
          <cell r="AD12">
            <v>1.1161805546994295</v>
          </cell>
          <cell r="AE12">
            <v>1.1897013896084738</v>
          </cell>
          <cell r="AF12">
            <v>1.2548922076914477</v>
          </cell>
          <cell r="AG12">
            <v>1.3255923867295096</v>
          </cell>
          <cell r="AH12">
            <v>1.4109402163495357</v>
          </cell>
          <cell r="AI12">
            <v>1.4962880459695618</v>
          </cell>
        </row>
        <row r="13">
          <cell r="P13">
            <v>3</v>
          </cell>
          <cell r="Q13">
            <v>0.15356120625727931</v>
          </cell>
          <cell r="S13">
            <v>1.0186035934518323</v>
          </cell>
          <cell r="T13">
            <v>1.0860823998545557</v>
          </cell>
          <cell r="U13">
            <v>1.1535612062572793</v>
          </cell>
          <cell r="V13">
            <v>1.2054993921593409</v>
          </cell>
          <cell r="W13">
            <v>1.2880741950926871</v>
          </cell>
          <cell r="X13">
            <v>1.365201742082627</v>
          </cell>
          <cell r="Y13">
            <v>1.4423292890725667</v>
          </cell>
          <cell r="Z13">
            <v>3</v>
          </cell>
          <cell r="AA13">
            <v>654.25240244648421</v>
          </cell>
          <cell r="AB13"/>
          <cell r="AC13">
            <v>1.0073592918168999</v>
          </cell>
          <cell r="AD13">
            <v>1.0740932038779627</v>
          </cell>
          <cell r="AE13">
            <v>1.1408271159390255</v>
          </cell>
          <cell r="AF13">
            <v>1.1921919594413468</v>
          </cell>
          <cell r="AG13">
            <v>1.2738552242674288</v>
          </cell>
          <cell r="AH13">
            <v>1.3501313650692377</v>
          </cell>
          <cell r="AI13">
            <v>1.4264075058710464</v>
          </cell>
        </row>
        <row r="14">
          <cell r="P14">
            <v>7</v>
          </cell>
          <cell r="Q14">
            <v>0.2834614076739923</v>
          </cell>
          <cell r="S14">
            <v>1.1270048792631318</v>
          </cell>
          <cell r="T14">
            <v>1.2052331434685621</v>
          </cell>
          <cell r="U14">
            <v>1.2834614076739923</v>
          </cell>
          <cell r="V14">
            <v>1.3479793922376431</v>
          </cell>
          <cell r="W14">
            <v>1.3962094984713667</v>
          </cell>
          <cell r="X14">
            <v>1.4526907069103792</v>
          </cell>
          <cell r="Y14">
            <v>1.5091719153493914</v>
          </cell>
          <cell r="Z14">
            <v>7</v>
          </cell>
          <cell r="AA14">
            <v>779.32790401808484</v>
          </cell>
          <cell r="AB14"/>
          <cell r="AC14">
            <v>1.0472048072016795</v>
          </cell>
          <cell r="AD14">
            <v>1.1198939462128008</v>
          </cell>
          <cell r="AE14">
            <v>1.1925830852239221</v>
          </cell>
          <cell r="AF14">
            <v>1.2525327312540206</v>
          </cell>
          <cell r="AG14">
            <v>1.2973477981886252</v>
          </cell>
          <cell r="AH14">
            <v>1.3498297297953155</v>
          </cell>
          <cell r="AI14">
            <v>1.4023116614020055</v>
          </cell>
        </row>
        <row r="15">
          <cell r="P15">
            <v>24</v>
          </cell>
          <cell r="Q15">
            <v>1.7262915940108314E-4</v>
          </cell>
          <cell r="S15">
            <v>1.0316166063281147</v>
          </cell>
          <cell r="T15">
            <v>1.015894617743758</v>
          </cell>
          <cell r="U15">
            <v>1.0001726291594011</v>
          </cell>
          <cell r="V15">
            <v>0.97661085675345949</v>
          </cell>
          <cell r="W15">
            <v>0.99258690149973083</v>
          </cell>
          <cell r="X15">
            <v>1.0215756990443161</v>
          </cell>
          <cell r="Y15">
            <v>1.0505644965889012</v>
          </cell>
          <cell r="Z15">
            <v>24</v>
          </cell>
          <cell r="AA15">
            <v>737.00718220300723</v>
          </cell>
          <cell r="AB15"/>
          <cell r="AC15">
            <v>1.0124112024697198</v>
          </cell>
          <cell r="AD15">
            <v>0.99698190706068357</v>
          </cell>
          <cell r="AE15">
            <v>0.98155261165164731</v>
          </cell>
          <cell r="AF15">
            <v>0.95842948413751905</v>
          </cell>
          <cell r="AG15">
            <v>0.97410810599477349</v>
          </cell>
          <cell r="AH15">
            <v>1.0025572247858394</v>
          </cell>
          <cell r="AI15">
            <v>1.0310063435769052</v>
          </cell>
        </row>
        <row r="16">
          <cell r="P16">
            <v>4</v>
          </cell>
          <cell r="Q16">
            <v>0.31026867462353391</v>
          </cell>
          <cell r="S16">
            <v>1.1099700066223332</v>
          </cell>
          <cell r="T16">
            <v>1.2101193406229336</v>
          </cell>
          <cell r="U16">
            <v>1.3102686746235339</v>
          </cell>
          <cell r="V16">
            <v>1.4903603761158744</v>
          </cell>
          <cell r="W16">
            <v>1.6075637970505492</v>
          </cell>
          <cell r="X16">
            <v>1.8132551264697045</v>
          </cell>
          <cell r="Y16">
            <v>2.0189464558888597</v>
          </cell>
          <cell r="Z16">
            <v>4</v>
          </cell>
          <cell r="AA16">
            <v>314.89127713926507</v>
          </cell>
          <cell r="AB16"/>
          <cell r="AC16">
            <v>1.0412652394552346</v>
          </cell>
          <cell r="AD16">
            <v>1.1352155440826093</v>
          </cell>
          <cell r="AE16">
            <v>1.2291658487099841</v>
          </cell>
          <cell r="AF16">
            <v>1.3981102594233514</v>
          </cell>
          <cell r="AG16">
            <v>1.5080590395132631</v>
          </cell>
          <cell r="AH16">
            <v>1.701018515988898</v>
          </cell>
          <cell r="AI16">
            <v>1.8939779924645326</v>
          </cell>
        </row>
        <row r="17">
          <cell r="P17">
            <v>26</v>
          </cell>
          <cell r="Q17">
            <v>0.36454654109880358</v>
          </cell>
          <cell r="S17">
            <v>1.1642223342865927</v>
          </cell>
          <cell r="T17">
            <v>1.2643844376926983</v>
          </cell>
          <cell r="U17">
            <v>1.3645465410988036</v>
          </cell>
          <cell r="V17">
            <v>1.9084680467064525</v>
          </cell>
          <cell r="W17">
            <v>1.8800353048654792</v>
          </cell>
          <cell r="X17">
            <v>2.0539671222038538</v>
          </cell>
          <cell r="Y17">
            <v>2.2278989395422277</v>
          </cell>
          <cell r="Z17">
            <v>26</v>
          </cell>
          <cell r="AA17">
            <v>368.15237883214064</v>
          </cell>
          <cell r="AB17"/>
          <cell r="AC17">
            <v>1.0597969380634544</v>
          </cell>
          <cell r="AD17">
            <v>1.1509749608290396</v>
          </cell>
          <cell r="AE17">
            <v>1.2421529835946246</v>
          </cell>
          <cell r="AF17">
            <v>1.7372872283289715</v>
          </cell>
          <cell r="AG17">
            <v>1.7114047728422566</v>
          </cell>
          <cell r="AH17">
            <v>1.8697357050176606</v>
          </cell>
          <cell r="AI17">
            <v>2.0280666371930645</v>
          </cell>
        </row>
        <row r="18">
          <cell r="P18">
            <v>6</v>
          </cell>
          <cell r="Q18">
            <v>0.37686752238078403</v>
          </cell>
          <cell r="S18">
            <v>1.0990220557321675</v>
          </cell>
          <cell r="T18">
            <v>1.2379447890564759</v>
          </cell>
          <cell r="U18">
            <v>1.376867522380784</v>
          </cell>
          <cell r="V18">
            <v>1.496465566468995</v>
          </cell>
          <cell r="W18">
            <v>1.4997274305218344</v>
          </cell>
          <cell r="X18">
            <v>1.6145337027505249</v>
          </cell>
          <cell r="Y18">
            <v>1.7293399749792151</v>
          </cell>
          <cell r="Z18">
            <v>6</v>
          </cell>
          <cell r="AA18">
            <v>1396.6976571356738</v>
          </cell>
          <cell r="AB18"/>
          <cell r="AC18">
            <v>1.0373875094652916</v>
          </cell>
          <cell r="AD18">
            <v>1.1685192802789397</v>
          </cell>
          <cell r="AE18">
            <v>1.2996510510925878</v>
          </cell>
          <cell r="AF18">
            <v>1.4125418856727312</v>
          </cell>
          <cell r="AG18">
            <v>1.4156208202658458</v>
          </cell>
          <cell r="AH18">
            <v>1.5239886116100987</v>
          </cell>
          <cell r="AI18">
            <v>1.6323564029543514</v>
          </cell>
        </row>
        <row r="19">
          <cell r="P19">
            <v>25</v>
          </cell>
          <cell r="Q19">
            <v>0.45511214371811359</v>
          </cell>
          <cell r="S19">
            <v>1.1544396623898634</v>
          </cell>
          <cell r="T19">
            <v>1.3047759030539885</v>
          </cell>
          <cell r="U19">
            <v>1.4551121437181136</v>
          </cell>
          <cell r="V19">
            <v>1.6729867428025686</v>
          </cell>
          <cell r="W19">
            <v>1.9087646163701693</v>
          </cell>
          <cell r="X19">
            <v>2.20436910012485</v>
          </cell>
          <cell r="Y19">
            <v>2.4999735838795307</v>
          </cell>
          <cell r="Z19">
            <v>25</v>
          </cell>
          <cell r="AA19">
            <v>900.64681588724648</v>
          </cell>
          <cell r="AB19"/>
          <cell r="AC19">
            <v>1.0565369376207245</v>
          </cell>
          <cell r="AD19">
            <v>1.1941238522940067</v>
          </cell>
          <cell r="AE19">
            <v>1.331710766967289</v>
          </cell>
          <cell r="AF19">
            <v>1.5311084221253768</v>
          </cell>
          <cell r="AG19">
            <v>1.7468910572976195</v>
          </cell>
          <cell r="AH19">
            <v>2.0174266826646332</v>
          </cell>
          <cell r="AI19">
            <v>2.2879623080316467</v>
          </cell>
        </row>
        <row r="20">
          <cell r="P20">
            <v>16</v>
          </cell>
          <cell r="Q20">
            <v>0.14369987848333809</v>
          </cell>
          <cell r="S20">
            <v>1.0429326755570605</v>
          </cell>
          <cell r="T20">
            <v>1.0933162770201994</v>
          </cell>
          <cell r="U20">
            <v>1.1436998784833381</v>
          </cell>
          <cell r="V20">
            <v>1.1786228477605776</v>
          </cell>
          <cell r="W20">
            <v>1.2012571843215647</v>
          </cell>
          <cell r="X20">
            <v>1.2067744827369513</v>
          </cell>
          <cell r="Y20">
            <v>1.2122917811523379</v>
          </cell>
          <cell r="Z20">
            <v>16</v>
          </cell>
          <cell r="AA20">
            <v>2433.879927146686</v>
          </cell>
          <cell r="AB20"/>
          <cell r="AC20">
            <v>1.0167418078597747</v>
          </cell>
          <cell r="AD20">
            <v>1.0658601404604444</v>
          </cell>
          <cell r="AE20">
            <v>1.1149784730611143</v>
          </cell>
          <cell r="AF20">
            <v>1.1490244318760552</v>
          </cell>
          <cell r="AG20">
            <v>1.1710903588664361</v>
          </cell>
          <cell r="AH20">
            <v>1.1764691029568595</v>
          </cell>
          <cell r="AI20">
            <v>1.1818478470472829</v>
          </cell>
        </row>
        <row r="21">
          <cell r="P21">
            <v>10</v>
          </cell>
          <cell r="Q21">
            <v>0.33119280481945612</v>
          </cell>
          <cell r="S21">
            <v>1.1223365035750255</v>
          </cell>
          <cell r="T21">
            <v>1.2267646541972408</v>
          </cell>
          <cell r="U21">
            <v>1.3311928048194561</v>
          </cell>
          <cell r="V21">
            <v>1.3694504942181165</v>
          </cell>
          <cell r="W21">
            <v>1.5476155901602893</v>
          </cell>
          <cell r="X21">
            <v>1.6936869558667624</v>
          </cell>
          <cell r="Y21">
            <v>1.839758321573236</v>
          </cell>
          <cell r="Z21">
            <v>10</v>
          </cell>
          <cell r="AA21">
            <v>574.51306327152361</v>
          </cell>
          <cell r="AB21"/>
          <cell r="AC21">
            <v>1.0455883312040184</v>
          </cell>
          <cell r="AD21">
            <v>1.1428754241498507</v>
          </cell>
          <cell r="AE21">
            <v>1.2401625170956829</v>
          </cell>
          <cell r="AF21">
            <v>1.2758040501712336</v>
          </cell>
          <cell r="AG21">
            <v>1.4417857720091951</v>
          </cell>
          <cell r="AH21">
            <v>1.5778684130167933</v>
          </cell>
          <cell r="AI21">
            <v>1.7139510540243919</v>
          </cell>
        </row>
        <row r="22">
          <cell r="P22">
            <v>21</v>
          </cell>
          <cell r="Q22">
            <v>0.51224487404469476</v>
          </cell>
          <cell r="S22">
            <v>1.1501120016122932</v>
          </cell>
          <cell r="T22">
            <v>1.3311784378284941</v>
          </cell>
          <cell r="U22">
            <v>1.5122448740446948</v>
          </cell>
          <cell r="V22">
            <v>1.5367746683190071</v>
          </cell>
          <cell r="W22">
            <v>1.6180619125595959</v>
          </cell>
          <cell r="X22">
            <v>1.7152767676022922</v>
          </cell>
          <cell r="Y22">
            <v>1.8124916226449885</v>
          </cell>
          <cell r="Z22">
            <v>21</v>
          </cell>
          <cell r="AA22">
            <v>1737.6948766065568</v>
          </cell>
          <cell r="AB22"/>
          <cell r="AC22">
            <v>1.055083577041517</v>
          </cell>
          <cell r="AD22">
            <v>1.2211893327742958</v>
          </cell>
          <cell r="AE22">
            <v>1.3872950885070745</v>
          </cell>
          <cell r="AF22">
            <v>1.4097980995623043</v>
          </cell>
          <cell r="AG22">
            <v>1.4843689555319646</v>
          </cell>
          <cell r="AH22">
            <v>1.5735513976386744</v>
          </cell>
          <cell r="AI22">
            <v>1.6627338397453841</v>
          </cell>
        </row>
        <row r="23">
          <cell r="P23">
            <v>15</v>
          </cell>
          <cell r="Q23">
            <v>0.27622515269429271</v>
          </cell>
          <cell r="S23">
            <v>1.0869148020356463</v>
          </cell>
          <cell r="T23">
            <v>1.1815699773649695</v>
          </cell>
          <cell r="U23">
            <v>1.2762251526942927</v>
          </cell>
          <cell r="V23">
            <v>1.348966648283503</v>
          </cell>
          <cell r="W23">
            <v>1.4179186230585106</v>
          </cell>
          <cell r="X23">
            <v>1.4149303063944101</v>
          </cell>
          <cell r="Y23">
            <v>1.4119419897303096</v>
          </cell>
          <cell r="Z23">
            <v>15</v>
          </cell>
          <cell r="AA23">
            <v>743.7359112642896</v>
          </cell>
          <cell r="AB23"/>
          <cell r="AC23">
            <v>1.0330427769631809</v>
          </cell>
          <cell r="AD23">
            <v>1.1230064475222776</v>
          </cell>
          <cell r="AE23">
            <v>1.2129701180813746</v>
          </cell>
          <cell r="AF23">
            <v>1.2821062421485012</v>
          </cell>
          <cell r="AG23">
            <v>1.3476406698380163</v>
          </cell>
          <cell r="AH23">
            <v>1.3448004665954569</v>
          </cell>
          <cell r="AI23">
            <v>1.3419602633528971</v>
          </cell>
        </row>
        <row r="24">
          <cell r="P24">
            <v>13</v>
          </cell>
          <cell r="Q24">
            <v>0.2549029273965977</v>
          </cell>
          <cell r="S24">
            <v>1.1217240656086191</v>
          </cell>
          <cell r="T24">
            <v>1.1883134965026083</v>
          </cell>
          <cell r="U24">
            <v>1.2549029273965977</v>
          </cell>
          <cell r="V24">
            <v>1.2688045160158057</v>
          </cell>
          <cell r="W24">
            <v>1.350810578710953</v>
          </cell>
          <cell r="X24">
            <v>1.4090800529870311</v>
          </cell>
          <cell r="Y24">
            <v>1.467349527263109</v>
          </cell>
          <cell r="Z24">
            <v>13</v>
          </cell>
          <cell r="AA24">
            <v>565.53329744682731</v>
          </cell>
          <cell r="AB24"/>
          <cell r="AC24">
            <v>1.0453756416916622</v>
          </cell>
          <cell r="AD24">
            <v>1.1074327653506053</v>
          </cell>
          <cell r="AE24">
            <v>1.1694898890095486</v>
          </cell>
          <cell r="AF24">
            <v>1.1824452873725615</v>
          </cell>
          <cell r="AG24">
            <v>1.2588697334916104</v>
          </cell>
          <cell r="AH24">
            <v>1.3131731855882192</v>
          </cell>
          <cell r="AI24">
            <v>1.3674766376848277</v>
          </cell>
        </row>
        <row r="25">
          <cell r="P25">
            <v>14</v>
          </cell>
          <cell r="Q25">
            <v>0.15744110771793429</v>
          </cell>
          <cell r="S25">
            <v>0.99975537920455326</v>
          </cell>
          <cell r="T25">
            <v>1.0785982434612438</v>
          </cell>
          <cell r="U25">
            <v>1.1574411077179343</v>
          </cell>
          <cell r="V25">
            <v>1.2164095830969246</v>
          </cell>
          <cell r="W25">
            <v>1.2937431686497476</v>
          </cell>
          <cell r="X25">
            <v>1.3408658313463613</v>
          </cell>
          <cell r="Y25">
            <v>1.3879884940429748</v>
          </cell>
          <cell r="Z25">
            <v>14</v>
          </cell>
          <cell r="AA25">
            <v>527.61342543498029</v>
          </cell>
          <cell r="AB25"/>
          <cell r="AC25">
            <v>0.99990213731827304</v>
          </cell>
          <cell r="AD25">
            <v>1.0787565752361603</v>
          </cell>
          <cell r="AE25">
            <v>1.1576110131540476</v>
          </cell>
          <cell r="AF25">
            <v>1.2165881447527449</v>
          </cell>
          <cell r="AG25">
            <v>1.2939330824136726</v>
          </cell>
          <cell r="AH25">
            <v>1.3410626624354987</v>
          </cell>
          <cell r="AI25">
            <v>1.3881922424573245</v>
          </cell>
        </row>
        <row r="26">
          <cell r="P26">
            <v>2</v>
          </cell>
          <cell r="Q26">
            <v>-0.15797462351879676</v>
          </cell>
          <cell r="S26">
            <v>0.9854795601338403</v>
          </cell>
          <cell r="T26">
            <v>0.91375246830752188</v>
          </cell>
          <cell r="U26">
            <v>0.84202537648120324</v>
          </cell>
          <cell r="V26">
            <v>0.87865931873548364</v>
          </cell>
          <cell r="W26">
            <v>0.80317676094775992</v>
          </cell>
          <cell r="X26">
            <v>0.78913762565428891</v>
          </cell>
          <cell r="Y26">
            <v>0.7750984903608179</v>
          </cell>
          <cell r="Z26">
            <v>2</v>
          </cell>
          <cell r="AA26">
            <v>6627.1317442113468</v>
          </cell>
          <cell r="AB26"/>
          <cell r="AC26">
            <v>0.99414077695601266</v>
          </cell>
          <cell r="AD26">
            <v>0.92178328758573369</v>
          </cell>
          <cell r="AE26">
            <v>0.84942579821545472</v>
          </cell>
          <cell r="AF26">
            <v>0.88638171012770761</v>
          </cell>
          <cell r="AG26">
            <v>0.81023574862697045</v>
          </cell>
          <cell r="AH26">
            <v>0.79607322569595573</v>
          </cell>
          <cell r="AI26">
            <v>0.78191070276494101</v>
          </cell>
        </row>
        <row r="27">
          <cell r="P27">
            <v>8</v>
          </cell>
          <cell r="Q27">
            <v>0.51313325753306271</v>
          </cell>
          <cell r="S27">
            <v>1.1654841668124225</v>
          </cell>
          <cell r="T27">
            <v>1.3393087121727423</v>
          </cell>
          <cell r="U27">
            <v>1.5131332575330627</v>
          </cell>
          <cell r="V27">
            <v>1.5813827334715447</v>
          </cell>
          <cell r="W27">
            <v>1.713448305796899</v>
          </cell>
          <cell r="X27">
            <v>2.0043147512232093</v>
          </cell>
          <cell r="Y27">
            <v>2.2951811966495197</v>
          </cell>
          <cell r="Z27">
            <v>8</v>
          </cell>
          <cell r="AA27">
            <v>793.87233236967415</v>
          </cell>
          <cell r="AB27"/>
          <cell r="AC27">
            <v>1.0602148992643008</v>
          </cell>
          <cell r="AD27">
            <v>1.2183392033918188</v>
          </cell>
          <cell r="AE27">
            <v>1.3764635075193372</v>
          </cell>
          <cell r="AF27">
            <v>1.4385485304801038</v>
          </cell>
          <cell r="AG27">
            <v>1.5586856301046779</v>
          </cell>
          <cell r="AH27">
            <v>1.8232803349649223</v>
          </cell>
          <cell r="AI27">
            <v>2.0878750398251666</v>
          </cell>
        </row>
        <row r="28">
          <cell r="P28">
            <v>11</v>
          </cell>
          <cell r="Q28">
            <v>-0.14764578978124521</v>
          </cell>
          <cell r="S28">
            <v>0.93347042431230887</v>
          </cell>
          <cell r="T28">
            <v>0.89291231726553189</v>
          </cell>
          <cell r="U28">
            <v>0.85235421021875479</v>
          </cell>
          <cell r="V28">
            <v>0.82830490081176056</v>
          </cell>
          <cell r="W28">
            <v>0.86081999545961541</v>
          </cell>
          <cell r="X28">
            <v>0.89040618086193701</v>
          </cell>
          <cell r="Y28">
            <v>0.91999236626425862</v>
          </cell>
          <cell r="Z28">
            <v>11</v>
          </cell>
          <cell r="AA28">
            <v>3870.7690158935829</v>
          </cell>
          <cell r="AB28"/>
          <cell r="AC28">
            <v>0.9722817184174356</v>
          </cell>
          <cell r="AD28">
            <v>0.93003730982329103</v>
          </cell>
          <cell r="AE28">
            <v>0.88779290122914645</v>
          </cell>
          <cell r="AF28">
            <v>0.86274368352713815</v>
          </cell>
          <cell r="AG28">
            <v>0.8966106719986926</v>
          </cell>
          <cell r="AH28">
            <v>0.92742697472791746</v>
          </cell>
          <cell r="AI28">
            <v>0.95824327745714233</v>
          </cell>
        </row>
        <row r="29">
          <cell r="P29">
            <v>27</v>
          </cell>
          <cell r="Q29">
            <v>0.17506601644785968</v>
          </cell>
          <cell r="S29">
            <v>1.0704182894634333</v>
          </cell>
          <cell r="T29">
            <v>1.1227421529556465</v>
          </cell>
          <cell r="U29">
            <v>1.1750660164478597</v>
          </cell>
          <cell r="V29">
            <v>1.2152100377663646</v>
          </cell>
          <cell r="W29">
            <v>1.2651387543496755</v>
          </cell>
          <cell r="X29">
            <v>1.3149003809617965</v>
          </cell>
          <cell r="Y29">
            <v>1.3646620075739175</v>
          </cell>
          <cell r="Z29">
            <v>27</v>
          </cell>
          <cell r="AA29">
            <v>50025.410647752207</v>
          </cell>
          <cell r="AB29"/>
          <cell r="AC29">
            <v>1.0270254636327869</v>
          </cell>
          <cell r="AD29">
            <v>1.0772282121200967</v>
          </cell>
          <cell r="AE29">
            <v>1.1274309606074062</v>
          </cell>
          <cell r="AF29">
            <v>1.1659476157435857</v>
          </cell>
          <cell r="AG29">
            <v>1.2138523122555154</v>
          </cell>
          <cell r="AH29">
            <v>1.2615966923221653</v>
          </cell>
          <cell r="AI29">
            <v>1.309341072388815</v>
          </cell>
        </row>
      </sheetData>
      <sheetData sheetId="73"/>
      <sheetData sheetId="74">
        <row r="3">
          <cell r="E3"/>
          <cell r="F3"/>
        </row>
        <row r="4">
          <cell r="E4"/>
          <cell r="F4"/>
        </row>
        <row r="5">
          <cell r="E5"/>
          <cell r="F5"/>
        </row>
        <row r="6">
          <cell r="E6"/>
          <cell r="F6"/>
        </row>
        <row r="7">
          <cell r="E7"/>
          <cell r="F7"/>
        </row>
        <row r="8">
          <cell r="E8"/>
          <cell r="F8"/>
        </row>
        <row r="9">
          <cell r="E9"/>
          <cell r="F9"/>
        </row>
        <row r="10">
          <cell r="E10"/>
          <cell r="F10"/>
        </row>
        <row r="11">
          <cell r="E11"/>
          <cell r="F11"/>
        </row>
        <row r="12">
          <cell r="E12"/>
          <cell r="F12"/>
        </row>
        <row r="13">
          <cell r="E13">
            <v>503.01900000000001</v>
          </cell>
          <cell r="F13">
            <v>419.1825</v>
          </cell>
        </row>
        <row r="14">
          <cell r="E14"/>
          <cell r="F14"/>
        </row>
        <row r="15">
          <cell r="E15"/>
          <cell r="F15"/>
        </row>
        <row r="16">
          <cell r="E16"/>
          <cell r="F16"/>
        </row>
        <row r="17">
          <cell r="E17"/>
          <cell r="F17"/>
        </row>
        <row r="18">
          <cell r="E18"/>
          <cell r="F18"/>
        </row>
        <row r="19">
          <cell r="E19"/>
          <cell r="F19"/>
        </row>
        <row r="20">
          <cell r="E20">
            <v>133.71269482450765</v>
          </cell>
          <cell r="F20">
            <v>133.71269482450765</v>
          </cell>
        </row>
        <row r="21">
          <cell r="E21"/>
          <cell r="F21"/>
        </row>
        <row r="22">
          <cell r="E22"/>
          <cell r="F22"/>
        </row>
        <row r="23">
          <cell r="E23"/>
          <cell r="F23"/>
        </row>
        <row r="24">
          <cell r="E24"/>
          <cell r="F24"/>
        </row>
        <row r="25">
          <cell r="E25"/>
          <cell r="F25"/>
        </row>
        <row r="26">
          <cell r="E26"/>
          <cell r="F26"/>
        </row>
        <row r="27">
          <cell r="E27"/>
          <cell r="F27"/>
        </row>
        <row r="28">
          <cell r="E28"/>
          <cell r="F28"/>
        </row>
        <row r="29">
          <cell r="E29">
            <v>2071.04</v>
          </cell>
          <cell r="F29">
            <v>1973.96</v>
          </cell>
        </row>
        <row r="30">
          <cell r="E30"/>
          <cell r="F30"/>
        </row>
        <row r="31">
          <cell r="E31"/>
          <cell r="F31"/>
        </row>
        <row r="32">
          <cell r="E32"/>
          <cell r="F32"/>
        </row>
        <row r="33">
          <cell r="E33"/>
          <cell r="F33"/>
        </row>
        <row r="34">
          <cell r="E34"/>
          <cell r="F34"/>
        </row>
        <row r="35">
          <cell r="E35"/>
          <cell r="F35"/>
        </row>
        <row r="36">
          <cell r="E36">
            <v>613.13760000000002</v>
          </cell>
          <cell r="F36">
            <v>613.13760000000002</v>
          </cell>
        </row>
        <row r="37">
          <cell r="E37"/>
          <cell r="F37"/>
        </row>
        <row r="38">
          <cell r="E38"/>
          <cell r="F38"/>
        </row>
        <row r="39">
          <cell r="E39"/>
          <cell r="F39"/>
        </row>
        <row r="40">
          <cell r="E40"/>
          <cell r="F40"/>
        </row>
        <row r="41">
          <cell r="E41"/>
          <cell r="F41">
            <v>119</v>
          </cell>
        </row>
        <row r="42">
          <cell r="E42">
            <v>13231.2</v>
          </cell>
        </row>
        <row r="43">
          <cell r="E43"/>
          <cell r="F43"/>
        </row>
        <row r="44">
          <cell r="E44"/>
          <cell r="F44"/>
        </row>
        <row r="45">
          <cell r="E45"/>
          <cell r="F45"/>
        </row>
        <row r="46">
          <cell r="E46"/>
          <cell r="F46"/>
        </row>
        <row r="47">
          <cell r="E47"/>
          <cell r="F47"/>
        </row>
        <row r="48">
          <cell r="E48"/>
          <cell r="F48">
            <v>1.4318181818181799</v>
          </cell>
        </row>
        <row r="49">
          <cell r="E49"/>
          <cell r="F49"/>
        </row>
        <row r="50">
          <cell r="E50"/>
          <cell r="F50"/>
        </row>
        <row r="51">
          <cell r="E51"/>
          <cell r="F51"/>
        </row>
        <row r="52">
          <cell r="E52"/>
          <cell r="F52"/>
        </row>
        <row r="53">
          <cell r="E53"/>
          <cell r="F53"/>
        </row>
        <row r="54">
          <cell r="E54"/>
          <cell r="F54"/>
        </row>
        <row r="55">
          <cell r="E55"/>
          <cell r="F55"/>
        </row>
        <row r="56">
          <cell r="E56"/>
          <cell r="F56"/>
        </row>
        <row r="57">
          <cell r="E57"/>
          <cell r="F57"/>
        </row>
        <row r="58">
          <cell r="E58"/>
          <cell r="F58"/>
        </row>
        <row r="59">
          <cell r="E59"/>
          <cell r="F59"/>
        </row>
        <row r="60">
          <cell r="E60"/>
          <cell r="F60"/>
        </row>
        <row r="61">
          <cell r="E61"/>
          <cell r="F61"/>
        </row>
        <row r="62">
          <cell r="E62"/>
          <cell r="F62"/>
        </row>
        <row r="63">
          <cell r="E63"/>
          <cell r="F63"/>
        </row>
        <row r="64">
          <cell r="E64"/>
          <cell r="F64"/>
        </row>
        <row r="65">
          <cell r="E65"/>
          <cell r="F65"/>
        </row>
        <row r="66">
          <cell r="E66"/>
          <cell r="F66"/>
        </row>
        <row r="67">
          <cell r="E67"/>
          <cell r="F67"/>
        </row>
        <row r="68">
          <cell r="E68"/>
          <cell r="F68"/>
        </row>
        <row r="69">
          <cell r="E69"/>
          <cell r="F69"/>
        </row>
        <row r="70">
          <cell r="E70"/>
          <cell r="F70"/>
        </row>
        <row r="71">
          <cell r="E71"/>
          <cell r="F71"/>
        </row>
        <row r="72">
          <cell r="E72"/>
          <cell r="F72"/>
        </row>
        <row r="73">
          <cell r="E73"/>
          <cell r="F73"/>
        </row>
        <row r="74">
          <cell r="E74"/>
          <cell r="F74"/>
        </row>
        <row r="75">
          <cell r="E75"/>
          <cell r="F75"/>
        </row>
        <row r="76">
          <cell r="E76"/>
          <cell r="F76"/>
        </row>
        <row r="77">
          <cell r="E77"/>
          <cell r="F77"/>
        </row>
        <row r="78">
          <cell r="E78"/>
          <cell r="F78"/>
        </row>
        <row r="79">
          <cell r="E79"/>
          <cell r="F79"/>
        </row>
        <row r="80">
          <cell r="E80"/>
          <cell r="F80"/>
        </row>
        <row r="81">
          <cell r="E81"/>
          <cell r="F81"/>
        </row>
        <row r="82">
          <cell r="E82"/>
          <cell r="F82"/>
        </row>
        <row r="83">
          <cell r="E83"/>
          <cell r="F83"/>
        </row>
        <row r="84">
          <cell r="E84"/>
          <cell r="F84"/>
        </row>
        <row r="85">
          <cell r="E85"/>
          <cell r="F85"/>
        </row>
        <row r="86">
          <cell r="E86"/>
          <cell r="F86"/>
        </row>
        <row r="87">
          <cell r="E87"/>
          <cell r="F87"/>
        </row>
        <row r="88">
          <cell r="E88"/>
          <cell r="F88"/>
        </row>
        <row r="89">
          <cell r="E89"/>
          <cell r="F89"/>
        </row>
        <row r="90">
          <cell r="E90">
            <v>11.297898598181842</v>
          </cell>
          <cell r="F90">
            <v>9.3041517867379859</v>
          </cell>
        </row>
        <row r="91">
          <cell r="E91">
            <v>4307</v>
          </cell>
          <cell r="F91">
            <v>3524</v>
          </cell>
        </row>
        <row r="92">
          <cell r="E92">
            <v>1465.2</v>
          </cell>
          <cell r="F92" t="str">
            <v/>
          </cell>
        </row>
        <row r="93">
          <cell r="E93"/>
          <cell r="F93"/>
        </row>
        <row r="94">
          <cell r="E94"/>
          <cell r="F94"/>
        </row>
        <row r="95">
          <cell r="E95"/>
          <cell r="F95"/>
        </row>
        <row r="96">
          <cell r="E96">
            <v>87</v>
          </cell>
          <cell r="F96">
            <v>87</v>
          </cell>
        </row>
        <row r="97">
          <cell r="E97"/>
          <cell r="F97"/>
        </row>
        <row r="98">
          <cell r="E98"/>
          <cell r="F98"/>
        </row>
        <row r="99">
          <cell r="E99">
            <v>1325.1202487119999</v>
          </cell>
          <cell r="F99">
            <v>1325.1202487119999</v>
          </cell>
        </row>
        <row r="100">
          <cell r="E100"/>
          <cell r="F100"/>
        </row>
        <row r="101">
          <cell r="E101">
            <v>354.97614883253732</v>
          </cell>
          <cell r="F101">
            <v>324.44056613726531</v>
          </cell>
        </row>
        <row r="102">
          <cell r="E102"/>
          <cell r="F102"/>
        </row>
        <row r="105">
          <cell r="E105">
            <v>543.19999999999993</v>
          </cell>
          <cell r="F105">
            <v>543.19999999999993</v>
          </cell>
        </row>
        <row r="106">
          <cell r="E106"/>
          <cell r="F106"/>
        </row>
        <row r="107">
          <cell r="E107"/>
          <cell r="F107"/>
        </row>
        <row r="108">
          <cell r="E108"/>
          <cell r="F108"/>
        </row>
        <row r="109">
          <cell r="E109"/>
          <cell r="F109"/>
        </row>
        <row r="110">
          <cell r="E110"/>
          <cell r="F110"/>
        </row>
        <row r="111">
          <cell r="E111"/>
          <cell r="F111"/>
        </row>
        <row r="112">
          <cell r="E112"/>
          <cell r="F112"/>
        </row>
        <row r="113">
          <cell r="E113"/>
          <cell r="F113"/>
        </row>
        <row r="114">
          <cell r="E114">
            <v>0.18974300045028547</v>
          </cell>
          <cell r="F114">
            <v>0.16602512539399975</v>
          </cell>
        </row>
        <row r="115">
          <cell r="E115"/>
          <cell r="F115"/>
        </row>
        <row r="116">
          <cell r="E116"/>
          <cell r="F116"/>
        </row>
        <row r="117">
          <cell r="E117"/>
          <cell r="F117"/>
        </row>
        <row r="118">
          <cell r="E118"/>
          <cell r="F118"/>
        </row>
        <row r="119">
          <cell r="E119"/>
          <cell r="F119"/>
        </row>
        <row r="120">
          <cell r="E120"/>
          <cell r="F120"/>
        </row>
        <row r="121">
          <cell r="E121"/>
          <cell r="F121"/>
        </row>
        <row r="122">
          <cell r="E122"/>
          <cell r="F122"/>
        </row>
        <row r="123">
          <cell r="E123"/>
          <cell r="F123"/>
        </row>
        <row r="124">
          <cell r="E124"/>
          <cell r="F124"/>
        </row>
        <row r="125">
          <cell r="E125"/>
          <cell r="F125"/>
        </row>
        <row r="126">
          <cell r="E126"/>
          <cell r="F126"/>
        </row>
        <row r="127">
          <cell r="E127"/>
          <cell r="F127"/>
        </row>
        <row r="128">
          <cell r="E128"/>
          <cell r="F128"/>
        </row>
        <row r="129">
          <cell r="E129" t="str">
            <v/>
          </cell>
          <cell r="F129">
            <v>672</v>
          </cell>
        </row>
        <row r="130">
          <cell r="E130"/>
          <cell r="F130"/>
        </row>
        <row r="131">
          <cell r="E131">
            <v>33.93633225</v>
          </cell>
          <cell r="F131">
            <v>33.93633225</v>
          </cell>
        </row>
        <row r="132">
          <cell r="E132"/>
          <cell r="F132"/>
        </row>
        <row r="133">
          <cell r="E133"/>
          <cell r="F133"/>
        </row>
        <row r="134">
          <cell r="E134"/>
          <cell r="F134"/>
        </row>
        <row r="135">
          <cell r="E135"/>
          <cell r="F135"/>
        </row>
        <row r="136">
          <cell r="E136"/>
          <cell r="F136"/>
        </row>
        <row r="137">
          <cell r="E137"/>
          <cell r="F137"/>
        </row>
        <row r="138">
          <cell r="E138"/>
          <cell r="F138"/>
        </row>
        <row r="139">
          <cell r="E139"/>
          <cell r="F139"/>
        </row>
        <row r="140">
          <cell r="E140"/>
          <cell r="F140"/>
        </row>
        <row r="141">
          <cell r="E141"/>
          <cell r="F141"/>
        </row>
        <row r="142">
          <cell r="E142"/>
          <cell r="F142"/>
        </row>
        <row r="143">
          <cell r="E143"/>
          <cell r="F143"/>
        </row>
        <row r="144">
          <cell r="E144">
            <v>61.484067875517738</v>
          </cell>
          <cell r="F144">
            <v>51.77605715833073</v>
          </cell>
        </row>
        <row r="145">
          <cell r="E145"/>
          <cell r="F145"/>
        </row>
        <row r="146">
          <cell r="E146"/>
          <cell r="F146"/>
        </row>
        <row r="147">
          <cell r="E147"/>
          <cell r="F147"/>
        </row>
        <row r="148">
          <cell r="E148"/>
          <cell r="F148"/>
        </row>
        <row r="149">
          <cell r="E149"/>
          <cell r="F149"/>
        </row>
        <row r="150">
          <cell r="E150">
            <v>35.498712379368733</v>
          </cell>
          <cell r="F150">
            <v>30.427467753744629</v>
          </cell>
        </row>
        <row r="151">
          <cell r="E151"/>
          <cell r="F151"/>
        </row>
        <row r="152">
          <cell r="E152"/>
          <cell r="F152"/>
        </row>
        <row r="153">
          <cell r="E153"/>
          <cell r="F153"/>
        </row>
        <row r="154">
          <cell r="E154"/>
          <cell r="F154"/>
        </row>
        <row r="155">
          <cell r="E155"/>
          <cell r="F155"/>
        </row>
        <row r="156">
          <cell r="E156"/>
          <cell r="F156"/>
        </row>
        <row r="157">
          <cell r="E157"/>
          <cell r="F157"/>
        </row>
        <row r="158">
          <cell r="E158"/>
          <cell r="F158"/>
        </row>
        <row r="159">
          <cell r="E159"/>
          <cell r="F159"/>
        </row>
        <row r="160">
          <cell r="E160"/>
          <cell r="F160"/>
        </row>
        <row r="161">
          <cell r="E161"/>
          <cell r="F161"/>
        </row>
        <row r="162">
          <cell r="E162"/>
          <cell r="F162"/>
        </row>
        <row r="163">
          <cell r="E163"/>
          <cell r="F163"/>
        </row>
        <row r="164">
          <cell r="E164"/>
          <cell r="F164"/>
        </row>
        <row r="165">
          <cell r="E165"/>
          <cell r="F165"/>
        </row>
        <row r="166">
          <cell r="E166">
            <v>2625.7889270259998</v>
          </cell>
          <cell r="F166">
            <v>1812.1709526700006</v>
          </cell>
        </row>
        <row r="167">
          <cell r="E167"/>
          <cell r="F167"/>
        </row>
        <row r="168">
          <cell r="E168"/>
          <cell r="F168"/>
        </row>
        <row r="169">
          <cell r="E169"/>
          <cell r="F169"/>
        </row>
        <row r="170">
          <cell r="E170"/>
          <cell r="F170"/>
        </row>
        <row r="171">
          <cell r="E171"/>
          <cell r="F171"/>
        </row>
        <row r="172">
          <cell r="E172"/>
          <cell r="F172"/>
        </row>
        <row r="173">
          <cell r="E173"/>
          <cell r="F173"/>
        </row>
        <row r="174">
          <cell r="E174"/>
          <cell r="F174"/>
        </row>
        <row r="175">
          <cell r="E175"/>
          <cell r="F175"/>
        </row>
        <row r="176">
          <cell r="E176"/>
          <cell r="F176">
            <v>89.583238667999993</v>
          </cell>
        </row>
        <row r="177">
          <cell r="E177"/>
          <cell r="F177"/>
        </row>
        <row r="178">
          <cell r="E178"/>
          <cell r="F178"/>
        </row>
        <row r="179">
          <cell r="E179"/>
          <cell r="F179"/>
        </row>
        <row r="180">
          <cell r="E180"/>
          <cell r="F180"/>
        </row>
        <row r="181">
          <cell r="E181">
            <v>398</v>
          </cell>
          <cell r="F181">
            <v>583</v>
          </cell>
        </row>
        <row r="182">
          <cell r="E182"/>
          <cell r="F182"/>
        </row>
        <row r="183">
          <cell r="E183"/>
          <cell r="F183"/>
        </row>
        <row r="184">
          <cell r="E184"/>
          <cell r="F184"/>
        </row>
        <row r="185">
          <cell r="E185"/>
          <cell r="F185"/>
        </row>
        <row r="186">
          <cell r="E186"/>
          <cell r="F186"/>
        </row>
        <row r="187">
          <cell r="E187"/>
          <cell r="F187"/>
        </row>
        <row r="188">
          <cell r="E188"/>
          <cell r="F188"/>
        </row>
        <row r="189">
          <cell r="E189"/>
          <cell r="F189"/>
        </row>
        <row r="190">
          <cell r="E190"/>
          <cell r="F190"/>
        </row>
        <row r="191">
          <cell r="E191"/>
          <cell r="F191"/>
        </row>
        <row r="192">
          <cell r="E192"/>
          <cell r="F192"/>
        </row>
        <row r="193">
          <cell r="E193">
            <v>43.947102920890899</v>
          </cell>
          <cell r="F193">
            <v>38.453715055779526</v>
          </cell>
        </row>
        <row r="194">
          <cell r="E194"/>
          <cell r="F194"/>
        </row>
        <row r="195">
          <cell r="E195"/>
          <cell r="F195"/>
        </row>
        <row r="196">
          <cell r="E196"/>
          <cell r="F196"/>
        </row>
        <row r="197">
          <cell r="E197"/>
          <cell r="F197"/>
        </row>
        <row r="198">
          <cell r="E198"/>
          <cell r="F198"/>
        </row>
        <row r="199">
          <cell r="E199"/>
          <cell r="F199"/>
        </row>
        <row r="200">
          <cell r="E200"/>
          <cell r="F200"/>
        </row>
        <row r="201">
          <cell r="E201"/>
          <cell r="F201"/>
        </row>
        <row r="202">
          <cell r="E202"/>
          <cell r="F202"/>
        </row>
        <row r="203">
          <cell r="E203"/>
          <cell r="F203"/>
        </row>
        <row r="204">
          <cell r="E204"/>
          <cell r="F204"/>
        </row>
        <row r="205">
          <cell r="E205"/>
          <cell r="F205"/>
        </row>
        <row r="206">
          <cell r="E206"/>
          <cell r="F206"/>
        </row>
        <row r="207">
          <cell r="E207"/>
          <cell r="F207"/>
        </row>
        <row r="208">
          <cell r="E208"/>
          <cell r="F208"/>
        </row>
        <row r="209">
          <cell r="E209"/>
          <cell r="F209"/>
        </row>
        <row r="210">
          <cell r="E210">
            <v>754.24037504518844</v>
          </cell>
          <cell r="F210">
            <v>754.24037504518844</v>
          </cell>
        </row>
        <row r="211">
          <cell r="E211"/>
          <cell r="F211"/>
        </row>
        <row r="213">
          <cell r="E213">
            <v>5557.8989071879914</v>
          </cell>
          <cell r="F213">
            <v>5557.8989071879914</v>
          </cell>
        </row>
        <row r="214">
          <cell r="E214"/>
          <cell r="F214"/>
        </row>
        <row r="215">
          <cell r="E215"/>
          <cell r="F215"/>
        </row>
        <row r="216">
          <cell r="E216"/>
          <cell r="F216"/>
        </row>
        <row r="217">
          <cell r="E217"/>
          <cell r="F217"/>
        </row>
        <row r="218">
          <cell r="E218"/>
          <cell r="F218"/>
        </row>
        <row r="219">
          <cell r="E219"/>
          <cell r="F219"/>
        </row>
        <row r="220">
          <cell r="E220"/>
          <cell r="F220"/>
        </row>
        <row r="221">
          <cell r="E221"/>
          <cell r="F221"/>
        </row>
        <row r="222">
          <cell r="E222"/>
          <cell r="F222"/>
        </row>
        <row r="223">
          <cell r="E223"/>
          <cell r="F223"/>
        </row>
        <row r="224">
          <cell r="E224"/>
          <cell r="F224"/>
        </row>
        <row r="225">
          <cell r="E225"/>
          <cell r="F225"/>
        </row>
        <row r="226">
          <cell r="E226"/>
          <cell r="F226"/>
        </row>
      </sheetData>
      <sheetData sheetId="75">
        <row r="90">
          <cell r="AI90">
            <v>14.278557484690097</v>
          </cell>
        </row>
      </sheetData>
      <sheetData sheetId="76"/>
      <sheetData sheetId="77">
        <row r="48">
          <cell r="AI48">
            <v>15</v>
          </cell>
        </row>
        <row r="102">
          <cell r="AI102">
            <v>71</v>
          </cell>
        </row>
      </sheetData>
      <sheetData sheetId="78">
        <row r="3">
          <cell r="AX3">
            <v>61.03425</v>
          </cell>
          <cell r="CO3">
            <v>48.939540000000001</v>
          </cell>
        </row>
        <row r="6">
          <cell r="AX6"/>
          <cell r="CO6"/>
        </row>
        <row r="7">
          <cell r="AX7"/>
          <cell r="CO7">
            <v>0.53054999999999997</v>
          </cell>
        </row>
        <row r="8">
          <cell r="AX8">
            <v>193.25</v>
          </cell>
          <cell r="CO8"/>
        </row>
        <row r="9">
          <cell r="AX9"/>
          <cell r="CO9"/>
        </row>
        <row r="11">
          <cell r="AX11"/>
          <cell r="CO11"/>
        </row>
        <row r="12">
          <cell r="AX12"/>
          <cell r="CO12"/>
        </row>
        <row r="13">
          <cell r="AX13"/>
          <cell r="CO13"/>
        </row>
        <row r="14">
          <cell r="AX14"/>
          <cell r="CO14"/>
        </row>
        <row r="15">
          <cell r="AX15"/>
          <cell r="CO15"/>
        </row>
        <row r="16">
          <cell r="AX16"/>
          <cell r="CO16"/>
        </row>
        <row r="17">
          <cell r="AX17"/>
          <cell r="CO17"/>
        </row>
        <row r="20">
          <cell r="AX20"/>
          <cell r="CO20"/>
        </row>
        <row r="21">
          <cell r="AX21"/>
          <cell r="CO21"/>
        </row>
        <row r="22">
          <cell r="AX22"/>
          <cell r="CO22"/>
        </row>
        <row r="23">
          <cell r="AX23"/>
          <cell r="CO23">
            <v>22.5</v>
          </cell>
        </row>
        <row r="24">
          <cell r="AX24"/>
          <cell r="CO24"/>
        </row>
        <row r="25">
          <cell r="AX25"/>
          <cell r="CO25"/>
        </row>
        <row r="26">
          <cell r="AX26"/>
          <cell r="CO26"/>
        </row>
        <row r="27">
          <cell r="AX27"/>
          <cell r="CO27"/>
        </row>
        <row r="28">
          <cell r="AX28"/>
          <cell r="CO28"/>
        </row>
        <row r="29">
          <cell r="AX29"/>
          <cell r="CO29"/>
        </row>
        <row r="30">
          <cell r="AX30"/>
          <cell r="CO30"/>
        </row>
        <row r="31">
          <cell r="AX31"/>
          <cell r="CO31"/>
        </row>
        <row r="32">
          <cell r="AX32">
            <v>118.32299999999999</v>
          </cell>
          <cell r="CO32">
            <v>14.898999999999987</v>
          </cell>
        </row>
        <row r="33">
          <cell r="AX33">
            <v>74.484999999999999</v>
          </cell>
          <cell r="CO33"/>
        </row>
        <row r="36">
          <cell r="AX36"/>
          <cell r="CO36">
            <v>742</v>
          </cell>
        </row>
        <row r="37">
          <cell r="AX37"/>
          <cell r="CO37"/>
        </row>
        <row r="38">
          <cell r="AX38"/>
          <cell r="CO38"/>
        </row>
        <row r="39">
          <cell r="AX39"/>
          <cell r="CO39">
            <v>152.77860000000001</v>
          </cell>
        </row>
        <row r="41">
          <cell r="AX41"/>
          <cell r="CO41"/>
        </row>
        <row r="42">
          <cell r="AX42"/>
          <cell r="CO42"/>
        </row>
        <row r="44">
          <cell r="AX44">
            <v>0.52300000000000002</v>
          </cell>
          <cell r="CO44"/>
        </row>
        <row r="45">
          <cell r="AX45">
            <v>430</v>
          </cell>
          <cell r="CO45"/>
        </row>
        <row r="46">
          <cell r="AX46"/>
          <cell r="CO46">
            <v>25.755500000000001</v>
          </cell>
        </row>
        <row r="47">
          <cell r="AX47"/>
          <cell r="CO47"/>
        </row>
        <row r="48">
          <cell r="AX48"/>
          <cell r="CJ48">
            <v>15.359906465</v>
          </cell>
          <cell r="CO48">
            <v>14.497468045</v>
          </cell>
        </row>
        <row r="49">
          <cell r="AX49"/>
          <cell r="CO49">
            <v>34.253250000000001</v>
          </cell>
        </row>
        <row r="50">
          <cell r="AX50"/>
          <cell r="CO50"/>
        </row>
        <row r="51">
          <cell r="AX51"/>
          <cell r="CO51"/>
        </row>
        <row r="52">
          <cell r="AX52"/>
          <cell r="CO52"/>
        </row>
        <row r="53">
          <cell r="AX53"/>
          <cell r="CO53"/>
        </row>
        <row r="54">
          <cell r="AX54"/>
          <cell r="CO54"/>
        </row>
        <row r="55">
          <cell r="AX55"/>
          <cell r="CO55">
            <v>4.4749999999999996</v>
          </cell>
        </row>
        <row r="56">
          <cell r="AX56"/>
          <cell r="CO56"/>
        </row>
        <row r="57">
          <cell r="AX57"/>
          <cell r="CO57"/>
        </row>
        <row r="58">
          <cell r="AX58"/>
          <cell r="CO58"/>
        </row>
        <row r="59">
          <cell r="AX59"/>
          <cell r="CO59"/>
        </row>
        <row r="60">
          <cell r="AX60"/>
          <cell r="CO60"/>
        </row>
        <row r="61">
          <cell r="AX61"/>
          <cell r="CO61"/>
        </row>
        <row r="62">
          <cell r="AX62"/>
          <cell r="CO62"/>
        </row>
        <row r="63">
          <cell r="AX63"/>
          <cell r="CO63"/>
        </row>
        <row r="64">
          <cell r="AX64">
            <v>400</v>
          </cell>
          <cell r="CO64"/>
        </row>
        <row r="65">
          <cell r="AX65"/>
          <cell r="CO65"/>
        </row>
        <row r="66">
          <cell r="AX66"/>
          <cell r="CO66"/>
        </row>
        <row r="67">
          <cell r="AX67"/>
          <cell r="CO67"/>
        </row>
        <row r="68">
          <cell r="AX68"/>
          <cell r="CO68"/>
        </row>
        <row r="69">
          <cell r="AX69"/>
          <cell r="CO69"/>
        </row>
        <row r="70">
          <cell r="AX70"/>
          <cell r="CO70"/>
        </row>
        <row r="71">
          <cell r="AX71"/>
          <cell r="CO71"/>
        </row>
        <row r="72">
          <cell r="AX72"/>
          <cell r="CO72"/>
        </row>
        <row r="74">
          <cell r="AX74"/>
          <cell r="CO74">
            <v>38.42</v>
          </cell>
        </row>
        <row r="75">
          <cell r="AX75"/>
          <cell r="CO75"/>
        </row>
        <row r="76">
          <cell r="AX76">
            <v>73.95</v>
          </cell>
          <cell r="CO76"/>
        </row>
        <row r="77">
          <cell r="AX77"/>
          <cell r="CO77"/>
        </row>
        <row r="78">
          <cell r="AX78"/>
          <cell r="CO78"/>
        </row>
        <row r="79">
          <cell r="AX79"/>
          <cell r="CO79"/>
        </row>
        <row r="80">
          <cell r="AX80"/>
          <cell r="CO80"/>
        </row>
        <row r="81">
          <cell r="AX81"/>
          <cell r="CO81"/>
        </row>
        <row r="82">
          <cell r="AX82">
            <v>53.85</v>
          </cell>
          <cell r="CO82"/>
        </row>
        <row r="84">
          <cell r="AX84"/>
          <cell r="CO84"/>
        </row>
        <row r="85">
          <cell r="AX85"/>
          <cell r="CO85"/>
        </row>
        <row r="86">
          <cell r="AX86"/>
          <cell r="CO86"/>
        </row>
        <row r="87">
          <cell r="AX87"/>
          <cell r="CO87">
            <v>28.922000000000001</v>
          </cell>
        </row>
        <row r="88">
          <cell r="AX88"/>
          <cell r="CO88"/>
        </row>
        <row r="89">
          <cell r="AX89"/>
          <cell r="CO89"/>
        </row>
        <row r="90">
          <cell r="AX90"/>
          <cell r="CO90"/>
        </row>
        <row r="91">
          <cell r="AX91"/>
          <cell r="CO91"/>
        </row>
        <row r="92">
          <cell r="AX92">
            <v>2869</v>
          </cell>
          <cell r="CO92"/>
        </row>
        <row r="93">
          <cell r="AX93"/>
          <cell r="CO93"/>
        </row>
        <row r="94">
          <cell r="AX94"/>
          <cell r="CO94"/>
        </row>
        <row r="95">
          <cell r="AX95"/>
          <cell r="CO95"/>
        </row>
        <row r="97">
          <cell r="AX97"/>
          <cell r="CO97"/>
        </row>
        <row r="99">
          <cell r="AX99"/>
          <cell r="CO99"/>
        </row>
        <row r="101">
          <cell r="AX101"/>
          <cell r="CO101"/>
        </row>
        <row r="102">
          <cell r="AX102">
            <v>143</v>
          </cell>
          <cell r="CJ102">
            <v>85</v>
          </cell>
          <cell r="CO102">
            <v>90</v>
          </cell>
        </row>
        <row r="103">
          <cell r="AX103"/>
          <cell r="CJ103">
            <v>87</v>
          </cell>
          <cell r="CO103">
            <v>94</v>
          </cell>
        </row>
        <row r="104">
          <cell r="AX104">
            <v>187.73</v>
          </cell>
          <cell r="CO104"/>
        </row>
        <row r="105">
          <cell r="AX105"/>
          <cell r="CO105">
            <v>727.6</v>
          </cell>
        </row>
        <row r="106">
          <cell r="AX106"/>
          <cell r="CO106"/>
        </row>
        <row r="108">
          <cell r="AX108"/>
          <cell r="CO108"/>
        </row>
        <row r="109">
          <cell r="AX109"/>
          <cell r="CO109"/>
        </row>
        <row r="110">
          <cell r="AX110">
            <v>44</v>
          </cell>
          <cell r="CO110"/>
        </row>
        <row r="111">
          <cell r="AX111"/>
          <cell r="CO111"/>
        </row>
        <row r="112">
          <cell r="AX112"/>
          <cell r="CO112">
            <v>5.3019999999999996</v>
          </cell>
        </row>
        <row r="113">
          <cell r="AX113"/>
          <cell r="CO113"/>
        </row>
        <row r="114">
          <cell r="AX114"/>
          <cell r="CO114"/>
        </row>
        <row r="115">
          <cell r="AX115"/>
          <cell r="CO115"/>
        </row>
        <row r="116">
          <cell r="AX116"/>
          <cell r="CO116"/>
        </row>
        <row r="117">
          <cell r="AX117"/>
          <cell r="CO117"/>
        </row>
        <row r="118">
          <cell r="AX118"/>
          <cell r="CO118">
            <v>17.663</v>
          </cell>
        </row>
        <row r="119">
          <cell r="AX119"/>
          <cell r="CO119">
            <v>214.20599999999999</v>
          </cell>
        </row>
        <row r="120">
          <cell r="AX120"/>
          <cell r="CO120"/>
        </row>
        <row r="121">
          <cell r="AX121"/>
          <cell r="CO121"/>
        </row>
        <row r="122">
          <cell r="AX122"/>
          <cell r="CO122">
            <v>3.3</v>
          </cell>
        </row>
        <row r="123">
          <cell r="AX123"/>
          <cell r="CO123">
            <v>9.2690000000000001</v>
          </cell>
        </row>
        <row r="124">
          <cell r="AX124"/>
          <cell r="CO124"/>
        </row>
        <row r="125">
          <cell r="AX125"/>
          <cell r="CO125"/>
        </row>
        <row r="126">
          <cell r="AX126"/>
          <cell r="CO126"/>
        </row>
        <row r="127">
          <cell r="AX127">
            <v>18.834099999999999</v>
          </cell>
          <cell r="CO127"/>
        </row>
        <row r="128">
          <cell r="AX128">
            <v>7</v>
          </cell>
          <cell r="CO128"/>
        </row>
        <row r="130">
          <cell r="AX130"/>
          <cell r="CO130"/>
        </row>
        <row r="131">
          <cell r="AX131"/>
          <cell r="CO131"/>
        </row>
        <row r="132">
          <cell r="AX132"/>
          <cell r="CO132"/>
        </row>
        <row r="134">
          <cell r="AX134"/>
          <cell r="CO134"/>
        </row>
        <row r="136">
          <cell r="AX136"/>
          <cell r="CO136"/>
        </row>
        <row r="137">
          <cell r="AX137"/>
          <cell r="CO137"/>
        </row>
        <row r="138">
          <cell r="AX138">
            <v>22.646999999999998</v>
          </cell>
          <cell r="CO138"/>
        </row>
        <row r="139">
          <cell r="AX139"/>
          <cell r="CO139"/>
        </row>
        <row r="140">
          <cell r="AX140"/>
          <cell r="CO140"/>
        </row>
        <row r="141">
          <cell r="AX141"/>
          <cell r="CO141"/>
        </row>
        <row r="142">
          <cell r="AX142"/>
          <cell r="CO142"/>
        </row>
        <row r="143">
          <cell r="AX143"/>
          <cell r="CO143"/>
        </row>
        <row r="144">
          <cell r="AX144"/>
          <cell r="CJ144">
            <v>75.2464377781004</v>
          </cell>
          <cell r="CO144">
            <v>74.386072750442693</v>
          </cell>
        </row>
        <row r="145">
          <cell r="AX145"/>
          <cell r="CO145"/>
        </row>
        <row r="146">
          <cell r="AX146">
            <v>96.468000000000004</v>
          </cell>
          <cell r="CO146"/>
        </row>
        <row r="147">
          <cell r="AX147">
            <v>900</v>
          </cell>
          <cell r="CO147"/>
        </row>
        <row r="148">
          <cell r="AX148"/>
          <cell r="CO148"/>
        </row>
        <row r="149">
          <cell r="AX149"/>
          <cell r="CO149"/>
        </row>
        <row r="150">
          <cell r="AX150"/>
          <cell r="CE150">
            <v>51</v>
          </cell>
          <cell r="CJ150">
            <v>48</v>
          </cell>
          <cell r="CO150">
            <v>45</v>
          </cell>
        </row>
        <row r="151">
          <cell r="AX151"/>
          <cell r="CO151">
            <v>90.524000000000001</v>
          </cell>
        </row>
        <row r="153">
          <cell r="AX153"/>
          <cell r="CO153"/>
        </row>
        <row r="154">
          <cell r="AX154"/>
          <cell r="CO154"/>
        </row>
        <row r="155">
          <cell r="AX155"/>
          <cell r="CO155"/>
        </row>
        <row r="157">
          <cell r="AX157">
            <v>298.3</v>
          </cell>
          <cell r="CO157"/>
        </row>
        <row r="158">
          <cell r="AX158"/>
          <cell r="CO158"/>
        </row>
        <row r="159">
          <cell r="AX159"/>
          <cell r="CO159"/>
        </row>
        <row r="160">
          <cell r="AX160"/>
          <cell r="CO160"/>
        </row>
        <row r="161">
          <cell r="AX161"/>
          <cell r="CO161"/>
        </row>
        <row r="162">
          <cell r="AX162"/>
          <cell r="CO162"/>
        </row>
        <row r="163">
          <cell r="AX163"/>
          <cell r="CO163"/>
        </row>
        <row r="164">
          <cell r="AX164"/>
          <cell r="CO164"/>
        </row>
        <row r="165">
          <cell r="AX165"/>
          <cell r="CO165"/>
        </row>
        <row r="166">
          <cell r="AX166"/>
          <cell r="CO166"/>
        </row>
        <row r="167">
          <cell r="AX167"/>
          <cell r="CO167"/>
        </row>
        <row r="168">
          <cell r="AX168"/>
          <cell r="CO168"/>
        </row>
        <row r="169">
          <cell r="AX169"/>
          <cell r="CO169"/>
        </row>
        <row r="170">
          <cell r="AX170"/>
          <cell r="CO170">
            <v>0.24</v>
          </cell>
        </row>
        <row r="171">
          <cell r="AX171"/>
          <cell r="CO171"/>
        </row>
        <row r="172">
          <cell r="AX172"/>
          <cell r="CO172"/>
        </row>
        <row r="173">
          <cell r="AX173"/>
          <cell r="CO173"/>
        </row>
        <row r="174">
          <cell r="AX174"/>
          <cell r="CO174"/>
        </row>
        <row r="175">
          <cell r="AX175"/>
          <cell r="CO175"/>
        </row>
        <row r="176">
          <cell r="AX176"/>
          <cell r="CJ176">
            <v>60.183415719402603</v>
          </cell>
          <cell r="CO176">
            <v>63.449579222457601</v>
          </cell>
        </row>
        <row r="177">
          <cell r="AX177"/>
          <cell r="CO177"/>
        </row>
        <row r="178">
          <cell r="AX178"/>
          <cell r="CO178"/>
        </row>
        <row r="179">
          <cell r="AX179"/>
          <cell r="CO179"/>
        </row>
        <row r="180">
          <cell r="AX180"/>
          <cell r="CO180"/>
        </row>
        <row r="181">
          <cell r="AX181"/>
          <cell r="CO181"/>
        </row>
        <row r="182">
          <cell r="AX182"/>
          <cell r="CO182"/>
        </row>
        <row r="183">
          <cell r="AX183"/>
          <cell r="CO183"/>
        </row>
        <row r="184">
          <cell r="AX184"/>
          <cell r="CO184"/>
        </row>
        <row r="185">
          <cell r="AX185">
            <v>0.83599999999999997</v>
          </cell>
          <cell r="CO185"/>
        </row>
        <row r="186">
          <cell r="AX186"/>
          <cell r="CO186">
            <v>0.81599999999999995</v>
          </cell>
        </row>
        <row r="187">
          <cell r="AX187"/>
          <cell r="CO187"/>
        </row>
        <row r="188">
          <cell r="AX188"/>
          <cell r="CO188"/>
        </row>
        <row r="189">
          <cell r="AX189"/>
          <cell r="CO189"/>
        </row>
        <row r="190">
          <cell r="AX190"/>
          <cell r="CO190"/>
        </row>
        <row r="191">
          <cell r="AX191"/>
          <cell r="CO191"/>
        </row>
        <row r="192">
          <cell r="AX192"/>
          <cell r="CO192"/>
        </row>
        <row r="193">
          <cell r="AX193"/>
          <cell r="CJ193">
            <v>42</v>
          </cell>
          <cell r="CO193">
            <v>39</v>
          </cell>
        </row>
        <row r="194">
          <cell r="AX194"/>
          <cell r="CO194"/>
        </row>
        <row r="195">
          <cell r="AX195">
            <v>428</v>
          </cell>
          <cell r="CO195"/>
        </row>
        <row r="196">
          <cell r="AX196"/>
          <cell r="CO196"/>
        </row>
        <row r="197">
          <cell r="AX197"/>
          <cell r="CO197">
            <v>145.5</v>
          </cell>
        </row>
        <row r="198">
          <cell r="AX198"/>
          <cell r="CO198">
            <v>555</v>
          </cell>
        </row>
        <row r="199">
          <cell r="AX199"/>
          <cell r="CO199"/>
        </row>
        <row r="200">
          <cell r="AX200">
            <v>38.861359999999998</v>
          </cell>
          <cell r="CO200"/>
        </row>
        <row r="201">
          <cell r="AX201"/>
          <cell r="CO201"/>
        </row>
        <row r="202">
          <cell r="AX202"/>
          <cell r="CO202"/>
        </row>
        <row r="203">
          <cell r="AX203"/>
          <cell r="CO203"/>
        </row>
        <row r="204">
          <cell r="AX204"/>
          <cell r="CO204"/>
        </row>
        <row r="205">
          <cell r="AX205">
            <v>1175</v>
          </cell>
          <cell r="CO205"/>
        </row>
        <row r="206">
          <cell r="AX206"/>
          <cell r="CO206"/>
        </row>
        <row r="207">
          <cell r="AX207"/>
          <cell r="CO207"/>
        </row>
        <row r="208">
          <cell r="AX208"/>
          <cell r="CO208"/>
        </row>
        <row r="209">
          <cell r="AX209"/>
          <cell r="CO209">
            <v>77.3</v>
          </cell>
        </row>
        <row r="210">
          <cell r="AX210"/>
          <cell r="CO210"/>
        </row>
        <row r="212">
          <cell r="AX212"/>
          <cell r="CO212"/>
        </row>
        <row r="213">
          <cell r="AX213"/>
          <cell r="CO213"/>
        </row>
        <row r="214">
          <cell r="AX214"/>
          <cell r="CO214"/>
        </row>
        <row r="215">
          <cell r="AX215"/>
          <cell r="CO215"/>
        </row>
        <row r="216">
          <cell r="AX216"/>
          <cell r="CO216"/>
        </row>
        <row r="217">
          <cell r="AX217"/>
          <cell r="CO217"/>
        </row>
        <row r="218">
          <cell r="AX218"/>
          <cell r="CO218"/>
        </row>
        <row r="220">
          <cell r="AX220"/>
          <cell r="CO220"/>
        </row>
        <row r="221">
          <cell r="AX221"/>
          <cell r="CO221"/>
        </row>
        <row r="222">
          <cell r="AX222"/>
          <cell r="CO222"/>
        </row>
        <row r="223">
          <cell r="AX223"/>
          <cell r="CO223"/>
        </row>
        <row r="224">
          <cell r="AX224"/>
          <cell r="CO224">
            <v>43.81</v>
          </cell>
        </row>
        <row r="225">
          <cell r="AX225"/>
          <cell r="CO225"/>
        </row>
        <row r="226">
          <cell r="AX226"/>
          <cell r="CO226"/>
        </row>
      </sheetData>
      <sheetData sheetId="79">
        <row r="3">
          <cell r="BA3">
            <v>18.086314999999999</v>
          </cell>
          <cell r="BB3">
            <v>16.954673</v>
          </cell>
          <cell r="BC3">
            <v>15.017877</v>
          </cell>
          <cell r="BD3">
            <v>15.283719</v>
          </cell>
          <cell r="BE3">
            <v>15.342984000000001</v>
          </cell>
          <cell r="BF3">
            <v>15.609591</v>
          </cell>
          <cell r="BG3">
            <v>17.196484000000002</v>
          </cell>
          <cell r="BH3">
            <v>18.181294999999999</v>
          </cell>
          <cell r="BI3">
            <v>18.728667000000002</v>
          </cell>
          <cell r="BJ3">
            <v>18.419819</v>
          </cell>
          <cell r="BK3">
            <v>15.72397</v>
          </cell>
          <cell r="BL3">
            <v>14.503325999999999</v>
          </cell>
          <cell r="BM3">
            <v>18.330708999999999</v>
          </cell>
          <cell r="BN3">
            <v>20.357612000000003</v>
          </cell>
          <cell r="BO3">
            <v>20.407147000000002</v>
          </cell>
          <cell r="BP3">
            <v>22.744426000000001</v>
          </cell>
          <cell r="BQ3">
            <v>23.160636</v>
          </cell>
          <cell r="BR3">
            <v>25.992419999999999</v>
          </cell>
          <cell r="BS3">
            <v>27.630809000000003</v>
          </cell>
          <cell r="BT3">
            <v>32.137675000000002</v>
          </cell>
          <cell r="BU3">
            <v>36.452883</v>
          </cell>
          <cell r="BV3">
            <v>36.160213000000006</v>
          </cell>
          <cell r="BW3">
            <v>40.289436000000002</v>
          </cell>
          <cell r="BX3">
            <v>41.381219000000002</v>
          </cell>
          <cell r="BY3">
            <v>42.608703999999996</v>
          </cell>
          <cell r="BZ3">
            <v>42.446052999999999</v>
          </cell>
          <cell r="CA3">
            <v>43.396172</v>
          </cell>
          <cell r="CB3">
            <v>44.053927999999999</v>
          </cell>
          <cell r="CC3">
            <v>44.557264000000004</v>
          </cell>
          <cell r="CD3">
            <v>46.075868</v>
          </cell>
          <cell r="CE3">
            <v>47.406525000000002</v>
          </cell>
          <cell r="CF3">
            <v>48.204461000000002</v>
          </cell>
        </row>
        <row r="4">
          <cell r="BA4">
            <v>6.6740415000000004</v>
          </cell>
          <cell r="BB4">
            <v>8.3211057000000004</v>
          </cell>
          <cell r="BC4">
            <v>5.8174590000000004</v>
          </cell>
          <cell r="BD4">
            <v>5.8781873999999998</v>
          </cell>
          <cell r="BE4">
            <v>6.4110776999999999</v>
          </cell>
          <cell r="BF4">
            <v>6.4222308000000004</v>
          </cell>
          <cell r="BG4">
            <v>6.3898323000000001</v>
          </cell>
          <cell r="BH4">
            <v>6.4807687999999999</v>
          </cell>
          <cell r="BI4">
            <v>7.2859691</v>
          </cell>
          <cell r="BJ4">
            <v>7.7738205000000002</v>
          </cell>
          <cell r="BK4">
            <v>7.1972969999999998</v>
          </cell>
          <cell r="BL4">
            <v>7.7711985000000006</v>
          </cell>
          <cell r="BM4">
            <v>7.9983576000000003</v>
          </cell>
          <cell r="BN4">
            <v>8.1773877000000006</v>
          </cell>
          <cell r="BO4">
            <v>8.4903984999999995</v>
          </cell>
          <cell r="BP4">
            <v>8.3621043000000004</v>
          </cell>
          <cell r="BQ4">
            <v>8.3097317999999998</v>
          </cell>
          <cell r="BR4">
            <v>8.5601883999999995</v>
          </cell>
          <cell r="BS4">
            <v>8.4330844000000003</v>
          </cell>
          <cell r="BT4">
            <v>9.1061605999999991</v>
          </cell>
          <cell r="BU4">
            <v>8.7663588000000008</v>
          </cell>
          <cell r="BV4">
            <v>9.0746036000000014</v>
          </cell>
          <cell r="BW4">
            <v>8.9126522999999995</v>
          </cell>
          <cell r="BX4">
            <v>9.1034611000000005</v>
          </cell>
          <cell r="BY4">
            <v>9.6008416000000008</v>
          </cell>
          <cell r="BZ4">
            <v>9.6404372000000009</v>
          </cell>
          <cell r="CA4">
            <v>9.6699348000000018</v>
          </cell>
          <cell r="CB4">
            <v>10.328777000000001</v>
          </cell>
          <cell r="CC4">
            <v>10.570617</v>
          </cell>
          <cell r="CD4">
            <v>10.670696</v>
          </cell>
          <cell r="CE4">
            <v>10.610398</v>
          </cell>
          <cell r="CF4">
            <v>10.422791</v>
          </cell>
        </row>
        <row r="5">
          <cell r="BA5">
            <v>147.53449000000001</v>
          </cell>
          <cell r="BB5">
            <v>149.62620999999999</v>
          </cell>
          <cell r="BC5">
            <v>146.76952</v>
          </cell>
          <cell r="BD5">
            <v>158.19839999999999</v>
          </cell>
          <cell r="BE5">
            <v>161.21306000000001</v>
          </cell>
          <cell r="BF5">
            <v>174.39004</v>
          </cell>
          <cell r="BG5">
            <v>179.96227999999999</v>
          </cell>
          <cell r="BH5">
            <v>166.67634000000001</v>
          </cell>
          <cell r="BI5">
            <v>186.03491</v>
          </cell>
          <cell r="BJ5">
            <v>174.13172</v>
          </cell>
          <cell r="BK5">
            <v>177.05749</v>
          </cell>
          <cell r="BL5">
            <v>163.33214000000001</v>
          </cell>
          <cell r="BM5">
            <v>166.00543999999999</v>
          </cell>
          <cell r="BN5">
            <v>174.11452</v>
          </cell>
          <cell r="BO5">
            <v>169.73657</v>
          </cell>
          <cell r="BP5">
            <v>189.57843</v>
          </cell>
          <cell r="BQ5">
            <v>186.80835999999999</v>
          </cell>
          <cell r="BR5">
            <v>192.42898000000002</v>
          </cell>
          <cell r="BS5">
            <v>195.67535000000001</v>
          </cell>
          <cell r="BT5">
            <v>201.18878000000001</v>
          </cell>
          <cell r="BU5">
            <v>203.81175000000002</v>
          </cell>
          <cell r="BV5">
            <v>205.57665</v>
          </cell>
          <cell r="BW5">
            <v>216.32999000000001</v>
          </cell>
          <cell r="BX5">
            <v>229.50139000000001</v>
          </cell>
          <cell r="BY5">
            <v>244.92381</v>
          </cell>
          <cell r="BZ5">
            <v>255.52141</v>
          </cell>
          <cell r="CA5">
            <v>258.03980000000001</v>
          </cell>
          <cell r="CB5">
            <v>262.59235999999999</v>
          </cell>
          <cell r="CC5">
            <v>273.11857000000003</v>
          </cell>
          <cell r="CD5">
            <v>277.88281000000001</v>
          </cell>
          <cell r="CE5">
            <v>266.25785999999999</v>
          </cell>
          <cell r="CF5">
            <v>270.28088000000002</v>
          </cell>
        </row>
        <row r="6">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row>
        <row r="7">
          <cell r="BA7">
            <v>0.41024451000000001</v>
          </cell>
          <cell r="BB7">
            <v>0.41855783000000002</v>
          </cell>
          <cell r="BC7">
            <v>0.42707332000000003</v>
          </cell>
          <cell r="BD7">
            <v>0.43858460999999999</v>
          </cell>
          <cell r="BE7">
            <v>0.44235886000000002</v>
          </cell>
          <cell r="BF7">
            <v>0.46654546000000002</v>
          </cell>
          <cell r="BG7">
            <v>0.49669637</v>
          </cell>
          <cell r="BH7">
            <v>0.50645125999999996</v>
          </cell>
          <cell r="BI7">
            <v>0.51688701999999997</v>
          </cell>
          <cell r="BJ7">
            <v>0.53323803999999997</v>
          </cell>
          <cell r="BK7">
            <v>0.54407991</v>
          </cell>
          <cell r="BL7">
            <v>0.54256397000000001</v>
          </cell>
          <cell r="BM7">
            <v>0.54947965999999993</v>
          </cell>
          <cell r="BN7">
            <v>0.55286464000000002</v>
          </cell>
          <cell r="BO7">
            <v>0.57675832000000005</v>
          </cell>
          <cell r="BP7">
            <v>0.58966796999999993</v>
          </cell>
          <cell r="BQ7">
            <v>0.56060397000000006</v>
          </cell>
          <cell r="BR7">
            <v>0.55365195000000011</v>
          </cell>
          <cell r="BS7">
            <v>0.55347135000000003</v>
          </cell>
          <cell r="BT7">
            <v>0.53126188000000008</v>
          </cell>
          <cell r="BU7">
            <v>0.53152264999999999</v>
          </cell>
          <cell r="BV7">
            <v>0.5082508</v>
          </cell>
          <cell r="BW7">
            <v>0.50571998000000007</v>
          </cell>
          <cell r="BX7">
            <v>0.49524518000000001</v>
          </cell>
          <cell r="BY7">
            <v>0.48354068</v>
          </cell>
          <cell r="BZ7">
            <v>0.48308319</v>
          </cell>
          <cell r="CA7">
            <v>0.49413106000000001</v>
          </cell>
          <cell r="CB7">
            <v>0.49745278999999998</v>
          </cell>
          <cell r="CC7">
            <v>0.52364076000000004</v>
          </cell>
          <cell r="CD7">
            <v>0.52109227000000002</v>
          </cell>
          <cell r="CE7">
            <v>0.44888400000000001</v>
          </cell>
          <cell r="CF7">
            <v>0.49976677000000003</v>
          </cell>
        </row>
        <row r="8">
          <cell r="BA8">
            <v>55.967258999999999</v>
          </cell>
          <cell r="BB8">
            <v>55.792860999999995</v>
          </cell>
          <cell r="BC8">
            <v>55.057234999999999</v>
          </cell>
          <cell r="BD8">
            <v>58.551398999999996</v>
          </cell>
          <cell r="BE8">
            <v>65.997546</v>
          </cell>
          <cell r="BF8">
            <v>79.732258000000002</v>
          </cell>
          <cell r="BG8">
            <v>84.477626000000001</v>
          </cell>
          <cell r="BH8">
            <v>82.608842999999993</v>
          </cell>
          <cell r="BI8">
            <v>89.304597999999999</v>
          </cell>
          <cell r="BJ8">
            <v>87.976410999999999</v>
          </cell>
          <cell r="BK8">
            <v>84.522603000000004</v>
          </cell>
          <cell r="BL8">
            <v>83.278694000000002</v>
          </cell>
          <cell r="BM8">
            <v>85.16704</v>
          </cell>
          <cell r="BN8">
            <v>90.345523</v>
          </cell>
          <cell r="BO8">
            <v>93.488995000000003</v>
          </cell>
          <cell r="BP8">
            <v>92.585886000000002</v>
          </cell>
          <cell r="BQ8">
            <v>85.092649000000009</v>
          </cell>
          <cell r="BR8">
            <v>86.477267999999995</v>
          </cell>
          <cell r="BS8">
            <v>87.496712000000002</v>
          </cell>
          <cell r="BT8">
            <v>88.689954999999998</v>
          </cell>
          <cell r="BU8">
            <v>96.920606000000006</v>
          </cell>
          <cell r="BV8">
            <v>97.146423999999996</v>
          </cell>
          <cell r="BW8">
            <v>98.161642000000015</v>
          </cell>
          <cell r="BX8">
            <v>99.453433000000004</v>
          </cell>
          <cell r="BY8">
            <v>109.51987</v>
          </cell>
          <cell r="BZ8">
            <v>104.01017999999999</v>
          </cell>
          <cell r="CA8">
            <v>104.25827000000001</v>
          </cell>
          <cell r="CB8">
            <v>104.60971000000001</v>
          </cell>
          <cell r="CC8">
            <v>95.272467000000006</v>
          </cell>
          <cell r="CD8">
            <v>96.427683000000002</v>
          </cell>
          <cell r="CE8">
            <v>87.130054000000001</v>
          </cell>
          <cell r="CF8">
            <v>87.758687999999992</v>
          </cell>
        </row>
        <row r="9">
          <cell r="BA9">
            <v>5.4123133000000004E-2</v>
          </cell>
          <cell r="BB9">
            <v>5.4206313000000006E-2</v>
          </cell>
          <cell r="BC9">
            <v>5.7979863E-2</v>
          </cell>
          <cell r="BD9">
            <v>6.9190591999999995E-2</v>
          </cell>
          <cell r="BE9">
            <v>6.9477706E-2</v>
          </cell>
          <cell r="BF9">
            <v>6.9775989999999996E-2</v>
          </cell>
          <cell r="BG9">
            <v>7.3561687000000014E-2</v>
          </cell>
          <cell r="BH9">
            <v>7.3684828999999993E-2</v>
          </cell>
          <cell r="BI9">
            <v>8.1044633000000005E-2</v>
          </cell>
          <cell r="BJ9">
            <v>8.4701256000000003E-2</v>
          </cell>
          <cell r="BK9">
            <v>9.2105270000000003E-2</v>
          </cell>
          <cell r="BL9">
            <v>9.9444801999999999E-2</v>
          </cell>
          <cell r="BM9">
            <v>9.9365583000000007E-2</v>
          </cell>
          <cell r="BN9">
            <v>0.10687061</v>
          </cell>
          <cell r="BO9">
            <v>0.12510375000000001</v>
          </cell>
          <cell r="BP9">
            <v>0.13256090000000001</v>
          </cell>
          <cell r="BQ9">
            <v>0.14727420000000002</v>
          </cell>
          <cell r="BR9">
            <v>0.15464931000000001</v>
          </cell>
          <cell r="BS9">
            <v>0.15469022000000002</v>
          </cell>
          <cell r="BT9">
            <v>0.15095003000000001</v>
          </cell>
          <cell r="BU9">
            <v>0.15476381</v>
          </cell>
          <cell r="BV9">
            <v>0.14750732999999999</v>
          </cell>
          <cell r="BW9">
            <v>0.14755573999999999</v>
          </cell>
          <cell r="BX9">
            <v>0.12200057</v>
          </cell>
          <cell r="BY9">
            <v>0.14404635999999998</v>
          </cell>
          <cell r="BZ9">
            <v>0.15875563000000001</v>
          </cell>
          <cell r="CA9">
            <v>0.15867381</v>
          </cell>
          <cell r="CB9">
            <v>0.14767467000000001</v>
          </cell>
          <cell r="CC9">
            <v>0.15122434000000001</v>
          </cell>
          <cell r="CD9">
            <v>0.15451407</v>
          </cell>
          <cell r="CE9">
            <v>0.14162081000000001</v>
          </cell>
          <cell r="CF9">
            <v>0.14020384999999999</v>
          </cell>
        </row>
        <row r="11">
          <cell r="BA11">
            <v>25.869661000000001</v>
          </cell>
          <cell r="BB11">
            <v>24.230605000000001</v>
          </cell>
          <cell r="BC11">
            <v>29.957964</v>
          </cell>
          <cell r="BD11">
            <v>13.594674000000001</v>
          </cell>
          <cell r="BE11">
            <v>13.469548000000001</v>
          </cell>
          <cell r="BF11">
            <v>14.250982</v>
          </cell>
          <cell r="BG11">
            <v>10.613368000000001</v>
          </cell>
          <cell r="BH11">
            <v>10.937430000000001</v>
          </cell>
          <cell r="BI11">
            <v>9.4933737000000011</v>
          </cell>
          <cell r="BJ11">
            <v>7.4658737000000004</v>
          </cell>
          <cell r="BK11">
            <v>6.0385982000000009</v>
          </cell>
          <cell r="BL11">
            <v>6.0921962999999995</v>
          </cell>
          <cell r="BM11">
            <v>5.8425539999999998</v>
          </cell>
          <cell r="BN11">
            <v>6.2901166000000002</v>
          </cell>
          <cell r="BO11">
            <v>6.6320908000000003</v>
          </cell>
          <cell r="BP11">
            <v>7.3738055999999998</v>
          </cell>
          <cell r="BQ11">
            <v>7.6761626999999999</v>
          </cell>
          <cell r="BR11">
            <v>8.3989928000000003</v>
          </cell>
          <cell r="BS11">
            <v>9.0432441000000008</v>
          </cell>
          <cell r="BT11">
            <v>7.9281230999999996</v>
          </cell>
          <cell r="BU11">
            <v>7.9311850999999995</v>
          </cell>
          <cell r="BV11">
            <v>8.8919768000000001</v>
          </cell>
          <cell r="BW11">
            <v>10.033895000000001</v>
          </cell>
          <cell r="BX11">
            <v>9.9949006000000011</v>
          </cell>
          <cell r="BY11">
            <v>10.181704</v>
          </cell>
          <cell r="BZ11">
            <v>9.9592036000000004</v>
          </cell>
          <cell r="CA11">
            <v>10.632239</v>
          </cell>
          <cell r="CB11">
            <v>10.802901</v>
          </cell>
          <cell r="CC11">
            <v>12.041825999999999</v>
          </cell>
          <cell r="CD11">
            <v>11.626319000000001</v>
          </cell>
          <cell r="CE11">
            <v>11.781292000000001</v>
          </cell>
          <cell r="CF11">
            <v>12.227112</v>
          </cell>
        </row>
        <row r="12">
          <cell r="BA12">
            <v>0.51479153</v>
          </cell>
          <cell r="BB12">
            <v>0.56126399999999999</v>
          </cell>
          <cell r="BC12">
            <v>0.57048613999999997</v>
          </cell>
          <cell r="BD12">
            <v>0.68189738999999994</v>
          </cell>
          <cell r="BE12">
            <v>0.69501052000000008</v>
          </cell>
          <cell r="BF12">
            <v>0.74438978</v>
          </cell>
          <cell r="BG12">
            <v>0.75974437000000006</v>
          </cell>
          <cell r="BH12">
            <v>0.79884177999999995</v>
          </cell>
          <cell r="BI12">
            <v>0.84990335000000006</v>
          </cell>
          <cell r="BJ12">
            <v>0.85905589999999998</v>
          </cell>
          <cell r="BK12">
            <v>2.4773186000000003</v>
          </cell>
          <cell r="BL12">
            <v>2.5021124000000001</v>
          </cell>
          <cell r="BM12">
            <v>2.5305610000000001</v>
          </cell>
          <cell r="BN12">
            <v>2.6624679000000002</v>
          </cell>
          <cell r="BO12">
            <v>2.7254378999999997</v>
          </cell>
          <cell r="BP12">
            <v>2.8300259000000003</v>
          </cell>
          <cell r="BQ12">
            <v>2.7997163999999999</v>
          </cell>
          <cell r="BR12">
            <v>2.9071465999999999</v>
          </cell>
          <cell r="BS12">
            <v>2.7368236000000001</v>
          </cell>
          <cell r="BT12">
            <v>2.7057363999999997</v>
          </cell>
          <cell r="BU12">
            <v>2.5753925</v>
          </cell>
          <cell r="BV12">
            <v>2.5731516999999999</v>
          </cell>
          <cell r="BW12">
            <v>1.4100203</v>
          </cell>
          <cell r="BX12">
            <v>0.94282719999999998</v>
          </cell>
          <cell r="BY12">
            <v>0.95408468000000002</v>
          </cell>
          <cell r="BZ12">
            <v>0.97902705000000001</v>
          </cell>
          <cell r="CA12">
            <v>0.96429571000000003</v>
          </cell>
          <cell r="CB12">
            <v>0.99393944000000001</v>
          </cell>
          <cell r="CC12">
            <v>1.0160106</v>
          </cell>
          <cell r="CD12">
            <v>1.0370227000000001</v>
          </cell>
          <cell r="CE12">
            <v>0.95143322000000008</v>
          </cell>
          <cell r="CF12">
            <v>0.94354414999999991</v>
          </cell>
        </row>
        <row r="14">
          <cell r="BA14">
            <v>78.435998000000012</v>
          </cell>
          <cell r="BB14">
            <v>82.111532000000011</v>
          </cell>
          <cell r="BC14">
            <v>75.480378999999999</v>
          </cell>
          <cell r="BD14">
            <v>75.821399</v>
          </cell>
          <cell r="BE14">
            <v>76.054305999999997</v>
          </cell>
          <cell r="BF14">
            <v>79.300982000000005</v>
          </cell>
          <cell r="BG14">
            <v>82.501740999999996</v>
          </cell>
          <cell r="BH14">
            <v>82.153642000000005</v>
          </cell>
          <cell r="BI14">
            <v>81.484734000000003</v>
          </cell>
          <cell r="BJ14">
            <v>79.956494000000006</v>
          </cell>
          <cell r="BK14">
            <v>80.129292000000007</v>
          </cell>
          <cell r="BL14">
            <v>84.036362999999994</v>
          </cell>
          <cell r="BM14">
            <v>85.804355999999999</v>
          </cell>
          <cell r="BN14">
            <v>91.192476999999997</v>
          </cell>
          <cell r="BO14">
            <v>90.929670000000002</v>
          </cell>
          <cell r="BP14">
            <v>92.121493000000001</v>
          </cell>
          <cell r="BQ14">
            <v>89.703785999999994</v>
          </cell>
          <cell r="BR14">
            <v>86.947197000000003</v>
          </cell>
          <cell r="BS14">
            <v>86.382216</v>
          </cell>
          <cell r="BT14">
            <v>79.736824999999996</v>
          </cell>
          <cell r="BU14">
            <v>84.28844500000001</v>
          </cell>
          <cell r="BV14">
            <v>82.145596999999995</v>
          </cell>
          <cell r="BW14">
            <v>79.444117000000006</v>
          </cell>
          <cell r="BX14">
            <v>79.900679999999994</v>
          </cell>
          <cell r="BY14">
            <v>76.367705000000001</v>
          </cell>
          <cell r="BZ14">
            <v>78.603596999999993</v>
          </cell>
          <cell r="CA14">
            <v>79.560072000000005</v>
          </cell>
          <cell r="CB14">
            <v>81.868831999999998</v>
          </cell>
          <cell r="CC14">
            <v>78.614884000000004</v>
          </cell>
          <cell r="CD14">
            <v>79.773629</v>
          </cell>
          <cell r="CE14">
            <v>73.697337000000005</v>
          </cell>
          <cell r="CF14">
            <v>77.326241999999993</v>
          </cell>
        </row>
        <row r="15">
          <cell r="BA15">
            <v>86.899047999999993</v>
          </cell>
          <cell r="BB15">
            <v>84.900843999999992</v>
          </cell>
          <cell r="BC15">
            <v>80.071492000000006</v>
          </cell>
          <cell r="BD15">
            <v>72.235139000000004</v>
          </cell>
          <cell r="BE15">
            <v>65.001796999999996</v>
          </cell>
          <cell r="BF15">
            <v>56.617072</v>
          </cell>
          <cell r="BG15">
            <v>52.802458000000001</v>
          </cell>
          <cell r="BH15">
            <v>50.056930000000001</v>
          </cell>
          <cell r="BI15">
            <v>51.365797000000001</v>
          </cell>
          <cell r="BJ15">
            <v>49.977339000000001</v>
          </cell>
          <cell r="BK15">
            <v>49.947735000000002</v>
          </cell>
          <cell r="BL15">
            <v>48.276052000000007</v>
          </cell>
          <cell r="BM15">
            <v>47.998805000000004</v>
          </cell>
          <cell r="BN15">
            <v>49.513546000000005</v>
          </cell>
          <cell r="BO15">
            <v>50.868206000000001</v>
          </cell>
          <cell r="BP15">
            <v>52.309436000000005</v>
          </cell>
          <cell r="BQ15">
            <v>53.872243000000005</v>
          </cell>
          <cell r="BR15">
            <v>54.583727000000003</v>
          </cell>
          <cell r="BS15">
            <v>59.619220000000006</v>
          </cell>
          <cell r="BT15">
            <v>55.012675000000002</v>
          </cell>
          <cell r="BU15">
            <v>54.357343</v>
          </cell>
          <cell r="BV15">
            <v>58.040277000000003</v>
          </cell>
          <cell r="BW15">
            <v>60.914856</v>
          </cell>
          <cell r="BX15">
            <v>62.304814</v>
          </cell>
          <cell r="BY15">
            <v>63.358648000000002</v>
          </cell>
          <cell r="BZ15">
            <v>64.745422000000005</v>
          </cell>
          <cell r="CA15">
            <v>64.828226999999998</v>
          </cell>
          <cell r="CB15">
            <v>64.664175999999998</v>
          </cell>
          <cell r="CC15">
            <v>67.542889000000002</v>
          </cell>
          <cell r="CD15">
            <v>70.862791000000001</v>
          </cell>
          <cell r="CE15">
            <v>63.470036999999998</v>
          </cell>
          <cell r="CF15">
            <v>66.491821999999999</v>
          </cell>
        </row>
        <row r="16">
          <cell r="BA16">
            <v>2.4408363</v>
          </cell>
          <cell r="BB16">
            <v>2.4423831000000003</v>
          </cell>
          <cell r="BC16">
            <v>2.4531162000000002</v>
          </cell>
          <cell r="BD16">
            <v>2.3452260000000003</v>
          </cell>
          <cell r="BE16">
            <v>2.3390830999999999</v>
          </cell>
          <cell r="BF16">
            <v>2.3471210999999998</v>
          </cell>
          <cell r="BG16">
            <v>2.3485825</v>
          </cell>
          <cell r="BH16">
            <v>2.1022237000000001</v>
          </cell>
          <cell r="BI16">
            <v>2.5884114</v>
          </cell>
          <cell r="BJ16">
            <v>2.6326003999999998</v>
          </cell>
          <cell r="BK16">
            <v>2.6332103000000004</v>
          </cell>
          <cell r="BL16">
            <v>2.7351012999999997</v>
          </cell>
          <cell r="BM16">
            <v>2.8087735999999999</v>
          </cell>
          <cell r="BN16">
            <v>2.4968140999999999</v>
          </cell>
          <cell r="BO16">
            <v>2.55097</v>
          </cell>
          <cell r="BP16">
            <v>2.7106244999999998</v>
          </cell>
          <cell r="BQ16">
            <v>2.7424596000000001</v>
          </cell>
          <cell r="BR16">
            <v>2.8800702999999999</v>
          </cell>
          <cell r="BS16">
            <v>2.9142991</v>
          </cell>
          <cell r="BT16">
            <v>3.0078258999999998</v>
          </cell>
          <cell r="BU16">
            <v>3.0828928000000002</v>
          </cell>
          <cell r="BV16">
            <v>3.0955102000000001</v>
          </cell>
          <cell r="BW16">
            <v>3.1572040000000001</v>
          </cell>
          <cell r="BX16">
            <v>3.3008303000000003</v>
          </cell>
          <cell r="BY16">
            <v>2.9523736</v>
          </cell>
          <cell r="BZ16">
            <v>2.7948434000000004</v>
          </cell>
          <cell r="CA16">
            <v>2.8739507</v>
          </cell>
          <cell r="CB16">
            <v>2.5622113</v>
          </cell>
          <cell r="CC16">
            <v>3.3076637</v>
          </cell>
          <cell r="CD16">
            <v>3.3862139999999998</v>
          </cell>
          <cell r="CE16">
            <v>3.1288054000000001</v>
          </cell>
          <cell r="CF16">
            <v>3.1079639999999999</v>
          </cell>
        </row>
        <row r="17">
          <cell r="BA17">
            <v>18.596830000000001</v>
          </cell>
          <cell r="BB17">
            <v>15.158972</v>
          </cell>
          <cell r="BC17">
            <v>14.540966000000001</v>
          </cell>
          <cell r="BD17">
            <v>18.878708</v>
          </cell>
          <cell r="BE17">
            <v>18.977219000000002</v>
          </cell>
          <cell r="BF17">
            <v>18.291941999999999</v>
          </cell>
          <cell r="BG17">
            <v>18.772188999999997</v>
          </cell>
          <cell r="BH17">
            <v>20.188611000000002</v>
          </cell>
          <cell r="BI17">
            <v>20.847883000000003</v>
          </cell>
          <cell r="BJ17">
            <v>20.531427000000001</v>
          </cell>
          <cell r="BK17">
            <v>20.958687999999999</v>
          </cell>
          <cell r="BL17">
            <v>17.371766000000001</v>
          </cell>
          <cell r="BM17">
            <v>18.982441999999999</v>
          </cell>
          <cell r="BN17">
            <v>19.778555000000001</v>
          </cell>
          <cell r="BO17">
            <v>21.100892999999999</v>
          </cell>
          <cell r="BP17">
            <v>23.655725</v>
          </cell>
          <cell r="BQ17">
            <v>23.905087999999999</v>
          </cell>
          <cell r="BR17">
            <v>31.108008999999999</v>
          </cell>
          <cell r="BS17">
            <v>33.835275000000003</v>
          </cell>
          <cell r="BT17">
            <v>32.343260000000001</v>
          </cell>
          <cell r="BU17">
            <v>33.231513</v>
          </cell>
          <cell r="BV17">
            <v>32.936374000000001</v>
          </cell>
          <cell r="BW17">
            <v>31.594189</v>
          </cell>
          <cell r="BX17">
            <v>35.753508000000004</v>
          </cell>
          <cell r="BY17">
            <v>35.536732000000008</v>
          </cell>
          <cell r="BZ17">
            <v>37.010999000000005</v>
          </cell>
          <cell r="CA17">
            <v>36.263724000000003</v>
          </cell>
          <cell r="CB17">
            <v>37.885545</v>
          </cell>
          <cell r="CC17">
            <v>31.215304</v>
          </cell>
          <cell r="CD17">
            <v>31.124502</v>
          </cell>
          <cell r="CE17">
            <v>29.969211999999999</v>
          </cell>
          <cell r="CF17">
            <v>30.391856000000001</v>
          </cell>
        </row>
        <row r="18">
          <cell r="BA18">
            <v>56.099951000000004</v>
          </cell>
          <cell r="BB18">
            <v>56.914696000000006</v>
          </cell>
          <cell r="BC18">
            <v>58.271724999999996</v>
          </cell>
          <cell r="BD18">
            <v>59.076408999999998</v>
          </cell>
          <cell r="BE18">
            <v>61.342330000000004</v>
          </cell>
          <cell r="BF18">
            <v>68.339365000000001</v>
          </cell>
          <cell r="BG18">
            <v>71.035662000000002</v>
          </cell>
          <cell r="BH18">
            <v>74.887717999999992</v>
          </cell>
          <cell r="BI18">
            <v>77.098157000000015</v>
          </cell>
          <cell r="BJ18">
            <v>82.878349</v>
          </cell>
          <cell r="BK18">
            <v>86.886863000000005</v>
          </cell>
          <cell r="BL18">
            <v>94.195041000000003</v>
          </cell>
          <cell r="BM18">
            <v>97.60699000000001</v>
          </cell>
          <cell r="BN18">
            <v>101.31367</v>
          </cell>
          <cell r="BO18">
            <v>105.57911</v>
          </cell>
          <cell r="BP18">
            <v>110.2111</v>
          </cell>
          <cell r="BQ18">
            <v>116.75247</v>
          </cell>
          <cell r="BR18">
            <v>120.11506</v>
          </cell>
          <cell r="BS18">
            <v>126.03521000000001</v>
          </cell>
          <cell r="BT18">
            <v>131.40667999999999</v>
          </cell>
          <cell r="BU18">
            <v>138.95023999999998</v>
          </cell>
          <cell r="BV18">
            <v>143.65280999999999</v>
          </cell>
          <cell r="BW18">
            <v>149.70625000000001</v>
          </cell>
          <cell r="BX18">
            <v>151.72969000000001</v>
          </cell>
          <cell r="BY18">
            <v>158.25823000000003</v>
          </cell>
          <cell r="BZ18">
            <v>167.54633999999999</v>
          </cell>
          <cell r="CA18">
            <v>171.17425</v>
          </cell>
          <cell r="CB18">
            <v>178.64165</v>
          </cell>
          <cell r="CC18">
            <v>187.52207999999999</v>
          </cell>
          <cell r="CD18">
            <v>200.88458</v>
          </cell>
          <cell r="CE18">
            <v>196.50002000000001</v>
          </cell>
          <cell r="CF18">
            <v>203.90574000000001</v>
          </cell>
        </row>
        <row r="19">
          <cell r="BA19">
            <v>3.6501158999999999</v>
          </cell>
          <cell r="BB19">
            <v>4.0842036999999998</v>
          </cell>
          <cell r="BC19">
            <v>4.0122304</v>
          </cell>
          <cell r="BD19">
            <v>4.7858080000000003</v>
          </cell>
          <cell r="BE19">
            <v>4.1523386000000002</v>
          </cell>
          <cell r="BF19">
            <v>4.3376516000000001</v>
          </cell>
          <cell r="BG19">
            <v>4.3676215000000003</v>
          </cell>
          <cell r="BH19">
            <v>4.4749507000000008</v>
          </cell>
          <cell r="BI19">
            <v>4.9830022999999999</v>
          </cell>
          <cell r="BJ19">
            <v>5.1483249999999998</v>
          </cell>
          <cell r="BK19">
            <v>5.1325254999999999</v>
          </cell>
          <cell r="BL19">
            <v>5.1810154000000006</v>
          </cell>
          <cell r="BM19">
            <v>5.1780093000000003</v>
          </cell>
          <cell r="BN19">
            <v>5.2885357000000006</v>
          </cell>
          <cell r="BO19">
            <v>5.3624431999999995</v>
          </cell>
          <cell r="BP19">
            <v>5.4860042999999994</v>
          </cell>
          <cell r="BQ19">
            <v>5.5373311000000003</v>
          </cell>
          <cell r="BR19">
            <v>5.6010140000000002</v>
          </cell>
          <cell r="BS19">
            <v>6.2283755000000003</v>
          </cell>
          <cell r="BT19">
            <v>6.1967758999999996</v>
          </cell>
          <cell r="BU19">
            <v>5.8560219</v>
          </cell>
          <cell r="BV19">
            <v>6.0127831</v>
          </cell>
          <cell r="BW19">
            <v>5.8731301</v>
          </cell>
          <cell r="BX19">
            <v>5.8043687000000004</v>
          </cell>
          <cell r="BY19">
            <v>5.3428336999999999</v>
          </cell>
          <cell r="BZ19">
            <v>5.3537752000000003</v>
          </cell>
          <cell r="CA19">
            <v>5.4141466000000005</v>
          </cell>
          <cell r="CB19">
            <v>5.1969253000000002</v>
          </cell>
          <cell r="CC19">
            <v>5.2808358000000002</v>
          </cell>
          <cell r="CD19">
            <v>5.3262586000000001</v>
          </cell>
          <cell r="CE19">
            <v>5.0207094999999997</v>
          </cell>
          <cell r="CF19">
            <v>5.0562396999999999</v>
          </cell>
        </row>
        <row r="20">
          <cell r="BA20">
            <v>145.33989000000003</v>
          </cell>
          <cell r="BB20">
            <v>139.71343999999999</v>
          </cell>
          <cell r="BC20">
            <v>126.03122</v>
          </cell>
          <cell r="BD20">
            <v>112.29643</v>
          </cell>
          <cell r="BE20">
            <v>96.343448000000009</v>
          </cell>
          <cell r="BF20">
            <v>87.955986999999993</v>
          </cell>
          <cell r="BG20">
            <v>88.760161999999994</v>
          </cell>
          <cell r="BH20">
            <v>89.022097000000002</v>
          </cell>
          <cell r="BI20">
            <v>87.757928000000007</v>
          </cell>
          <cell r="BJ20">
            <v>84.261445000000009</v>
          </cell>
          <cell r="BK20">
            <v>81.145921000000001</v>
          </cell>
          <cell r="BL20">
            <v>79.825857999999997</v>
          </cell>
          <cell r="BM20">
            <v>79.125275999999999</v>
          </cell>
          <cell r="BN20">
            <v>80.871075000000005</v>
          </cell>
          <cell r="BO20">
            <v>84.545801000000012</v>
          </cell>
          <cell r="BP20">
            <v>86.538403000000002</v>
          </cell>
          <cell r="BQ20">
            <v>89.856617999999997</v>
          </cell>
          <cell r="BR20">
            <v>88.250973000000002</v>
          </cell>
          <cell r="BS20">
            <v>91.672820000000016</v>
          </cell>
          <cell r="BT20">
            <v>89.716105999999996</v>
          </cell>
          <cell r="BU20">
            <v>91.884269000000003</v>
          </cell>
          <cell r="BV20">
            <v>91.314467999999991</v>
          </cell>
          <cell r="BW20">
            <v>92.432607000000004</v>
          </cell>
          <cell r="BX20">
            <v>94.456410999999989</v>
          </cell>
          <cell r="BY20">
            <v>93.371444000000011</v>
          </cell>
          <cell r="BZ20">
            <v>88.307456000000002</v>
          </cell>
          <cell r="CA20">
            <v>87.563304000000002</v>
          </cell>
          <cell r="CB20">
            <v>89.247596000000001</v>
          </cell>
          <cell r="CC20">
            <v>92.202406000000011</v>
          </cell>
          <cell r="CD20">
            <v>92.291633000000004</v>
          </cell>
          <cell r="CE20">
            <v>89.940277000000009</v>
          </cell>
          <cell r="CF20">
            <v>91.988202000000001</v>
          </cell>
        </row>
        <row r="21">
          <cell r="BA21">
            <v>145.68356</v>
          </cell>
          <cell r="BB21">
            <v>148.40432000000001</v>
          </cell>
          <cell r="BC21">
            <v>147.92488</v>
          </cell>
          <cell r="BD21">
            <v>146.79217000000003</v>
          </cell>
          <cell r="BE21">
            <v>151.40527</v>
          </cell>
          <cell r="BF21">
            <v>153.59739999999999</v>
          </cell>
          <cell r="BG21">
            <v>157.30866</v>
          </cell>
          <cell r="BH21">
            <v>148.84639000000001</v>
          </cell>
          <cell r="BI21">
            <v>154.02298000000002</v>
          </cell>
          <cell r="BJ21">
            <v>147.7578</v>
          </cell>
          <cell r="BK21">
            <v>148.87963000000002</v>
          </cell>
          <cell r="BL21">
            <v>147.32114000000001</v>
          </cell>
          <cell r="BM21">
            <v>147.40363000000002</v>
          </cell>
          <cell r="BN21">
            <v>147.70213000000001</v>
          </cell>
          <cell r="BO21">
            <v>148.53035</v>
          </cell>
          <cell r="BP21">
            <v>145.52420000000001</v>
          </cell>
          <cell r="BQ21">
            <v>142.71092000000002</v>
          </cell>
          <cell r="BR21">
            <v>139.06852000000001</v>
          </cell>
          <cell r="BS21">
            <v>138.99194</v>
          </cell>
          <cell r="BT21">
            <v>126.39794000000001</v>
          </cell>
          <cell r="BU21">
            <v>133.69355999999999</v>
          </cell>
          <cell r="BV21">
            <v>123.18379</v>
          </cell>
          <cell r="BW21">
            <v>120.4145</v>
          </cell>
          <cell r="BX21">
            <v>120.51528999999999</v>
          </cell>
          <cell r="BY21">
            <v>114.91191000000001</v>
          </cell>
          <cell r="BZ21">
            <v>119.03567</v>
          </cell>
          <cell r="CA21">
            <v>117.44794</v>
          </cell>
          <cell r="CB21">
            <v>117.03219</v>
          </cell>
          <cell r="CC21">
            <v>117.72414000000001</v>
          </cell>
          <cell r="CD21">
            <v>116.54</v>
          </cell>
          <cell r="CE21">
            <v>107.26769</v>
          </cell>
          <cell r="CF21">
            <v>110.8492</v>
          </cell>
        </row>
        <row r="22">
          <cell r="BA22">
            <v>1.0412619000000001</v>
          </cell>
          <cell r="BB22">
            <v>1.2214653000000002</v>
          </cell>
          <cell r="BC22">
            <v>1.2092138000000001</v>
          </cell>
          <cell r="BD22">
            <v>1.1810815000000001</v>
          </cell>
          <cell r="BE22">
            <v>1.1117201000000001</v>
          </cell>
          <cell r="BF22">
            <v>1.0930202</v>
          </cell>
          <cell r="BG22">
            <v>0.99779282000000002</v>
          </cell>
          <cell r="BH22">
            <v>1.0721622</v>
          </cell>
          <cell r="BI22">
            <v>1.0548164</v>
          </cell>
          <cell r="BJ22">
            <v>1.0581004000000001</v>
          </cell>
          <cell r="BK22">
            <v>1.1092739</v>
          </cell>
          <cell r="BL22">
            <v>1.2326542999999999</v>
          </cell>
          <cell r="BM22">
            <v>1.2718107000000001</v>
          </cell>
          <cell r="BN22">
            <v>1.3291416</v>
          </cell>
          <cell r="BO22">
            <v>1.2920073000000001</v>
          </cell>
          <cell r="BP22">
            <v>1.3022646</v>
          </cell>
          <cell r="BQ22">
            <v>1.3950992000000002</v>
          </cell>
          <cell r="BR22">
            <v>1.3801414000000001</v>
          </cell>
          <cell r="BS22">
            <v>1.2895629</v>
          </cell>
          <cell r="BT22">
            <v>1.3691790000000001</v>
          </cell>
          <cell r="BU22">
            <v>1.3714202</v>
          </cell>
          <cell r="BV22">
            <v>1.5000932</v>
          </cell>
          <cell r="BW22">
            <v>1.3319019000000001</v>
          </cell>
          <cell r="BX22">
            <v>1.4990108</v>
          </cell>
          <cell r="BY22">
            <v>1.4535319</v>
          </cell>
          <cell r="BZ22">
            <v>1.6911404000000001</v>
          </cell>
          <cell r="CA22">
            <v>1.6728959000000001</v>
          </cell>
          <cell r="CB22">
            <v>1.6913733</v>
          </cell>
          <cell r="CC22">
            <v>1.6802284000000001</v>
          </cell>
          <cell r="CD22">
            <v>1.851866</v>
          </cell>
          <cell r="CE22">
            <v>1.7316175</v>
          </cell>
          <cell r="CF22">
            <v>1.8645148</v>
          </cell>
        </row>
        <row r="23">
          <cell r="BA23">
            <v>5.4115916999999998</v>
          </cell>
          <cell r="BB23">
            <v>5.7032894000000001</v>
          </cell>
          <cell r="BC23">
            <v>5.8627731999999995</v>
          </cell>
          <cell r="BD23">
            <v>6.1107892000000001</v>
          </cell>
          <cell r="BE23">
            <v>6.5685371999999997</v>
          </cell>
          <cell r="BF23">
            <v>6.3894161999999994</v>
          </cell>
          <cell r="BG23">
            <v>7.1983196999999999</v>
          </cell>
          <cell r="BH23">
            <v>7.4575111999999999</v>
          </cell>
          <cell r="BI23">
            <v>7.6741102000000003</v>
          </cell>
          <cell r="BJ23">
            <v>8.0113354000000001</v>
          </cell>
          <cell r="BK23">
            <v>8.4450938999999998</v>
          </cell>
          <cell r="BL23">
            <v>7.9030716000000005</v>
          </cell>
          <cell r="BM23">
            <v>8.9673904000000011</v>
          </cell>
          <cell r="BN23">
            <v>9.023836300000001</v>
          </cell>
          <cell r="BO23">
            <v>9.1954554999999996</v>
          </cell>
          <cell r="BP23">
            <v>9.9573348999999993</v>
          </cell>
          <cell r="BQ23">
            <v>10.582319</v>
          </cell>
          <cell r="BR23">
            <v>11.401402000000001</v>
          </cell>
          <cell r="BS23">
            <v>11.162868000000001</v>
          </cell>
          <cell r="BT23">
            <v>11.737707</v>
          </cell>
          <cell r="BU23">
            <v>12.606679</v>
          </cell>
          <cell r="BV23">
            <v>12.739126000000001</v>
          </cell>
          <cell r="BW23">
            <v>12.710493000000001</v>
          </cell>
          <cell r="BX23">
            <v>13.446910000000001</v>
          </cell>
          <cell r="BY23">
            <v>13.871798000000002</v>
          </cell>
          <cell r="BZ23">
            <v>14.722207000000001</v>
          </cell>
          <cell r="CA23">
            <v>15.915773999999999</v>
          </cell>
          <cell r="CB23">
            <v>16.683047999999999</v>
          </cell>
          <cell r="CC23">
            <v>17.580134999999999</v>
          </cell>
          <cell r="CD23">
            <v>18.383590000000002</v>
          </cell>
          <cell r="CE23">
            <v>18.444296999999999</v>
          </cell>
          <cell r="CF23">
            <v>19.316179999999999</v>
          </cell>
        </row>
        <row r="24">
          <cell r="BA24">
            <v>0</v>
          </cell>
          <cell r="BB24">
            <v>0</v>
          </cell>
          <cell r="BC24">
            <v>0</v>
          </cell>
          <cell r="BD24">
            <v>0</v>
          </cell>
          <cell r="BE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0</v>
          </cell>
          <cell r="BT24">
            <v>0</v>
          </cell>
          <cell r="BU24">
            <v>0</v>
          </cell>
          <cell r="BV24">
            <v>0</v>
          </cell>
          <cell r="BW24">
            <v>0</v>
          </cell>
          <cell r="BX24">
            <v>0</v>
          </cell>
          <cell r="BY24">
            <v>0</v>
          </cell>
          <cell r="BZ24">
            <v>0</v>
          </cell>
          <cell r="CA24">
            <v>0</v>
          </cell>
          <cell r="CB24">
            <v>0</v>
          </cell>
          <cell r="CC24">
            <v>0</v>
          </cell>
          <cell r="CD24">
            <v>0</v>
          </cell>
          <cell r="CE24">
            <v>0</v>
          </cell>
          <cell r="CF24">
            <v>0</v>
          </cell>
        </row>
        <row r="25">
          <cell r="BA25">
            <v>0.89953848000000003</v>
          </cell>
          <cell r="BB25">
            <v>0.89676297000000005</v>
          </cell>
          <cell r="BC25">
            <v>0.87520898000000003</v>
          </cell>
          <cell r="BD25">
            <v>0.85189877999999997</v>
          </cell>
          <cell r="BE25">
            <v>0.93313294000000002</v>
          </cell>
          <cell r="BF25">
            <v>1.0318605999999999</v>
          </cell>
          <cell r="BG25">
            <v>1.0035197</v>
          </cell>
          <cell r="BH25">
            <v>1.0145538000000001</v>
          </cell>
          <cell r="BI25">
            <v>1.0593128999999999</v>
          </cell>
          <cell r="BJ25">
            <v>1.2189789000000002</v>
          </cell>
          <cell r="BK25">
            <v>1.1523599999999998</v>
          </cell>
          <cell r="BL25">
            <v>1.1672201</v>
          </cell>
          <cell r="BM25">
            <v>1.1945399000000001</v>
          </cell>
          <cell r="BN25">
            <v>1.2824975000000001</v>
          </cell>
          <cell r="BO25">
            <v>1.3069947</v>
          </cell>
          <cell r="BP25">
            <v>1.3529120000000001</v>
          </cell>
          <cell r="BQ25">
            <v>1.3293538</v>
          </cell>
          <cell r="BR25">
            <v>1.5113779999999999</v>
          </cell>
          <cell r="BS25">
            <v>1.5418677000000001</v>
          </cell>
          <cell r="BT25">
            <v>1.5209146</v>
          </cell>
          <cell r="BU25">
            <v>1.6598913</v>
          </cell>
          <cell r="BV25">
            <v>1.6802820999999999</v>
          </cell>
          <cell r="BW25">
            <v>1.7658544</v>
          </cell>
          <cell r="BX25">
            <v>1.9061078</v>
          </cell>
          <cell r="BY25">
            <v>2.0604481999999997</v>
          </cell>
          <cell r="BZ25">
            <v>2.3255169000000002</v>
          </cell>
          <cell r="CA25">
            <v>2.3932096999999999</v>
          </cell>
          <cell r="CB25">
            <v>2.5827602999999999</v>
          </cell>
          <cell r="CC25">
            <v>2.8309242000000001</v>
          </cell>
          <cell r="CD25">
            <v>2.5969747999999999</v>
          </cell>
          <cell r="CE25">
            <v>2.1358737000000003</v>
          </cell>
          <cell r="CF25">
            <v>2.4534623</v>
          </cell>
        </row>
        <row r="26">
          <cell r="BA26">
            <v>17.317572999999999</v>
          </cell>
          <cell r="BB26">
            <v>18.364681000000001</v>
          </cell>
          <cell r="BC26">
            <v>19.857392000000001</v>
          </cell>
          <cell r="BD26">
            <v>21.108198000000002</v>
          </cell>
          <cell r="BE26">
            <v>23.153116000000001</v>
          </cell>
          <cell r="BF26">
            <v>30.283521</v>
          </cell>
          <cell r="BG26">
            <v>37.714544000000004</v>
          </cell>
          <cell r="BH26">
            <v>46.264069000000006</v>
          </cell>
          <cell r="BI26">
            <v>53.301205000000003</v>
          </cell>
          <cell r="BJ26">
            <v>50.142389999999999</v>
          </cell>
          <cell r="BK26">
            <v>47.813594999999999</v>
          </cell>
          <cell r="BL26">
            <v>39.217281000000007</v>
          </cell>
          <cell r="BM26">
            <v>34.985508000000003</v>
          </cell>
          <cell r="BN26">
            <v>42.037782</v>
          </cell>
          <cell r="BO26">
            <v>49.146673999999997</v>
          </cell>
          <cell r="BP26">
            <v>46.076602000000001</v>
          </cell>
          <cell r="BQ26">
            <v>43.732129</v>
          </cell>
          <cell r="BR26">
            <v>45.783440000000006</v>
          </cell>
          <cell r="BS26">
            <v>50.556296000000003</v>
          </cell>
          <cell r="BT26">
            <v>52.197980000000001</v>
          </cell>
          <cell r="BU26">
            <v>60.045183999999999</v>
          </cell>
          <cell r="BV26">
            <v>61.644727000000003</v>
          </cell>
          <cell r="BW26">
            <v>66.497090999999998</v>
          </cell>
          <cell r="BX26">
            <v>68.188667000000009</v>
          </cell>
          <cell r="BY26">
            <v>71.32715300000001</v>
          </cell>
          <cell r="BZ26">
            <v>73.061078999999992</v>
          </cell>
          <cell r="CA26">
            <v>76.387327000000013</v>
          </cell>
          <cell r="CB26">
            <v>81.509022000000002</v>
          </cell>
          <cell r="CC26">
            <v>82.033462</v>
          </cell>
          <cell r="CD26">
            <v>85.689039999999991</v>
          </cell>
          <cell r="CE26">
            <v>85.689551999999992</v>
          </cell>
          <cell r="CF26">
            <v>92.235589000000004</v>
          </cell>
        </row>
        <row r="27">
          <cell r="BA27">
            <v>35.765957</v>
          </cell>
          <cell r="BB27">
            <v>32.625340000000001</v>
          </cell>
          <cell r="BC27">
            <v>11.883087</v>
          </cell>
          <cell r="BD27">
            <v>4.7516151000000004</v>
          </cell>
          <cell r="BE27">
            <v>5.0901499999999995</v>
          </cell>
          <cell r="BF27">
            <v>5.0851345000000006</v>
          </cell>
          <cell r="BG27">
            <v>8.1105087999999999</v>
          </cell>
          <cell r="BH27">
            <v>11.000275999999999</v>
          </cell>
          <cell r="BI27">
            <v>15.414593999999999</v>
          </cell>
          <cell r="BJ27">
            <v>16.380685</v>
          </cell>
          <cell r="BK27">
            <v>17.333919999999999</v>
          </cell>
          <cell r="BL27">
            <v>17.901799999999998</v>
          </cell>
          <cell r="BM27">
            <v>18.289835</v>
          </cell>
          <cell r="BN27">
            <v>18.366192999999999</v>
          </cell>
          <cell r="BO27">
            <v>20.068037</v>
          </cell>
          <cell r="BP27">
            <v>18.847833999999999</v>
          </cell>
          <cell r="BQ27">
            <v>21.097232999999999</v>
          </cell>
          <cell r="BR27">
            <v>21.627102000000001</v>
          </cell>
          <cell r="BS27">
            <v>22.431274000000002</v>
          </cell>
          <cell r="BT27">
            <v>25.805751000000001</v>
          </cell>
          <cell r="BU27">
            <v>27.8703</v>
          </cell>
          <cell r="BV27">
            <v>30.170012</v>
          </cell>
          <cell r="BW27">
            <v>23.813038000000002</v>
          </cell>
          <cell r="BX27">
            <v>26.087950000000003</v>
          </cell>
          <cell r="BY27">
            <v>27.680517999999999</v>
          </cell>
          <cell r="BZ27">
            <v>26.646557000000001</v>
          </cell>
          <cell r="CA27">
            <v>29.826614000000003</v>
          </cell>
          <cell r="CB27">
            <v>30.247168000000002</v>
          </cell>
          <cell r="CC27">
            <v>30.276385999999999</v>
          </cell>
          <cell r="CD27">
            <v>30.431430000000002</v>
          </cell>
          <cell r="CE27">
            <v>30.016942</v>
          </cell>
          <cell r="CF27">
            <v>29.901961</v>
          </cell>
        </row>
        <row r="28">
          <cell r="BA28">
            <v>13.271233000000001</v>
          </cell>
          <cell r="BB28">
            <v>12.660764</v>
          </cell>
          <cell r="BC28">
            <v>12.508298000000002</v>
          </cell>
          <cell r="BD28">
            <v>12.609252000000001</v>
          </cell>
          <cell r="BE28">
            <v>12.874159000000001</v>
          </cell>
          <cell r="BF28">
            <v>13.647045</v>
          </cell>
          <cell r="BG28">
            <v>14.825469999999999</v>
          </cell>
          <cell r="BH28">
            <v>14.223403000000001</v>
          </cell>
          <cell r="BI28">
            <v>13.774125</v>
          </cell>
          <cell r="BJ28">
            <v>13.352568</v>
          </cell>
          <cell r="BK28">
            <v>13.57883</v>
          </cell>
          <cell r="BL28">
            <v>15.766644000000001</v>
          </cell>
          <cell r="BM28">
            <v>16.198225000000001</v>
          </cell>
          <cell r="BN28">
            <v>9.0314824000000016</v>
          </cell>
          <cell r="BO28">
            <v>9.6902337000000003</v>
          </cell>
          <cell r="BP28">
            <v>11.064647000000001</v>
          </cell>
          <cell r="BQ28">
            <v>13.152013000000002</v>
          </cell>
          <cell r="BR28">
            <v>11.275442</v>
          </cell>
          <cell r="BS28">
            <v>20.286289</v>
          </cell>
          <cell r="BT28">
            <v>10.735471</v>
          </cell>
          <cell r="BU28">
            <v>22.818972000000002</v>
          </cell>
          <cell r="BV28">
            <v>26.645084000000001</v>
          </cell>
          <cell r="BW28">
            <v>15.702198000000001</v>
          </cell>
          <cell r="BX28">
            <v>15.323905000000002</v>
          </cell>
          <cell r="BY28">
            <v>13.801018000000001</v>
          </cell>
          <cell r="BZ28">
            <v>13.223210999999999</v>
          </cell>
          <cell r="CA28">
            <v>13.497425999999999</v>
          </cell>
          <cell r="CB28">
            <v>17.393884</v>
          </cell>
          <cell r="CC28">
            <v>15.633831000000001</v>
          </cell>
          <cell r="CD28">
            <v>13.327892</v>
          </cell>
          <cell r="CE28">
            <v>15.293994000000001</v>
          </cell>
          <cell r="CF28">
            <v>16.086017000000002</v>
          </cell>
        </row>
        <row r="30">
          <cell r="BA30">
            <v>10.800414000000002</v>
          </cell>
          <cell r="BB30">
            <v>8.7479959999999988</v>
          </cell>
          <cell r="BC30">
            <v>8.5684829000000011</v>
          </cell>
          <cell r="BD30">
            <v>9.0678257000000002</v>
          </cell>
          <cell r="BE30">
            <v>8.7654230000000002</v>
          </cell>
          <cell r="BF30">
            <v>8.7843166999999998</v>
          </cell>
          <cell r="BG30">
            <v>8.9633263000000003</v>
          </cell>
          <cell r="BH30">
            <v>9.2123705999999999</v>
          </cell>
          <cell r="BI30">
            <v>9.4619325000000014</v>
          </cell>
          <cell r="BJ30">
            <v>8.5277288999999996</v>
          </cell>
          <cell r="BK30">
            <v>9.5327917000000006</v>
          </cell>
          <cell r="BL30">
            <v>9.9719148000000004</v>
          </cell>
          <cell r="BM30">
            <v>9.1259681999999991</v>
          </cell>
          <cell r="BN30">
            <v>9.6341563000000008</v>
          </cell>
          <cell r="BO30">
            <v>9.8310332000000002</v>
          </cell>
          <cell r="BP30">
            <v>9.8175372999999997</v>
          </cell>
          <cell r="BQ30">
            <v>10.685775</v>
          </cell>
          <cell r="BR30">
            <v>14.192021</v>
          </cell>
          <cell r="BS30">
            <v>16.335457000000002</v>
          </cell>
          <cell r="BT30">
            <v>13.717176</v>
          </cell>
          <cell r="BU30">
            <v>13.701998</v>
          </cell>
          <cell r="BV30">
            <v>15.625852999999999</v>
          </cell>
          <cell r="BW30">
            <v>15.338843000000001</v>
          </cell>
          <cell r="BX30">
            <v>13.299319000000001</v>
          </cell>
          <cell r="BY30">
            <v>14.286494000000001</v>
          </cell>
          <cell r="BZ30">
            <v>12.253007999999999</v>
          </cell>
          <cell r="CA30">
            <v>12.834018</v>
          </cell>
          <cell r="CB30">
            <v>14.700829000000001</v>
          </cell>
          <cell r="CC30">
            <v>15.078301</v>
          </cell>
          <cell r="CD30">
            <v>15.644644000000001</v>
          </cell>
          <cell r="CE30">
            <v>13.020854999999999</v>
          </cell>
          <cell r="CF30">
            <v>14.418844999999999</v>
          </cell>
        </row>
        <row r="31">
          <cell r="BA31">
            <v>98.293520000000001</v>
          </cell>
          <cell r="BB31">
            <v>80.137884999999997</v>
          </cell>
          <cell r="BC31">
            <v>74.540688000000003</v>
          </cell>
          <cell r="BD31">
            <v>73.954102000000006</v>
          </cell>
          <cell r="BE31">
            <v>70.099308999999991</v>
          </cell>
          <cell r="BF31">
            <v>71.63386100000001</v>
          </cell>
          <cell r="BG31">
            <v>72.066398000000007</v>
          </cell>
          <cell r="BH31">
            <v>68.864834000000002</v>
          </cell>
          <cell r="BI31">
            <v>64.795276999999999</v>
          </cell>
          <cell r="BJ31">
            <v>57.776972000000001</v>
          </cell>
          <cell r="BK31">
            <v>56.907682999999999</v>
          </cell>
          <cell r="BL31">
            <v>59.874602000000003</v>
          </cell>
          <cell r="BM31">
            <v>57.283079000000001</v>
          </cell>
          <cell r="BN31">
            <v>62.126360999999996</v>
          </cell>
          <cell r="BO31">
            <v>61.349758999999999</v>
          </cell>
          <cell r="BP31">
            <v>61.980021000000001</v>
          </cell>
          <cell r="BQ31">
            <v>62.672661999999995</v>
          </cell>
          <cell r="BR31">
            <v>66.592812000000009</v>
          </cell>
          <cell r="BS31">
            <v>65.261580000000009</v>
          </cell>
          <cell r="BT31">
            <v>56.374889000000003</v>
          </cell>
          <cell r="BU31">
            <v>59.038564000000001</v>
          </cell>
          <cell r="BV31">
            <v>64.317198000000005</v>
          </cell>
          <cell r="BW31">
            <v>59.310214000000002</v>
          </cell>
          <cell r="BX31">
            <v>54.164106000000004</v>
          </cell>
          <cell r="BY31">
            <v>57.311302000000005</v>
          </cell>
          <cell r="BZ31">
            <v>60.186866999999999</v>
          </cell>
          <cell r="CA31">
            <v>57.597338000000008</v>
          </cell>
          <cell r="CB31">
            <v>59.551591000000002</v>
          </cell>
          <cell r="CC31">
            <v>55.223921000000004</v>
          </cell>
          <cell r="CD31">
            <v>53.840436000000004</v>
          </cell>
          <cell r="CE31">
            <v>47.880947999999997</v>
          </cell>
          <cell r="CF31">
            <v>53.801175999999998</v>
          </cell>
        </row>
        <row r="32">
          <cell r="BA32">
            <v>6.6098707999999995</v>
          </cell>
          <cell r="BB32">
            <v>6.9156123000000003</v>
          </cell>
          <cell r="BC32">
            <v>7.0812380999999993</v>
          </cell>
          <cell r="BD32">
            <v>7.2294961000000004</v>
          </cell>
          <cell r="BE32">
            <v>7.4395087999999996</v>
          </cell>
          <cell r="BF32">
            <v>8.0713211999999999</v>
          </cell>
          <cell r="BG32">
            <v>8.8748778999999995</v>
          </cell>
          <cell r="BH32">
            <v>9.7203240000000015</v>
          </cell>
          <cell r="BI32">
            <v>10.431623999999999</v>
          </cell>
          <cell r="BJ32">
            <v>10.722908</v>
          </cell>
          <cell r="BK32">
            <v>11.681435</v>
          </cell>
          <cell r="BL32">
            <v>12.302745000000002</v>
          </cell>
          <cell r="BM32">
            <v>12.989092000000001</v>
          </cell>
          <cell r="BN32">
            <v>16.116122000000001</v>
          </cell>
          <cell r="BO32">
            <v>17.000790000000002</v>
          </cell>
          <cell r="BP32">
            <v>18.036147</v>
          </cell>
          <cell r="BQ32">
            <v>18.793813</v>
          </cell>
          <cell r="BR32">
            <v>19.795766</v>
          </cell>
          <cell r="BS32">
            <v>20.580950000000001</v>
          </cell>
          <cell r="BT32">
            <v>21.034879</v>
          </cell>
          <cell r="BU32">
            <v>21.926503</v>
          </cell>
          <cell r="BV32">
            <v>22.531977999999999</v>
          </cell>
          <cell r="BW32">
            <v>23.606074</v>
          </cell>
          <cell r="BX32">
            <v>24.418126000000001</v>
          </cell>
          <cell r="BY32">
            <v>25.773901000000002</v>
          </cell>
          <cell r="BZ32">
            <v>26.011479000000001</v>
          </cell>
          <cell r="CA32">
            <v>27.717928000000001</v>
          </cell>
          <cell r="CB32">
            <v>28.56437</v>
          </cell>
          <cell r="CC32">
            <v>28.856325000000002</v>
          </cell>
          <cell r="CD32">
            <v>29.435634</v>
          </cell>
          <cell r="CE32">
            <v>30.129534</v>
          </cell>
          <cell r="CF32">
            <v>31.031960000000002</v>
          </cell>
        </row>
        <row r="33">
          <cell r="BA33">
            <v>2.5007744999999999</v>
          </cell>
          <cell r="BB33">
            <v>2.5445193000000002</v>
          </cell>
          <cell r="BC33">
            <v>2.5654110000000001</v>
          </cell>
          <cell r="BD33">
            <v>2.5647175999999998</v>
          </cell>
          <cell r="BE33">
            <v>2.492143</v>
          </cell>
          <cell r="BF33">
            <v>2.5902003000000002</v>
          </cell>
          <cell r="BG33">
            <v>2.6276077</v>
          </cell>
          <cell r="BH33">
            <v>2.6946913000000001</v>
          </cell>
          <cell r="BI33">
            <v>2.6457706999999999</v>
          </cell>
          <cell r="BJ33">
            <v>2.2818377000000001</v>
          </cell>
          <cell r="BK33">
            <v>2.4036008999999998</v>
          </cell>
          <cell r="BL33">
            <v>2.6486987000000002</v>
          </cell>
          <cell r="BM33">
            <v>2.6671239999999998</v>
          </cell>
          <cell r="BN33">
            <v>2.6778807000000002</v>
          </cell>
          <cell r="BO33">
            <v>2.7943728000000001</v>
          </cell>
          <cell r="BP33">
            <v>2.8233845999999998</v>
          </cell>
          <cell r="BQ33">
            <v>2.9538748999999997</v>
          </cell>
          <cell r="BR33">
            <v>3.0555814999999997</v>
          </cell>
          <cell r="BS33">
            <v>3.1776334999999998</v>
          </cell>
          <cell r="BT33">
            <v>3.3152964000000003</v>
          </cell>
          <cell r="BU33">
            <v>3.5701846000000002</v>
          </cell>
          <cell r="BV33">
            <v>3.6787269</v>
          </cell>
          <cell r="BW33">
            <v>3.3053233</v>
          </cell>
          <cell r="BX33">
            <v>3.7327584000000003</v>
          </cell>
          <cell r="BY33">
            <v>3.7426206000000004</v>
          </cell>
          <cell r="BZ33">
            <v>3.7653966000000003</v>
          </cell>
          <cell r="CA33">
            <v>4.1323704000000001</v>
          </cell>
          <cell r="CB33">
            <v>4.4445513000000005</v>
          </cell>
          <cell r="CC33">
            <v>4.5592107999999998</v>
          </cell>
          <cell r="CD33">
            <v>4.4401766</v>
          </cell>
          <cell r="CE33">
            <v>4.3228843000000001</v>
          </cell>
          <cell r="CF33">
            <v>4.4543046999999998</v>
          </cell>
        </row>
        <row r="34">
          <cell r="BA34">
            <v>18.640430000000002</v>
          </cell>
          <cell r="BB34">
            <v>18.399153999999999</v>
          </cell>
          <cell r="BC34">
            <v>19.002697000000001</v>
          </cell>
          <cell r="BD34">
            <v>19.883672000000001</v>
          </cell>
          <cell r="BE34">
            <v>18.736747999999999</v>
          </cell>
          <cell r="BF34">
            <v>21.592366000000002</v>
          </cell>
          <cell r="BG34">
            <v>21.942399000000002</v>
          </cell>
          <cell r="BH34">
            <v>22.171898000000002</v>
          </cell>
          <cell r="BI34">
            <v>22.423511999999999</v>
          </cell>
          <cell r="BJ34">
            <v>23.740331999999999</v>
          </cell>
          <cell r="BK34">
            <v>22.484905999999999</v>
          </cell>
          <cell r="BL34">
            <v>22.598330000000001</v>
          </cell>
          <cell r="BM34">
            <v>22.935637</v>
          </cell>
          <cell r="BN34">
            <v>24.385311000000002</v>
          </cell>
          <cell r="BO34">
            <v>24.166672999999999</v>
          </cell>
          <cell r="BP34">
            <v>25.584984000000002</v>
          </cell>
          <cell r="BQ34">
            <v>27.067911000000002</v>
          </cell>
          <cell r="BR34">
            <v>28.010952000000003</v>
          </cell>
          <cell r="BS34">
            <v>28.999783000000001</v>
          </cell>
          <cell r="BT34">
            <v>30.182583000000001</v>
          </cell>
          <cell r="BU34">
            <v>30.760366000000001</v>
          </cell>
          <cell r="BV34">
            <v>32.385775000000002</v>
          </cell>
          <cell r="BW34">
            <v>32.099978</v>
          </cell>
          <cell r="BX34">
            <v>31.849568999999999</v>
          </cell>
          <cell r="BY34">
            <v>32.438504000000002</v>
          </cell>
          <cell r="BZ34">
            <v>34.321000999999995</v>
          </cell>
          <cell r="CA34">
            <v>36.464525999999999</v>
          </cell>
          <cell r="CB34">
            <v>38.616709</v>
          </cell>
          <cell r="CC34">
            <v>39.548181</v>
          </cell>
          <cell r="CD34">
            <v>41.111705999999998</v>
          </cell>
          <cell r="CE34">
            <v>41.186940999999997</v>
          </cell>
          <cell r="CF34">
            <v>42.121282000000001</v>
          </cell>
        </row>
        <row r="35">
          <cell r="BA35">
            <v>28.306277999999999</v>
          </cell>
          <cell r="BB35">
            <v>27.381947</v>
          </cell>
          <cell r="BC35">
            <v>29.192640000000001</v>
          </cell>
          <cell r="BD35">
            <v>28.888736000000002</v>
          </cell>
          <cell r="BE35">
            <v>28.069522000000003</v>
          </cell>
          <cell r="BF35">
            <v>29.095503000000001</v>
          </cell>
          <cell r="BG35">
            <v>31.034628000000001</v>
          </cell>
          <cell r="BH35">
            <v>30.604416000000001</v>
          </cell>
          <cell r="BI35">
            <v>31.715941000000001</v>
          </cell>
          <cell r="BJ35">
            <v>31.946256000000002</v>
          </cell>
          <cell r="BK35">
            <v>34.085056999999999</v>
          </cell>
          <cell r="BL35">
            <v>33.192076999999998</v>
          </cell>
          <cell r="BM35">
            <v>32.436169999999997</v>
          </cell>
          <cell r="BN35">
            <v>34.322685</v>
          </cell>
          <cell r="BO35">
            <v>32.798946999999998</v>
          </cell>
          <cell r="BP35">
            <v>34.086353000000003</v>
          </cell>
          <cell r="BQ35">
            <v>32.616748000000001</v>
          </cell>
          <cell r="BR35">
            <v>34.237512000000002</v>
          </cell>
          <cell r="BS35">
            <v>34.002816000000003</v>
          </cell>
          <cell r="BT35">
            <v>35.095382000000001</v>
          </cell>
          <cell r="BU35">
            <v>34.911061000000004</v>
          </cell>
          <cell r="BV35">
            <v>34.133868999999997</v>
          </cell>
          <cell r="BW35">
            <v>34.181256999999995</v>
          </cell>
          <cell r="BX35">
            <v>34.610137999999999</v>
          </cell>
          <cell r="BY35">
            <v>37.638716000000002</v>
          </cell>
          <cell r="BZ35">
            <v>41.148036999999995</v>
          </cell>
          <cell r="CA35">
            <v>42.522031000000005</v>
          </cell>
          <cell r="CB35">
            <v>40.333032000000003</v>
          </cell>
          <cell r="CC35">
            <v>41.004819000000005</v>
          </cell>
          <cell r="CD35">
            <v>41.918108000000004</v>
          </cell>
          <cell r="CE35">
            <v>41.038858999999995</v>
          </cell>
          <cell r="CF35">
            <v>41.354486999999999</v>
          </cell>
        </row>
        <row r="37">
          <cell r="BA37">
            <v>0.30270964</v>
          </cell>
          <cell r="BB37">
            <v>0.31380376999999998</v>
          </cell>
          <cell r="BC37">
            <v>0.34467962000000002</v>
          </cell>
          <cell r="BD37">
            <v>0.35440418000000001</v>
          </cell>
          <cell r="BE37">
            <v>0.35138844000000002</v>
          </cell>
          <cell r="BF37">
            <v>0.37603755999999999</v>
          </cell>
          <cell r="BG37">
            <v>0.38098701000000001</v>
          </cell>
          <cell r="BH37">
            <v>0.37507403</v>
          </cell>
          <cell r="BI37">
            <v>0.38849385000000003</v>
          </cell>
          <cell r="BJ37">
            <v>0.41614719999999999</v>
          </cell>
          <cell r="BK37">
            <v>0.44604216000000002</v>
          </cell>
          <cell r="BL37">
            <v>0.45863643000000004</v>
          </cell>
          <cell r="BM37">
            <v>0.50623024999999999</v>
          </cell>
          <cell r="BN37">
            <v>0.54069469999999997</v>
          </cell>
          <cell r="BO37">
            <v>0.57544824000000006</v>
          </cell>
          <cell r="BP37">
            <v>0.70569593999999991</v>
          </cell>
          <cell r="BQ37">
            <v>0.71887104000000002</v>
          </cell>
          <cell r="BR37">
            <v>0.73200500999999996</v>
          </cell>
          <cell r="BS37">
            <v>0.67181539999999995</v>
          </cell>
          <cell r="BT37">
            <v>0.71785544000000001</v>
          </cell>
          <cell r="BU37">
            <v>0.74257479000000004</v>
          </cell>
          <cell r="BV37">
            <v>0.80101850000000008</v>
          </cell>
          <cell r="BW37">
            <v>0.69613188000000004</v>
          </cell>
          <cell r="BX37">
            <v>0.69372717000000006</v>
          </cell>
          <cell r="BY37">
            <v>0.68910950999999998</v>
          </cell>
          <cell r="BZ37">
            <v>0.69660582999999998</v>
          </cell>
          <cell r="CA37">
            <v>0.74618063000000001</v>
          </cell>
          <cell r="CB37">
            <v>0.76731608000000007</v>
          </cell>
          <cell r="CC37">
            <v>0.92969503999999992</v>
          </cell>
          <cell r="CD37">
            <v>0.95604421000000006</v>
          </cell>
          <cell r="CE37">
            <v>0.96355148999999995</v>
          </cell>
          <cell r="CF37">
            <v>1.0185031</v>
          </cell>
        </row>
        <row r="38">
          <cell r="BA38">
            <v>0</v>
          </cell>
          <cell r="BB38">
            <v>0</v>
          </cell>
          <cell r="BC38">
            <v>0</v>
          </cell>
          <cell r="BD38">
            <v>0</v>
          </cell>
          <cell r="BE38">
            <v>0</v>
          </cell>
          <cell r="BF38">
            <v>0</v>
          </cell>
          <cell r="BG38">
            <v>0</v>
          </cell>
          <cell r="BH38">
            <v>0</v>
          </cell>
          <cell r="BI38">
            <v>0</v>
          </cell>
          <cell r="BJ38">
            <v>0</v>
          </cell>
          <cell r="BK38">
            <v>0</v>
          </cell>
          <cell r="BL38">
            <v>0</v>
          </cell>
          <cell r="BM38">
            <v>0</v>
          </cell>
          <cell r="BN38">
            <v>0</v>
          </cell>
          <cell r="BO38">
            <v>0</v>
          </cell>
          <cell r="BP38">
            <v>0</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cell r="CE38">
            <v>0</v>
          </cell>
          <cell r="CF38">
            <v>0</v>
          </cell>
        </row>
        <row r="39">
          <cell r="BA39">
            <v>17.225882000000002</v>
          </cell>
          <cell r="BB39">
            <v>17.557573000000001</v>
          </cell>
          <cell r="BC39">
            <v>17.629746000000001</v>
          </cell>
          <cell r="BD39">
            <v>17.677612</v>
          </cell>
          <cell r="BE39">
            <v>17.781111000000003</v>
          </cell>
          <cell r="BF39">
            <v>17.925196</v>
          </cell>
          <cell r="BG39">
            <v>20.103961999999999</v>
          </cell>
          <cell r="BH39">
            <v>20.311911000000002</v>
          </cell>
          <cell r="BI39">
            <v>22.304419000000003</v>
          </cell>
          <cell r="BJ39">
            <v>19.912813</v>
          </cell>
          <cell r="BK39">
            <v>22.902754000000002</v>
          </cell>
          <cell r="BL39">
            <v>19.065925</v>
          </cell>
          <cell r="BM39">
            <v>16.847351</v>
          </cell>
          <cell r="BN39">
            <v>21.9818</v>
          </cell>
          <cell r="BO39">
            <v>19.398686000000001</v>
          </cell>
          <cell r="BP39">
            <v>20.4648</v>
          </cell>
          <cell r="BQ39">
            <v>20.621428000000002</v>
          </cell>
          <cell r="BR39">
            <v>21.201376</v>
          </cell>
          <cell r="BS39">
            <v>22.419349</v>
          </cell>
          <cell r="BT39">
            <v>17.897034999999999</v>
          </cell>
          <cell r="BU39">
            <v>20.062785000000002</v>
          </cell>
          <cell r="BV39">
            <v>21.373885999999999</v>
          </cell>
          <cell r="BW39">
            <v>18.517949000000002</v>
          </cell>
          <cell r="BX39">
            <v>19.721516000000001</v>
          </cell>
          <cell r="BY39">
            <v>19.269231000000001</v>
          </cell>
          <cell r="BZ39">
            <v>19.606823000000002</v>
          </cell>
          <cell r="CA39">
            <v>21.330345000000001</v>
          </cell>
          <cell r="CB39">
            <v>19.636455000000002</v>
          </cell>
          <cell r="CC39">
            <v>20.220023000000001</v>
          </cell>
          <cell r="CD39">
            <v>18.611986000000002</v>
          </cell>
          <cell r="CE39">
            <v>19.756205999999999</v>
          </cell>
          <cell r="CF39">
            <v>19.623451000000003</v>
          </cell>
        </row>
        <row r="40">
          <cell r="BA40">
            <v>18.602043000000002</v>
          </cell>
          <cell r="BB40">
            <v>27.218997000000002</v>
          </cell>
          <cell r="BC40">
            <v>28.380003000000002</v>
          </cell>
          <cell r="BD40">
            <v>29.463558000000003</v>
          </cell>
          <cell r="BE40">
            <v>28.795385</v>
          </cell>
          <cell r="BF40">
            <v>28.091169999999998</v>
          </cell>
          <cell r="BG40">
            <v>29.390506000000002</v>
          </cell>
          <cell r="BH40">
            <v>28.297739000000004</v>
          </cell>
          <cell r="BI40">
            <v>27.445413000000002</v>
          </cell>
          <cell r="BJ40">
            <v>25.571877000000001</v>
          </cell>
          <cell r="BK40">
            <v>24.603559000000001</v>
          </cell>
          <cell r="BL40">
            <v>26.149639000000001</v>
          </cell>
          <cell r="BM40">
            <v>24.505278999999998</v>
          </cell>
          <cell r="BN40">
            <v>24.478406</v>
          </cell>
          <cell r="BO40">
            <v>25.8673</v>
          </cell>
          <cell r="BP40">
            <v>26.694937000000003</v>
          </cell>
          <cell r="BQ40">
            <v>26.598324000000002</v>
          </cell>
          <cell r="BR40">
            <v>27.328880000000002</v>
          </cell>
          <cell r="BS40">
            <v>27.359945</v>
          </cell>
          <cell r="BT40">
            <v>27.321733999999999</v>
          </cell>
          <cell r="BU40">
            <v>28.413883999999999</v>
          </cell>
          <cell r="BV40">
            <v>29.837666000000002</v>
          </cell>
          <cell r="BW40">
            <v>31.069305</v>
          </cell>
          <cell r="BX40">
            <v>32.207979999999999</v>
          </cell>
          <cell r="BY40">
            <v>33.859648</v>
          </cell>
          <cell r="BZ40">
            <v>36.542622999999999</v>
          </cell>
          <cell r="CA40">
            <v>39.202622000000005</v>
          </cell>
          <cell r="CB40">
            <v>40.326416999999999</v>
          </cell>
          <cell r="CC40">
            <v>42.787365000000001</v>
          </cell>
          <cell r="CD40">
            <v>44.241220000000006</v>
          </cell>
          <cell r="CE40">
            <v>46.861780000000003</v>
          </cell>
          <cell r="CF40">
            <v>49.497008999999998</v>
          </cell>
        </row>
        <row r="44">
          <cell r="BA44">
            <v>0.38141182000000001</v>
          </cell>
          <cell r="BB44">
            <v>0.38892174000000002</v>
          </cell>
          <cell r="BC44">
            <v>0.39781880999999997</v>
          </cell>
          <cell r="BD44">
            <v>0.41018480000000002</v>
          </cell>
          <cell r="BE44">
            <v>0.41513239000000002</v>
          </cell>
          <cell r="BF44">
            <v>0.42756041</v>
          </cell>
          <cell r="BG44">
            <v>0.43887996000000001</v>
          </cell>
          <cell r="BH44">
            <v>0.45001927000000003</v>
          </cell>
          <cell r="BI44">
            <v>0.46998546000000002</v>
          </cell>
          <cell r="BJ44">
            <v>0.48582337000000003</v>
          </cell>
          <cell r="BK44">
            <v>0.48092780000000002</v>
          </cell>
          <cell r="BL44">
            <v>0.49952572000000001</v>
          </cell>
          <cell r="BM44">
            <v>0.50999795000000003</v>
          </cell>
          <cell r="BN44">
            <v>0.53498012000000006</v>
          </cell>
          <cell r="BO44">
            <v>0.55432298000000002</v>
          </cell>
          <cell r="BP44">
            <v>0.56315309999999996</v>
          </cell>
          <cell r="BQ44">
            <v>0.60546907000000005</v>
          </cell>
          <cell r="BR44">
            <v>0.53226156999999996</v>
          </cell>
          <cell r="BS44">
            <v>0.56579871000000004</v>
          </cell>
          <cell r="BT44">
            <v>0.60058754999999997</v>
          </cell>
          <cell r="BU44">
            <v>0.64861756999999998</v>
          </cell>
          <cell r="BV44">
            <v>0.64607960000000009</v>
          </cell>
          <cell r="BW44">
            <v>0.66949342000000001</v>
          </cell>
          <cell r="BX44">
            <v>0.71262513000000005</v>
          </cell>
          <cell r="BY44">
            <v>0.70494257000000005</v>
          </cell>
          <cell r="BZ44">
            <v>0.73043993000000007</v>
          </cell>
          <cell r="CA44">
            <v>0.76998853</v>
          </cell>
          <cell r="CB44">
            <v>0.81843119000000009</v>
          </cell>
          <cell r="CC44">
            <v>0.84672232000000003</v>
          </cell>
          <cell r="CD44">
            <v>0.87825721000000001</v>
          </cell>
          <cell r="CE44">
            <v>0.84835300000000002</v>
          </cell>
          <cell r="CF44">
            <v>0.8704991700000001</v>
          </cell>
        </row>
        <row r="46">
          <cell r="BA46">
            <v>12.399058999999999</v>
          </cell>
          <cell r="BB46">
            <v>12.370032</v>
          </cell>
          <cell r="BC46">
            <v>12.630466</v>
          </cell>
          <cell r="BD46">
            <v>12.578434</v>
          </cell>
          <cell r="BE46">
            <v>12.566584000000001</v>
          </cell>
          <cell r="BF46">
            <v>13.895528000000001</v>
          </cell>
          <cell r="BG46">
            <v>15.828809</v>
          </cell>
          <cell r="BH46">
            <v>17.432866000000001</v>
          </cell>
          <cell r="BI46">
            <v>18.688903</v>
          </cell>
          <cell r="BJ46">
            <v>19.032143000000001</v>
          </cell>
          <cell r="BK46">
            <v>20.106703000000003</v>
          </cell>
          <cell r="BL46">
            <v>19.434566</v>
          </cell>
          <cell r="BM46">
            <v>13.822645000000001</v>
          </cell>
          <cell r="BN46">
            <v>16.22878</v>
          </cell>
          <cell r="BO46">
            <v>17.362466000000001</v>
          </cell>
          <cell r="BP46">
            <v>20.856652</v>
          </cell>
          <cell r="BQ46">
            <v>22.645628000000002</v>
          </cell>
          <cell r="BR46">
            <v>19.599363</v>
          </cell>
          <cell r="BS46">
            <v>19.346485000000001</v>
          </cell>
          <cell r="BT46">
            <v>20.969198000000002</v>
          </cell>
          <cell r="BU46">
            <v>22.990614000000001</v>
          </cell>
          <cell r="BV46">
            <v>22.293116000000001</v>
          </cell>
          <cell r="BW46">
            <v>21.985044000000002</v>
          </cell>
          <cell r="BX46">
            <v>21.710637999999999</v>
          </cell>
          <cell r="BY46">
            <v>21.403846000000001</v>
          </cell>
          <cell r="BZ46">
            <v>21.434854999999999</v>
          </cell>
          <cell r="CA46">
            <v>21.519076000000002</v>
          </cell>
          <cell r="CB46">
            <v>22.913032999999999</v>
          </cell>
          <cell r="CC46">
            <v>25.880927</v>
          </cell>
          <cell r="CD46">
            <v>26.523913</v>
          </cell>
          <cell r="CE46">
            <v>27.124562999999998</v>
          </cell>
          <cell r="CF46">
            <v>24.739348000000003</v>
          </cell>
        </row>
        <row r="47">
          <cell r="BA47">
            <v>5.0958464999999994E-2</v>
          </cell>
          <cell r="BB47">
            <v>5.0473593999999997E-2</v>
          </cell>
          <cell r="BC47">
            <v>5.1532583999999999E-2</v>
          </cell>
          <cell r="BD47">
            <v>5.8651766000000001E-2</v>
          </cell>
          <cell r="BE47">
            <v>6.0383538E-2</v>
          </cell>
          <cell r="BF47">
            <v>6.1913656000000004E-2</v>
          </cell>
          <cell r="BG47">
            <v>7.2036962999999996E-2</v>
          </cell>
          <cell r="BH47">
            <v>7.3501852000000006E-2</v>
          </cell>
          <cell r="BI47">
            <v>7.4977307999999993E-2</v>
          </cell>
          <cell r="BJ47">
            <v>7.1147142999999996E-2</v>
          </cell>
          <cell r="BK47">
            <v>7.0327901999999998E-2</v>
          </cell>
          <cell r="BL47">
            <v>5.3480883E-2</v>
          </cell>
          <cell r="BM47">
            <v>4.1584446000000004E-2</v>
          </cell>
          <cell r="BN47">
            <v>4.8857586000000001E-2</v>
          </cell>
          <cell r="BO47">
            <v>6.8559546999999998E-2</v>
          </cell>
          <cell r="BP47">
            <v>7.6777428000000009E-2</v>
          </cell>
          <cell r="BQ47">
            <v>6.9511285000000006E-2</v>
          </cell>
          <cell r="BR47">
            <v>6.929846399999999E-2</v>
          </cell>
          <cell r="BS47">
            <v>6.9543882000000001E-2</v>
          </cell>
          <cell r="BT47">
            <v>6.5484365000000003E-2</v>
          </cell>
          <cell r="BU47">
            <v>7.3065780000000011E-2</v>
          </cell>
          <cell r="BV47">
            <v>8.0630491000000012E-2</v>
          </cell>
          <cell r="BW47">
            <v>8.4402991999999996E-2</v>
          </cell>
          <cell r="BX47">
            <v>8.3923212000000011E-2</v>
          </cell>
          <cell r="BY47">
            <v>8.7674681000000004E-2</v>
          </cell>
          <cell r="BZ47">
            <v>8.3604995000000001E-2</v>
          </cell>
          <cell r="CA47">
            <v>8.3412481999999996E-2</v>
          </cell>
          <cell r="CB47">
            <v>9.0158493000000006E-2</v>
          </cell>
          <cell r="CC47">
            <v>9.1202096999999996E-2</v>
          </cell>
          <cell r="CD47">
            <v>9.5608383000000005E-2</v>
          </cell>
          <cell r="CE47">
            <v>9.4246573E-2</v>
          </cell>
          <cell r="CF47">
            <v>9.5000671999999994E-2</v>
          </cell>
        </row>
        <row r="48">
          <cell r="BA48">
            <v>8.9362478999999997</v>
          </cell>
          <cell r="BB48">
            <v>9.318168</v>
          </cell>
          <cell r="BC48">
            <v>9.8849444000000002</v>
          </cell>
          <cell r="BD48">
            <v>10.014595</v>
          </cell>
          <cell r="BE48">
            <v>11.065834000000001</v>
          </cell>
          <cell r="BF48">
            <v>10.239523999999999</v>
          </cell>
          <cell r="BG48">
            <v>10.253896000000001</v>
          </cell>
          <cell r="BH48">
            <v>10.606296</v>
          </cell>
          <cell r="BI48">
            <v>10.944165000000002</v>
          </cell>
          <cell r="BJ48">
            <v>10.940854999999999</v>
          </cell>
          <cell r="BK48">
            <v>10.678471</v>
          </cell>
          <cell r="BL48">
            <v>10.869100000000001</v>
          </cell>
          <cell r="BM48">
            <v>11.396542999999999</v>
          </cell>
          <cell r="BN48">
            <v>11.940742</v>
          </cell>
          <cell r="BO48">
            <v>12.272808000000001</v>
          </cell>
          <cell r="BP48">
            <v>11.907002</v>
          </cell>
          <cell r="BQ48">
            <v>12.211806000000001</v>
          </cell>
          <cell r="BR48">
            <v>13.411712</v>
          </cell>
          <cell r="BS48">
            <v>13.801071</v>
          </cell>
          <cell r="BT48">
            <v>13.714366</v>
          </cell>
          <cell r="BU48">
            <v>13.652636000000001</v>
          </cell>
          <cell r="BV48">
            <v>14.046122</v>
          </cell>
          <cell r="BW48">
            <v>14.19176</v>
          </cell>
          <cell r="BX48">
            <v>14.641101000000001</v>
          </cell>
          <cell r="BY48">
            <v>14.750847</v>
          </cell>
          <cell r="BZ48">
            <v>14.456111999999999</v>
          </cell>
          <cell r="CA48">
            <v>15.093935999999999</v>
          </cell>
          <cell r="CB48">
            <v>15.365853</v>
          </cell>
          <cell r="CC48">
            <v>16.306761000000002</v>
          </cell>
          <cell r="CD48">
            <v>17.31128</v>
          </cell>
          <cell r="CE48">
            <v>15.603188000000001</v>
          </cell>
          <cell r="CF48">
            <v>16.963374999999999</v>
          </cell>
        </row>
        <row r="49">
          <cell r="BA49">
            <v>14.282941000000001</v>
          </cell>
          <cell r="BB49">
            <v>14.093924999999999</v>
          </cell>
          <cell r="BC49">
            <v>13.870939</v>
          </cell>
          <cell r="BD49">
            <v>15.225495</v>
          </cell>
          <cell r="BE49">
            <v>14.897279000000001</v>
          </cell>
          <cell r="BF49">
            <v>17.388662</v>
          </cell>
          <cell r="BG49">
            <v>19.010864000000002</v>
          </cell>
          <cell r="BH49">
            <v>19.243109</v>
          </cell>
          <cell r="BI49">
            <v>18.922619999999998</v>
          </cell>
          <cell r="BJ49">
            <v>18.471881000000003</v>
          </cell>
          <cell r="BK49">
            <v>19.478754000000002</v>
          </cell>
          <cell r="BL49">
            <v>21.174906</v>
          </cell>
          <cell r="BM49">
            <v>21.941687000000002</v>
          </cell>
          <cell r="BN49">
            <v>19.792064999999997</v>
          </cell>
          <cell r="BO49">
            <v>21.312804</v>
          </cell>
          <cell r="BP49">
            <v>23.458179000000001</v>
          </cell>
          <cell r="BQ49">
            <v>22.753736</v>
          </cell>
          <cell r="BR49">
            <v>22.842673999999999</v>
          </cell>
          <cell r="BS49">
            <v>22.573645000000003</v>
          </cell>
          <cell r="BT49">
            <v>21.162776999999998</v>
          </cell>
          <cell r="BU49">
            <v>22.132679</v>
          </cell>
          <cell r="BV49">
            <v>23.605356</v>
          </cell>
          <cell r="BW49">
            <v>26.196825</v>
          </cell>
          <cell r="BX49">
            <v>28.137326000000002</v>
          </cell>
          <cell r="BY49">
            <v>27.935786</v>
          </cell>
          <cell r="BZ49">
            <v>27.979004</v>
          </cell>
          <cell r="CA49">
            <v>32.409103000000002</v>
          </cell>
          <cell r="CB49">
            <v>31.615964999999999</v>
          </cell>
          <cell r="CC49">
            <v>32.004443000000002</v>
          </cell>
          <cell r="CD49">
            <v>32.859917000000003</v>
          </cell>
          <cell r="CE49">
            <v>33.420249000000005</v>
          </cell>
          <cell r="CF49">
            <v>33.917072999999995</v>
          </cell>
        </row>
        <row r="50">
          <cell r="BA50">
            <v>31.375259</v>
          </cell>
          <cell r="BB50">
            <v>24.700935000000001</v>
          </cell>
          <cell r="BC50">
            <v>22.787487000000002</v>
          </cell>
          <cell r="BD50">
            <v>22.750218</v>
          </cell>
          <cell r="BE50">
            <v>21.861464999999999</v>
          </cell>
          <cell r="BF50">
            <v>22.529278999999999</v>
          </cell>
          <cell r="BG50">
            <v>23.027231</v>
          </cell>
          <cell r="BH50">
            <v>24.414914</v>
          </cell>
          <cell r="BI50">
            <v>24.503709999999998</v>
          </cell>
          <cell r="BJ50">
            <v>25.810916000000002</v>
          </cell>
          <cell r="BK50">
            <v>25.528595000000003</v>
          </cell>
          <cell r="BL50">
            <v>26.702999000000002</v>
          </cell>
          <cell r="BM50">
            <v>27.759551999999999</v>
          </cell>
          <cell r="BN50">
            <v>29.192880000000002</v>
          </cell>
          <cell r="BO50">
            <v>29.225014999999999</v>
          </cell>
          <cell r="BP50">
            <v>29.712140000000002</v>
          </cell>
          <cell r="BQ50">
            <v>30.111107000000001</v>
          </cell>
          <cell r="BR50">
            <v>31.558650000000004</v>
          </cell>
          <cell r="BS50">
            <v>30.647031999999999</v>
          </cell>
          <cell r="BT50">
            <v>28.38409</v>
          </cell>
          <cell r="BU50">
            <v>28.003062999999997</v>
          </cell>
          <cell r="BV50">
            <v>27.717307000000002</v>
          </cell>
          <cell r="BW50">
            <v>25.946186000000001</v>
          </cell>
          <cell r="BX50">
            <v>24.675563999999998</v>
          </cell>
          <cell r="BY50">
            <v>23.948055</v>
          </cell>
          <cell r="BZ50">
            <v>24.411858000000002</v>
          </cell>
          <cell r="CA50">
            <v>24.613774000000003</v>
          </cell>
          <cell r="CB50">
            <v>25.512589000000002</v>
          </cell>
          <cell r="CC50">
            <v>24.426334000000001</v>
          </cell>
          <cell r="CD50">
            <v>24.639392000000001</v>
          </cell>
          <cell r="CE50">
            <v>23.763497999999998</v>
          </cell>
          <cell r="CF50">
            <v>24.322970000000002</v>
          </cell>
        </row>
        <row r="51">
          <cell r="BA51">
            <v>49.536723000000002</v>
          </cell>
          <cell r="BB51">
            <v>44.213408000000001</v>
          </cell>
          <cell r="BC51">
            <v>35.089267999999997</v>
          </cell>
          <cell r="BD51">
            <v>32.891927000000003</v>
          </cell>
          <cell r="BE51">
            <v>34.325285000000001</v>
          </cell>
          <cell r="BF51">
            <v>37.934635999999998</v>
          </cell>
          <cell r="BG51">
            <v>39.122081000000001</v>
          </cell>
          <cell r="BH51">
            <v>39.527252999999995</v>
          </cell>
          <cell r="BI51">
            <v>40.807497000000005</v>
          </cell>
          <cell r="BJ51">
            <v>40.182046999999997</v>
          </cell>
          <cell r="BK51">
            <v>39.525277000000003</v>
          </cell>
          <cell r="BL51">
            <v>38.391639000000005</v>
          </cell>
          <cell r="BM51">
            <v>38.203648000000001</v>
          </cell>
          <cell r="BN51">
            <v>38.08614</v>
          </cell>
          <cell r="BO51">
            <v>38.261275000000005</v>
          </cell>
          <cell r="BP51">
            <v>39.352238</v>
          </cell>
          <cell r="BQ51">
            <v>41.333040000000004</v>
          </cell>
          <cell r="BR51">
            <v>41.876849999999997</v>
          </cell>
          <cell r="BS51">
            <v>44.706358000000002</v>
          </cell>
          <cell r="BT51">
            <v>45.845019999999998</v>
          </cell>
          <cell r="BU51">
            <v>50.430754</v>
          </cell>
          <cell r="BV51">
            <v>47.521942000000003</v>
          </cell>
          <cell r="BW51">
            <v>49.467509</v>
          </cell>
          <cell r="BX51">
            <v>49.489085000000003</v>
          </cell>
          <cell r="BY51">
            <v>51.023716999999998</v>
          </cell>
          <cell r="BZ51">
            <v>53.273462000000002</v>
          </cell>
          <cell r="CA51">
            <v>52.514669000000005</v>
          </cell>
          <cell r="CB51">
            <v>48.814353000000004</v>
          </cell>
          <cell r="CC51">
            <v>49.535754000000004</v>
          </cell>
          <cell r="CD51">
            <v>50.114084000000005</v>
          </cell>
          <cell r="CE51">
            <v>45.070754999999998</v>
          </cell>
          <cell r="CF51">
            <v>51.069002999999995</v>
          </cell>
        </row>
        <row r="52">
          <cell r="BA52">
            <v>5.5387331999999994</v>
          </cell>
          <cell r="BB52">
            <v>6.0442150000000003</v>
          </cell>
          <cell r="BC52">
            <v>6.4843646000000001</v>
          </cell>
          <cell r="BD52">
            <v>6.7705641999999999</v>
          </cell>
          <cell r="BE52">
            <v>7.0278105999999996</v>
          </cell>
          <cell r="BF52">
            <v>6.9413262000000007</v>
          </cell>
          <cell r="BG52">
            <v>7.3130968999999997</v>
          </cell>
          <cell r="BH52">
            <v>7.4073563000000009</v>
          </cell>
          <cell r="BI52">
            <v>7.7272110000000005</v>
          </cell>
          <cell r="BJ52">
            <v>8.0056591000000008</v>
          </cell>
          <cell r="BK52">
            <v>8.2796857999999993</v>
          </cell>
          <cell r="BL52">
            <v>8.2192106000000003</v>
          </cell>
          <cell r="BM52">
            <v>8.4518789000000005</v>
          </cell>
          <cell r="BN52">
            <v>8.8488954</v>
          </cell>
          <cell r="BO52">
            <v>9.0494817000000012</v>
          </cell>
          <cell r="BP52">
            <v>9.1947883000000008</v>
          </cell>
          <cell r="BQ52">
            <v>9.4423870999999995</v>
          </cell>
          <cell r="BR52">
            <v>9.7767008999999998</v>
          </cell>
          <cell r="BS52">
            <v>9.9982229999999994</v>
          </cell>
          <cell r="BT52">
            <v>9.7595272000000008</v>
          </cell>
          <cell r="BU52">
            <v>9.4248184999999989</v>
          </cell>
          <cell r="BV52">
            <v>9.1262206999999993</v>
          </cell>
          <cell r="BW52">
            <v>8.5886607999999995</v>
          </cell>
          <cell r="BX52">
            <v>7.8790398999999995</v>
          </cell>
          <cell r="BY52">
            <v>8.2545887000000011</v>
          </cell>
          <cell r="BZ52">
            <v>8.3046088000000005</v>
          </cell>
          <cell r="CA52">
            <v>8.7519246000000006</v>
          </cell>
          <cell r="CB52">
            <v>8.9281816999999997</v>
          </cell>
          <cell r="CC52">
            <v>8.7832974000000004</v>
          </cell>
          <cell r="CD52">
            <v>8.8485315</v>
          </cell>
          <cell r="CE52">
            <v>8.4559856</v>
          </cell>
          <cell r="CF52">
            <v>8.6227312000000005</v>
          </cell>
        </row>
        <row r="53">
          <cell r="BA53">
            <v>196.84926000000002</v>
          </cell>
          <cell r="BB53">
            <v>178.93690000000001</v>
          </cell>
          <cell r="BC53">
            <v>173.23517999999999</v>
          </cell>
          <cell r="BD53">
            <v>166.50992000000002</v>
          </cell>
          <cell r="BE53">
            <v>157.74252999999999</v>
          </cell>
          <cell r="BF53">
            <v>156.78533999999999</v>
          </cell>
          <cell r="BG53">
            <v>160.11114000000001</v>
          </cell>
          <cell r="BH53">
            <v>155.68183999999999</v>
          </cell>
          <cell r="BI53">
            <v>149.61413000000002</v>
          </cell>
          <cell r="BJ53">
            <v>139.73131000000001</v>
          </cell>
          <cell r="BK53">
            <v>149.98532</v>
          </cell>
          <cell r="BL53">
            <v>149.71601999999999</v>
          </cell>
          <cell r="BM53">
            <v>145.91882000000001</v>
          </cell>
          <cell r="BN53">
            <v>149.07661999999999</v>
          </cell>
          <cell r="BO53">
            <v>150.07429000000002</v>
          </cell>
          <cell r="BP53">
            <v>147.91595000000001</v>
          </cell>
          <cell r="BQ53">
            <v>149.12882999999999</v>
          </cell>
          <cell r="BR53">
            <v>150.88115999999999</v>
          </cell>
          <cell r="BS53">
            <v>145.84082000000001</v>
          </cell>
          <cell r="BT53">
            <v>136.34476000000001</v>
          </cell>
          <cell r="BU53">
            <v>139.20327</v>
          </cell>
          <cell r="BV53">
            <v>137.69307000000001</v>
          </cell>
          <cell r="BW53">
            <v>133.73779000000002</v>
          </cell>
          <cell r="BX53">
            <v>128.43621999999999</v>
          </cell>
          <cell r="BY53">
            <v>126.29634</v>
          </cell>
          <cell r="BZ53">
            <v>127.78001</v>
          </cell>
          <cell r="CA53">
            <v>129.46466000000001</v>
          </cell>
          <cell r="CB53">
            <v>130.32787999999999</v>
          </cell>
          <cell r="CC53">
            <v>128.53944000000001</v>
          </cell>
          <cell r="CD53">
            <v>122.84744000000001</v>
          </cell>
          <cell r="CE53">
            <v>112.50803000000001</v>
          </cell>
          <cell r="CF53">
            <v>117.83361000000001</v>
          </cell>
        </row>
        <row r="54">
          <cell r="BA54">
            <v>71.814983999999995</v>
          </cell>
          <cell r="BB54">
            <v>82.372558000000012</v>
          </cell>
          <cell r="BC54">
            <v>76.415208000000007</v>
          </cell>
          <cell r="BD54">
            <v>78.516066999999993</v>
          </cell>
          <cell r="BE54">
            <v>82.457379000000003</v>
          </cell>
          <cell r="BF54">
            <v>79.601604000000009</v>
          </cell>
          <cell r="BG54">
            <v>92.731705000000005</v>
          </cell>
          <cell r="BH54">
            <v>83.225981000000004</v>
          </cell>
          <cell r="BI54">
            <v>79.270004</v>
          </cell>
          <cell r="BJ54">
            <v>76.645105999999998</v>
          </cell>
          <cell r="BK54">
            <v>72.48487200000001</v>
          </cell>
          <cell r="BL54">
            <v>74.173687999999999</v>
          </cell>
          <cell r="BM54">
            <v>73.642589000000015</v>
          </cell>
          <cell r="BN54">
            <v>78.759644000000009</v>
          </cell>
          <cell r="BO54">
            <v>72.801217000000008</v>
          </cell>
          <cell r="BP54">
            <v>68.455269000000001</v>
          </cell>
          <cell r="BQ54">
            <v>76.211156000000003</v>
          </cell>
          <cell r="BR54">
            <v>71.614559999999997</v>
          </cell>
          <cell r="BS54">
            <v>68.047531000000006</v>
          </cell>
          <cell r="BT54">
            <v>65.297297</v>
          </cell>
          <cell r="BU54">
            <v>65.575569000000002</v>
          </cell>
          <cell r="BV54">
            <v>60.390122000000005</v>
          </cell>
          <cell r="BW54">
            <v>55.795989000000006</v>
          </cell>
          <cell r="BX54">
            <v>57.523809999999997</v>
          </cell>
          <cell r="BY54">
            <v>53.367476000000003</v>
          </cell>
          <cell r="BZ54">
            <v>50.594069000000005</v>
          </cell>
          <cell r="CA54">
            <v>52.677298999999998</v>
          </cell>
          <cell r="CB54">
            <v>50.549775000000004</v>
          </cell>
          <cell r="CC54">
            <v>50.469417999999997</v>
          </cell>
          <cell r="CD54">
            <v>46.720967999999999</v>
          </cell>
          <cell r="CE54">
            <v>44.257429999999999</v>
          </cell>
          <cell r="CF54">
            <v>45.253050999999999</v>
          </cell>
        </row>
        <row r="55">
          <cell r="BA55">
            <v>0.80400834999999993</v>
          </cell>
          <cell r="BB55">
            <v>0.82935555000000005</v>
          </cell>
          <cell r="BC55">
            <v>0.82987602000000005</v>
          </cell>
          <cell r="BD55">
            <v>0.84350214000000012</v>
          </cell>
          <cell r="BE55">
            <v>0.85270330000000005</v>
          </cell>
          <cell r="BF55">
            <v>0.89395820999999998</v>
          </cell>
          <cell r="BG55">
            <v>0.92394940999999997</v>
          </cell>
          <cell r="BH55">
            <v>0.94936120000000013</v>
          </cell>
          <cell r="BI55">
            <v>0.95972331</v>
          </cell>
          <cell r="BJ55">
            <v>0.99128532000000003</v>
          </cell>
          <cell r="BK55">
            <v>1.0088766</v>
          </cell>
          <cell r="BL55">
            <v>1.0250355</v>
          </cell>
          <cell r="BM55">
            <v>1.0726619000000002</v>
          </cell>
          <cell r="BN55">
            <v>1.1113377</v>
          </cell>
          <cell r="BO55">
            <v>1.1176754000000002</v>
          </cell>
          <cell r="BP55">
            <v>1.1426546000000002</v>
          </cell>
          <cell r="BQ55">
            <v>1.1471431000000001</v>
          </cell>
          <cell r="BR55">
            <v>1.2192445000000001</v>
          </cell>
          <cell r="BS55">
            <v>1.2771178999999999</v>
          </cell>
          <cell r="BT55">
            <v>1.2394658999999999</v>
          </cell>
          <cell r="BU55">
            <v>1.3177062000000002</v>
          </cell>
          <cell r="BV55">
            <v>1.2696711000000001</v>
          </cell>
          <cell r="BW55">
            <v>1.2939456</v>
          </cell>
          <cell r="BX55">
            <v>1.3774774999999999</v>
          </cell>
          <cell r="BY55">
            <v>1.1771294999999999</v>
          </cell>
          <cell r="BZ55">
            <v>1.2467001</v>
          </cell>
          <cell r="CA55">
            <v>1.2068079</v>
          </cell>
          <cell r="CB55">
            <v>1.1996732999999999</v>
          </cell>
          <cell r="CC55">
            <v>1.2443725999999999</v>
          </cell>
          <cell r="CD55">
            <v>1.2555779</v>
          </cell>
          <cell r="CE55">
            <v>1.2283025999999999</v>
          </cell>
          <cell r="CF55">
            <v>1.3090354</v>
          </cell>
        </row>
        <row r="56">
          <cell r="BA56">
            <v>0.10662245000000001</v>
          </cell>
          <cell r="BB56">
            <v>0.10714324000000001</v>
          </cell>
          <cell r="BC56">
            <v>0.10641092000000001</v>
          </cell>
          <cell r="BD56">
            <v>0.12863554999999999</v>
          </cell>
          <cell r="BE56">
            <v>0.13889123</v>
          </cell>
          <cell r="BF56">
            <v>0.15917371</v>
          </cell>
          <cell r="BG56">
            <v>0.15895933000000001</v>
          </cell>
          <cell r="BH56">
            <v>0.16977784000000001</v>
          </cell>
          <cell r="BI56">
            <v>0.14369986000000001</v>
          </cell>
          <cell r="BJ56">
            <v>0.17986082</v>
          </cell>
          <cell r="BK56">
            <v>0.20982040000000002</v>
          </cell>
          <cell r="BL56">
            <v>0.21920212</v>
          </cell>
          <cell r="BM56">
            <v>0.2088006</v>
          </cell>
          <cell r="BN56">
            <v>0.21008478</v>
          </cell>
          <cell r="BO56">
            <v>0.20049877000000002</v>
          </cell>
          <cell r="BP56">
            <v>0.21358776000000002</v>
          </cell>
          <cell r="BQ56">
            <v>0.23197736000000002</v>
          </cell>
          <cell r="BR56">
            <v>0.24223272000000001</v>
          </cell>
          <cell r="BS56">
            <v>0.23242825</v>
          </cell>
          <cell r="BT56">
            <v>0.23828447</v>
          </cell>
          <cell r="BU56">
            <v>0.24143543000000001</v>
          </cell>
          <cell r="BV56">
            <v>0.25960493000000001</v>
          </cell>
          <cell r="BW56">
            <v>0.25693103</v>
          </cell>
          <cell r="BX56">
            <v>0.26047082999999999</v>
          </cell>
          <cell r="BY56">
            <v>0.26426780000000005</v>
          </cell>
          <cell r="BZ56">
            <v>0.27068518999999996</v>
          </cell>
          <cell r="CA56">
            <v>0.26706844000000002</v>
          </cell>
          <cell r="CB56">
            <v>0.25556809999999996</v>
          </cell>
          <cell r="CC56">
            <v>0.25928194999999998</v>
          </cell>
          <cell r="CD56">
            <v>0.26646001000000002</v>
          </cell>
          <cell r="CE56">
            <v>0.25162618000000003</v>
          </cell>
          <cell r="CF56">
            <v>0.25080874000000003</v>
          </cell>
        </row>
        <row r="57">
          <cell r="BA57">
            <v>14.267379999999999</v>
          </cell>
          <cell r="BB57">
            <v>16.467235000000002</v>
          </cell>
          <cell r="BC57">
            <v>18.309824000000003</v>
          </cell>
          <cell r="BD57">
            <v>20.453039</v>
          </cell>
          <cell r="BE57">
            <v>22.364888999999998</v>
          </cell>
          <cell r="BF57">
            <v>25.355229999999999</v>
          </cell>
          <cell r="BG57">
            <v>25.822861</v>
          </cell>
          <cell r="BH57">
            <v>25.945703000000002</v>
          </cell>
          <cell r="BI57">
            <v>25.210068</v>
          </cell>
          <cell r="BJ57">
            <v>26.001792000000002</v>
          </cell>
          <cell r="BK57">
            <v>28.073848000000002</v>
          </cell>
          <cell r="BL57">
            <v>28.116257000000001</v>
          </cell>
          <cell r="BM57">
            <v>29.965067999999999</v>
          </cell>
          <cell r="BN57">
            <v>29.379892000000002</v>
          </cell>
          <cell r="BO57">
            <v>26.681232000000001</v>
          </cell>
          <cell r="BP57">
            <v>26.373322000000002</v>
          </cell>
          <cell r="BQ57">
            <v>27.426144000000001</v>
          </cell>
          <cell r="BR57">
            <v>28.562313</v>
          </cell>
          <cell r="BS57">
            <v>28.427959999999999</v>
          </cell>
          <cell r="BT57">
            <v>27.932385999999997</v>
          </cell>
          <cell r="BU57">
            <v>28.274106</v>
          </cell>
          <cell r="BV57">
            <v>30.460163000000001</v>
          </cell>
          <cell r="BW57">
            <v>32.387848000000005</v>
          </cell>
          <cell r="BX57">
            <v>33.470101</v>
          </cell>
          <cell r="BY57">
            <v>35.587732000000003</v>
          </cell>
          <cell r="BZ57">
            <v>39.065625999999995</v>
          </cell>
          <cell r="CA57">
            <v>40.701397</v>
          </cell>
          <cell r="CB57">
            <v>40.716377000000001</v>
          </cell>
          <cell r="CC57">
            <v>41.869427999999999</v>
          </cell>
          <cell r="CD57">
            <v>42.846353999999998</v>
          </cell>
          <cell r="CE57">
            <v>40.891978000000002</v>
          </cell>
          <cell r="CF57">
            <v>41.816387999999996</v>
          </cell>
        </row>
        <row r="58">
          <cell r="BA58">
            <v>35.738682999999995</v>
          </cell>
          <cell r="BB58">
            <v>35.992665000000002</v>
          </cell>
          <cell r="BC58">
            <v>44.098114000000002</v>
          </cell>
          <cell r="BD58">
            <v>47.173490000000001</v>
          </cell>
          <cell r="BE58">
            <v>34.264927000000007</v>
          </cell>
          <cell r="BF58">
            <v>45.817163999999998</v>
          </cell>
          <cell r="BG58">
            <v>47.796492000000001</v>
          </cell>
          <cell r="BH58">
            <v>41.100512000000002</v>
          </cell>
          <cell r="BI58">
            <v>43.994242</v>
          </cell>
          <cell r="BJ58">
            <v>41.901756999999996</v>
          </cell>
          <cell r="BK58">
            <v>38.618033000000004</v>
          </cell>
          <cell r="BL58">
            <v>43.565175000000004</v>
          </cell>
          <cell r="BM58">
            <v>44.709154000000005</v>
          </cell>
          <cell r="BN58">
            <v>46.726371</v>
          </cell>
          <cell r="BO58">
            <v>49.519120999999998</v>
          </cell>
          <cell r="BP58">
            <v>50.158777000000001</v>
          </cell>
          <cell r="BQ58">
            <v>49.336167000000003</v>
          </cell>
          <cell r="BR58">
            <v>52.822276000000002</v>
          </cell>
          <cell r="BS58">
            <v>48.850622000000001</v>
          </cell>
          <cell r="BT58">
            <v>52.389493000000002</v>
          </cell>
          <cell r="BU58">
            <v>54.903934</v>
          </cell>
          <cell r="BV58">
            <v>58.983941000000002</v>
          </cell>
          <cell r="BW58">
            <v>59.305040999999996</v>
          </cell>
          <cell r="BX58">
            <v>60.196845000000003</v>
          </cell>
          <cell r="BY58">
            <v>62.028213000000008</v>
          </cell>
          <cell r="BZ58">
            <v>59.119605000000007</v>
          </cell>
          <cell r="CA58">
            <v>59.604817000000004</v>
          </cell>
          <cell r="CB58">
            <v>60.131905000000003</v>
          </cell>
          <cell r="CC58">
            <v>60.197910000000007</v>
          </cell>
          <cell r="CD58">
            <v>59.534754</v>
          </cell>
          <cell r="CE58">
            <v>53.233888</v>
          </cell>
          <cell r="CF58">
            <v>60.786369000000001</v>
          </cell>
        </row>
        <row r="60">
          <cell r="BA60">
            <v>10.41408</v>
          </cell>
          <cell r="BB60">
            <v>11.321873999999999</v>
          </cell>
          <cell r="BC60">
            <v>11.582537</v>
          </cell>
          <cell r="BD60">
            <v>12.096376000000001</v>
          </cell>
          <cell r="BE60">
            <v>12.642762000000001</v>
          </cell>
          <cell r="BF60">
            <v>12.291613999999999</v>
          </cell>
          <cell r="BG60">
            <v>12.493606</v>
          </cell>
          <cell r="BH60">
            <v>13.363889</v>
          </cell>
          <cell r="BI60">
            <v>12.705217000000001</v>
          </cell>
          <cell r="BJ60">
            <v>12.615515</v>
          </cell>
          <cell r="BK60">
            <v>11.661847</v>
          </cell>
          <cell r="BL60">
            <v>12.134457000000001</v>
          </cell>
          <cell r="BM60">
            <v>12.214722999999999</v>
          </cell>
          <cell r="BN60">
            <v>12.263916</v>
          </cell>
          <cell r="BO60">
            <v>12.171967</v>
          </cell>
          <cell r="BP60">
            <v>12.226126000000001</v>
          </cell>
          <cell r="BQ60">
            <v>12.750731</v>
          </cell>
          <cell r="BR60">
            <v>12.811117000000001</v>
          </cell>
          <cell r="BS60">
            <v>12.259383</v>
          </cell>
          <cell r="BT60">
            <v>11.995790000000001</v>
          </cell>
          <cell r="BU60">
            <v>11.852198000000001</v>
          </cell>
          <cell r="BV60">
            <v>11.729359000000001</v>
          </cell>
          <cell r="BW60">
            <v>11.870375000000001</v>
          </cell>
          <cell r="BX60">
            <v>11.225693999999999</v>
          </cell>
          <cell r="BY60">
            <v>11.352069999999999</v>
          </cell>
          <cell r="BZ60">
            <v>11.860593000000001</v>
          </cell>
          <cell r="CA60">
            <v>11.673999</v>
          </cell>
          <cell r="CB60">
            <v>11.036114</v>
          </cell>
          <cell r="CC60">
            <v>12.297675999999999</v>
          </cell>
          <cell r="CD60">
            <v>12.905149</v>
          </cell>
          <cell r="CE60">
            <v>11.66146</v>
          </cell>
          <cell r="CF60">
            <v>12.649775999999999</v>
          </cell>
        </row>
        <row r="61">
          <cell r="BA61">
            <v>0.25930390000000003</v>
          </cell>
          <cell r="BB61">
            <v>0.96817939000000008</v>
          </cell>
          <cell r="BC61">
            <v>1.712869</v>
          </cell>
          <cell r="BD61">
            <v>2.4879866000000002</v>
          </cell>
          <cell r="BE61">
            <v>2.5752208000000003</v>
          </cell>
          <cell r="BF61">
            <v>7.0271549000000002</v>
          </cell>
          <cell r="BG61">
            <v>6.7370937999999994</v>
          </cell>
          <cell r="BH61">
            <v>8.0179534999999991</v>
          </cell>
          <cell r="BI61">
            <v>9.6029020999999997</v>
          </cell>
          <cell r="BJ61">
            <v>10.461135000000001</v>
          </cell>
          <cell r="BK61">
            <v>11.957799999999999</v>
          </cell>
          <cell r="BL61">
            <v>14.321082000000001</v>
          </cell>
          <cell r="BM61">
            <v>14.383698000000001</v>
          </cell>
          <cell r="BN61">
            <v>16.632272</v>
          </cell>
          <cell r="BO61">
            <v>17.567833999999998</v>
          </cell>
          <cell r="BP61">
            <v>18.645787000000002</v>
          </cell>
          <cell r="BQ61">
            <v>19.950509999999998</v>
          </cell>
          <cell r="BR61">
            <v>19.343426000000001</v>
          </cell>
          <cell r="BS61">
            <v>20.744982</v>
          </cell>
          <cell r="BT61">
            <v>18.866525000000003</v>
          </cell>
          <cell r="BU61">
            <v>19.496942000000001</v>
          </cell>
          <cell r="BV61">
            <v>20.057138999999999</v>
          </cell>
          <cell r="BW61">
            <v>19.726371</v>
          </cell>
          <cell r="BX61">
            <v>18.782078000000002</v>
          </cell>
          <cell r="BY61">
            <v>18.305469000000002</v>
          </cell>
          <cell r="BZ61">
            <v>16.421716</v>
          </cell>
          <cell r="CA61">
            <v>15.2994</v>
          </cell>
          <cell r="CB61">
            <v>14.174847</v>
          </cell>
          <cell r="CC61">
            <v>15.542526000000001</v>
          </cell>
          <cell r="CD61">
            <v>15.126861999999999</v>
          </cell>
          <cell r="CE61">
            <v>15.086179</v>
          </cell>
          <cell r="CF61">
            <v>12.631938</v>
          </cell>
        </row>
        <row r="62">
          <cell r="BA62">
            <v>4.2698913000000003</v>
          </cell>
          <cell r="BB62">
            <v>4.2480435999999999</v>
          </cell>
          <cell r="BC62">
            <v>4.3920699999999995</v>
          </cell>
          <cell r="BD62">
            <v>3.8637621000000002</v>
          </cell>
          <cell r="BE62">
            <v>4.0102627000000002</v>
          </cell>
          <cell r="BF62">
            <v>4.3134436999999997</v>
          </cell>
          <cell r="BG62">
            <v>5.0291686000000002</v>
          </cell>
          <cell r="BH62">
            <v>5.6606183000000003</v>
          </cell>
          <cell r="BI62">
            <v>5.6422763000000007</v>
          </cell>
          <cell r="BJ62">
            <v>5.9627509999999999</v>
          </cell>
          <cell r="BK62">
            <v>6.1429948999999997</v>
          </cell>
          <cell r="BL62">
            <v>5.7968776000000002</v>
          </cell>
          <cell r="BM62">
            <v>5.7507904999999999</v>
          </cell>
          <cell r="BN62">
            <v>5.9095487999999996</v>
          </cell>
          <cell r="BO62">
            <v>5.9420643000000002</v>
          </cell>
          <cell r="BP62">
            <v>6.0470977000000001</v>
          </cell>
          <cell r="BQ62">
            <v>5.8883824000000002</v>
          </cell>
          <cell r="BR62">
            <v>6.2388385</v>
          </cell>
          <cell r="BS62">
            <v>6.2495031000000001</v>
          </cell>
          <cell r="BT62">
            <v>6.2785041000000001</v>
          </cell>
          <cell r="BU62">
            <v>6.1711027000000005</v>
          </cell>
          <cell r="BV62">
            <v>6.5163576000000001</v>
          </cell>
          <cell r="BW62">
            <v>6.6340739000000006</v>
          </cell>
          <cell r="BX62">
            <v>6.6933951</v>
          </cell>
          <cell r="BY62">
            <v>6.7212588999999996</v>
          </cell>
          <cell r="BZ62">
            <v>6.7226750000000006</v>
          </cell>
          <cell r="CA62">
            <v>6.7746542000000005</v>
          </cell>
          <cell r="CB62">
            <v>6.7991674</v>
          </cell>
          <cell r="CC62">
            <v>6.8289956000000007</v>
          </cell>
          <cell r="CD62">
            <v>6.8431856</v>
          </cell>
          <cell r="CE62">
            <v>6.8146374999999999</v>
          </cell>
          <cell r="CF62">
            <v>6.9140739999999994</v>
          </cell>
        </row>
        <row r="63">
          <cell r="BA63">
            <v>40.195730000000005</v>
          </cell>
          <cell r="BB63">
            <v>37.326705000000004</v>
          </cell>
          <cell r="BC63">
            <v>27.146552</v>
          </cell>
          <cell r="BD63">
            <v>21.685418000000002</v>
          </cell>
          <cell r="BE63">
            <v>22.157544999999999</v>
          </cell>
          <cell r="BF63">
            <v>19.998885999999999</v>
          </cell>
          <cell r="BG63">
            <v>20.938689999999998</v>
          </cell>
          <cell r="BH63">
            <v>20.645426</v>
          </cell>
          <cell r="BI63">
            <v>18.923874000000001</v>
          </cell>
          <cell r="BJ63">
            <v>17.762098999999999</v>
          </cell>
          <cell r="BK63">
            <v>17.386860000000002</v>
          </cell>
          <cell r="BL63">
            <v>17.815946</v>
          </cell>
          <cell r="BM63">
            <v>17.230295999999999</v>
          </cell>
          <cell r="BN63">
            <v>19.167613000000003</v>
          </cell>
          <cell r="BO63">
            <v>19.298904999999998</v>
          </cell>
          <cell r="BP63">
            <v>19.081786000000001</v>
          </cell>
          <cell r="BQ63">
            <v>18.431936</v>
          </cell>
          <cell r="BR63">
            <v>21.995177999999999</v>
          </cell>
          <cell r="BS63">
            <v>19.895641000000001</v>
          </cell>
          <cell r="BT63">
            <v>16.455634999999997</v>
          </cell>
          <cell r="BU63">
            <v>21.06063</v>
          </cell>
          <cell r="BV63">
            <v>21.033651000000003</v>
          </cell>
          <cell r="BW63">
            <v>19.921216000000001</v>
          </cell>
          <cell r="BX63">
            <v>21.824014999999999</v>
          </cell>
          <cell r="BY63">
            <v>21.005737</v>
          </cell>
          <cell r="BZ63">
            <v>17.952897</v>
          </cell>
          <cell r="CA63">
            <v>19.582608</v>
          </cell>
          <cell r="CB63">
            <v>20.877603999999998</v>
          </cell>
          <cell r="CC63">
            <v>20.010848000000003</v>
          </cell>
          <cell r="CD63">
            <v>14.524852000000001</v>
          </cell>
          <cell r="CE63">
            <v>11.395958</v>
          </cell>
          <cell r="CF63">
            <v>12.604566999999999</v>
          </cell>
        </row>
        <row r="65">
          <cell r="BA65">
            <v>0</v>
          </cell>
          <cell r="BB65">
            <v>0</v>
          </cell>
          <cell r="BC65">
            <v>0</v>
          </cell>
          <cell r="BD65">
            <v>0</v>
          </cell>
          <cell r="BE65">
            <v>0</v>
          </cell>
          <cell r="BF65">
            <v>0</v>
          </cell>
          <cell r="BG65">
            <v>0</v>
          </cell>
          <cell r="BH65">
            <v>0</v>
          </cell>
          <cell r="BI65">
            <v>0</v>
          </cell>
          <cell r="BJ65">
            <v>0</v>
          </cell>
          <cell r="BK65">
            <v>0</v>
          </cell>
          <cell r="BL65">
            <v>0</v>
          </cell>
          <cell r="BM65">
            <v>0</v>
          </cell>
          <cell r="BN65">
            <v>0</v>
          </cell>
          <cell r="BO65">
            <v>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row>
        <row r="66">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0</v>
          </cell>
        </row>
        <row r="67">
          <cell r="BA67">
            <v>1.6891557000000001</v>
          </cell>
          <cell r="BB67">
            <v>1.5487010000000001</v>
          </cell>
          <cell r="BC67">
            <v>1.6327593</v>
          </cell>
          <cell r="BD67">
            <v>1.6753245999999999</v>
          </cell>
          <cell r="BE67">
            <v>1.6946960999999998</v>
          </cell>
          <cell r="BF67">
            <v>1.7489899</v>
          </cell>
          <cell r="BG67">
            <v>1.836139</v>
          </cell>
          <cell r="BH67">
            <v>1.8031443</v>
          </cell>
          <cell r="BI67">
            <v>1.7635303</v>
          </cell>
          <cell r="BJ67">
            <v>1.7757628999999999</v>
          </cell>
          <cell r="BK67">
            <v>1.8439314</v>
          </cell>
          <cell r="BL67">
            <v>2.0893625999999998</v>
          </cell>
          <cell r="BM67">
            <v>1.8560921000000001</v>
          </cell>
          <cell r="BN67">
            <v>2.0482252999999999</v>
          </cell>
          <cell r="BO67">
            <v>2.4429504999999998</v>
          </cell>
          <cell r="BP67">
            <v>2.1464846</v>
          </cell>
          <cell r="BQ67">
            <v>2.3242505000000002</v>
          </cell>
          <cell r="BR67">
            <v>2.2353291</v>
          </cell>
          <cell r="BS67">
            <v>2.2675505</v>
          </cell>
          <cell r="BT67">
            <v>2.2589074</v>
          </cell>
          <cell r="BU67">
            <v>2.3901791999999999</v>
          </cell>
          <cell r="BV67">
            <v>2.3627608000000002</v>
          </cell>
          <cell r="BW67">
            <v>2.3296356999999999</v>
          </cell>
          <cell r="BX67">
            <v>2.7405843000000001</v>
          </cell>
          <cell r="BY67">
            <v>2.9194073</v>
          </cell>
          <cell r="BZ67">
            <v>3.7073352000000002</v>
          </cell>
          <cell r="CA67">
            <v>3.5398527</v>
          </cell>
          <cell r="CB67">
            <v>3.616377</v>
          </cell>
          <cell r="CC67">
            <v>3.7526899</v>
          </cell>
          <cell r="CD67">
            <v>4.0561553000000004</v>
          </cell>
          <cell r="CE67">
            <v>4.0532458</v>
          </cell>
          <cell r="CF67">
            <v>4.1870805000000004</v>
          </cell>
        </row>
        <row r="68">
          <cell r="BA68">
            <v>70.849342000000007</v>
          </cell>
          <cell r="BB68">
            <v>68.769387000000009</v>
          </cell>
          <cell r="BC68">
            <v>67.36994</v>
          </cell>
          <cell r="BD68">
            <v>69.616895999999997</v>
          </cell>
          <cell r="BE68">
            <v>75.209817000000001</v>
          </cell>
          <cell r="BF68">
            <v>71.489059999999995</v>
          </cell>
          <cell r="BG68">
            <v>77.489971000000011</v>
          </cell>
          <cell r="BH68">
            <v>76.185430999999994</v>
          </cell>
          <cell r="BI68">
            <v>72.520380000000003</v>
          </cell>
          <cell r="BJ68">
            <v>71.859467000000009</v>
          </cell>
          <cell r="BK68">
            <v>69.996565000000004</v>
          </cell>
          <cell r="BL68">
            <v>75.333397000000005</v>
          </cell>
          <cell r="BM68">
            <v>77.776848000000001</v>
          </cell>
          <cell r="BN68">
            <v>85.429244999999995</v>
          </cell>
          <cell r="BO68">
            <v>81.715445000000003</v>
          </cell>
          <cell r="BP68">
            <v>69.722166999999999</v>
          </cell>
          <cell r="BQ68">
            <v>81.106403999999998</v>
          </cell>
          <cell r="BR68">
            <v>79.46029200000001</v>
          </cell>
          <cell r="BS68">
            <v>71.368566000000001</v>
          </cell>
          <cell r="BT68">
            <v>67.662895000000006</v>
          </cell>
          <cell r="BU68">
            <v>75.471020999999993</v>
          </cell>
          <cell r="BV68">
            <v>67.734059000000002</v>
          </cell>
          <cell r="BW68">
            <v>62.180828999999996</v>
          </cell>
          <cell r="BX68">
            <v>62.643027000000004</v>
          </cell>
          <cell r="BY68">
            <v>58.477036999999996</v>
          </cell>
          <cell r="BZ68">
            <v>54.972012999999997</v>
          </cell>
          <cell r="CA68">
            <v>57.809535000000004</v>
          </cell>
          <cell r="CB68">
            <v>55.019055000000002</v>
          </cell>
          <cell r="CC68">
            <v>55.940478000000006</v>
          </cell>
          <cell r="CD68">
            <v>52.742713000000002</v>
          </cell>
          <cell r="CE68">
            <v>47.773876999999999</v>
          </cell>
          <cell r="CF68">
            <v>47.830714999999998</v>
          </cell>
        </row>
        <row r="69">
          <cell r="BA69">
            <v>539.31533000000002</v>
          </cell>
          <cell r="BB69">
            <v>565.40205000000003</v>
          </cell>
          <cell r="BC69">
            <v>555.85523999999998</v>
          </cell>
          <cell r="BD69">
            <v>534.77726000000007</v>
          </cell>
          <cell r="BE69">
            <v>526.31329000000005</v>
          </cell>
          <cell r="BF69">
            <v>532.29043999999999</v>
          </cell>
          <cell r="BG69">
            <v>550.98818000000006</v>
          </cell>
          <cell r="BH69">
            <v>543.62481000000002</v>
          </cell>
          <cell r="BI69">
            <v>557.20493999999997</v>
          </cell>
          <cell r="BJ69">
            <v>551.78956999999991</v>
          </cell>
          <cell r="BK69">
            <v>545.86128000000008</v>
          </cell>
          <cell r="BL69">
            <v>551.36656999999991</v>
          </cell>
          <cell r="BM69">
            <v>545.44339000000002</v>
          </cell>
          <cell r="BN69">
            <v>549.68025</v>
          </cell>
          <cell r="BO69">
            <v>549.18304000000001</v>
          </cell>
          <cell r="BP69">
            <v>550.88159999999993</v>
          </cell>
          <cell r="BQ69">
            <v>540.25305000000003</v>
          </cell>
          <cell r="BR69">
            <v>530.43898999999999</v>
          </cell>
          <cell r="BS69">
            <v>524.89107000000001</v>
          </cell>
          <cell r="BT69">
            <v>503.58352000000002</v>
          </cell>
          <cell r="BU69">
            <v>507.58453000000003</v>
          </cell>
          <cell r="BV69">
            <v>482.95846000000006</v>
          </cell>
          <cell r="BW69">
            <v>484.99673999999999</v>
          </cell>
          <cell r="BX69">
            <v>484.82769000000002</v>
          </cell>
          <cell r="BY69">
            <v>453.95196999999996</v>
          </cell>
          <cell r="BZ69">
            <v>457.53334999999998</v>
          </cell>
          <cell r="CA69">
            <v>459.85758000000004</v>
          </cell>
          <cell r="CB69">
            <v>462.69400000000002</v>
          </cell>
          <cell r="CC69">
            <v>444.40394000000003</v>
          </cell>
          <cell r="CD69">
            <v>434.79064</v>
          </cell>
          <cell r="CE69">
            <v>395.38931000000002</v>
          </cell>
          <cell r="CF69">
            <v>417.27575000000002</v>
          </cell>
        </row>
        <row r="70">
          <cell r="BA70">
            <v>0</v>
          </cell>
          <cell r="BB70">
            <v>0</v>
          </cell>
          <cell r="BC70">
            <v>0</v>
          </cell>
          <cell r="BD70">
            <v>0</v>
          </cell>
          <cell r="BE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row>
        <row r="71">
          <cell r="BA71">
            <v>0</v>
          </cell>
          <cell r="BB71">
            <v>0</v>
          </cell>
          <cell r="BC71">
            <v>0</v>
          </cell>
          <cell r="BD71">
            <v>0</v>
          </cell>
          <cell r="BE71">
            <v>0</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0</v>
          </cell>
          <cell r="CC71">
            <v>0</v>
          </cell>
          <cell r="CD71">
            <v>0</v>
          </cell>
          <cell r="CE71">
            <v>0</v>
          </cell>
          <cell r="CF71">
            <v>0</v>
          </cell>
        </row>
        <row r="72">
          <cell r="BA72">
            <v>5.4493675999999995</v>
          </cell>
          <cell r="BB72">
            <v>5.0629445999999998</v>
          </cell>
          <cell r="BC72">
            <v>5.3803379000000007</v>
          </cell>
          <cell r="BD72">
            <v>5.4835586000000003</v>
          </cell>
          <cell r="BE72">
            <v>4.9807072000000003</v>
          </cell>
          <cell r="BF72">
            <v>5.3630006000000003</v>
          </cell>
          <cell r="BG72">
            <v>5.3628098</v>
          </cell>
          <cell r="BH72">
            <v>4.9433423000000003</v>
          </cell>
          <cell r="BI72">
            <v>5.3554660000000007</v>
          </cell>
          <cell r="BJ72">
            <v>4.8507227999999998</v>
          </cell>
          <cell r="BK72">
            <v>4.6148008000000003</v>
          </cell>
          <cell r="BL72">
            <v>4.7229080000000003</v>
          </cell>
          <cell r="BM72">
            <v>4.6388864999999999</v>
          </cell>
          <cell r="BN72">
            <v>4.9462193000000001</v>
          </cell>
          <cell r="BO72">
            <v>4.8510251000000002</v>
          </cell>
          <cell r="BP72">
            <v>4.5706639999999998</v>
          </cell>
          <cell r="BQ72">
            <v>4.7274862000000004</v>
          </cell>
          <cell r="BR72">
            <v>4.6859289999999998</v>
          </cell>
          <cell r="BS72">
            <v>5.3002965000000009</v>
          </cell>
          <cell r="BT72">
            <v>5.2450074000000004</v>
          </cell>
          <cell r="BU72">
            <v>6.1533610000000003</v>
          </cell>
          <cell r="BV72">
            <v>6.0509385</v>
          </cell>
          <cell r="BW72">
            <v>5.7428306000000005</v>
          </cell>
          <cell r="BX72">
            <v>5.7337740000000004</v>
          </cell>
          <cell r="BY72">
            <v>5.6990273</v>
          </cell>
          <cell r="BZ72">
            <v>5.7149049999999999</v>
          </cell>
          <cell r="CA72">
            <v>5.9756875000000003</v>
          </cell>
          <cell r="CB72">
            <v>6.1828477999999993</v>
          </cell>
          <cell r="CC72">
            <v>5.9038652000000003</v>
          </cell>
          <cell r="CD72">
            <v>6.3638303000000001</v>
          </cell>
          <cell r="CE72">
            <v>5.9297299000000008</v>
          </cell>
          <cell r="CF72">
            <v>5.9947040999999999</v>
          </cell>
        </row>
        <row r="73">
          <cell r="BA73">
            <v>1.1787665999999999</v>
          </cell>
          <cell r="BB73">
            <v>1.2152835</v>
          </cell>
          <cell r="BC73">
            <v>1.2118061</v>
          </cell>
          <cell r="BD73">
            <v>1.2139610000000001</v>
          </cell>
          <cell r="BE73">
            <v>1.2496980000000002</v>
          </cell>
          <cell r="BF73">
            <v>1.2814191000000001</v>
          </cell>
          <cell r="BG73">
            <v>1.3307880000000001</v>
          </cell>
          <cell r="BH73">
            <v>1.2871778</v>
          </cell>
          <cell r="BI73">
            <v>1.3528520000000002</v>
          </cell>
          <cell r="BJ73">
            <v>1.3594806000000002</v>
          </cell>
          <cell r="BK73">
            <v>1.4421832999999999</v>
          </cell>
          <cell r="BL73">
            <v>1.3920602</v>
          </cell>
          <cell r="BM73">
            <v>1.3924617000000001</v>
          </cell>
          <cell r="BN73">
            <v>1.5113283</v>
          </cell>
          <cell r="BO73">
            <v>1.6353215999999999</v>
          </cell>
          <cell r="BP73">
            <v>1.7009860000000001</v>
          </cell>
          <cell r="BQ73">
            <v>1.7968001999999998</v>
          </cell>
          <cell r="BR73">
            <v>1.8106343</v>
          </cell>
          <cell r="BS73">
            <v>1.9593678000000001</v>
          </cell>
          <cell r="BT73">
            <v>2.2857240999999999</v>
          </cell>
          <cell r="BU73">
            <v>2.4443245</v>
          </cell>
          <cell r="BV73">
            <v>2.1338897000000001</v>
          </cell>
          <cell r="BW73">
            <v>2.2179193000000001</v>
          </cell>
          <cell r="BX73">
            <v>2.2807337000000003</v>
          </cell>
          <cell r="BY73">
            <v>2.4263132000000001</v>
          </cell>
          <cell r="BZ73">
            <v>2.5830929999999999</v>
          </cell>
          <cell r="CA73">
            <v>2.4763121000000003</v>
          </cell>
          <cell r="CB73">
            <v>2.5222076000000002</v>
          </cell>
          <cell r="CC73">
            <v>2.5162419000000003</v>
          </cell>
          <cell r="CD73">
            <v>2.7028252000000004</v>
          </cell>
          <cell r="CE73">
            <v>2.7520270999999998</v>
          </cell>
          <cell r="CF73">
            <v>2.8157779999999999</v>
          </cell>
        </row>
        <row r="74">
          <cell r="BA74">
            <v>49.021616999999999</v>
          </cell>
          <cell r="BB74">
            <v>37.993428000000002</v>
          </cell>
          <cell r="BC74">
            <v>31.913941999999999</v>
          </cell>
          <cell r="BD74">
            <v>26.566034999999999</v>
          </cell>
          <cell r="BE74">
            <v>17.254449000000001</v>
          </cell>
          <cell r="BF74">
            <v>14.132102000000001</v>
          </cell>
          <cell r="BG74">
            <v>14.654710999999999</v>
          </cell>
          <cell r="BH74">
            <v>13.767814000000001</v>
          </cell>
          <cell r="BI74">
            <v>12.848769000000001</v>
          </cell>
          <cell r="BJ74">
            <v>12.060028000000001</v>
          </cell>
          <cell r="BK74">
            <v>12.819000000000001</v>
          </cell>
          <cell r="BL74">
            <v>11.481328</v>
          </cell>
          <cell r="BM74">
            <v>12.834591000000001</v>
          </cell>
          <cell r="BN74">
            <v>13.771763999999999</v>
          </cell>
          <cell r="BO74">
            <v>14.04299</v>
          </cell>
          <cell r="BP74">
            <v>13.411483</v>
          </cell>
          <cell r="BQ74">
            <v>15.649888000000001</v>
          </cell>
          <cell r="BR74">
            <v>16.644805999999999</v>
          </cell>
          <cell r="BS74">
            <v>14.881930000000001</v>
          </cell>
          <cell r="BT74">
            <v>14.949441999999999</v>
          </cell>
          <cell r="BU74">
            <v>15.192495000000001</v>
          </cell>
          <cell r="BV74">
            <v>18.405364000000002</v>
          </cell>
          <cell r="BW74">
            <v>19.665025000000004</v>
          </cell>
          <cell r="BX74">
            <v>18.438880000000001</v>
          </cell>
          <cell r="BY74">
            <v>18.941614000000001</v>
          </cell>
          <cell r="BZ74">
            <v>20.035706999999999</v>
          </cell>
          <cell r="CA74">
            <v>20.433615000000003</v>
          </cell>
          <cell r="CB74">
            <v>19.186405999999998</v>
          </cell>
          <cell r="CC74">
            <v>17.518305000000002</v>
          </cell>
          <cell r="CD74">
            <v>17.666619999999998</v>
          </cell>
          <cell r="CE74">
            <v>17.574257000000003</v>
          </cell>
          <cell r="CF74">
            <v>17.534279999999999</v>
          </cell>
        </row>
        <row r="75">
          <cell r="BA75">
            <v>1238.6583000000001</v>
          </cell>
          <cell r="BB75">
            <v>1193.3389999999999</v>
          </cell>
          <cell r="BC75">
            <v>1144.5138999999999</v>
          </cell>
          <cell r="BD75">
            <v>1134.9666000000002</v>
          </cell>
          <cell r="BE75">
            <v>1116.8346999999999</v>
          </cell>
          <cell r="BF75">
            <v>1109.5386000000001</v>
          </cell>
          <cell r="BG75">
            <v>1128.5040000000001</v>
          </cell>
          <cell r="BH75">
            <v>1093.1404</v>
          </cell>
          <cell r="BI75">
            <v>1067.8736000000001</v>
          </cell>
          <cell r="BJ75">
            <v>1033.2874999999999</v>
          </cell>
          <cell r="BK75">
            <v>1032.2794000000001</v>
          </cell>
          <cell r="BL75">
            <v>1047.9686999999999</v>
          </cell>
          <cell r="BM75">
            <v>1026.5684000000001</v>
          </cell>
          <cell r="BN75">
            <v>1024.0135</v>
          </cell>
          <cell r="BO75">
            <v>1006.0486</v>
          </cell>
          <cell r="BP75">
            <v>980.92345999999998</v>
          </cell>
          <cell r="BQ75">
            <v>988.40372000000002</v>
          </cell>
          <cell r="BR75">
            <v>962.10565000000008</v>
          </cell>
          <cell r="BS75">
            <v>962.03326000000004</v>
          </cell>
          <cell r="BT75">
            <v>895.43184999999994</v>
          </cell>
          <cell r="BU75">
            <v>929.40529000000004</v>
          </cell>
          <cell r="BV75">
            <v>904.92858000000001</v>
          </cell>
          <cell r="BW75">
            <v>910.74364000000003</v>
          </cell>
          <cell r="BX75">
            <v>931.02290000000005</v>
          </cell>
          <cell r="BY75">
            <v>891.21523999999999</v>
          </cell>
          <cell r="BZ75">
            <v>894.52292000000011</v>
          </cell>
          <cell r="CA75">
            <v>896.65728000000001</v>
          </cell>
          <cell r="CB75">
            <v>879.66313000000002</v>
          </cell>
          <cell r="CC75">
            <v>844.32458999999994</v>
          </cell>
          <cell r="CD75">
            <v>792.93407999999999</v>
          </cell>
          <cell r="CE75">
            <v>729.35533999999996</v>
          </cell>
          <cell r="CF75">
            <v>758.90711999999996</v>
          </cell>
        </row>
        <row r="76">
          <cell r="BA76">
            <v>11.576179</v>
          </cell>
          <cell r="BB76">
            <v>12.096157999999999</v>
          </cell>
          <cell r="BC76">
            <v>14.0068</v>
          </cell>
          <cell r="BD76">
            <v>14.293716</v>
          </cell>
          <cell r="BE76">
            <v>14.370934</v>
          </cell>
          <cell r="BF76">
            <v>13.145239</v>
          </cell>
          <cell r="BG76">
            <v>13.279121</v>
          </cell>
          <cell r="BH76">
            <v>14.604239</v>
          </cell>
          <cell r="BI76">
            <v>15.683312000000001</v>
          </cell>
          <cell r="BJ76">
            <v>15.259537</v>
          </cell>
          <cell r="BK76">
            <v>14.555448</v>
          </cell>
          <cell r="BL76">
            <v>14.790331</v>
          </cell>
          <cell r="BM76">
            <v>16.119915000000002</v>
          </cell>
          <cell r="BN76">
            <v>16.09891</v>
          </cell>
          <cell r="BO76">
            <v>14.791690000000001</v>
          </cell>
          <cell r="BP76">
            <v>17.153938999999998</v>
          </cell>
          <cell r="BQ76">
            <v>18.915738000000001</v>
          </cell>
          <cell r="BR76">
            <v>21.07338</v>
          </cell>
          <cell r="BS76">
            <v>20.684514</v>
          </cell>
          <cell r="BT76">
            <v>22.369664</v>
          </cell>
          <cell r="BU76">
            <v>27.605878000000001</v>
          </cell>
          <cell r="BV76">
            <v>46.079724000000006</v>
          </cell>
          <cell r="BW76">
            <v>32.012712999999998</v>
          </cell>
          <cell r="BX76">
            <v>35.590455999999996</v>
          </cell>
          <cell r="BY76">
            <v>38.038584999999998</v>
          </cell>
          <cell r="BZ76">
            <v>38.525388</v>
          </cell>
          <cell r="CA76">
            <v>41.503275000000002</v>
          </cell>
          <cell r="CB76">
            <v>59.210560000000001</v>
          </cell>
          <cell r="CC76">
            <v>48.070283000000003</v>
          </cell>
          <cell r="CD76">
            <v>49.639536999999997</v>
          </cell>
          <cell r="CE76">
            <v>53.600466000000004</v>
          </cell>
          <cell r="CF76">
            <v>56.595461000000007</v>
          </cell>
        </row>
        <row r="77">
          <cell r="BA77">
            <v>0</v>
          </cell>
          <cell r="BB77">
            <v>0</v>
          </cell>
          <cell r="BC77">
            <v>0</v>
          </cell>
          <cell r="BD77">
            <v>0</v>
          </cell>
          <cell r="BE77">
            <v>0</v>
          </cell>
          <cell r="BF77">
            <v>0</v>
          </cell>
          <cell r="BG77">
            <v>0</v>
          </cell>
          <cell r="BH77">
            <v>0</v>
          </cell>
          <cell r="BI77">
            <v>0</v>
          </cell>
          <cell r="BJ77">
            <v>0</v>
          </cell>
          <cell r="BK77">
            <v>0</v>
          </cell>
          <cell r="BL77">
            <v>0</v>
          </cell>
          <cell r="BM77">
            <v>0</v>
          </cell>
          <cell r="BN77">
            <v>0</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cell r="CE77">
            <v>0</v>
          </cell>
          <cell r="CF77">
            <v>0</v>
          </cell>
        </row>
        <row r="78">
          <cell r="BA78">
            <v>103.70815</v>
          </cell>
          <cell r="BB78">
            <v>103.75067999999999</v>
          </cell>
          <cell r="BC78">
            <v>104.9645</v>
          </cell>
          <cell r="BD78">
            <v>104.57379</v>
          </cell>
          <cell r="BE78">
            <v>107.28602000000001</v>
          </cell>
          <cell r="BF78">
            <v>109.64022</v>
          </cell>
          <cell r="BG78">
            <v>112.77713000000001</v>
          </cell>
          <cell r="BH78">
            <v>117.67570000000001</v>
          </cell>
          <cell r="BI78">
            <v>123.25554</v>
          </cell>
          <cell r="BJ78">
            <v>123.38514000000001</v>
          </cell>
          <cell r="BK78">
            <v>126.7843</v>
          </cell>
          <cell r="BL78">
            <v>127.81997</v>
          </cell>
          <cell r="BM78">
            <v>127.80566</v>
          </cell>
          <cell r="BN78">
            <v>131.54033999999999</v>
          </cell>
          <cell r="BO78">
            <v>132.18145000000001</v>
          </cell>
          <cell r="BP78">
            <v>136.64104999999998</v>
          </cell>
          <cell r="BQ78">
            <v>132.71446</v>
          </cell>
          <cell r="BR78">
            <v>135.35945000000001</v>
          </cell>
          <cell r="BS78">
            <v>132.00557000000001</v>
          </cell>
          <cell r="BT78">
            <v>124.79962</v>
          </cell>
          <cell r="BU78">
            <v>118.71917000000001</v>
          </cell>
          <cell r="BV78">
            <v>115.74250000000001</v>
          </cell>
          <cell r="BW78">
            <v>112.48531</v>
          </cell>
          <cell r="BX78">
            <v>102.87042</v>
          </cell>
          <cell r="BY78">
            <v>99.439645000000013</v>
          </cell>
          <cell r="BZ78">
            <v>95.601787000000002</v>
          </cell>
          <cell r="CA78">
            <v>91.981653999999992</v>
          </cell>
          <cell r="CB78">
            <v>95.78088000000001</v>
          </cell>
          <cell r="CC78">
            <v>92.488791000000006</v>
          </cell>
          <cell r="CD78">
            <v>85.780982999999992</v>
          </cell>
          <cell r="CE78">
            <v>75.097960999999998</v>
          </cell>
          <cell r="CF78">
            <v>77.059615000000008</v>
          </cell>
        </row>
        <row r="79">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cell r="CE79">
            <v>0</v>
          </cell>
          <cell r="CF79">
            <v>0</v>
          </cell>
        </row>
        <row r="80">
          <cell r="BA80">
            <v>0.15468773</v>
          </cell>
          <cell r="BB80">
            <v>0.15856919</v>
          </cell>
          <cell r="BC80">
            <v>0.16589640999999999</v>
          </cell>
          <cell r="BD80">
            <v>0.16985697</v>
          </cell>
          <cell r="BE80">
            <v>0.19178742000000001</v>
          </cell>
          <cell r="BF80">
            <v>0.20484532</v>
          </cell>
          <cell r="BG80">
            <v>0.21388007000000001</v>
          </cell>
          <cell r="BH80">
            <v>0.23447549000000001</v>
          </cell>
          <cell r="BI80">
            <v>0.24729720000000002</v>
          </cell>
          <cell r="BJ80">
            <v>0.27420424000000004</v>
          </cell>
          <cell r="BK80">
            <v>0.27223950000000002</v>
          </cell>
          <cell r="BL80">
            <v>0.28270000000000001</v>
          </cell>
          <cell r="BM80">
            <v>0.29460000000000003</v>
          </cell>
          <cell r="BN80">
            <v>0.30869999999999997</v>
          </cell>
          <cell r="BO80">
            <v>0.30469999999999997</v>
          </cell>
          <cell r="BP80">
            <v>0.32037927000000005</v>
          </cell>
          <cell r="BQ80">
            <v>0.33900000000000002</v>
          </cell>
          <cell r="BR80">
            <v>0.35392899</v>
          </cell>
          <cell r="BS80">
            <v>0.37690000000000001</v>
          </cell>
          <cell r="BT80">
            <v>0.38039999999999996</v>
          </cell>
          <cell r="BU80">
            <v>0.39931479000000003</v>
          </cell>
          <cell r="BV80">
            <v>0.38619999999999999</v>
          </cell>
          <cell r="BW80">
            <v>0.41520000000000001</v>
          </cell>
          <cell r="BX80">
            <v>0.4592</v>
          </cell>
          <cell r="BY80">
            <v>0.41747241000000002</v>
          </cell>
          <cell r="BZ80">
            <v>0.46002609</v>
          </cell>
          <cell r="CA80">
            <v>0.47644355000000005</v>
          </cell>
          <cell r="CB80">
            <v>0.49615419999999999</v>
          </cell>
          <cell r="CC80">
            <v>0.51234270000000004</v>
          </cell>
          <cell r="CD80">
            <v>0.52613958999999999</v>
          </cell>
          <cell r="CE80">
            <v>0.50257372</v>
          </cell>
          <cell r="CF80">
            <v>0.50727529000000005</v>
          </cell>
        </row>
        <row r="81">
          <cell r="BA81">
            <v>0</v>
          </cell>
          <cell r="BB81">
            <v>0</v>
          </cell>
          <cell r="BC81">
            <v>0</v>
          </cell>
          <cell r="BD81">
            <v>0</v>
          </cell>
          <cell r="BE81">
            <v>0</v>
          </cell>
          <cell r="BF81">
            <v>0</v>
          </cell>
          <cell r="BG81">
            <v>0</v>
          </cell>
          <cell r="BH81">
            <v>0</v>
          </cell>
          <cell r="BI81">
            <v>0</v>
          </cell>
          <cell r="BJ81">
            <v>0</v>
          </cell>
          <cell r="BK81">
            <v>0</v>
          </cell>
          <cell r="BL81">
            <v>0</v>
          </cell>
          <cell r="BM81">
            <v>0</v>
          </cell>
          <cell r="BN81">
            <v>0</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row>
        <row r="82">
          <cell r="BA82">
            <v>15.455099000000001</v>
          </cell>
          <cell r="BB82">
            <v>15.934184</v>
          </cell>
          <cell r="BC82">
            <v>17.278296999999998</v>
          </cell>
          <cell r="BD82">
            <v>17.048110000000001</v>
          </cell>
          <cell r="BE82">
            <v>18.399613000000002</v>
          </cell>
          <cell r="BF82">
            <v>18.505269000000002</v>
          </cell>
          <cell r="BG82">
            <v>17.292044000000001</v>
          </cell>
          <cell r="BH82">
            <v>18.361142000000001</v>
          </cell>
          <cell r="BI82">
            <v>19.468799999999998</v>
          </cell>
          <cell r="BJ82">
            <v>19.957028999999999</v>
          </cell>
          <cell r="BK82">
            <v>20.765889000000001</v>
          </cell>
          <cell r="BL82">
            <v>21.306117999999998</v>
          </cell>
          <cell r="BM82">
            <v>22.037899000000003</v>
          </cell>
          <cell r="BN82">
            <v>21.817430000000002</v>
          </cell>
          <cell r="BO82">
            <v>22.820032000000001</v>
          </cell>
          <cell r="BP82">
            <v>24.094863</v>
          </cell>
          <cell r="BQ82">
            <v>23.689344000000002</v>
          </cell>
          <cell r="BR82">
            <v>23.761838000000001</v>
          </cell>
          <cell r="BS82">
            <v>22.158517</v>
          </cell>
          <cell r="BT82">
            <v>22.858979999999999</v>
          </cell>
          <cell r="BU82">
            <v>22.30294</v>
          </cell>
          <cell r="BV82">
            <v>22.73244</v>
          </cell>
          <cell r="BW82">
            <v>23.275960000000001</v>
          </cell>
          <cell r="BX82">
            <v>24.72805</v>
          </cell>
          <cell r="BY82">
            <v>25.995939</v>
          </cell>
          <cell r="BZ82">
            <v>28.543187000000003</v>
          </cell>
          <cell r="CA82">
            <v>29.881668000000001</v>
          </cell>
          <cell r="CB82">
            <v>31.147025000000003</v>
          </cell>
          <cell r="CC82">
            <v>29.053576000000003</v>
          </cell>
          <cell r="CD82">
            <v>31.059835</v>
          </cell>
          <cell r="CE82">
            <v>28.865932000000001</v>
          </cell>
          <cell r="CF82">
            <v>31.332357000000002</v>
          </cell>
        </row>
        <row r="83">
          <cell r="BA83">
            <v>9.7962827000000008</v>
          </cell>
          <cell r="BB83">
            <v>10.163183999999999</v>
          </cell>
          <cell r="BC83">
            <v>10.058394</v>
          </cell>
          <cell r="BD83">
            <v>10.457855</v>
          </cell>
          <cell r="BE83">
            <v>10.905492000000001</v>
          </cell>
          <cell r="BF83">
            <v>11.734275</v>
          </cell>
          <cell r="BG83">
            <v>11.434870000000002</v>
          </cell>
          <cell r="BH83">
            <v>11.056154000000001</v>
          </cell>
          <cell r="BI83">
            <v>12.053391</v>
          </cell>
          <cell r="BJ83">
            <v>12.498271000000001</v>
          </cell>
          <cell r="BK83">
            <v>13.202562</v>
          </cell>
          <cell r="BL83">
            <v>14.151028</v>
          </cell>
          <cell r="BM83">
            <v>15.354144</v>
          </cell>
          <cell r="BN83">
            <v>15.603194999999999</v>
          </cell>
          <cell r="BO83">
            <v>15.697911</v>
          </cell>
          <cell r="BP83">
            <v>17.217554</v>
          </cell>
          <cell r="BQ83">
            <v>17.525521000000001</v>
          </cell>
          <cell r="BR83">
            <v>17.931978000000001</v>
          </cell>
          <cell r="BS83">
            <v>18.500216000000002</v>
          </cell>
          <cell r="BT83">
            <v>19.075409000000001</v>
          </cell>
          <cell r="BU83">
            <v>21.350819000000001</v>
          </cell>
          <cell r="BV83">
            <v>22.571854999999999</v>
          </cell>
          <cell r="BW83">
            <v>23.792157</v>
          </cell>
          <cell r="BX83">
            <v>23.781036</v>
          </cell>
          <cell r="BY83">
            <v>24.281409</v>
          </cell>
          <cell r="BZ83">
            <v>24.755936000000002</v>
          </cell>
          <cell r="CA83">
            <v>27.671367999999998</v>
          </cell>
          <cell r="CB83">
            <v>27.841673</v>
          </cell>
          <cell r="CC83">
            <v>28.279063999999998</v>
          </cell>
          <cell r="CD83">
            <v>29.793672000000001</v>
          </cell>
          <cell r="CE83">
            <v>30.82564</v>
          </cell>
          <cell r="CF83">
            <v>32.034460000000003</v>
          </cell>
        </row>
        <row r="84">
          <cell r="BA84">
            <v>1.7715166</v>
          </cell>
          <cell r="BB84">
            <v>1.7906559</v>
          </cell>
          <cell r="BC84">
            <v>1.8332092</v>
          </cell>
          <cell r="BD84">
            <v>1.8659989000000001</v>
          </cell>
          <cell r="BE84">
            <v>1.8929684</v>
          </cell>
          <cell r="BF84">
            <v>1.9356724000000001</v>
          </cell>
          <cell r="BG84">
            <v>1.8761808000000002</v>
          </cell>
          <cell r="BH84">
            <v>1.8653069</v>
          </cell>
          <cell r="BI84">
            <v>1.8418526</v>
          </cell>
          <cell r="BJ84">
            <v>1.9976998000000001</v>
          </cell>
          <cell r="BK84">
            <v>1.9754441</v>
          </cell>
          <cell r="BL84">
            <v>2.2706918000000003</v>
          </cell>
          <cell r="BM84">
            <v>2.3279729000000002</v>
          </cell>
          <cell r="BN84">
            <v>2.3843148999999997</v>
          </cell>
          <cell r="BO84">
            <v>2.3120792999999997</v>
          </cell>
          <cell r="BP84">
            <v>2.2713095000000001</v>
          </cell>
          <cell r="BQ84">
            <v>2.4468421</v>
          </cell>
          <cell r="BR84">
            <v>2.4833537000000003</v>
          </cell>
          <cell r="BS84">
            <v>2.4070900000000002</v>
          </cell>
          <cell r="BT84">
            <v>2.5434319999999997</v>
          </cell>
          <cell r="BU84">
            <v>2.6406466000000002</v>
          </cell>
          <cell r="BV84">
            <v>2.6502008999999997</v>
          </cell>
          <cell r="BW84">
            <v>2.8467465000000001</v>
          </cell>
          <cell r="BX84">
            <v>2.8118531</v>
          </cell>
          <cell r="BY84">
            <v>2.8157109</v>
          </cell>
          <cell r="BZ84">
            <v>2.9438258999999998</v>
          </cell>
          <cell r="CA84">
            <v>2.9332944000000003</v>
          </cell>
          <cell r="CB84">
            <v>2.9580649999999999</v>
          </cell>
          <cell r="CC84">
            <v>3.1350432000000001</v>
          </cell>
          <cell r="CD84">
            <v>3.1643105</v>
          </cell>
          <cell r="CE84">
            <v>3.1990704000000001</v>
          </cell>
          <cell r="CF84">
            <v>3.2672108</v>
          </cell>
        </row>
        <row r="85">
          <cell r="BA85">
            <v>2.8342280999999998</v>
          </cell>
          <cell r="BB85">
            <v>2.7954986000000002</v>
          </cell>
          <cell r="BC85">
            <v>2.8047419000000002</v>
          </cell>
          <cell r="BD85">
            <v>2.8222332000000003</v>
          </cell>
          <cell r="BE85">
            <v>2.8359378000000004</v>
          </cell>
          <cell r="BF85">
            <v>2.8827069999999999</v>
          </cell>
          <cell r="BG85">
            <v>3.0035241999999998</v>
          </cell>
          <cell r="BH85">
            <v>3.2007167000000001</v>
          </cell>
          <cell r="BI85">
            <v>3.2413171000000003</v>
          </cell>
          <cell r="BJ85">
            <v>3.3131370000000002</v>
          </cell>
          <cell r="BK85">
            <v>3.1260205000000001</v>
          </cell>
          <cell r="BL85">
            <v>3.5987413999999998</v>
          </cell>
          <cell r="BM85">
            <v>2.9268027999999999</v>
          </cell>
          <cell r="BN85">
            <v>3.2177639</v>
          </cell>
          <cell r="BO85">
            <v>3.1864053000000001</v>
          </cell>
          <cell r="BP85">
            <v>2.8228735999999999</v>
          </cell>
          <cell r="BQ85">
            <v>2.6836826999999999</v>
          </cell>
          <cell r="BR85">
            <v>2.9525617000000004</v>
          </cell>
          <cell r="BS85">
            <v>2.9744838000000002</v>
          </cell>
          <cell r="BT85">
            <v>3.1682060000000001</v>
          </cell>
          <cell r="BU85">
            <v>3.2188220000000003</v>
          </cell>
          <cell r="BV85">
            <v>3.3401798</v>
          </cell>
          <cell r="BW85">
            <v>3.3877473</v>
          </cell>
          <cell r="BX85">
            <v>3.4678822</v>
          </cell>
          <cell r="BY85">
            <v>3.6450862000000002</v>
          </cell>
          <cell r="BZ85">
            <v>3.7409461999999998</v>
          </cell>
          <cell r="CA85">
            <v>3.7744328999999999</v>
          </cell>
          <cell r="CB85">
            <v>3.8654261999999999</v>
          </cell>
          <cell r="CC85">
            <v>4.0124713999999999</v>
          </cell>
          <cell r="CD85">
            <v>4.1040165000000002</v>
          </cell>
          <cell r="CE85">
            <v>3.8080544000000001</v>
          </cell>
          <cell r="CF85">
            <v>4.0392345999999995</v>
          </cell>
        </row>
        <row r="86">
          <cell r="BA86">
            <v>6.1917963</v>
          </cell>
          <cell r="BB86">
            <v>6.4333511000000003</v>
          </cell>
          <cell r="BC86">
            <v>6.9071004</v>
          </cell>
          <cell r="BD86">
            <v>6.5972121000000001</v>
          </cell>
          <cell r="BE86">
            <v>6.4896658</v>
          </cell>
          <cell r="BF86">
            <v>7.8869176999999997</v>
          </cell>
          <cell r="BG86">
            <v>8.7906738999999998</v>
          </cell>
          <cell r="BH86">
            <v>9.1516936000000015</v>
          </cell>
          <cell r="BI86">
            <v>9.2456461999999995</v>
          </cell>
          <cell r="BJ86">
            <v>9.5333606</v>
          </cell>
          <cell r="BK86">
            <v>9.5079925999999997</v>
          </cell>
          <cell r="BL86">
            <v>9.7966330999999993</v>
          </cell>
          <cell r="BM86">
            <v>10.167566000000001</v>
          </cell>
          <cell r="BN86">
            <v>10.146244000000001</v>
          </cell>
          <cell r="BO86">
            <v>10.467489</v>
          </cell>
          <cell r="BP86">
            <v>10.750530000000001</v>
          </cell>
          <cell r="BQ86">
            <v>10.894638</v>
          </cell>
          <cell r="BR86">
            <v>11.402937</v>
          </cell>
          <cell r="BS86">
            <v>11.458365000000001</v>
          </cell>
          <cell r="BT86">
            <v>11.532476000000001</v>
          </cell>
          <cell r="BU86">
            <v>11.550164000000001</v>
          </cell>
          <cell r="BV86">
            <v>11.717953</v>
          </cell>
          <cell r="BW86">
            <v>11.940852999999999</v>
          </cell>
          <cell r="BX86">
            <v>12.116796000000001</v>
          </cell>
          <cell r="BY86">
            <v>12.680104</v>
          </cell>
          <cell r="BZ86">
            <v>13.187574000000001</v>
          </cell>
          <cell r="CA86">
            <v>13.451098</v>
          </cell>
          <cell r="CB86">
            <v>13.586852</v>
          </cell>
          <cell r="CC86">
            <v>13.552191000000001</v>
          </cell>
          <cell r="CD86">
            <v>13.747007</v>
          </cell>
          <cell r="CE86">
            <v>13.557727999999999</v>
          </cell>
          <cell r="CF86">
            <v>13.583545000000001</v>
          </cell>
        </row>
        <row r="87">
          <cell r="BA87">
            <v>8.8843774</v>
          </cell>
          <cell r="BB87">
            <v>8.9430737000000011</v>
          </cell>
          <cell r="BC87">
            <v>9.1886504000000002</v>
          </cell>
          <cell r="BD87">
            <v>9.0065483999999998</v>
          </cell>
          <cell r="BE87">
            <v>9.6498677000000015</v>
          </cell>
          <cell r="BF87">
            <v>10.277799000000002</v>
          </cell>
          <cell r="BG87">
            <v>10.217334000000001</v>
          </cell>
          <cell r="BH87">
            <v>10.258004999999999</v>
          </cell>
          <cell r="BI87">
            <v>10.630823000000001</v>
          </cell>
          <cell r="BJ87">
            <v>9.9517872000000001</v>
          </cell>
          <cell r="BK87">
            <v>10.419517000000001</v>
          </cell>
          <cell r="BL87">
            <v>11.441219</v>
          </cell>
          <cell r="BM87">
            <v>12.157360000000001</v>
          </cell>
          <cell r="BN87">
            <v>14.078899999999999</v>
          </cell>
          <cell r="BO87">
            <v>14.879075</v>
          </cell>
          <cell r="BP87">
            <v>16.017009000000002</v>
          </cell>
          <cell r="BQ87">
            <v>15.202038</v>
          </cell>
          <cell r="BR87">
            <v>16.847312000000002</v>
          </cell>
          <cell r="BS87">
            <v>16.714402</v>
          </cell>
          <cell r="BT87">
            <v>16.395127000000002</v>
          </cell>
          <cell r="BU87">
            <v>16.309457999999999</v>
          </cell>
          <cell r="BV87">
            <v>17.16666</v>
          </cell>
          <cell r="BW87">
            <v>17.440708000000001</v>
          </cell>
          <cell r="BX87">
            <v>17.637650000000001</v>
          </cell>
          <cell r="BY87">
            <v>17.755893</v>
          </cell>
          <cell r="BZ87">
            <v>18.506506000000002</v>
          </cell>
          <cell r="CA87">
            <v>18.308107</v>
          </cell>
          <cell r="CB87">
            <v>18.737107999999999</v>
          </cell>
          <cell r="CC87">
            <v>19.58503</v>
          </cell>
          <cell r="CD87">
            <v>20.409229</v>
          </cell>
          <cell r="CE87">
            <v>19.016444</v>
          </cell>
          <cell r="CF87">
            <v>20.537933000000002</v>
          </cell>
        </row>
        <row r="88">
          <cell r="BA88">
            <v>31.726008000000004</v>
          </cell>
          <cell r="BB88">
            <v>33.213825</v>
          </cell>
          <cell r="BC88">
            <v>37.759250999999999</v>
          </cell>
          <cell r="BD88">
            <v>39.712901000000002</v>
          </cell>
          <cell r="BE88">
            <v>36.008721999999999</v>
          </cell>
          <cell r="BF88">
            <v>36.165467</v>
          </cell>
          <cell r="BG88">
            <v>33.750584000000003</v>
          </cell>
          <cell r="BH88">
            <v>35.394256999999996</v>
          </cell>
          <cell r="BI88">
            <v>44.129330000000003</v>
          </cell>
          <cell r="BJ88">
            <v>48.110887000000005</v>
          </cell>
          <cell r="BK88">
            <v>45.685046</v>
          </cell>
          <cell r="BL88">
            <v>43.061345000000003</v>
          </cell>
          <cell r="BM88">
            <v>44.681316000000002</v>
          </cell>
          <cell r="BN88">
            <v>48.432692000000003</v>
          </cell>
          <cell r="BO88">
            <v>46.777038000000005</v>
          </cell>
          <cell r="BP88">
            <v>48.981747000000006</v>
          </cell>
          <cell r="BQ88">
            <v>47.191900000000004</v>
          </cell>
          <cell r="BR88">
            <v>48.930675000000001</v>
          </cell>
          <cell r="BS88">
            <v>48.161465</v>
          </cell>
          <cell r="BT88">
            <v>47.082208000000001</v>
          </cell>
          <cell r="BU88">
            <v>45.575124000000002</v>
          </cell>
          <cell r="BV88">
            <v>48.746085000000001</v>
          </cell>
          <cell r="BW88">
            <v>48.358367000000001</v>
          </cell>
          <cell r="BX88">
            <v>49.970401000000003</v>
          </cell>
          <cell r="BY88">
            <v>51.211599</v>
          </cell>
          <cell r="BZ88">
            <v>48.123716000000002</v>
          </cell>
          <cell r="CA88">
            <v>49.193982000000005</v>
          </cell>
          <cell r="CB88">
            <v>48.328413999999995</v>
          </cell>
          <cell r="CC88">
            <v>48.911493</v>
          </cell>
          <cell r="CD88">
            <v>46.627986</v>
          </cell>
          <cell r="CE88">
            <v>35.339480999999999</v>
          </cell>
          <cell r="CF88">
            <v>33.911389999999997</v>
          </cell>
        </row>
        <row r="89">
          <cell r="BA89">
            <v>94.472638000000003</v>
          </cell>
          <cell r="BB89">
            <v>87.884168000000003</v>
          </cell>
          <cell r="BC89">
            <v>78.037385999999998</v>
          </cell>
          <cell r="BD89">
            <v>79.117789000000002</v>
          </cell>
          <cell r="BE89">
            <v>78.14573</v>
          </cell>
          <cell r="BF89">
            <v>76.961848000000003</v>
          </cell>
          <cell r="BG89">
            <v>79.174406000000005</v>
          </cell>
          <cell r="BH89">
            <v>77.687827000000013</v>
          </cell>
          <cell r="BI89">
            <v>77.174689999999998</v>
          </cell>
          <cell r="BJ89">
            <v>77.623035999999999</v>
          </cell>
          <cell r="BK89">
            <v>74.779270000000011</v>
          </cell>
          <cell r="BL89">
            <v>76.658626999999996</v>
          </cell>
          <cell r="BM89">
            <v>74.894141000000005</v>
          </cell>
          <cell r="BN89">
            <v>77.772206000000011</v>
          </cell>
          <cell r="BO89">
            <v>76.738465000000005</v>
          </cell>
          <cell r="BP89">
            <v>76.51505499999999</v>
          </cell>
          <cell r="BQ89">
            <v>75.19529399999999</v>
          </cell>
          <cell r="BR89">
            <v>73.505401000000006</v>
          </cell>
          <cell r="BS89">
            <v>71.401535999999993</v>
          </cell>
          <cell r="BT89">
            <v>65.342759000000001</v>
          </cell>
          <cell r="BU89">
            <v>65.942603000000005</v>
          </cell>
          <cell r="BV89">
            <v>64.315681999999995</v>
          </cell>
          <cell r="BW89">
            <v>60.983786000000002</v>
          </cell>
          <cell r="BX89">
            <v>58.145854</v>
          </cell>
          <cell r="BY89">
            <v>58.531798999999999</v>
          </cell>
          <cell r="BZ89">
            <v>61.7577</v>
          </cell>
          <cell r="CA89">
            <v>62.289849000000004</v>
          </cell>
          <cell r="CB89">
            <v>64.672903000000005</v>
          </cell>
          <cell r="CC89">
            <v>64.653913000000003</v>
          </cell>
          <cell r="CD89">
            <v>64.406492999999998</v>
          </cell>
          <cell r="CE89">
            <v>62.625247999999999</v>
          </cell>
          <cell r="CF89">
            <v>63.879137000000007</v>
          </cell>
        </row>
        <row r="90">
          <cell r="BA90">
            <v>3.6917006000000003</v>
          </cell>
          <cell r="BB90">
            <v>3.4768493</v>
          </cell>
          <cell r="BC90">
            <v>3.3856223000000001</v>
          </cell>
          <cell r="BD90">
            <v>3.4629175000000001</v>
          </cell>
          <cell r="BE90">
            <v>3.3873434000000002</v>
          </cell>
          <cell r="BF90">
            <v>3.5192674000000004</v>
          </cell>
          <cell r="BG90">
            <v>3.576279</v>
          </cell>
          <cell r="BH90">
            <v>3.7410103000000001</v>
          </cell>
          <cell r="BI90">
            <v>3.8856627000000001</v>
          </cell>
          <cell r="BJ90">
            <v>4.1014077999999996</v>
          </cell>
          <cell r="BK90">
            <v>4.1250349999999996</v>
          </cell>
          <cell r="BL90">
            <v>4.0149682000000002</v>
          </cell>
          <cell r="BM90">
            <v>4.1037321000000002</v>
          </cell>
          <cell r="BN90">
            <v>4.0660163999999996</v>
          </cell>
          <cell r="BO90">
            <v>4.168857</v>
          </cell>
          <cell r="BP90">
            <v>4.0170848999999995</v>
          </cell>
          <cell r="BQ90">
            <v>4.6109623000000006</v>
          </cell>
          <cell r="BR90">
            <v>4.9101036999999996</v>
          </cell>
          <cell r="BS90">
            <v>5.3039664000000002</v>
          </cell>
          <cell r="BT90">
            <v>4.9724058000000007</v>
          </cell>
          <cell r="BU90">
            <v>4.8756396999999998</v>
          </cell>
          <cell r="BV90">
            <v>4.6539925999999996</v>
          </cell>
          <cell r="BW90">
            <v>4.6547485999999996</v>
          </cell>
          <cell r="BX90">
            <v>4.6613538999999999</v>
          </cell>
          <cell r="BY90">
            <v>4.6569997000000001</v>
          </cell>
          <cell r="BZ90">
            <v>4.7406385000000002</v>
          </cell>
          <cell r="CA90">
            <v>4.6835969999999998</v>
          </cell>
          <cell r="CB90">
            <v>4.7683992000000002</v>
          </cell>
          <cell r="CC90">
            <v>4.8391593000000004</v>
          </cell>
          <cell r="CD90">
            <v>4.6992272000000002</v>
          </cell>
          <cell r="CE90">
            <v>4.4933725999999998</v>
          </cell>
          <cell r="CF90">
            <v>4.6350946999999998</v>
          </cell>
        </row>
        <row r="93">
          <cell r="BZ93">
            <v>912.25292000000002</v>
          </cell>
        </row>
        <row r="94">
          <cell r="BA94">
            <v>136.55059</v>
          </cell>
          <cell r="BB94">
            <v>68.88263400000001</v>
          </cell>
          <cell r="BC94">
            <v>88.904870000000003</v>
          </cell>
          <cell r="BD94">
            <v>99.072726000000003</v>
          </cell>
          <cell r="BE94">
            <v>108.35588000000001</v>
          </cell>
          <cell r="BF94">
            <v>112.24516000000001</v>
          </cell>
          <cell r="BG94">
            <v>105.81764</v>
          </cell>
          <cell r="BH94">
            <v>119.53177000000001</v>
          </cell>
          <cell r="BI94">
            <v>133.14410999999998</v>
          </cell>
          <cell r="BJ94">
            <v>141.84989000000002</v>
          </cell>
          <cell r="BK94">
            <v>146.72048999999998</v>
          </cell>
          <cell r="BL94">
            <v>161.98972000000001</v>
          </cell>
          <cell r="BM94">
            <v>159.70060999999998</v>
          </cell>
          <cell r="BN94">
            <v>164.13012000000001</v>
          </cell>
          <cell r="BO94">
            <v>184.06744</v>
          </cell>
          <cell r="BP94">
            <v>184.18323000000001</v>
          </cell>
          <cell r="BQ94">
            <v>167.39414000000002</v>
          </cell>
          <cell r="BR94">
            <v>127.98230000000001</v>
          </cell>
          <cell r="BS94">
            <v>162.99520999999999</v>
          </cell>
          <cell r="BT94">
            <v>182.82923000000002</v>
          </cell>
          <cell r="BU94">
            <v>198.79689999999999</v>
          </cell>
          <cell r="BV94">
            <v>230.30242999999999</v>
          </cell>
          <cell r="BW94">
            <v>257.99847</v>
          </cell>
          <cell r="BX94">
            <v>271.79419999999999</v>
          </cell>
          <cell r="BY94">
            <v>277.42153999999999</v>
          </cell>
          <cell r="BZ94">
            <v>286.30768</v>
          </cell>
          <cell r="CA94">
            <v>339.19715000000002</v>
          </cell>
          <cell r="CB94">
            <v>356.47658000000001</v>
          </cell>
          <cell r="CC94">
            <v>363.8109</v>
          </cell>
          <cell r="CD94">
            <v>376.01115000000004</v>
          </cell>
          <cell r="CE94">
            <v>346.50778000000003</v>
          </cell>
          <cell r="CF94">
            <v>360.89320000000004</v>
          </cell>
        </row>
        <row r="95">
          <cell r="BA95">
            <v>54.725355999999998</v>
          </cell>
          <cell r="BB95">
            <v>55.570411</v>
          </cell>
          <cell r="BC95">
            <v>55.571159000000002</v>
          </cell>
          <cell r="BD95">
            <v>56.171328000000003</v>
          </cell>
          <cell r="BE95">
            <v>57.608072999999997</v>
          </cell>
          <cell r="BF95">
            <v>59.120469</v>
          </cell>
          <cell r="BG95">
            <v>61.265157000000002</v>
          </cell>
          <cell r="BH95">
            <v>62.689391000000008</v>
          </cell>
          <cell r="BI95">
            <v>65.301807999999994</v>
          </cell>
          <cell r="BJ95">
            <v>66.576585000000009</v>
          </cell>
          <cell r="BK95">
            <v>68.818319000000002</v>
          </cell>
          <cell r="BL95">
            <v>70.85118700000001</v>
          </cell>
          <cell r="BM95">
            <v>68.974294</v>
          </cell>
          <cell r="BN95">
            <v>69.383538000000001</v>
          </cell>
          <cell r="BO95">
            <v>68.737241999999995</v>
          </cell>
          <cell r="BP95">
            <v>70.569009999999992</v>
          </cell>
          <cell r="BQ95">
            <v>70.038279000000003</v>
          </cell>
          <cell r="BR95">
            <v>68.968586999999999</v>
          </cell>
          <cell r="BS95">
            <v>68.430222000000001</v>
          </cell>
          <cell r="BT95">
            <v>62.654478000000005</v>
          </cell>
          <cell r="BU95">
            <v>62.219169000000001</v>
          </cell>
          <cell r="BV95">
            <v>57.988637000000004</v>
          </cell>
          <cell r="BW95">
            <v>59.020512000000004</v>
          </cell>
          <cell r="BX95">
            <v>58.805855999999999</v>
          </cell>
          <cell r="BY95">
            <v>58.280322999999996</v>
          </cell>
          <cell r="BZ95">
            <v>60.728822999999998</v>
          </cell>
          <cell r="CA95">
            <v>62.978915999999998</v>
          </cell>
          <cell r="CB95">
            <v>62.387624000000002</v>
          </cell>
          <cell r="CC95">
            <v>62.696953999999998</v>
          </cell>
          <cell r="CD95">
            <v>60.129319000000002</v>
          </cell>
          <cell r="CE95">
            <v>57.987534000000004</v>
          </cell>
          <cell r="CF95">
            <v>61.031428999999996</v>
          </cell>
        </row>
        <row r="96">
          <cell r="BA96">
            <v>42.026750999999997</v>
          </cell>
          <cell r="BB96">
            <v>42.508476999999999</v>
          </cell>
          <cell r="BC96">
            <v>48.503331000000003</v>
          </cell>
          <cell r="BD96">
            <v>50.809110000000004</v>
          </cell>
          <cell r="BE96">
            <v>54.702638</v>
          </cell>
          <cell r="BF96">
            <v>57.299811999999996</v>
          </cell>
          <cell r="BG96">
            <v>59.667237999999998</v>
          </cell>
          <cell r="BH96">
            <v>62.979149</v>
          </cell>
          <cell r="BI96">
            <v>65.116895</v>
          </cell>
          <cell r="BJ96">
            <v>64.053989000000001</v>
          </cell>
          <cell r="BK96">
            <v>69.394772000000003</v>
          </cell>
          <cell r="BL96">
            <v>72.629960000000011</v>
          </cell>
          <cell r="BM96">
            <v>68.98337699999999</v>
          </cell>
          <cell r="BN96">
            <v>72.417788999999999</v>
          </cell>
          <cell r="BO96">
            <v>73.291850000000011</v>
          </cell>
          <cell r="BP96">
            <v>73.497384999999994</v>
          </cell>
          <cell r="BQ96">
            <v>75.196375000000003</v>
          </cell>
          <cell r="BR96">
            <v>78.701312000000001</v>
          </cell>
          <cell r="BS96">
            <v>80.210037999999997</v>
          </cell>
          <cell r="BT96">
            <v>76.362076999999999</v>
          </cell>
          <cell r="BU96">
            <v>79.487933999999996</v>
          </cell>
          <cell r="BV96">
            <v>82.280776000000003</v>
          </cell>
          <cell r="BW96">
            <v>87.404626999999991</v>
          </cell>
          <cell r="BX96">
            <v>82.913853000000003</v>
          </cell>
          <cell r="BY96">
            <v>80.948915</v>
          </cell>
          <cell r="BZ96">
            <v>84.605749000000003</v>
          </cell>
          <cell r="CA96">
            <v>84.828600999999992</v>
          </cell>
          <cell r="CB96">
            <v>84.387331000000003</v>
          </cell>
          <cell r="CC96">
            <v>84.787104999999997</v>
          </cell>
          <cell r="CD96">
            <v>85.636092000000005</v>
          </cell>
          <cell r="CE96">
            <v>84.29886599999999</v>
          </cell>
          <cell r="CF96">
            <v>84.770307000000003</v>
          </cell>
        </row>
        <row r="97">
          <cell r="BA97">
            <v>518.95539000000008</v>
          </cell>
          <cell r="BB97">
            <v>520.15632000000005</v>
          </cell>
          <cell r="BC97">
            <v>519.37630000000001</v>
          </cell>
          <cell r="BD97">
            <v>512.56034999999997</v>
          </cell>
          <cell r="BE97">
            <v>506.66041000000001</v>
          </cell>
          <cell r="BF97">
            <v>533.03107999999997</v>
          </cell>
          <cell r="BG97">
            <v>527.6237900000001</v>
          </cell>
          <cell r="BH97">
            <v>535.44388000000004</v>
          </cell>
          <cell r="BI97">
            <v>548.04415000000006</v>
          </cell>
          <cell r="BJ97">
            <v>553.69342000000006</v>
          </cell>
          <cell r="BK97">
            <v>557.44200000000001</v>
          </cell>
          <cell r="BL97">
            <v>559.29967000000011</v>
          </cell>
          <cell r="BM97">
            <v>565.38277000000005</v>
          </cell>
          <cell r="BN97">
            <v>584.90104000000008</v>
          </cell>
          <cell r="BO97">
            <v>590.99194</v>
          </cell>
          <cell r="BP97">
            <v>592.14148</v>
          </cell>
          <cell r="BQ97">
            <v>581.66377</v>
          </cell>
          <cell r="BR97">
            <v>576.30893000000003</v>
          </cell>
          <cell r="BS97">
            <v>563.65680000000009</v>
          </cell>
          <cell r="BT97">
            <v>508.95840999999996</v>
          </cell>
          <cell r="BU97">
            <v>520.82498999999996</v>
          </cell>
          <cell r="BV97">
            <v>508.31975</v>
          </cell>
          <cell r="BW97">
            <v>489.39188000000001</v>
          </cell>
          <cell r="BX97">
            <v>454.04316999999998</v>
          </cell>
          <cell r="BY97">
            <v>433.03271000000001</v>
          </cell>
          <cell r="BZ97">
            <v>443.29750000000001</v>
          </cell>
          <cell r="CA97">
            <v>440.63971999999995</v>
          </cell>
          <cell r="CB97">
            <v>434.97942999999998</v>
          </cell>
          <cell r="CC97">
            <v>431.44580999999999</v>
          </cell>
          <cell r="CD97">
            <v>420.17839000000004</v>
          </cell>
          <cell r="CE97">
            <v>382.78421000000003</v>
          </cell>
          <cell r="CF97">
            <v>415.39431999999999</v>
          </cell>
        </row>
        <row r="98">
          <cell r="BA98">
            <v>13.171192999999999</v>
          </cell>
          <cell r="BB98">
            <v>13.270668000000001</v>
          </cell>
          <cell r="BC98">
            <v>13.392569</v>
          </cell>
          <cell r="BD98">
            <v>13.855293</v>
          </cell>
          <cell r="BE98">
            <v>14.078254000000001</v>
          </cell>
          <cell r="BF98">
            <v>15.092124</v>
          </cell>
          <cell r="BG98">
            <v>15.460502</v>
          </cell>
          <cell r="BH98">
            <v>15.750365</v>
          </cell>
          <cell r="BI98">
            <v>15.334495</v>
          </cell>
          <cell r="BJ98">
            <v>15.671777000000001</v>
          </cell>
          <cell r="BK98">
            <v>16.036624</v>
          </cell>
          <cell r="BL98">
            <v>16.210080000000001</v>
          </cell>
          <cell r="BM98">
            <v>15.665288</v>
          </cell>
          <cell r="BN98">
            <v>16.385544000000003</v>
          </cell>
          <cell r="BO98">
            <v>16.151745999999999</v>
          </cell>
          <cell r="BP98">
            <v>15.955702</v>
          </cell>
          <cell r="BQ98">
            <v>16.103286000000001</v>
          </cell>
          <cell r="BR98">
            <v>15.853057000000002</v>
          </cell>
          <cell r="BS98">
            <v>18.457221000000001</v>
          </cell>
          <cell r="BT98">
            <v>15.522405000000001</v>
          </cell>
          <cell r="BU98">
            <v>14.850014999999999</v>
          </cell>
          <cell r="BV98">
            <v>15.140264999999999</v>
          </cell>
          <cell r="BW98">
            <v>14.905743000000001</v>
          </cell>
          <cell r="BX98">
            <v>15.334531999999999</v>
          </cell>
          <cell r="BY98">
            <v>14.618388000000001</v>
          </cell>
          <cell r="BZ98">
            <v>14.602697000000001</v>
          </cell>
          <cell r="CA98">
            <v>14.853749000000001</v>
          </cell>
          <cell r="CB98">
            <v>14.647973</v>
          </cell>
          <cell r="CC98">
            <v>14.819844999999999</v>
          </cell>
          <cell r="CD98">
            <v>15.057815000000002</v>
          </cell>
          <cell r="CE98">
            <v>14.457733000000001</v>
          </cell>
          <cell r="CF98">
            <v>14.370896</v>
          </cell>
        </row>
        <row r="100">
          <cell r="BA100">
            <v>13.506637000000001</v>
          </cell>
          <cell r="BB100">
            <v>13.245122</v>
          </cell>
          <cell r="BC100">
            <v>15.672635000000001</v>
          </cell>
          <cell r="BD100">
            <v>15.642565000000001</v>
          </cell>
          <cell r="BE100">
            <v>17.250786000000002</v>
          </cell>
          <cell r="BF100">
            <v>17.582361000000002</v>
          </cell>
          <cell r="BG100">
            <v>18.44727</v>
          </cell>
          <cell r="BH100">
            <v>18.986113000000003</v>
          </cell>
          <cell r="BI100">
            <v>19.428353000000001</v>
          </cell>
          <cell r="BJ100">
            <v>19.775054000000001</v>
          </cell>
          <cell r="BK100">
            <v>20.803635999999997</v>
          </cell>
          <cell r="BL100">
            <v>21.903508000000002</v>
          </cell>
          <cell r="BM100">
            <v>23.464592</v>
          </cell>
          <cell r="BN100">
            <v>24.592133999999998</v>
          </cell>
          <cell r="BO100">
            <v>27.04121</v>
          </cell>
          <cell r="BP100">
            <v>29.776324000000002</v>
          </cell>
          <cell r="BQ100">
            <v>30.293018</v>
          </cell>
          <cell r="BR100">
            <v>31.312882000000002</v>
          </cell>
          <cell r="BS100">
            <v>30.779754000000001</v>
          </cell>
          <cell r="BT100">
            <v>30.808627000000001</v>
          </cell>
          <cell r="BU100">
            <v>29.86253</v>
          </cell>
          <cell r="BV100">
            <v>30.461381000000003</v>
          </cell>
          <cell r="BW100">
            <v>33.228309000000003</v>
          </cell>
          <cell r="BX100">
            <v>33.254417000000004</v>
          </cell>
          <cell r="BY100">
            <v>35.378774</v>
          </cell>
          <cell r="BZ100">
            <v>34.851928000000001</v>
          </cell>
          <cell r="CA100">
            <v>33.439288999999995</v>
          </cell>
          <cell r="CB100">
            <v>35.222275000000003</v>
          </cell>
          <cell r="CC100">
            <v>30.276804000000002</v>
          </cell>
          <cell r="CD100">
            <v>29.951203000000003</v>
          </cell>
          <cell r="CE100">
            <v>28.903864000000002</v>
          </cell>
          <cell r="CF100">
            <v>29.977879000000001</v>
          </cell>
        </row>
        <row r="102">
          <cell r="BA102">
            <v>41.920921999999997</v>
          </cell>
          <cell r="BB102">
            <v>40.123213000000007</v>
          </cell>
          <cell r="BC102">
            <v>40.941065999999999</v>
          </cell>
          <cell r="BD102">
            <v>41.652728000000003</v>
          </cell>
          <cell r="BE102">
            <v>42.312584999999999</v>
          </cell>
          <cell r="BF102">
            <v>43.232253</v>
          </cell>
          <cell r="BG102">
            <v>43.573442000000007</v>
          </cell>
          <cell r="BH102">
            <v>42.240245999999999</v>
          </cell>
          <cell r="BI102">
            <v>47.097726999999999</v>
          </cell>
          <cell r="BJ102">
            <v>45.935797000000001</v>
          </cell>
          <cell r="BK102">
            <v>43.339118999999997</v>
          </cell>
          <cell r="BL102">
            <v>43.286086000000005</v>
          </cell>
          <cell r="BM102">
            <v>43.917689000000003</v>
          </cell>
          <cell r="BN102">
            <v>46.072662999999999</v>
          </cell>
          <cell r="BO102">
            <v>48.325911999999995</v>
          </cell>
          <cell r="BP102">
            <v>50.229157000000001</v>
          </cell>
          <cell r="BQ102">
            <v>49.012345000000003</v>
          </cell>
          <cell r="BR102">
            <v>64.964979</v>
          </cell>
          <cell r="BS102">
            <v>62.847777000000001</v>
          </cell>
          <cell r="BT102">
            <v>62.657693000000002</v>
          </cell>
          <cell r="BU102">
            <v>62.401349000000003</v>
          </cell>
          <cell r="BV102">
            <v>65.228401000000005</v>
          </cell>
          <cell r="BW102">
            <v>67.025775999999993</v>
          </cell>
          <cell r="BX102">
            <v>65.805582999999999</v>
          </cell>
          <cell r="BY102">
            <v>67.549824999999998</v>
          </cell>
          <cell r="BZ102">
            <v>71.144346000000013</v>
          </cell>
          <cell r="CA102">
            <v>75.773472999999996</v>
          </cell>
          <cell r="CB102">
            <v>72.289380000000008</v>
          </cell>
          <cell r="CC102">
            <v>74.661844000000002</v>
          </cell>
          <cell r="CD102">
            <v>80.762513999999996</v>
          </cell>
          <cell r="CE102">
            <v>81.374504000000002</v>
          </cell>
          <cell r="CF102">
            <v>85.26553100000001</v>
          </cell>
        </row>
        <row r="103">
          <cell r="BA103">
            <v>2.9669029999999999E-2</v>
          </cell>
          <cell r="BB103">
            <v>2.9860590999999999E-2</v>
          </cell>
          <cell r="BC103">
            <v>3.2379125000000002E-2</v>
          </cell>
          <cell r="BD103">
            <v>3.4878743000000004E-2</v>
          </cell>
          <cell r="BE103">
            <v>3.5014066000000003E-2</v>
          </cell>
          <cell r="BF103">
            <v>3.5451163000000001E-2</v>
          </cell>
          <cell r="BG103">
            <v>3.6047668999999997E-2</v>
          </cell>
          <cell r="BH103">
            <v>3.6512924000000002E-2</v>
          </cell>
          <cell r="BI103">
            <v>3.7048679000000001E-2</v>
          </cell>
          <cell r="BJ103">
            <v>3.7474083999999998E-2</v>
          </cell>
          <cell r="BK103">
            <v>4.1133349000000007E-2</v>
          </cell>
          <cell r="BL103">
            <v>3.9207985000000001E-2</v>
          </cell>
          <cell r="BM103">
            <v>4.7354882000000008E-2</v>
          </cell>
          <cell r="BN103">
            <v>5.0024192999999995E-2</v>
          </cell>
          <cell r="BO103">
            <v>5.2697239999999999E-2</v>
          </cell>
          <cell r="BP103">
            <v>5.5265574999999997E-2</v>
          </cell>
          <cell r="BQ103">
            <v>8.7465266999999999E-2</v>
          </cell>
          <cell r="BR103">
            <v>9.3145095999999997E-2</v>
          </cell>
          <cell r="BS103">
            <v>8.9324354999999994E-2</v>
          </cell>
          <cell r="BT103">
            <v>7.8741778999999998E-2</v>
          </cell>
          <cell r="BU103">
            <v>8.2849181000000008E-2</v>
          </cell>
          <cell r="BV103">
            <v>7.9769497000000009E-2</v>
          </cell>
          <cell r="BW103">
            <v>7.6843543E-2</v>
          </cell>
          <cell r="BX103">
            <v>7.7344891999999998E-2</v>
          </cell>
          <cell r="BY103">
            <v>8.4915801999999999E-2</v>
          </cell>
          <cell r="BZ103">
            <v>8.9241809000000005E-2</v>
          </cell>
          <cell r="CA103">
            <v>9.3594283E-2</v>
          </cell>
          <cell r="CB103">
            <v>9.4280598999999993E-2</v>
          </cell>
          <cell r="CC103">
            <v>9.6935557000000006E-2</v>
          </cell>
          <cell r="CD103">
            <v>0.10244048</v>
          </cell>
          <cell r="CE103">
            <v>0.10325592</v>
          </cell>
          <cell r="CF103">
            <v>0.10605450000000001</v>
          </cell>
        </row>
        <row r="104">
          <cell r="BA104">
            <v>223.03460999999999</v>
          </cell>
          <cell r="BB104">
            <v>215.74515</v>
          </cell>
          <cell r="BC104">
            <v>192.39797000000002</v>
          </cell>
          <cell r="BD104">
            <v>180.12673000000001</v>
          </cell>
          <cell r="BE104">
            <v>166.42045999999999</v>
          </cell>
          <cell r="BF104">
            <v>145.71092999999999</v>
          </cell>
          <cell r="BG104">
            <v>122.71919000000001</v>
          </cell>
          <cell r="BH104">
            <v>110.51438</v>
          </cell>
          <cell r="BI104">
            <v>92.302793000000008</v>
          </cell>
          <cell r="BJ104">
            <v>91.112831999999997</v>
          </cell>
          <cell r="BK104">
            <v>86.939302999999995</v>
          </cell>
          <cell r="BL104">
            <v>92.75224</v>
          </cell>
          <cell r="BM104">
            <v>93.072161999999992</v>
          </cell>
          <cell r="BN104">
            <v>94.824691999999999</v>
          </cell>
          <cell r="BO104">
            <v>97.328946999999999</v>
          </cell>
          <cell r="BP104">
            <v>101.81991000000001</v>
          </cell>
          <cell r="BQ104">
            <v>103.41459</v>
          </cell>
          <cell r="BR104">
            <v>88.260933999999992</v>
          </cell>
          <cell r="BS104">
            <v>94.593876000000009</v>
          </cell>
          <cell r="BT104">
            <v>74.869224000000003</v>
          </cell>
          <cell r="BU104">
            <v>71.562218000000001</v>
          </cell>
          <cell r="BV104">
            <v>57.938316</v>
          </cell>
          <cell r="BW104">
            <v>58.068951000000006</v>
          </cell>
          <cell r="BX104">
            <v>47.289492000000003</v>
          </cell>
          <cell r="BY104">
            <v>54.906510000000004</v>
          </cell>
          <cell r="BZ104">
            <v>50.544533000000001</v>
          </cell>
          <cell r="CA104">
            <v>54.335353000000005</v>
          </cell>
          <cell r="CB104">
            <v>46.532214000000003</v>
          </cell>
          <cell r="CC104">
            <v>45.853269000000004</v>
          </cell>
          <cell r="CD104">
            <v>48.142344999999999</v>
          </cell>
          <cell r="CE104">
            <v>48.171323000000001</v>
          </cell>
          <cell r="CF104">
            <v>51.267153</v>
          </cell>
        </row>
        <row r="106">
          <cell r="BA106">
            <v>27.692778999999998</v>
          </cell>
          <cell r="BB106">
            <v>282.95362</v>
          </cell>
          <cell r="BC106">
            <v>20.850106</v>
          </cell>
          <cell r="BD106">
            <v>32.928021999999999</v>
          </cell>
          <cell r="BE106">
            <v>36.671424000000002</v>
          </cell>
          <cell r="BF106">
            <v>38.790334999999999</v>
          </cell>
          <cell r="BG106">
            <v>37.979196000000002</v>
          </cell>
          <cell r="BH106">
            <v>43.030245999999998</v>
          </cell>
          <cell r="BI106">
            <v>42.649625999999998</v>
          </cell>
          <cell r="BJ106">
            <v>46.626669999999997</v>
          </cell>
          <cell r="BK106">
            <v>48.931222000000005</v>
          </cell>
          <cell r="BL106">
            <v>52.897693000000004</v>
          </cell>
          <cell r="BM106">
            <v>55.155991</v>
          </cell>
          <cell r="BN106">
            <v>57.672040000000003</v>
          </cell>
          <cell r="BO106">
            <v>61.056641000000006</v>
          </cell>
          <cell r="BP106">
            <v>68.749014000000003</v>
          </cell>
          <cell r="BQ106">
            <v>70.366517000000002</v>
          </cell>
          <cell r="BR106">
            <v>71.921100999999993</v>
          </cell>
          <cell r="BS106">
            <v>77.256219999999999</v>
          </cell>
          <cell r="BT106">
            <v>80.639628000000002</v>
          </cell>
          <cell r="BU106">
            <v>82.211631999999994</v>
          </cell>
          <cell r="BV106">
            <v>80.587986000000001</v>
          </cell>
          <cell r="BW106">
            <v>91.551552000000001</v>
          </cell>
          <cell r="BX106">
            <v>89.839780000000005</v>
          </cell>
          <cell r="BY106">
            <v>86.453147000000001</v>
          </cell>
          <cell r="BZ106">
            <v>90.907207999999997</v>
          </cell>
          <cell r="CA106">
            <v>96.796437999999995</v>
          </cell>
          <cell r="CB106">
            <v>99.725510999999997</v>
          </cell>
          <cell r="CC106">
            <v>102.78371000000001</v>
          </cell>
          <cell r="CD106">
            <v>95.813557000000003</v>
          </cell>
          <cell r="CE106">
            <v>91.945147000000006</v>
          </cell>
          <cell r="CF106">
            <v>97.586861999999996</v>
          </cell>
        </row>
        <row r="107">
          <cell r="BA107">
            <v>29.058949000000002</v>
          </cell>
          <cell r="BB107">
            <v>26.709325</v>
          </cell>
          <cell r="BC107">
            <v>22.059598999999999</v>
          </cell>
          <cell r="BD107">
            <v>16.000641999999999</v>
          </cell>
          <cell r="BE107">
            <v>11.634528000000001</v>
          </cell>
          <cell r="BF107">
            <v>9.2303912999999991</v>
          </cell>
          <cell r="BG107">
            <v>8.9361352000000007</v>
          </cell>
          <cell r="BH107">
            <v>9.7035596000000002</v>
          </cell>
          <cell r="BI107">
            <v>9.1192042000000004</v>
          </cell>
          <cell r="BJ107">
            <v>8.9986820000000005</v>
          </cell>
          <cell r="BK107">
            <v>8.7027507000000011</v>
          </cell>
          <cell r="BL107">
            <v>9.1152142000000005</v>
          </cell>
          <cell r="BM107">
            <v>8.8464243000000007</v>
          </cell>
          <cell r="BN107">
            <v>9.0822949000000008</v>
          </cell>
          <cell r="BO107">
            <v>9.4440224999999991</v>
          </cell>
          <cell r="BP107">
            <v>9.9504503</v>
          </cell>
          <cell r="BQ107">
            <v>10.188733000000001</v>
          </cell>
          <cell r="BR107">
            <v>12.359267000000001</v>
          </cell>
          <cell r="BS107">
            <v>12.362101000000001</v>
          </cell>
          <cell r="BT107">
            <v>12.145397000000001</v>
          </cell>
          <cell r="BU107">
            <v>11.756887000000001</v>
          </cell>
          <cell r="BV107">
            <v>13.479946</v>
          </cell>
          <cell r="BW107">
            <v>15.243365000000001</v>
          </cell>
          <cell r="BX107">
            <v>15.289172000000001</v>
          </cell>
          <cell r="BY107">
            <v>15.923712999999999</v>
          </cell>
          <cell r="BZ107">
            <v>16.57321</v>
          </cell>
          <cell r="CA107">
            <v>15.259807</v>
          </cell>
          <cell r="CB107">
            <v>16.160641999999999</v>
          </cell>
          <cell r="CC107">
            <v>18.337886999999998</v>
          </cell>
          <cell r="CD107">
            <v>17.877564</v>
          </cell>
          <cell r="CE107">
            <v>18.007874000000001</v>
          </cell>
          <cell r="CF107">
            <v>19.028252000000002</v>
          </cell>
        </row>
        <row r="108">
          <cell r="BA108">
            <v>9.5734629000000009</v>
          </cell>
          <cell r="BB108">
            <v>9.0024035999999992</v>
          </cell>
          <cell r="BC108">
            <v>9.1619910999999998</v>
          </cell>
          <cell r="BD108">
            <v>8.9911110999999995</v>
          </cell>
          <cell r="BE108">
            <v>9.3751838000000003</v>
          </cell>
          <cell r="BF108">
            <v>9.3706126000000012</v>
          </cell>
          <cell r="BG108">
            <v>9.2086221000000013</v>
          </cell>
          <cell r="BH108">
            <v>9.3847162000000015</v>
          </cell>
          <cell r="BI108">
            <v>8.8643214000000015</v>
          </cell>
          <cell r="BJ108">
            <v>8.8570463000000004</v>
          </cell>
          <cell r="BK108">
            <v>9.309515900000001</v>
          </cell>
          <cell r="BL108">
            <v>9.5975542000000011</v>
          </cell>
          <cell r="BM108">
            <v>9.7708279999999998</v>
          </cell>
          <cell r="BN108">
            <v>9.9502783000000008</v>
          </cell>
          <cell r="BO108">
            <v>10.385999</v>
          </cell>
          <cell r="BP108">
            <v>10.202626</v>
          </cell>
          <cell r="BQ108">
            <v>10.50342</v>
          </cell>
          <cell r="BR108">
            <v>11.023378000000001</v>
          </cell>
          <cell r="BS108">
            <v>11.407954999999999</v>
          </cell>
          <cell r="BT108">
            <v>12.337648999999999</v>
          </cell>
          <cell r="BU108">
            <v>13.318562</v>
          </cell>
          <cell r="BV108">
            <v>12.951536000000001</v>
          </cell>
          <cell r="BW108">
            <v>13.922223000000001</v>
          </cell>
          <cell r="BX108">
            <v>14.769989000000001</v>
          </cell>
          <cell r="BY108">
            <v>15.071505</v>
          </cell>
          <cell r="BZ108">
            <v>19.926942</v>
          </cell>
          <cell r="CA108">
            <v>25.791863000000003</v>
          </cell>
          <cell r="CB108">
            <v>29.304548</v>
          </cell>
          <cell r="CC108">
            <v>30.034372999999999</v>
          </cell>
          <cell r="CD108">
            <v>31.764792000000003</v>
          </cell>
          <cell r="CE108">
            <v>32.764018999999998</v>
          </cell>
          <cell r="CF108">
            <v>36.771836999999998</v>
          </cell>
        </row>
        <row r="109">
          <cell r="BA109">
            <v>25.873837999999999</v>
          </cell>
          <cell r="BB109">
            <v>23.977815</v>
          </cell>
          <cell r="BC109">
            <v>19.204802000000001</v>
          </cell>
          <cell r="BD109">
            <v>15.787725</v>
          </cell>
          <cell r="BE109">
            <v>13.836001000000001</v>
          </cell>
          <cell r="BF109">
            <v>12.452680000000001</v>
          </cell>
          <cell r="BG109">
            <v>12.507211999999999</v>
          </cell>
          <cell r="BH109">
            <v>11.953146</v>
          </cell>
          <cell r="BI109">
            <v>11.454594</v>
          </cell>
          <cell r="BJ109">
            <v>10.678073000000001</v>
          </cell>
          <cell r="BK109">
            <v>10.058253000000001</v>
          </cell>
          <cell r="BL109">
            <v>10.648785</v>
          </cell>
          <cell r="BM109">
            <v>10.616606000000001</v>
          </cell>
          <cell r="BN109">
            <v>10.821879000000001</v>
          </cell>
          <cell r="BO109">
            <v>10.768435</v>
          </cell>
          <cell r="BP109">
            <v>10.926881</v>
          </cell>
          <cell r="BQ109">
            <v>11.40333</v>
          </cell>
          <cell r="BR109">
            <v>11.851084999999999</v>
          </cell>
          <cell r="BS109">
            <v>11.391062</v>
          </cell>
          <cell r="BT109">
            <v>10.706325000000001</v>
          </cell>
          <cell r="BU109">
            <v>11.786504000000001</v>
          </cell>
          <cell r="BV109">
            <v>11.000811000000001</v>
          </cell>
          <cell r="BW109">
            <v>10.820921</v>
          </cell>
          <cell r="BX109">
            <v>10.738169000000001</v>
          </cell>
          <cell r="BY109">
            <v>10.650915000000001</v>
          </cell>
          <cell r="BZ109">
            <v>10.702019</v>
          </cell>
          <cell r="CA109">
            <v>10.697272999999999</v>
          </cell>
          <cell r="CB109">
            <v>10.729186</v>
          </cell>
          <cell r="CC109">
            <v>11.229972999999999</v>
          </cell>
          <cell r="CD109">
            <v>11.099957</v>
          </cell>
          <cell r="CE109">
            <v>10.458159999999999</v>
          </cell>
          <cell r="CF109">
            <v>10.701290000000002</v>
          </cell>
        </row>
        <row r="110">
          <cell r="BA110">
            <v>11.542526000000001</v>
          </cell>
          <cell r="BB110">
            <v>11.818063</v>
          </cell>
          <cell r="BC110">
            <v>13.964049000000001</v>
          </cell>
          <cell r="BD110">
            <v>15.410275</v>
          </cell>
          <cell r="BE110">
            <v>16.264753000000002</v>
          </cell>
          <cell r="BF110">
            <v>18.121925999999998</v>
          </cell>
          <cell r="BG110">
            <v>18.535349</v>
          </cell>
          <cell r="BH110">
            <v>19.579703000000002</v>
          </cell>
          <cell r="BI110">
            <v>21.1539</v>
          </cell>
          <cell r="BJ110">
            <v>20.552451000000001</v>
          </cell>
          <cell r="BK110">
            <v>19.416791</v>
          </cell>
          <cell r="BL110">
            <v>20.647669</v>
          </cell>
          <cell r="BM110">
            <v>20.624792000000003</v>
          </cell>
          <cell r="BN110">
            <v>23.218491000000004</v>
          </cell>
          <cell r="BO110">
            <v>22.195523000000001</v>
          </cell>
          <cell r="BP110">
            <v>21.770658999999998</v>
          </cell>
          <cell r="BQ110">
            <v>19.967908999999999</v>
          </cell>
          <cell r="BR110">
            <v>18.999897000000001</v>
          </cell>
          <cell r="BS110">
            <v>22.855172</v>
          </cell>
          <cell r="BT110">
            <v>26.645740000000004</v>
          </cell>
          <cell r="BU110">
            <v>25.810111000000003</v>
          </cell>
          <cell r="BV110">
            <v>26.467787000000001</v>
          </cell>
          <cell r="BW110">
            <v>28.301294000000002</v>
          </cell>
          <cell r="BX110">
            <v>28.075113000000002</v>
          </cell>
          <cell r="BY110">
            <v>29.239344000000003</v>
          </cell>
          <cell r="BZ110">
            <v>30.100442999999999</v>
          </cell>
          <cell r="CA110">
            <v>31.088238</v>
          </cell>
          <cell r="CB110">
            <v>32.115898000000001</v>
          </cell>
          <cell r="CC110">
            <v>32.959071999999999</v>
          </cell>
          <cell r="CD110">
            <v>30.724903999999999</v>
          </cell>
          <cell r="CE110">
            <v>28.844076000000001</v>
          </cell>
          <cell r="CF110">
            <v>29.83473</v>
          </cell>
        </row>
        <row r="111">
          <cell r="BA111">
            <v>1.9369718</v>
          </cell>
          <cell r="BB111">
            <v>1.976108</v>
          </cell>
          <cell r="BC111">
            <v>2.1262831000000002</v>
          </cell>
          <cell r="BD111">
            <v>2.1146435000000001</v>
          </cell>
          <cell r="BE111">
            <v>2.0913957999999999</v>
          </cell>
          <cell r="BF111">
            <v>2.3023452999999998</v>
          </cell>
          <cell r="BG111">
            <v>2.4771274000000001</v>
          </cell>
          <cell r="BH111">
            <v>2.7864524000000004</v>
          </cell>
          <cell r="BI111">
            <v>2.7281060000000004</v>
          </cell>
          <cell r="BJ111">
            <v>3.7059684000000002</v>
          </cell>
          <cell r="BK111">
            <v>3.8207473000000003</v>
          </cell>
          <cell r="BL111">
            <v>4.0233281000000005</v>
          </cell>
          <cell r="BM111">
            <v>4.0139291999999998</v>
          </cell>
          <cell r="BN111">
            <v>4.3077142999999998</v>
          </cell>
          <cell r="BO111">
            <v>4.4676077999999997</v>
          </cell>
          <cell r="BP111">
            <v>4.8680551999999997</v>
          </cell>
          <cell r="BQ111">
            <v>4.8325189000000002</v>
          </cell>
          <cell r="BR111">
            <v>5.0530863000000004</v>
          </cell>
          <cell r="BS111">
            <v>4.9288997999999999</v>
          </cell>
          <cell r="BT111">
            <v>5.1376599000000001</v>
          </cell>
          <cell r="BU111">
            <v>5.2911163999999999</v>
          </cell>
          <cell r="BV111">
            <v>4.8286558000000008</v>
          </cell>
          <cell r="BW111">
            <v>4.6124358000000001</v>
          </cell>
          <cell r="BX111">
            <v>4.5366908000000006</v>
          </cell>
          <cell r="BY111">
            <v>4.6926781000000002</v>
          </cell>
          <cell r="BZ111">
            <v>4.7644656999999997</v>
          </cell>
          <cell r="CA111">
            <v>4.8240289000000001</v>
          </cell>
          <cell r="CB111">
            <v>4.9605310000000005</v>
          </cell>
          <cell r="CC111">
            <v>4.9124159000000001</v>
          </cell>
          <cell r="CD111">
            <v>4.6764881999999997</v>
          </cell>
          <cell r="CE111">
            <v>4.4745942999999997</v>
          </cell>
          <cell r="CF111">
            <v>4.7360575000000003</v>
          </cell>
        </row>
        <row r="112">
          <cell r="BA112">
            <v>1.7005939000000001</v>
          </cell>
          <cell r="BB112">
            <v>1.5347361000000002</v>
          </cell>
          <cell r="BC112">
            <v>1.5116124</v>
          </cell>
          <cell r="BD112">
            <v>1.4705052000000001</v>
          </cell>
          <cell r="BE112">
            <v>1.4338363999999999</v>
          </cell>
          <cell r="BF112">
            <v>1.4531765999999999</v>
          </cell>
          <cell r="BG112">
            <v>1.4913642</v>
          </cell>
          <cell r="BH112">
            <v>1.6188879</v>
          </cell>
          <cell r="BI112">
            <v>1.7577944000000001</v>
          </cell>
          <cell r="BJ112">
            <v>1.7879540999999999</v>
          </cell>
          <cell r="BK112">
            <v>1.9284599</v>
          </cell>
          <cell r="BL112">
            <v>1.9905993000000002</v>
          </cell>
          <cell r="BM112">
            <v>2.0265727</v>
          </cell>
          <cell r="BN112">
            <v>2.1100304999999997</v>
          </cell>
          <cell r="BO112">
            <v>2.2310430999999999</v>
          </cell>
          <cell r="BP112">
            <v>2.3982748000000003</v>
          </cell>
          <cell r="BQ112">
            <v>2.5620113999999998</v>
          </cell>
          <cell r="BR112">
            <v>2.5697123000000004</v>
          </cell>
          <cell r="BS112">
            <v>2.5642686000000001</v>
          </cell>
          <cell r="BT112">
            <v>2.8362476999999999</v>
          </cell>
          <cell r="BU112">
            <v>3.0182614000000001</v>
          </cell>
          <cell r="BV112">
            <v>3.1963472999999998</v>
          </cell>
          <cell r="BW112">
            <v>3.4317858000000001</v>
          </cell>
          <cell r="BX112">
            <v>3.3914965000000001</v>
          </cell>
          <cell r="BY112">
            <v>3.8529218000000003</v>
          </cell>
          <cell r="BZ112">
            <v>4.0597168999999997</v>
          </cell>
          <cell r="CA112">
            <v>4.175414</v>
          </cell>
          <cell r="CB112">
            <v>4.1178566999999999</v>
          </cell>
          <cell r="CC112">
            <v>4.3496410999999995</v>
          </cell>
          <cell r="CD112">
            <v>4.5948245999999999</v>
          </cell>
          <cell r="CE112">
            <v>4.6526532999999999</v>
          </cell>
          <cell r="CF112">
            <v>4.8343685000000001</v>
          </cell>
        </row>
        <row r="113">
          <cell r="BA113">
            <v>84.458758000000003</v>
          </cell>
          <cell r="BB113">
            <v>88.17286</v>
          </cell>
          <cell r="BC113">
            <v>77.091671000000005</v>
          </cell>
          <cell r="BD113">
            <v>73.770308999999997</v>
          </cell>
          <cell r="BE113">
            <v>87.763686000000007</v>
          </cell>
          <cell r="BF113">
            <v>93.666903000000005</v>
          </cell>
          <cell r="BG113">
            <v>93.587274999999991</v>
          </cell>
          <cell r="BH113">
            <v>87.091329999999999</v>
          </cell>
          <cell r="BI113">
            <v>85.415880999999999</v>
          </cell>
          <cell r="BJ113">
            <v>81.513636000000005</v>
          </cell>
          <cell r="BK113">
            <v>85.807933999999989</v>
          </cell>
          <cell r="BL113">
            <v>84.140647999999999</v>
          </cell>
          <cell r="BM113">
            <v>82.106082999999998</v>
          </cell>
          <cell r="BN113">
            <v>88.290592000000004</v>
          </cell>
          <cell r="BO113">
            <v>90.47936</v>
          </cell>
          <cell r="BP113">
            <v>95.890489000000002</v>
          </cell>
          <cell r="BQ113">
            <v>96.118206000000001</v>
          </cell>
          <cell r="BR113">
            <v>90.971587</v>
          </cell>
          <cell r="BS113">
            <v>97.81089999999999</v>
          </cell>
          <cell r="BT113">
            <v>97.320126999999999</v>
          </cell>
          <cell r="BU113">
            <v>103.5278</v>
          </cell>
          <cell r="BV113">
            <v>60.362697999999995</v>
          </cell>
          <cell r="BW113">
            <v>88.701531000000003</v>
          </cell>
          <cell r="BX113">
            <v>86.231769</v>
          </cell>
          <cell r="BY113">
            <v>77.738276999999997</v>
          </cell>
          <cell r="BZ113">
            <v>69.703441999999995</v>
          </cell>
          <cell r="CA113">
            <v>63.478129000000003</v>
          </cell>
          <cell r="CB113">
            <v>73.02041899999999</v>
          </cell>
          <cell r="CC113">
            <v>82.534486999999999</v>
          </cell>
          <cell r="CD113">
            <v>84.667656000000008</v>
          </cell>
          <cell r="CE113">
            <v>64.158394999999999</v>
          </cell>
          <cell r="CF113">
            <v>95.512130999999997</v>
          </cell>
        </row>
        <row r="114">
          <cell r="BA114">
            <v>0.22847324000000002</v>
          </cell>
          <cell r="BB114">
            <v>0.23604121</v>
          </cell>
          <cell r="BC114">
            <v>0.23624000000000001</v>
          </cell>
          <cell r="BD114">
            <v>0.24335606999999998</v>
          </cell>
          <cell r="BE114">
            <v>0.22968430000000001</v>
          </cell>
          <cell r="BF114">
            <v>0.2334638</v>
          </cell>
          <cell r="BG114">
            <v>0.23574920000000002</v>
          </cell>
          <cell r="BH114">
            <v>0.24831550999999999</v>
          </cell>
          <cell r="BI114">
            <v>0.25926486999999998</v>
          </cell>
          <cell r="BJ114">
            <v>0.25624803000000002</v>
          </cell>
          <cell r="BK114">
            <v>0.24684626000000001</v>
          </cell>
          <cell r="BL114">
            <v>0.24640264000000001</v>
          </cell>
          <cell r="BM114">
            <v>0.25275190000000003</v>
          </cell>
          <cell r="BN114">
            <v>0.26285253999999997</v>
          </cell>
          <cell r="BO114">
            <v>0.26304389</v>
          </cell>
          <cell r="BP114">
            <v>0.26359039000000001</v>
          </cell>
          <cell r="BQ114">
            <v>0.26717614000000001</v>
          </cell>
          <cell r="BR114">
            <v>0.23793882</v>
          </cell>
          <cell r="BS114">
            <v>0.25761191999999999</v>
          </cell>
          <cell r="BT114">
            <v>0.24284448</v>
          </cell>
          <cell r="BU114">
            <v>0.22794809000000002</v>
          </cell>
          <cell r="BV114">
            <v>0.21509790000000001</v>
          </cell>
          <cell r="BW114">
            <v>0.22428389999999998</v>
          </cell>
          <cell r="BX114">
            <v>0.23051462</v>
          </cell>
          <cell r="BY114">
            <v>0.19945083</v>
          </cell>
          <cell r="BZ114">
            <v>0.19785527999999999</v>
          </cell>
          <cell r="CA114">
            <v>0.18749778</v>
          </cell>
          <cell r="CB114">
            <v>0.19318259000000002</v>
          </cell>
          <cell r="CC114">
            <v>0.18097676999999998</v>
          </cell>
          <cell r="CD114">
            <v>0.18750742000000001</v>
          </cell>
          <cell r="CE114">
            <v>0.18000884</v>
          </cell>
          <cell r="CF114">
            <v>0.18306301</v>
          </cell>
        </row>
        <row r="115">
          <cell r="BA115">
            <v>47.869301</v>
          </cell>
          <cell r="BB115">
            <v>49.871646999999996</v>
          </cell>
          <cell r="BC115">
            <v>30.715202000000001</v>
          </cell>
          <cell r="BD115">
            <v>24.625419999999998</v>
          </cell>
          <cell r="BE115">
            <v>23.259815</v>
          </cell>
          <cell r="BF115">
            <v>22.257293000000001</v>
          </cell>
          <cell r="BG115">
            <v>23.298200000000001</v>
          </cell>
          <cell r="BH115">
            <v>22.859801000000001</v>
          </cell>
          <cell r="BI115">
            <v>23.795274000000003</v>
          </cell>
          <cell r="BJ115">
            <v>21.002386999999999</v>
          </cell>
          <cell r="BK115">
            <v>19.438904999999998</v>
          </cell>
          <cell r="BL115">
            <v>20.236052000000001</v>
          </cell>
          <cell r="BM115">
            <v>20.614760999999998</v>
          </cell>
          <cell r="BN115">
            <v>20.785597000000003</v>
          </cell>
          <cell r="BO115">
            <v>21.604862000000001</v>
          </cell>
          <cell r="BP115">
            <v>22.482334999999999</v>
          </cell>
          <cell r="BQ115">
            <v>22.792699000000002</v>
          </cell>
          <cell r="BR115">
            <v>24.859767000000002</v>
          </cell>
          <cell r="BS115">
            <v>23.949781999999999</v>
          </cell>
          <cell r="BT115">
            <v>19.725436000000002</v>
          </cell>
          <cell r="BU115">
            <v>20.635289</v>
          </cell>
          <cell r="BV115">
            <v>21.05489</v>
          </cell>
          <cell r="BW115">
            <v>21.016394000000002</v>
          </cell>
          <cell r="BX115">
            <v>19.868531000000001</v>
          </cell>
          <cell r="BY115">
            <v>19.786453000000002</v>
          </cell>
          <cell r="BZ115">
            <v>20.090340000000001</v>
          </cell>
          <cell r="CA115">
            <v>20.167657999999999</v>
          </cell>
          <cell r="CB115">
            <v>20.308825000000002</v>
          </cell>
          <cell r="CC115">
            <v>19.981362000000001</v>
          </cell>
          <cell r="CD115">
            <v>20.226486000000001</v>
          </cell>
          <cell r="CE115">
            <v>20.186739000000003</v>
          </cell>
          <cell r="CF115">
            <v>20.249946000000001</v>
          </cell>
        </row>
        <row r="116">
          <cell r="BA116">
            <v>12.678360000000001</v>
          </cell>
          <cell r="BB116">
            <v>13.309918</v>
          </cell>
          <cell r="BC116">
            <v>13.077281000000001</v>
          </cell>
          <cell r="BD116">
            <v>13.239561999999999</v>
          </cell>
          <cell r="BE116">
            <v>12.408188000000001</v>
          </cell>
          <cell r="BF116">
            <v>10.037416</v>
          </cell>
          <cell r="BG116">
            <v>10.100250000000001</v>
          </cell>
          <cell r="BH116">
            <v>9.4538367000000001</v>
          </cell>
          <cell r="BI116">
            <v>8.5501298999999999</v>
          </cell>
          <cell r="BJ116">
            <v>9.0112562999999994</v>
          </cell>
          <cell r="BK116">
            <v>9.5958334000000001</v>
          </cell>
          <cell r="BL116">
            <v>10.097046000000001</v>
          </cell>
          <cell r="BM116">
            <v>10.875252000000001</v>
          </cell>
          <cell r="BN116">
            <v>11.326122999999999</v>
          </cell>
          <cell r="BO116">
            <v>12.703466000000001</v>
          </cell>
          <cell r="BP116">
            <v>12.954658999999999</v>
          </cell>
          <cell r="BQ116">
            <v>12.785852999999999</v>
          </cell>
          <cell r="BR116">
            <v>12.197293</v>
          </cell>
          <cell r="BS116">
            <v>12.086713</v>
          </cell>
          <cell r="BT116">
            <v>11.544360000000001</v>
          </cell>
          <cell r="BU116">
            <v>12.120156999999999</v>
          </cell>
          <cell r="BV116">
            <v>12.005439000000001</v>
          </cell>
          <cell r="BW116">
            <v>11.769179000000001</v>
          </cell>
          <cell r="BX116">
            <v>11.245967</v>
          </cell>
          <cell r="BY116">
            <v>10.749433000000002</v>
          </cell>
          <cell r="BZ116">
            <v>10.277766</v>
          </cell>
          <cell r="CA116">
            <v>10.041090000000001</v>
          </cell>
          <cell r="CB116">
            <v>10.223291</v>
          </cell>
          <cell r="CC116">
            <v>10.526472999999999</v>
          </cell>
          <cell r="CD116">
            <v>10.705093999999999</v>
          </cell>
          <cell r="CE116">
            <v>8.9918246999999987</v>
          </cell>
          <cell r="CF116">
            <v>9.3534632000000002</v>
          </cell>
        </row>
        <row r="117">
          <cell r="BA117">
            <v>1.1205134000000001</v>
          </cell>
          <cell r="BB117">
            <v>1.1835531000000001</v>
          </cell>
          <cell r="BC117">
            <v>1.1789472000000001</v>
          </cell>
          <cell r="BD117">
            <v>1.2778436</v>
          </cell>
          <cell r="BE117">
            <v>1.3734431999999999</v>
          </cell>
          <cell r="BF117">
            <v>1.3276555000000001</v>
          </cell>
          <cell r="BG117">
            <v>1.5060644999999999</v>
          </cell>
          <cell r="BH117">
            <v>1.5886374000000001</v>
          </cell>
          <cell r="BI117">
            <v>1.6597298</v>
          </cell>
          <cell r="BJ117">
            <v>1.6206092000000001</v>
          </cell>
          <cell r="BK117">
            <v>1.7311561</v>
          </cell>
          <cell r="BL117">
            <v>1.7869531000000001</v>
          </cell>
          <cell r="BM117">
            <v>1.6200444000000001</v>
          </cell>
          <cell r="BN117">
            <v>1.6380366</v>
          </cell>
          <cell r="BO117">
            <v>1.8270794000000001</v>
          </cell>
          <cell r="BP117">
            <v>1.9416549000000001</v>
          </cell>
          <cell r="BQ117">
            <v>1.7358972000000001</v>
          </cell>
          <cell r="BR117">
            <v>1.4817117000000002</v>
          </cell>
          <cell r="BS117">
            <v>1.245776</v>
          </cell>
          <cell r="BT117">
            <v>2.0128138</v>
          </cell>
          <cell r="BU117">
            <v>1.3492634999999999</v>
          </cell>
          <cell r="BV117">
            <v>1.4124028000000002</v>
          </cell>
          <cell r="BW117">
            <v>1.2543474000000001</v>
          </cell>
          <cell r="BX117">
            <v>1.1082211</v>
          </cell>
          <cell r="BY117">
            <v>1.4156031</v>
          </cell>
          <cell r="BZ117">
            <v>1.9427202000000001</v>
          </cell>
          <cell r="CA117">
            <v>1.9139576</v>
          </cell>
          <cell r="CB117">
            <v>2.0689665000000002</v>
          </cell>
          <cell r="CC117">
            <v>2.1324519</v>
          </cell>
          <cell r="CD117">
            <v>2.2948132999999999</v>
          </cell>
          <cell r="CE117">
            <v>2.3056943000000003</v>
          </cell>
          <cell r="CF117">
            <v>2.3732487</v>
          </cell>
        </row>
        <row r="118">
          <cell r="BA118">
            <v>12.420577</v>
          </cell>
          <cell r="BB118">
            <v>11.830797</v>
          </cell>
          <cell r="BC118">
            <v>10.942515</v>
          </cell>
          <cell r="BD118">
            <v>11.399370000000001</v>
          </cell>
          <cell r="BE118">
            <v>11.205457000000001</v>
          </cell>
          <cell r="BF118">
            <v>11.352465</v>
          </cell>
          <cell r="BG118">
            <v>11.077147000000002</v>
          </cell>
          <cell r="BH118">
            <v>11.743055</v>
          </cell>
          <cell r="BI118">
            <v>13.254852999999999</v>
          </cell>
          <cell r="BJ118">
            <v>11.982965</v>
          </cell>
          <cell r="BK118">
            <v>12.290780000000002</v>
          </cell>
          <cell r="BL118">
            <v>11.681486999999999</v>
          </cell>
          <cell r="BM118">
            <v>12.008158999999999</v>
          </cell>
          <cell r="BN118">
            <v>11.421725</v>
          </cell>
          <cell r="BO118">
            <v>11.497183000000001</v>
          </cell>
          <cell r="BP118">
            <v>11.748469999999999</v>
          </cell>
          <cell r="BQ118">
            <v>11.055183000000001</v>
          </cell>
          <cell r="BR118">
            <v>11.701028000000001</v>
          </cell>
          <cell r="BS118">
            <v>11.900138999999999</v>
          </cell>
          <cell r="BT118">
            <v>11.211240999999999</v>
          </cell>
          <cell r="BU118">
            <v>11.508573</v>
          </cell>
          <cell r="BV118">
            <v>12.596437</v>
          </cell>
          <cell r="BW118">
            <v>11.982696000000001</v>
          </cell>
          <cell r="BX118">
            <v>11.070695000000001</v>
          </cell>
          <cell r="BY118">
            <v>10.630448000000001</v>
          </cell>
          <cell r="BZ118">
            <v>10.242610000000001</v>
          </cell>
          <cell r="CA118">
            <v>10.101270000000001</v>
          </cell>
          <cell r="CB118">
            <v>11.123753000000001</v>
          </cell>
          <cell r="CC118">
            <v>10.57389</v>
          </cell>
          <cell r="CD118">
            <v>11.375325</v>
          </cell>
          <cell r="CE118">
            <v>9.901780500000001</v>
          </cell>
          <cell r="CF118">
            <v>10.147200000000002</v>
          </cell>
        </row>
        <row r="119">
          <cell r="BA119">
            <v>24.320975999999998</v>
          </cell>
          <cell r="BB119">
            <v>24.523040000000002</v>
          </cell>
          <cell r="BC119">
            <v>24.762784</v>
          </cell>
          <cell r="BD119">
            <v>25.101942999999999</v>
          </cell>
          <cell r="BE119">
            <v>25.342933000000002</v>
          </cell>
          <cell r="BF119">
            <v>27.112009</v>
          </cell>
          <cell r="BG119">
            <v>29.069376000000002</v>
          </cell>
          <cell r="BH119">
            <v>30.739799999999999</v>
          </cell>
          <cell r="BI119">
            <v>32.48124</v>
          </cell>
          <cell r="BJ119">
            <v>33.070400999999997</v>
          </cell>
          <cell r="BK119">
            <v>32.641103999999999</v>
          </cell>
          <cell r="BL119">
            <v>30.007757000000002</v>
          </cell>
          <cell r="BM119">
            <v>27.938321000000002</v>
          </cell>
          <cell r="BN119">
            <v>27.824258000000004</v>
          </cell>
          <cell r="BO119">
            <v>26.892032</v>
          </cell>
          <cell r="BP119">
            <v>28.898727999999998</v>
          </cell>
          <cell r="BQ119">
            <v>30.921560000000003</v>
          </cell>
          <cell r="BR119">
            <v>31.038709999999998</v>
          </cell>
          <cell r="BS119">
            <v>30.465989</v>
          </cell>
          <cell r="BT119">
            <v>30.732898000000002</v>
          </cell>
          <cell r="BU119">
            <v>31.284132000000003</v>
          </cell>
          <cell r="BV119">
            <v>31.715903999999998</v>
          </cell>
          <cell r="BW119">
            <v>32.771767999999994</v>
          </cell>
          <cell r="BX119">
            <v>32.693869999999997</v>
          </cell>
          <cell r="BY119">
            <v>32.977881000000004</v>
          </cell>
          <cell r="BZ119">
            <v>33.555621000000002</v>
          </cell>
          <cell r="CA119">
            <v>34.518059000000001</v>
          </cell>
          <cell r="CB119">
            <v>34.334516000000001</v>
          </cell>
          <cell r="CC119">
            <v>33.718512000000004</v>
          </cell>
          <cell r="CD119">
            <v>34.398180000000004</v>
          </cell>
          <cell r="CE119">
            <v>34.933053000000001</v>
          </cell>
          <cell r="CF119">
            <v>34.974571000000005</v>
          </cell>
        </row>
        <row r="120">
          <cell r="BA120">
            <v>5.3771841999999994</v>
          </cell>
          <cell r="BB120">
            <v>5.5789187</v>
          </cell>
          <cell r="BC120">
            <v>5.6127091</v>
          </cell>
          <cell r="BD120">
            <v>5.7166160000000001</v>
          </cell>
          <cell r="BE120">
            <v>5.3407976000000001</v>
          </cell>
          <cell r="BF120">
            <v>5.5539795999999999</v>
          </cell>
          <cell r="BG120">
            <v>5.7470463000000001</v>
          </cell>
          <cell r="BH120">
            <v>5.7933952</v>
          </cell>
          <cell r="BI120">
            <v>6.0213602000000002</v>
          </cell>
          <cell r="BJ120">
            <v>6.0793534000000005</v>
          </cell>
          <cell r="BK120">
            <v>6.3005561999999999</v>
          </cell>
          <cell r="BL120">
            <v>6.0863997000000003</v>
          </cell>
          <cell r="BM120">
            <v>6.6251871000000007</v>
          </cell>
          <cell r="BN120">
            <v>6.9583683000000001</v>
          </cell>
          <cell r="BO120">
            <v>7.0120217</v>
          </cell>
          <cell r="BP120">
            <v>7.1868480000000003</v>
          </cell>
          <cell r="BQ120">
            <v>7.4929949999999996</v>
          </cell>
          <cell r="BR120">
            <v>7.9516172999999997</v>
          </cell>
          <cell r="BS120">
            <v>8.5332644000000002</v>
          </cell>
          <cell r="BT120">
            <v>8.6730460000000011</v>
          </cell>
          <cell r="BU120">
            <v>9.3499469000000008</v>
          </cell>
          <cell r="BV120">
            <v>9.7074917999999997</v>
          </cell>
          <cell r="BW120">
            <v>10.038053</v>
          </cell>
          <cell r="BX120">
            <v>10.414491</v>
          </cell>
          <cell r="BY120">
            <v>10.976806</v>
          </cell>
          <cell r="BZ120">
            <v>11.450616</v>
          </cell>
          <cell r="CA120">
            <v>11.77735</v>
          </cell>
          <cell r="CB120">
            <v>12.543495999999999</v>
          </cell>
          <cell r="CC120">
            <v>13.865635000000001</v>
          </cell>
          <cell r="CD120">
            <v>15.132531999999999</v>
          </cell>
          <cell r="CE120">
            <v>15.440297000000001</v>
          </cell>
          <cell r="CF120">
            <v>16.402851999999999</v>
          </cell>
        </row>
        <row r="121">
          <cell r="BA121">
            <v>89.557133000000007</v>
          </cell>
          <cell r="BB121">
            <v>100.76434</v>
          </cell>
          <cell r="BC121">
            <v>107.40096000000001</v>
          </cell>
          <cell r="BD121">
            <v>111.62897000000001</v>
          </cell>
          <cell r="BE121">
            <v>120.01600999999999</v>
          </cell>
          <cell r="BF121">
            <v>124.70815</v>
          </cell>
          <cell r="BG121">
            <v>143.36525</v>
          </cell>
          <cell r="BH121">
            <v>165.32719</v>
          </cell>
          <cell r="BI121">
            <v>153.99064999999999</v>
          </cell>
          <cell r="BJ121">
            <v>169.45919000000001</v>
          </cell>
          <cell r="BK121">
            <v>184.67285000000001</v>
          </cell>
          <cell r="BL121">
            <v>191.31154999999998</v>
          </cell>
          <cell r="BM121">
            <v>200.90824000000001</v>
          </cell>
          <cell r="BN121">
            <v>216.24556000000001</v>
          </cell>
          <cell r="BO121">
            <v>233.88782</v>
          </cell>
          <cell r="BP121">
            <v>250.8434</v>
          </cell>
          <cell r="BQ121">
            <v>250.77154000000002</v>
          </cell>
          <cell r="BR121">
            <v>267.69834000000003</v>
          </cell>
          <cell r="BS121">
            <v>280.46169000000003</v>
          </cell>
          <cell r="BT121">
            <v>268.58990999999997</v>
          </cell>
          <cell r="BU121">
            <v>285.36921999999998</v>
          </cell>
          <cell r="BV121">
            <v>285.55198000000001</v>
          </cell>
          <cell r="BW121">
            <v>304.91672999999997</v>
          </cell>
          <cell r="BX121">
            <v>310.65391999999997</v>
          </cell>
          <cell r="BY121">
            <v>315.83792</v>
          </cell>
          <cell r="BZ121">
            <v>319.54410999999999</v>
          </cell>
          <cell r="CA121">
            <v>315.16212999999999</v>
          </cell>
          <cell r="CB121">
            <v>317.56478999999996</v>
          </cell>
          <cell r="CC121">
            <v>321.91676000000001</v>
          </cell>
          <cell r="CD121">
            <v>331.42450000000002</v>
          </cell>
          <cell r="CE121">
            <v>327.45825000000002</v>
          </cell>
          <cell r="CF121">
            <v>333.69693000000001</v>
          </cell>
        </row>
        <row r="122">
          <cell r="BA122">
            <v>0.14636774999999999</v>
          </cell>
          <cell r="BB122">
            <v>0.13570586000000001</v>
          </cell>
          <cell r="BC122">
            <v>0.18727877000000001</v>
          </cell>
          <cell r="BD122">
            <v>0.16715737999999999</v>
          </cell>
          <cell r="BE122">
            <v>0.17128461</v>
          </cell>
          <cell r="BF122">
            <v>0.24123368000000001</v>
          </cell>
          <cell r="BG122">
            <v>0.30232778000000005</v>
          </cell>
          <cell r="BH122">
            <v>0.36179415000000004</v>
          </cell>
          <cell r="BI122">
            <v>0.36882145999999999</v>
          </cell>
          <cell r="BJ122">
            <v>0.49025856000000001</v>
          </cell>
          <cell r="BK122">
            <v>0.54983059000000001</v>
          </cell>
          <cell r="BL122">
            <v>0.57940088000000001</v>
          </cell>
          <cell r="BM122">
            <v>0.72541335000000007</v>
          </cell>
          <cell r="BN122">
            <v>0.65964407000000003</v>
          </cell>
          <cell r="BO122">
            <v>0.84133303999999998</v>
          </cell>
          <cell r="BP122">
            <v>0.78816359000000002</v>
          </cell>
          <cell r="BQ122">
            <v>0.97542939000000006</v>
          </cell>
          <cell r="BR122">
            <v>1.0158463</v>
          </cell>
          <cell r="BS122">
            <v>1.1024597</v>
          </cell>
          <cell r="BT122">
            <v>1.1635551</v>
          </cell>
          <cell r="BU122">
            <v>1.2387844000000001</v>
          </cell>
          <cell r="BV122">
            <v>1.3171744000000001</v>
          </cell>
          <cell r="BW122">
            <v>1.3976189999999999</v>
          </cell>
          <cell r="BX122">
            <v>1.4917977</v>
          </cell>
          <cell r="BY122">
            <v>1.5649837</v>
          </cell>
          <cell r="BZ122">
            <v>1.5758245</v>
          </cell>
          <cell r="CA122">
            <v>1.7396165000000001</v>
          </cell>
          <cell r="CB122">
            <v>1.8058867000000001</v>
          </cell>
          <cell r="CC122">
            <v>2.0445713000000003</v>
          </cell>
          <cell r="CD122">
            <v>2.3512518</v>
          </cell>
          <cell r="CE122">
            <v>2.3653786000000001</v>
          </cell>
          <cell r="CF122">
            <v>2.4517085999999999</v>
          </cell>
        </row>
        <row r="123">
          <cell r="BA123">
            <v>9.7432256000000006</v>
          </cell>
          <cell r="BB123">
            <v>9.6761991999999992</v>
          </cell>
          <cell r="BC123">
            <v>9.7489632000000004</v>
          </cell>
          <cell r="BD123">
            <v>9.8908632000000001</v>
          </cell>
          <cell r="BE123">
            <v>10.079113</v>
          </cell>
          <cell r="BF123">
            <v>10.336744000000001</v>
          </cell>
          <cell r="BG123">
            <v>10.965001000000001</v>
          </cell>
          <cell r="BH123">
            <v>11.422938</v>
          </cell>
          <cell r="BI123">
            <v>12.602653</v>
          </cell>
          <cell r="BJ123">
            <v>13.510404000000001</v>
          </cell>
          <cell r="BK123">
            <v>14.134224</v>
          </cell>
          <cell r="BL123">
            <v>17.326923000000001</v>
          </cell>
          <cell r="BM123">
            <v>20.665741999999998</v>
          </cell>
          <cell r="BN123">
            <v>24.258458000000001</v>
          </cell>
          <cell r="BO123">
            <v>29.559506000000003</v>
          </cell>
          <cell r="BP123">
            <v>33.485658000000001</v>
          </cell>
          <cell r="BQ123">
            <v>36.845452999999999</v>
          </cell>
          <cell r="BR123">
            <v>40.839852</v>
          </cell>
          <cell r="BS123">
            <v>46.393391000000001</v>
          </cell>
          <cell r="BT123">
            <v>48.716266000000005</v>
          </cell>
          <cell r="BU123">
            <v>54.281203000000005</v>
          </cell>
          <cell r="BV123">
            <v>55.428548999999997</v>
          </cell>
          <cell r="BW123">
            <v>56.978794000000001</v>
          </cell>
          <cell r="BX123">
            <v>59.306299000000003</v>
          </cell>
          <cell r="BY123">
            <v>61.017779000000004</v>
          </cell>
          <cell r="BZ123">
            <v>63.478894000000004</v>
          </cell>
          <cell r="CA123">
            <v>70.289932000000007</v>
          </cell>
          <cell r="CB123">
            <v>70.867016000000007</v>
          </cell>
          <cell r="CC123">
            <v>72.967691000000002</v>
          </cell>
          <cell r="CD123">
            <v>76.069676999999999</v>
          </cell>
          <cell r="CE123">
            <v>80.691480999999996</v>
          </cell>
          <cell r="CF123">
            <v>83.895925000000005</v>
          </cell>
        </row>
        <row r="124">
          <cell r="BA124">
            <v>2.6328483</v>
          </cell>
          <cell r="BB124">
            <v>2.4852620000000001</v>
          </cell>
          <cell r="BC124">
            <v>2.5177905999999997</v>
          </cell>
          <cell r="BD124">
            <v>3.1234468000000004</v>
          </cell>
          <cell r="BE124">
            <v>2.8999356000000001</v>
          </cell>
          <cell r="BF124">
            <v>2.6982534</v>
          </cell>
          <cell r="BG124">
            <v>2.7863182000000002</v>
          </cell>
          <cell r="BH124">
            <v>2.8196341000000005</v>
          </cell>
          <cell r="BI124">
            <v>2.7925013000000001</v>
          </cell>
          <cell r="BJ124">
            <v>2.8486862999999998</v>
          </cell>
          <cell r="BK124">
            <v>2.7504522000000002</v>
          </cell>
          <cell r="BL124">
            <v>3.0286784999999998</v>
          </cell>
          <cell r="BM124">
            <v>3.0471482000000001</v>
          </cell>
          <cell r="BN124">
            <v>3.2704946000000001</v>
          </cell>
          <cell r="BO124">
            <v>3.1774951000000002</v>
          </cell>
          <cell r="BP124">
            <v>2.9994027999999999</v>
          </cell>
          <cell r="BQ124">
            <v>3.0533565</v>
          </cell>
          <cell r="BR124">
            <v>3.1403881999999999</v>
          </cell>
          <cell r="BS124">
            <v>3.0302456000000002</v>
          </cell>
          <cell r="BT124">
            <v>2.8924951000000001</v>
          </cell>
          <cell r="BU124">
            <v>2.9729164999999997</v>
          </cell>
          <cell r="BV124">
            <v>2.9715581000000002</v>
          </cell>
          <cell r="BW124">
            <v>3.1377867000000004</v>
          </cell>
          <cell r="BX124">
            <v>2.8096033000000005</v>
          </cell>
          <cell r="BY124">
            <v>2.8158584000000002</v>
          </cell>
          <cell r="BZ124">
            <v>2.1333339000000002</v>
          </cell>
          <cell r="CA124">
            <v>1.8489187999999999</v>
          </cell>
          <cell r="CB124">
            <v>2.0296913999999999</v>
          </cell>
          <cell r="CC124">
            <v>2.0373448999999999</v>
          </cell>
          <cell r="CD124">
            <v>2.1502820000000002</v>
          </cell>
          <cell r="CE124">
            <v>2.1114385000000002</v>
          </cell>
          <cell r="CF124">
            <v>2.1323373999999999</v>
          </cell>
        </row>
        <row r="125">
          <cell r="BA125">
            <v>0.10327828999999999</v>
          </cell>
          <cell r="BB125">
            <v>0.10758452</v>
          </cell>
          <cell r="BC125">
            <v>0.10749714</v>
          </cell>
          <cell r="BD125">
            <v>0.11407489</v>
          </cell>
          <cell r="BE125">
            <v>0.11460374000000001</v>
          </cell>
          <cell r="BF125">
            <v>0.11797814</v>
          </cell>
          <cell r="BG125">
            <v>0.11862465</v>
          </cell>
          <cell r="BH125">
            <v>0.11889319999999999</v>
          </cell>
          <cell r="BI125">
            <v>0.12213187</v>
          </cell>
          <cell r="BJ125">
            <v>0.11931739000000001</v>
          </cell>
          <cell r="BK125">
            <v>0.12999110999999999</v>
          </cell>
          <cell r="BL125">
            <v>0.13280811000000001</v>
          </cell>
          <cell r="BM125">
            <v>0.13875293999999999</v>
          </cell>
          <cell r="BN125">
            <v>0.13564549000000001</v>
          </cell>
          <cell r="BO125">
            <v>0.144957</v>
          </cell>
          <cell r="BP125">
            <v>0.14175661000000001</v>
          </cell>
          <cell r="BQ125">
            <v>0.15099747999999999</v>
          </cell>
          <cell r="BR125">
            <v>0.15743186000000001</v>
          </cell>
          <cell r="BS125">
            <v>0.16406607000000001</v>
          </cell>
          <cell r="BT125">
            <v>0.17081979999999999</v>
          </cell>
          <cell r="BU125">
            <v>0.17772654000000002</v>
          </cell>
          <cell r="BV125">
            <v>0.18024538000000001</v>
          </cell>
          <cell r="BW125">
            <v>0.17741628000000001</v>
          </cell>
          <cell r="BX125">
            <v>0.18139394</v>
          </cell>
          <cell r="BY125">
            <v>0.18531823</v>
          </cell>
          <cell r="BZ125">
            <v>0.18586582000000001</v>
          </cell>
          <cell r="CA125">
            <v>0.18633063000000002</v>
          </cell>
          <cell r="CB125">
            <v>0.19025491999999999</v>
          </cell>
          <cell r="CC125">
            <v>0.19551091000000001</v>
          </cell>
          <cell r="CD125">
            <v>0.20737384</v>
          </cell>
          <cell r="CE125">
            <v>0.20852610000000002</v>
          </cell>
          <cell r="CF125">
            <v>0.21442496</v>
          </cell>
        </row>
        <row r="126">
          <cell r="BA126">
            <v>0</v>
          </cell>
          <cell r="BB126">
            <v>0</v>
          </cell>
          <cell r="BC126">
            <v>0</v>
          </cell>
          <cell r="BD126">
            <v>0</v>
          </cell>
          <cell r="BE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row>
        <row r="127">
          <cell r="BA127">
            <v>3.9922743000000001</v>
          </cell>
          <cell r="BB127">
            <v>4.2144671000000002</v>
          </cell>
          <cell r="BC127">
            <v>4.2803570000000004</v>
          </cell>
          <cell r="BD127">
            <v>4.4626505999999999</v>
          </cell>
          <cell r="BE127">
            <v>4.5092308000000001</v>
          </cell>
          <cell r="BF127">
            <v>4.6791910000000003</v>
          </cell>
          <cell r="BG127">
            <v>4.8805136000000005</v>
          </cell>
          <cell r="BH127">
            <v>5.0298822000000003</v>
          </cell>
          <cell r="BI127">
            <v>5.1293468999999998</v>
          </cell>
          <cell r="BJ127">
            <v>5.3965924999999997</v>
          </cell>
          <cell r="BK127">
            <v>5.5076951000000003</v>
          </cell>
          <cell r="BL127">
            <v>5.7815966000000003</v>
          </cell>
          <cell r="BM127">
            <v>6.0398610000000001</v>
          </cell>
          <cell r="BN127">
            <v>6.2604953999999999</v>
          </cell>
          <cell r="BO127">
            <v>6.3723391000000005</v>
          </cell>
          <cell r="BP127">
            <v>6.5921179000000008</v>
          </cell>
          <cell r="BQ127">
            <v>6.8341494000000003</v>
          </cell>
          <cell r="BR127">
            <v>6.9910320000000006</v>
          </cell>
          <cell r="BS127">
            <v>6.8526235</v>
          </cell>
          <cell r="BT127">
            <v>7.4967060000000005</v>
          </cell>
          <cell r="BU127">
            <v>7.7301641999999999</v>
          </cell>
          <cell r="BV127">
            <v>7.9911266999999997</v>
          </cell>
          <cell r="BW127">
            <v>8.4093803000000005</v>
          </cell>
          <cell r="BX127">
            <v>8.0817435</v>
          </cell>
          <cell r="BY127">
            <v>8.6263763999999998</v>
          </cell>
          <cell r="BZ127">
            <v>9.1285776999999992</v>
          </cell>
          <cell r="CA127">
            <v>9.5335272</v>
          </cell>
          <cell r="CB127">
            <v>10.000072000000001</v>
          </cell>
          <cell r="CC127">
            <v>10.463049000000002</v>
          </cell>
          <cell r="CD127">
            <v>10.719781000000001</v>
          </cell>
          <cell r="CE127">
            <v>10.770678</v>
          </cell>
          <cell r="CF127">
            <v>11.129808000000001</v>
          </cell>
        </row>
        <row r="128">
          <cell r="BA128">
            <v>1.9600932</v>
          </cell>
          <cell r="BB128">
            <v>2.0138430999999999</v>
          </cell>
          <cell r="BC128">
            <v>2.1812175000000003</v>
          </cell>
          <cell r="BD128">
            <v>2.2438348000000001</v>
          </cell>
          <cell r="BE128">
            <v>2.1235039000000002</v>
          </cell>
          <cell r="BF128">
            <v>2.3520181</v>
          </cell>
          <cell r="BG128">
            <v>2.4296346</v>
          </cell>
          <cell r="BH128">
            <v>2.4758553999999999</v>
          </cell>
          <cell r="BI128">
            <v>2.6416339</v>
          </cell>
          <cell r="BJ128">
            <v>2.8692170000000004</v>
          </cell>
          <cell r="BK128">
            <v>3.1413885000000001</v>
          </cell>
          <cell r="BL128">
            <v>3.2464778000000001</v>
          </cell>
          <cell r="BM128">
            <v>3.3160086999999998</v>
          </cell>
          <cell r="BN128">
            <v>3.4795295999999998</v>
          </cell>
          <cell r="BO128">
            <v>3.5342413000000001</v>
          </cell>
          <cell r="BP128">
            <v>3.8952183000000002</v>
          </cell>
          <cell r="BQ128">
            <v>4.1562649</v>
          </cell>
          <cell r="BR128">
            <v>4.3353294</v>
          </cell>
          <cell r="BS128">
            <v>4.4422113000000003</v>
          </cell>
          <cell r="BT128">
            <v>4.3688627999999996</v>
          </cell>
          <cell r="BU128">
            <v>4.8190960999999994</v>
          </cell>
          <cell r="BV128">
            <v>4.7596387999999994</v>
          </cell>
          <cell r="BW128">
            <v>4.8773040000000005</v>
          </cell>
          <cell r="BX128">
            <v>5.0476926999999998</v>
          </cell>
          <cell r="BY128">
            <v>5.2445179</v>
          </cell>
          <cell r="BZ128">
            <v>5.2840036000000001</v>
          </cell>
          <cell r="CA128">
            <v>5.4204278000000006</v>
          </cell>
          <cell r="CB128">
            <v>5.6513716000000009</v>
          </cell>
          <cell r="CC128">
            <v>5.6207245000000006</v>
          </cell>
          <cell r="CD128">
            <v>5.6904705999999994</v>
          </cell>
          <cell r="CE128">
            <v>5.3357808999999996</v>
          </cell>
          <cell r="CF128">
            <v>5.6567574999999994</v>
          </cell>
        </row>
        <row r="130">
          <cell r="BA130">
            <v>9.9749978000000003E-2</v>
          </cell>
          <cell r="BB130">
            <v>0.10385514999999999</v>
          </cell>
          <cell r="BC130">
            <v>0.10872787</v>
          </cell>
          <cell r="BD130">
            <v>0.10876183</v>
          </cell>
          <cell r="BE130">
            <v>0.11350033999999999</v>
          </cell>
          <cell r="BF130">
            <v>0.168904</v>
          </cell>
          <cell r="BG130">
            <v>0.16891900000000001</v>
          </cell>
          <cell r="BH130">
            <v>0.17627219999999999</v>
          </cell>
          <cell r="BI130">
            <v>0.17616990000000002</v>
          </cell>
          <cell r="BJ130">
            <v>0.17981659999999999</v>
          </cell>
          <cell r="BK130">
            <v>0.18343329999999999</v>
          </cell>
          <cell r="BL130">
            <v>0.1981774</v>
          </cell>
          <cell r="BM130">
            <v>0.19084899999999999</v>
          </cell>
          <cell r="BN130">
            <v>0.20196410000000001</v>
          </cell>
          <cell r="BO130">
            <v>0.1982749</v>
          </cell>
          <cell r="BP130">
            <v>0.17631970000000002</v>
          </cell>
          <cell r="BQ130">
            <v>0.1762947</v>
          </cell>
          <cell r="BR130">
            <v>0.18797360000000002</v>
          </cell>
          <cell r="BS130">
            <v>0.1660334</v>
          </cell>
          <cell r="BT130">
            <v>0.20523810000000001</v>
          </cell>
          <cell r="BU130">
            <v>0.1612102</v>
          </cell>
          <cell r="BV130">
            <v>0.17926620000000001</v>
          </cell>
          <cell r="BW130">
            <v>0.1866469</v>
          </cell>
          <cell r="BX130">
            <v>0.199429</v>
          </cell>
          <cell r="BY130">
            <v>0.1996415</v>
          </cell>
          <cell r="BZ130">
            <v>0.20807040000000002</v>
          </cell>
          <cell r="CA130">
            <v>0.20920859999999999</v>
          </cell>
          <cell r="CB130">
            <v>0.2090515</v>
          </cell>
          <cell r="CC130">
            <v>0.21509175999999999</v>
          </cell>
          <cell r="CD130">
            <v>0.22852260000000002</v>
          </cell>
          <cell r="CE130">
            <v>0.23027808</v>
          </cell>
          <cell r="CF130">
            <v>0.23633991000000001</v>
          </cell>
        </row>
        <row r="131">
          <cell r="BA131">
            <v>45.248443000000002</v>
          </cell>
          <cell r="BB131">
            <v>38.969737000000002</v>
          </cell>
          <cell r="BC131">
            <v>31.139075000000002</v>
          </cell>
          <cell r="BD131">
            <v>24.408308000000002</v>
          </cell>
          <cell r="BE131">
            <v>21.059781000000001</v>
          </cell>
          <cell r="BF131">
            <v>17.658707</v>
          </cell>
          <cell r="BG131">
            <v>17.442777</v>
          </cell>
          <cell r="BH131">
            <v>15.830444</v>
          </cell>
          <cell r="BI131">
            <v>14.154790999999999</v>
          </cell>
          <cell r="BJ131">
            <v>11.888211999999999</v>
          </cell>
          <cell r="BK131">
            <v>10.966750000000001</v>
          </cell>
          <cell r="BL131">
            <v>11.664013000000001</v>
          </cell>
          <cell r="BM131">
            <v>11.557320000000001</v>
          </cell>
          <cell r="BN131">
            <v>12.003847</v>
          </cell>
          <cell r="BO131">
            <v>12.563048</v>
          </cell>
          <cell r="BP131">
            <v>12.951204000000001</v>
          </cell>
          <cell r="BQ131">
            <v>12.131180000000001</v>
          </cell>
          <cell r="BR131">
            <v>12.168175</v>
          </cell>
          <cell r="BS131">
            <v>12.639503000000001</v>
          </cell>
          <cell r="BT131">
            <v>12.60918</v>
          </cell>
          <cell r="BU131">
            <v>13.362170000000001</v>
          </cell>
          <cell r="BV131">
            <v>13.702425999999999</v>
          </cell>
          <cell r="BW131">
            <v>13.286968000000002</v>
          </cell>
          <cell r="BX131">
            <v>12.978207000000001</v>
          </cell>
          <cell r="BY131">
            <v>13.226585</v>
          </cell>
          <cell r="BZ131">
            <v>13.008181</v>
          </cell>
          <cell r="CA131">
            <v>13.278976</v>
          </cell>
          <cell r="CB131">
            <v>13.124729</v>
          </cell>
          <cell r="CC131">
            <v>13.762680000000001</v>
          </cell>
          <cell r="CD131">
            <v>13.752655000000001</v>
          </cell>
          <cell r="CE131">
            <v>13.66248</v>
          </cell>
          <cell r="CF131">
            <v>14.395198000000001</v>
          </cell>
        </row>
        <row r="132">
          <cell r="BA132">
            <v>0.10245956000000001</v>
          </cell>
          <cell r="BB132">
            <v>0.10331195999999999</v>
          </cell>
          <cell r="BC132">
            <v>0.10895653000000001</v>
          </cell>
          <cell r="BD132">
            <v>0.10810796</v>
          </cell>
          <cell r="BE132">
            <v>0.1088027</v>
          </cell>
          <cell r="BF132">
            <v>0.10543664</v>
          </cell>
          <cell r="BG132">
            <v>0.10922933000000001</v>
          </cell>
          <cell r="BH132">
            <v>0.10785288</v>
          </cell>
          <cell r="BI132">
            <v>0.10694753</v>
          </cell>
          <cell r="BJ132">
            <v>0.10815662000000001</v>
          </cell>
          <cell r="BK132">
            <v>0.10628890000000001</v>
          </cell>
          <cell r="BL132">
            <v>0.10673046999999999</v>
          </cell>
          <cell r="BM132">
            <v>0.10710509</v>
          </cell>
          <cell r="BN132">
            <v>0.10408770000000001</v>
          </cell>
          <cell r="BO132">
            <v>9.8856233000000002E-2</v>
          </cell>
          <cell r="BP132">
            <v>9.7740100999999996E-2</v>
          </cell>
          <cell r="BQ132">
            <v>9.3301334E-2</v>
          </cell>
          <cell r="BR132">
            <v>9.3122240000000009E-2</v>
          </cell>
          <cell r="BS132">
            <v>9.3801131999999995E-2</v>
          </cell>
          <cell r="BT132">
            <v>9.0145975000000003E-2</v>
          </cell>
          <cell r="BU132">
            <v>8.7758921000000004E-2</v>
          </cell>
          <cell r="BV132">
            <v>8.6296970000000001E-2</v>
          </cell>
          <cell r="BW132">
            <v>8.9134138000000002E-2</v>
          </cell>
          <cell r="BX132">
            <v>9.1126657E-2</v>
          </cell>
          <cell r="BY132">
            <v>8.5197604999999996E-2</v>
          </cell>
          <cell r="BZ132">
            <v>8.8213310000000003E-2</v>
          </cell>
          <cell r="CA132">
            <v>8.6428909999999998E-2</v>
          </cell>
          <cell r="CB132">
            <v>8.3332840000000005E-2</v>
          </cell>
          <cell r="CC132">
            <v>8.6667591000000002E-2</v>
          </cell>
          <cell r="CD132">
            <v>8.3009313000000001E-2</v>
          </cell>
          <cell r="CE132">
            <v>6.9761570000000009E-2</v>
          </cell>
          <cell r="CF132">
            <v>7.3632762000000004E-2</v>
          </cell>
        </row>
        <row r="133">
          <cell r="BA133">
            <v>23.734454000000003</v>
          </cell>
          <cell r="BB133">
            <v>25.309918000000003</v>
          </cell>
          <cell r="BC133">
            <v>23.526040000000002</v>
          </cell>
          <cell r="BD133">
            <v>22.304683000000001</v>
          </cell>
          <cell r="BE133">
            <v>21.815034000000001</v>
          </cell>
          <cell r="BF133">
            <v>22.697945000000001</v>
          </cell>
          <cell r="BG133">
            <v>21.494332</v>
          </cell>
          <cell r="BH133">
            <v>22.452083999999999</v>
          </cell>
          <cell r="BI133">
            <v>22.950033999999999</v>
          </cell>
          <cell r="BJ133">
            <v>23.056011999999999</v>
          </cell>
          <cell r="BK133">
            <v>21.516847000000002</v>
          </cell>
          <cell r="BL133">
            <v>18.536569</v>
          </cell>
          <cell r="BM133">
            <v>18.105774</v>
          </cell>
          <cell r="BN133">
            <v>18.157610000000002</v>
          </cell>
          <cell r="BO133">
            <v>18.937056999999999</v>
          </cell>
          <cell r="BP133">
            <v>21.384661000000001</v>
          </cell>
          <cell r="BQ133">
            <v>24.714834</v>
          </cell>
          <cell r="BR133">
            <v>26.964308000000003</v>
          </cell>
          <cell r="BS133">
            <v>27.829868999999999</v>
          </cell>
          <cell r="BT133">
            <v>28.943271000000003</v>
          </cell>
          <cell r="BU133">
            <v>26.275755</v>
          </cell>
          <cell r="BV133">
            <v>29.204698</v>
          </cell>
          <cell r="BW133">
            <v>32.589923999999996</v>
          </cell>
          <cell r="BX133">
            <v>35.366190000000003</v>
          </cell>
          <cell r="BY133">
            <v>37.535297</v>
          </cell>
          <cell r="BZ133">
            <v>35.623015000000002</v>
          </cell>
          <cell r="CA133">
            <v>38.588248</v>
          </cell>
          <cell r="CB133">
            <v>45.017495000000004</v>
          </cell>
          <cell r="CC133">
            <v>45.887180000000001</v>
          </cell>
          <cell r="CD133">
            <v>49.229073</v>
          </cell>
          <cell r="CE133">
            <v>47.951773000000003</v>
          </cell>
          <cell r="CF133">
            <v>49.997776000000002</v>
          </cell>
        </row>
        <row r="134">
          <cell r="BA134">
            <v>0</v>
          </cell>
          <cell r="BB134">
            <v>0</v>
          </cell>
          <cell r="BC134">
            <v>0</v>
          </cell>
          <cell r="BD134">
            <v>0</v>
          </cell>
          <cell r="BE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0</v>
          </cell>
        </row>
        <row r="136">
          <cell r="BA136">
            <v>18.761361000000001</v>
          </cell>
          <cell r="BB136">
            <v>18.873533999999999</v>
          </cell>
          <cell r="BC136">
            <v>19.016857000000002</v>
          </cell>
          <cell r="BD136">
            <v>19.291786000000002</v>
          </cell>
          <cell r="BE136">
            <v>19.380376000000002</v>
          </cell>
          <cell r="BF136">
            <v>19.770616000000004</v>
          </cell>
          <cell r="BG136">
            <v>19.729202000000001</v>
          </cell>
          <cell r="BH136">
            <v>18.514616999999998</v>
          </cell>
          <cell r="BI136">
            <v>21.064968</v>
          </cell>
          <cell r="BJ136">
            <v>20.478894</v>
          </cell>
          <cell r="BK136">
            <v>19.906543000000003</v>
          </cell>
          <cell r="BL136">
            <v>22.240038999999999</v>
          </cell>
          <cell r="BM136">
            <v>23.946508999999999</v>
          </cell>
          <cell r="BN136">
            <v>24.847322000000002</v>
          </cell>
          <cell r="BO136">
            <v>24.926247</v>
          </cell>
          <cell r="BP136">
            <v>26.90523</v>
          </cell>
          <cell r="BQ136">
            <v>26.188294000000003</v>
          </cell>
          <cell r="BR136">
            <v>27.933753000000003</v>
          </cell>
          <cell r="BS136">
            <v>27.986383000000004</v>
          </cell>
          <cell r="BT136">
            <v>25.636467</v>
          </cell>
          <cell r="BU136">
            <v>27.955248000000001</v>
          </cell>
          <cell r="BV136">
            <v>31.739508999999998</v>
          </cell>
          <cell r="BW136">
            <v>34.549069000000003</v>
          </cell>
          <cell r="BX136">
            <v>36.655799000000002</v>
          </cell>
          <cell r="BY136">
            <v>41.551182999999995</v>
          </cell>
          <cell r="BZ136">
            <v>38.747391000000007</v>
          </cell>
          <cell r="CA136">
            <v>38.979271999999995</v>
          </cell>
          <cell r="CB136">
            <v>41.385411999999995</v>
          </cell>
          <cell r="CC136">
            <v>45.623353000000002</v>
          </cell>
          <cell r="CD136">
            <v>43.434984</v>
          </cell>
          <cell r="CE136">
            <v>41.724693000000002</v>
          </cell>
          <cell r="CF136">
            <v>43.220188</v>
          </cell>
        </row>
        <row r="137">
          <cell r="BA137">
            <v>28.881758999999999</v>
          </cell>
          <cell r="BB137">
            <v>28.592187000000003</v>
          </cell>
          <cell r="BC137">
            <v>30.377296999999999</v>
          </cell>
          <cell r="BD137">
            <v>31.757763000000001</v>
          </cell>
          <cell r="BE137">
            <v>33.335607000000003</v>
          </cell>
          <cell r="BF137">
            <v>34.85745</v>
          </cell>
          <cell r="BG137">
            <v>34.982396000000001</v>
          </cell>
          <cell r="BH137">
            <v>34.687659000000004</v>
          </cell>
          <cell r="BI137">
            <v>35.637765000000002</v>
          </cell>
          <cell r="BJ137">
            <v>38.314362000000003</v>
          </cell>
          <cell r="BK137">
            <v>39.708953000000001</v>
          </cell>
          <cell r="BL137">
            <v>39.785107000000004</v>
          </cell>
          <cell r="BM137">
            <v>40.588504999999998</v>
          </cell>
          <cell r="BN137">
            <v>42.313904999999998</v>
          </cell>
          <cell r="BO137">
            <v>43.763770999999998</v>
          </cell>
          <cell r="BP137">
            <v>44.759446000000004</v>
          </cell>
          <cell r="BQ137">
            <v>47.547248000000003</v>
          </cell>
          <cell r="BR137">
            <v>48.579553999999995</v>
          </cell>
          <cell r="BS137">
            <v>46.954045000000001</v>
          </cell>
          <cell r="BT137">
            <v>47.943117000000001</v>
          </cell>
          <cell r="BU137">
            <v>50.715896999999998</v>
          </cell>
          <cell r="BV137">
            <v>51.654608000000003</v>
          </cell>
          <cell r="BW137">
            <v>49.85331</v>
          </cell>
          <cell r="BX137">
            <v>51.350723000000002</v>
          </cell>
          <cell r="BY137">
            <v>54.634705000000004</v>
          </cell>
          <cell r="BZ137">
            <v>59.718811000000002</v>
          </cell>
          <cell r="CA137">
            <v>63.449139000000002</v>
          </cell>
          <cell r="CB137">
            <v>66.285782000000012</v>
          </cell>
          <cell r="CC137">
            <v>67.254210000000015</v>
          </cell>
          <cell r="CD137">
            <v>69.495989000000009</v>
          </cell>
          <cell r="CE137">
            <v>70.100938999999997</v>
          </cell>
          <cell r="CF137">
            <v>72.235592999999994</v>
          </cell>
        </row>
        <row r="138">
          <cell r="BA138">
            <v>6.3469381999999994</v>
          </cell>
          <cell r="BB138">
            <v>6.6950425999999998</v>
          </cell>
          <cell r="BC138">
            <v>6.6273108000000001</v>
          </cell>
          <cell r="BD138">
            <v>6.4100658000000008</v>
          </cell>
          <cell r="BE138">
            <v>6.4998360000000002</v>
          </cell>
          <cell r="BF138">
            <v>6.5988065999999996</v>
          </cell>
          <cell r="BG138">
            <v>6.5122938000000001</v>
          </cell>
          <cell r="BH138">
            <v>6.7672353999999997</v>
          </cell>
          <cell r="BI138">
            <v>7.0608516000000003</v>
          </cell>
          <cell r="BJ138">
            <v>7.3878756000000001</v>
          </cell>
          <cell r="BK138">
            <v>7.9056027999999996</v>
          </cell>
          <cell r="BL138">
            <v>8.1096548000000013</v>
          </cell>
          <cell r="BM138">
            <v>7.9773347999999995</v>
          </cell>
          <cell r="BN138">
            <v>8.3566054000000012</v>
          </cell>
          <cell r="BO138">
            <v>8.4109753999999999</v>
          </cell>
          <cell r="BP138">
            <v>8.3268129999999996</v>
          </cell>
          <cell r="BQ138">
            <v>8.7480146000000012</v>
          </cell>
          <cell r="BR138">
            <v>8.7769010000000005</v>
          </cell>
          <cell r="BS138">
            <v>8.7472837999999999</v>
          </cell>
          <cell r="BT138">
            <v>8.8250612000000004</v>
          </cell>
          <cell r="BU138">
            <v>8.5665516000000004</v>
          </cell>
          <cell r="BV138">
            <v>9.566742399999999</v>
          </cell>
          <cell r="BW138">
            <v>10.291366</v>
          </cell>
          <cell r="BX138">
            <v>9.4941671999999997</v>
          </cell>
          <cell r="BY138">
            <v>10.409957</v>
          </cell>
          <cell r="BZ138">
            <v>10.594591000000001</v>
          </cell>
          <cell r="CA138">
            <v>11.567664000000001</v>
          </cell>
          <cell r="CB138">
            <v>11.423781000000002</v>
          </cell>
          <cell r="CC138">
            <v>11.306609</v>
          </cell>
          <cell r="CD138">
            <v>10.95364</v>
          </cell>
          <cell r="CE138">
            <v>11.400992</v>
          </cell>
          <cell r="CF138">
            <v>11.886203</v>
          </cell>
        </row>
        <row r="139">
          <cell r="BA139">
            <v>4.0651995999999996E-2</v>
          </cell>
          <cell r="BB139">
            <v>4.0918995999999999E-2</v>
          </cell>
          <cell r="BC139">
            <v>4.0237893000000004E-2</v>
          </cell>
          <cell r="BD139">
            <v>3.8605553000000001E-2</v>
          </cell>
          <cell r="BE139">
            <v>3.7770636000000003E-2</v>
          </cell>
          <cell r="BF139">
            <v>3.5029730000000002E-2</v>
          </cell>
          <cell r="BG139">
            <v>3.2257280999999999E-2</v>
          </cell>
          <cell r="BH139">
            <v>3.0243242E-2</v>
          </cell>
          <cell r="BI139">
            <v>2.7291599999999999E-2</v>
          </cell>
          <cell r="BJ139">
            <v>2.37687E-2</v>
          </cell>
          <cell r="BK139">
            <v>2.029891E-2</v>
          </cell>
          <cell r="BL139">
            <v>2.7748116E-2</v>
          </cell>
          <cell r="BM139">
            <v>3.5170240999999998E-2</v>
          </cell>
          <cell r="BN139">
            <v>4.2571092999999997E-2</v>
          </cell>
          <cell r="BO139">
            <v>4.0646056E-2</v>
          </cell>
          <cell r="BP139">
            <v>3.6222512000000005E-2</v>
          </cell>
          <cell r="BQ139">
            <v>2.5823280000000001E-2</v>
          </cell>
          <cell r="BR139">
            <v>2.3539870000000001E-2</v>
          </cell>
          <cell r="BS139">
            <v>3.0136883999999999E-2</v>
          </cell>
          <cell r="BT139">
            <v>3.6505280000000001E-2</v>
          </cell>
          <cell r="BU139">
            <v>4.2960805999999997E-2</v>
          </cell>
          <cell r="BV139">
            <v>3.9980570999999999E-2</v>
          </cell>
          <cell r="BW139">
            <v>4.3273153000000002E-2</v>
          </cell>
          <cell r="BX139">
            <v>4.6749769999999996E-2</v>
          </cell>
          <cell r="BY139">
            <v>5.0257935000000004E-2</v>
          </cell>
          <cell r="BZ139">
            <v>5.3508453000000004E-2</v>
          </cell>
          <cell r="CA139">
            <v>4.4215051999999998E-2</v>
          </cell>
          <cell r="CB139">
            <v>4.7376288000000003E-2</v>
          </cell>
          <cell r="CC139">
            <v>4.8809275999999999E-2</v>
          </cell>
          <cell r="CD139">
            <v>5.2571343E-2</v>
          </cell>
          <cell r="CE139">
            <v>5.2963008000000006E-2</v>
          </cell>
          <cell r="CF139">
            <v>5.4048246000000001E-2</v>
          </cell>
        </row>
        <row r="140">
          <cell r="BA140">
            <v>23.498336999999999</v>
          </cell>
          <cell r="BB140">
            <v>23.866719</v>
          </cell>
          <cell r="BC140">
            <v>23.830687000000001</v>
          </cell>
          <cell r="BD140">
            <v>24.683343000000001</v>
          </cell>
          <cell r="BE140">
            <v>25.381133000000002</v>
          </cell>
          <cell r="BF140">
            <v>27.046290000000003</v>
          </cell>
          <cell r="BG140">
            <v>27.507931000000003</v>
          </cell>
          <cell r="BH140">
            <v>28.133611000000002</v>
          </cell>
          <cell r="BI140">
            <v>27.978080000000002</v>
          </cell>
          <cell r="BJ140">
            <v>29.153663000000002</v>
          </cell>
          <cell r="BK140">
            <v>29.303602999999999</v>
          </cell>
          <cell r="BL140">
            <v>29.688525000000002</v>
          </cell>
          <cell r="BM140">
            <v>29.260908000000001</v>
          </cell>
          <cell r="BN140">
            <v>29.960550000000001</v>
          </cell>
          <cell r="BO140">
            <v>29.994786000000001</v>
          </cell>
          <cell r="BP140">
            <v>30.708683000000001</v>
          </cell>
          <cell r="BQ140">
            <v>30.58943</v>
          </cell>
          <cell r="BR140">
            <v>30.881169000000003</v>
          </cell>
          <cell r="BS140">
            <v>32.534221000000002</v>
          </cell>
          <cell r="BT140">
            <v>34.141495999999997</v>
          </cell>
          <cell r="BU140">
            <v>35.199110999999995</v>
          </cell>
          <cell r="BV140">
            <v>36.264430000000004</v>
          </cell>
          <cell r="BW140">
            <v>36.795285000000007</v>
          </cell>
          <cell r="BX140">
            <v>38.194576999999995</v>
          </cell>
          <cell r="BY140">
            <v>40.028078000000001</v>
          </cell>
          <cell r="BZ140">
            <v>39.148629</v>
          </cell>
          <cell r="CA140">
            <v>43.003491000000004</v>
          </cell>
          <cell r="CB140">
            <v>45.806514999999997</v>
          </cell>
          <cell r="CC140">
            <v>46.910468999999999</v>
          </cell>
          <cell r="CD140">
            <v>48.381201000000004</v>
          </cell>
          <cell r="CE140">
            <v>48.028444999999998</v>
          </cell>
          <cell r="CF140">
            <v>48.827477000000002</v>
          </cell>
        </row>
        <row r="141">
          <cell r="BA141">
            <v>221.12145000000001</v>
          </cell>
          <cell r="BB141">
            <v>228.82510000000002</v>
          </cell>
          <cell r="BC141">
            <v>229.52062000000001</v>
          </cell>
          <cell r="BD141">
            <v>230.02678</v>
          </cell>
          <cell r="BE141">
            <v>231.10121000000001</v>
          </cell>
          <cell r="BF141">
            <v>231.16544000000002</v>
          </cell>
          <cell r="BG141">
            <v>241.86392000000001</v>
          </cell>
          <cell r="BH141">
            <v>233.69548</v>
          </cell>
          <cell r="BI141">
            <v>234.08375000000001</v>
          </cell>
          <cell r="BJ141">
            <v>220.76439000000002</v>
          </cell>
          <cell r="BK141">
            <v>218.99873000000002</v>
          </cell>
          <cell r="BL141">
            <v>219.75394</v>
          </cell>
          <cell r="BM141">
            <v>217.51564000000002</v>
          </cell>
          <cell r="BN141">
            <v>218.12945000000002</v>
          </cell>
          <cell r="BO141">
            <v>219.66154</v>
          </cell>
          <cell r="BP141">
            <v>213.98626999999999</v>
          </cell>
          <cell r="BQ141">
            <v>208.92408</v>
          </cell>
          <cell r="BR141">
            <v>207.29711</v>
          </cell>
          <cell r="BS141">
            <v>206.71173000000002</v>
          </cell>
          <cell r="BT141">
            <v>201.05970000000002</v>
          </cell>
          <cell r="BU141">
            <v>213.02681000000001</v>
          </cell>
          <cell r="BV141">
            <v>198.71283</v>
          </cell>
          <cell r="BW141">
            <v>194.38630000000001</v>
          </cell>
          <cell r="BX141">
            <v>194.12469000000002</v>
          </cell>
          <cell r="BY141">
            <v>185.93398999999999</v>
          </cell>
          <cell r="BZ141">
            <v>192.91401000000002</v>
          </cell>
          <cell r="CA141">
            <v>193.50098000000003</v>
          </cell>
          <cell r="CB141">
            <v>190.88104999999999</v>
          </cell>
          <cell r="CC141">
            <v>185.73786999999999</v>
          </cell>
          <cell r="CD141">
            <v>179.92591000000002</v>
          </cell>
          <cell r="CE141">
            <v>163.33782000000002</v>
          </cell>
          <cell r="CF141">
            <v>166.13560999999999</v>
          </cell>
        </row>
        <row r="142">
          <cell r="BA142">
            <v>5.5988173999999997</v>
          </cell>
          <cell r="BB142">
            <v>4.5062187000000007</v>
          </cell>
          <cell r="BC142">
            <v>3.7794145000000001</v>
          </cell>
          <cell r="BD142">
            <v>5.7316731000000001</v>
          </cell>
          <cell r="BE142">
            <v>5.5096076000000007</v>
          </cell>
          <cell r="BF142">
            <v>5.4555315000000002</v>
          </cell>
          <cell r="BG142">
            <v>5.1195615999999999</v>
          </cell>
          <cell r="BH142">
            <v>5.3734523000000003</v>
          </cell>
          <cell r="BI142">
            <v>0.54923783000000004</v>
          </cell>
          <cell r="BJ142">
            <v>2.3717235000000003</v>
          </cell>
          <cell r="BK142">
            <v>5.8696140999999997</v>
          </cell>
          <cell r="BL142">
            <v>5.9817663000000003</v>
          </cell>
          <cell r="BM142">
            <v>5.7572519</v>
          </cell>
          <cell r="BN142">
            <v>5.7557812999999998</v>
          </cell>
          <cell r="BO142">
            <v>6.0424664000000003</v>
          </cell>
          <cell r="BP142">
            <v>6.0006382</v>
          </cell>
          <cell r="BQ142">
            <v>6.2376714</v>
          </cell>
          <cell r="BR142">
            <v>7.0018609999999999</v>
          </cell>
          <cell r="BS142">
            <v>6.7397407000000005</v>
          </cell>
          <cell r="BT142">
            <v>6.8743088999999999</v>
          </cell>
          <cell r="BU142">
            <v>4.7677383000000004</v>
          </cell>
          <cell r="BV142">
            <v>6.0630096999999994</v>
          </cell>
          <cell r="BW142">
            <v>7.1421406000000003</v>
          </cell>
          <cell r="BX142">
            <v>6.3533108</v>
          </cell>
          <cell r="BY142">
            <v>7.0385746000000005</v>
          </cell>
          <cell r="BZ142">
            <v>7.5548440000000001</v>
          </cell>
          <cell r="CA142">
            <v>6.6949898000000001</v>
          </cell>
          <cell r="CB142">
            <v>6.3584424000000004</v>
          </cell>
          <cell r="CC142">
            <v>6.5008702999999999</v>
          </cell>
          <cell r="CD142">
            <v>6.6329462000000001</v>
          </cell>
          <cell r="CE142">
            <v>6.0678498000000003</v>
          </cell>
          <cell r="CF142">
            <v>6.0056864999999995</v>
          </cell>
        </row>
        <row r="143">
          <cell r="BA143">
            <v>0</v>
          </cell>
          <cell r="BB143">
            <v>0</v>
          </cell>
          <cell r="BC143">
            <v>0</v>
          </cell>
          <cell r="BD143">
            <v>0</v>
          </cell>
          <cell r="BE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0</v>
          </cell>
          <cell r="CA143">
            <v>0</v>
          </cell>
          <cell r="CB143">
            <v>0</v>
          </cell>
          <cell r="CC143">
            <v>0</v>
          </cell>
          <cell r="CD143">
            <v>0</v>
          </cell>
          <cell r="CE143">
            <v>0</v>
          </cell>
          <cell r="CF143">
            <v>0</v>
          </cell>
        </row>
        <row r="144">
          <cell r="BA144">
            <v>64.720071000000004</v>
          </cell>
          <cell r="BB144">
            <v>65.688432000000006</v>
          </cell>
          <cell r="BC144">
            <v>66.834982000000011</v>
          </cell>
          <cell r="BD144">
            <v>66.693826000000001</v>
          </cell>
          <cell r="BE144">
            <v>67.859229000000013</v>
          </cell>
          <cell r="BF144">
            <v>68.394688000000002</v>
          </cell>
          <cell r="BG144">
            <v>70.551527000000007</v>
          </cell>
          <cell r="BH144">
            <v>73.38149700000001</v>
          </cell>
          <cell r="BI144">
            <v>71.186847999999998</v>
          </cell>
          <cell r="BJ144">
            <v>72.975442999999999</v>
          </cell>
          <cell r="BK144">
            <v>74.850438999999994</v>
          </cell>
          <cell r="BL144">
            <v>77.755750000000006</v>
          </cell>
          <cell r="BM144">
            <v>77.682385999999994</v>
          </cell>
          <cell r="BN144">
            <v>79.827325000000002</v>
          </cell>
          <cell r="BO144">
            <v>79.669169999999994</v>
          </cell>
          <cell r="BP144">
            <v>81.752099000000001</v>
          </cell>
          <cell r="BQ144">
            <v>81.773281000000011</v>
          </cell>
          <cell r="BR144">
            <v>79.673233999999994</v>
          </cell>
          <cell r="BS144">
            <v>79.350288000000006</v>
          </cell>
          <cell r="BT144">
            <v>76.647177999999997</v>
          </cell>
          <cell r="BU144">
            <v>77.327873000000011</v>
          </cell>
          <cell r="BV144">
            <v>77.105980000000002</v>
          </cell>
          <cell r="BW144">
            <v>79.086731</v>
          </cell>
          <cell r="BX144">
            <v>78.429810000000003</v>
          </cell>
          <cell r="BY144">
            <v>79.212417000000002</v>
          </cell>
          <cell r="BZ144">
            <v>79.036767000000012</v>
          </cell>
          <cell r="CA144">
            <v>76.929989000000006</v>
          </cell>
          <cell r="CB144">
            <v>78.511166000000003</v>
          </cell>
          <cell r="CC144">
            <v>78.776066999999998</v>
          </cell>
          <cell r="CD144">
            <v>79.989559999999997</v>
          </cell>
          <cell r="CE144">
            <v>77.330427</v>
          </cell>
          <cell r="CF144">
            <v>76.824354000000014</v>
          </cell>
        </row>
        <row r="145">
          <cell r="BA145">
            <v>8.1810962000000007</v>
          </cell>
          <cell r="BB145">
            <v>7.1672960999999997</v>
          </cell>
          <cell r="BC145">
            <v>8.0003536000000004</v>
          </cell>
          <cell r="BD145">
            <v>8.3972180999999999</v>
          </cell>
          <cell r="BE145">
            <v>8.573903399999999</v>
          </cell>
          <cell r="BF145">
            <v>8.3950635000000009</v>
          </cell>
          <cell r="BG145">
            <v>8.1868695000000002</v>
          </cell>
          <cell r="BH145">
            <v>8.8331865000000001</v>
          </cell>
          <cell r="BI145">
            <v>9.1244297000000003</v>
          </cell>
          <cell r="BJ145">
            <v>9.9410848999999999</v>
          </cell>
          <cell r="BK145">
            <v>10.404403</v>
          </cell>
          <cell r="BL145">
            <v>10.539059</v>
          </cell>
          <cell r="BM145">
            <v>10.650266999999999</v>
          </cell>
          <cell r="BN145">
            <v>11.092229999999999</v>
          </cell>
          <cell r="BO145">
            <v>10.925553000000001</v>
          </cell>
          <cell r="BP145">
            <v>10.911833000000001</v>
          </cell>
          <cell r="BQ145">
            <v>11.534105</v>
          </cell>
          <cell r="BR145">
            <v>12.289586</v>
          </cell>
          <cell r="BS145">
            <v>12.835933000000001</v>
          </cell>
          <cell r="BT145">
            <v>13.537414000000002</v>
          </cell>
          <cell r="BU145">
            <v>14.441692999999999</v>
          </cell>
          <cell r="BV145">
            <v>15.553274</v>
          </cell>
          <cell r="BW145">
            <v>15.746624000000001</v>
          </cell>
          <cell r="BX145">
            <v>15.987136000000001</v>
          </cell>
          <cell r="BY145">
            <v>16.827004000000002</v>
          </cell>
          <cell r="BZ145">
            <v>17.805507000000002</v>
          </cell>
          <cell r="CA145">
            <v>18.222521</v>
          </cell>
          <cell r="CB145">
            <v>17.869108000000001</v>
          </cell>
          <cell r="CC145">
            <v>18.326082</v>
          </cell>
          <cell r="CD145">
            <v>19.058941000000001</v>
          </cell>
          <cell r="CE145">
            <v>18.602471000000001</v>
          </cell>
          <cell r="CF145">
            <v>19.497084999999998</v>
          </cell>
        </row>
        <row r="146">
          <cell r="BA146">
            <v>5.6970424999999993</v>
          </cell>
          <cell r="BB146">
            <v>6.5469325999999999</v>
          </cell>
          <cell r="BC146">
            <v>7.3690496999999997</v>
          </cell>
          <cell r="BD146">
            <v>8.4654316000000005</v>
          </cell>
          <cell r="BE146">
            <v>9.3138871000000005</v>
          </cell>
          <cell r="BF146">
            <v>10.200733</v>
          </cell>
          <cell r="BG146">
            <v>11.337868</v>
          </cell>
          <cell r="BH146">
            <v>12.499709999999999</v>
          </cell>
          <cell r="BI146">
            <v>13.709869000000001</v>
          </cell>
          <cell r="BJ146">
            <v>14.723715</v>
          </cell>
          <cell r="BK146">
            <v>15.097379000000002</v>
          </cell>
          <cell r="BL146">
            <v>15.30293</v>
          </cell>
          <cell r="BM146">
            <v>15.640863</v>
          </cell>
          <cell r="BN146">
            <v>16.122726</v>
          </cell>
          <cell r="BO146">
            <v>16.570533000000001</v>
          </cell>
          <cell r="BP146">
            <v>16.702518000000001</v>
          </cell>
          <cell r="BQ146">
            <v>16.966937000000001</v>
          </cell>
          <cell r="BR146">
            <v>17.522100999999999</v>
          </cell>
          <cell r="BS146">
            <v>18.200295999999998</v>
          </cell>
          <cell r="BT146">
            <v>19.276765000000001</v>
          </cell>
          <cell r="BU146">
            <v>19.461409</v>
          </cell>
          <cell r="BV146">
            <v>20.303144</v>
          </cell>
          <cell r="BW146">
            <v>22.329684</v>
          </cell>
          <cell r="BX146">
            <v>23.946480000000001</v>
          </cell>
          <cell r="BY146">
            <v>25.297579000000002</v>
          </cell>
          <cell r="BZ146">
            <v>25.896436000000001</v>
          </cell>
          <cell r="CA146">
            <v>27.040748000000001</v>
          </cell>
          <cell r="CB146">
            <v>27.935305</v>
          </cell>
          <cell r="CC146">
            <v>29.755788000000003</v>
          </cell>
          <cell r="CD146">
            <v>31.060590000000001</v>
          </cell>
          <cell r="CE146">
            <v>32.384188000000002</v>
          </cell>
          <cell r="CF146">
            <v>33.935859999999998</v>
          </cell>
        </row>
        <row r="147">
          <cell r="BA147">
            <v>148.25310999999999</v>
          </cell>
          <cell r="BB147">
            <v>155.67805999999999</v>
          </cell>
          <cell r="BC147">
            <v>166.51220000000001</v>
          </cell>
          <cell r="BD147">
            <v>168.78367000000003</v>
          </cell>
          <cell r="BE147">
            <v>173.02579</v>
          </cell>
          <cell r="BF147">
            <v>181.66491000000002</v>
          </cell>
          <cell r="BG147">
            <v>202.95463000000001</v>
          </cell>
          <cell r="BH147">
            <v>199.57839999999999</v>
          </cell>
          <cell r="BI147">
            <v>190.67256</v>
          </cell>
          <cell r="BJ147">
            <v>189.18379999999999</v>
          </cell>
          <cell r="BK147">
            <v>198.98273</v>
          </cell>
          <cell r="BL147">
            <v>219.57411999999999</v>
          </cell>
          <cell r="BM147">
            <v>211.88649000000001</v>
          </cell>
          <cell r="BN147">
            <v>236.75644</v>
          </cell>
          <cell r="BO147">
            <v>246.68807999999999</v>
          </cell>
          <cell r="BP147">
            <v>267.69239000000005</v>
          </cell>
          <cell r="BQ147">
            <v>266.98887000000002</v>
          </cell>
          <cell r="BR147">
            <v>273.25324999999998</v>
          </cell>
          <cell r="BS147">
            <v>280.95221000000004</v>
          </cell>
          <cell r="BT147">
            <v>270.41245000000004</v>
          </cell>
          <cell r="BU147">
            <v>298.21765000000005</v>
          </cell>
          <cell r="BV147">
            <v>301.48546000000005</v>
          </cell>
          <cell r="BW147">
            <v>311.76580999999999</v>
          </cell>
          <cell r="BX147">
            <v>324.85755</v>
          </cell>
          <cell r="BY147">
            <v>345.51390000000004</v>
          </cell>
          <cell r="BZ147">
            <v>359.22510999999997</v>
          </cell>
          <cell r="CA147">
            <v>342.86437000000001</v>
          </cell>
          <cell r="CB147">
            <v>356.57173</v>
          </cell>
          <cell r="CC147">
            <v>377.41768999999999</v>
          </cell>
          <cell r="CD147">
            <v>389.71235999999999</v>
          </cell>
          <cell r="CE147">
            <v>385.49671000000001</v>
          </cell>
          <cell r="CF147">
            <v>393.82033000000001</v>
          </cell>
        </row>
        <row r="148">
          <cell r="BA148">
            <v>5.6485943000000004E-3</v>
          </cell>
          <cell r="BB148">
            <v>5.6606446000000005E-3</v>
          </cell>
          <cell r="BC148">
            <v>5.6680154000000003E-3</v>
          </cell>
          <cell r="BD148">
            <v>5.6657043999999998E-3</v>
          </cell>
          <cell r="BE148">
            <v>5.7393187E-3</v>
          </cell>
          <cell r="BF148">
            <v>5.8074975999999993E-3</v>
          </cell>
          <cell r="BG148">
            <v>5.8782575000000002E-3</v>
          </cell>
          <cell r="BH148">
            <v>5.9467023000000004E-3</v>
          </cell>
          <cell r="BI148">
            <v>6.0154360000000007E-3</v>
          </cell>
          <cell r="BJ148">
            <v>6.0845624000000001E-3</v>
          </cell>
          <cell r="BK148">
            <v>6.1566853999999996E-3</v>
          </cell>
          <cell r="BL148">
            <v>6.3683547000000004E-3</v>
          </cell>
          <cell r="BM148">
            <v>6.5124833999999996E-3</v>
          </cell>
          <cell r="BN148">
            <v>6.6541357999999997E-3</v>
          </cell>
          <cell r="BO148">
            <v>6.7985762000000007E-3</v>
          </cell>
          <cell r="BP148">
            <v>6.9785687000000008E-3</v>
          </cell>
          <cell r="BQ148">
            <v>8.1467291999999993E-3</v>
          </cell>
          <cell r="BR148">
            <v>9.6035028000000001E-3</v>
          </cell>
          <cell r="BS148">
            <v>6.3104943000000004E-3</v>
          </cell>
          <cell r="BT148">
            <v>6.5106736E-3</v>
          </cell>
          <cell r="BU148">
            <v>6.5300324E-3</v>
          </cell>
          <cell r="BV148">
            <v>1.1592224999999999E-2</v>
          </cell>
          <cell r="BW148">
            <v>1.1600417E-2</v>
          </cell>
          <cell r="BX148">
            <v>1.1611110000000001E-2</v>
          </cell>
          <cell r="BY148">
            <v>1.6673302000000001E-2</v>
          </cell>
          <cell r="BZ148">
            <v>1.1629994999999999E-2</v>
          </cell>
          <cell r="CA148">
            <v>1.1635687E-2</v>
          </cell>
          <cell r="CB148">
            <v>1.164138E-2</v>
          </cell>
          <cell r="CC148">
            <v>1.2001269E-2</v>
          </cell>
          <cell r="CD148">
            <v>1.2852674999999999E-2</v>
          </cell>
          <cell r="CE148">
            <v>1.2933827000000002E-2</v>
          </cell>
          <cell r="CF148">
            <v>1.3261459E-2</v>
          </cell>
        </row>
        <row r="149">
          <cell r="BA149">
            <v>0</v>
          </cell>
          <cell r="BB149">
            <v>0</v>
          </cell>
          <cell r="BC149">
            <v>0</v>
          </cell>
          <cell r="BD149">
            <v>0</v>
          </cell>
          <cell r="BE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0</v>
          </cell>
          <cell r="BX149">
            <v>0</v>
          </cell>
          <cell r="BY149">
            <v>0</v>
          </cell>
          <cell r="BZ149">
            <v>0</v>
          </cell>
          <cell r="CA149">
            <v>0</v>
          </cell>
          <cell r="CB149">
            <v>0</v>
          </cell>
          <cell r="CC149">
            <v>0</v>
          </cell>
          <cell r="CD149">
            <v>0</v>
          </cell>
          <cell r="CE149">
            <v>0</v>
          </cell>
          <cell r="CF149">
            <v>0</v>
          </cell>
        </row>
        <row r="150">
          <cell r="BA150">
            <v>51.012849000000003</v>
          </cell>
          <cell r="BB150">
            <v>48.583017999999996</v>
          </cell>
          <cell r="BC150">
            <v>46.839500000000001</v>
          </cell>
          <cell r="BD150">
            <v>48.751411999999995</v>
          </cell>
          <cell r="BE150">
            <v>50.616116000000005</v>
          </cell>
          <cell r="BF150">
            <v>50.962111</v>
          </cell>
          <cell r="BG150">
            <v>53.830756999999998</v>
          </cell>
          <cell r="BH150">
            <v>53.780286000000004</v>
          </cell>
          <cell r="BI150">
            <v>53.879365</v>
          </cell>
          <cell r="BJ150">
            <v>54.873728999999997</v>
          </cell>
          <cell r="BK150">
            <v>54.138190000000002</v>
          </cell>
          <cell r="BL150">
            <v>55.358823999999998</v>
          </cell>
          <cell r="BM150">
            <v>54.297794000000003</v>
          </cell>
          <cell r="BN150">
            <v>55.012088000000006</v>
          </cell>
          <cell r="BO150">
            <v>55.515572999999996</v>
          </cell>
          <cell r="BP150">
            <v>54.580879000000003</v>
          </cell>
          <cell r="BQ150">
            <v>54.659680999999999</v>
          </cell>
          <cell r="BR150">
            <v>56.352794000000003</v>
          </cell>
          <cell r="BS150">
            <v>54.915506999999998</v>
          </cell>
          <cell r="BT150">
            <v>52.470858999999997</v>
          </cell>
          <cell r="BU150">
            <v>54.856500999999994</v>
          </cell>
          <cell r="BV150">
            <v>53.947814000000001</v>
          </cell>
          <cell r="BW150">
            <v>53.333992000000002</v>
          </cell>
          <cell r="BX150">
            <v>53.557659000000001</v>
          </cell>
          <cell r="BY150">
            <v>53.842154000000001</v>
          </cell>
          <cell r="BZ150">
            <v>54.293167000000004</v>
          </cell>
          <cell r="CA150">
            <v>53.384286000000003</v>
          </cell>
          <cell r="CB150">
            <v>52.596992</v>
          </cell>
          <cell r="CC150">
            <v>52.630369000000002</v>
          </cell>
          <cell r="CD150">
            <v>50.933108000000004</v>
          </cell>
          <cell r="CE150">
            <v>49.178160000000005</v>
          </cell>
          <cell r="CF150">
            <v>48.869427000000002</v>
          </cell>
        </row>
        <row r="151">
          <cell r="BA151">
            <v>29.252390999999999</v>
          </cell>
          <cell r="BB151">
            <v>33.295095000000003</v>
          </cell>
          <cell r="BC151">
            <v>32.148824000000005</v>
          </cell>
          <cell r="BD151">
            <v>32.73518</v>
          </cell>
          <cell r="BE151">
            <v>34.825258999999996</v>
          </cell>
          <cell r="BF151">
            <v>35.119191000000001</v>
          </cell>
          <cell r="BG151">
            <v>33.602627999999996</v>
          </cell>
          <cell r="BH151">
            <v>35.500990000000002</v>
          </cell>
          <cell r="BI151">
            <v>32.302019000000001</v>
          </cell>
          <cell r="BJ151">
            <v>34.603354000000003</v>
          </cell>
          <cell r="BK151">
            <v>35.809877999999998</v>
          </cell>
          <cell r="BL151">
            <v>38.983607000000006</v>
          </cell>
          <cell r="BM151">
            <v>44.381253000000001</v>
          </cell>
          <cell r="BN151">
            <v>53.552820000000004</v>
          </cell>
          <cell r="BO151">
            <v>52.177843000000003</v>
          </cell>
          <cell r="BP151">
            <v>54.859262000000001</v>
          </cell>
          <cell r="BQ151">
            <v>62.216074999999996</v>
          </cell>
          <cell r="BR151">
            <v>65.796487999999997</v>
          </cell>
          <cell r="BS151">
            <v>65.895433999999995</v>
          </cell>
          <cell r="BT151">
            <v>65.400727000000003</v>
          </cell>
          <cell r="BU151">
            <v>71.566344999999998</v>
          </cell>
          <cell r="BV151">
            <v>79.746589999999998</v>
          </cell>
          <cell r="BW151">
            <v>88.067458000000002</v>
          </cell>
          <cell r="BX151">
            <v>94.176451</v>
          </cell>
          <cell r="BY151">
            <v>94.402244999999994</v>
          </cell>
          <cell r="BZ151">
            <v>97.914892999999992</v>
          </cell>
          <cell r="CA151">
            <v>100.19772999999999</v>
          </cell>
          <cell r="CB151">
            <v>102.02458</v>
          </cell>
          <cell r="CC151">
            <v>105.75151</v>
          </cell>
          <cell r="CD151">
            <v>107.07163000000001</v>
          </cell>
          <cell r="CE151">
            <v>105.24821000000001</v>
          </cell>
          <cell r="CF151">
            <v>110.04008999999999</v>
          </cell>
        </row>
        <row r="152">
          <cell r="BA152">
            <v>198.17764000000003</v>
          </cell>
          <cell r="BB152">
            <v>197.58984000000001</v>
          </cell>
          <cell r="BC152">
            <v>206.85557</v>
          </cell>
          <cell r="BD152">
            <v>216.37001000000001</v>
          </cell>
          <cell r="BE152">
            <v>226.47313</v>
          </cell>
          <cell r="BF152">
            <v>231.40926999999999</v>
          </cell>
          <cell r="BG152">
            <v>246.01615000000001</v>
          </cell>
          <cell r="BH152">
            <v>249.82500000000002</v>
          </cell>
          <cell r="BI152">
            <v>257.72701999999998</v>
          </cell>
          <cell r="BJ152">
            <v>265.08278999999999</v>
          </cell>
          <cell r="BK152">
            <v>273.39728000000002</v>
          </cell>
          <cell r="BL152">
            <v>277.65967000000001</v>
          </cell>
          <cell r="BM152">
            <v>290.95616999999999</v>
          </cell>
          <cell r="BN152">
            <v>302.94678000000005</v>
          </cell>
          <cell r="BO152">
            <v>321.04660999999999</v>
          </cell>
          <cell r="BP152">
            <v>332.50784999999996</v>
          </cell>
          <cell r="BQ152">
            <v>350.79789</v>
          </cell>
          <cell r="BR152">
            <v>367.01497000000001</v>
          </cell>
          <cell r="BS152">
            <v>372.39690999999999</v>
          </cell>
          <cell r="BT152">
            <v>382.04126000000002</v>
          </cell>
          <cell r="BU152">
            <v>379.39798999999999</v>
          </cell>
          <cell r="BV152">
            <v>387.52563000000004</v>
          </cell>
          <cell r="BW152">
            <v>387.70801</v>
          </cell>
          <cell r="BX152">
            <v>395.95706000000001</v>
          </cell>
          <cell r="BY152">
            <v>405.60609999999997</v>
          </cell>
          <cell r="BZ152">
            <v>425.74173999999999</v>
          </cell>
          <cell r="CA152">
            <v>468.39582000000001</v>
          </cell>
          <cell r="CB152">
            <v>507.54937000000001</v>
          </cell>
          <cell r="CC152">
            <v>524.89801999999997</v>
          </cell>
          <cell r="CD152">
            <v>531.47337000000005</v>
          </cell>
          <cell r="CE152">
            <v>556.74194</v>
          </cell>
          <cell r="CF152">
            <v>593.84788000000003</v>
          </cell>
        </row>
        <row r="153">
          <cell r="BA153">
            <v>0.26427706000000001</v>
          </cell>
          <cell r="BB153">
            <v>0.26309525</v>
          </cell>
          <cell r="BC153">
            <v>0.23670922</v>
          </cell>
          <cell r="BD153">
            <v>0.24076580000000003</v>
          </cell>
          <cell r="BE153">
            <v>0.31663292000000004</v>
          </cell>
          <cell r="BF153">
            <v>0.28185318000000004</v>
          </cell>
          <cell r="BG153">
            <v>0.28045795000000001</v>
          </cell>
          <cell r="BH153">
            <v>0.28778912000000001</v>
          </cell>
          <cell r="BI153">
            <v>0.27837182999999999</v>
          </cell>
          <cell r="BJ153">
            <v>0.30919137000000002</v>
          </cell>
          <cell r="BK153">
            <v>0.27247547999999999</v>
          </cell>
          <cell r="BL153">
            <v>0.31167860000000003</v>
          </cell>
          <cell r="BM153">
            <v>0.29923541999999997</v>
          </cell>
          <cell r="BN153">
            <v>0.34715318000000001</v>
          </cell>
          <cell r="BO153">
            <v>0.38221326</v>
          </cell>
          <cell r="BP153">
            <v>0.44776931000000003</v>
          </cell>
          <cell r="BQ153">
            <v>0.45693099000000004</v>
          </cell>
          <cell r="BR153">
            <v>0.47447152000000004</v>
          </cell>
          <cell r="BS153">
            <v>0.40488925000000003</v>
          </cell>
          <cell r="BT153">
            <v>0.41953910999999999</v>
          </cell>
          <cell r="BU153">
            <v>0.42277780000000004</v>
          </cell>
          <cell r="BV153">
            <v>0.43865895999999999</v>
          </cell>
          <cell r="BW153">
            <v>0.46197104999999999</v>
          </cell>
          <cell r="BX153">
            <v>0.40729388</v>
          </cell>
          <cell r="BY153">
            <v>0.41040577</v>
          </cell>
          <cell r="BZ153">
            <v>0.41284797000000001</v>
          </cell>
          <cell r="CA153">
            <v>0.41200360999999996</v>
          </cell>
          <cell r="CB153">
            <v>0.42616617000000001</v>
          </cell>
          <cell r="CC153">
            <v>0.43682898999999997</v>
          </cell>
          <cell r="CD153">
            <v>0.46700759000000003</v>
          </cell>
          <cell r="CE153">
            <v>0.46895791000000003</v>
          </cell>
          <cell r="CF153">
            <v>0.48273104999999999</v>
          </cell>
        </row>
        <row r="154">
          <cell r="BA154">
            <v>6.6583289000000008</v>
          </cell>
          <cell r="BB154">
            <v>7.2487079999999997</v>
          </cell>
          <cell r="BC154">
            <v>8.5500719000000007</v>
          </cell>
          <cell r="BD154">
            <v>8.1674229</v>
          </cell>
          <cell r="BE154">
            <v>8.2640574000000004</v>
          </cell>
          <cell r="BF154">
            <v>8.5652507999999994</v>
          </cell>
          <cell r="BG154">
            <v>9.1455649000000001</v>
          </cell>
          <cell r="BH154">
            <v>8.9784773999999992</v>
          </cell>
          <cell r="BI154">
            <v>10.073802000000001</v>
          </cell>
          <cell r="BJ154">
            <v>9.5653839999999999</v>
          </cell>
          <cell r="BK154">
            <v>9.3672852999999989</v>
          </cell>
          <cell r="BL154">
            <v>10.972882999999999</v>
          </cell>
          <cell r="BM154">
            <v>10.242685</v>
          </cell>
          <cell r="BN154">
            <v>10.743224</v>
          </cell>
          <cell r="BO154">
            <v>10.47559</v>
          </cell>
          <cell r="BP154">
            <v>10.368956000000001</v>
          </cell>
          <cell r="BQ154">
            <v>11.330251000000001</v>
          </cell>
          <cell r="BR154">
            <v>12.158832</v>
          </cell>
          <cell r="BS154">
            <v>12.312091000000001</v>
          </cell>
          <cell r="BT154">
            <v>14.012416999999999</v>
          </cell>
          <cell r="BU154">
            <v>15.07408</v>
          </cell>
          <cell r="BV154">
            <v>16.475346000000002</v>
          </cell>
          <cell r="BW154">
            <v>16.611227</v>
          </cell>
          <cell r="BX154">
            <v>16.32424</v>
          </cell>
          <cell r="BY154">
            <v>16.690598999999999</v>
          </cell>
          <cell r="BZ154">
            <v>17.861927999999999</v>
          </cell>
          <cell r="CA154">
            <v>17.817287</v>
          </cell>
          <cell r="CB154">
            <v>17.623795999999999</v>
          </cell>
          <cell r="CC154">
            <v>17.313582999999998</v>
          </cell>
          <cell r="CD154">
            <v>18.453695</v>
          </cell>
          <cell r="CE154">
            <v>16.524286</v>
          </cell>
          <cell r="CF154">
            <v>18.052616</v>
          </cell>
        </row>
        <row r="155">
          <cell r="BA155">
            <v>5.0631385</v>
          </cell>
          <cell r="BB155">
            <v>5.1907041999999999</v>
          </cell>
          <cell r="BC155">
            <v>5.4263770999999998</v>
          </cell>
          <cell r="BD155">
            <v>5.5893010000000007</v>
          </cell>
          <cell r="BE155">
            <v>5.6193819999999999</v>
          </cell>
          <cell r="BF155">
            <v>5.5214057000000007</v>
          </cell>
          <cell r="BG155">
            <v>5.7322848000000004</v>
          </cell>
          <cell r="BH155">
            <v>6.1088594000000001</v>
          </cell>
          <cell r="BI155">
            <v>13.794677999999999</v>
          </cell>
          <cell r="BJ155">
            <v>6.7339672000000004</v>
          </cell>
          <cell r="BK155">
            <v>8.8764541000000019</v>
          </cell>
          <cell r="BL155">
            <v>9.2254033</v>
          </cell>
          <cell r="BM155">
            <v>9.2590073999999998</v>
          </cell>
          <cell r="BN155">
            <v>9.4381623999999995</v>
          </cell>
          <cell r="BO155">
            <v>9.7846574999999998</v>
          </cell>
          <cell r="BP155">
            <v>9.1599742000000006</v>
          </cell>
          <cell r="BQ155">
            <v>8.8383400999999999</v>
          </cell>
          <cell r="BR155">
            <v>10.404774999999999</v>
          </cell>
          <cell r="BS155">
            <v>8.6560763999999999</v>
          </cell>
          <cell r="BT155">
            <v>8.6830306999999998</v>
          </cell>
          <cell r="BU155">
            <v>7.9292299999999996</v>
          </cell>
          <cell r="BV155">
            <v>7.9899522000000003</v>
          </cell>
          <cell r="BW155">
            <v>8.1273358000000009</v>
          </cell>
          <cell r="BX155">
            <v>8.5063151999999995</v>
          </cell>
          <cell r="BY155">
            <v>9.8895820000000008</v>
          </cell>
          <cell r="BZ155">
            <v>11.06606</v>
          </cell>
          <cell r="CA155">
            <v>11.254799000000002</v>
          </cell>
          <cell r="CB155">
            <v>11.144789000000001</v>
          </cell>
          <cell r="CC155">
            <v>11.355823000000001</v>
          </cell>
          <cell r="CD155">
            <v>11.993952999999999</v>
          </cell>
          <cell r="CE155">
            <v>13.051665999999999</v>
          </cell>
          <cell r="CF155">
            <v>13.874475</v>
          </cell>
        </row>
        <row r="156">
          <cell r="BA156">
            <v>25.264427999999999</v>
          </cell>
          <cell r="BB156">
            <v>23.730388999999999</v>
          </cell>
          <cell r="BC156">
            <v>24.889406999999999</v>
          </cell>
          <cell r="BD156">
            <v>26.976285000000001</v>
          </cell>
          <cell r="BE156">
            <v>28.731080000000002</v>
          </cell>
          <cell r="BF156">
            <v>30.357952000000001</v>
          </cell>
          <cell r="BG156">
            <v>28.637793000000002</v>
          </cell>
          <cell r="BH156">
            <v>28.507836000000001</v>
          </cell>
          <cell r="BI156">
            <v>28.241976999999999</v>
          </cell>
          <cell r="BJ156">
            <v>28.110317999999999</v>
          </cell>
          <cell r="BK156">
            <v>25.633178000000001</v>
          </cell>
          <cell r="BL156">
            <v>28.765366999999998</v>
          </cell>
          <cell r="BM156">
            <v>29.536115000000002</v>
          </cell>
          <cell r="BN156">
            <v>33.438555000000001</v>
          </cell>
          <cell r="BO156">
            <v>32.774235000000004</v>
          </cell>
          <cell r="BP156">
            <v>34.981688999999996</v>
          </cell>
          <cell r="BQ156">
            <v>35.996955999999997</v>
          </cell>
          <cell r="BR156">
            <v>39.633409</v>
          </cell>
          <cell r="BS156">
            <v>38.994525000000003</v>
          </cell>
          <cell r="BT156">
            <v>41.831884000000002</v>
          </cell>
          <cell r="BU156">
            <v>45.504273000000005</v>
          </cell>
          <cell r="BV156">
            <v>47.490186000000001</v>
          </cell>
          <cell r="BW156">
            <v>48.717862000000004</v>
          </cell>
          <cell r="BX156">
            <v>44.876379</v>
          </cell>
          <cell r="BY156">
            <v>42.752252999999996</v>
          </cell>
          <cell r="BZ156">
            <v>39.046784000000002</v>
          </cell>
          <cell r="CA156">
            <v>38.40869</v>
          </cell>
          <cell r="CB156">
            <v>38.475608000000001</v>
          </cell>
          <cell r="CC156">
            <v>35.966174000000002</v>
          </cell>
          <cell r="CD156">
            <v>36.772035000000002</v>
          </cell>
          <cell r="CE156">
            <v>37.043065000000006</v>
          </cell>
          <cell r="CF156">
            <v>38.312339999999999</v>
          </cell>
        </row>
        <row r="157">
          <cell r="BA157">
            <v>52.473625999999996</v>
          </cell>
          <cell r="BB157">
            <v>51.880413999999995</v>
          </cell>
          <cell r="BC157">
            <v>51.348143999999998</v>
          </cell>
          <cell r="BD157">
            <v>54.102499000000002</v>
          </cell>
          <cell r="BE157">
            <v>54.939003</v>
          </cell>
          <cell r="BF157">
            <v>57.770327000000002</v>
          </cell>
          <cell r="BG157">
            <v>58.005457999999997</v>
          </cell>
          <cell r="BH157">
            <v>61.586324000000005</v>
          </cell>
          <cell r="BI157">
            <v>62.394699000000003</v>
          </cell>
          <cell r="BJ157">
            <v>64.632826000000009</v>
          </cell>
          <cell r="BK157">
            <v>64.183428000000006</v>
          </cell>
          <cell r="BL157">
            <v>61.158647999999999</v>
          </cell>
          <cell r="BM157">
            <v>62.181421</v>
          </cell>
          <cell r="BN157">
            <v>62.906658999999998</v>
          </cell>
          <cell r="BO157">
            <v>66.777732</v>
          </cell>
          <cell r="BP157">
            <v>70.54685099999999</v>
          </cell>
          <cell r="BQ157">
            <v>67.329763000000014</v>
          </cell>
          <cell r="BR157">
            <v>73.899179000000004</v>
          </cell>
          <cell r="BS157">
            <v>74.626335000000012</v>
          </cell>
          <cell r="BT157">
            <v>80.247479000000013</v>
          </cell>
          <cell r="BU157">
            <v>85.629690000000011</v>
          </cell>
          <cell r="BV157">
            <v>86.979094000000003</v>
          </cell>
          <cell r="BW157">
            <v>88.690028999999996</v>
          </cell>
          <cell r="BX157">
            <v>87.126785000000012</v>
          </cell>
          <cell r="BY157">
            <v>93.944799000000003</v>
          </cell>
          <cell r="BZ157">
            <v>93.694616999999994</v>
          </cell>
          <cell r="CA157">
            <v>98.144172000000012</v>
          </cell>
          <cell r="CB157">
            <v>99.666698000000011</v>
          </cell>
          <cell r="CC157">
            <v>100.89353</v>
          </cell>
          <cell r="CD157">
            <v>103.88527999999999</v>
          </cell>
          <cell r="CE157">
            <v>95.859774000000002</v>
          </cell>
          <cell r="CF157">
            <v>103.69398</v>
          </cell>
        </row>
        <row r="159">
          <cell r="BA159">
            <v>0</v>
          </cell>
          <cell r="BB159">
            <v>0</v>
          </cell>
          <cell r="BC159">
            <v>0</v>
          </cell>
          <cell r="BD159">
            <v>0</v>
          </cell>
          <cell r="BE159">
            <v>0</v>
          </cell>
          <cell r="BF159">
            <v>0</v>
          </cell>
          <cell r="BG159">
            <v>0</v>
          </cell>
          <cell r="BH159">
            <v>0</v>
          </cell>
          <cell r="BI159">
            <v>0</v>
          </cell>
          <cell r="BJ159">
            <v>0</v>
          </cell>
          <cell r="BK159">
            <v>0</v>
          </cell>
          <cell r="BL159">
            <v>0</v>
          </cell>
          <cell r="BM159">
            <v>0</v>
          </cell>
          <cell r="BN159">
            <v>0</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row>
        <row r="160">
          <cell r="BA160">
            <v>470.54058000000003</v>
          </cell>
          <cell r="BB160">
            <v>459.11671999999999</v>
          </cell>
          <cell r="BC160">
            <v>446.71967000000001</v>
          </cell>
          <cell r="BD160">
            <v>447.04233000000005</v>
          </cell>
          <cell r="BE160">
            <v>441.05340999999999</v>
          </cell>
          <cell r="BF160">
            <v>443.22273000000001</v>
          </cell>
          <cell r="BG160">
            <v>456.96539000000001</v>
          </cell>
          <cell r="BH160">
            <v>446.67171000000002</v>
          </cell>
          <cell r="BI160">
            <v>416.28634000000005</v>
          </cell>
          <cell r="BJ160">
            <v>404.54738000000003</v>
          </cell>
          <cell r="BK160">
            <v>391.28271000000001</v>
          </cell>
          <cell r="BL160">
            <v>389.64753000000002</v>
          </cell>
          <cell r="BM160">
            <v>379.50322999999997</v>
          </cell>
          <cell r="BN160">
            <v>392.69783000000001</v>
          </cell>
          <cell r="BO160">
            <v>398.11914000000002</v>
          </cell>
          <cell r="BP160">
            <v>398.07552000000004</v>
          </cell>
          <cell r="BQ160">
            <v>412.79541999999998</v>
          </cell>
          <cell r="BR160">
            <v>412.32613000000003</v>
          </cell>
          <cell r="BS160">
            <v>405.52719999999999</v>
          </cell>
          <cell r="BT160">
            <v>387.30770000000001</v>
          </cell>
          <cell r="BU160">
            <v>404.66353000000004</v>
          </cell>
          <cell r="BV160">
            <v>403.43425999999999</v>
          </cell>
          <cell r="BW160">
            <v>395.61011999999999</v>
          </cell>
          <cell r="BX160">
            <v>391.58521999999999</v>
          </cell>
          <cell r="BY160">
            <v>378.80095</v>
          </cell>
          <cell r="BZ160">
            <v>380.94166999999999</v>
          </cell>
          <cell r="CA160">
            <v>391.97280000000001</v>
          </cell>
          <cell r="CB160">
            <v>406.7441</v>
          </cell>
          <cell r="CC160">
            <v>406.72040000000004</v>
          </cell>
          <cell r="CD160">
            <v>384.28694000000002</v>
          </cell>
          <cell r="CE160">
            <v>369.33756</v>
          </cell>
          <cell r="CF160">
            <v>397.51886999999999</v>
          </cell>
        </row>
        <row r="161">
          <cell r="BA161">
            <v>58.753644000000001</v>
          </cell>
          <cell r="BB161">
            <v>60.659382000000001</v>
          </cell>
          <cell r="BC161">
            <v>64.495062000000004</v>
          </cell>
          <cell r="BD161">
            <v>62.980675000000005</v>
          </cell>
          <cell r="BE161">
            <v>63.871290000000002</v>
          </cell>
          <cell r="BF161">
            <v>68.528616999999997</v>
          </cell>
          <cell r="BG161">
            <v>66.236270999999988</v>
          </cell>
          <cell r="BH161">
            <v>69.408602999999999</v>
          </cell>
          <cell r="BI161">
            <v>74.250883000000002</v>
          </cell>
          <cell r="BJ161">
            <v>82.347936000000004</v>
          </cell>
          <cell r="BK161">
            <v>81.600623000000013</v>
          </cell>
          <cell r="BL161">
            <v>81.110168000000002</v>
          </cell>
          <cell r="BM161">
            <v>85.558684</v>
          </cell>
          <cell r="BN161">
            <v>80.452724000000003</v>
          </cell>
          <cell r="BO161">
            <v>83.715806000000001</v>
          </cell>
          <cell r="BP161">
            <v>85.645418000000006</v>
          </cell>
          <cell r="BQ161">
            <v>80.810421000000005</v>
          </cell>
          <cell r="BR161">
            <v>78.536917000000003</v>
          </cell>
          <cell r="BS161">
            <v>76.139232000000007</v>
          </cell>
          <cell r="BT161">
            <v>73.049831000000012</v>
          </cell>
          <cell r="BU161">
            <v>68.802578999999994</v>
          </cell>
          <cell r="BV161">
            <v>67.312286</v>
          </cell>
          <cell r="BW161">
            <v>65.366737000000001</v>
          </cell>
          <cell r="BX161">
            <v>63.481385000000003</v>
          </cell>
          <cell r="BY161">
            <v>63.405754000000002</v>
          </cell>
          <cell r="BZ161">
            <v>67.563355999999999</v>
          </cell>
          <cell r="CA161">
            <v>65.745097999999999</v>
          </cell>
          <cell r="CB161">
            <v>70.808985000000007</v>
          </cell>
          <cell r="CC161">
            <v>67.18353900000001</v>
          </cell>
          <cell r="CD161">
            <v>63.544935000000002</v>
          </cell>
          <cell r="CE161">
            <v>57.478891000000004</v>
          </cell>
          <cell r="CF161">
            <v>55.813673999999999</v>
          </cell>
        </row>
        <row r="162">
          <cell r="BA162">
            <v>0</v>
          </cell>
          <cell r="BB162">
            <v>0</v>
          </cell>
          <cell r="BC162">
            <v>0</v>
          </cell>
          <cell r="BD162">
            <v>0</v>
          </cell>
          <cell r="BE162">
            <v>0</v>
          </cell>
          <cell r="BF162">
            <v>0</v>
          </cell>
          <cell r="BG162">
            <v>0</v>
          </cell>
          <cell r="BH162">
            <v>0</v>
          </cell>
          <cell r="BI162">
            <v>0</v>
          </cell>
          <cell r="BJ162">
            <v>0</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cell r="CE162">
            <v>0</v>
          </cell>
          <cell r="CF162">
            <v>0</v>
          </cell>
        </row>
        <row r="163">
          <cell r="BA163">
            <v>24.576346000000001</v>
          </cell>
          <cell r="BB163">
            <v>30.527991999999998</v>
          </cell>
          <cell r="BC163">
            <v>40.712404999999997</v>
          </cell>
          <cell r="BD163">
            <v>44.259921000000006</v>
          </cell>
          <cell r="BE163">
            <v>44.377286999999995</v>
          </cell>
          <cell r="BF163">
            <v>44.556643999999999</v>
          </cell>
          <cell r="BG163">
            <v>48.417908000000004</v>
          </cell>
          <cell r="BH163">
            <v>65.570274999999995</v>
          </cell>
          <cell r="BI163">
            <v>60.837499000000008</v>
          </cell>
          <cell r="BJ163">
            <v>63.761780000000002</v>
          </cell>
          <cell r="BK163">
            <v>71.172798999999998</v>
          </cell>
          <cell r="BL163">
            <v>74.612729000000002</v>
          </cell>
          <cell r="BM163">
            <v>74.422584000000001</v>
          </cell>
          <cell r="BN163">
            <v>86.048817999999997</v>
          </cell>
          <cell r="BO163">
            <v>89.160638000000006</v>
          </cell>
          <cell r="BP163">
            <v>89.186252999999994</v>
          </cell>
          <cell r="BQ163">
            <v>102.76549000000001</v>
          </cell>
          <cell r="BR163">
            <v>107.00274</v>
          </cell>
          <cell r="BS163">
            <v>116.48785000000001</v>
          </cell>
          <cell r="BT163">
            <v>124.21572999999999</v>
          </cell>
          <cell r="BU163">
            <v>137.09052</v>
          </cell>
          <cell r="BV163">
            <v>155.78173999999999</v>
          </cell>
          <cell r="BW163">
            <v>170.02970000000002</v>
          </cell>
          <cell r="BX163">
            <v>171.84455</v>
          </cell>
          <cell r="BY163">
            <v>194.13310000000001</v>
          </cell>
          <cell r="BZ163">
            <v>195.35773</v>
          </cell>
          <cell r="CA163">
            <v>192.28767000000002</v>
          </cell>
          <cell r="CB163">
            <v>195.14851999999999</v>
          </cell>
          <cell r="CC163">
            <v>198.21911</v>
          </cell>
          <cell r="CD163">
            <v>204.71517000000003</v>
          </cell>
          <cell r="CE163">
            <v>170.82133999999999</v>
          </cell>
          <cell r="CF163">
            <v>178.3905</v>
          </cell>
        </row>
        <row r="164">
          <cell r="BA164">
            <v>0</v>
          </cell>
          <cell r="BB164">
            <v>0</v>
          </cell>
          <cell r="BC164">
            <v>0</v>
          </cell>
          <cell r="BD164">
            <v>0</v>
          </cell>
          <cell r="BE164">
            <v>0</v>
          </cell>
          <cell r="BF164">
            <v>0</v>
          </cell>
          <cell r="BG164">
            <v>0</v>
          </cell>
          <cell r="BH164">
            <v>0</v>
          </cell>
          <cell r="BI164">
            <v>0</v>
          </cell>
          <cell r="BJ164">
            <v>0</v>
          </cell>
          <cell r="BK164">
            <v>0</v>
          </cell>
          <cell r="BL164">
            <v>0</v>
          </cell>
          <cell r="BM164">
            <v>0</v>
          </cell>
          <cell r="BN164">
            <v>0</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cell r="CE164">
            <v>0</v>
          </cell>
          <cell r="CF164">
            <v>0</v>
          </cell>
        </row>
        <row r="165">
          <cell r="BA165">
            <v>253.46257</v>
          </cell>
          <cell r="BB165">
            <v>207.00597000000002</v>
          </cell>
          <cell r="BC165">
            <v>191.68954000000002</v>
          </cell>
          <cell r="BD165">
            <v>181.48447000000002</v>
          </cell>
          <cell r="BE165">
            <v>178.83811</v>
          </cell>
          <cell r="BF165">
            <v>185.71006</v>
          </cell>
          <cell r="BG165">
            <v>188.65301000000002</v>
          </cell>
          <cell r="BH165">
            <v>181.45867999999999</v>
          </cell>
          <cell r="BI165">
            <v>164.62912</v>
          </cell>
          <cell r="BJ165">
            <v>146.78327999999999</v>
          </cell>
          <cell r="BK165">
            <v>139.96432999999999</v>
          </cell>
          <cell r="BL165">
            <v>143.82626999999999</v>
          </cell>
          <cell r="BM165">
            <v>145.50195000000002</v>
          </cell>
          <cell r="BN165">
            <v>151.24194</v>
          </cell>
          <cell r="BO165">
            <v>149.71964000000003</v>
          </cell>
          <cell r="BP165">
            <v>148.93039999999999</v>
          </cell>
          <cell r="BQ165">
            <v>149.95381</v>
          </cell>
          <cell r="BR165">
            <v>153.62520000000001</v>
          </cell>
          <cell r="BS165">
            <v>150.62557999999999</v>
          </cell>
          <cell r="BT165">
            <v>129.12575999999999</v>
          </cell>
          <cell r="BU165">
            <v>124.76560000000001</v>
          </cell>
          <cell r="BV165">
            <v>131.09786</v>
          </cell>
          <cell r="BW165">
            <v>128.81674000000001</v>
          </cell>
          <cell r="BX165">
            <v>116.95324000000001</v>
          </cell>
          <cell r="BY165">
            <v>116.46082000000001</v>
          </cell>
          <cell r="BZ165">
            <v>115.37461999999999</v>
          </cell>
          <cell r="CA165">
            <v>113.66174000000001</v>
          </cell>
          <cell r="CB165">
            <v>116.82178999999999</v>
          </cell>
          <cell r="CC165">
            <v>117.84732000000001</v>
          </cell>
          <cell r="CD165">
            <v>114.30925000000001</v>
          </cell>
          <cell r="CE165">
            <v>110.55233</v>
          </cell>
          <cell r="CF165">
            <v>114.07584</v>
          </cell>
        </row>
        <row r="167">
          <cell r="BA167">
            <v>3.8214190000000001</v>
          </cell>
          <cell r="BB167">
            <v>3.7433068</v>
          </cell>
          <cell r="BC167">
            <v>3.659424</v>
          </cell>
          <cell r="BD167">
            <v>3.5320654</v>
          </cell>
          <cell r="BE167">
            <v>3.3817111</v>
          </cell>
          <cell r="BF167">
            <v>3.0077522000000001</v>
          </cell>
          <cell r="BG167">
            <v>3.1979063999999999</v>
          </cell>
          <cell r="BH167">
            <v>3.4997501999999998</v>
          </cell>
          <cell r="BI167">
            <v>3.5806863</v>
          </cell>
          <cell r="BJ167">
            <v>3.9284450999999998</v>
          </cell>
          <cell r="BK167">
            <v>3.7649522000000002</v>
          </cell>
          <cell r="BL167">
            <v>3.9518845000000002</v>
          </cell>
          <cell r="BM167">
            <v>4.1106503000000005</v>
          </cell>
          <cell r="BN167">
            <v>4.3920453999999998</v>
          </cell>
          <cell r="BO167">
            <v>4.6205644000000001</v>
          </cell>
          <cell r="BP167">
            <v>4.7800656000000004</v>
          </cell>
          <cell r="BQ167">
            <v>4.7676470000000002</v>
          </cell>
          <cell r="BR167">
            <v>5.1834161999999999</v>
          </cell>
          <cell r="BS167">
            <v>5.4703150999999997</v>
          </cell>
          <cell r="BT167">
            <v>5.7746607000000001</v>
          </cell>
          <cell r="BU167">
            <v>6.0517686000000008</v>
          </cell>
          <cell r="BV167">
            <v>5.8438203999999994</v>
          </cell>
          <cell r="BW167">
            <v>6.0071235999999999</v>
          </cell>
          <cell r="BX167">
            <v>6.2546659</v>
          </cell>
          <cell r="BY167">
            <v>6.4817678000000001</v>
          </cell>
          <cell r="BZ167">
            <v>7.0522723999999997</v>
          </cell>
          <cell r="CA167">
            <v>7.0111742999999995</v>
          </cell>
          <cell r="CB167">
            <v>7.3402362999999999</v>
          </cell>
          <cell r="CC167">
            <v>8.6846543999999994</v>
          </cell>
          <cell r="CD167">
            <v>8.8752305000000007</v>
          </cell>
          <cell r="CE167">
            <v>8.7845288000000004</v>
          </cell>
          <cell r="CF167">
            <v>9.1180831999999992</v>
          </cell>
        </row>
        <row r="168">
          <cell r="BA168">
            <v>0.17370103000000001</v>
          </cell>
          <cell r="BB168">
            <v>0.17741669999999998</v>
          </cell>
          <cell r="BC168">
            <v>0.1795601</v>
          </cell>
          <cell r="BD168">
            <v>0.18104931999999999</v>
          </cell>
          <cell r="BE168">
            <v>0.18197055000000001</v>
          </cell>
          <cell r="BF168">
            <v>0.20506928999999999</v>
          </cell>
          <cell r="BG168">
            <v>0.21112881</v>
          </cell>
          <cell r="BH168">
            <v>0.21695775</v>
          </cell>
          <cell r="BI168">
            <v>0.23256830000000001</v>
          </cell>
          <cell r="BJ168">
            <v>0.25285385999999999</v>
          </cell>
          <cell r="BK168">
            <v>0.28872010999999997</v>
          </cell>
          <cell r="BL168">
            <v>0.31211475999999999</v>
          </cell>
          <cell r="BM168">
            <v>0.33378627999999999</v>
          </cell>
          <cell r="BN168">
            <v>0.34307377999999999</v>
          </cell>
          <cell r="BO168">
            <v>0.34105293000000003</v>
          </cell>
          <cell r="BP168">
            <v>0.35601904000000001</v>
          </cell>
          <cell r="BQ168">
            <v>0.37074588000000003</v>
          </cell>
          <cell r="BR168">
            <v>0.38159631000000005</v>
          </cell>
          <cell r="BS168">
            <v>0.37944823999999999</v>
          </cell>
          <cell r="BT168">
            <v>0.39744484999999996</v>
          </cell>
          <cell r="BU168">
            <v>0.41361916000000004</v>
          </cell>
          <cell r="BV168">
            <v>0.43784987000000003</v>
          </cell>
          <cell r="BW168">
            <v>0.44108190000000003</v>
          </cell>
          <cell r="BX168">
            <v>0.44601911</v>
          </cell>
          <cell r="BY168">
            <v>0.45854429000000002</v>
          </cell>
          <cell r="BZ168">
            <v>0.50029765000000004</v>
          </cell>
          <cell r="CA168">
            <v>0.48929681000000003</v>
          </cell>
          <cell r="CB168">
            <v>0.49086689999999999</v>
          </cell>
          <cell r="CC168">
            <v>0.50840523999999998</v>
          </cell>
          <cell r="CD168">
            <v>0.47790768000000006</v>
          </cell>
          <cell r="CE168">
            <v>0.50960926000000006</v>
          </cell>
          <cell r="CF168">
            <v>0.52251508000000002</v>
          </cell>
        </row>
        <row r="169">
          <cell r="BA169">
            <v>0.21853554</v>
          </cell>
          <cell r="BB169">
            <v>0.22459564000000001</v>
          </cell>
          <cell r="BC169">
            <v>0.2251206</v>
          </cell>
          <cell r="BD169">
            <v>0.22403693000000002</v>
          </cell>
          <cell r="BE169">
            <v>0.22563275999999999</v>
          </cell>
          <cell r="BF169">
            <v>0.24245111</v>
          </cell>
          <cell r="BG169">
            <v>0.24277639000000001</v>
          </cell>
          <cell r="BH169">
            <v>0.2484065</v>
          </cell>
          <cell r="BI169">
            <v>0.25592239</v>
          </cell>
          <cell r="BJ169">
            <v>0.26040131999999999</v>
          </cell>
          <cell r="BK169">
            <v>0.26642617000000002</v>
          </cell>
          <cell r="BL169">
            <v>0.26579132</v>
          </cell>
          <cell r="BM169">
            <v>0.26706702000000004</v>
          </cell>
          <cell r="BN169">
            <v>0.27612130000000001</v>
          </cell>
          <cell r="BO169">
            <v>0.27745726999999998</v>
          </cell>
          <cell r="BP169">
            <v>0.28002625000000003</v>
          </cell>
          <cell r="BQ169">
            <v>0.27709021</v>
          </cell>
          <cell r="BR169">
            <v>0.27617568999999997</v>
          </cell>
          <cell r="BS169">
            <v>0.26989701000000005</v>
          </cell>
          <cell r="BT169">
            <v>0.24642778999999998</v>
          </cell>
          <cell r="BU169">
            <v>0.25145306000000001</v>
          </cell>
          <cell r="BV169">
            <v>0.24771554000000001</v>
          </cell>
          <cell r="BW169">
            <v>0.23573216</v>
          </cell>
          <cell r="BX169">
            <v>0.21567778999999998</v>
          </cell>
          <cell r="BY169">
            <v>0.20321473000000001</v>
          </cell>
          <cell r="BZ169">
            <v>0.20990185</v>
          </cell>
          <cell r="CA169">
            <v>0.20795621</v>
          </cell>
          <cell r="CB169">
            <v>0.20759623999999999</v>
          </cell>
          <cell r="CC169">
            <v>0.20590951999999998</v>
          </cell>
          <cell r="CD169">
            <v>0.20227545000000002</v>
          </cell>
          <cell r="CE169">
            <v>0.18220592999999999</v>
          </cell>
          <cell r="CF169">
            <v>0.18964518000000002</v>
          </cell>
        </row>
        <row r="170">
          <cell r="BA170">
            <v>9.130811300000001E-2</v>
          </cell>
          <cell r="BB170">
            <v>9.3729374000000004E-2</v>
          </cell>
          <cell r="BC170">
            <v>9.5704358000000003E-2</v>
          </cell>
          <cell r="BD170">
            <v>9.5002260000000005E-2</v>
          </cell>
          <cell r="BE170">
            <v>9.6504474000000007E-2</v>
          </cell>
          <cell r="BF170">
            <v>9.7263490000000008E-2</v>
          </cell>
          <cell r="BG170">
            <v>9.8695241999999989E-2</v>
          </cell>
          <cell r="BH170">
            <v>9.9612348000000003E-2</v>
          </cell>
          <cell r="BI170">
            <v>9.9496911999999993E-2</v>
          </cell>
          <cell r="BJ170">
            <v>9.6963903000000004E-2</v>
          </cell>
          <cell r="BK170">
            <v>9.5758795000000008E-2</v>
          </cell>
          <cell r="BL170">
            <v>9.8566162999999998E-2</v>
          </cell>
          <cell r="BM170">
            <v>0.10570282</v>
          </cell>
          <cell r="BN170">
            <v>0.1117346</v>
          </cell>
          <cell r="BO170">
            <v>0.11529273999999999</v>
          </cell>
          <cell r="BP170">
            <v>0.11682944000000001</v>
          </cell>
          <cell r="BQ170">
            <v>0.12596942</v>
          </cell>
          <cell r="BR170">
            <v>0.13073607999999998</v>
          </cell>
          <cell r="BS170">
            <v>0.13447803999999999</v>
          </cell>
          <cell r="BT170">
            <v>0.14546475</v>
          </cell>
          <cell r="BU170">
            <v>0.15447414000000001</v>
          </cell>
          <cell r="BV170">
            <v>0.16100754</v>
          </cell>
          <cell r="BW170">
            <v>0.17580982000000001</v>
          </cell>
          <cell r="BX170">
            <v>0.18300338999999999</v>
          </cell>
          <cell r="BY170">
            <v>0.18991884000000001</v>
          </cell>
          <cell r="BZ170">
            <v>0.19611872</v>
          </cell>
          <cell r="CA170">
            <v>0.21175488000000001</v>
          </cell>
          <cell r="CB170">
            <v>0.2248464</v>
          </cell>
          <cell r="CC170">
            <v>0.23576555999999999</v>
          </cell>
          <cell r="CD170">
            <v>0.23937817000000003</v>
          </cell>
          <cell r="CE170">
            <v>0.22822349</v>
          </cell>
          <cell r="CF170">
            <v>0.24228833</v>
          </cell>
        </row>
        <row r="172">
          <cell r="BA172">
            <v>13.454331</v>
          </cell>
          <cell r="BB172">
            <v>13.954264</v>
          </cell>
          <cell r="BC172">
            <v>14.176794000000001</v>
          </cell>
          <cell r="BD172">
            <v>14.576602000000001</v>
          </cell>
          <cell r="BE172">
            <v>15.062880999999999</v>
          </cell>
          <cell r="BF172">
            <v>14.780130999999999</v>
          </cell>
          <cell r="BG172">
            <v>15.852328999999999</v>
          </cell>
          <cell r="BH172">
            <v>15.257057000000001</v>
          </cell>
          <cell r="BI172">
            <v>15.274271000000001</v>
          </cell>
          <cell r="BJ172">
            <v>16.392775</v>
          </cell>
          <cell r="BK172">
            <v>17.519918000000001</v>
          </cell>
          <cell r="BL172">
            <v>17.288612000000001</v>
          </cell>
          <cell r="BM172">
            <v>16.827750999999999</v>
          </cell>
          <cell r="BN172">
            <v>16.685296999999998</v>
          </cell>
          <cell r="BO172">
            <v>18.202150000000003</v>
          </cell>
          <cell r="BP172">
            <v>18.922716000000001</v>
          </cell>
          <cell r="BQ172">
            <v>18.378041000000003</v>
          </cell>
          <cell r="BR172">
            <v>18.424258999999999</v>
          </cell>
          <cell r="BS172">
            <v>18.979651</v>
          </cell>
          <cell r="BT172">
            <v>19.306147000000003</v>
          </cell>
          <cell r="BU172">
            <v>22.484930000000002</v>
          </cell>
          <cell r="BV172">
            <v>23.362674999999999</v>
          </cell>
          <cell r="BW172">
            <v>22.438662000000001</v>
          </cell>
          <cell r="BX172">
            <v>23.202867999999999</v>
          </cell>
          <cell r="BY172">
            <v>24.005261999999998</v>
          </cell>
          <cell r="BZ172">
            <v>24.882896000000002</v>
          </cell>
          <cell r="CA172">
            <v>26.366629</v>
          </cell>
          <cell r="CB172">
            <v>26.111395000000002</v>
          </cell>
          <cell r="CC172">
            <v>27.134923999999998</v>
          </cell>
          <cell r="CD172">
            <v>28.775092000000001</v>
          </cell>
          <cell r="CE172">
            <v>29.583171999999998</v>
          </cell>
          <cell r="CF172">
            <v>30.717809000000003</v>
          </cell>
        </row>
        <row r="173">
          <cell r="BA173">
            <v>85.780751999999993</v>
          </cell>
          <cell r="BB173">
            <v>61.655955000000006</v>
          </cell>
          <cell r="BC173">
            <v>67.006051000000014</v>
          </cell>
          <cell r="BD173">
            <v>58.613561000000004</v>
          </cell>
          <cell r="BE173">
            <v>56.601186000000006</v>
          </cell>
          <cell r="BF173">
            <v>59.670978000000005</v>
          </cell>
          <cell r="BG173">
            <v>67.757327000000004</v>
          </cell>
          <cell r="BH173">
            <v>72.333944000000002</v>
          </cell>
          <cell r="BI173">
            <v>74.258322000000007</v>
          </cell>
          <cell r="BJ173">
            <v>54.728299</v>
          </cell>
          <cell r="BK173">
            <v>63.850125999999996</v>
          </cell>
          <cell r="BL173">
            <v>68.333483000000001</v>
          </cell>
          <cell r="BM173">
            <v>71.52310700000001</v>
          </cell>
          <cell r="BN173">
            <v>74.094084000000009</v>
          </cell>
          <cell r="BO173">
            <v>80.335352999999998</v>
          </cell>
          <cell r="BP173">
            <v>70.31867299999999</v>
          </cell>
          <cell r="BQ173">
            <v>78.942315000000008</v>
          </cell>
          <cell r="BR173">
            <v>76.525439000000006</v>
          </cell>
          <cell r="BS173">
            <v>72.849168999999989</v>
          </cell>
          <cell r="BT173">
            <v>65.403509</v>
          </cell>
          <cell r="BU173">
            <v>64.132046000000003</v>
          </cell>
          <cell r="BV173">
            <v>68.097970000000004</v>
          </cell>
          <cell r="BW173">
            <v>61.465436000000004</v>
          </cell>
          <cell r="BX173">
            <v>62.459439000000003</v>
          </cell>
          <cell r="BY173">
            <v>65.817942000000002</v>
          </cell>
          <cell r="BZ173">
            <v>75.235169999999997</v>
          </cell>
          <cell r="CA173">
            <v>77.795332000000002</v>
          </cell>
          <cell r="CB173">
            <v>76.415214000000006</v>
          </cell>
          <cell r="CC173">
            <v>76.60942</v>
          </cell>
          <cell r="CD173">
            <v>77.582689000000002</v>
          </cell>
          <cell r="CE173">
            <v>77.115949999999998</v>
          </cell>
          <cell r="CF173">
            <v>75.041087000000005</v>
          </cell>
        </row>
        <row r="174">
          <cell r="BA174">
            <v>0.20638990999999998</v>
          </cell>
          <cell r="BB174">
            <v>0.23275302</v>
          </cell>
          <cell r="BC174">
            <v>0.23103383</v>
          </cell>
          <cell r="BD174">
            <v>0.24343277000000002</v>
          </cell>
          <cell r="BE174">
            <v>0.26290257000000006</v>
          </cell>
          <cell r="BF174">
            <v>0.26051369999999996</v>
          </cell>
          <cell r="BG174">
            <v>0.29717721999999996</v>
          </cell>
          <cell r="BH174">
            <v>0.40580363000000003</v>
          </cell>
          <cell r="BI174">
            <v>0.49729419000000002</v>
          </cell>
          <cell r="BJ174">
            <v>0.57528911000000005</v>
          </cell>
          <cell r="BK174">
            <v>0.64569805000000002</v>
          </cell>
          <cell r="BL174">
            <v>0.70774036000000007</v>
          </cell>
          <cell r="BM174">
            <v>0.61157387000000007</v>
          </cell>
          <cell r="BN174">
            <v>0.62175136999999991</v>
          </cell>
          <cell r="BO174">
            <v>0.81730817</v>
          </cell>
          <cell r="BP174">
            <v>0.76877809000000008</v>
          </cell>
          <cell r="BQ174">
            <v>0.81500170999999999</v>
          </cell>
          <cell r="BR174">
            <v>0.72013370999999993</v>
          </cell>
          <cell r="BS174">
            <v>0.77261217999999998</v>
          </cell>
          <cell r="BT174">
            <v>0.60557384999999997</v>
          </cell>
          <cell r="BU174">
            <v>0.52253176000000001</v>
          </cell>
          <cell r="BV174">
            <v>0.40440994000000002</v>
          </cell>
          <cell r="BW174">
            <v>0.50209016000000006</v>
          </cell>
          <cell r="BX174">
            <v>0.40971262000000003</v>
          </cell>
          <cell r="BY174">
            <v>0.57228972999999994</v>
          </cell>
          <cell r="BZ174">
            <v>0.56698760000000004</v>
          </cell>
          <cell r="CA174">
            <v>0.68559048</v>
          </cell>
          <cell r="CB174">
            <v>0.67997856000000001</v>
          </cell>
          <cell r="CC174">
            <v>0.60966058999999995</v>
          </cell>
          <cell r="CD174">
            <v>0.61768040000000002</v>
          </cell>
          <cell r="CE174">
            <v>0.62764706999999997</v>
          </cell>
          <cell r="CF174">
            <v>0.65006326999999997</v>
          </cell>
        </row>
        <row r="175">
          <cell r="BA175">
            <v>4.8301818999999995</v>
          </cell>
          <cell r="BB175">
            <v>4.8623625000000006</v>
          </cell>
          <cell r="BC175">
            <v>4.6823023999999993</v>
          </cell>
          <cell r="BD175">
            <v>4.7363664999999999</v>
          </cell>
          <cell r="BE175">
            <v>4.6847216999999999</v>
          </cell>
          <cell r="BF175">
            <v>4.3810006000000001</v>
          </cell>
          <cell r="BG175">
            <v>4.1173392999999994</v>
          </cell>
          <cell r="BH175">
            <v>4.1244249000000002</v>
          </cell>
          <cell r="BI175">
            <v>4.1334086000000001</v>
          </cell>
          <cell r="BJ175">
            <v>3.9843112999999999</v>
          </cell>
          <cell r="BK175">
            <v>4.2339674999999994</v>
          </cell>
          <cell r="BL175">
            <v>4.5781790000000004</v>
          </cell>
          <cell r="BM175">
            <v>5.0881042000000001</v>
          </cell>
          <cell r="BN175">
            <v>5.6667214999999995</v>
          </cell>
          <cell r="BO175">
            <v>6.0819890999999995</v>
          </cell>
          <cell r="BP175">
            <v>6.4220963000000006</v>
          </cell>
          <cell r="BQ175">
            <v>7.6374674000000002</v>
          </cell>
          <cell r="BR175">
            <v>7.2734136999999999</v>
          </cell>
          <cell r="BS175">
            <v>7.1826103000000003</v>
          </cell>
          <cell r="BT175">
            <v>7.6319280000000003</v>
          </cell>
          <cell r="BU175">
            <v>7.7778149999999995</v>
          </cell>
          <cell r="BV175">
            <v>8.3825521000000016</v>
          </cell>
          <cell r="BW175">
            <v>9.2908337999999997</v>
          </cell>
          <cell r="BX175">
            <v>9.4863713999999995</v>
          </cell>
          <cell r="BY175">
            <v>9.987937500000001</v>
          </cell>
          <cell r="BZ175">
            <v>9.6653241999999988</v>
          </cell>
          <cell r="CA175">
            <v>9.9907055000000007</v>
          </cell>
          <cell r="CB175">
            <v>10.072057000000001</v>
          </cell>
          <cell r="CC175">
            <v>10.974406999999999</v>
          </cell>
          <cell r="CD175">
            <v>10.18689</v>
          </cell>
          <cell r="CE175">
            <v>10.350220999999999</v>
          </cell>
          <cell r="CF175">
            <v>10.556006</v>
          </cell>
        </row>
        <row r="176">
          <cell r="BA176">
            <v>20.733635</v>
          </cell>
          <cell r="BB176">
            <v>21.020900000000001</v>
          </cell>
          <cell r="BC176">
            <v>22.504197000000001</v>
          </cell>
          <cell r="BD176">
            <v>23.574386000000001</v>
          </cell>
          <cell r="BE176">
            <v>28.361580999999997</v>
          </cell>
          <cell r="BF176">
            <v>22.143259999999998</v>
          </cell>
          <cell r="BG176">
            <v>27.616042</v>
          </cell>
          <cell r="BH176">
            <v>35.359250000000003</v>
          </cell>
          <cell r="BI176">
            <v>32.249881999999999</v>
          </cell>
          <cell r="BJ176">
            <v>36.589177000000007</v>
          </cell>
          <cell r="BK176">
            <v>39.296082000000006</v>
          </cell>
          <cell r="BL176">
            <v>39.840201999999998</v>
          </cell>
          <cell r="BM176">
            <v>38.339444000000007</v>
          </cell>
          <cell r="BN176">
            <v>40.586228000000006</v>
          </cell>
          <cell r="BO176">
            <v>38.647635999999999</v>
          </cell>
          <cell r="BP176">
            <v>30.870246999999999</v>
          </cell>
          <cell r="BQ176">
            <v>36.140234</v>
          </cell>
          <cell r="BR176">
            <v>38.700233999999995</v>
          </cell>
          <cell r="BS176">
            <v>46.530822999999998</v>
          </cell>
          <cell r="BT176">
            <v>72.042181999999997</v>
          </cell>
          <cell r="BU176">
            <v>46.596898000000003</v>
          </cell>
          <cell r="BV176">
            <v>30.311803000000001</v>
          </cell>
          <cell r="BW176">
            <v>48.362366000000002</v>
          </cell>
          <cell r="BX176">
            <v>51.919976000000005</v>
          </cell>
          <cell r="BY176">
            <v>50.352606000000002</v>
          </cell>
          <cell r="BZ176">
            <v>63.186627000000001</v>
          </cell>
          <cell r="CA176">
            <v>51.964950999999999</v>
          </cell>
          <cell r="CB176">
            <v>53.067086000000003</v>
          </cell>
          <cell r="CC176">
            <v>53.740364999999997</v>
          </cell>
          <cell r="CD176">
            <v>51.388159000000002</v>
          </cell>
          <cell r="CE176">
            <v>50.696059000000005</v>
          </cell>
          <cell r="CF176">
            <v>51.521013000000004</v>
          </cell>
        </row>
        <row r="177">
          <cell r="BA177">
            <v>73.368324000000001</v>
          </cell>
          <cell r="BB177">
            <v>63.913575000000002</v>
          </cell>
          <cell r="BC177">
            <v>58.207370000000004</v>
          </cell>
          <cell r="BD177">
            <v>54.798860000000005</v>
          </cell>
          <cell r="BE177">
            <v>52.326884</v>
          </cell>
          <cell r="BF177">
            <v>52.836803000000003</v>
          </cell>
          <cell r="BG177">
            <v>52.682760000000002</v>
          </cell>
          <cell r="BH177">
            <v>52.532033000000006</v>
          </cell>
          <cell r="BI177">
            <v>51.812412999999999</v>
          </cell>
          <cell r="BJ177">
            <v>50.512345000000003</v>
          </cell>
          <cell r="BK177">
            <v>48.701521</v>
          </cell>
          <cell r="BL177">
            <v>51.028385</v>
          </cell>
          <cell r="BM177">
            <v>49.649160999999999</v>
          </cell>
          <cell r="BN177">
            <v>49.774870000000007</v>
          </cell>
          <cell r="BO177">
            <v>50.510066000000002</v>
          </cell>
          <cell r="BP177">
            <v>50.497433000000001</v>
          </cell>
          <cell r="BQ177">
            <v>50.311684</v>
          </cell>
          <cell r="BR177">
            <v>48.572226999999998</v>
          </cell>
          <cell r="BS177">
            <v>49.099603999999999</v>
          </cell>
          <cell r="BT177">
            <v>44.810142999999997</v>
          </cell>
          <cell r="BU177">
            <v>45.622002999999999</v>
          </cell>
          <cell r="BV177">
            <v>44.641953999999998</v>
          </cell>
          <cell r="BW177">
            <v>42.240437</v>
          </cell>
          <cell r="BX177">
            <v>41.924506999999998</v>
          </cell>
          <cell r="BY177">
            <v>39.974002999999996</v>
          </cell>
          <cell r="BZ177">
            <v>40.683921000000005</v>
          </cell>
          <cell r="CA177">
            <v>41.150025999999997</v>
          </cell>
          <cell r="CB177">
            <v>42.240828</v>
          </cell>
          <cell r="CC177">
            <v>42.109800999999997</v>
          </cell>
          <cell r="CD177">
            <v>39.799570000000003</v>
          </cell>
          <cell r="CE177">
            <v>37.038158000000003</v>
          </cell>
          <cell r="CF177">
            <v>41.071911</v>
          </cell>
        </row>
        <row r="178">
          <cell r="BA178">
            <v>18.598470000000002</v>
          </cell>
          <cell r="BB178">
            <v>17.245836000000001</v>
          </cell>
          <cell r="BC178">
            <v>17.235330000000001</v>
          </cell>
          <cell r="BD178">
            <v>17.482527999999999</v>
          </cell>
          <cell r="BE178">
            <v>17.901612</v>
          </cell>
          <cell r="BF178">
            <v>18.682603</v>
          </cell>
          <cell r="BG178">
            <v>19.288117999999997</v>
          </cell>
          <cell r="BH178">
            <v>19.827894000000001</v>
          </cell>
          <cell r="BI178">
            <v>19.419025000000001</v>
          </cell>
          <cell r="BJ178">
            <v>18.803611</v>
          </cell>
          <cell r="BK178">
            <v>18.580095</v>
          </cell>
          <cell r="BL178">
            <v>19.852012999999999</v>
          </cell>
          <cell r="BM178">
            <v>20.124346000000003</v>
          </cell>
          <cell r="BN178">
            <v>19.796110000000002</v>
          </cell>
          <cell r="BO178">
            <v>20.198169000000004</v>
          </cell>
          <cell r="BP178">
            <v>20.457391000000001</v>
          </cell>
          <cell r="BQ178">
            <v>20.658007000000001</v>
          </cell>
          <cell r="BR178">
            <v>20.841356000000001</v>
          </cell>
          <cell r="BS178">
            <v>21.566293000000002</v>
          </cell>
          <cell r="BT178">
            <v>19.399184000000002</v>
          </cell>
          <cell r="BU178">
            <v>19.634072</v>
          </cell>
          <cell r="BV178">
            <v>19.555720000000001</v>
          </cell>
          <cell r="BW178">
            <v>18.929354</v>
          </cell>
          <cell r="BX178">
            <v>18.231619999999999</v>
          </cell>
          <cell r="BY178">
            <v>16.588486</v>
          </cell>
          <cell r="BZ178">
            <v>16.770423999999998</v>
          </cell>
          <cell r="CA178">
            <v>17.644149000000002</v>
          </cell>
          <cell r="CB178">
            <v>17.726973999999998</v>
          </cell>
          <cell r="CC178">
            <v>17.553867</v>
          </cell>
          <cell r="CD178">
            <v>17.074468</v>
          </cell>
          <cell r="CE178">
            <v>15.846626000000001</v>
          </cell>
          <cell r="CF178">
            <v>15.981412000000001</v>
          </cell>
        </row>
        <row r="179">
          <cell r="BA179">
            <v>0.45654109999999998</v>
          </cell>
          <cell r="BB179">
            <v>0.48201697000000004</v>
          </cell>
          <cell r="BC179">
            <v>0.49652609999999997</v>
          </cell>
          <cell r="BD179">
            <v>0.52202009000000005</v>
          </cell>
          <cell r="BE179">
            <v>0.54624686</v>
          </cell>
          <cell r="BF179">
            <v>0.53975265000000006</v>
          </cell>
          <cell r="BG179">
            <v>0.53052584999999997</v>
          </cell>
          <cell r="BH179">
            <v>0.51868875999999997</v>
          </cell>
          <cell r="BI179">
            <v>0.51102906000000003</v>
          </cell>
          <cell r="BJ179">
            <v>0.49414535000000004</v>
          </cell>
          <cell r="BK179">
            <v>0.4796725</v>
          </cell>
          <cell r="BL179">
            <v>0.48767306999999999</v>
          </cell>
          <cell r="BM179">
            <v>0.49971261</v>
          </cell>
          <cell r="BN179">
            <v>0.51678667</v>
          </cell>
          <cell r="BO179">
            <v>0.54254864000000003</v>
          </cell>
          <cell r="BP179">
            <v>0.55755218000000006</v>
          </cell>
          <cell r="BQ179">
            <v>0.58285869000000001</v>
          </cell>
          <cell r="BR179">
            <v>0.61117058999999996</v>
          </cell>
          <cell r="BS179">
            <v>0.63632453999999994</v>
          </cell>
          <cell r="BT179">
            <v>0.6590527100000001</v>
          </cell>
          <cell r="BU179">
            <v>0.68676576</v>
          </cell>
          <cell r="BV179">
            <v>0.7168681400000001</v>
          </cell>
          <cell r="BW179">
            <v>0.73455914</v>
          </cell>
          <cell r="BX179">
            <v>0.77502853000000005</v>
          </cell>
          <cell r="BY179">
            <v>0.7411382700000001</v>
          </cell>
          <cell r="BZ179">
            <v>0.71444789000000009</v>
          </cell>
          <cell r="CA179">
            <v>0.72110383</v>
          </cell>
          <cell r="CB179">
            <v>0.73171397999999999</v>
          </cell>
          <cell r="CC179">
            <v>0.75388494000000006</v>
          </cell>
          <cell r="CD179">
            <v>0.78819952999999998</v>
          </cell>
          <cell r="CE179">
            <v>0.8015920700000001</v>
          </cell>
          <cell r="CF179">
            <v>0.82347943999999995</v>
          </cell>
        </row>
        <row r="180">
          <cell r="BA180">
            <v>28.876900000000003</v>
          </cell>
          <cell r="BB180">
            <v>25.650667000000002</v>
          </cell>
          <cell r="BC180">
            <v>23.451765999999999</v>
          </cell>
          <cell r="BD180">
            <v>25.525948</v>
          </cell>
          <cell r="BE180">
            <v>27.559716000000002</v>
          </cell>
          <cell r="BF180">
            <v>28.245037</v>
          </cell>
          <cell r="BG180">
            <v>28.847985000000001</v>
          </cell>
          <cell r="BH180">
            <v>29.382655</v>
          </cell>
          <cell r="BI180">
            <v>29.357330999999999</v>
          </cell>
          <cell r="BJ180">
            <v>29.691388</v>
          </cell>
          <cell r="BK180">
            <v>30.110436000000004</v>
          </cell>
          <cell r="BL180">
            <v>30.856577000000001</v>
          </cell>
          <cell r="BM180">
            <v>31.517611000000002</v>
          </cell>
          <cell r="BN180">
            <v>31.921026999999999</v>
          </cell>
          <cell r="BO180">
            <v>32.380153</v>
          </cell>
          <cell r="BP180">
            <v>33.028036999999998</v>
          </cell>
          <cell r="BQ180">
            <v>31.788941000000001</v>
          </cell>
          <cell r="BR180">
            <v>30.586600000000001</v>
          </cell>
          <cell r="BS180">
            <v>30.853304000000001</v>
          </cell>
          <cell r="BT180">
            <v>31.060362000000001</v>
          </cell>
          <cell r="BU180">
            <v>31.376773</v>
          </cell>
          <cell r="BV180">
            <v>31.735080999999997</v>
          </cell>
          <cell r="BW180">
            <v>32.167957000000001</v>
          </cell>
          <cell r="BX180">
            <v>32.302616999999998</v>
          </cell>
          <cell r="BY180">
            <v>32.607115</v>
          </cell>
          <cell r="BZ180">
            <v>32.828181000000001</v>
          </cell>
          <cell r="CA180">
            <v>33.209241000000006</v>
          </cell>
          <cell r="CB180">
            <v>33.348735999999995</v>
          </cell>
          <cell r="CC180">
            <v>33.661491000000005</v>
          </cell>
          <cell r="CD180">
            <v>34.536540000000002</v>
          </cell>
          <cell r="CE180">
            <v>34.970976</v>
          </cell>
          <cell r="CF180">
            <v>35.121103000000005</v>
          </cell>
        </row>
        <row r="182">
          <cell r="BA182">
            <v>286.98869000000002</v>
          </cell>
          <cell r="BB182">
            <v>294.82796999999999</v>
          </cell>
          <cell r="BC182">
            <v>304.28758000000005</v>
          </cell>
          <cell r="BD182">
            <v>293.97098</v>
          </cell>
          <cell r="BE182">
            <v>310.48764</v>
          </cell>
          <cell r="BF182">
            <v>326.86642000000001</v>
          </cell>
          <cell r="BG182">
            <v>318.45504999999997</v>
          </cell>
          <cell r="BH182">
            <v>332.54576000000003</v>
          </cell>
          <cell r="BI182">
            <v>342.10409000000004</v>
          </cell>
          <cell r="BJ182">
            <v>368.56220000000002</v>
          </cell>
          <cell r="BK182">
            <v>383.40757000000002</v>
          </cell>
          <cell r="BL182">
            <v>381.39535999999998</v>
          </cell>
          <cell r="BM182">
            <v>399.73777000000001</v>
          </cell>
          <cell r="BN182">
            <v>407.15760999999998</v>
          </cell>
          <cell r="BO182">
            <v>422.72793000000001</v>
          </cell>
          <cell r="BP182">
            <v>437.98415000000006</v>
          </cell>
          <cell r="BQ182">
            <v>431.45019000000002</v>
          </cell>
          <cell r="BR182">
            <v>442.07583000000005</v>
          </cell>
          <cell r="BS182">
            <v>408.36306000000002</v>
          </cell>
          <cell r="BT182">
            <v>368.57524999999998</v>
          </cell>
          <cell r="BU182">
            <v>353.65953999999999</v>
          </cell>
          <cell r="BV182">
            <v>353.21138999999999</v>
          </cell>
          <cell r="BW182">
            <v>345.75857000000002</v>
          </cell>
          <cell r="BX182">
            <v>318.55164000000002</v>
          </cell>
          <cell r="BY182">
            <v>320.23238000000003</v>
          </cell>
          <cell r="BZ182">
            <v>331.58732000000003</v>
          </cell>
          <cell r="CA182">
            <v>319.54364000000004</v>
          </cell>
          <cell r="CB182">
            <v>332.33825000000002</v>
          </cell>
          <cell r="CC182">
            <v>325.72296</v>
          </cell>
          <cell r="CD182">
            <v>306.59656000000001</v>
          </cell>
          <cell r="CE182">
            <v>268.94202000000001</v>
          </cell>
          <cell r="CF182">
            <v>285.57059000000004</v>
          </cell>
        </row>
        <row r="183">
          <cell r="BA183">
            <v>16.636806</v>
          </cell>
          <cell r="BB183">
            <v>16.457229999999999</v>
          </cell>
          <cell r="BC183">
            <v>17.744937999999998</v>
          </cell>
          <cell r="BD183">
            <v>17.914411000000001</v>
          </cell>
          <cell r="BE183">
            <v>18.726731000000001</v>
          </cell>
          <cell r="BF183">
            <v>19.048697000000001</v>
          </cell>
          <cell r="BG183">
            <v>19.668564999999997</v>
          </cell>
          <cell r="BH183">
            <v>20.274321</v>
          </cell>
          <cell r="BI183">
            <v>19.717694999999999</v>
          </cell>
          <cell r="BJ183">
            <v>21.068257000000003</v>
          </cell>
          <cell r="BK183">
            <v>22.665631000000001</v>
          </cell>
          <cell r="BL183">
            <v>22.641180000000002</v>
          </cell>
          <cell r="BM183">
            <v>23.605886999999999</v>
          </cell>
          <cell r="BN183">
            <v>23.718450000000001</v>
          </cell>
          <cell r="BO183">
            <v>24.744811000000002</v>
          </cell>
          <cell r="BP183">
            <v>25.430941999999998</v>
          </cell>
          <cell r="BQ183">
            <v>25.326231</v>
          </cell>
          <cell r="BR183">
            <v>25.513299</v>
          </cell>
          <cell r="BS183">
            <v>26.611722000000004</v>
          </cell>
          <cell r="BT183">
            <v>27.067008999999999</v>
          </cell>
          <cell r="BU183">
            <v>27.829266000000001</v>
          </cell>
          <cell r="BV183">
            <v>30.091537000000002</v>
          </cell>
          <cell r="BW183">
            <v>31.274160999999999</v>
          </cell>
          <cell r="BX183">
            <v>29.949725999999998</v>
          </cell>
          <cell r="BY183">
            <v>32.695544000000005</v>
          </cell>
          <cell r="BZ183">
            <v>35.715215000000001</v>
          </cell>
          <cell r="CA183">
            <v>38.212052999999997</v>
          </cell>
          <cell r="CB183">
            <v>37.281375999999995</v>
          </cell>
          <cell r="CC183">
            <v>37.315190000000001</v>
          </cell>
          <cell r="CD183">
            <v>39.459362999999996</v>
          </cell>
          <cell r="CE183">
            <v>39.934747999999999</v>
          </cell>
          <cell r="CF183">
            <v>39.036408000000002</v>
          </cell>
        </row>
        <row r="184">
          <cell r="BA184">
            <v>8.4876210000000007E-3</v>
          </cell>
          <cell r="BB184">
            <v>8.3940795000000002E-3</v>
          </cell>
          <cell r="BC184">
            <v>8.3760484000000007E-3</v>
          </cell>
          <cell r="BD184">
            <v>1.2090169E-2</v>
          </cell>
          <cell r="BE184">
            <v>1.2053223E-2</v>
          </cell>
          <cell r="BF184">
            <v>1.2076274E-2</v>
          </cell>
          <cell r="BG184">
            <v>1.2018280000000001E-2</v>
          </cell>
          <cell r="BH184">
            <v>1.2037818E-2</v>
          </cell>
          <cell r="BI184">
            <v>1.2035130000000002E-2</v>
          </cell>
          <cell r="BJ184">
            <v>1.2039385E-2</v>
          </cell>
          <cell r="BK184">
            <v>1.2386583999999999E-2</v>
          </cell>
          <cell r="BL184">
            <v>1.2209424999999999E-2</v>
          </cell>
          <cell r="BM184">
            <v>1.2213364000000001E-2</v>
          </cell>
          <cell r="BN184">
            <v>1.2218537E-2</v>
          </cell>
          <cell r="BO184">
            <v>1.2399871E-2</v>
          </cell>
          <cell r="BP184">
            <v>1.2443355999999999E-2</v>
          </cell>
          <cell r="BQ184">
            <v>1.2358650000000001E-2</v>
          </cell>
          <cell r="BR184">
            <v>1.2486842E-2</v>
          </cell>
          <cell r="BS184">
            <v>1.2645221E-2</v>
          </cell>
          <cell r="BT184">
            <v>1.2638994000000001E-2</v>
          </cell>
          <cell r="BU184">
            <v>1.2654045999999999E-2</v>
          </cell>
          <cell r="BV184">
            <v>1.2663256000000001E-2</v>
          </cell>
          <cell r="BW184">
            <v>1.2648218000000001E-2</v>
          </cell>
          <cell r="BX184">
            <v>1.2846029E-2</v>
          </cell>
          <cell r="BY184">
            <v>1.2838559999999999E-2</v>
          </cell>
          <cell r="BZ184">
            <v>1.2841734E-2</v>
          </cell>
          <cell r="CA184">
            <v>1.2931606999999999E-2</v>
          </cell>
          <cell r="CB184">
            <v>1.2972460999999999E-2</v>
          </cell>
          <cell r="CC184">
            <v>1.3591639000000001E-2</v>
          </cell>
          <cell r="CD184">
            <v>1.3402213E-2</v>
          </cell>
          <cell r="CE184">
            <v>1.2536697999999999E-2</v>
          </cell>
          <cell r="CF184">
            <v>1.2932973E-2</v>
          </cell>
        </row>
        <row r="185">
          <cell r="BA185">
            <v>0.15149664999999998</v>
          </cell>
          <cell r="BB185">
            <v>0.15245015000000001</v>
          </cell>
          <cell r="BC185">
            <v>0.15671037999999998</v>
          </cell>
          <cell r="BD185">
            <v>0.16219033999999999</v>
          </cell>
          <cell r="BE185">
            <v>0.16957014000000001</v>
          </cell>
          <cell r="BF185">
            <v>0.17644327999999998</v>
          </cell>
          <cell r="BG185">
            <v>0.18130088</v>
          </cell>
          <cell r="BH185">
            <v>0.19458991</v>
          </cell>
          <cell r="BI185">
            <v>0.20263323</v>
          </cell>
          <cell r="BJ185">
            <v>0.21439357000000001</v>
          </cell>
          <cell r="BK185">
            <v>0.22887967000000001</v>
          </cell>
          <cell r="BL185">
            <v>0.23311080000000001</v>
          </cell>
          <cell r="BM185">
            <v>0.25110507999999998</v>
          </cell>
          <cell r="BN185">
            <v>0.25220578999999999</v>
          </cell>
          <cell r="BO185">
            <v>0.26829950000000002</v>
          </cell>
          <cell r="BP185">
            <v>0.25357462000000003</v>
          </cell>
          <cell r="BQ185">
            <v>0.25581765000000001</v>
          </cell>
          <cell r="BR185">
            <v>0.27266351999999999</v>
          </cell>
          <cell r="BS185">
            <v>0.27496342000000001</v>
          </cell>
          <cell r="BT185">
            <v>0.28238873999999997</v>
          </cell>
          <cell r="BU185">
            <v>0.27968234999999997</v>
          </cell>
          <cell r="BV185">
            <v>0.29150526000000004</v>
          </cell>
          <cell r="BW185">
            <v>0.27257666999999997</v>
          </cell>
          <cell r="BX185">
            <v>0.27553780999999999</v>
          </cell>
          <cell r="BY185">
            <v>0.28245589000000004</v>
          </cell>
          <cell r="BZ185">
            <v>0.28698293999999996</v>
          </cell>
          <cell r="CA185">
            <v>0.29088624000000002</v>
          </cell>
          <cell r="CB185">
            <v>0.29124800000000001</v>
          </cell>
          <cell r="CC185">
            <v>0.29807562999999998</v>
          </cell>
          <cell r="CD185">
            <v>0.30501096</v>
          </cell>
          <cell r="CE185">
            <v>0.28254921</v>
          </cell>
          <cell r="CF185">
            <v>0.28129439000000001</v>
          </cell>
        </row>
        <row r="186">
          <cell r="BA186">
            <v>0.24376841999999999</v>
          </cell>
          <cell r="BB186">
            <v>0.25336992000000003</v>
          </cell>
          <cell r="BC186">
            <v>0.23592345000000001</v>
          </cell>
          <cell r="BD186">
            <v>0.31969913000000005</v>
          </cell>
          <cell r="BE186">
            <v>0.34757231</v>
          </cell>
          <cell r="BF186">
            <v>0.39366618000000003</v>
          </cell>
          <cell r="BG186">
            <v>0.40463526000000005</v>
          </cell>
          <cell r="BH186">
            <v>0.38445028000000003</v>
          </cell>
          <cell r="BI186">
            <v>0.37656811000000001</v>
          </cell>
          <cell r="BJ186">
            <v>0.42203280999999998</v>
          </cell>
          <cell r="BK186">
            <v>0.44112876000000001</v>
          </cell>
          <cell r="BL186">
            <v>0.46187184000000003</v>
          </cell>
          <cell r="BM186">
            <v>0.42496616000000004</v>
          </cell>
          <cell r="BN186">
            <v>0.53075080000000008</v>
          </cell>
          <cell r="BO186">
            <v>0.55509768999999998</v>
          </cell>
          <cell r="BP186">
            <v>0.54013522000000003</v>
          </cell>
          <cell r="BQ186">
            <v>0.58820716000000006</v>
          </cell>
          <cell r="BR186">
            <v>0.52048759</v>
          </cell>
          <cell r="BS186">
            <v>0.53914571999999994</v>
          </cell>
          <cell r="BT186">
            <v>0.58914187000000007</v>
          </cell>
          <cell r="BU186">
            <v>0.65248513000000008</v>
          </cell>
          <cell r="BV186">
            <v>0.62303710999999995</v>
          </cell>
          <cell r="BW186">
            <v>0.62800570000000011</v>
          </cell>
          <cell r="BX186">
            <v>0.60282616</v>
          </cell>
          <cell r="BY186">
            <v>0.67210690000000006</v>
          </cell>
          <cell r="BZ186">
            <v>0.68713707000000002</v>
          </cell>
          <cell r="CA186">
            <v>0.69783943999999998</v>
          </cell>
          <cell r="CB186">
            <v>0.72280139999999993</v>
          </cell>
          <cell r="CC186">
            <v>0.77053920000000009</v>
          </cell>
          <cell r="CD186">
            <v>0.79128461999999999</v>
          </cell>
          <cell r="CE186">
            <v>0.74541431000000002</v>
          </cell>
          <cell r="CF186">
            <v>0.74932493999999994</v>
          </cell>
        </row>
        <row r="187">
          <cell r="BA187">
            <v>0</v>
          </cell>
          <cell r="BB187">
            <v>0</v>
          </cell>
          <cell r="BC187">
            <v>0</v>
          </cell>
          <cell r="BD187">
            <v>0</v>
          </cell>
          <cell r="BE187">
            <v>0</v>
          </cell>
          <cell r="BF187">
            <v>0</v>
          </cell>
          <cell r="BG187">
            <v>0</v>
          </cell>
          <cell r="BH187">
            <v>0</v>
          </cell>
          <cell r="BI187">
            <v>0</v>
          </cell>
          <cell r="BJ187">
            <v>0</v>
          </cell>
          <cell r="BK187">
            <v>0</v>
          </cell>
          <cell r="BL187">
            <v>0</v>
          </cell>
          <cell r="BM187">
            <v>0</v>
          </cell>
          <cell r="BN187">
            <v>0</v>
          </cell>
          <cell r="BO187">
            <v>0</v>
          </cell>
          <cell r="BP187">
            <v>0</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cell r="CE187">
            <v>0</v>
          </cell>
          <cell r="CF187">
            <v>0</v>
          </cell>
        </row>
        <row r="188">
          <cell r="BA188">
            <v>0.14868819999999999</v>
          </cell>
          <cell r="BB188">
            <v>0.14520740000000001</v>
          </cell>
          <cell r="BC188">
            <v>0.14158748000000002</v>
          </cell>
          <cell r="BD188">
            <v>0.15346903000000001</v>
          </cell>
          <cell r="BE188">
            <v>0.16500113</v>
          </cell>
          <cell r="BF188">
            <v>0.17266387</v>
          </cell>
          <cell r="BG188">
            <v>0.17630496000000001</v>
          </cell>
          <cell r="BH188">
            <v>0.17749318</v>
          </cell>
          <cell r="BI188">
            <v>0.22398590999999998</v>
          </cell>
          <cell r="BJ188">
            <v>0.25456972</v>
          </cell>
          <cell r="BK188">
            <v>0.25507273000000003</v>
          </cell>
          <cell r="BL188">
            <v>0.28571739000000002</v>
          </cell>
          <cell r="BM188">
            <v>0.28965116000000002</v>
          </cell>
          <cell r="BN188">
            <v>0.29728049000000001</v>
          </cell>
          <cell r="BO188">
            <v>0.31695193999999999</v>
          </cell>
          <cell r="BP188">
            <v>0.31828942999999998</v>
          </cell>
          <cell r="BQ188">
            <v>0.31643343000000002</v>
          </cell>
          <cell r="BR188">
            <v>0.36186780000000002</v>
          </cell>
          <cell r="BS188">
            <v>0.29428638000000001</v>
          </cell>
          <cell r="BT188">
            <v>0.41654728999999996</v>
          </cell>
          <cell r="BU188">
            <v>0.32487394999999997</v>
          </cell>
          <cell r="BV188">
            <v>0.30552163999999998</v>
          </cell>
          <cell r="BW188">
            <v>0.36080741999999999</v>
          </cell>
          <cell r="BX188">
            <v>0.31520852000000005</v>
          </cell>
          <cell r="BY188">
            <v>0.38069932000000001</v>
          </cell>
          <cell r="BZ188">
            <v>0.32002721000000001</v>
          </cell>
          <cell r="CA188">
            <v>0.35997646999999999</v>
          </cell>
          <cell r="CB188">
            <v>0.36268819000000002</v>
          </cell>
          <cell r="CC188">
            <v>0.36959600999999997</v>
          </cell>
          <cell r="CD188">
            <v>0.37721294</v>
          </cell>
          <cell r="CE188">
            <v>0.35494036000000001</v>
          </cell>
          <cell r="CF188">
            <v>0.35376380000000002</v>
          </cell>
        </row>
        <row r="189">
          <cell r="BA189">
            <v>48.771190000000004</v>
          </cell>
          <cell r="BB189">
            <v>50.297053999999996</v>
          </cell>
          <cell r="BC189">
            <v>54.60089</v>
          </cell>
          <cell r="BD189">
            <v>57.363968999999997</v>
          </cell>
          <cell r="BE189">
            <v>62.767113000000002</v>
          </cell>
          <cell r="BF189">
            <v>64.445277000000004</v>
          </cell>
          <cell r="BG189">
            <v>67.000314000000003</v>
          </cell>
          <cell r="BH189">
            <v>70.046191000000007</v>
          </cell>
          <cell r="BI189">
            <v>71.742965999999996</v>
          </cell>
          <cell r="BJ189">
            <v>74.634448000000006</v>
          </cell>
          <cell r="BK189">
            <v>78.546455000000009</v>
          </cell>
          <cell r="BL189">
            <v>80.365687999999992</v>
          </cell>
          <cell r="BM189">
            <v>83.976128000000003</v>
          </cell>
          <cell r="BN189">
            <v>87.485153000000011</v>
          </cell>
          <cell r="BO189">
            <v>90.787824000000001</v>
          </cell>
          <cell r="BP189">
            <v>92.381083000000004</v>
          </cell>
          <cell r="BQ189">
            <v>93.200868</v>
          </cell>
          <cell r="BR189">
            <v>96.734453999999999</v>
          </cell>
          <cell r="BS189">
            <v>97.725773000000004</v>
          </cell>
          <cell r="BT189">
            <v>99.425857000000008</v>
          </cell>
          <cell r="BU189">
            <v>99.548701000000008</v>
          </cell>
          <cell r="BV189">
            <v>97.352951000000004</v>
          </cell>
          <cell r="BW189">
            <v>101.91141</v>
          </cell>
          <cell r="BX189">
            <v>105.20028000000001</v>
          </cell>
          <cell r="BY189">
            <v>106.20516000000001</v>
          </cell>
          <cell r="BZ189">
            <v>110.82464</v>
          </cell>
          <cell r="CA189">
            <v>111.90758000000001</v>
          </cell>
          <cell r="CB189">
            <v>114.33314</v>
          </cell>
          <cell r="CC189">
            <v>116.30150999999999</v>
          </cell>
          <cell r="CD189">
            <v>116.21133</v>
          </cell>
          <cell r="CE189">
            <v>116.08962</v>
          </cell>
          <cell r="CF189">
            <v>117.68113000000001</v>
          </cell>
        </row>
        <row r="190">
          <cell r="BA190">
            <v>2.9181118000000001</v>
          </cell>
          <cell r="BB190">
            <v>3.2571641000000002</v>
          </cell>
          <cell r="BC190">
            <v>3.3955704</v>
          </cell>
          <cell r="BD190">
            <v>3.3256307000000001</v>
          </cell>
          <cell r="BE190">
            <v>3.3325522999999997</v>
          </cell>
          <cell r="BF190">
            <v>3.3575729000000001</v>
          </cell>
          <cell r="BG190">
            <v>3.4039915999999999</v>
          </cell>
          <cell r="BH190">
            <v>3.3415300999999999</v>
          </cell>
          <cell r="BI190">
            <v>3.3382846000000002</v>
          </cell>
          <cell r="BJ190">
            <v>3.2810725999999999</v>
          </cell>
          <cell r="BK190">
            <v>3.2904704000000002</v>
          </cell>
          <cell r="BL190">
            <v>3.4828368000000003</v>
          </cell>
          <cell r="BM190">
            <v>2.5154486999999999</v>
          </cell>
          <cell r="BN190">
            <v>2.5734158000000003</v>
          </cell>
          <cell r="BO190">
            <v>2.6314891</v>
          </cell>
          <cell r="BP190">
            <v>2.6070981999999998</v>
          </cell>
          <cell r="BQ190">
            <v>2.8036183000000001</v>
          </cell>
          <cell r="BR190">
            <v>2.7956221000000001</v>
          </cell>
          <cell r="BS190">
            <v>3.0669236</v>
          </cell>
          <cell r="BT190">
            <v>3.1968519</v>
          </cell>
          <cell r="BU190">
            <v>3.6114861999999999</v>
          </cell>
          <cell r="BV190">
            <v>3.4184358000000001</v>
          </cell>
          <cell r="BW190">
            <v>3.8527756000000002</v>
          </cell>
          <cell r="BX190">
            <v>3.9632844</v>
          </cell>
          <cell r="BY190">
            <v>4.0845158000000001</v>
          </cell>
          <cell r="BZ190">
            <v>3.9487844000000001</v>
          </cell>
          <cell r="CA190">
            <v>3.5774051</v>
          </cell>
          <cell r="CB190">
            <v>3.7597961</v>
          </cell>
          <cell r="CC190">
            <v>4.0989366</v>
          </cell>
          <cell r="CD190">
            <v>4.2079876999999994</v>
          </cell>
          <cell r="CE190">
            <v>3.7416071000000004</v>
          </cell>
          <cell r="CF190">
            <v>4.2932157000000002</v>
          </cell>
        </row>
        <row r="191">
          <cell r="BA191">
            <v>2.6037988999999997</v>
          </cell>
          <cell r="BB191">
            <v>2.6260936000000004</v>
          </cell>
          <cell r="BC191">
            <v>2.6320686000000002</v>
          </cell>
          <cell r="BD191">
            <v>2.3333692999999998</v>
          </cell>
          <cell r="BE191">
            <v>2.7599117999999998</v>
          </cell>
          <cell r="BF191">
            <v>2.7733675</v>
          </cell>
          <cell r="BG191">
            <v>2.5351981000000001</v>
          </cell>
          <cell r="BH191">
            <v>2.8418272000000004</v>
          </cell>
          <cell r="BI191">
            <v>2.8206358000000002</v>
          </cell>
          <cell r="BJ191">
            <v>2.9432860999999999</v>
          </cell>
          <cell r="BK191">
            <v>2.8528993000000002</v>
          </cell>
          <cell r="BL191">
            <v>2.6675672000000001</v>
          </cell>
          <cell r="BM191">
            <v>2.7243944999999998</v>
          </cell>
          <cell r="BN191">
            <v>2.6984414999999999</v>
          </cell>
          <cell r="BO191">
            <v>2.7214468000000003</v>
          </cell>
          <cell r="BP191">
            <v>2.7553991</v>
          </cell>
          <cell r="BQ191">
            <v>2.6659842</v>
          </cell>
          <cell r="BR191">
            <v>2.7988716</v>
          </cell>
          <cell r="BS191">
            <v>2.7289509999999999</v>
          </cell>
          <cell r="BT191">
            <v>2.6676550000000003</v>
          </cell>
          <cell r="BU191">
            <v>2.5534976</v>
          </cell>
          <cell r="BV191">
            <v>2.5329805000000003</v>
          </cell>
          <cell r="BW191">
            <v>2.7148048</v>
          </cell>
          <cell r="BX191">
            <v>3.0514256999999998</v>
          </cell>
          <cell r="BY191">
            <v>2.4405743000000002</v>
          </cell>
          <cell r="BZ191">
            <v>2.4869560000000002</v>
          </cell>
          <cell r="CA191">
            <v>2.7366573999999999</v>
          </cell>
          <cell r="CB191">
            <v>2.5101212999999998</v>
          </cell>
          <cell r="CC191">
            <v>2.5863820999999998</v>
          </cell>
          <cell r="CD191">
            <v>2.4893779</v>
          </cell>
          <cell r="CE191">
            <v>2.2442901000000002</v>
          </cell>
          <cell r="CF191">
            <v>2.3593416999999999</v>
          </cell>
        </row>
        <row r="192">
          <cell r="BA192">
            <v>71.842504000000005</v>
          </cell>
          <cell r="BB192">
            <v>71.935918999999998</v>
          </cell>
          <cell r="BC192">
            <v>71.566423999999998</v>
          </cell>
          <cell r="BD192">
            <v>71.812212000000002</v>
          </cell>
          <cell r="BE192">
            <v>74.314397</v>
          </cell>
          <cell r="BF192">
            <v>73.711865000000003</v>
          </cell>
          <cell r="BG192">
            <v>77.637922000000003</v>
          </cell>
          <cell r="BH192">
            <v>72.722161999999997</v>
          </cell>
          <cell r="BI192">
            <v>73.138261</v>
          </cell>
          <cell r="BJ192">
            <v>69.967440000000011</v>
          </cell>
          <cell r="BK192">
            <v>68.704102000000006</v>
          </cell>
          <cell r="BL192">
            <v>69.446702000000002</v>
          </cell>
          <cell r="BM192">
            <v>70.073155999999997</v>
          </cell>
          <cell r="BN192">
            <v>70.421802</v>
          </cell>
          <cell r="BO192">
            <v>69.741422999999998</v>
          </cell>
          <cell r="BP192">
            <v>66.866414000000006</v>
          </cell>
          <cell r="BQ192">
            <v>66.508381999999997</v>
          </cell>
          <cell r="BR192">
            <v>65.354652999999999</v>
          </cell>
          <cell r="BS192">
            <v>62.960639999999998</v>
          </cell>
          <cell r="BT192">
            <v>58.683242</v>
          </cell>
          <cell r="BU192">
            <v>64.738292000000001</v>
          </cell>
          <cell r="BV192">
            <v>60.323798000000004</v>
          </cell>
          <cell r="BW192">
            <v>57.398367</v>
          </cell>
          <cell r="BX192">
            <v>55.761074999999998</v>
          </cell>
          <cell r="BY192">
            <v>54.040828000000005</v>
          </cell>
          <cell r="BZ192">
            <v>53.094180999999999</v>
          </cell>
          <cell r="CA192">
            <v>53.189370000000004</v>
          </cell>
          <cell r="CB192">
            <v>52.116124000000006</v>
          </cell>
          <cell r="CC192">
            <v>51.280405000000002</v>
          </cell>
          <cell r="CD192">
            <v>50.420468</v>
          </cell>
          <cell r="CE192">
            <v>46.097069000000005</v>
          </cell>
          <cell r="CF192">
            <v>48.103188000000003</v>
          </cell>
        </row>
        <row r="193">
          <cell r="BA193">
            <v>54.743512000000003</v>
          </cell>
          <cell r="BB193">
            <v>56.633010000000006</v>
          </cell>
          <cell r="BC193">
            <v>56.382894</v>
          </cell>
          <cell r="BD193">
            <v>53.803353999999999</v>
          </cell>
          <cell r="BE193">
            <v>52.755603000000001</v>
          </cell>
          <cell r="BF193">
            <v>53.656565999999998</v>
          </cell>
          <cell r="BG193">
            <v>54.310645000000001</v>
          </cell>
          <cell r="BH193">
            <v>53.104529000000007</v>
          </cell>
          <cell r="BI193">
            <v>54.635983000000003</v>
          </cell>
          <cell r="BJ193">
            <v>54.451084000000002</v>
          </cell>
          <cell r="BK193">
            <v>53.715403000000002</v>
          </cell>
          <cell r="BL193">
            <v>55.233455999999997</v>
          </cell>
          <cell r="BM193">
            <v>53.686759000000002</v>
          </cell>
          <cell r="BN193">
            <v>54.741872999999998</v>
          </cell>
          <cell r="BO193">
            <v>55.333373000000002</v>
          </cell>
          <cell r="BP193">
            <v>55.956451000000001</v>
          </cell>
          <cell r="BQ193">
            <v>55.623548000000007</v>
          </cell>
          <cell r="BR193">
            <v>53.688112000000004</v>
          </cell>
          <cell r="BS193">
            <v>55.058135</v>
          </cell>
          <cell r="BT193">
            <v>53.574055999999999</v>
          </cell>
          <cell r="BU193">
            <v>55.172688999999998</v>
          </cell>
          <cell r="BV193">
            <v>51.055576000000002</v>
          </cell>
          <cell r="BW193">
            <v>52.389160000000004</v>
          </cell>
          <cell r="BX193">
            <v>53.239114999999998</v>
          </cell>
          <cell r="BY193">
            <v>49.305726999999997</v>
          </cell>
          <cell r="BZ193">
            <v>48.782443000000001</v>
          </cell>
          <cell r="CA193">
            <v>49.091763</v>
          </cell>
          <cell r="CB193">
            <v>48.150347000000004</v>
          </cell>
          <cell r="CC193">
            <v>46.636833000000003</v>
          </cell>
          <cell r="CD193">
            <v>46.374053999999994</v>
          </cell>
          <cell r="CE193">
            <v>43.685924</v>
          </cell>
          <cell r="CF193">
            <v>45.013359999999999</v>
          </cell>
        </row>
        <row r="194">
          <cell r="BA194">
            <v>62.236368000000006</v>
          </cell>
          <cell r="BB194">
            <v>70.65374700000001</v>
          </cell>
          <cell r="BC194">
            <v>70.026437000000001</v>
          </cell>
          <cell r="BD194">
            <v>73.891166999999996</v>
          </cell>
          <cell r="BE194">
            <v>75.34393</v>
          </cell>
          <cell r="BF194">
            <v>76.26971300000001</v>
          </cell>
          <cell r="BG194">
            <v>77.665543000000014</v>
          </cell>
          <cell r="BH194">
            <v>79.831017000000003</v>
          </cell>
          <cell r="BI194">
            <v>84.009308000000004</v>
          </cell>
          <cell r="BJ194">
            <v>86.123463000000001</v>
          </cell>
          <cell r="BK194">
            <v>86.111928000000006</v>
          </cell>
          <cell r="BL194">
            <v>78.300166000000004</v>
          </cell>
          <cell r="BM194">
            <v>65.946083000000002</v>
          </cell>
          <cell r="BN194">
            <v>81.511373000000006</v>
          </cell>
          <cell r="BO194">
            <v>77.431395000000009</v>
          </cell>
          <cell r="BP194">
            <v>78.447187999999997</v>
          </cell>
          <cell r="BQ194">
            <v>81.946060000000003</v>
          </cell>
          <cell r="BR194">
            <v>95.037840000000003</v>
          </cell>
          <cell r="BS194">
            <v>94.755291999999997</v>
          </cell>
          <cell r="BT194">
            <v>90.632416000000006</v>
          </cell>
          <cell r="BU194">
            <v>89.303690000000003</v>
          </cell>
          <cell r="BV194">
            <v>83.460161999999997</v>
          </cell>
          <cell r="BW194">
            <v>66.819895000000002</v>
          </cell>
          <cell r="BX194">
            <v>55.435120000000005</v>
          </cell>
          <cell r="BY194">
            <v>48.587296000000002</v>
          </cell>
          <cell r="BZ194">
            <v>46.876095999999997</v>
          </cell>
          <cell r="CA194">
            <v>47.092731000000001</v>
          </cell>
          <cell r="CB194">
            <v>44.788644999999995</v>
          </cell>
          <cell r="CC194">
            <v>54.071078</v>
          </cell>
          <cell r="CD194">
            <v>56.663916</v>
          </cell>
          <cell r="CE194">
            <v>55.247116000000005</v>
          </cell>
          <cell r="CF194">
            <v>55.924931000000001</v>
          </cell>
        </row>
        <row r="195">
          <cell r="BA195">
            <v>139.31491</v>
          </cell>
          <cell r="BB195">
            <v>149.25604999999999</v>
          </cell>
          <cell r="BC195">
            <v>157.95274000000001</v>
          </cell>
          <cell r="BD195">
            <v>170.93035999999998</v>
          </cell>
          <cell r="BE195">
            <v>179.23455999999999</v>
          </cell>
          <cell r="BF195">
            <v>188.50175000000002</v>
          </cell>
          <cell r="BG195">
            <v>197.68908999999999</v>
          </cell>
          <cell r="BH195">
            <v>212.20804000000001</v>
          </cell>
          <cell r="BI195">
            <v>222.14931000000001</v>
          </cell>
          <cell r="BJ195">
            <v>229.63009</v>
          </cell>
          <cell r="BK195">
            <v>249.08544000000001</v>
          </cell>
          <cell r="BL195">
            <v>256.08273000000003</v>
          </cell>
          <cell r="BM195">
            <v>266.89400000000001</v>
          </cell>
          <cell r="BN195">
            <v>278.42240000000004</v>
          </cell>
          <cell r="BO195">
            <v>288.49941999999999</v>
          </cell>
          <cell r="BP195">
            <v>294.37475000000001</v>
          </cell>
          <cell r="BQ195">
            <v>302.69729000000001</v>
          </cell>
          <cell r="BR195">
            <v>305.10777000000002</v>
          </cell>
          <cell r="BS195">
            <v>288.19494000000003</v>
          </cell>
          <cell r="BT195">
            <v>272.60927000000004</v>
          </cell>
          <cell r="BU195">
            <v>289.86959000000002</v>
          </cell>
          <cell r="BV195">
            <v>297.29019</v>
          </cell>
          <cell r="BW195">
            <v>292.14652000000001</v>
          </cell>
          <cell r="BX195">
            <v>294.94439</v>
          </cell>
          <cell r="BY195">
            <v>297.66796000000005</v>
          </cell>
          <cell r="BZ195">
            <v>294.88276000000002</v>
          </cell>
          <cell r="CA195">
            <v>299.00890000000004</v>
          </cell>
          <cell r="CB195">
            <v>304.72496000000001</v>
          </cell>
          <cell r="CC195">
            <v>302.35631000000001</v>
          </cell>
          <cell r="CD195">
            <v>290.43064000000004</v>
          </cell>
          <cell r="CE195">
            <v>288.01866999999999</v>
          </cell>
          <cell r="CF195">
            <v>303.75721999999996</v>
          </cell>
        </row>
        <row r="196">
          <cell r="BA196">
            <v>28.842304000000002</v>
          </cell>
          <cell r="BB196">
            <v>30.429099999999998</v>
          </cell>
          <cell r="BC196">
            <v>25.862848000000003</v>
          </cell>
          <cell r="BD196">
            <v>22.321999000000002</v>
          </cell>
          <cell r="BE196">
            <v>16.107361000000001</v>
          </cell>
          <cell r="BF196">
            <v>13.741887</v>
          </cell>
          <cell r="BG196">
            <v>11.509636</v>
          </cell>
          <cell r="BH196">
            <v>11.408269000000001</v>
          </cell>
          <cell r="BI196">
            <v>10.564347</v>
          </cell>
          <cell r="BJ196">
            <v>10.440200000000001</v>
          </cell>
          <cell r="BK196">
            <v>11.015191000000002</v>
          </cell>
          <cell r="BL196">
            <v>10.679502000000001</v>
          </cell>
          <cell r="BM196">
            <v>11.567783</v>
          </cell>
          <cell r="BN196">
            <v>10.885199</v>
          </cell>
          <cell r="BO196">
            <v>13.258507</v>
          </cell>
          <cell r="BP196">
            <v>12.04532</v>
          </cell>
          <cell r="BQ196">
            <v>12.786754000000002</v>
          </cell>
          <cell r="BR196">
            <v>12.720513</v>
          </cell>
          <cell r="BS196">
            <v>10.888451</v>
          </cell>
          <cell r="BT196">
            <v>10.963511</v>
          </cell>
          <cell r="BU196">
            <v>10.615729999999999</v>
          </cell>
          <cell r="BV196">
            <v>9.9867014999999988</v>
          </cell>
          <cell r="BW196">
            <v>10.293196</v>
          </cell>
          <cell r="BX196">
            <v>9.7797953</v>
          </cell>
          <cell r="BY196">
            <v>10.542947</v>
          </cell>
          <cell r="BZ196">
            <v>11.290162</v>
          </cell>
          <cell r="CA196">
            <v>12.221254999999999</v>
          </cell>
          <cell r="CB196">
            <v>13.558788000000002</v>
          </cell>
          <cell r="CC196">
            <v>13.047698</v>
          </cell>
          <cell r="CD196">
            <v>13.268774000000001</v>
          </cell>
          <cell r="CE196">
            <v>13.100209000000001</v>
          </cell>
          <cell r="CF196">
            <v>13.277438</v>
          </cell>
        </row>
        <row r="197">
          <cell r="BA197">
            <v>41.802135999999997</v>
          </cell>
          <cell r="BB197">
            <v>42.368406999999998</v>
          </cell>
          <cell r="BC197">
            <v>42.540343999999997</v>
          </cell>
          <cell r="BD197">
            <v>43.502790000000005</v>
          </cell>
          <cell r="BE197">
            <v>44.113783000000005</v>
          </cell>
          <cell r="BF197">
            <v>47.851959000000001</v>
          </cell>
          <cell r="BG197">
            <v>46.012667</v>
          </cell>
          <cell r="BH197">
            <v>46.189343999999998</v>
          </cell>
          <cell r="BI197">
            <v>49.902457000000005</v>
          </cell>
          <cell r="BJ197">
            <v>51.475991999999998</v>
          </cell>
          <cell r="BK197">
            <v>49.661800999999997</v>
          </cell>
          <cell r="BL197">
            <v>51.475994</v>
          </cell>
          <cell r="BM197">
            <v>56.205283000000001</v>
          </cell>
          <cell r="BN197">
            <v>60.910544999999999</v>
          </cell>
          <cell r="BO197">
            <v>60.512156000000004</v>
          </cell>
          <cell r="BP197">
            <v>64.593558000000002</v>
          </cell>
          <cell r="BQ197">
            <v>62.446445000000004</v>
          </cell>
          <cell r="BR197">
            <v>65.008279000000002</v>
          </cell>
          <cell r="BS197">
            <v>67.287183999999996</v>
          </cell>
          <cell r="BT197">
            <v>68.109566000000001</v>
          </cell>
          <cell r="BU197">
            <v>72.231356000000005</v>
          </cell>
          <cell r="BV197">
            <v>75.397266000000002</v>
          </cell>
          <cell r="BW197">
            <v>78.719582000000003</v>
          </cell>
          <cell r="BX197">
            <v>82.492229999999992</v>
          </cell>
          <cell r="BY197">
            <v>83.735063999999994</v>
          </cell>
          <cell r="BZ197">
            <v>87.349038000000007</v>
          </cell>
          <cell r="CA197">
            <v>87.994472999999999</v>
          </cell>
          <cell r="CB197">
            <v>87.144279999999995</v>
          </cell>
          <cell r="CC197">
            <v>88.348749999999995</v>
          </cell>
          <cell r="CD197">
            <v>91.349729999999994</v>
          </cell>
          <cell r="CE197">
            <v>93.961731</v>
          </cell>
          <cell r="CF197">
            <v>96.240530000000007</v>
          </cell>
        </row>
        <row r="199">
          <cell r="BA199">
            <v>0.62729894000000008</v>
          </cell>
          <cell r="BB199">
            <v>0.72424294</v>
          </cell>
          <cell r="BC199">
            <v>0.74200706000000005</v>
          </cell>
          <cell r="BD199">
            <v>0.77626782999999999</v>
          </cell>
          <cell r="BE199">
            <v>0.8538656200000001</v>
          </cell>
          <cell r="BF199">
            <v>0.88042701000000001</v>
          </cell>
          <cell r="BG199">
            <v>0.91965653000000003</v>
          </cell>
          <cell r="BH199">
            <v>0.93673677</v>
          </cell>
          <cell r="BI199">
            <v>0.99485581000000001</v>
          </cell>
          <cell r="BJ199">
            <v>0.97204822000000002</v>
          </cell>
          <cell r="BK199">
            <v>1.1604955000000001</v>
          </cell>
          <cell r="BL199">
            <v>1.2440614000000001</v>
          </cell>
          <cell r="BM199">
            <v>1.2432981999999999</v>
          </cell>
          <cell r="BN199">
            <v>1.2432532000000001</v>
          </cell>
          <cell r="BO199">
            <v>1.6798143000000001</v>
          </cell>
          <cell r="BP199">
            <v>1.8654907000000001</v>
          </cell>
          <cell r="BQ199">
            <v>3.2904432000000003</v>
          </cell>
          <cell r="BR199">
            <v>3.5672773000000002</v>
          </cell>
          <cell r="BS199">
            <v>3.9781995000000001</v>
          </cell>
          <cell r="BT199">
            <v>3.9972194000000001</v>
          </cell>
          <cell r="BU199">
            <v>3.6970707000000003</v>
          </cell>
          <cell r="BV199">
            <v>3.6810800000000001</v>
          </cell>
          <cell r="BW199">
            <v>4.0291407000000001</v>
          </cell>
          <cell r="BX199">
            <v>4.1672853999999999</v>
          </cell>
          <cell r="BY199">
            <v>3.4482292999999999</v>
          </cell>
          <cell r="BZ199">
            <v>3.5479579999999999</v>
          </cell>
          <cell r="CA199">
            <v>3.0370854</v>
          </cell>
          <cell r="CB199">
            <v>2.915727</v>
          </cell>
          <cell r="CC199">
            <v>2.9300644999999998</v>
          </cell>
          <cell r="CD199">
            <v>2.8871289999999998</v>
          </cell>
          <cell r="CE199">
            <v>2.6092415</v>
          </cell>
          <cell r="CF199">
            <v>2.4731975000000004</v>
          </cell>
        </row>
        <row r="200">
          <cell r="BA200">
            <v>6.8368697000000003</v>
          </cell>
          <cell r="BB200">
            <v>6.6668232999999999</v>
          </cell>
          <cell r="BC200">
            <v>6.3611346000000006</v>
          </cell>
          <cell r="BD200">
            <v>6.4056514</v>
          </cell>
          <cell r="BE200">
            <v>6.3521805000000002</v>
          </cell>
          <cell r="BF200">
            <v>6.0065330999999995</v>
          </cell>
          <cell r="BG200">
            <v>6.8342735000000001</v>
          </cell>
          <cell r="BH200">
            <v>7.3998145000000006</v>
          </cell>
          <cell r="BI200">
            <v>6.9119152999999995</v>
          </cell>
          <cell r="BJ200">
            <v>7.9913122000000003</v>
          </cell>
          <cell r="BK200">
            <v>7.3380330000000002</v>
          </cell>
          <cell r="BL200">
            <v>7.5746753</v>
          </cell>
          <cell r="BM200">
            <v>7.9961400999999999</v>
          </cell>
          <cell r="BN200">
            <v>8.5484928</v>
          </cell>
          <cell r="BO200">
            <v>8.7719694999999991</v>
          </cell>
          <cell r="BP200">
            <v>8.7944320999999999</v>
          </cell>
          <cell r="BQ200">
            <v>8.4644393999999998</v>
          </cell>
          <cell r="BR200">
            <v>8.534456800000001</v>
          </cell>
          <cell r="BS200">
            <v>8.8197099999999988</v>
          </cell>
          <cell r="BT200">
            <v>10.601511</v>
          </cell>
          <cell r="BU200">
            <v>11.237004000000001</v>
          </cell>
          <cell r="BV200">
            <v>10.853334</v>
          </cell>
          <cell r="BW200">
            <v>12.031613999999999</v>
          </cell>
          <cell r="BX200">
            <v>11.451198</v>
          </cell>
          <cell r="BY200">
            <v>12.664507</v>
          </cell>
          <cell r="BZ200">
            <v>13.252381999999999</v>
          </cell>
          <cell r="CA200">
            <v>17.464946000000001</v>
          </cell>
          <cell r="CB200">
            <v>21.694839999999999</v>
          </cell>
          <cell r="CC200">
            <v>26.071562999999998</v>
          </cell>
          <cell r="CD200">
            <v>25.714675</v>
          </cell>
          <cell r="CE200">
            <v>28.305686000000001</v>
          </cell>
          <cell r="CF200">
            <v>29.272433000000003</v>
          </cell>
        </row>
        <row r="201">
          <cell r="BA201">
            <v>6.4439999999999994E-4</v>
          </cell>
          <cell r="BB201">
            <v>6.3939999999999993E-4</v>
          </cell>
          <cell r="BC201">
            <v>6.3690000000000003E-4</v>
          </cell>
          <cell r="BD201">
            <v>6.3440000000000002E-4</v>
          </cell>
          <cell r="BE201">
            <v>6.3440000000000002E-4</v>
          </cell>
          <cell r="BF201">
            <v>6.3440000000000002E-4</v>
          </cell>
          <cell r="BG201">
            <v>6.3440000000000002E-4</v>
          </cell>
          <cell r="BH201">
            <v>6.3690000000000003E-4</v>
          </cell>
          <cell r="BI201">
            <v>6.3939999999999993E-4</v>
          </cell>
          <cell r="BJ201">
            <v>6.3939999999999993E-4</v>
          </cell>
          <cell r="BK201">
            <v>6.3690000000000003E-4</v>
          </cell>
          <cell r="BL201">
            <v>6.3190000000000002E-4</v>
          </cell>
          <cell r="BM201">
            <v>6.244E-4</v>
          </cell>
          <cell r="BN201">
            <v>6.1689999999999998E-4</v>
          </cell>
          <cell r="BO201">
            <v>6.0690000000000006E-4</v>
          </cell>
          <cell r="BP201">
            <v>5.9940000000000004E-4</v>
          </cell>
          <cell r="BQ201">
            <v>5.9690000000000003E-4</v>
          </cell>
          <cell r="BR201">
            <v>5.9440000000000003E-4</v>
          </cell>
          <cell r="BS201">
            <v>5.9190000000000002E-4</v>
          </cell>
          <cell r="BT201">
            <v>5.9190000000000002E-4</v>
          </cell>
          <cell r="BU201">
            <v>5.9440000000000003E-4</v>
          </cell>
          <cell r="BV201">
            <v>5.9440000000000003E-4</v>
          </cell>
          <cell r="BW201">
            <v>5.9690000000000003E-4</v>
          </cell>
          <cell r="BX201">
            <v>5.9940000000000004E-4</v>
          </cell>
          <cell r="BY201">
            <v>6.0190000000000005E-4</v>
          </cell>
          <cell r="BZ201">
            <v>6.0440000000000005E-4</v>
          </cell>
          <cell r="CA201">
            <v>6.0940000000000007E-4</v>
          </cell>
          <cell r="CB201">
            <v>6.0940000000000007E-4</v>
          </cell>
          <cell r="CC201">
            <v>6.1189999999999997E-4</v>
          </cell>
          <cell r="CD201">
            <v>6.0690000000000006E-4</v>
          </cell>
          <cell r="CE201">
            <v>6.0690000000000006E-4</v>
          </cell>
          <cell r="CF201">
            <v>6.1173333000000003E-4</v>
          </cell>
        </row>
        <row r="202">
          <cell r="BA202">
            <v>0.23659928</v>
          </cell>
          <cell r="BB202">
            <v>0.25361308999999999</v>
          </cell>
          <cell r="BC202">
            <v>0.23496686</v>
          </cell>
          <cell r="BD202">
            <v>0.24817500000000001</v>
          </cell>
          <cell r="BE202">
            <v>0.25560152000000003</v>
          </cell>
          <cell r="BF202">
            <v>0.25541829999999999</v>
          </cell>
          <cell r="BG202">
            <v>0.24092498000000001</v>
          </cell>
          <cell r="BH202">
            <v>0.26220791000000004</v>
          </cell>
          <cell r="BI202">
            <v>0.25358259</v>
          </cell>
          <cell r="BJ202">
            <v>0.27886698000000004</v>
          </cell>
          <cell r="BK202">
            <v>0.26833312999999998</v>
          </cell>
          <cell r="BL202">
            <v>0.24413281000000001</v>
          </cell>
          <cell r="BM202">
            <v>0.24289648999999999</v>
          </cell>
          <cell r="BN202">
            <v>0.24167608999999998</v>
          </cell>
          <cell r="BO202">
            <v>0.21846073000000002</v>
          </cell>
          <cell r="BP202">
            <v>0.20670482000000001</v>
          </cell>
          <cell r="BQ202">
            <v>0.2046674</v>
          </cell>
          <cell r="BR202">
            <v>0.18999984</v>
          </cell>
          <cell r="BS202">
            <v>0.19777566999999999</v>
          </cell>
          <cell r="BT202">
            <v>0.20779565999999999</v>
          </cell>
          <cell r="BU202">
            <v>0.19405950000000002</v>
          </cell>
          <cell r="BV202">
            <v>0.18099146999999999</v>
          </cell>
          <cell r="BW202">
            <v>0.18480916</v>
          </cell>
          <cell r="BX202">
            <v>0.19106021000000001</v>
          </cell>
          <cell r="BY202">
            <v>0.19130846000000001</v>
          </cell>
          <cell r="BZ202">
            <v>0.19829561000000001</v>
          </cell>
          <cell r="CA202">
            <v>0.20544631999999999</v>
          </cell>
          <cell r="CB202">
            <v>0.23206526999999999</v>
          </cell>
          <cell r="CC202">
            <v>0.23612386000000002</v>
          </cell>
          <cell r="CD202">
            <v>0.24823625999999999</v>
          </cell>
          <cell r="CE202">
            <v>0.24903708000000002</v>
          </cell>
          <cell r="CF202">
            <v>0.25389497999999999</v>
          </cell>
        </row>
        <row r="203">
          <cell r="BA203">
            <v>21.721948000000001</v>
          </cell>
          <cell r="BB203">
            <v>21.881758000000001</v>
          </cell>
          <cell r="BC203">
            <v>22.403775000000003</v>
          </cell>
          <cell r="BD203">
            <v>21.028115000000003</v>
          </cell>
          <cell r="BE203">
            <v>22.944789</v>
          </cell>
          <cell r="BF203">
            <v>22.976516</v>
          </cell>
          <cell r="BG203">
            <v>25.362491000000002</v>
          </cell>
          <cell r="BH203">
            <v>25.279434000000002</v>
          </cell>
          <cell r="BI203">
            <v>28.864373000000001</v>
          </cell>
          <cell r="BJ203">
            <v>31.642372999999999</v>
          </cell>
          <cell r="BK203">
            <v>31.420617999999997</v>
          </cell>
          <cell r="BL203">
            <v>34.579281000000002</v>
          </cell>
          <cell r="BM203">
            <v>36.760118000000006</v>
          </cell>
          <cell r="BN203">
            <v>41.509743999999998</v>
          </cell>
          <cell r="BO203">
            <v>44.794692000000005</v>
          </cell>
          <cell r="BP203">
            <v>54.228012000000007</v>
          </cell>
          <cell r="BQ203">
            <v>57.852175000000003</v>
          </cell>
          <cell r="BR203">
            <v>58.965942000000005</v>
          </cell>
          <cell r="BS203">
            <v>57.053075</v>
          </cell>
          <cell r="BT203">
            <v>58.87388</v>
          </cell>
          <cell r="BU203">
            <v>62.079069000000004</v>
          </cell>
          <cell r="BV203">
            <v>60.412179999999999</v>
          </cell>
          <cell r="BW203">
            <v>59.768699000000005</v>
          </cell>
          <cell r="BX203">
            <v>58.838252000000004</v>
          </cell>
          <cell r="BY203">
            <v>58.434716000000002</v>
          </cell>
          <cell r="BZ203">
            <v>57.09731</v>
          </cell>
          <cell r="CA203">
            <v>53.113388</v>
          </cell>
          <cell r="CB203">
            <v>53.479312</v>
          </cell>
          <cell r="CC203">
            <v>53.495298000000005</v>
          </cell>
          <cell r="CD203">
            <v>53.424317000000002</v>
          </cell>
          <cell r="CE203">
            <v>44.060434000000001</v>
          </cell>
          <cell r="CF203">
            <v>42.832557999999999</v>
          </cell>
        </row>
        <row r="204">
          <cell r="BA204">
            <v>21.414598999999999</v>
          </cell>
          <cell r="BB204">
            <v>24.454013</v>
          </cell>
          <cell r="BC204">
            <v>24.162181</v>
          </cell>
          <cell r="BD204">
            <v>25.678497</v>
          </cell>
          <cell r="BE204">
            <v>24.647863000000001</v>
          </cell>
          <cell r="BF204">
            <v>24.804254</v>
          </cell>
          <cell r="BG204">
            <v>26.998643000000001</v>
          </cell>
          <cell r="BH204">
            <v>27.501027000000001</v>
          </cell>
          <cell r="BI204">
            <v>29.568517</v>
          </cell>
          <cell r="BJ204">
            <v>30.824313999999998</v>
          </cell>
          <cell r="BK204">
            <v>32.939771</v>
          </cell>
          <cell r="BL204">
            <v>33.999156999999997</v>
          </cell>
          <cell r="BM204">
            <v>33.909317000000001</v>
          </cell>
          <cell r="BN204">
            <v>34.417671999999996</v>
          </cell>
          <cell r="BO204">
            <v>35.935061000000005</v>
          </cell>
          <cell r="BP204">
            <v>36.860718999999996</v>
          </cell>
          <cell r="BQ204">
            <v>37.827256999999996</v>
          </cell>
          <cell r="BR204">
            <v>39.199756999999998</v>
          </cell>
          <cell r="BS204">
            <v>40.908841000000002</v>
          </cell>
          <cell r="BT204">
            <v>41.258014000000003</v>
          </cell>
          <cell r="BU204">
            <v>43.911814</v>
          </cell>
          <cell r="BV204">
            <v>41.735337000000001</v>
          </cell>
          <cell r="BW204">
            <v>44.129961999999999</v>
          </cell>
          <cell r="BX204">
            <v>43.489197999999995</v>
          </cell>
          <cell r="BY204">
            <v>44.626890000000003</v>
          </cell>
          <cell r="BZ204">
            <v>45.833656000000005</v>
          </cell>
          <cell r="CA204">
            <v>44.888122000000003</v>
          </cell>
          <cell r="CB204">
            <v>44.764628999999999</v>
          </cell>
          <cell r="CC204">
            <v>40.685936000000005</v>
          </cell>
          <cell r="CD204">
            <v>40.210115999999999</v>
          </cell>
          <cell r="CE204">
            <v>37.271872999999999</v>
          </cell>
          <cell r="CF204">
            <v>43.363604000000002</v>
          </cell>
        </row>
        <row r="206">
          <cell r="BA206">
            <v>58.962381999999998</v>
          </cell>
          <cell r="BB206">
            <v>58.756411999999997</v>
          </cell>
          <cell r="BC206">
            <v>46.225783000000007</v>
          </cell>
          <cell r="BD206">
            <v>48.709927000000008</v>
          </cell>
          <cell r="BE206">
            <v>39.210251</v>
          </cell>
          <cell r="BF206">
            <v>39.326466000000003</v>
          </cell>
          <cell r="BG206">
            <v>39.932684000000002</v>
          </cell>
          <cell r="BH206">
            <v>31.47467</v>
          </cell>
          <cell r="BI206">
            <v>35.150512999999997</v>
          </cell>
          <cell r="BJ206">
            <v>46.766805999999995</v>
          </cell>
          <cell r="BK206">
            <v>55.859597999999998</v>
          </cell>
          <cell r="BL206">
            <v>55.819327000000001</v>
          </cell>
          <cell r="BM206">
            <v>59.714021000000002</v>
          </cell>
          <cell r="BN206">
            <v>66.952355999999995</v>
          </cell>
          <cell r="BO206">
            <v>68.248554999999996</v>
          </cell>
          <cell r="BP206">
            <v>70.405937999999992</v>
          </cell>
          <cell r="BQ206">
            <v>73.253001999999995</v>
          </cell>
          <cell r="BR206">
            <v>78.515169999999998</v>
          </cell>
          <cell r="BS206">
            <v>84.472553000000005</v>
          </cell>
          <cell r="BT206">
            <v>67.118080000000006</v>
          </cell>
          <cell r="BU206">
            <v>73.645961</v>
          </cell>
          <cell r="BV206">
            <v>84.86018700000001</v>
          </cell>
          <cell r="BW206">
            <v>88.936571999999998</v>
          </cell>
          <cell r="BX206">
            <v>97.057514999999995</v>
          </cell>
          <cell r="BY206">
            <v>98.468806999999998</v>
          </cell>
          <cell r="BZ206">
            <v>101.73298</v>
          </cell>
          <cell r="CA206">
            <v>99.387861999999998</v>
          </cell>
          <cell r="CB206">
            <v>98.835618000000011</v>
          </cell>
          <cell r="CC206">
            <v>103.57823</v>
          </cell>
          <cell r="CD206">
            <v>103.05383999999999</v>
          </cell>
          <cell r="CE206">
            <v>120.90983</v>
          </cell>
          <cell r="CF206">
            <v>109.66130000000001</v>
          </cell>
        </row>
        <row r="207">
          <cell r="BA207">
            <v>3.4354478000000001E-2</v>
          </cell>
          <cell r="BB207">
            <v>3.4681398000000002E-2</v>
          </cell>
          <cell r="BC207">
            <v>3.8711480999999999E-2</v>
          </cell>
          <cell r="BD207">
            <v>4.6574562999999999E-2</v>
          </cell>
          <cell r="BE207">
            <v>5.0698235000000001E-2</v>
          </cell>
          <cell r="BF207">
            <v>5.4865409999999996E-2</v>
          </cell>
          <cell r="BG207">
            <v>5.5153145000000001E-2</v>
          </cell>
          <cell r="BH207">
            <v>6.2657619999999997E-2</v>
          </cell>
          <cell r="BI207">
            <v>6.6669328E-2</v>
          </cell>
          <cell r="BJ207">
            <v>7.4601017000000006E-2</v>
          </cell>
          <cell r="BK207">
            <v>7.9869356000000002E-2</v>
          </cell>
          <cell r="BL207">
            <v>8.418253199999999E-2</v>
          </cell>
          <cell r="BM207">
            <v>0.11109595</v>
          </cell>
          <cell r="BN207">
            <v>0.11147923</v>
          </cell>
          <cell r="BO207">
            <v>0.11441266</v>
          </cell>
          <cell r="BP207">
            <v>0.13399762000000001</v>
          </cell>
          <cell r="BQ207">
            <v>0.15624980999999999</v>
          </cell>
          <cell r="BR207">
            <v>0.17889375999999999</v>
          </cell>
          <cell r="BS207">
            <v>0.18737856999999999</v>
          </cell>
          <cell r="BT207">
            <v>0.19527052</v>
          </cell>
          <cell r="BU207">
            <v>0.19893657000000001</v>
          </cell>
          <cell r="BV207">
            <v>0.20073317000000002</v>
          </cell>
          <cell r="BW207">
            <v>0.20134316999999999</v>
          </cell>
          <cell r="BX207">
            <v>0.20513018999999999</v>
          </cell>
          <cell r="BY207">
            <v>0.21531771000000002</v>
          </cell>
          <cell r="BZ207">
            <v>0.22294430000000001</v>
          </cell>
          <cell r="CA207">
            <v>0.23311367999999999</v>
          </cell>
          <cell r="CB207">
            <v>0.24672011000000002</v>
          </cell>
          <cell r="CC207">
            <v>0.25270086000000003</v>
          </cell>
          <cell r="CD207">
            <v>0.25918698000000001</v>
          </cell>
          <cell r="CE207">
            <v>0.23808342999999998</v>
          </cell>
          <cell r="CF207">
            <v>0.23557052000000001</v>
          </cell>
        </row>
        <row r="208">
          <cell r="BA208">
            <v>1.4627000000000001E-2</v>
          </cell>
          <cell r="BB208">
            <v>1.53987E-2</v>
          </cell>
          <cell r="BC208">
            <v>1.54985E-2</v>
          </cell>
          <cell r="BD208">
            <v>1.5336199999999999E-2</v>
          </cell>
          <cell r="BE208">
            <v>1.5453699999999999E-2</v>
          </cell>
          <cell r="BF208">
            <v>1.5500999999999999E-2</v>
          </cell>
          <cell r="BG208">
            <v>1.5503500000000002E-2</v>
          </cell>
          <cell r="BH208">
            <v>1.5606E-2</v>
          </cell>
          <cell r="BI208">
            <v>1.5646E-2</v>
          </cell>
          <cell r="BJ208">
            <v>1.58056E-2</v>
          </cell>
          <cell r="BK208">
            <v>1.58306E-2</v>
          </cell>
          <cell r="BL208">
            <v>1.5865600000000001E-2</v>
          </cell>
          <cell r="BM208">
            <v>1.9732099999999999E-2</v>
          </cell>
          <cell r="BN208">
            <v>1.9777100000000002E-2</v>
          </cell>
          <cell r="BO208">
            <v>1.9834599999999997E-2</v>
          </cell>
          <cell r="BP208">
            <v>1.9859600000000002E-2</v>
          </cell>
          <cell r="BQ208">
            <v>1.6242899999999998E-2</v>
          </cell>
          <cell r="BR208">
            <v>2.00246E-2</v>
          </cell>
          <cell r="BS208">
            <v>2.0144600000000002E-2</v>
          </cell>
          <cell r="BT208">
            <v>2.0269200000000001E-2</v>
          </cell>
          <cell r="BU208">
            <v>1.6660000000000001E-2</v>
          </cell>
          <cell r="BV208">
            <v>1.6760000000000001E-2</v>
          </cell>
          <cell r="BW208">
            <v>2.0501700000000001E-2</v>
          </cell>
          <cell r="BX208">
            <v>2.0574200000000001E-2</v>
          </cell>
          <cell r="BY208">
            <v>2.0664200000000001E-2</v>
          </cell>
          <cell r="BZ208">
            <v>2.0779200000000001E-2</v>
          </cell>
          <cell r="CA208">
            <v>2.0903999999999999E-2</v>
          </cell>
          <cell r="CB208">
            <v>2.0984000000000003E-2</v>
          </cell>
          <cell r="CC208">
            <v>2.1436804E-2</v>
          </cell>
          <cell r="CD208">
            <v>2.2458791999999998E-2</v>
          </cell>
          <cell r="CE208">
            <v>2.2583037E-2</v>
          </cell>
          <cell r="CF208">
            <v>2.3062172000000002E-2</v>
          </cell>
        </row>
        <row r="209">
          <cell r="BA209">
            <v>18.014383000000002</v>
          </cell>
          <cell r="BB209">
            <v>18.573606999999999</v>
          </cell>
          <cell r="BC209">
            <v>18.974262</v>
          </cell>
          <cell r="BD209">
            <v>19.403129</v>
          </cell>
          <cell r="BE209">
            <v>19.143556</v>
          </cell>
          <cell r="BF209">
            <v>19.795930000000002</v>
          </cell>
          <cell r="BG209">
            <v>20.385266999999999</v>
          </cell>
          <cell r="BH209">
            <v>21.243025000000003</v>
          </cell>
          <cell r="BI209">
            <v>22.499276000000002</v>
          </cell>
          <cell r="BJ209">
            <v>22.242673</v>
          </cell>
          <cell r="BK209">
            <v>22.712662000000002</v>
          </cell>
          <cell r="BL209">
            <v>23.133603000000001</v>
          </cell>
          <cell r="BM209">
            <v>23.881754000000001</v>
          </cell>
          <cell r="BN209">
            <v>25.740471000000003</v>
          </cell>
          <cell r="BO209">
            <v>25.928023000000003</v>
          </cell>
          <cell r="BP209">
            <v>28.093523000000001</v>
          </cell>
          <cell r="BQ209">
            <v>26.793479999999999</v>
          </cell>
          <cell r="BR209">
            <v>29.598380000000002</v>
          </cell>
          <cell r="BS209">
            <v>35.899438000000004</v>
          </cell>
          <cell r="BT209">
            <v>36.301223</v>
          </cell>
          <cell r="BU209">
            <v>38.569504000000002</v>
          </cell>
          <cell r="BV209">
            <v>38.929042000000003</v>
          </cell>
          <cell r="BW209">
            <v>40.617834999999999</v>
          </cell>
          <cell r="BX209">
            <v>40.895245000000003</v>
          </cell>
          <cell r="BY209">
            <v>42.103637000000006</v>
          </cell>
          <cell r="BZ209">
            <v>43.774422000000001</v>
          </cell>
          <cell r="CA209">
            <v>44.139760000000003</v>
          </cell>
          <cell r="CB209">
            <v>45.390149000000001</v>
          </cell>
          <cell r="CC209">
            <v>46.626572000000003</v>
          </cell>
          <cell r="CD209">
            <v>47.433774</v>
          </cell>
          <cell r="CE209">
            <v>48.462394000000003</v>
          </cell>
          <cell r="CF209">
            <v>49.951321000000007</v>
          </cell>
        </row>
        <row r="214">
          <cell r="BA214">
            <v>28.182335999999999</v>
          </cell>
          <cell r="BB214">
            <v>29.672336999999999</v>
          </cell>
          <cell r="BC214">
            <v>31.361609000000001</v>
          </cell>
          <cell r="BD214">
            <v>31.334148000000003</v>
          </cell>
          <cell r="BE214">
            <v>30.903616000000003</v>
          </cell>
          <cell r="BF214">
            <v>31.296842000000002</v>
          </cell>
          <cell r="BG214">
            <v>32.890843000000004</v>
          </cell>
          <cell r="BH214">
            <v>32.715955000000001</v>
          </cell>
          <cell r="BI214">
            <v>32.281433</v>
          </cell>
          <cell r="BJ214">
            <v>33.116</v>
          </cell>
          <cell r="BK214">
            <v>31.035021</v>
          </cell>
          <cell r="BL214">
            <v>30.422554000000002</v>
          </cell>
          <cell r="BM214">
            <v>30.107935000000001</v>
          </cell>
          <cell r="BN214">
            <v>31.190206</v>
          </cell>
          <cell r="BO214">
            <v>33.272272000000001</v>
          </cell>
          <cell r="BP214">
            <v>33.003484999999998</v>
          </cell>
          <cell r="BQ214">
            <v>34.445319000000005</v>
          </cell>
          <cell r="BR214">
            <v>33.121476000000001</v>
          </cell>
          <cell r="BS214">
            <v>35.556097999999999</v>
          </cell>
          <cell r="BT214">
            <v>35.847180999999999</v>
          </cell>
          <cell r="BU214">
            <v>33.949680000000001</v>
          </cell>
          <cell r="BV214">
            <v>35.658560000000001</v>
          </cell>
          <cell r="BW214">
            <v>37.128732000000007</v>
          </cell>
          <cell r="BX214">
            <v>35.709214000000003</v>
          </cell>
          <cell r="BY214">
            <v>35.119076999999997</v>
          </cell>
          <cell r="BZ214">
            <v>35.171180999999997</v>
          </cell>
          <cell r="CA214">
            <v>35.449190999999999</v>
          </cell>
          <cell r="CB214">
            <v>34.932906000000003</v>
          </cell>
          <cell r="CC214">
            <v>34.111049000000001</v>
          </cell>
          <cell r="CD214">
            <v>33.997016000000002</v>
          </cell>
          <cell r="CE214">
            <v>32.909040999999995</v>
          </cell>
          <cell r="CF214">
            <v>33.570784000000003</v>
          </cell>
        </row>
        <row r="215">
          <cell r="BA215">
            <v>178.01805999999999</v>
          </cell>
          <cell r="BB215">
            <v>177.95848999999998</v>
          </cell>
          <cell r="BC215">
            <v>172.44660999999999</v>
          </cell>
          <cell r="BD215">
            <v>180.26529000000002</v>
          </cell>
          <cell r="BE215">
            <v>182.26673000000002</v>
          </cell>
          <cell r="BF215">
            <v>178.73310000000001</v>
          </cell>
          <cell r="BG215">
            <v>186.93576999999999</v>
          </cell>
          <cell r="BH215">
            <v>190.75368</v>
          </cell>
          <cell r="BI215">
            <v>204.13947000000002</v>
          </cell>
          <cell r="BJ215">
            <v>202.15760999999998</v>
          </cell>
          <cell r="BK215">
            <v>208.90804</v>
          </cell>
          <cell r="BL215">
            <v>219.76486</v>
          </cell>
          <cell r="BM215">
            <v>238.34828000000002</v>
          </cell>
          <cell r="BN215">
            <v>223.59351999999998</v>
          </cell>
          <cell r="BO215">
            <v>216.97189000000003</v>
          </cell>
          <cell r="BP215">
            <v>222.23401999999999</v>
          </cell>
          <cell r="BQ215">
            <v>228.23214000000002</v>
          </cell>
          <cell r="BR215">
            <v>218.83261999999999</v>
          </cell>
          <cell r="BS215">
            <v>230.69063</v>
          </cell>
          <cell r="BT215">
            <v>200.72271000000001</v>
          </cell>
          <cell r="BU215">
            <v>200.42424</v>
          </cell>
          <cell r="BV215">
            <v>202.3758</v>
          </cell>
          <cell r="BW215">
            <v>203.14347000000001</v>
          </cell>
          <cell r="BX215">
            <v>190.82301000000001</v>
          </cell>
          <cell r="BY215">
            <v>193.55069</v>
          </cell>
          <cell r="BZ215">
            <v>186.09392000000003</v>
          </cell>
          <cell r="CA215">
            <v>183.59632999999999</v>
          </cell>
          <cell r="CB215">
            <v>189.87499</v>
          </cell>
          <cell r="CC215">
            <v>200.04347000000001</v>
          </cell>
          <cell r="CD215">
            <v>200.70327</v>
          </cell>
          <cell r="CE215">
            <v>197.44981000000001</v>
          </cell>
          <cell r="CF215">
            <v>197.98414000000002</v>
          </cell>
        </row>
        <row r="216">
          <cell r="BA216">
            <v>0.43300434000000004</v>
          </cell>
          <cell r="BB216">
            <v>0.44453920000000002</v>
          </cell>
          <cell r="BC216">
            <v>0.45950172</v>
          </cell>
          <cell r="BD216">
            <v>0.48310607</v>
          </cell>
          <cell r="BE216">
            <v>0.48784959</v>
          </cell>
          <cell r="BF216">
            <v>0.49362932999999998</v>
          </cell>
          <cell r="BG216">
            <v>0.5206712</v>
          </cell>
          <cell r="BH216">
            <v>0.5213885800000001</v>
          </cell>
          <cell r="BI216">
            <v>0.51750231000000002</v>
          </cell>
          <cell r="BJ216">
            <v>0.52469317000000004</v>
          </cell>
          <cell r="BK216">
            <v>0.50547774000000001</v>
          </cell>
          <cell r="BL216">
            <v>0.49107811000000001</v>
          </cell>
          <cell r="BM216">
            <v>0.48759595</v>
          </cell>
          <cell r="BN216">
            <v>0.50371818000000002</v>
          </cell>
          <cell r="BO216">
            <v>0.47528528999999997</v>
          </cell>
          <cell r="BP216">
            <v>0.48427900000000002</v>
          </cell>
          <cell r="BQ216">
            <v>0.47694634000000002</v>
          </cell>
          <cell r="BR216">
            <v>0.48997705000000003</v>
          </cell>
          <cell r="BS216">
            <v>0.52817882999999999</v>
          </cell>
          <cell r="BT216">
            <v>0.41697834</v>
          </cell>
          <cell r="BU216">
            <v>0.54030714000000002</v>
          </cell>
          <cell r="BV216">
            <v>0.56058906000000008</v>
          </cell>
          <cell r="BW216">
            <v>0.55288473000000005</v>
          </cell>
          <cell r="BX216">
            <v>0.51170756000000006</v>
          </cell>
          <cell r="BY216">
            <v>0.57608530000000002</v>
          </cell>
          <cell r="BZ216">
            <v>0.58184644000000008</v>
          </cell>
          <cell r="CA216">
            <v>0.51291605000000007</v>
          </cell>
          <cell r="CB216">
            <v>0.51936828000000002</v>
          </cell>
          <cell r="CC216">
            <v>0.52118077000000007</v>
          </cell>
          <cell r="CD216">
            <v>0.50328755000000003</v>
          </cell>
          <cell r="CE216">
            <v>0.49311271000000001</v>
          </cell>
          <cell r="CF216">
            <v>0.50023710999999993</v>
          </cell>
        </row>
        <row r="217">
          <cell r="BA217">
            <v>7.1451256000000006E-3</v>
          </cell>
          <cell r="BB217">
            <v>7.1940163000000007E-3</v>
          </cell>
          <cell r="BC217">
            <v>7.1652508E-3</v>
          </cell>
          <cell r="BD217">
            <v>7.0321309E-3</v>
          </cell>
          <cell r="BE217">
            <v>6.9678380000000005E-3</v>
          </cell>
          <cell r="BF217">
            <v>7.3959565000000001E-3</v>
          </cell>
          <cell r="BG217">
            <v>7.3202964000000006E-3</v>
          </cell>
          <cell r="BH217">
            <v>7.4156018000000002E-3</v>
          </cell>
          <cell r="BI217">
            <v>7.5727203000000003E-3</v>
          </cell>
          <cell r="BJ217">
            <v>7.684737100000001E-3</v>
          </cell>
          <cell r="BK217">
            <v>7.7471784000000005E-3</v>
          </cell>
          <cell r="BL217">
            <v>7.6561988000000006E-3</v>
          </cell>
          <cell r="BM217">
            <v>7.7315728000000002E-3</v>
          </cell>
          <cell r="BN217">
            <v>7.9882817000000005E-3</v>
          </cell>
          <cell r="BO217">
            <v>7.9848166999999994E-3</v>
          </cell>
          <cell r="BP217">
            <v>7.9671922000000006E-3</v>
          </cell>
          <cell r="BQ217">
            <v>7.8117561E-3</v>
          </cell>
          <cell r="BR217">
            <v>7.6420409E-3</v>
          </cell>
          <cell r="BS217">
            <v>7.3937396000000001E-3</v>
          </cell>
          <cell r="BT217">
            <v>6.6645576E-3</v>
          </cell>
          <cell r="BU217">
            <v>6.7667045000000007E-3</v>
          </cell>
          <cell r="BV217">
            <v>6.6007892999999998E-3</v>
          </cell>
          <cell r="BW217">
            <v>6.3692947999999996E-3</v>
          </cell>
          <cell r="BX217">
            <v>5.8770738999999999E-3</v>
          </cell>
          <cell r="BY217">
            <v>5.5868330000000003E-3</v>
          </cell>
          <cell r="BZ217">
            <v>5.7238648000000007E-3</v>
          </cell>
          <cell r="CA217">
            <v>5.6505365E-3</v>
          </cell>
          <cell r="CB217">
            <v>5.5515078999999997E-3</v>
          </cell>
          <cell r="CC217">
            <v>5.5534916E-3</v>
          </cell>
          <cell r="CD217">
            <v>5.3981557000000006E-3</v>
          </cell>
          <cell r="CE217">
            <v>4.8765709000000001E-3</v>
          </cell>
          <cell r="CF217">
            <v>5.1801183999999993E-3</v>
          </cell>
        </row>
        <row r="218">
          <cell r="BA218">
            <v>186.39445000000001</v>
          </cell>
          <cell r="BB218">
            <v>181.66628</v>
          </cell>
          <cell r="BC218">
            <v>171.65484000000001</v>
          </cell>
          <cell r="BD218">
            <v>187.91915</v>
          </cell>
          <cell r="BE218">
            <v>194.08511999999999</v>
          </cell>
          <cell r="BF218">
            <v>204.10851000000002</v>
          </cell>
          <cell r="BG218">
            <v>199.71145000000001</v>
          </cell>
          <cell r="BH218">
            <v>219.05245000000002</v>
          </cell>
          <cell r="BI218">
            <v>257.83258000000001</v>
          </cell>
          <cell r="BJ218">
            <v>262.38785999999999</v>
          </cell>
          <cell r="BK218">
            <v>234.31106</v>
          </cell>
          <cell r="BL218">
            <v>259.81245000000001</v>
          </cell>
          <cell r="BM218">
            <v>279.23324000000002</v>
          </cell>
          <cell r="BN218">
            <v>279.30396999999999</v>
          </cell>
          <cell r="BO218">
            <v>242.04174</v>
          </cell>
          <cell r="BP218">
            <v>256.24217000000004</v>
          </cell>
          <cell r="BQ218">
            <v>252.88229999999999</v>
          </cell>
          <cell r="BR218">
            <v>245.42871</v>
          </cell>
          <cell r="BS218">
            <v>266.76956000000001</v>
          </cell>
          <cell r="BT218">
            <v>265.01718</v>
          </cell>
          <cell r="BU218">
            <v>273.75847999999996</v>
          </cell>
          <cell r="BV218">
            <v>260.43657999999999</v>
          </cell>
          <cell r="BW218">
            <v>286.78861999999998</v>
          </cell>
          <cell r="BX218">
            <v>271.28973999999999</v>
          </cell>
          <cell r="BY218">
            <v>270.14088000000004</v>
          </cell>
          <cell r="BZ218">
            <v>251.19932</v>
          </cell>
          <cell r="CA218">
            <v>238.53032999999999</v>
          </cell>
          <cell r="CB218">
            <v>215.00877</v>
          </cell>
          <cell r="CC218">
            <v>191.48263</v>
          </cell>
          <cell r="CD218">
            <v>175.59493000000001</v>
          </cell>
          <cell r="CE218">
            <v>150.87864999999999</v>
          </cell>
          <cell r="CF218">
            <v>163.06128000000001</v>
          </cell>
        </row>
        <row r="219">
          <cell r="BZ219">
            <v>344.00905999999998</v>
          </cell>
        </row>
        <row r="220">
          <cell r="BA220">
            <v>7.0619388000000005E-2</v>
          </cell>
          <cell r="BB220">
            <v>7.8216364999999996E-2</v>
          </cell>
          <cell r="BC220">
            <v>8.9395765000000002E-2</v>
          </cell>
          <cell r="BD220">
            <v>9.3037360000000013E-2</v>
          </cell>
          <cell r="BE220">
            <v>0.10417294000000001</v>
          </cell>
          <cell r="BF220">
            <v>0.11535152999999999</v>
          </cell>
          <cell r="BG220">
            <v>0.12320001999999999</v>
          </cell>
          <cell r="BH220">
            <v>0.12329166</v>
          </cell>
          <cell r="BI220">
            <v>0.12730099</v>
          </cell>
          <cell r="BJ220">
            <v>0.12769802</v>
          </cell>
          <cell r="BK220">
            <v>0.13252080000000002</v>
          </cell>
          <cell r="BL220">
            <v>0.13640019</v>
          </cell>
          <cell r="BM220">
            <v>0.14401303999999998</v>
          </cell>
          <cell r="BN220">
            <v>0.15608565999999999</v>
          </cell>
          <cell r="BO220">
            <v>0.17107159999999999</v>
          </cell>
          <cell r="BP220">
            <v>0.18965396000000001</v>
          </cell>
          <cell r="BQ220">
            <v>0.19374171000000001</v>
          </cell>
          <cell r="BR220">
            <v>0.19764354000000001</v>
          </cell>
          <cell r="BS220">
            <v>0.20171403000000002</v>
          </cell>
          <cell r="BT220">
            <v>0.20253535</v>
          </cell>
          <cell r="BU220">
            <v>0.21073554</v>
          </cell>
          <cell r="BV220">
            <v>0.21604795999999998</v>
          </cell>
          <cell r="BW220">
            <v>0.21617356000000001</v>
          </cell>
          <cell r="BX220">
            <v>0.21619225</v>
          </cell>
          <cell r="BY220">
            <v>0.22766992999999999</v>
          </cell>
          <cell r="BZ220">
            <v>0.22755900000000001</v>
          </cell>
          <cell r="CA220">
            <v>0.22779476000000001</v>
          </cell>
          <cell r="CB220">
            <v>0.18187306</v>
          </cell>
          <cell r="CC220">
            <v>0.18685336000000002</v>
          </cell>
          <cell r="CD220">
            <v>0.19115824000000001</v>
          </cell>
          <cell r="CE220">
            <v>0.17585418999999999</v>
          </cell>
          <cell r="CF220">
            <v>0.17485306</v>
          </cell>
        </row>
        <row r="221">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row>
        <row r="222">
          <cell r="BA222">
            <v>0</v>
          </cell>
          <cell r="BB222">
            <v>0</v>
          </cell>
          <cell r="BC222">
            <v>0</v>
          </cell>
          <cell r="BD222">
            <v>0</v>
          </cell>
          <cell r="BE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0</v>
          </cell>
          <cell r="BW222">
            <v>0</v>
          </cell>
          <cell r="BX222">
            <v>0</v>
          </cell>
          <cell r="BY222">
            <v>0</v>
          </cell>
          <cell r="BZ222">
            <v>0</v>
          </cell>
          <cell r="CA222">
            <v>0</v>
          </cell>
          <cell r="CB222">
            <v>0</v>
          </cell>
          <cell r="CC222">
            <v>0</v>
          </cell>
          <cell r="CD222">
            <v>0</v>
          </cell>
          <cell r="CE222">
            <v>0</v>
          </cell>
          <cell r="CF222">
            <v>0</v>
          </cell>
        </row>
        <row r="223">
          <cell r="BA223">
            <v>0</v>
          </cell>
          <cell r="BB223">
            <v>0</v>
          </cell>
          <cell r="BC223">
            <v>0</v>
          </cell>
          <cell r="BD223">
            <v>0</v>
          </cell>
          <cell r="BE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row>
        <row r="224">
          <cell r="BA224">
            <v>17.943227</v>
          </cell>
          <cell r="BB224">
            <v>17.266933000000002</v>
          </cell>
          <cell r="BC224">
            <v>18.243767000000002</v>
          </cell>
          <cell r="BD224">
            <v>17.163689999999999</v>
          </cell>
          <cell r="BE224">
            <v>18.794294999999998</v>
          </cell>
          <cell r="BF224">
            <v>20.136088000000001</v>
          </cell>
          <cell r="BG224">
            <v>20.972548</v>
          </cell>
          <cell r="BH224">
            <v>22.678151999999997</v>
          </cell>
          <cell r="BI224">
            <v>24.013883999999997</v>
          </cell>
          <cell r="BJ224">
            <v>26.603528999999998</v>
          </cell>
          <cell r="BK224">
            <v>28.193572</v>
          </cell>
          <cell r="BL224">
            <v>30.033150000000003</v>
          </cell>
          <cell r="BM224">
            <v>29.479908000000002</v>
          </cell>
          <cell r="BN224">
            <v>31.983986000000002</v>
          </cell>
          <cell r="BO224">
            <v>33.701391999999998</v>
          </cell>
          <cell r="BP224">
            <v>34.797761000000001</v>
          </cell>
          <cell r="BQ224">
            <v>36.930512999999998</v>
          </cell>
          <cell r="BR224">
            <v>36.783042999999999</v>
          </cell>
          <cell r="BS224">
            <v>37.531777000000005</v>
          </cell>
          <cell r="BT224">
            <v>40.428802000000005</v>
          </cell>
          <cell r="BU224">
            <v>38.882514999999998</v>
          </cell>
          <cell r="BV224">
            <v>40.481476999999998</v>
          </cell>
          <cell r="BW224">
            <v>42.883900000000004</v>
          </cell>
          <cell r="BX224">
            <v>54.374969</v>
          </cell>
          <cell r="BY224">
            <v>53.745567000000001</v>
          </cell>
          <cell r="BZ224">
            <v>36.629137</v>
          </cell>
          <cell r="CA224">
            <v>32.456597000000002</v>
          </cell>
          <cell r="CB224">
            <v>32.822425000000003</v>
          </cell>
          <cell r="CC224">
            <v>40.420044000000004</v>
          </cell>
          <cell r="CD224">
            <v>42.938451000000001</v>
          </cell>
          <cell r="CE224">
            <v>42.213319000000006</v>
          </cell>
          <cell r="CF224">
            <v>43.429230000000004</v>
          </cell>
        </row>
        <row r="225">
          <cell r="BA225">
            <v>18.165406000000001</v>
          </cell>
          <cell r="BB225">
            <v>18.581308</v>
          </cell>
          <cell r="BC225">
            <v>18.839803</v>
          </cell>
          <cell r="BD225">
            <v>18.558907999999999</v>
          </cell>
          <cell r="BE225">
            <v>18.345803</v>
          </cell>
          <cell r="BF225">
            <v>18.006</v>
          </cell>
          <cell r="BG225">
            <v>17.142783000000001</v>
          </cell>
          <cell r="BH225">
            <v>18.356116000000004</v>
          </cell>
          <cell r="BI225">
            <v>18.99831</v>
          </cell>
          <cell r="BJ225">
            <v>18.348972000000003</v>
          </cell>
          <cell r="BK225">
            <v>17.815504000000001</v>
          </cell>
          <cell r="BL225">
            <v>17.845571</v>
          </cell>
          <cell r="BM225">
            <v>18.097840999999999</v>
          </cell>
          <cell r="BN225">
            <v>18.370215999999999</v>
          </cell>
          <cell r="BO225">
            <v>18.0397</v>
          </cell>
          <cell r="BP225">
            <v>18.442170999999998</v>
          </cell>
          <cell r="BQ225">
            <v>18.428872999999999</v>
          </cell>
          <cell r="BR225">
            <v>18.510701000000001</v>
          </cell>
          <cell r="BS225">
            <v>19.394548999999998</v>
          </cell>
          <cell r="BT225">
            <v>20.091546999999998</v>
          </cell>
          <cell r="BU225">
            <v>21.852379000000003</v>
          </cell>
          <cell r="BV225">
            <v>22.7026</v>
          </cell>
          <cell r="BW225">
            <v>26.221133999999999</v>
          </cell>
          <cell r="BX225">
            <v>27.583189999999998</v>
          </cell>
          <cell r="BY225">
            <v>27.927223000000001</v>
          </cell>
          <cell r="BZ225">
            <v>28.463291000000002</v>
          </cell>
          <cell r="CA225">
            <v>30.942546</v>
          </cell>
          <cell r="CB225">
            <v>32.879222000000006</v>
          </cell>
          <cell r="CC225">
            <v>33.859833000000002</v>
          </cell>
          <cell r="CD225">
            <v>34.115299</v>
          </cell>
          <cell r="CE225">
            <v>33.242953</v>
          </cell>
          <cell r="CF225">
            <v>34.013351</v>
          </cell>
        </row>
        <row r="226">
          <cell r="BA226">
            <v>29.761959999999998</v>
          </cell>
          <cell r="BB226">
            <v>28.121229</v>
          </cell>
          <cell r="BC226">
            <v>29.357991999999999</v>
          </cell>
          <cell r="BD226">
            <v>26.426957999999999</v>
          </cell>
          <cell r="BE226">
            <v>27.956311000000003</v>
          </cell>
          <cell r="BF226">
            <v>26.930484</v>
          </cell>
          <cell r="BG226">
            <v>31.255559000000002</v>
          </cell>
          <cell r="BH226">
            <v>30.687445</v>
          </cell>
          <cell r="BI226">
            <v>32.044383000000003</v>
          </cell>
          <cell r="BJ226">
            <v>34.001866999999997</v>
          </cell>
          <cell r="BK226">
            <v>30.571215000000002</v>
          </cell>
          <cell r="BL226">
            <v>29.816195</v>
          </cell>
          <cell r="BM226">
            <v>26.770384999999997</v>
          </cell>
          <cell r="BN226">
            <v>25.406235000000002</v>
          </cell>
          <cell r="BO226">
            <v>25.697099999999999</v>
          </cell>
          <cell r="BP226">
            <v>26.068935000000003</v>
          </cell>
          <cell r="BQ226">
            <v>24.586209</v>
          </cell>
          <cell r="BR226">
            <v>26.089236</v>
          </cell>
          <cell r="BS226">
            <v>25.779205999999999</v>
          </cell>
          <cell r="BT226">
            <v>25.179307000000001</v>
          </cell>
          <cell r="BU226">
            <v>30.242736000000001</v>
          </cell>
          <cell r="BV226">
            <v>32.356965000000002</v>
          </cell>
          <cell r="BW226">
            <v>28.328073</v>
          </cell>
          <cell r="BX226">
            <v>31.090026999999999</v>
          </cell>
          <cell r="BY226">
            <v>29.877528999999999</v>
          </cell>
          <cell r="BZ226">
            <v>31.465627000000001</v>
          </cell>
          <cell r="CA226">
            <v>27.396784</v>
          </cell>
          <cell r="CB226">
            <v>27.243897</v>
          </cell>
          <cell r="CC226">
            <v>28.349800999999999</v>
          </cell>
          <cell r="CD226">
            <v>28.222065999999998</v>
          </cell>
          <cell r="CE226">
            <v>25.163345000000003</v>
          </cell>
          <cell r="CF226">
            <v>27.356321000000001</v>
          </cell>
        </row>
      </sheetData>
      <sheetData sheetId="80"/>
      <sheetData sheetId="81"/>
      <sheetData sheetId="82"/>
      <sheetData sheetId="83">
        <row r="3">
          <cell r="CR3">
            <v>9.4310700000000001</v>
          </cell>
          <cell r="CS3">
            <v>9.4310700000000001</v>
          </cell>
          <cell r="CT3">
            <v>9.4310700000000001</v>
          </cell>
          <cell r="CU3">
            <v>9.4310700000000001</v>
          </cell>
          <cell r="CV3">
            <v>9.4310700000000001</v>
          </cell>
          <cell r="CW3">
            <v>9.4310700000000001</v>
          </cell>
          <cell r="CX3">
            <v>9.4310700000000001</v>
          </cell>
          <cell r="CY3">
            <v>9.4310700000000001</v>
          </cell>
          <cell r="CZ3">
            <v>9.4310700000000001</v>
          </cell>
          <cell r="DA3">
            <v>9.4310700000000001</v>
          </cell>
          <cell r="DB3">
            <v>9.4310700000000001</v>
          </cell>
          <cell r="DC3">
            <v>9.4310700000000001</v>
          </cell>
          <cell r="DD3">
            <v>9.4310700000000001</v>
          </cell>
          <cell r="DE3">
            <v>9.4310700000000001</v>
          </cell>
          <cell r="DF3">
            <v>9.4310700000000001</v>
          </cell>
          <cell r="DG3">
            <v>9.4310700000000001</v>
          </cell>
          <cell r="DH3">
            <v>9.4310700000000001</v>
          </cell>
          <cell r="DI3">
            <v>9.4310700000000001</v>
          </cell>
          <cell r="DJ3">
            <v>9.4310700000000001</v>
          </cell>
          <cell r="DK3">
            <v>9.4310700000000001</v>
          </cell>
          <cell r="DL3">
            <v>9.4310700000000001</v>
          </cell>
          <cell r="DM3">
            <v>9.4310700000000001</v>
          </cell>
          <cell r="DN3">
            <v>9.4310700000000001</v>
          </cell>
          <cell r="DO3">
            <v>9.4310700000000001</v>
          </cell>
          <cell r="DP3">
            <v>9.4310700000000001</v>
          </cell>
          <cell r="DQ3">
            <v>9.4310700000000001</v>
          </cell>
          <cell r="DR3">
            <v>9.4310700000000001</v>
          </cell>
          <cell r="DS3">
            <v>9.4310700000000001</v>
          </cell>
          <cell r="DT3">
            <v>9.4310700000000001</v>
          </cell>
          <cell r="DU3">
            <v>9.4310700000000001</v>
          </cell>
          <cell r="DV3">
            <v>9.4310700000000001</v>
          </cell>
          <cell r="DW3">
            <v>9.4310700000000001</v>
          </cell>
        </row>
        <row r="4">
          <cell r="CR4">
            <v>1.5099388999999996</v>
          </cell>
          <cell r="CS4">
            <v>1.5099388999999996</v>
          </cell>
          <cell r="CT4">
            <v>1.5099388999999996</v>
          </cell>
          <cell r="CU4">
            <v>1.5099388999999996</v>
          </cell>
          <cell r="CV4">
            <v>1.5099388999999996</v>
          </cell>
          <cell r="CW4">
            <v>1.5099388999999996</v>
          </cell>
          <cell r="CX4">
            <v>1.5099388999999996</v>
          </cell>
          <cell r="CY4">
            <v>1.5099388999999996</v>
          </cell>
          <cell r="CZ4">
            <v>1.5099388999999996</v>
          </cell>
          <cell r="DA4">
            <v>1.5099388999999996</v>
          </cell>
          <cell r="DB4">
            <v>1.5099388999999996</v>
          </cell>
          <cell r="DC4">
            <v>1.5099388999999996</v>
          </cell>
          <cell r="DD4">
            <v>1.5099388999999996</v>
          </cell>
          <cell r="DE4">
            <v>1.5099388999999996</v>
          </cell>
          <cell r="DF4">
            <v>1.5099388999999996</v>
          </cell>
          <cell r="DG4">
            <v>1.5099388999999996</v>
          </cell>
          <cell r="DH4">
            <v>1.5099388999999996</v>
          </cell>
          <cell r="DI4">
            <v>1.5099388999999996</v>
          </cell>
          <cell r="DJ4">
            <v>1.5099388999999996</v>
          </cell>
          <cell r="DK4">
            <v>1.5099388999999996</v>
          </cell>
          <cell r="DL4">
            <v>1.6419587000000002</v>
          </cell>
          <cell r="DM4">
            <v>4.3715386999999994</v>
          </cell>
          <cell r="DN4">
            <v>5.3535786999999999</v>
          </cell>
          <cell r="DO4">
            <v>1.3449286999999999</v>
          </cell>
          <cell r="DP4">
            <v>1.2246086999999997</v>
          </cell>
          <cell r="DQ4">
            <v>1.2718487000000001</v>
          </cell>
          <cell r="DR4">
            <v>1.3455687000000003</v>
          </cell>
          <cell r="DS4">
            <v>1.4318900000000001</v>
          </cell>
          <cell r="DT4">
            <v>1.4318900000000001</v>
          </cell>
          <cell r="DU4">
            <v>1.4318900000000001</v>
          </cell>
          <cell r="DV4">
            <v>1.9532669816091968</v>
          </cell>
          <cell r="DW4">
            <v>1.9695025311753795</v>
          </cell>
        </row>
        <row r="5">
          <cell r="CR5">
            <v>-5.5545</v>
          </cell>
          <cell r="CS5">
            <v>-7.2429899999999998</v>
          </cell>
          <cell r="CT5">
            <v>-6.5244900000000001</v>
          </cell>
          <cell r="CU5">
            <v>-2.14459</v>
          </cell>
          <cell r="CV5">
            <v>23.317509999999999</v>
          </cell>
          <cell r="CW5">
            <v>-4.4379600000000003</v>
          </cell>
          <cell r="CX5">
            <v>-7.7065799999999998</v>
          </cell>
          <cell r="CY5">
            <v>-6.34483</v>
          </cell>
          <cell r="CZ5">
            <v>-5.0520100000000001</v>
          </cell>
          <cell r="DA5">
            <v>-4.54033</v>
          </cell>
          <cell r="DB5">
            <v>-2.5564299999999998</v>
          </cell>
          <cell r="DC5">
            <v>-7.4466800000000006</v>
          </cell>
          <cell r="DD5">
            <v>-7.83697</v>
          </cell>
          <cell r="DE5">
            <v>-7.68283</v>
          </cell>
          <cell r="DF5">
            <v>-5.5155200000000004</v>
          </cell>
          <cell r="DG5">
            <v>-5.6755200000000006</v>
          </cell>
          <cell r="DH5">
            <v>-7.12629</v>
          </cell>
          <cell r="DI5">
            <v>-3.8974099999999998</v>
          </cell>
          <cell r="DJ5">
            <v>-6.4474799999999997</v>
          </cell>
          <cell r="DK5">
            <v>-7.05246</v>
          </cell>
          <cell r="DL5">
            <v>-7.7258699999999996</v>
          </cell>
          <cell r="DM5">
            <v>-8.9248399999999997</v>
          </cell>
          <cell r="DN5">
            <v>-1.09023</v>
          </cell>
          <cell r="DO5">
            <v>-10.83835</v>
          </cell>
          <cell r="DP5">
            <v>-8.9046000000000003</v>
          </cell>
          <cell r="DQ5">
            <v>-12.194330000000001</v>
          </cell>
          <cell r="DR5">
            <v>-11.02069</v>
          </cell>
          <cell r="DS5">
            <v>-7.2347099999999998</v>
          </cell>
          <cell r="DT5">
            <v>-10.35957</v>
          </cell>
          <cell r="DU5">
            <v>-10.70734</v>
          </cell>
          <cell r="DV5">
            <v>-8.9334100000000003</v>
          </cell>
          <cell r="DW5">
            <v>-10.657188064516049</v>
          </cell>
        </row>
        <row r="6">
          <cell r="CR6">
            <v>-1.1499999999999999</v>
          </cell>
          <cell r="CS6">
            <v>-1.1499999999999999</v>
          </cell>
          <cell r="CT6">
            <v>-1.1499999999999999</v>
          </cell>
          <cell r="CU6">
            <v>-1.1499999999999999</v>
          </cell>
          <cell r="CV6">
            <v>-1.1499999999999999</v>
          </cell>
          <cell r="CW6">
            <v>-1.1499999999999999</v>
          </cell>
          <cell r="CX6">
            <v>-1.1499999999999999</v>
          </cell>
          <cell r="CY6">
            <v>-1.1499999999999999</v>
          </cell>
          <cell r="CZ6">
            <v>-1.1499999999999999</v>
          </cell>
          <cell r="DA6">
            <v>-1.1499999999999999</v>
          </cell>
          <cell r="DB6">
            <v>-1.1499999999999999</v>
          </cell>
          <cell r="DC6">
            <v>-1.0938571428571429</v>
          </cell>
          <cell r="DD6">
            <v>-1.0377142857142858</v>
          </cell>
          <cell r="DE6">
            <v>-0.98157142857142865</v>
          </cell>
          <cell r="DF6">
            <v>-0.92542857142857149</v>
          </cell>
          <cell r="DG6">
            <v>-0.86928571428571433</v>
          </cell>
          <cell r="DH6">
            <v>-0.81314285714285706</v>
          </cell>
          <cell r="DI6">
            <v>-0.75700000000000001</v>
          </cell>
          <cell r="DJ6">
            <v>-0.75700000000000001</v>
          </cell>
          <cell r="DK6">
            <v>-0.75700000000000001</v>
          </cell>
          <cell r="DL6">
            <v>-0.75700000000000001</v>
          </cell>
          <cell r="DM6">
            <v>-0.75700000000000001</v>
          </cell>
          <cell r="DN6">
            <v>-0.75700000000000001</v>
          </cell>
          <cell r="DO6">
            <v>-0.75700000000000001</v>
          </cell>
          <cell r="DP6">
            <v>-0.75700000000000001</v>
          </cell>
          <cell r="DQ6">
            <v>-0.75700000000000001</v>
          </cell>
          <cell r="DR6">
            <v>-0.75700000000000001</v>
          </cell>
          <cell r="DS6">
            <v>-0.75700000000000001</v>
          </cell>
          <cell r="DT6">
            <v>-0.75700000000000001</v>
          </cell>
          <cell r="DU6">
            <v>-0.75700000000000001</v>
          </cell>
          <cell r="DV6">
            <v>-0.75700000000000001</v>
          </cell>
          <cell r="DW6">
            <v>-0.63783225806452037</v>
          </cell>
        </row>
        <row r="7">
          <cell r="CR7">
            <v>-0.13000999999999999</v>
          </cell>
          <cell r="CS7">
            <v>-0.13015199999999999</v>
          </cell>
          <cell r="CT7">
            <v>-0.13029399999999999</v>
          </cell>
          <cell r="CU7">
            <v>-0.130436</v>
          </cell>
          <cell r="CV7">
            <v>-0.130578</v>
          </cell>
          <cell r="CW7">
            <v>-0.13072</v>
          </cell>
          <cell r="CX7">
            <v>-0.1328</v>
          </cell>
          <cell r="CY7">
            <v>-0.13488</v>
          </cell>
          <cell r="CZ7">
            <v>-0.13696</v>
          </cell>
          <cell r="DA7">
            <v>-0.13904</v>
          </cell>
          <cell r="DB7">
            <v>-0.14112</v>
          </cell>
          <cell r="DC7">
            <v>-0.14153399999999999</v>
          </cell>
          <cell r="DD7">
            <v>-0.14194799999999999</v>
          </cell>
          <cell r="DE7">
            <v>-0.14236199999999999</v>
          </cell>
          <cell r="DF7">
            <v>-0.14277599999999999</v>
          </cell>
          <cell r="DG7">
            <v>-0.14318999999999998</v>
          </cell>
          <cell r="DH7">
            <v>-0.14290999999999998</v>
          </cell>
          <cell r="DI7">
            <v>-0.14262999999999998</v>
          </cell>
          <cell r="DJ7">
            <v>-0.14234999999999998</v>
          </cell>
          <cell r="DK7">
            <v>-0.14206999999999997</v>
          </cell>
          <cell r="DL7">
            <v>-0.14179</v>
          </cell>
          <cell r="DM7">
            <v>-0.13575999999999999</v>
          </cell>
          <cell r="DN7">
            <v>-0.13586999999999999</v>
          </cell>
          <cell r="DO7">
            <v>-0.13525999999999999</v>
          </cell>
          <cell r="DP7">
            <v>-0.13527</v>
          </cell>
          <cell r="DQ7">
            <v>-0.13538</v>
          </cell>
          <cell r="DR7">
            <v>-0.13544999999999999</v>
          </cell>
          <cell r="DS7">
            <v>-0.1356</v>
          </cell>
          <cell r="DT7">
            <v>-0.13661999999999999</v>
          </cell>
          <cell r="DU7">
            <v>-0.13582</v>
          </cell>
          <cell r="DV7">
            <v>-0.14005073563218395</v>
          </cell>
          <cell r="DW7">
            <v>-0.14024415943641083</v>
          </cell>
        </row>
        <row r="8">
          <cell r="CR8">
            <v>40.062605000000005</v>
          </cell>
          <cell r="CS8">
            <v>40.062605000000005</v>
          </cell>
          <cell r="CT8">
            <v>40.062605000000005</v>
          </cell>
          <cell r="CU8">
            <v>40.062605000000005</v>
          </cell>
          <cell r="CV8">
            <v>40.062605000000005</v>
          </cell>
          <cell r="CW8">
            <v>40.062605000000005</v>
          </cell>
          <cell r="CX8">
            <v>40.062605000000005</v>
          </cell>
          <cell r="CY8">
            <v>40.062605000000005</v>
          </cell>
          <cell r="CZ8">
            <v>40.062605000000005</v>
          </cell>
          <cell r="DA8">
            <v>40.062605000000005</v>
          </cell>
          <cell r="DB8">
            <v>40.062605000000005</v>
          </cell>
          <cell r="DC8">
            <v>40.062605000000005</v>
          </cell>
          <cell r="DD8">
            <v>40.062605000000005</v>
          </cell>
          <cell r="DE8">
            <v>40.062605000000005</v>
          </cell>
          <cell r="DF8">
            <v>40.062605000000005</v>
          </cell>
          <cell r="DG8">
            <v>40.062605000000005</v>
          </cell>
          <cell r="DH8">
            <v>39.907396999999996</v>
          </cell>
          <cell r="DI8">
            <v>40.153357000000007</v>
          </cell>
          <cell r="DJ8">
            <v>40.065406000000003</v>
          </cell>
          <cell r="DK8">
            <v>40.233865999999999</v>
          </cell>
          <cell r="DL8">
            <v>40.189886000000001</v>
          </cell>
          <cell r="DM8">
            <v>70.552361000000005</v>
          </cell>
          <cell r="DN8">
            <v>70.392155000000002</v>
          </cell>
          <cell r="DO8">
            <v>70.417382000000003</v>
          </cell>
          <cell r="DP8">
            <v>70.432479000000001</v>
          </cell>
          <cell r="DQ8">
            <v>70.360441999999992</v>
          </cell>
          <cell r="DR8">
            <v>70.430964000000003</v>
          </cell>
          <cell r="DS8">
            <v>70.406683999999998</v>
          </cell>
          <cell r="DT8">
            <v>70.409589999999994</v>
          </cell>
          <cell r="DU8">
            <v>67.300693256157501</v>
          </cell>
          <cell r="DV8">
            <v>68.557627636453162</v>
          </cell>
          <cell r="DW8">
            <v>69.814562016748823</v>
          </cell>
        </row>
        <row r="9">
          <cell r="CR9">
            <v>0</v>
          </cell>
          <cell r="CS9">
            <v>0</v>
          </cell>
          <cell r="CT9">
            <v>0</v>
          </cell>
          <cell r="CU9">
            <v>0</v>
          </cell>
          <cell r="CV9">
            <v>0</v>
          </cell>
          <cell r="CW9">
            <v>0</v>
          </cell>
          <cell r="CX9">
            <v>0</v>
          </cell>
          <cell r="CY9">
            <v>0</v>
          </cell>
          <cell r="CZ9">
            <v>0</v>
          </cell>
          <cell r="DA9">
            <v>0</v>
          </cell>
          <cell r="DB9">
            <v>0</v>
          </cell>
          <cell r="DC9">
            <v>0</v>
          </cell>
          <cell r="DD9">
            <v>0</v>
          </cell>
          <cell r="DE9">
            <v>0</v>
          </cell>
          <cell r="DF9">
            <v>0</v>
          </cell>
          <cell r="DG9">
            <v>0</v>
          </cell>
          <cell r="DH9">
            <v>0</v>
          </cell>
          <cell r="DI9">
            <v>0</v>
          </cell>
          <cell r="DJ9">
            <v>0</v>
          </cell>
          <cell r="DK9">
            <v>0</v>
          </cell>
          <cell r="DL9">
            <v>0</v>
          </cell>
          <cell r="DM9">
            <v>0</v>
          </cell>
          <cell r="DN9">
            <v>0</v>
          </cell>
          <cell r="DO9">
            <v>0</v>
          </cell>
          <cell r="DP9">
            <v>0</v>
          </cell>
          <cell r="DQ9">
            <v>0</v>
          </cell>
          <cell r="DR9">
            <v>0</v>
          </cell>
          <cell r="DS9">
            <v>0</v>
          </cell>
          <cell r="DT9">
            <v>0</v>
          </cell>
          <cell r="DU9">
            <v>0</v>
          </cell>
          <cell r="DV9">
            <v>0</v>
          </cell>
          <cell r="DW9">
            <v>0</v>
          </cell>
        </row>
        <row r="11">
          <cell r="CR11">
            <v>-0.66449999999999998</v>
          </cell>
          <cell r="CS11">
            <v>-0.63493999999999995</v>
          </cell>
          <cell r="CT11">
            <v>-0.60537999999999992</v>
          </cell>
          <cell r="CU11">
            <v>-0.57581999999999989</v>
          </cell>
          <cell r="CV11">
            <v>-0.54625999999999986</v>
          </cell>
          <cell r="CW11">
            <v>-0.51670000000000005</v>
          </cell>
          <cell r="CX11">
            <v>-0.50752000000000008</v>
          </cell>
          <cell r="CY11">
            <v>-0.49834000000000006</v>
          </cell>
          <cell r="CZ11">
            <v>-0.48916000000000004</v>
          </cell>
          <cell r="DA11">
            <v>-0.47998000000000002</v>
          </cell>
          <cell r="DB11">
            <v>-0.4708</v>
          </cell>
          <cell r="DC11">
            <v>-0.45139999999999997</v>
          </cell>
          <cell r="DD11">
            <v>-0.46250000000000002</v>
          </cell>
          <cell r="DE11">
            <v>-0.45400000000000001</v>
          </cell>
          <cell r="DF11">
            <v>-0.497</v>
          </cell>
          <cell r="DG11">
            <v>-0.52679999999999993</v>
          </cell>
          <cell r="DH11">
            <v>-0.52710000000000001</v>
          </cell>
          <cell r="DI11">
            <v>-0.56989999999999996</v>
          </cell>
          <cell r="DJ11">
            <v>-0.56399999999999995</v>
          </cell>
          <cell r="DK11">
            <v>-0.55320000000000003</v>
          </cell>
          <cell r="DL11">
            <v>-0.55289999999999995</v>
          </cell>
          <cell r="DM11">
            <v>-0.54689999999999994</v>
          </cell>
          <cell r="DN11">
            <v>-0.52210000000000001</v>
          </cell>
          <cell r="DO11">
            <v>-0.53070000000000006</v>
          </cell>
          <cell r="DP11">
            <v>-0.53420000000000001</v>
          </cell>
          <cell r="DQ11">
            <v>-0.53320000000000001</v>
          </cell>
          <cell r="DR11">
            <v>-0.54100000000000004</v>
          </cell>
          <cell r="DS11">
            <v>-0.52400000000000002</v>
          </cell>
          <cell r="DT11">
            <v>-0.51234682539682552</v>
          </cell>
          <cell r="DU11">
            <v>-0.51103010399562132</v>
          </cell>
          <cell r="DV11">
            <v>-0.50971338259441712</v>
          </cell>
          <cell r="DW11">
            <v>-0.50839666119321292</v>
          </cell>
        </row>
        <row r="12">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v>0</v>
          </cell>
          <cell r="DU12">
            <v>0</v>
          </cell>
          <cell r="DV12">
            <v>0</v>
          </cell>
          <cell r="DW12">
            <v>0</v>
          </cell>
        </row>
        <row r="14">
          <cell r="CR14">
            <v>-12.218915444174236</v>
          </cell>
          <cell r="CS14">
            <v>-19.212583727776305</v>
          </cell>
          <cell r="CT14">
            <v>-9.5347696609854378</v>
          </cell>
          <cell r="CU14">
            <v>-17.074870872109138</v>
          </cell>
          <cell r="CV14">
            <v>-9.6836010928015028</v>
          </cell>
          <cell r="CW14">
            <v>-19.783361181875414</v>
          </cell>
          <cell r="CX14">
            <v>-18.868144239059287</v>
          </cell>
          <cell r="CY14">
            <v>-22.690816353112005</v>
          </cell>
          <cell r="CZ14">
            <v>-19.265985333689795</v>
          </cell>
          <cell r="DA14">
            <v>-20.488042192149198</v>
          </cell>
          <cell r="DB14">
            <v>-14.295946433750492</v>
          </cell>
          <cell r="DC14">
            <v>-29.438612546149621</v>
          </cell>
          <cell r="DD14">
            <v>-13.1964004266288</v>
          </cell>
          <cell r="DE14">
            <v>-15.313622102924663</v>
          </cell>
          <cell r="DF14">
            <v>-22.437328557431133</v>
          </cell>
          <cell r="DG14">
            <v>-18.430543086683961</v>
          </cell>
          <cell r="DH14">
            <v>-9.0851420926191526</v>
          </cell>
          <cell r="DI14">
            <v>-5.6945434105043589</v>
          </cell>
          <cell r="DJ14">
            <v>-12.3858845076933</v>
          </cell>
          <cell r="DK14">
            <v>-8.0615929157716728</v>
          </cell>
          <cell r="DL14">
            <v>-19.771762687539784</v>
          </cell>
          <cell r="DM14">
            <v>-15.372538089804824</v>
          </cell>
          <cell r="DN14">
            <v>-5.7800352245990636</v>
          </cell>
          <cell r="DO14">
            <v>-6.2546992565707606</v>
          </cell>
          <cell r="DP14">
            <v>-7.6244389218812101</v>
          </cell>
          <cell r="DQ14">
            <v>-6.5752725743058118</v>
          </cell>
          <cell r="DR14">
            <v>-7.0049547712855009</v>
          </cell>
          <cell r="DS14">
            <v>-3.2616030593913363</v>
          </cell>
          <cell r="DT14">
            <v>4.9088410614632956</v>
          </cell>
          <cell r="DU14">
            <v>2.1205724814188196</v>
          </cell>
          <cell r="DV14">
            <v>-5.2338985189962326</v>
          </cell>
          <cell r="DW14">
            <v>-10.413110277530894</v>
          </cell>
        </row>
        <row r="15">
          <cell r="CR15">
            <v>-3.69</v>
          </cell>
          <cell r="CS15">
            <v>-3.4432</v>
          </cell>
          <cell r="CT15">
            <v>-3.1964000000000001</v>
          </cell>
          <cell r="CU15">
            <v>-2.9496000000000002</v>
          </cell>
          <cell r="CV15">
            <v>-2.7028000000000003</v>
          </cell>
          <cell r="CW15">
            <v>-2.456</v>
          </cell>
          <cell r="CX15">
            <v>-2.9388000000000001</v>
          </cell>
          <cell r="CY15">
            <v>-3.4216000000000002</v>
          </cell>
          <cell r="CZ15">
            <v>-3.9044000000000003</v>
          </cell>
          <cell r="DA15">
            <v>-4.3872</v>
          </cell>
          <cell r="DB15">
            <v>-4.87</v>
          </cell>
          <cell r="DC15">
            <v>-4.9657999999999998</v>
          </cell>
          <cell r="DD15">
            <v>-5.0615999999999994</v>
          </cell>
          <cell r="DE15">
            <v>-5.1573999999999991</v>
          </cell>
          <cell r="DF15">
            <v>-5.2531999999999988</v>
          </cell>
          <cell r="DG15">
            <v>-5.3490000000000002</v>
          </cell>
          <cell r="DH15">
            <v>-5.3612000000000002</v>
          </cell>
          <cell r="DI15">
            <v>-5.3734000000000002</v>
          </cell>
          <cell r="DJ15">
            <v>-5.3856000000000002</v>
          </cell>
          <cell r="DK15">
            <v>-5.3978000000000002</v>
          </cell>
          <cell r="DL15">
            <v>-5.41</v>
          </cell>
          <cell r="DM15">
            <v>-5.7729999999999997</v>
          </cell>
          <cell r="DN15">
            <v>-6.0819999999999999</v>
          </cell>
          <cell r="DO15">
            <v>-6.335</v>
          </cell>
          <cell r="DP15">
            <v>-7.0439999999999996</v>
          </cell>
          <cell r="DQ15">
            <v>-7.1189999999999998</v>
          </cell>
          <cell r="DR15">
            <v>-7.2240000000000002</v>
          </cell>
          <cell r="DS15">
            <v>-7.0986438746438694</v>
          </cell>
          <cell r="DT15">
            <v>-7.2611078551078663</v>
          </cell>
          <cell r="DU15">
            <v>-7.4235718355718063</v>
          </cell>
          <cell r="DV15">
            <v>-7.5860358160358032</v>
          </cell>
          <cell r="DW15">
            <v>-7.7484997964998001</v>
          </cell>
        </row>
        <row r="16">
          <cell r="CR16">
            <v>2.3775999999999997</v>
          </cell>
          <cell r="CS16">
            <v>2.3775999999999997</v>
          </cell>
          <cell r="CT16">
            <v>2.3775999999999997</v>
          </cell>
          <cell r="CU16">
            <v>2.3775999999999997</v>
          </cell>
          <cell r="CV16">
            <v>2.3775999999999997</v>
          </cell>
          <cell r="CW16">
            <v>2.3775999999999997</v>
          </cell>
          <cell r="CX16">
            <v>2.3775999999999997</v>
          </cell>
          <cell r="CY16">
            <v>2.3775999999999997</v>
          </cell>
          <cell r="CZ16">
            <v>2.3775999999999997</v>
          </cell>
          <cell r="DA16">
            <v>2.3775999999999997</v>
          </cell>
          <cell r="DB16">
            <v>2.3775999999999997</v>
          </cell>
          <cell r="DC16">
            <v>2.3775999999999997</v>
          </cell>
          <cell r="DD16">
            <v>2.3775999999999997</v>
          </cell>
          <cell r="DE16">
            <v>2.3775999999999997</v>
          </cell>
          <cell r="DF16">
            <v>2.3775999999999997</v>
          </cell>
          <cell r="DG16">
            <v>0.95565999999999995</v>
          </cell>
          <cell r="DH16">
            <v>0.95565999999999995</v>
          </cell>
          <cell r="DI16">
            <v>0.95565999999999995</v>
          </cell>
          <cell r="DJ16">
            <v>0.95565999999999995</v>
          </cell>
          <cell r="DK16">
            <v>0.95565999999999995</v>
          </cell>
          <cell r="DL16">
            <v>3.0428200000000003</v>
          </cell>
          <cell r="DM16">
            <v>3.0428200000000003</v>
          </cell>
          <cell r="DN16">
            <v>3.0428200000000003</v>
          </cell>
          <cell r="DO16">
            <v>3.0428200000000003</v>
          </cell>
          <cell r="DP16">
            <v>3.0428200000000003</v>
          </cell>
          <cell r="DQ16">
            <v>2.9791099999999999</v>
          </cell>
          <cell r="DR16">
            <v>2.9791099999999999</v>
          </cell>
          <cell r="DS16">
            <v>2.9791099999999999</v>
          </cell>
          <cell r="DT16">
            <v>2.9791099999999999</v>
          </cell>
          <cell r="DU16">
            <v>2.5913432512315282</v>
          </cell>
          <cell r="DV16">
            <v>2.6087596059113309</v>
          </cell>
          <cell r="DW16">
            <v>2.6261759605911408</v>
          </cell>
        </row>
        <row r="17">
          <cell r="CR17">
            <v>-2.4799999999999999E-2</v>
          </cell>
          <cell r="CS17">
            <v>-2.4799999999999999E-2</v>
          </cell>
          <cell r="CT17">
            <v>-2.4799999999999999E-2</v>
          </cell>
          <cell r="CU17">
            <v>-2.4799999999999999E-2</v>
          </cell>
          <cell r="CV17">
            <v>-2.4799999999999999E-2</v>
          </cell>
          <cell r="CW17">
            <v>-2.4799999999999999E-2</v>
          </cell>
          <cell r="CX17">
            <v>-2.4799999999999999E-2</v>
          </cell>
          <cell r="CY17">
            <v>-2.4799999999999999E-2</v>
          </cell>
          <cell r="CZ17">
            <v>-2.4799999999999999E-2</v>
          </cell>
          <cell r="DA17">
            <v>-2.4799999999999999E-2</v>
          </cell>
          <cell r="DB17">
            <v>-2.4799999999999999E-2</v>
          </cell>
          <cell r="DC17">
            <v>-2.4799999999999999E-2</v>
          </cell>
          <cell r="DD17">
            <v>-2.4799999999999999E-2</v>
          </cell>
          <cell r="DE17">
            <v>-2.4799999999999999E-2</v>
          </cell>
          <cell r="DF17">
            <v>-2.4799999999999999E-2</v>
          </cell>
          <cell r="DG17">
            <v>-2.4799999999999999E-2</v>
          </cell>
          <cell r="DH17">
            <v>-2.4799999999999999E-2</v>
          </cell>
          <cell r="DI17">
            <v>-2.4799999999999992E-2</v>
          </cell>
          <cell r="DJ17">
            <v>-2.4799999999999992E-2</v>
          </cell>
          <cell r="DK17">
            <v>-2.4799999999999989E-2</v>
          </cell>
          <cell r="DL17">
            <v>-2.4799999999999989E-2</v>
          </cell>
          <cell r="DM17">
            <v>-2.4799999999999989E-2</v>
          </cell>
          <cell r="DN17">
            <v>-2.4799999999999985E-2</v>
          </cell>
          <cell r="DO17">
            <v>-2.4799999999999989E-2</v>
          </cell>
          <cell r="DP17">
            <v>-2.4799999999999982E-2</v>
          </cell>
          <cell r="DQ17">
            <v>-2.4799999999999978E-2</v>
          </cell>
          <cell r="DR17">
            <v>-2.4799999999999975E-2</v>
          </cell>
          <cell r="DS17">
            <v>-2.4799999999999971E-2</v>
          </cell>
          <cell r="DT17">
            <v>-2.4799999999999971E-2</v>
          </cell>
          <cell r="DU17">
            <v>-2.4799999999999964E-2</v>
          </cell>
          <cell r="DV17">
            <v>-2.4799999999999964E-2</v>
          </cell>
          <cell r="DW17">
            <v>-2.4799999999999957E-2</v>
          </cell>
        </row>
        <row r="18">
          <cell r="CR18">
            <v>6.23292</v>
          </cell>
          <cell r="CS18">
            <v>6.23292</v>
          </cell>
          <cell r="CT18">
            <v>6.23292</v>
          </cell>
          <cell r="CU18">
            <v>6.23292</v>
          </cell>
          <cell r="CV18">
            <v>6.23292</v>
          </cell>
          <cell r="CW18">
            <v>6.23292</v>
          </cell>
          <cell r="CX18">
            <v>6.23292</v>
          </cell>
          <cell r="CY18">
            <v>6.23292</v>
          </cell>
          <cell r="CZ18">
            <v>6.23292</v>
          </cell>
          <cell r="DA18">
            <v>6.23292</v>
          </cell>
          <cell r="DB18">
            <v>6.23292</v>
          </cell>
          <cell r="DC18">
            <v>6.23292</v>
          </cell>
          <cell r="DD18">
            <v>6.23292</v>
          </cell>
          <cell r="DE18">
            <v>6.23292</v>
          </cell>
          <cell r="DF18">
            <v>6.23292</v>
          </cell>
          <cell r="DG18">
            <v>6.23292</v>
          </cell>
          <cell r="DH18">
            <v>6.23292</v>
          </cell>
          <cell r="DI18">
            <v>6.23292</v>
          </cell>
          <cell r="DJ18">
            <v>6.23292</v>
          </cell>
          <cell r="DK18">
            <v>6.23292</v>
          </cell>
          <cell r="DL18">
            <v>6.23292</v>
          </cell>
          <cell r="DM18">
            <v>6.23292</v>
          </cell>
          <cell r="DN18">
            <v>6.23292</v>
          </cell>
          <cell r="DO18">
            <v>6.23292</v>
          </cell>
          <cell r="DP18">
            <v>7.03817</v>
          </cell>
          <cell r="DQ18">
            <v>7.8105799999999999</v>
          </cell>
          <cell r="DR18">
            <v>8.4649999999999999</v>
          </cell>
          <cell r="DS18">
            <v>9.5261899999999997</v>
          </cell>
          <cell r="DT18">
            <v>10.15959</v>
          </cell>
          <cell r="DU18">
            <v>10.769600000000001</v>
          </cell>
          <cell r="DV18">
            <v>8.2258265747126416</v>
          </cell>
          <cell r="DW18">
            <v>8.3191934289951917</v>
          </cell>
        </row>
        <row r="19">
          <cell r="CR19">
            <v>-1.0999999999999999E-2</v>
          </cell>
          <cell r="CS19">
            <v>-1.0999999999999999E-2</v>
          </cell>
          <cell r="CT19">
            <v>-1.0999999999999999E-2</v>
          </cell>
          <cell r="CU19">
            <v>-1.0999999999999999E-2</v>
          </cell>
          <cell r="CV19">
            <v>-1.0999999999999999E-2</v>
          </cell>
          <cell r="CW19">
            <v>-1.0999999999999999E-2</v>
          </cell>
          <cell r="CX19">
            <v>-1.0999999999999999E-2</v>
          </cell>
          <cell r="CY19">
            <v>-1.0999999999999999E-2</v>
          </cell>
          <cell r="CZ19">
            <v>-2.2333333333333334E-2</v>
          </cell>
          <cell r="DA19">
            <v>-3.3666666666666664E-2</v>
          </cell>
          <cell r="DB19">
            <v>-4.4999999999999998E-2</v>
          </cell>
          <cell r="DC19">
            <v>-4.4999999999999998E-2</v>
          </cell>
          <cell r="DD19">
            <v>-4.4999999999999998E-2</v>
          </cell>
          <cell r="DE19">
            <v>-4.4999999999999998E-2</v>
          </cell>
          <cell r="DF19">
            <v>-4.5999999999999999E-2</v>
          </cell>
          <cell r="DG19">
            <v>-5.2999999999999999E-2</v>
          </cell>
          <cell r="DH19">
            <v>-4.7E-2</v>
          </cell>
          <cell r="DI19">
            <v>-4.8000000000000001E-2</v>
          </cell>
          <cell r="DJ19">
            <v>-4.9000000000000002E-2</v>
          </cell>
          <cell r="DK19">
            <v>-0.05</v>
          </cell>
          <cell r="DL19">
            <v>-5.9000000000000004E-2</v>
          </cell>
          <cell r="DM19">
            <v>-6.2457142857143211E-2</v>
          </cell>
          <cell r="DN19">
            <v>-6.5208658008658382E-2</v>
          </cell>
          <cell r="DO19">
            <v>-6.7960173160173554E-2</v>
          </cell>
          <cell r="DP19">
            <v>-7.0711688311687837E-2</v>
          </cell>
          <cell r="DQ19">
            <v>-7.3463203463203897E-2</v>
          </cell>
          <cell r="DR19">
            <v>-7.621471861471818E-2</v>
          </cell>
          <cell r="DS19">
            <v>-7.896623376623424E-2</v>
          </cell>
          <cell r="DT19">
            <v>-8.1717748917748523E-2</v>
          </cell>
          <cell r="DU19">
            <v>-8.4469264069264582E-2</v>
          </cell>
          <cell r="DV19">
            <v>-8.7220779220778866E-2</v>
          </cell>
          <cell r="DW19">
            <v>-8.9972294372294925E-2</v>
          </cell>
        </row>
        <row r="20">
          <cell r="CR20">
            <v>-29.399078384002369</v>
          </cell>
          <cell r="CS20">
            <v>-29.629991682722022</v>
          </cell>
          <cell r="CT20">
            <v>-28.381999213039379</v>
          </cell>
          <cell r="CU20">
            <v>-21.736966972488432</v>
          </cell>
          <cell r="CV20">
            <v>-30.1597104889997</v>
          </cell>
          <cell r="CW20">
            <v>-29.937292497370091</v>
          </cell>
          <cell r="CX20">
            <v>-29.386127696721459</v>
          </cell>
          <cell r="CY20">
            <v>-28.696237297747064</v>
          </cell>
          <cell r="CZ20">
            <v>-27.240211319010651</v>
          </cell>
          <cell r="DA20">
            <v>-33.388002600845184</v>
          </cell>
          <cell r="DB20">
            <v>-34.637771736339644</v>
          </cell>
          <cell r="DC20">
            <v>-33.718627548109708</v>
          </cell>
          <cell r="DD20">
            <v>-32.11399227942232</v>
          </cell>
          <cell r="DE20">
            <v>-29.461680466136553</v>
          </cell>
          <cell r="DF20">
            <v>-31.979990340992433</v>
          </cell>
          <cell r="DG20">
            <v>-34.074534857680419</v>
          </cell>
          <cell r="DH20">
            <v>-36.809911336840202</v>
          </cell>
          <cell r="DI20">
            <v>-39.149677522659545</v>
          </cell>
          <cell r="DJ20">
            <v>-39.543532403806616</v>
          </cell>
          <cell r="DK20">
            <v>-42.718460892748041</v>
          </cell>
          <cell r="DL20">
            <v>-46.146215735201643</v>
          </cell>
          <cell r="DM20">
            <v>-45.228001509832595</v>
          </cell>
          <cell r="DN20">
            <v>-43.44662138271687</v>
          </cell>
          <cell r="DO20">
            <v>-46.019840676164307</v>
          </cell>
          <cell r="DP20">
            <v>-45.602417371607793</v>
          </cell>
          <cell r="DQ20">
            <v>-43.808659689530721</v>
          </cell>
          <cell r="DR20">
            <v>-40.113540800078944</v>
          </cell>
          <cell r="DS20">
            <v>-36.961139427605723</v>
          </cell>
          <cell r="DT20">
            <v>-39.91239077414594</v>
          </cell>
          <cell r="DU20">
            <v>-35.63020685934481</v>
          </cell>
          <cell r="DV20">
            <v>-37.448417533237354</v>
          </cell>
          <cell r="DW20">
            <v>-43.073284186682045</v>
          </cell>
        </row>
        <row r="21">
          <cell r="CR21">
            <v>-2.9371105328958218</v>
          </cell>
          <cell r="CS21">
            <v>-2.4723417225926116</v>
          </cell>
          <cell r="CT21">
            <v>-2.2928236971946463</v>
          </cell>
          <cell r="CU21">
            <v>-2.3102151201349979</v>
          </cell>
          <cell r="CV21">
            <v>-2.0589345266743493</v>
          </cell>
          <cell r="CW21">
            <v>-2.2883050778109899</v>
          </cell>
          <cell r="CX21">
            <v>-2.4852435248891154</v>
          </cell>
          <cell r="CY21">
            <v>-2.0347056085374509</v>
          </cell>
          <cell r="CZ21">
            <v>-2.5915526583895141</v>
          </cell>
          <cell r="DA21">
            <v>-2.114841969216001</v>
          </cell>
          <cell r="DB21">
            <v>-1.6939745191342346</v>
          </cell>
          <cell r="DC21">
            <v>-1.5230547801834018</v>
          </cell>
          <cell r="DD21">
            <v>-2.1163726482154122</v>
          </cell>
          <cell r="DE21">
            <v>-2.0109944805764193</v>
          </cell>
          <cell r="DF21">
            <v>-1.7198625738177147</v>
          </cell>
          <cell r="DG21">
            <v>-1.7801209316499087</v>
          </cell>
          <cell r="DH21">
            <v>-1.7572275151522729</v>
          </cell>
          <cell r="DI21">
            <v>-1.4555000575260069</v>
          </cell>
          <cell r="DJ21">
            <v>-1.3822520709158992</v>
          </cell>
          <cell r="DK21">
            <v>-1.2095218354094404</v>
          </cell>
          <cell r="DL21">
            <v>-0.38017394861708148</v>
          </cell>
          <cell r="DM21">
            <v>-0.30976604787519413</v>
          </cell>
          <cell r="DN21">
            <v>-0.29514061609701381</v>
          </cell>
          <cell r="DO21">
            <v>-0.94273440099834604</v>
          </cell>
          <cell r="DP21">
            <v>-0.92584212032911639</v>
          </cell>
          <cell r="DQ21">
            <v>-0.87487334049433418</v>
          </cell>
          <cell r="DR21">
            <v>-0.78721114036442863</v>
          </cell>
          <cell r="DS21">
            <v>-0.66424818165098598</v>
          </cell>
          <cell r="DT21">
            <v>-0.62734688318000476</v>
          </cell>
          <cell r="DU21">
            <v>-0.49971316436229141</v>
          </cell>
          <cell r="DV21">
            <v>-0.35387688274222762</v>
          </cell>
          <cell r="DW21">
            <v>-0.34309454335841871</v>
          </cell>
        </row>
        <row r="22">
          <cell r="CR22">
            <v>-14.575091</v>
          </cell>
          <cell r="CS22">
            <v>-14.575091</v>
          </cell>
          <cell r="CT22">
            <v>-14.575091</v>
          </cell>
          <cell r="CU22">
            <v>-14.575091</v>
          </cell>
          <cell r="CV22">
            <v>-14.575091</v>
          </cell>
          <cell r="CW22">
            <v>-14.424131666666668</v>
          </cell>
          <cell r="CX22">
            <v>-14.273172333333335</v>
          </cell>
          <cell r="CY22">
            <v>-14.122213</v>
          </cell>
          <cell r="CZ22">
            <v>-13.984313999999999</v>
          </cell>
          <cell r="DA22">
            <v>-13.846414999999999</v>
          </cell>
          <cell r="DB22">
            <v>-13.708515999999999</v>
          </cell>
          <cell r="DC22">
            <v>-13.105831666666667</v>
          </cell>
          <cell r="DD22">
            <v>-12.503147333333335</v>
          </cell>
          <cell r="DE22">
            <v>-11.900463</v>
          </cell>
          <cell r="DF22">
            <v>-11.722789666666667</v>
          </cell>
          <cell r="DG22">
            <v>-11.545116333333334</v>
          </cell>
          <cell r="DH22">
            <v>-11.367443</v>
          </cell>
          <cell r="DI22">
            <v>-10.926786333333332</v>
          </cell>
          <cell r="DJ22">
            <v>-10.486129666666665</v>
          </cell>
          <cell r="DK22">
            <v>-10.045472999999999</v>
          </cell>
          <cell r="DL22">
            <v>-9.360001333333333</v>
          </cell>
          <cell r="DM22">
            <v>-8.6745296666666665</v>
          </cell>
          <cell r="DN22">
            <v>-7.989058</v>
          </cell>
          <cell r="DO22">
            <v>-7.416086</v>
          </cell>
          <cell r="DP22">
            <v>-6.8431139999999999</v>
          </cell>
          <cell r="DQ22">
            <v>-6.2701419999999999</v>
          </cell>
          <cell r="DR22">
            <v>-6.5650499999999994</v>
          </cell>
          <cell r="DS22">
            <v>-6.8599579999999998</v>
          </cell>
          <cell r="DT22">
            <v>-10.952068000000001</v>
          </cell>
          <cell r="DU22">
            <v>-8.8486270000000005</v>
          </cell>
          <cell r="DV22">
            <v>-6.7078298091954593</v>
          </cell>
          <cell r="DW22">
            <v>-6.4080854291436253</v>
          </cell>
        </row>
        <row r="23">
          <cell r="CR23">
            <v>-4.3294700000000006</v>
          </cell>
          <cell r="CS23">
            <v>-4.3154320000000004</v>
          </cell>
          <cell r="CT23">
            <v>-4.3013940000000002</v>
          </cell>
          <cell r="CU23">
            <v>-4.2873559999999999</v>
          </cell>
          <cell r="CV23">
            <v>-4.2733179999999997</v>
          </cell>
          <cell r="CW23">
            <v>-4.2592799999999995</v>
          </cell>
          <cell r="CX23">
            <v>-3.9583259999999996</v>
          </cell>
          <cell r="CY23">
            <v>-3.6573719999999996</v>
          </cell>
          <cell r="CZ23">
            <v>-3.3564179999999997</v>
          </cell>
          <cell r="DA23">
            <v>-3.0554639999999997</v>
          </cell>
          <cell r="DB23">
            <v>-2.7545100000000002</v>
          </cell>
          <cell r="DC23">
            <v>-2.8638780000000001</v>
          </cell>
          <cell r="DD23">
            <v>-2.9732460000000001</v>
          </cell>
          <cell r="DE23">
            <v>-3.082614</v>
          </cell>
          <cell r="DF23">
            <v>-3.1919819999999999</v>
          </cell>
          <cell r="DG23">
            <v>-3.3013499999999998</v>
          </cell>
          <cell r="DH23">
            <v>-3.5970219999999999</v>
          </cell>
          <cell r="DI23">
            <v>-3.8926940000000001</v>
          </cell>
          <cell r="DJ23">
            <v>-4.1883660000000003</v>
          </cell>
          <cell r="DK23">
            <v>-4.484038</v>
          </cell>
          <cell r="DL23">
            <v>-4.7797099999999997</v>
          </cell>
          <cell r="DM23">
            <v>-3.7430700000000003</v>
          </cell>
          <cell r="DN23">
            <v>-4.0503</v>
          </cell>
          <cell r="DO23">
            <v>-3.66987</v>
          </cell>
          <cell r="DP23">
            <v>-4.0996999999999995</v>
          </cell>
          <cell r="DQ23">
            <v>-3.9598100000000001</v>
          </cell>
          <cell r="DR23">
            <v>-3.7484301846153842</v>
          </cell>
          <cell r="DS23">
            <v>-3.7456757538461556</v>
          </cell>
          <cell r="DT23">
            <v>-3.7429213230769234</v>
          </cell>
          <cell r="DU23">
            <v>-3.7401668923076938</v>
          </cell>
          <cell r="DV23">
            <v>-3.7374124615384625</v>
          </cell>
          <cell r="DW23">
            <v>-3.7346580307692339</v>
          </cell>
        </row>
        <row r="24">
          <cell r="CR24">
            <v>0</v>
          </cell>
          <cell r="CS24">
            <v>0</v>
          </cell>
          <cell r="CT24">
            <v>0</v>
          </cell>
          <cell r="CU24">
            <v>0</v>
          </cell>
          <cell r="CV24">
            <v>0</v>
          </cell>
          <cell r="CW24">
            <v>0</v>
          </cell>
          <cell r="CX24">
            <v>0</v>
          </cell>
          <cell r="CY24">
            <v>0</v>
          </cell>
          <cell r="CZ24">
            <v>0</v>
          </cell>
          <cell r="DA24">
            <v>0</v>
          </cell>
          <cell r="DB24">
            <v>0</v>
          </cell>
          <cell r="DC24">
            <v>0</v>
          </cell>
          <cell r="DD24">
            <v>0</v>
          </cell>
          <cell r="DE24">
            <v>0</v>
          </cell>
          <cell r="DF24">
            <v>0</v>
          </cell>
          <cell r="DG24">
            <v>0</v>
          </cell>
          <cell r="DH24">
            <v>0</v>
          </cell>
          <cell r="DI24">
            <v>0</v>
          </cell>
          <cell r="DJ24">
            <v>0</v>
          </cell>
          <cell r="DK24">
            <v>0</v>
          </cell>
          <cell r="DL24">
            <v>0</v>
          </cell>
          <cell r="DM24">
            <v>0</v>
          </cell>
          <cell r="DN24">
            <v>0</v>
          </cell>
          <cell r="DO24">
            <v>0</v>
          </cell>
          <cell r="DP24">
            <v>0</v>
          </cell>
          <cell r="DQ24">
            <v>0</v>
          </cell>
          <cell r="DR24">
            <v>0</v>
          </cell>
          <cell r="DS24">
            <v>0</v>
          </cell>
          <cell r="DT24">
            <v>0</v>
          </cell>
          <cell r="DU24">
            <v>0</v>
          </cell>
          <cell r="DV24">
            <v>0</v>
          </cell>
          <cell r="DW24">
            <v>0</v>
          </cell>
        </row>
        <row r="25">
          <cell r="CR25">
            <v>-3.5495200000000002</v>
          </cell>
          <cell r="CS25">
            <v>-3.5495200000000002</v>
          </cell>
          <cell r="CT25">
            <v>-3.5495200000000002</v>
          </cell>
          <cell r="CU25">
            <v>-3.5495200000000002</v>
          </cell>
          <cell r="CV25">
            <v>-3.5495200000000002</v>
          </cell>
          <cell r="CW25">
            <v>-4.0095383333333334</v>
          </cell>
          <cell r="CX25">
            <v>-4.4695566666666666</v>
          </cell>
          <cell r="CY25">
            <v>-4.9295749999999998</v>
          </cell>
          <cell r="CZ25">
            <v>-5.389593333333333</v>
          </cell>
          <cell r="DA25">
            <v>-5.8496116666666662</v>
          </cell>
          <cell r="DB25">
            <v>-6.3096300000000003</v>
          </cell>
          <cell r="DC25">
            <v>-6.4118265133333336</v>
          </cell>
          <cell r="DD25">
            <v>-6.514023026666667</v>
          </cell>
          <cell r="DE25">
            <v>-6.6162195400000003</v>
          </cell>
          <cell r="DF25">
            <v>-6.7184160533333337</v>
          </cell>
          <cell r="DG25">
            <v>-6.820612566666667</v>
          </cell>
          <cell r="DH25">
            <v>-6.9228090800000004</v>
          </cell>
          <cell r="DI25">
            <v>-7.0250055933333337</v>
          </cell>
          <cell r="DJ25">
            <v>-7.1272021066666671</v>
          </cell>
          <cell r="DK25">
            <v>-7.2293986200000004</v>
          </cell>
          <cell r="DL25">
            <v>-7.3315951333333338</v>
          </cell>
          <cell r="DM25">
            <v>-7.4337916466666671</v>
          </cell>
          <cell r="DN25">
            <v>-7.5359881600000005</v>
          </cell>
          <cell r="DO25">
            <v>-7.6381846733333338</v>
          </cell>
          <cell r="DP25">
            <v>-7.7403811866666672</v>
          </cell>
          <cell r="DQ25">
            <v>-7.8425776999999997</v>
          </cell>
          <cell r="DR25">
            <v>-8.6022485772307391</v>
          </cell>
          <cell r="DS25">
            <v>-8.7961099060285051</v>
          </cell>
          <cell r="DT25">
            <v>-8.9899712348261573</v>
          </cell>
          <cell r="DU25">
            <v>-9.1838325636239233</v>
          </cell>
          <cell r="DV25">
            <v>-9.3776938924216324</v>
          </cell>
          <cell r="DW25">
            <v>-9.5715552212193415</v>
          </cell>
        </row>
        <row r="26">
          <cell r="CR26">
            <v>-11.884230000000001</v>
          </cell>
          <cell r="CS26">
            <v>-11.884230000000001</v>
          </cell>
          <cell r="CT26">
            <v>-11.884230000000001</v>
          </cell>
          <cell r="CU26">
            <v>-11.884230000000001</v>
          </cell>
          <cell r="CV26">
            <v>-11.884230000000001</v>
          </cell>
          <cell r="CW26">
            <v>-11.884230000000001</v>
          </cell>
          <cell r="CX26">
            <v>-11.884230000000001</v>
          </cell>
          <cell r="CY26">
            <v>-11.884230000000001</v>
          </cell>
          <cell r="CZ26">
            <v>-11.884230000000001</v>
          </cell>
          <cell r="DA26">
            <v>-11.884230000000001</v>
          </cell>
          <cell r="DB26">
            <v>-11.884230000000001</v>
          </cell>
          <cell r="DC26">
            <v>-11.884230000000001</v>
          </cell>
          <cell r="DD26">
            <v>-11.884230000000001</v>
          </cell>
          <cell r="DE26">
            <v>-11.884230000000001</v>
          </cell>
          <cell r="DF26">
            <v>-11.884230000000001</v>
          </cell>
          <cell r="DG26">
            <v>-11.884230000000001</v>
          </cell>
          <cell r="DH26">
            <v>-11.884230000000001</v>
          </cell>
          <cell r="DI26">
            <v>-15.956975</v>
          </cell>
          <cell r="DJ26">
            <v>-20.029720000000001</v>
          </cell>
          <cell r="DK26">
            <v>-14.385038333333284</v>
          </cell>
          <cell r="DL26">
            <v>-14.570812666666654</v>
          </cell>
          <cell r="DM26">
            <v>-14.756586999999968</v>
          </cell>
          <cell r="DN26">
            <v>-14.942361333333281</v>
          </cell>
          <cell r="DO26">
            <v>-15.128135666666651</v>
          </cell>
          <cell r="DP26">
            <v>-15.313910000000021</v>
          </cell>
          <cell r="DQ26">
            <v>-15.499684333333335</v>
          </cell>
          <cell r="DR26">
            <v>-15.685458666666648</v>
          </cell>
          <cell r="DS26">
            <v>-15.871233000000018</v>
          </cell>
          <cell r="DT26">
            <v>-16.057007333333331</v>
          </cell>
          <cell r="DU26">
            <v>-16.242781666666644</v>
          </cell>
          <cell r="DV26">
            <v>-16.428555999999958</v>
          </cell>
          <cell r="DW26">
            <v>-16.614330333333328</v>
          </cell>
        </row>
        <row r="27">
          <cell r="CR27">
            <v>-7.4235299999999995</v>
          </cell>
          <cell r="CS27">
            <v>-7.4288695652173908</v>
          </cell>
          <cell r="CT27">
            <v>-7.4342091304347822</v>
          </cell>
          <cell r="CU27">
            <v>-7.4395486956521735</v>
          </cell>
          <cell r="CV27">
            <v>-7.4448882608695648</v>
          </cell>
          <cell r="CW27">
            <v>-7.4502278260869561</v>
          </cell>
          <cell r="CX27">
            <v>-7.4555673913043474</v>
          </cell>
          <cell r="CY27">
            <v>-7.4609069565217387</v>
          </cell>
          <cell r="CZ27">
            <v>-7.4662465217391301</v>
          </cell>
          <cell r="DA27">
            <v>-7.4715860869565214</v>
          </cell>
          <cell r="DB27">
            <v>-7.4769256521739127</v>
          </cell>
          <cell r="DC27">
            <v>-7.482265217391304</v>
          </cell>
          <cell r="DD27">
            <v>-7.4876047826086953</v>
          </cell>
          <cell r="DE27">
            <v>-7.4929443478260866</v>
          </cell>
          <cell r="DF27">
            <v>-7.498283913043478</v>
          </cell>
          <cell r="DG27">
            <v>-7.5036234782608693</v>
          </cell>
          <cell r="DH27">
            <v>-7.5089630434782606</v>
          </cell>
          <cell r="DI27">
            <v>-7.5143026086956519</v>
          </cell>
          <cell r="DJ27">
            <v>-7.5196421739130432</v>
          </cell>
          <cell r="DK27">
            <v>-7.5249817391304346</v>
          </cell>
          <cell r="DL27">
            <v>-7.5303213043478259</v>
          </cell>
          <cell r="DM27">
            <v>-7.5356608695652172</v>
          </cell>
          <cell r="DN27">
            <v>-7.5463399999999998</v>
          </cell>
          <cell r="DO27">
            <v>-6.141</v>
          </cell>
          <cell r="DP27">
            <v>-6.3976699999999997</v>
          </cell>
          <cell r="DQ27">
            <v>-6.1405600000000007</v>
          </cell>
          <cell r="DR27">
            <v>-5.8815600000000003</v>
          </cell>
          <cell r="DS27">
            <v>-5.8440900000000005</v>
          </cell>
          <cell r="DT27">
            <v>-5.8318999999999992</v>
          </cell>
          <cell r="DU27">
            <v>-6.4757642696508952</v>
          </cell>
          <cell r="DV27">
            <v>-6.4285526472477983</v>
          </cell>
          <cell r="DW27">
            <v>-6.3813410248447298</v>
          </cell>
        </row>
        <row r="28">
          <cell r="CR28">
            <v>-38.733601</v>
          </cell>
          <cell r="CS28">
            <v>-38.733601</v>
          </cell>
          <cell r="CT28">
            <v>-38.733601</v>
          </cell>
          <cell r="CU28">
            <v>-38.733601</v>
          </cell>
          <cell r="CV28">
            <v>-38.733601</v>
          </cell>
          <cell r="CW28">
            <v>-39.434834166666668</v>
          </cell>
          <cell r="CX28">
            <v>-40.136067333333337</v>
          </cell>
          <cell r="CY28">
            <v>-40.837300500000005</v>
          </cell>
          <cell r="CZ28">
            <v>-41.538533666666673</v>
          </cell>
          <cell r="DA28">
            <v>-42.239766833333341</v>
          </cell>
          <cell r="DB28">
            <v>-42.941000000000003</v>
          </cell>
          <cell r="DC28">
            <v>-41.912966304133334</v>
          </cell>
          <cell r="DD28">
            <v>-40.884932608266666</v>
          </cell>
          <cell r="DE28">
            <v>-39.856898912399998</v>
          </cell>
          <cell r="DF28">
            <v>-38.82886521653333</v>
          </cell>
          <cell r="DG28">
            <v>-37.800831520666662</v>
          </cell>
          <cell r="DH28">
            <v>-36.772797824799994</v>
          </cell>
          <cell r="DI28">
            <v>-35.744764128933326</v>
          </cell>
          <cell r="DJ28">
            <v>-34.716730433066658</v>
          </cell>
          <cell r="DK28">
            <v>-33.68869673719999</v>
          </cell>
          <cell r="DL28">
            <v>-32.660663041333322</v>
          </cell>
          <cell r="DM28">
            <v>-31.632629345466654</v>
          </cell>
          <cell r="DN28">
            <v>-30.604595649599986</v>
          </cell>
          <cell r="DO28">
            <v>-29.576561953733318</v>
          </cell>
          <cell r="DP28">
            <v>-28.54852825786665</v>
          </cell>
          <cell r="DQ28">
            <v>-27.520494562</v>
          </cell>
          <cell r="DR28">
            <v>-30.700102534941607</v>
          </cell>
          <cell r="DS28">
            <v>-30.234735588823355</v>
          </cell>
          <cell r="DT28">
            <v>-29.76936864270499</v>
          </cell>
          <cell r="DU28">
            <v>-29.304001696586738</v>
          </cell>
          <cell r="DV28">
            <v>-28.838634750468373</v>
          </cell>
          <cell r="DW28">
            <v>-28.373267804350121</v>
          </cell>
        </row>
        <row r="30">
          <cell r="CR30">
            <v>-2.7364000000000002</v>
          </cell>
          <cell r="CS30">
            <v>-2.7364000000000002</v>
          </cell>
          <cell r="CT30">
            <v>-2.7364000000000002</v>
          </cell>
          <cell r="CU30">
            <v>-2.7364000000000002</v>
          </cell>
          <cell r="CV30">
            <v>-2.7364000000000002</v>
          </cell>
          <cell r="CW30">
            <v>-2.7364000000000002</v>
          </cell>
          <cell r="CX30">
            <v>-2.7364000000000002</v>
          </cell>
          <cell r="CY30">
            <v>-2.7364000000000002</v>
          </cell>
          <cell r="CZ30">
            <v>-2.7364000000000002</v>
          </cell>
          <cell r="DA30">
            <v>-2.7364000000000002</v>
          </cell>
          <cell r="DB30">
            <v>-2.7364000000000002</v>
          </cell>
          <cell r="DC30">
            <v>-2.7364000000000002</v>
          </cell>
          <cell r="DD30">
            <v>-2.7364000000000002</v>
          </cell>
          <cell r="DE30">
            <v>-2.7364000000000002</v>
          </cell>
          <cell r="DF30">
            <v>-2.7364000000000002</v>
          </cell>
          <cell r="DG30">
            <v>-2.7364000000000002</v>
          </cell>
          <cell r="DH30">
            <v>-2.7364000000000002</v>
          </cell>
          <cell r="DI30">
            <v>-2.7364000000000002</v>
          </cell>
          <cell r="DJ30">
            <v>-2.7364000000000002</v>
          </cell>
          <cell r="DK30">
            <v>-2.7364000000000002</v>
          </cell>
          <cell r="DL30">
            <v>-2.7364000000000002</v>
          </cell>
          <cell r="DM30">
            <v>-2.7859499999999997</v>
          </cell>
          <cell r="DN30">
            <v>-2.7992399999999997</v>
          </cell>
          <cell r="DO30">
            <v>-2.8198699999999999</v>
          </cell>
          <cell r="DP30">
            <v>-2.8398000000000003</v>
          </cell>
          <cell r="DQ30">
            <v>-2.7807036000000012</v>
          </cell>
          <cell r="DR30">
            <v>-2.7831907692307709</v>
          </cell>
          <cell r="DS30">
            <v>-2.7856779384615398</v>
          </cell>
          <cell r="DT30">
            <v>-2.7881651076923095</v>
          </cell>
          <cell r="DU30">
            <v>-2.7906522769230784</v>
          </cell>
          <cell r="DV30">
            <v>-2.7931394461538481</v>
          </cell>
          <cell r="DW30">
            <v>-2.795626615384617</v>
          </cell>
        </row>
        <row r="31">
          <cell r="CR31">
            <v>-16.402494965484813</v>
          </cell>
          <cell r="CS31">
            <v>-16.472310389582713</v>
          </cell>
          <cell r="CT31">
            <v>-16.005280515530082</v>
          </cell>
          <cell r="CU31">
            <v>-16.339913116728287</v>
          </cell>
          <cell r="CV31">
            <v>-16.462681167176083</v>
          </cell>
          <cell r="CW31">
            <v>-16.572052871415853</v>
          </cell>
          <cell r="CX31">
            <v>-15.983232710475633</v>
          </cell>
          <cell r="CY31">
            <v>-16.230431552173009</v>
          </cell>
          <cell r="CZ31">
            <v>-16.007328582482586</v>
          </cell>
          <cell r="DA31">
            <v>-15.873508854114592</v>
          </cell>
          <cell r="DB31">
            <v>-17.116851197281537</v>
          </cell>
          <cell r="DC31">
            <v>-14.460218897730044</v>
          </cell>
          <cell r="DD31">
            <v>-14.80011195447601</v>
          </cell>
          <cell r="DE31">
            <v>-14.393691716235528</v>
          </cell>
          <cell r="DF31">
            <v>-15.163282302496464</v>
          </cell>
          <cell r="DG31">
            <v>-16.486771012391891</v>
          </cell>
          <cell r="DH31">
            <v>-13.16355246077819</v>
          </cell>
          <cell r="DI31">
            <v>-14.106028126001412</v>
          </cell>
          <cell r="DJ31">
            <v>-12.423846266316179</v>
          </cell>
          <cell r="DK31">
            <v>-12.519218293856088</v>
          </cell>
          <cell r="DL31">
            <v>-11.910266589271595</v>
          </cell>
          <cell r="DM31">
            <v>-8.5551545075628113</v>
          </cell>
          <cell r="DN31">
            <v>-8.060174659867398</v>
          </cell>
          <cell r="DO31">
            <v>-6.9316775835667332</v>
          </cell>
          <cell r="DP31">
            <v>-8.2089449135066417</v>
          </cell>
          <cell r="DQ31">
            <v>-7.7352752457119172</v>
          </cell>
          <cell r="DR31">
            <v>-9.5335053108862411</v>
          </cell>
          <cell r="DS31">
            <v>-9.471268532118815</v>
          </cell>
          <cell r="DT31">
            <v>-9.6082699985971924</v>
          </cell>
          <cell r="DU31">
            <v>-9.4082409108393286</v>
          </cell>
          <cell r="DV31">
            <v>-9.4482010814052639</v>
          </cell>
          <cell r="DW31">
            <v>-9.1867509136221646</v>
          </cell>
        </row>
        <row r="32">
          <cell r="CR32">
            <v>-1.4119999999999999</v>
          </cell>
          <cell r="CS32">
            <v>-1.4119999999999999</v>
          </cell>
          <cell r="CT32">
            <v>-1.4119999999999999</v>
          </cell>
          <cell r="CU32">
            <v>-1.4119999999999999</v>
          </cell>
          <cell r="CV32">
            <v>-1.4119999999999999</v>
          </cell>
          <cell r="CW32">
            <v>23.091900000000003</v>
          </cell>
          <cell r="CX32">
            <v>24.259502307692308</v>
          </cell>
          <cell r="CY32">
            <v>25.427104615384614</v>
          </cell>
          <cell r="CZ32">
            <v>26.59470692307692</v>
          </cell>
          <cell r="DA32">
            <v>27.762309230769226</v>
          </cell>
          <cell r="DB32">
            <v>28.929911538461532</v>
          </cell>
          <cell r="DC32">
            <v>30.097513846153838</v>
          </cell>
          <cell r="DD32">
            <v>31.265116153846144</v>
          </cell>
          <cell r="DE32">
            <v>32.43271846153845</v>
          </cell>
          <cell r="DF32">
            <v>33.600320769230756</v>
          </cell>
          <cell r="DG32">
            <v>34.767923076923061</v>
          </cell>
          <cell r="DH32">
            <v>35.935525384615367</v>
          </cell>
          <cell r="DI32">
            <v>37.103127692307673</v>
          </cell>
          <cell r="DJ32">
            <v>38.270729999999993</v>
          </cell>
          <cell r="DK32">
            <v>39.556950000000008</v>
          </cell>
          <cell r="DL32">
            <v>41.30838</v>
          </cell>
          <cell r="DM32">
            <v>41.772580000000005</v>
          </cell>
          <cell r="DN32">
            <v>39.942569999999996</v>
          </cell>
          <cell r="DO32">
            <v>42.445649999999993</v>
          </cell>
          <cell r="DP32">
            <v>41.603919999999995</v>
          </cell>
          <cell r="DQ32">
            <v>43.558439999999997</v>
          </cell>
          <cell r="DR32">
            <v>46.633950000000006</v>
          </cell>
          <cell r="DS32">
            <v>47.3309</v>
          </cell>
          <cell r="DT32">
            <v>54.12180865079381</v>
          </cell>
          <cell r="DU32">
            <v>55.867569469075534</v>
          </cell>
          <cell r="DV32">
            <v>57.613330287356803</v>
          </cell>
          <cell r="DW32">
            <v>59.359091105638072</v>
          </cell>
        </row>
        <row r="33">
          <cell r="CR33">
            <v>-1.4119999999999999</v>
          </cell>
          <cell r="CS33">
            <v>-1.4119999999999999</v>
          </cell>
          <cell r="CT33">
            <v>-1.4119999999999999</v>
          </cell>
          <cell r="CU33">
            <v>-1.4119999999999999</v>
          </cell>
          <cell r="CV33">
            <v>-1.4119999999999999</v>
          </cell>
          <cell r="CW33">
            <v>-1.4119999999999999</v>
          </cell>
          <cell r="CX33">
            <v>-1.4119999999999999</v>
          </cell>
          <cell r="CY33">
            <v>-1.4119999999999999</v>
          </cell>
          <cell r="CZ33">
            <v>-1.4119999999999999</v>
          </cell>
          <cell r="DA33">
            <v>-1.4119999999999999</v>
          </cell>
          <cell r="DB33">
            <v>-1.4119999999999999</v>
          </cell>
          <cell r="DC33">
            <v>-1.4119999999999999</v>
          </cell>
          <cell r="DD33">
            <v>-1.4119999999999999</v>
          </cell>
          <cell r="DE33">
            <v>-1.4119999999999999</v>
          </cell>
          <cell r="DF33">
            <v>-1.4119999999999999</v>
          </cell>
          <cell r="DG33">
            <v>-1.4119999999999999</v>
          </cell>
          <cell r="DH33">
            <v>-3.6360000000000001</v>
          </cell>
          <cell r="DI33">
            <v>-5.9320000000000004</v>
          </cell>
          <cell r="DJ33">
            <v>-7.9960000000000004</v>
          </cell>
          <cell r="DK33">
            <v>-9.6020000000000003</v>
          </cell>
          <cell r="DL33">
            <v>-10.205</v>
          </cell>
          <cell r="DM33">
            <v>-10.888</v>
          </cell>
          <cell r="DN33">
            <v>-11.555</v>
          </cell>
          <cell r="DO33">
            <v>-12.161</v>
          </cell>
          <cell r="DP33">
            <v>-12.811999999999999</v>
          </cell>
          <cell r="DQ33">
            <v>-13.198</v>
          </cell>
          <cell r="DR33">
            <v>-13.916</v>
          </cell>
          <cell r="DS33">
            <v>-14.432</v>
          </cell>
          <cell r="DT33">
            <v>-14.952</v>
          </cell>
          <cell r="DU33">
            <v>-15.428000000000001</v>
          </cell>
          <cell r="DV33">
            <v>-14.780629885057579</v>
          </cell>
          <cell r="DW33">
            <v>-15.34861675936213</v>
          </cell>
        </row>
        <row r="34">
          <cell r="CR34">
            <v>27.018619999999999</v>
          </cell>
          <cell r="CS34">
            <v>27.018619999999999</v>
          </cell>
          <cell r="CT34">
            <v>27.018619999999999</v>
          </cell>
          <cell r="CU34">
            <v>27.018619999999999</v>
          </cell>
          <cell r="CV34">
            <v>27.018619999999999</v>
          </cell>
          <cell r="CW34">
            <v>27.018619999999999</v>
          </cell>
          <cell r="CX34">
            <v>27.018619999999999</v>
          </cell>
          <cell r="CY34">
            <v>27.018619999999999</v>
          </cell>
          <cell r="CZ34">
            <v>27.018619999999999</v>
          </cell>
          <cell r="DA34">
            <v>27.018619999999999</v>
          </cell>
          <cell r="DB34">
            <v>27.018619999999999</v>
          </cell>
          <cell r="DC34">
            <v>25.605528</v>
          </cell>
          <cell r="DD34">
            <v>24.192436000000001</v>
          </cell>
          <cell r="DE34">
            <v>22.779344000000002</v>
          </cell>
          <cell r="DF34">
            <v>21.366252000000003</v>
          </cell>
          <cell r="DG34">
            <v>19.95316</v>
          </cell>
          <cell r="DH34">
            <v>19.952646000000001</v>
          </cell>
          <cell r="DI34">
            <v>19.952132000000002</v>
          </cell>
          <cell r="DJ34">
            <v>19.951618000000003</v>
          </cell>
          <cell r="DK34">
            <v>19.951104000000004</v>
          </cell>
          <cell r="DL34">
            <v>19.950590000000002</v>
          </cell>
          <cell r="DM34">
            <v>19.17800219047615</v>
          </cell>
          <cell r="DN34">
            <v>18.709943385281349</v>
          </cell>
          <cell r="DO34">
            <v>18.241884580086662</v>
          </cell>
          <cell r="DP34">
            <v>17.773825774891748</v>
          </cell>
          <cell r="DQ34">
            <v>17.305766969696947</v>
          </cell>
          <cell r="DR34">
            <v>16.837708164502146</v>
          </cell>
          <cell r="DS34">
            <v>16.369649359307346</v>
          </cell>
          <cell r="DT34">
            <v>15.901590554112545</v>
          </cell>
          <cell r="DU34">
            <v>15.433531748917744</v>
          </cell>
          <cell r="DV34">
            <v>14.965472943722943</v>
          </cell>
          <cell r="DW34">
            <v>14.497414138528143</v>
          </cell>
        </row>
        <row r="35">
          <cell r="CR35">
            <v>22.186366999999997</v>
          </cell>
          <cell r="CS35">
            <v>22.186366999999997</v>
          </cell>
          <cell r="CT35">
            <v>22.186366999999997</v>
          </cell>
          <cell r="CU35">
            <v>22.186366999999997</v>
          </cell>
          <cell r="CV35">
            <v>22.186366999999997</v>
          </cell>
          <cell r="CW35">
            <v>5.7251391666666613</v>
          </cell>
          <cell r="CX35">
            <v>-10.736088666666674</v>
          </cell>
          <cell r="CY35">
            <v>-27.19731650000001</v>
          </cell>
          <cell r="CZ35">
            <v>-43.658544333333346</v>
          </cell>
          <cell r="DA35">
            <v>-60.119772166666678</v>
          </cell>
          <cell r="DB35">
            <v>-76.581000000000003</v>
          </cell>
          <cell r="DC35">
            <v>-72.091574227273668</v>
          </cell>
          <cell r="DD35">
            <v>-82.566901030302688</v>
          </cell>
          <cell r="DE35">
            <v>-93.042227833335346</v>
          </cell>
          <cell r="DF35">
            <v>-103.517554636368</v>
          </cell>
          <cell r="DG35">
            <v>-113.99288143939339</v>
          </cell>
          <cell r="DH35">
            <v>-124.46820824242604</v>
          </cell>
          <cell r="DI35">
            <v>-134.94353504545506</v>
          </cell>
          <cell r="DJ35">
            <v>-145.41886184848408</v>
          </cell>
          <cell r="DK35">
            <v>-155.89418865151674</v>
          </cell>
          <cell r="DL35">
            <v>-166.3695154545494</v>
          </cell>
          <cell r="DM35">
            <v>-176.84484225757842</v>
          </cell>
          <cell r="DN35">
            <v>-187.32016906060744</v>
          </cell>
          <cell r="DO35">
            <v>-197.7954958636401</v>
          </cell>
          <cell r="DP35">
            <v>-208.27082266667276</v>
          </cell>
          <cell r="DQ35">
            <v>-218.74614946969814</v>
          </cell>
          <cell r="DR35">
            <v>-229.2214762727308</v>
          </cell>
          <cell r="DS35">
            <v>-239.69680307576346</v>
          </cell>
          <cell r="DT35">
            <v>-250.17212987878884</v>
          </cell>
          <cell r="DU35">
            <v>-260.6474566818215</v>
          </cell>
          <cell r="DV35">
            <v>-271.12278348485415</v>
          </cell>
          <cell r="DW35">
            <v>-281.59811028788317</v>
          </cell>
        </row>
        <row r="37">
          <cell r="CR37">
            <v>-1.4119999999999999</v>
          </cell>
          <cell r="CS37">
            <v>-1.4119999999999999</v>
          </cell>
          <cell r="CT37">
            <v>-1.4119999999999999</v>
          </cell>
          <cell r="CU37">
            <v>-1.4119999999999999</v>
          </cell>
          <cell r="CV37">
            <v>-1.4119999999999999</v>
          </cell>
          <cell r="CW37">
            <v>-0.19677</v>
          </cell>
          <cell r="CX37">
            <v>-0.20338999999999999</v>
          </cell>
          <cell r="CY37">
            <v>-0.21001</v>
          </cell>
          <cell r="CZ37">
            <v>-0.21662999999999999</v>
          </cell>
          <cell r="DA37">
            <v>-0.22325</v>
          </cell>
          <cell r="DB37">
            <v>-0.22986999999999999</v>
          </cell>
          <cell r="DC37">
            <v>-0.22832</v>
          </cell>
          <cell r="DD37">
            <v>-0.23086000000000001</v>
          </cell>
          <cell r="DE37">
            <v>-0.23338999999999999</v>
          </cell>
          <cell r="DF37">
            <v>-0.23593</v>
          </cell>
          <cell r="DG37">
            <v>-0.23738000000000001</v>
          </cell>
          <cell r="DH37">
            <v>-0.23863000000000001</v>
          </cell>
          <cell r="DI37">
            <v>-0.23913000000000001</v>
          </cell>
          <cell r="DJ37">
            <v>-0.23935000000000001</v>
          </cell>
          <cell r="DK37">
            <v>-0.2422</v>
          </cell>
          <cell r="DL37">
            <v>-0.23677000000000001</v>
          </cell>
          <cell r="DM37">
            <v>0.154317095238099</v>
          </cell>
          <cell r="DN37">
            <v>0.21467440692640594</v>
          </cell>
          <cell r="DO37">
            <v>0.27503171861471287</v>
          </cell>
          <cell r="DP37">
            <v>0.33538903030303402</v>
          </cell>
          <cell r="DQ37">
            <v>0.39574634199134096</v>
          </cell>
          <cell r="DR37">
            <v>0.45610365367964789</v>
          </cell>
          <cell r="DS37">
            <v>0.51646096536796904</v>
          </cell>
          <cell r="DT37">
            <v>0.57681827705627597</v>
          </cell>
          <cell r="DU37">
            <v>0.63717558874458291</v>
          </cell>
          <cell r="DV37">
            <v>0.69753290043290406</v>
          </cell>
          <cell r="DW37">
            <v>0.75789021212121099</v>
          </cell>
        </row>
        <row r="38">
          <cell r="CR38">
            <v>0</v>
          </cell>
          <cell r="CS38">
            <v>0</v>
          </cell>
          <cell r="CT38">
            <v>0</v>
          </cell>
          <cell r="CU38">
            <v>0</v>
          </cell>
          <cell r="CV38">
            <v>0</v>
          </cell>
          <cell r="CW38">
            <v>0</v>
          </cell>
          <cell r="CX38">
            <v>0</v>
          </cell>
          <cell r="CY38">
            <v>0</v>
          </cell>
          <cell r="CZ38">
            <v>0</v>
          </cell>
          <cell r="DA38">
            <v>0</v>
          </cell>
          <cell r="DB38">
            <v>0</v>
          </cell>
          <cell r="DC38">
            <v>0</v>
          </cell>
          <cell r="DD38">
            <v>0</v>
          </cell>
          <cell r="DE38">
            <v>0</v>
          </cell>
          <cell r="DF38">
            <v>0</v>
          </cell>
          <cell r="DG38">
            <v>0</v>
          </cell>
          <cell r="DH38">
            <v>0</v>
          </cell>
          <cell r="DI38">
            <v>0</v>
          </cell>
          <cell r="DJ38">
            <v>0</v>
          </cell>
          <cell r="DK38">
            <v>0</v>
          </cell>
          <cell r="DL38">
            <v>0</v>
          </cell>
          <cell r="DM38">
            <v>0</v>
          </cell>
          <cell r="DN38">
            <v>0</v>
          </cell>
          <cell r="DO38">
            <v>0</v>
          </cell>
          <cell r="DP38">
            <v>0</v>
          </cell>
          <cell r="DQ38">
            <v>0</v>
          </cell>
          <cell r="DR38">
            <v>0</v>
          </cell>
          <cell r="DS38">
            <v>0</v>
          </cell>
          <cell r="DT38">
            <v>0</v>
          </cell>
          <cell r="DU38">
            <v>0</v>
          </cell>
          <cell r="DV38">
            <v>0</v>
          </cell>
          <cell r="DW38">
            <v>0</v>
          </cell>
        </row>
        <row r="39">
          <cell r="CR39">
            <v>6.9301000000000004</v>
          </cell>
          <cell r="CS39">
            <v>6.9301000000000004</v>
          </cell>
          <cell r="CT39">
            <v>6.9301000000000004</v>
          </cell>
          <cell r="CU39">
            <v>6.9301000000000004</v>
          </cell>
          <cell r="CV39">
            <v>6.9301000000000004</v>
          </cell>
          <cell r="CW39">
            <v>6.9301000000000004</v>
          </cell>
          <cell r="CX39">
            <v>6.9301000000000004</v>
          </cell>
          <cell r="CY39">
            <v>6.9301000000000004</v>
          </cell>
          <cell r="CZ39">
            <v>6.9301000000000004</v>
          </cell>
          <cell r="DA39">
            <v>6.9301000000000004</v>
          </cell>
          <cell r="DB39">
            <v>6.9301000000000004</v>
          </cell>
          <cell r="DC39">
            <v>6.9301000000000004</v>
          </cell>
          <cell r="DD39">
            <v>6.9301000000000004</v>
          </cell>
          <cell r="DE39">
            <v>6.9301000000000004</v>
          </cell>
          <cell r="DF39">
            <v>6.9301000000000004</v>
          </cell>
          <cell r="DG39">
            <v>6.9301000000000004</v>
          </cell>
          <cell r="DH39">
            <v>6.9301000000000004</v>
          </cell>
          <cell r="DI39">
            <v>6.9301000000000004</v>
          </cell>
          <cell r="DJ39">
            <v>6.9301000000000004</v>
          </cell>
          <cell r="DK39">
            <v>6.9301000000000004</v>
          </cell>
          <cell r="DL39">
            <v>6.9301000000000004</v>
          </cell>
          <cell r="DM39">
            <v>6.7913999999999994</v>
          </cell>
          <cell r="DN39">
            <v>6.9260000000000002</v>
          </cell>
          <cell r="DO39">
            <v>4.9673999999999996</v>
          </cell>
          <cell r="DP39">
            <v>5.4276</v>
          </cell>
          <cell r="DQ39">
            <v>5.5487000000000002</v>
          </cell>
          <cell r="DR39">
            <v>6.8616999999999999</v>
          </cell>
          <cell r="DS39">
            <v>6.9169999999999998</v>
          </cell>
          <cell r="DT39">
            <v>5.9283000000000001</v>
          </cell>
          <cell r="DU39">
            <v>6.2484943349753834</v>
          </cell>
          <cell r="DV39">
            <v>6.2170141871921274</v>
          </cell>
          <cell r="DW39">
            <v>6.1855340394088714</v>
          </cell>
        </row>
        <row r="40">
          <cell r="CR40">
            <v>-46.198120000000003</v>
          </cell>
          <cell r="CS40">
            <v>-46.198120000000003</v>
          </cell>
          <cell r="CT40">
            <v>-46.198120000000003</v>
          </cell>
          <cell r="CU40">
            <v>-46.198120000000003</v>
          </cell>
          <cell r="CV40">
            <v>-42.932358333333333</v>
          </cell>
          <cell r="CW40">
            <v>-39.666596666666663</v>
          </cell>
          <cell r="CX40">
            <v>-36.400834999999994</v>
          </cell>
          <cell r="CY40">
            <v>-33.135073333333324</v>
          </cell>
          <cell r="CZ40">
            <v>-29.869311666666658</v>
          </cell>
          <cell r="DA40">
            <v>-26.603549999999998</v>
          </cell>
          <cell r="DB40">
            <v>-45.318950000000001</v>
          </cell>
          <cell r="DC40">
            <v>-44.552239999999998</v>
          </cell>
          <cell r="DD40">
            <v>-43.773019999999995</v>
          </cell>
          <cell r="DE40">
            <v>-37.693870000000004</v>
          </cell>
          <cell r="DF40">
            <v>-32.307970142857144</v>
          </cell>
          <cell r="DG40">
            <v>-26.922070285714284</v>
          </cell>
          <cell r="DH40">
            <v>-21.536170428571424</v>
          </cell>
          <cell r="DI40">
            <v>-16.150270571428564</v>
          </cell>
          <cell r="DJ40">
            <v>-10.764370714285706</v>
          </cell>
          <cell r="DK40">
            <v>-5.3784708571428474</v>
          </cell>
          <cell r="DL40">
            <v>7.4290000000000007E-3</v>
          </cell>
          <cell r="DM40">
            <v>-11.243208599999889</v>
          </cell>
          <cell r="DN40">
            <v>-9.3311618536790775</v>
          </cell>
          <cell r="DO40">
            <v>-7.4191151073591755</v>
          </cell>
          <cell r="DP40">
            <v>-5.5070683610388187</v>
          </cell>
          <cell r="DQ40">
            <v>-3.5950216147184619</v>
          </cell>
          <cell r="DR40">
            <v>-1.6829748683981052</v>
          </cell>
          <cell r="DS40">
            <v>0.22907187792225159</v>
          </cell>
          <cell r="DT40">
            <v>2.1411186242426083</v>
          </cell>
          <cell r="DU40">
            <v>4.0531653705629651</v>
          </cell>
          <cell r="DV40">
            <v>5.9652121168833219</v>
          </cell>
          <cell r="DW40">
            <v>7.8772588632036786</v>
          </cell>
        </row>
        <row r="44">
          <cell r="CR44">
            <v>-0.89511339999999995</v>
          </cell>
          <cell r="CS44">
            <v>-0.89511339999999995</v>
          </cell>
          <cell r="CT44">
            <v>-0.89511339999999995</v>
          </cell>
          <cell r="CU44">
            <v>-0.89511339999999995</v>
          </cell>
          <cell r="CV44">
            <v>-0.89511339999999995</v>
          </cell>
          <cell r="CW44">
            <v>-1.2750028333333332</v>
          </cell>
          <cell r="CX44">
            <v>-1.6548922666666666</v>
          </cell>
          <cell r="CY44">
            <v>-2.0347816999999999</v>
          </cell>
          <cell r="CZ44">
            <v>-2.4146711333333331</v>
          </cell>
          <cell r="DA44">
            <v>-2.7945605666666662</v>
          </cell>
          <cell r="DB44">
            <v>-3.1744499999999998</v>
          </cell>
          <cell r="DC44">
            <v>-3.0708437909090662</v>
          </cell>
          <cell r="DD44">
            <v>-3.312591612121139</v>
          </cell>
          <cell r="DE44">
            <v>-3.5543394333333254</v>
          </cell>
          <cell r="DF44">
            <v>-3.7960872545453981</v>
          </cell>
          <cell r="DG44">
            <v>-4.0378350757575845</v>
          </cell>
          <cell r="DH44">
            <v>-4.2795828969697141</v>
          </cell>
          <cell r="DI44">
            <v>-4.5213307181817868</v>
          </cell>
          <cell r="DJ44">
            <v>-4.7630785393939163</v>
          </cell>
          <cell r="DK44">
            <v>-5.0048263606060459</v>
          </cell>
          <cell r="DL44">
            <v>-5.2465741818181186</v>
          </cell>
          <cell r="DM44">
            <v>-5.4883220030302482</v>
          </cell>
          <cell r="DN44">
            <v>-5.7300698242423778</v>
          </cell>
          <cell r="DO44">
            <v>-5.9718176454545073</v>
          </cell>
          <cell r="DP44">
            <v>-6.2135654666665801</v>
          </cell>
          <cell r="DQ44">
            <v>-6.4553132878787096</v>
          </cell>
          <cell r="DR44">
            <v>-6.6970611090908392</v>
          </cell>
          <cell r="DS44">
            <v>-6.9388089303029687</v>
          </cell>
          <cell r="DT44">
            <v>-7.1805567515150983</v>
          </cell>
          <cell r="DU44">
            <v>-7.4223045727272279</v>
          </cell>
          <cell r="DV44">
            <v>-7.6640523939393006</v>
          </cell>
          <cell r="DW44">
            <v>-7.9058002151514302</v>
          </cell>
        </row>
        <row r="46">
          <cell r="CR46">
            <v>-69.860679999999988</v>
          </cell>
          <cell r="CS46">
            <v>-69.860679999999988</v>
          </cell>
          <cell r="CT46">
            <v>-69.860679999999988</v>
          </cell>
          <cell r="CU46">
            <v>-69.860679999999988</v>
          </cell>
          <cell r="CV46">
            <v>-69.860679999999988</v>
          </cell>
          <cell r="CW46">
            <v>-71.894978333333327</v>
          </cell>
          <cell r="CX46">
            <v>-73.929276666666667</v>
          </cell>
          <cell r="CY46">
            <v>-75.963575000000006</v>
          </cell>
          <cell r="CZ46">
            <v>-77.997873333333345</v>
          </cell>
          <cell r="DA46">
            <v>-80.032171666666684</v>
          </cell>
          <cell r="DB46">
            <v>-82.06647000000001</v>
          </cell>
          <cell r="DC46">
            <v>-81.511661363636904</v>
          </cell>
          <cell r="DD46">
            <v>-82.80621484848507</v>
          </cell>
          <cell r="DE46">
            <v>-84.100768333333235</v>
          </cell>
          <cell r="DF46">
            <v>-85.395321818181856</v>
          </cell>
          <cell r="DG46">
            <v>-86.689875303030476</v>
          </cell>
          <cell r="DH46">
            <v>-87.984428787878642</v>
          </cell>
          <cell r="DI46">
            <v>-89.278982272727717</v>
          </cell>
          <cell r="DJ46">
            <v>-90.573535757576337</v>
          </cell>
          <cell r="DK46">
            <v>-91.868089242424503</v>
          </cell>
          <cell r="DL46">
            <v>-93.162642727273578</v>
          </cell>
          <cell r="DM46">
            <v>-94.457196212121289</v>
          </cell>
          <cell r="DN46">
            <v>-95.75174969696991</v>
          </cell>
          <cell r="DO46">
            <v>-97.04630318181853</v>
          </cell>
          <cell r="DP46">
            <v>-98.34085666666715</v>
          </cell>
          <cell r="DQ46">
            <v>-99.635410151515316</v>
          </cell>
          <cell r="DR46">
            <v>-100.92996363636394</v>
          </cell>
          <cell r="DS46">
            <v>-102.22451712121256</v>
          </cell>
          <cell r="DT46">
            <v>-103.51907060606072</v>
          </cell>
          <cell r="DU46">
            <v>-104.81362409090934</v>
          </cell>
          <cell r="DV46">
            <v>-106.10817757575751</v>
          </cell>
          <cell r="DW46">
            <v>-107.40273106060613</v>
          </cell>
        </row>
        <row r="47">
          <cell r="CR47">
            <v>-0.16500000000000001</v>
          </cell>
          <cell r="CS47">
            <v>-0.16500000000000001</v>
          </cell>
          <cell r="CT47">
            <v>-0.16500000000000001</v>
          </cell>
          <cell r="CU47">
            <v>-0.16500000000000001</v>
          </cell>
          <cell r="CV47">
            <v>-0.16500000000000001</v>
          </cell>
          <cell r="CW47">
            <v>-0.16500000000000001</v>
          </cell>
          <cell r="CX47">
            <v>-0.16500000000000001</v>
          </cell>
          <cell r="CY47">
            <v>-0.16500000000000001</v>
          </cell>
          <cell r="CZ47">
            <v>-0.16500000000000001</v>
          </cell>
          <cell r="DA47">
            <v>-0.16500000000000001</v>
          </cell>
          <cell r="DB47">
            <v>-0.16500000000000001</v>
          </cell>
          <cell r="DC47">
            <v>-0.16500000000000001</v>
          </cell>
          <cell r="DD47">
            <v>-0.16500000000000001</v>
          </cell>
          <cell r="DE47">
            <v>-0.16500000000000001</v>
          </cell>
          <cell r="DF47">
            <v>-0.16500000000000001</v>
          </cell>
          <cell r="DG47">
            <v>-0.16500000000000001</v>
          </cell>
          <cell r="DH47">
            <v>-0.16500000000000001</v>
          </cell>
          <cell r="DI47">
            <v>-0.16500000000000001</v>
          </cell>
          <cell r="DJ47">
            <v>-0.16500000000000001</v>
          </cell>
          <cell r="DK47">
            <v>-0.16500000000000001</v>
          </cell>
          <cell r="DL47">
            <v>-0.16500000000000001</v>
          </cell>
          <cell r="DM47">
            <v>-0.16500000000000001</v>
          </cell>
          <cell r="DN47">
            <v>-0.16500000000000001</v>
          </cell>
          <cell r="DO47">
            <v>-0.16500000000000001</v>
          </cell>
          <cell r="DP47">
            <v>-0.16500000000000001</v>
          </cell>
          <cell r="DQ47">
            <v>-0.16500000000000001</v>
          </cell>
          <cell r="DR47">
            <v>-0.16500000000000001</v>
          </cell>
          <cell r="DS47">
            <v>-0.16500000000000001</v>
          </cell>
          <cell r="DT47">
            <v>-0.16500000000000001</v>
          </cell>
          <cell r="DU47">
            <v>-0.16500000000000001</v>
          </cell>
          <cell r="DV47">
            <v>-0.16500000000000001</v>
          </cell>
          <cell r="DW47">
            <v>-0.16500000000000001</v>
          </cell>
        </row>
        <row r="48">
          <cell r="CR48">
            <v>29.103900000000003</v>
          </cell>
          <cell r="CS48">
            <v>25.969583333333336</v>
          </cell>
          <cell r="CT48">
            <v>22.835266666666669</v>
          </cell>
          <cell r="CU48">
            <v>19.700950000000002</v>
          </cell>
          <cell r="CV48">
            <v>16.566633333333336</v>
          </cell>
          <cell r="CW48">
            <v>13.432316666666669</v>
          </cell>
          <cell r="CX48">
            <v>10.298</v>
          </cell>
          <cell r="CY48">
            <v>12.137375</v>
          </cell>
          <cell r="CZ48">
            <v>13.976750000000001</v>
          </cell>
          <cell r="DA48">
            <v>15.816125000000001</v>
          </cell>
          <cell r="DB48">
            <v>17.6555</v>
          </cell>
          <cell r="DC48">
            <v>15.202680000000001</v>
          </cell>
          <cell r="DD48">
            <v>12.749860000000002</v>
          </cell>
          <cell r="DE48">
            <v>10.297040000000003</v>
          </cell>
          <cell r="DF48">
            <v>7.8442200000000026</v>
          </cell>
          <cell r="DG48">
            <v>5.3914</v>
          </cell>
          <cell r="DH48">
            <v>5.0741800000000001</v>
          </cell>
          <cell r="DI48">
            <v>4.7569600000000003</v>
          </cell>
          <cell r="DJ48">
            <v>4.4397400000000005</v>
          </cell>
          <cell r="DK48">
            <v>4.1225200000000006</v>
          </cell>
          <cell r="DL48">
            <v>3.8053000000000003</v>
          </cell>
          <cell r="DM48">
            <v>3.0764</v>
          </cell>
          <cell r="DN48">
            <v>4.2906000000000004</v>
          </cell>
          <cell r="DO48">
            <v>5.0010000000000003</v>
          </cell>
          <cell r="DP48">
            <v>-1.2909000000000002</v>
          </cell>
          <cell r="DQ48">
            <v>0.50509999999999999</v>
          </cell>
          <cell r="DR48">
            <v>-1.4610999999999998</v>
          </cell>
          <cell r="DS48">
            <v>-2.9683999999999999</v>
          </cell>
          <cell r="DT48">
            <v>-3.8461211640210422</v>
          </cell>
          <cell r="DU48">
            <v>-4.7969103083378286</v>
          </cell>
          <cell r="DV48">
            <v>-5.747699452654615</v>
          </cell>
          <cell r="DW48">
            <v>-6.6984885969714014</v>
          </cell>
        </row>
        <row r="49">
          <cell r="CR49">
            <v>1.883046</v>
          </cell>
          <cell r="CS49">
            <v>2.174042</v>
          </cell>
          <cell r="CT49">
            <v>3.2525110000000002</v>
          </cell>
          <cell r="CU49">
            <v>4.9092190000000002</v>
          </cell>
          <cell r="CV49">
            <v>4.1949949999999996</v>
          </cell>
          <cell r="CW49">
            <v>5.8914169999999997</v>
          </cell>
          <cell r="CX49">
            <v>6.2259989999999998</v>
          </cell>
          <cell r="CY49">
            <v>8.1065070000000006</v>
          </cell>
          <cell r="CZ49">
            <v>9.5616040000000009</v>
          </cell>
          <cell r="DA49">
            <v>9.0722609999999992</v>
          </cell>
          <cell r="DB49">
            <v>15.080484</v>
          </cell>
          <cell r="DC49">
            <v>13.642139999999999</v>
          </cell>
          <cell r="DD49">
            <v>11.334485000000001</v>
          </cell>
          <cell r="DE49">
            <v>12.598314</v>
          </cell>
          <cell r="DF49">
            <v>13.69744</v>
          </cell>
          <cell r="DG49">
            <v>11.502656</v>
          </cell>
          <cell r="DH49">
            <v>14.080140999999999</v>
          </cell>
          <cell r="DI49">
            <v>15.091856999999999</v>
          </cell>
          <cell r="DJ49">
            <v>16.297232000000001</v>
          </cell>
          <cell r="DK49">
            <v>15.797539</v>
          </cell>
          <cell r="DL49">
            <v>17.334689000000001</v>
          </cell>
          <cell r="DM49">
            <v>17.399298999999999</v>
          </cell>
          <cell r="DN49">
            <v>21.273336</v>
          </cell>
          <cell r="DO49">
            <v>19.592528999999999</v>
          </cell>
          <cell r="DP49">
            <v>22.045503</v>
          </cell>
          <cell r="DQ49">
            <v>20.658231000000001</v>
          </cell>
          <cell r="DR49">
            <v>21.529122999999998</v>
          </cell>
          <cell r="DS49">
            <v>21.126128999999999</v>
          </cell>
          <cell r="DT49">
            <v>23.4129</v>
          </cell>
          <cell r="DU49">
            <v>28.365431000000001</v>
          </cell>
          <cell r="DV49">
            <v>27.207307</v>
          </cell>
          <cell r="DW49">
            <v>26.578228574193417</v>
          </cell>
        </row>
        <row r="50">
          <cell r="CR50">
            <v>-6.3121998314436523</v>
          </cell>
          <cell r="CS50">
            <v>-7.4831924028521941</v>
          </cell>
          <cell r="CT50">
            <v>-7.5822579962733814</v>
          </cell>
          <cell r="CU50">
            <v>-7.7485273056977571</v>
          </cell>
          <cell r="CV50">
            <v>-8.0177127327289792</v>
          </cell>
          <cell r="CW50">
            <v>-8.5046954464373812</v>
          </cell>
          <cell r="CX50">
            <v>-8.1500721079154879</v>
          </cell>
          <cell r="CY50">
            <v>-7.5417413484613611</v>
          </cell>
          <cell r="CZ50">
            <v>-7.3485518167390858</v>
          </cell>
          <cell r="DA50">
            <v>-8.1430708051420844</v>
          </cell>
          <cell r="DB50">
            <v>-6.6954277969184588</v>
          </cell>
          <cell r="DC50">
            <v>-7.9411743285173184</v>
          </cell>
          <cell r="DD50">
            <v>-8.2226798320357641</v>
          </cell>
          <cell r="DE50">
            <v>-7.3993839379830622</v>
          </cell>
          <cell r="DF50">
            <v>-7.7283272432491286</v>
          </cell>
          <cell r="DG50">
            <v>-7.968676276499413</v>
          </cell>
          <cell r="DH50">
            <v>-7.7856369460078367</v>
          </cell>
          <cell r="DI50">
            <v>-6.6362020704784097</v>
          </cell>
          <cell r="DJ50">
            <v>-6.8396782002171479</v>
          </cell>
          <cell r="DK50">
            <v>-6.9414985139186989</v>
          </cell>
          <cell r="DL50">
            <v>-6.8876290218400662</v>
          </cell>
          <cell r="DM50">
            <v>-5.6181393402431494</v>
          </cell>
          <cell r="DN50">
            <v>-5.1808694095767063</v>
          </cell>
          <cell r="DO50">
            <v>-6.1477380318052299</v>
          </cell>
          <cell r="DP50">
            <v>-6.0060800266999488</v>
          </cell>
          <cell r="DQ50">
            <v>-5.6983988320062027</v>
          </cell>
          <cell r="DR50">
            <v>-5.7084928433501156</v>
          </cell>
          <cell r="DS50">
            <v>-4.8957334192509316</v>
          </cell>
          <cell r="DT50">
            <v>-5.5038253934152408</v>
          </cell>
          <cell r="DU50">
            <v>-5.735838097810726</v>
          </cell>
          <cell r="DV50">
            <v>-5.6667896153969712</v>
          </cell>
          <cell r="DW50">
            <v>-5.8023658598187957</v>
          </cell>
        </row>
        <row r="51">
          <cell r="CR51">
            <v>-15.07588</v>
          </cell>
          <cell r="CS51">
            <v>-15.300153</v>
          </cell>
          <cell r="CT51">
            <v>-15.524426</v>
          </cell>
          <cell r="CU51">
            <v>-15.748699</v>
          </cell>
          <cell r="CV51">
            <v>-15.972972</v>
          </cell>
          <cell r="CW51">
            <v>-16.197244999999999</v>
          </cell>
          <cell r="CX51">
            <v>-16.421517999999999</v>
          </cell>
          <cell r="CY51">
            <v>-16.645790999999999</v>
          </cell>
          <cell r="CZ51">
            <v>-16.870063999999999</v>
          </cell>
          <cell r="DA51">
            <v>-17.094336999999999</v>
          </cell>
          <cell r="DB51">
            <v>-17.31861</v>
          </cell>
          <cell r="DC51">
            <v>-17.970634</v>
          </cell>
          <cell r="DD51">
            <v>-18.622658000000001</v>
          </cell>
          <cell r="DE51">
            <v>-19.274682000000002</v>
          </cell>
          <cell r="DF51">
            <v>-19.926706000000003</v>
          </cell>
          <cell r="DG51">
            <v>-20.578730000000004</v>
          </cell>
          <cell r="DH51">
            <v>-21.230754000000005</v>
          </cell>
          <cell r="DI51">
            <v>-21.882778000000005</v>
          </cell>
          <cell r="DJ51">
            <v>-22.534802000000006</v>
          </cell>
          <cell r="DK51">
            <v>-23.186826000000007</v>
          </cell>
          <cell r="DL51">
            <v>-23.838849999999997</v>
          </cell>
          <cell r="DM51">
            <v>-23.928844999999999</v>
          </cell>
          <cell r="DN51">
            <v>-24.018840000000001</v>
          </cell>
          <cell r="DO51">
            <v>-25.253170000000001</v>
          </cell>
          <cell r="DP51">
            <v>-26.487500000000001</v>
          </cell>
          <cell r="DQ51">
            <v>-26.747599999999998</v>
          </cell>
          <cell r="DR51">
            <v>-27.0077</v>
          </cell>
          <cell r="DS51">
            <v>-26.856001339031309</v>
          </cell>
          <cell r="DT51">
            <v>-27.343967651607727</v>
          </cell>
          <cell r="DU51">
            <v>-27.831933964183918</v>
          </cell>
          <cell r="DV51">
            <v>-28.319900276760336</v>
          </cell>
          <cell r="DW51">
            <v>-28.807866589336527</v>
          </cell>
        </row>
        <row r="52">
          <cell r="CR52">
            <v>-0.1530693026467364</v>
          </cell>
          <cell r="CS52">
            <v>-0.16698752427069821</v>
          </cell>
          <cell r="CT52">
            <v>-0.17265532921246482</v>
          </cell>
          <cell r="CU52">
            <v>-0.17481343688365489</v>
          </cell>
          <cell r="CV52">
            <v>-0.18336086817964295</v>
          </cell>
          <cell r="CW52">
            <v>-0.18004724066732755</v>
          </cell>
          <cell r="CX52">
            <v>-0.1853727058797292</v>
          </cell>
          <cell r="CY52">
            <v>-0.18423267488834214</v>
          </cell>
          <cell r="CZ52">
            <v>-0.19051034957017088</v>
          </cell>
          <cell r="DA52">
            <v>-0.19839826060325685</v>
          </cell>
          <cell r="DB52">
            <v>-0.14252874031973714</v>
          </cell>
          <cell r="DC52">
            <v>-0.16864498476141621</v>
          </cell>
          <cell r="DD52">
            <v>-0.2020112546570586</v>
          </cell>
          <cell r="DE52">
            <v>-0.21412012843069647</v>
          </cell>
          <cell r="DF52">
            <v>-0.21467748889960719</v>
          </cell>
          <cell r="DG52">
            <v>-0.22098178959029857</v>
          </cell>
          <cell r="DH52">
            <v>-0.22266817149429272</v>
          </cell>
          <cell r="DI52">
            <v>-0.18307598211375703</v>
          </cell>
          <cell r="DJ52">
            <v>-0.25003380465910002</v>
          </cell>
          <cell r="DK52">
            <v>-0.2778555614836356</v>
          </cell>
          <cell r="DL52">
            <v>-0.26524501335598505</v>
          </cell>
          <cell r="DM52">
            <v>-0.30099176586839826</v>
          </cell>
          <cell r="DN52">
            <v>-0.29384031474500111</v>
          </cell>
          <cell r="DO52">
            <v>-0.29750262805867489</v>
          </cell>
          <cell r="DP52">
            <v>-0.29932589788814279</v>
          </cell>
          <cell r="DQ52">
            <v>-0.29632369325676211</v>
          </cell>
          <cell r="DR52">
            <v>-0.19110984741694392</v>
          </cell>
          <cell r="DS52">
            <v>-0.30724850324927144</v>
          </cell>
          <cell r="DT52">
            <v>-0.30252850744990956</v>
          </cell>
          <cell r="DU52">
            <v>-0.29725823001343615</v>
          </cell>
          <cell r="DV52">
            <v>-0.29876105859942059</v>
          </cell>
          <cell r="DW52">
            <v>-0.2355193441706073</v>
          </cell>
        </row>
        <row r="53">
          <cell r="CR53">
            <v>-8.5875223889475798</v>
          </cell>
          <cell r="CS53">
            <v>-9.9366668171701349</v>
          </cell>
          <cell r="CT53">
            <v>-10.071234030313505</v>
          </cell>
          <cell r="CU53">
            <v>-10.688773177777694</v>
          </cell>
          <cell r="CV53">
            <v>-9.3843512326913032</v>
          </cell>
          <cell r="CW53">
            <v>-9.6785222508945239</v>
          </cell>
          <cell r="CX53">
            <v>-9.4141822050204276</v>
          </cell>
          <cell r="CY53">
            <v>-8.4651419191498878</v>
          </cell>
          <cell r="CZ53">
            <v>-8.1564706856991247</v>
          </cell>
          <cell r="DA53">
            <v>-8.3881001009553078</v>
          </cell>
          <cell r="DB53">
            <v>-9.1688875846023858</v>
          </cell>
          <cell r="DC53">
            <v>-9.1615205112364944</v>
          </cell>
          <cell r="DD53">
            <v>-8.929815933448328</v>
          </cell>
          <cell r="DE53">
            <v>-8.3185358123744386</v>
          </cell>
          <cell r="DF53">
            <v>-8.1440178054667598</v>
          </cell>
          <cell r="DG53">
            <v>-8.2589905954402489</v>
          </cell>
          <cell r="DH53">
            <v>-7.0786880030823394</v>
          </cell>
          <cell r="DI53">
            <v>-6.5083690665973029</v>
          </cell>
          <cell r="DJ53">
            <v>-7.8443009400790942</v>
          </cell>
          <cell r="DK53">
            <v>-7.7866560058594958</v>
          </cell>
          <cell r="DL53">
            <v>-7.1557792978009589</v>
          </cell>
          <cell r="DM53">
            <v>-7.5202133474540123</v>
          </cell>
          <cell r="DN53">
            <v>-7.6949719069131612</v>
          </cell>
          <cell r="DO53">
            <v>-7.082572830605244</v>
          </cell>
          <cell r="DP53">
            <v>-7.0353194083000457</v>
          </cell>
          <cell r="DQ53">
            <v>-6.9650392768871887</v>
          </cell>
          <cell r="DR53">
            <v>-6.108180806242105</v>
          </cell>
          <cell r="DS53">
            <v>-4.499656016991227</v>
          </cell>
          <cell r="DT53">
            <v>1.0013776643563999</v>
          </cell>
          <cell r="DU53">
            <v>7.7776033474416417</v>
          </cell>
          <cell r="DV53">
            <v>11.267387431388597</v>
          </cell>
          <cell r="DW53">
            <v>8.3575322025978913</v>
          </cell>
        </row>
        <row r="54">
          <cell r="CR54">
            <v>6.9310202836146164</v>
          </cell>
          <cell r="CS54">
            <v>6.2467956677468095</v>
          </cell>
          <cell r="CT54">
            <v>7.1724788448189072</v>
          </cell>
          <cell r="CU54">
            <v>5.8351979106214475</v>
          </cell>
          <cell r="CV54">
            <v>5.3811054972527828</v>
          </cell>
          <cell r="CW54">
            <v>5.4618043098618561</v>
          </cell>
          <cell r="CX54">
            <v>4.8049034168205695</v>
          </cell>
          <cell r="CY54">
            <v>5.2649967044785875</v>
          </cell>
          <cell r="CZ54">
            <v>5.1533592830079566</v>
          </cell>
          <cell r="DA54">
            <v>5.4492872430275421</v>
          </cell>
          <cell r="DB54">
            <v>5.2033765958543396</v>
          </cell>
          <cell r="DC54">
            <v>4.7136216081465507</v>
          </cell>
          <cell r="DD54">
            <v>5.7296141282229556</v>
          </cell>
          <cell r="DE54">
            <v>5.4695386527619645</v>
          </cell>
          <cell r="DF54">
            <v>5.2139125055924307</v>
          </cell>
          <cell r="DG54">
            <v>5.1799940523837487</v>
          </cell>
          <cell r="DH54">
            <v>5.3436380632426825</v>
          </cell>
          <cell r="DI54">
            <v>5.635500010721775</v>
          </cell>
          <cell r="DJ54">
            <v>4.1997376355385949</v>
          </cell>
          <cell r="DK54">
            <v>3.4836253895933882</v>
          </cell>
          <cell r="DL54">
            <v>2.5531573897284159</v>
          </cell>
          <cell r="DM54">
            <v>2.0006158015782347</v>
          </cell>
          <cell r="DN54">
            <v>1.5636933327111637</v>
          </cell>
          <cell r="DO54">
            <v>1.1987343326201918</v>
          </cell>
          <cell r="DP54">
            <v>1.9099134519910459</v>
          </cell>
          <cell r="DQ54">
            <v>0.88530793961080489</v>
          </cell>
          <cell r="DR54">
            <v>1.9669533102056793</v>
          </cell>
          <cell r="DS54">
            <v>1.9164927602665423</v>
          </cell>
          <cell r="DT54">
            <v>3.8210930811456971</v>
          </cell>
          <cell r="DU54">
            <v>2.9900185670731552</v>
          </cell>
          <cell r="DV54">
            <v>3.1379597211977632</v>
          </cell>
          <cell r="DW54">
            <v>2.4563489269048611</v>
          </cell>
        </row>
        <row r="55">
          <cell r="CR55">
            <v>-1.5</v>
          </cell>
          <cell r="CS55">
            <v>-1.5</v>
          </cell>
          <cell r="CT55">
            <v>-1.5</v>
          </cell>
          <cell r="CU55">
            <v>-1.5</v>
          </cell>
          <cell r="CV55">
            <v>-1.5</v>
          </cell>
          <cell r="CW55">
            <v>-1.5</v>
          </cell>
          <cell r="CX55">
            <v>-1.5</v>
          </cell>
          <cell r="CY55">
            <v>-1.5</v>
          </cell>
          <cell r="CZ55">
            <v>-1.5</v>
          </cell>
          <cell r="DA55">
            <v>-1.5</v>
          </cell>
          <cell r="DB55">
            <v>-1.5</v>
          </cell>
          <cell r="DC55">
            <v>-1.5</v>
          </cell>
          <cell r="DD55">
            <v>-1.5</v>
          </cell>
          <cell r="DE55">
            <v>-1.5</v>
          </cell>
          <cell r="DF55">
            <v>-1.5</v>
          </cell>
          <cell r="DG55">
            <v>-1.5</v>
          </cell>
          <cell r="DH55">
            <v>-1.5</v>
          </cell>
          <cell r="DI55">
            <v>-1.5</v>
          </cell>
          <cell r="DJ55">
            <v>-1.5</v>
          </cell>
          <cell r="DK55">
            <v>-1.5</v>
          </cell>
          <cell r="DL55">
            <v>-7</v>
          </cell>
          <cell r="DM55">
            <v>-7.3</v>
          </cell>
          <cell r="DN55">
            <v>-7</v>
          </cell>
          <cell r="DO55">
            <v>-7</v>
          </cell>
          <cell r="DP55">
            <v>-7</v>
          </cell>
          <cell r="DQ55">
            <v>-7</v>
          </cell>
          <cell r="DR55">
            <v>-7</v>
          </cell>
          <cell r="DS55">
            <v>-7</v>
          </cell>
          <cell r="DT55">
            <v>-7</v>
          </cell>
          <cell r="DU55">
            <v>-7</v>
          </cell>
          <cell r="DV55">
            <v>-7</v>
          </cell>
          <cell r="DW55">
            <v>-7.3761290322580066</v>
          </cell>
        </row>
        <row r="56">
          <cell r="CR56">
            <v>-0.37185000000000001</v>
          </cell>
          <cell r="CS56">
            <v>-0.37185000000000001</v>
          </cell>
          <cell r="CT56">
            <v>-0.37185000000000001</v>
          </cell>
          <cell r="CU56">
            <v>-0.37185000000000001</v>
          </cell>
          <cell r="CV56">
            <v>-0.37185000000000001</v>
          </cell>
          <cell r="CW56">
            <v>-0.33258783333333336</v>
          </cell>
          <cell r="CX56">
            <v>-0.29332566666666671</v>
          </cell>
          <cell r="CY56">
            <v>-0.25406350000000005</v>
          </cell>
          <cell r="CZ56">
            <v>-0.21480133333333337</v>
          </cell>
          <cell r="DA56">
            <v>-0.17553916666666669</v>
          </cell>
          <cell r="DB56">
            <v>-0.13627699999999998</v>
          </cell>
          <cell r="DC56">
            <v>-0.1376</v>
          </cell>
          <cell r="DD56">
            <v>-0.1326</v>
          </cell>
          <cell r="DE56">
            <v>-0.13159999999999999</v>
          </cell>
          <cell r="DF56">
            <v>-0.12959999999999999</v>
          </cell>
          <cell r="DG56">
            <v>-0.12759999999999999</v>
          </cell>
          <cell r="DH56">
            <v>-0.34012766666666661</v>
          </cell>
          <cell r="DI56">
            <v>-0.55265533333333328</v>
          </cell>
          <cell r="DJ56">
            <v>-0.76518299999999995</v>
          </cell>
          <cell r="DK56">
            <v>-0.97771066666666662</v>
          </cell>
          <cell r="DL56">
            <v>-1.1902383333333333</v>
          </cell>
          <cell r="DM56">
            <v>-1.402766</v>
          </cell>
          <cell r="DN56">
            <v>-1.6152936666666666</v>
          </cell>
          <cell r="DO56">
            <v>-1.8278213333333333</v>
          </cell>
          <cell r="DP56">
            <v>-2.040349</v>
          </cell>
          <cell r="DQ56">
            <v>-2.2528766666666664</v>
          </cell>
          <cell r="DR56">
            <v>-2.4654043333333329</v>
          </cell>
          <cell r="DS56">
            <v>-2.6779319999999998</v>
          </cell>
          <cell r="DT56">
            <v>-1.932914298941796</v>
          </cell>
          <cell r="DU56">
            <v>-2.0119497616767035</v>
          </cell>
          <cell r="DV56">
            <v>-2.0909852244116109</v>
          </cell>
          <cell r="DW56">
            <v>-2.17002068714649</v>
          </cell>
        </row>
        <row r="57">
          <cell r="CR57">
            <v>-5.5559899999999995</v>
          </cell>
          <cell r="CS57">
            <v>-5.7930475000000001</v>
          </cell>
          <cell r="CT57">
            <v>-6.0301050000000007</v>
          </cell>
          <cell r="CU57">
            <v>-6.2671625000000013</v>
          </cell>
          <cell r="CV57">
            <v>-6.5042200000000001</v>
          </cell>
          <cell r="CW57">
            <v>-8.5525333333333329</v>
          </cell>
          <cell r="CX57">
            <v>-10.600846666666666</v>
          </cell>
          <cell r="CY57">
            <v>-12.649159999999998</v>
          </cell>
          <cell r="CZ57">
            <v>-14.697473333333331</v>
          </cell>
          <cell r="DA57">
            <v>-16.745786666666664</v>
          </cell>
          <cell r="DB57">
            <v>-18.7941</v>
          </cell>
          <cell r="DC57">
            <v>-18.177993000000001</v>
          </cell>
          <cell r="DD57">
            <v>-17.561886000000001</v>
          </cell>
          <cell r="DE57">
            <v>-16.945779000000002</v>
          </cell>
          <cell r="DF57">
            <v>-16.329672000000002</v>
          </cell>
          <cell r="DG57">
            <v>-15.713565000000003</v>
          </cell>
          <cell r="DH57">
            <v>-15.097458000000003</v>
          </cell>
          <cell r="DI57">
            <v>-14.481351000000004</v>
          </cell>
          <cell r="DJ57">
            <v>-13.865244000000004</v>
          </cell>
          <cell r="DK57">
            <v>-13.249137000000005</v>
          </cell>
          <cell r="DL57">
            <v>-12.633030000000002</v>
          </cell>
          <cell r="DM57">
            <v>-12.276782000000001</v>
          </cell>
          <cell r="DN57">
            <v>-11.920534</v>
          </cell>
          <cell r="DO57">
            <v>-11.564285999999999</v>
          </cell>
          <cell r="DP57">
            <v>-11.208037999999998</v>
          </cell>
          <cell r="DQ57">
            <v>-10.851790000000001</v>
          </cell>
          <cell r="DR57">
            <v>-15.476438215384576</v>
          </cell>
          <cell r="DS57">
            <v>-15.699573325356084</v>
          </cell>
          <cell r="DT57">
            <v>-15.92270843532765</v>
          </cell>
          <cell r="DU57">
            <v>-16.145843545299101</v>
          </cell>
          <cell r="DV57">
            <v>-16.368978655270666</v>
          </cell>
          <cell r="DW57">
            <v>-16.592113765242118</v>
          </cell>
        </row>
        <row r="58">
          <cell r="CR58">
            <v>62.708446354647251</v>
          </cell>
          <cell r="CS58">
            <v>62.708446354647251</v>
          </cell>
          <cell r="CT58">
            <v>62.708446354647251</v>
          </cell>
          <cell r="CU58">
            <v>62.708446354647251</v>
          </cell>
          <cell r="CV58">
            <v>62.708446354647251</v>
          </cell>
          <cell r="CW58">
            <v>59.340757935146165</v>
          </cell>
          <cell r="CX58">
            <v>55.973069515645079</v>
          </cell>
          <cell r="CY58">
            <v>52.605381096143994</v>
          </cell>
          <cell r="CZ58">
            <v>49.237692676642908</v>
          </cell>
          <cell r="DA58">
            <v>45.870004257141822</v>
          </cell>
          <cell r="DB58">
            <v>42.502315837640751</v>
          </cell>
          <cell r="DC58">
            <v>42.017972460915516</v>
          </cell>
          <cell r="DD58">
            <v>41.533629084190281</v>
          </cell>
          <cell r="DE58">
            <v>41.049285707465046</v>
          </cell>
          <cell r="DF58">
            <v>40.564942330739811</v>
          </cell>
          <cell r="DG58">
            <v>40.080598954014576</v>
          </cell>
          <cell r="DH58">
            <v>39.596255577289355</v>
          </cell>
          <cell r="DI58">
            <v>38.869740512201503</v>
          </cell>
          <cell r="DJ58">
            <v>38.14322544711365</v>
          </cell>
          <cell r="DK58">
            <v>37.416710382025798</v>
          </cell>
          <cell r="DL58">
            <v>26.47794981589476</v>
          </cell>
          <cell r="DM58">
            <v>25.382648791964449</v>
          </cell>
          <cell r="DN58">
            <v>24.287347768034138</v>
          </cell>
          <cell r="DO58">
            <v>22.284824949849607</v>
          </cell>
          <cell r="DP58">
            <v>20.282302131665077</v>
          </cell>
          <cell r="DQ58">
            <v>23.081293689139379</v>
          </cell>
          <cell r="DR58">
            <v>25.880285246613678</v>
          </cell>
          <cell r="DS58">
            <v>21.081571476575967</v>
          </cell>
          <cell r="DT58">
            <v>16.282857706538259</v>
          </cell>
          <cell r="DU58">
            <v>15.082459063171427</v>
          </cell>
          <cell r="DV58">
            <v>13.367531287788097</v>
          </cell>
          <cell r="DW58">
            <v>11.652603512404312</v>
          </cell>
        </row>
        <row r="60">
          <cell r="CR60">
            <v>4.2776699999999996</v>
          </cell>
          <cell r="CS60">
            <v>4.2776699999999996</v>
          </cell>
          <cell r="CT60">
            <v>4.2776699999999996</v>
          </cell>
          <cell r="CU60">
            <v>4.2776699999999996</v>
          </cell>
          <cell r="CV60">
            <v>4.2776699999999996</v>
          </cell>
          <cell r="CW60">
            <v>4.2776699999999996</v>
          </cell>
          <cell r="CX60">
            <v>4.2776699999999996</v>
          </cell>
          <cell r="CY60">
            <v>4.2776699999999996</v>
          </cell>
          <cell r="CZ60">
            <v>4.2776699999999996</v>
          </cell>
          <cell r="DA60">
            <v>4.2776699999999996</v>
          </cell>
          <cell r="DB60">
            <v>4.2776699999999996</v>
          </cell>
          <cell r="DC60">
            <v>4.6872149999999992</v>
          </cell>
          <cell r="DD60">
            <v>5.0967599999999988</v>
          </cell>
          <cell r="DE60">
            <v>5.5063049999999985</v>
          </cell>
          <cell r="DF60">
            <v>5.9158499999999981</v>
          </cell>
          <cell r="DG60">
            <v>6.3253949999999977</v>
          </cell>
          <cell r="DH60">
            <v>6.7349399999999973</v>
          </cell>
          <cell r="DI60">
            <v>7.1444849999999969</v>
          </cell>
          <cell r="DJ60">
            <v>7.5540299999999965</v>
          </cell>
          <cell r="DK60">
            <v>7.9635749999999961</v>
          </cell>
          <cell r="DL60">
            <v>8.3731199999999966</v>
          </cell>
          <cell r="DM60">
            <v>8.7826649999999962</v>
          </cell>
          <cell r="DN60">
            <v>9.1922099999999958</v>
          </cell>
          <cell r="DO60">
            <v>9.6017549999999954</v>
          </cell>
          <cell r="DP60">
            <v>10.011299999999999</v>
          </cell>
          <cell r="DQ60">
            <v>9.2945962499999837</v>
          </cell>
          <cell r="DR60">
            <v>9.5481991153846479</v>
          </cell>
          <cell r="DS60">
            <v>9.8018019807692554</v>
          </cell>
          <cell r="DT60">
            <v>10.055404846153863</v>
          </cell>
          <cell r="DU60">
            <v>10.309007711538413</v>
          </cell>
          <cell r="DV60">
            <v>10.562610576923078</v>
          </cell>
          <cell r="DW60">
            <v>10.816213442307742</v>
          </cell>
        </row>
        <row r="61">
          <cell r="CR61">
            <v>-8.7040000000000006</v>
          </cell>
          <cell r="CS61">
            <v>-8.7040000000000006</v>
          </cell>
          <cell r="CT61">
            <v>-8.7040000000000006</v>
          </cell>
          <cell r="CU61">
            <v>-8.7040000000000006</v>
          </cell>
          <cell r="CV61">
            <v>-8.7040000000000006</v>
          </cell>
          <cell r="CW61">
            <v>-8.7040000000000006</v>
          </cell>
          <cell r="CX61">
            <v>-8.7040000000000006</v>
          </cell>
          <cell r="CY61">
            <v>-8.7040000000000006</v>
          </cell>
          <cell r="CZ61">
            <v>-8.7040000000000006</v>
          </cell>
          <cell r="DA61">
            <v>-8.7040000000000006</v>
          </cell>
          <cell r="DB61">
            <v>-8.7040000000000006</v>
          </cell>
          <cell r="DC61">
            <v>-8.7040000000000006</v>
          </cell>
          <cell r="DD61">
            <v>-8.7040000000000006</v>
          </cell>
          <cell r="DE61">
            <v>-8.7040000000000006</v>
          </cell>
          <cell r="DF61">
            <v>-8.7040000000000006</v>
          </cell>
          <cell r="DG61">
            <v>-8.7040000000000006</v>
          </cell>
          <cell r="DH61">
            <v>-8.7040000000000006</v>
          </cell>
          <cell r="DI61">
            <v>-8.7040000000000006</v>
          </cell>
          <cell r="DJ61">
            <v>-8.7040000000000006</v>
          </cell>
          <cell r="DK61">
            <v>-8.7040000000000006</v>
          </cell>
          <cell r="DL61">
            <v>-8.7040000000000006</v>
          </cell>
          <cell r="DM61">
            <v>-8.7040000000000006</v>
          </cell>
          <cell r="DN61">
            <v>-8.7040000000000006</v>
          </cell>
          <cell r="DO61">
            <v>-8.7040000000000006</v>
          </cell>
          <cell r="DP61">
            <v>-8.704000000000006</v>
          </cell>
          <cell r="DQ61">
            <v>-8.7040000000000077</v>
          </cell>
          <cell r="DR61">
            <v>-8.704000000000006</v>
          </cell>
          <cell r="DS61">
            <v>-8.7040000000000077</v>
          </cell>
          <cell r="DT61">
            <v>-8.7040000000000095</v>
          </cell>
          <cell r="DU61">
            <v>-8.7040000000000095</v>
          </cell>
          <cell r="DV61">
            <v>-8.7040000000000095</v>
          </cell>
          <cell r="DW61">
            <v>-8.7040000000000113</v>
          </cell>
        </row>
        <row r="62">
          <cell r="CR62">
            <v>-0.23088</v>
          </cell>
          <cell r="CS62">
            <v>-0.23088</v>
          </cell>
          <cell r="CT62">
            <v>-0.23088</v>
          </cell>
          <cell r="CU62">
            <v>-0.23088</v>
          </cell>
          <cell r="CV62">
            <v>-0.23088</v>
          </cell>
          <cell r="CW62">
            <v>-0.23088</v>
          </cell>
          <cell r="CX62">
            <v>-0.23088</v>
          </cell>
          <cell r="CY62">
            <v>-0.23088</v>
          </cell>
          <cell r="CZ62">
            <v>-0.23088</v>
          </cell>
          <cell r="DA62">
            <v>-0.23088</v>
          </cell>
          <cell r="DB62">
            <v>-0.23088</v>
          </cell>
          <cell r="DC62">
            <v>-0.22992666666666667</v>
          </cell>
          <cell r="DD62">
            <v>-0.22897333333333333</v>
          </cell>
          <cell r="DE62">
            <v>-0.22802</v>
          </cell>
          <cell r="DF62">
            <v>-0.22706666666666667</v>
          </cell>
          <cell r="DG62">
            <v>-0.22611333333333333</v>
          </cell>
          <cell r="DH62">
            <v>-0.22516</v>
          </cell>
          <cell r="DI62">
            <v>-0.22372999999999998</v>
          </cell>
          <cell r="DJ62">
            <v>-0.2223</v>
          </cell>
          <cell r="DK62">
            <v>-0.22087000000000001</v>
          </cell>
          <cell r="DL62">
            <v>-0.21859999999999999</v>
          </cell>
          <cell r="DM62">
            <v>-0.21671599999999999</v>
          </cell>
          <cell r="DN62">
            <v>-0.214832</v>
          </cell>
          <cell r="DO62">
            <v>-0.212948</v>
          </cell>
          <cell r="DP62">
            <v>-0.211064</v>
          </cell>
          <cell r="DQ62">
            <v>-0.20918</v>
          </cell>
          <cell r="DR62">
            <v>-0.20779033333333333</v>
          </cell>
          <cell r="DS62">
            <v>-0.20640066666666665</v>
          </cell>
          <cell r="DT62">
            <v>-0.205011</v>
          </cell>
          <cell r="DU62">
            <v>-0.20870213793103454</v>
          </cell>
          <cell r="DV62">
            <v>-0.20773197701149404</v>
          </cell>
          <cell r="DW62">
            <v>-0.20676181609195399</v>
          </cell>
        </row>
        <row r="63">
          <cell r="CR63">
            <v>-3.6954824849486863</v>
          </cell>
          <cell r="CS63">
            <v>-3.5684702712724983</v>
          </cell>
          <cell r="CT63">
            <v>-2.5629902804185494</v>
          </cell>
          <cell r="CU63">
            <v>-3.7129392707405189</v>
          </cell>
          <cell r="CV63">
            <v>-3.1324409586833259</v>
          </cell>
          <cell r="CW63">
            <v>-3.3452951353583353</v>
          </cell>
          <cell r="CX63">
            <v>-3.7057958802426549</v>
          </cell>
          <cell r="CY63">
            <v>-3.8293008390735137</v>
          </cell>
          <cell r="CZ63">
            <v>-4.3361937418849497</v>
          </cell>
          <cell r="DA63">
            <v>-3.8959155224819955</v>
          </cell>
          <cell r="DB63">
            <v>-4.6787405431773674</v>
          </cell>
          <cell r="DC63">
            <v>-4.9190106642985754</v>
          </cell>
          <cell r="DD63">
            <v>-4.5963665611260458</v>
          </cell>
          <cell r="DE63">
            <v>-4.2636953763147298</v>
          </cell>
          <cell r="DF63">
            <v>-4.7283874848985965</v>
          </cell>
          <cell r="DG63">
            <v>-2.7545514688695474</v>
          </cell>
          <cell r="DH63">
            <v>-4.3343351041260716</v>
          </cell>
          <cell r="DI63">
            <v>-3.8966468760226434</v>
          </cell>
          <cell r="DJ63">
            <v>-5.1624328210471564</v>
          </cell>
          <cell r="DK63">
            <v>-4.8030057180089409</v>
          </cell>
          <cell r="DL63">
            <v>-5.4855189688282691</v>
          </cell>
          <cell r="DM63">
            <v>-5.2032182935511235</v>
          </cell>
          <cell r="DN63">
            <v>-3.5622582401386826</v>
          </cell>
          <cell r="DO63">
            <v>-2.7051942458716431</v>
          </cell>
          <cell r="DP63">
            <v>-0.26377553038445467</v>
          </cell>
          <cell r="DQ63">
            <v>-0.78782845446645566</v>
          </cell>
          <cell r="DR63">
            <v>-0.15461935477019961</v>
          </cell>
          <cell r="DS63">
            <v>0.26514000663433718</v>
          </cell>
          <cell r="DT63">
            <v>2.2524445264365176</v>
          </cell>
          <cell r="DU63">
            <v>1.1444637086487064</v>
          </cell>
          <cell r="DV63">
            <v>2.5038842991506196</v>
          </cell>
          <cell r="DW63">
            <v>2.8773284423441208</v>
          </cell>
        </row>
        <row r="65">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v>0</v>
          </cell>
          <cell r="DU65">
            <v>0</v>
          </cell>
          <cell r="DV65">
            <v>0</v>
          </cell>
          <cell r="DW65">
            <v>0</v>
          </cell>
        </row>
        <row r="66">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0</v>
          </cell>
          <cell r="DM66">
            <v>0</v>
          </cell>
          <cell r="DN66">
            <v>0</v>
          </cell>
          <cell r="DO66">
            <v>0</v>
          </cell>
          <cell r="DP66">
            <v>0</v>
          </cell>
          <cell r="DQ66">
            <v>0</v>
          </cell>
          <cell r="DR66">
            <v>0</v>
          </cell>
          <cell r="DS66">
            <v>0</v>
          </cell>
          <cell r="DT66">
            <v>0</v>
          </cell>
          <cell r="DU66">
            <v>0</v>
          </cell>
          <cell r="DV66">
            <v>0</v>
          </cell>
          <cell r="DW66">
            <v>0</v>
          </cell>
        </row>
        <row r="67">
          <cell r="CR67">
            <v>0.31</v>
          </cell>
          <cell r="CS67">
            <v>0.31</v>
          </cell>
          <cell r="CT67">
            <v>0.31</v>
          </cell>
          <cell r="CU67">
            <v>0.31</v>
          </cell>
          <cell r="CV67">
            <v>0.31</v>
          </cell>
          <cell r="CW67">
            <v>0.31</v>
          </cell>
          <cell r="CX67">
            <v>0.31</v>
          </cell>
          <cell r="CY67">
            <v>0.31</v>
          </cell>
          <cell r="CZ67">
            <v>0.31</v>
          </cell>
          <cell r="DA67">
            <v>0.31</v>
          </cell>
          <cell r="DB67">
            <v>0.31</v>
          </cell>
          <cell r="DC67">
            <v>0.31</v>
          </cell>
          <cell r="DD67">
            <v>0.31</v>
          </cell>
          <cell r="DE67">
            <v>0.31</v>
          </cell>
          <cell r="DF67">
            <v>0.31</v>
          </cell>
          <cell r="DG67">
            <v>0.31</v>
          </cell>
          <cell r="DH67">
            <v>0.31</v>
          </cell>
          <cell r="DI67">
            <v>0.33</v>
          </cell>
          <cell r="DJ67">
            <v>0.56999999999999995</v>
          </cell>
          <cell r="DK67">
            <v>-0.25</v>
          </cell>
          <cell r="DL67">
            <v>0.76</v>
          </cell>
          <cell r="DM67">
            <v>0.56000000000000005</v>
          </cell>
          <cell r="DN67">
            <v>0.38389610389610418</v>
          </cell>
          <cell r="DO67">
            <v>0.38866177300959848</v>
          </cell>
          <cell r="DP67">
            <v>0.39342744212309455</v>
          </cell>
          <cell r="DQ67">
            <v>0.39819311123658885</v>
          </cell>
          <cell r="DR67">
            <v>0.40295878035008315</v>
          </cell>
          <cell r="DS67">
            <v>0.40772444946357922</v>
          </cell>
          <cell r="DT67">
            <v>0.41249011857707529</v>
          </cell>
          <cell r="DU67">
            <v>0.41725578769056959</v>
          </cell>
          <cell r="DV67">
            <v>0.42202145680406389</v>
          </cell>
          <cell r="DW67">
            <v>0.42678712591755996</v>
          </cell>
        </row>
        <row r="68">
          <cell r="CR68">
            <v>-25.808359646000017</v>
          </cell>
          <cell r="CS68">
            <v>-38.238859749333365</v>
          </cell>
          <cell r="CT68">
            <v>-32.252577664666696</v>
          </cell>
          <cell r="CU68">
            <v>-32.937022216666691</v>
          </cell>
          <cell r="CV68">
            <v>-26.157810720333355</v>
          </cell>
          <cell r="CW68">
            <v>-24.831328688000017</v>
          </cell>
          <cell r="CX68">
            <v>-31.194238027000029</v>
          </cell>
          <cell r="CY68">
            <v>-26.605836814333355</v>
          </cell>
          <cell r="CZ68">
            <v>-24.624401155333349</v>
          </cell>
          <cell r="DA68">
            <v>-24.872229725000015</v>
          </cell>
          <cell r="DB68">
            <v>-24.452591006333357</v>
          </cell>
          <cell r="DC68">
            <v>-25.182840983000016</v>
          </cell>
          <cell r="DD68">
            <v>-26.347839385666688</v>
          </cell>
          <cell r="DE68">
            <v>-26.869349920666689</v>
          </cell>
          <cell r="DF68">
            <v>-28.375307796666689</v>
          </cell>
          <cell r="DG68">
            <v>-28.449484191000028</v>
          </cell>
          <cell r="DH68">
            <v>-32.352985413666701</v>
          </cell>
          <cell r="DI68">
            <v>-22.712140814666682</v>
          </cell>
          <cell r="DJ68">
            <v>-25.312291904000016</v>
          </cell>
          <cell r="DK68">
            <v>-37.550505764000036</v>
          </cell>
          <cell r="DL68">
            <v>-26.02827772900002</v>
          </cell>
          <cell r="DM68">
            <v>-25.304200139333354</v>
          </cell>
          <cell r="DN68">
            <v>-27.048837197666696</v>
          </cell>
          <cell r="DO68">
            <v>-20.274968964000017</v>
          </cell>
          <cell r="DP68">
            <v>-20.762792133333356</v>
          </cell>
          <cell r="DQ68">
            <v>-16.70146482800001</v>
          </cell>
          <cell r="DR68">
            <v>-13.415507416000013</v>
          </cell>
          <cell r="DS68">
            <v>-11.025299373333347</v>
          </cell>
          <cell r="DT68">
            <v>-1.8009857100000017</v>
          </cell>
          <cell r="DU68">
            <v>-6.7180803146666745</v>
          </cell>
          <cell r="DV68">
            <v>-9.1147182930000081</v>
          </cell>
          <cell r="DW68">
            <v>0.48493750999999974</v>
          </cell>
        </row>
        <row r="69">
          <cell r="CR69">
            <v>-17.2646515269216</v>
          </cell>
          <cell r="CS69">
            <v>-17.391045893063698</v>
          </cell>
          <cell r="CT69">
            <v>-15.158872842065925</v>
          </cell>
          <cell r="CU69">
            <v>-19.100260593154044</v>
          </cell>
          <cell r="CV69">
            <v>-17.176178242498651</v>
          </cell>
          <cell r="CW69">
            <v>-20.251374702943334</v>
          </cell>
          <cell r="CX69">
            <v>-27.580757162026167</v>
          </cell>
          <cell r="CY69">
            <v>-29.238150830498959</v>
          </cell>
          <cell r="CZ69">
            <v>-31.716072006875439</v>
          </cell>
          <cell r="DA69">
            <v>-36.37347776439173</v>
          </cell>
          <cell r="DB69">
            <v>-21.283705444949629</v>
          </cell>
          <cell r="DC69">
            <v>-34.526097967618767</v>
          </cell>
          <cell r="DD69">
            <v>-41.73322642692991</v>
          </cell>
          <cell r="DE69">
            <v>-48.116784682492828</v>
          </cell>
          <cell r="DF69">
            <v>-49.019689432326309</v>
          </cell>
          <cell r="DG69">
            <v>-50.915529122722845</v>
          </cell>
          <cell r="DH69">
            <v>-50.908052967753591</v>
          </cell>
          <cell r="DI69">
            <v>-49.442656543789639</v>
          </cell>
          <cell r="DJ69">
            <v>-48.944143120906283</v>
          </cell>
          <cell r="DK69">
            <v>-38.177173813091073</v>
          </cell>
          <cell r="DL69">
            <v>-41.156522285690158</v>
          </cell>
          <cell r="DM69">
            <v>-42.56081780954937</v>
          </cell>
          <cell r="DN69">
            <v>-47.73679393860894</v>
          </cell>
          <cell r="DO69">
            <v>-45.654044840063243</v>
          </cell>
          <cell r="DP69">
            <v>-40.953277747942799</v>
          </cell>
          <cell r="DQ69">
            <v>-36.882575810629234</v>
          </cell>
          <cell r="DR69">
            <v>-29.973864206291346</v>
          </cell>
          <cell r="DS69">
            <v>-18.634664458009347</v>
          </cell>
          <cell r="DT69">
            <v>-20.001209992740375</v>
          </cell>
          <cell r="DU69">
            <v>-16.164911819743114</v>
          </cell>
          <cell r="DV69">
            <v>-22.362642566039209</v>
          </cell>
          <cell r="DW69">
            <v>-16.921025262942617</v>
          </cell>
        </row>
        <row r="70">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v>0</v>
          </cell>
          <cell r="DU70">
            <v>0</v>
          </cell>
          <cell r="DV70">
            <v>0</v>
          </cell>
          <cell r="DW70">
            <v>0</v>
          </cell>
        </row>
        <row r="71">
          <cell r="CR71">
            <v>0</v>
          </cell>
          <cell r="CS71">
            <v>0</v>
          </cell>
          <cell r="CT71">
            <v>0</v>
          </cell>
          <cell r="CU71">
            <v>0</v>
          </cell>
          <cell r="CV71">
            <v>0</v>
          </cell>
          <cell r="CW71">
            <v>0</v>
          </cell>
          <cell r="CX71">
            <v>0</v>
          </cell>
          <cell r="CY71">
            <v>0</v>
          </cell>
          <cell r="CZ71">
            <v>0</v>
          </cell>
          <cell r="DA71">
            <v>0</v>
          </cell>
          <cell r="DB71">
            <v>0</v>
          </cell>
          <cell r="DC71">
            <v>0</v>
          </cell>
          <cell r="DD71">
            <v>0</v>
          </cell>
          <cell r="DE71">
            <v>0</v>
          </cell>
          <cell r="DF71">
            <v>0</v>
          </cell>
          <cell r="DG71">
            <v>0</v>
          </cell>
          <cell r="DH71">
            <v>0</v>
          </cell>
          <cell r="DI71">
            <v>0</v>
          </cell>
          <cell r="DJ71">
            <v>0</v>
          </cell>
          <cell r="DK71">
            <v>0</v>
          </cell>
          <cell r="DL71">
            <v>0</v>
          </cell>
          <cell r="DM71">
            <v>0</v>
          </cell>
          <cell r="DN71">
            <v>0</v>
          </cell>
          <cell r="DO71">
            <v>0</v>
          </cell>
          <cell r="DP71">
            <v>0</v>
          </cell>
          <cell r="DQ71">
            <v>0</v>
          </cell>
          <cell r="DR71">
            <v>0</v>
          </cell>
          <cell r="DS71">
            <v>0</v>
          </cell>
          <cell r="DT71">
            <v>0</v>
          </cell>
          <cell r="DU71">
            <v>0</v>
          </cell>
          <cell r="DV71">
            <v>0</v>
          </cell>
          <cell r="DW71">
            <v>0</v>
          </cell>
        </row>
        <row r="72">
          <cell r="CR72">
            <v>-108.328</v>
          </cell>
          <cell r="CS72">
            <v>-111.526</v>
          </cell>
          <cell r="CT72">
            <v>-109.70099999999999</v>
          </cell>
          <cell r="CU72">
            <v>-105.393</v>
          </cell>
          <cell r="CV72">
            <v>-103.035</v>
          </cell>
          <cell r="CW72">
            <v>-101.081</v>
          </cell>
          <cell r="CX72">
            <v>-102.745</v>
          </cell>
          <cell r="CY72">
            <v>-98.707999999999998</v>
          </cell>
          <cell r="CZ72">
            <v>-105.468</v>
          </cell>
          <cell r="DA72">
            <v>-103.676</v>
          </cell>
          <cell r="DB72">
            <v>-91.974000000000004</v>
          </cell>
          <cell r="DC72">
            <v>-97.804000000000002</v>
          </cell>
          <cell r="DD72">
            <v>-106.38</v>
          </cell>
          <cell r="DE72">
            <v>-104.697</v>
          </cell>
          <cell r="DF72">
            <v>-110.17100000000001</v>
          </cell>
          <cell r="DG72">
            <v>-105.236</v>
          </cell>
          <cell r="DH72">
            <v>-105.289</v>
          </cell>
          <cell r="DI72">
            <v>-104.33799999999999</v>
          </cell>
          <cell r="DJ72">
            <v>-107.761</v>
          </cell>
          <cell r="DK72">
            <v>-113.604</v>
          </cell>
          <cell r="DL72">
            <v>-121.383</v>
          </cell>
          <cell r="DM72">
            <v>-116.97499999999999</v>
          </cell>
          <cell r="DN72">
            <v>-117.66800000000001</v>
          </cell>
          <cell r="DO72">
            <v>-114.714</v>
          </cell>
          <cell r="DP72">
            <v>-113.788</v>
          </cell>
          <cell r="DQ72">
            <v>-114.633</v>
          </cell>
          <cell r="DR72">
            <v>-112.80800000000001</v>
          </cell>
          <cell r="DS72">
            <v>-108.8</v>
          </cell>
          <cell r="DT72">
            <v>-106.41500000000001</v>
          </cell>
          <cell r="DU72">
            <v>-113.49420935960597</v>
          </cell>
          <cell r="DV72">
            <v>-113.87865320197045</v>
          </cell>
          <cell r="DW72">
            <v>-114.26309704433504</v>
          </cell>
        </row>
        <row r="73">
          <cell r="CR73">
            <v>0.31</v>
          </cell>
          <cell r="CS73">
            <v>0.31</v>
          </cell>
          <cell r="CT73">
            <v>0.31</v>
          </cell>
          <cell r="CU73">
            <v>0.31</v>
          </cell>
          <cell r="CV73">
            <v>0.31</v>
          </cell>
          <cell r="CW73">
            <v>0.31</v>
          </cell>
          <cell r="CX73">
            <v>0.31</v>
          </cell>
          <cell r="CY73">
            <v>0.31</v>
          </cell>
          <cell r="CZ73">
            <v>0.31</v>
          </cell>
          <cell r="DA73">
            <v>0.31</v>
          </cell>
          <cell r="DB73">
            <v>0.39</v>
          </cell>
          <cell r="DC73">
            <v>0.41385</v>
          </cell>
          <cell r="DD73">
            <v>0.43769999999999998</v>
          </cell>
          <cell r="DE73">
            <v>0.46154999999999996</v>
          </cell>
          <cell r="DF73">
            <v>0.48539999999999994</v>
          </cell>
          <cell r="DG73">
            <v>0.50924999999999998</v>
          </cell>
          <cell r="DH73">
            <v>0.53310000000000002</v>
          </cell>
          <cell r="DI73">
            <v>0.55695000000000006</v>
          </cell>
          <cell r="DJ73">
            <v>0.58080000000000009</v>
          </cell>
          <cell r="DK73">
            <v>0.60465000000000013</v>
          </cell>
          <cell r="DL73">
            <v>0.62849999999999995</v>
          </cell>
          <cell r="DM73">
            <v>0.60840119047618657</v>
          </cell>
          <cell r="DN73">
            <v>0.6260404761904752</v>
          </cell>
          <cell r="DO73">
            <v>0.64367976190476384</v>
          </cell>
          <cell r="DP73">
            <v>0.66131904761904536</v>
          </cell>
          <cell r="DQ73">
            <v>0.678958333333334</v>
          </cell>
          <cell r="DR73">
            <v>0.69659761904762263</v>
          </cell>
          <cell r="DS73">
            <v>0.71423690476191126</v>
          </cell>
          <cell r="DT73">
            <v>0.73187619047619279</v>
          </cell>
          <cell r="DU73">
            <v>0.74951547619047432</v>
          </cell>
          <cell r="DV73">
            <v>0.76715476190476295</v>
          </cell>
          <cell r="DW73">
            <v>0.78479404761905158</v>
          </cell>
        </row>
        <row r="74">
          <cell r="CR74">
            <v>-6.3529999999999998</v>
          </cell>
          <cell r="CS74">
            <v>-6.4160000000000004</v>
          </cell>
          <cell r="CT74">
            <v>-6.3120000000000003</v>
          </cell>
          <cell r="CU74">
            <v>-6.548</v>
          </cell>
          <cell r="CV74">
            <v>-6.625</v>
          </cell>
          <cell r="CW74">
            <v>-6.2729999999999997</v>
          </cell>
          <cell r="CX74">
            <v>-6.0220000000000002</v>
          </cell>
          <cell r="CY74">
            <v>-5.9649999999999999</v>
          </cell>
          <cell r="CZ74">
            <v>-5.5209999999999999</v>
          </cell>
          <cell r="DA74">
            <v>-5.3239999999999998</v>
          </cell>
          <cell r="DB74">
            <v>-5.0309999999999997</v>
          </cell>
          <cell r="DC74">
            <v>-4.8890000000000002</v>
          </cell>
          <cell r="DD74">
            <v>-4.7779999999999996</v>
          </cell>
          <cell r="DE74">
            <v>-4.407</v>
          </cell>
          <cell r="DF74">
            <v>-4.1449999999999996</v>
          </cell>
          <cell r="DG74">
            <v>-4.1630000000000003</v>
          </cell>
          <cell r="DH74">
            <v>-4.2569999999999997</v>
          </cell>
          <cell r="DI74">
            <v>-4.3620000000000001</v>
          </cell>
          <cell r="DJ74">
            <v>-4.3570000000000002</v>
          </cell>
          <cell r="DK74">
            <v>-4.7270000000000003</v>
          </cell>
          <cell r="DL74">
            <v>-4.5369999999999999</v>
          </cell>
          <cell r="DM74">
            <v>-4.8639999999999999</v>
          </cell>
          <cell r="DN74">
            <v>-4.75</v>
          </cell>
          <cell r="DO74">
            <v>-4.8339999999999996</v>
          </cell>
          <cell r="DP74">
            <v>-4.609</v>
          </cell>
          <cell r="DQ74">
            <v>-4.617</v>
          </cell>
          <cell r="DR74">
            <v>-4.7969999999999997</v>
          </cell>
          <cell r="DS74">
            <v>-4.9240000000000004</v>
          </cell>
          <cell r="DT74">
            <v>-4.0383333333333553</v>
          </cell>
          <cell r="DU74">
            <v>-3.9611568144499358</v>
          </cell>
          <cell r="DV74">
            <v>-3.8839802955665164</v>
          </cell>
          <cell r="DW74">
            <v>-3.8068037766830969</v>
          </cell>
        </row>
        <row r="75">
          <cell r="CR75">
            <v>35.904258721594907</v>
          </cell>
          <cell r="CS75">
            <v>-25.026602177323582</v>
          </cell>
          <cell r="CT75">
            <v>-33.446803196451086</v>
          </cell>
          <cell r="CU75">
            <v>-34.408835763957754</v>
          </cell>
          <cell r="CV75">
            <v>-29.38565519598648</v>
          </cell>
          <cell r="CW75">
            <v>-23.188062733428879</v>
          </cell>
          <cell r="CX75">
            <v>-16.787136709404969</v>
          </cell>
          <cell r="CY75">
            <v>-16.037948899883542</v>
          </cell>
          <cell r="CZ75">
            <v>-16.168721632228909</v>
          </cell>
          <cell r="DA75">
            <v>-20.132877407951248</v>
          </cell>
          <cell r="DB75">
            <v>-0.21935881882398189</v>
          </cell>
          <cell r="DC75">
            <v>-9.7526498747306825</v>
          </cell>
          <cell r="DD75">
            <v>22.366210298704516</v>
          </cell>
          <cell r="DE75">
            <v>17.229880532638877</v>
          </cell>
          <cell r="DF75">
            <v>11.957312794610116</v>
          </cell>
          <cell r="DG75">
            <v>7.7178343880331104</v>
          </cell>
          <cell r="DH75">
            <v>0.77691704690223018</v>
          </cell>
          <cell r="DI75">
            <v>3.8631542156542911</v>
          </cell>
          <cell r="DJ75">
            <v>-1.5398323814648001</v>
          </cell>
          <cell r="DK75">
            <v>-10.266135921106066</v>
          </cell>
          <cell r="DL75">
            <v>-2.7747074968956067</v>
          </cell>
          <cell r="DM75">
            <v>-8.9271555688915178</v>
          </cell>
          <cell r="DN75">
            <v>-17.585078843026224</v>
          </cell>
          <cell r="DO75">
            <v>-16.329760460906069</v>
          </cell>
          <cell r="DP75">
            <v>-9.1203146191753408</v>
          </cell>
          <cell r="DQ75">
            <v>-11.294211308085384</v>
          </cell>
          <cell r="DR75">
            <v>-13.843831070407306</v>
          </cell>
          <cell r="DS75">
            <v>-10.821938370903737</v>
          </cell>
          <cell r="DT75">
            <v>-7.7742175264723192</v>
          </cell>
          <cell r="DU75">
            <v>-6.9376932367232094</v>
          </cell>
          <cell r="DV75">
            <v>4.0784091715736981</v>
          </cell>
          <cell r="DW75">
            <v>3.8768468114459647</v>
          </cell>
        </row>
        <row r="76">
          <cell r="CR76">
            <v>14.3</v>
          </cell>
          <cell r="CS76">
            <v>14.21</v>
          </cell>
          <cell r="CT76">
            <v>14.120000000000001</v>
          </cell>
          <cell r="CU76">
            <v>14.030000000000001</v>
          </cell>
          <cell r="CV76">
            <v>13.940000000000001</v>
          </cell>
          <cell r="CW76">
            <v>13.850000000000001</v>
          </cell>
          <cell r="CX76">
            <v>13.760000000000002</v>
          </cell>
          <cell r="CY76">
            <v>13.670000000000002</v>
          </cell>
          <cell r="CZ76">
            <v>13.580000000000002</v>
          </cell>
          <cell r="DA76">
            <v>13.490000000000002</v>
          </cell>
          <cell r="DB76">
            <v>13.399999999999999</v>
          </cell>
          <cell r="DC76">
            <v>13.408333333333331</v>
          </cell>
          <cell r="DD76">
            <v>13.416666666666664</v>
          </cell>
          <cell r="DE76">
            <v>13.424999999999997</v>
          </cell>
          <cell r="DF76">
            <v>13.43333333333333</v>
          </cell>
          <cell r="DG76">
            <v>13.441666666666663</v>
          </cell>
          <cell r="DH76">
            <v>13.449999999999996</v>
          </cell>
          <cell r="DI76">
            <v>13.458333333333329</v>
          </cell>
          <cell r="DJ76">
            <v>13.466666666666661</v>
          </cell>
          <cell r="DK76">
            <v>13.474999999999994</v>
          </cell>
          <cell r="DL76">
            <v>13.483333333333327</v>
          </cell>
          <cell r="DM76">
            <v>13.49166666666666</v>
          </cell>
          <cell r="DN76">
            <v>13.5</v>
          </cell>
          <cell r="DO76">
            <v>13.475</v>
          </cell>
          <cell r="DP76">
            <v>13.45</v>
          </cell>
          <cell r="DQ76">
            <v>13.424999999999999</v>
          </cell>
          <cell r="DR76">
            <v>13.399999999999999</v>
          </cell>
          <cell r="DS76">
            <v>13.766666666666666</v>
          </cell>
          <cell r="DT76">
            <v>14.133333333333333</v>
          </cell>
          <cell r="DU76">
            <v>14.5</v>
          </cell>
          <cell r="DV76">
            <v>13.508965517241371</v>
          </cell>
          <cell r="DW76">
            <v>13.49889877641824</v>
          </cell>
        </row>
        <row r="77">
          <cell r="CR77">
            <v>0</v>
          </cell>
          <cell r="CS77">
            <v>0</v>
          </cell>
          <cell r="CT77">
            <v>0</v>
          </cell>
          <cell r="CU77">
            <v>0</v>
          </cell>
          <cell r="CV77">
            <v>0</v>
          </cell>
          <cell r="CW77">
            <v>0</v>
          </cell>
          <cell r="CX77">
            <v>0</v>
          </cell>
          <cell r="CY77">
            <v>0</v>
          </cell>
          <cell r="CZ77">
            <v>0</v>
          </cell>
          <cell r="DA77">
            <v>0</v>
          </cell>
          <cell r="DB77">
            <v>0</v>
          </cell>
          <cell r="DC77">
            <v>0</v>
          </cell>
          <cell r="DD77">
            <v>0</v>
          </cell>
          <cell r="DE77">
            <v>0</v>
          </cell>
          <cell r="DF77">
            <v>0</v>
          </cell>
          <cell r="DG77">
            <v>0</v>
          </cell>
          <cell r="DH77">
            <v>0</v>
          </cell>
          <cell r="DI77">
            <v>0</v>
          </cell>
          <cell r="DJ77">
            <v>0</v>
          </cell>
          <cell r="DK77">
            <v>0</v>
          </cell>
          <cell r="DL77">
            <v>0</v>
          </cell>
          <cell r="DM77">
            <v>0</v>
          </cell>
          <cell r="DN77">
            <v>0</v>
          </cell>
          <cell r="DO77">
            <v>0</v>
          </cell>
          <cell r="DP77">
            <v>0</v>
          </cell>
          <cell r="DQ77">
            <v>0</v>
          </cell>
          <cell r="DR77">
            <v>0</v>
          </cell>
          <cell r="DS77">
            <v>0</v>
          </cell>
          <cell r="DT77">
            <v>0</v>
          </cell>
          <cell r="DU77">
            <v>0</v>
          </cell>
          <cell r="DV77">
            <v>0</v>
          </cell>
          <cell r="DW77">
            <v>0</v>
          </cell>
        </row>
        <row r="78">
          <cell r="CR78">
            <v>-2.247590935308903</v>
          </cell>
          <cell r="CS78">
            <v>-2.3727768898831663</v>
          </cell>
          <cell r="CT78">
            <v>-2.5703967890218151</v>
          </cell>
          <cell r="CU78">
            <v>-3.0537228240676586</v>
          </cell>
          <cell r="CV78">
            <v>-2.7862633878779288</v>
          </cell>
          <cell r="CW78">
            <v>-3.0408817997079627</v>
          </cell>
          <cell r="CX78">
            <v>-2.4245492689506811</v>
          </cell>
          <cell r="CY78">
            <v>-2.1639979747157332</v>
          </cell>
          <cell r="CZ78">
            <v>-2.2275250847169255</v>
          </cell>
          <cell r="DA78">
            <v>-2.699767966892924</v>
          </cell>
          <cell r="DB78">
            <v>-2.5198195435267872</v>
          </cell>
          <cell r="DC78">
            <v>-2.6263769204862895</v>
          </cell>
          <cell r="DD78">
            <v>-2.9615067067425858</v>
          </cell>
          <cell r="DE78">
            <v>-2.711558331811887</v>
          </cell>
          <cell r="DF78">
            <v>-2.6937491437103667</v>
          </cell>
          <cell r="DG78">
            <v>-3.5284961319164427</v>
          </cell>
          <cell r="DH78">
            <v>-3.5903937125908487</v>
          </cell>
          <cell r="DI78">
            <v>-2.276273125128117</v>
          </cell>
          <cell r="DJ78">
            <v>-3.3199405604614611</v>
          </cell>
          <cell r="DK78">
            <v>-3.4246332211878694</v>
          </cell>
          <cell r="DL78">
            <v>-3.3922451182935385</v>
          </cell>
          <cell r="DM78">
            <v>-3.4987572766691528</v>
          </cell>
          <cell r="DN78">
            <v>-3.5419426467882973</v>
          </cell>
          <cell r="DO78">
            <v>-2.02222108362322</v>
          </cell>
          <cell r="DP78">
            <v>-0.6073901513907396</v>
          </cell>
          <cell r="DQ78">
            <v>-4.2529741773707253</v>
          </cell>
          <cell r="DR78">
            <v>-4.07189287531767</v>
          </cell>
          <cell r="DS78">
            <v>-4.1103201603024209</v>
          </cell>
          <cell r="DT78">
            <v>-4.9451091394183058</v>
          </cell>
          <cell r="DU78">
            <v>-5.4004412188370328</v>
          </cell>
          <cell r="DV78">
            <v>-5.4158968606082292</v>
          </cell>
          <cell r="DW78">
            <v>-5.4762302814167105</v>
          </cell>
        </row>
        <row r="79">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0</v>
          </cell>
          <cell r="DM79">
            <v>0</v>
          </cell>
          <cell r="DN79">
            <v>0</v>
          </cell>
          <cell r="DO79">
            <v>0</v>
          </cell>
          <cell r="DP79">
            <v>0</v>
          </cell>
          <cell r="DQ79">
            <v>0</v>
          </cell>
          <cell r="DR79">
            <v>0</v>
          </cell>
          <cell r="DS79">
            <v>0</v>
          </cell>
          <cell r="DT79">
            <v>0</v>
          </cell>
          <cell r="DU79">
            <v>0</v>
          </cell>
          <cell r="DV79">
            <v>0</v>
          </cell>
          <cell r="DW79">
            <v>0</v>
          </cell>
        </row>
        <row r="80">
          <cell r="CR80">
            <v>-0.09</v>
          </cell>
          <cell r="CS80">
            <v>-0.09</v>
          </cell>
          <cell r="CT80">
            <v>-0.09</v>
          </cell>
          <cell r="CU80">
            <v>-0.09</v>
          </cell>
          <cell r="CV80">
            <v>-0.09</v>
          </cell>
          <cell r="CW80">
            <v>-7.4966666666666668E-2</v>
          </cell>
          <cell r="CX80">
            <v>-5.9933333333333332E-2</v>
          </cell>
          <cell r="CY80">
            <v>-4.4899999999999995E-2</v>
          </cell>
          <cell r="CZ80">
            <v>-2.9866666666666659E-2</v>
          </cell>
          <cell r="DA80">
            <v>-1.4833333333333325E-2</v>
          </cell>
          <cell r="DB80">
            <v>2.0000000000000001E-4</v>
          </cell>
          <cell r="DC80">
            <v>0.22192500000000001</v>
          </cell>
          <cell r="DD80">
            <v>0.44364999999999999</v>
          </cell>
          <cell r="DE80">
            <v>0.66537500000000005</v>
          </cell>
          <cell r="DF80">
            <v>0.8871</v>
          </cell>
          <cell r="DG80">
            <v>0.8871</v>
          </cell>
          <cell r="DH80">
            <v>-0.1774</v>
          </cell>
          <cell r="DI80">
            <v>-0.17530000000000001</v>
          </cell>
          <cell r="DJ80">
            <v>-0.1774</v>
          </cell>
          <cell r="DK80">
            <v>-0.1774</v>
          </cell>
          <cell r="DL80">
            <v>-0.1774</v>
          </cell>
          <cell r="DM80">
            <v>0.19407071428571498</v>
          </cell>
          <cell r="DN80">
            <v>0.20502108225108628</v>
          </cell>
          <cell r="DO80">
            <v>0.21597145021645048</v>
          </cell>
          <cell r="DP80">
            <v>0.22692181818181822</v>
          </cell>
          <cell r="DQ80">
            <v>0.23787218614718597</v>
          </cell>
          <cell r="DR80">
            <v>0.24882255411255727</v>
          </cell>
          <cell r="DS80">
            <v>0.25977292207792146</v>
          </cell>
          <cell r="DT80">
            <v>0.27072329004329276</v>
          </cell>
          <cell r="DU80">
            <v>0.28167365800865696</v>
          </cell>
          <cell r="DV80">
            <v>0.29262402597402826</v>
          </cell>
          <cell r="DW80">
            <v>0.303574393939396</v>
          </cell>
        </row>
        <row r="81">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v>0</v>
          </cell>
          <cell r="DU81">
            <v>0</v>
          </cell>
          <cell r="DV81">
            <v>0</v>
          </cell>
          <cell r="DW81">
            <v>0</v>
          </cell>
        </row>
        <row r="82">
          <cell r="CR82">
            <v>31.661000000000001</v>
          </cell>
          <cell r="CS82">
            <v>31.788319999999999</v>
          </cell>
          <cell r="CT82">
            <v>31.915639999999996</v>
          </cell>
          <cell r="CU82">
            <v>32.042959999999994</v>
          </cell>
          <cell r="CV82">
            <v>32.170279999999991</v>
          </cell>
          <cell r="CW82">
            <v>32.297599999999996</v>
          </cell>
          <cell r="CX82">
            <v>31.872499999999995</v>
          </cell>
          <cell r="CY82">
            <v>31.447399999999995</v>
          </cell>
          <cell r="CZ82">
            <v>31.022299999999994</v>
          </cell>
          <cell r="DA82">
            <v>30.597199999999994</v>
          </cell>
          <cell r="DB82">
            <v>30.172099999999997</v>
          </cell>
          <cell r="DC82">
            <v>30.738439999999997</v>
          </cell>
          <cell r="DD82">
            <v>31.304779999999997</v>
          </cell>
          <cell r="DE82">
            <v>31.871119999999998</v>
          </cell>
          <cell r="DF82">
            <v>32.437460000000002</v>
          </cell>
          <cell r="DG82">
            <v>33.003800000000005</v>
          </cell>
          <cell r="DH82">
            <v>32.323060000000005</v>
          </cell>
          <cell r="DI82">
            <v>31.642320000000005</v>
          </cell>
          <cell r="DJ82">
            <v>30.961580000000005</v>
          </cell>
          <cell r="DK82">
            <v>30.280840000000005</v>
          </cell>
          <cell r="DL82">
            <v>29.600099999999998</v>
          </cell>
          <cell r="DM82">
            <v>29.830939999999998</v>
          </cell>
          <cell r="DN82">
            <v>30.061779999999999</v>
          </cell>
          <cell r="DO82">
            <v>30.292619999999999</v>
          </cell>
          <cell r="DP82">
            <v>30.52346</v>
          </cell>
          <cell r="DQ82">
            <v>30.754300000000001</v>
          </cell>
          <cell r="DR82">
            <v>31.638099999999998</v>
          </cell>
          <cell r="DS82">
            <v>31.721799999999998</v>
          </cell>
          <cell r="DT82">
            <v>30.803999999999998</v>
          </cell>
          <cell r="DU82">
            <v>23.997033999999999</v>
          </cell>
          <cell r="DV82">
            <v>17.190068</v>
          </cell>
          <cell r="DW82">
            <v>27.968371006451605</v>
          </cell>
        </row>
        <row r="83">
          <cell r="CR83">
            <v>-17.502230999999998</v>
          </cell>
          <cell r="CS83">
            <v>-17.321304999999999</v>
          </cell>
          <cell r="CT83">
            <v>-17.140378999999999</v>
          </cell>
          <cell r="CU83">
            <v>-16.959453</v>
          </cell>
          <cell r="CV83">
            <v>-16.778527</v>
          </cell>
          <cell r="CW83">
            <v>-16.597600999999997</v>
          </cell>
          <cell r="CX83">
            <v>-16.428733199999996</v>
          </cell>
          <cell r="CY83">
            <v>-16.259865399999995</v>
          </cell>
          <cell r="CZ83">
            <v>-16.090997599999994</v>
          </cell>
          <cell r="DA83">
            <v>-15.922129799999995</v>
          </cell>
          <cell r="DB83">
            <v>-15.753261999999999</v>
          </cell>
          <cell r="DC83">
            <v>-15.688210999999999</v>
          </cell>
          <cell r="DD83">
            <v>-15.623159999999999</v>
          </cell>
          <cell r="DE83">
            <v>-15.558108999999998</v>
          </cell>
          <cell r="DF83">
            <v>-15.493057999999998</v>
          </cell>
          <cell r="DG83">
            <v>-15.428006999999999</v>
          </cell>
          <cell r="DH83">
            <v>-14.953935399999999</v>
          </cell>
          <cell r="DI83">
            <v>-14.479863799999999</v>
          </cell>
          <cell r="DJ83">
            <v>-14.005792199999998</v>
          </cell>
          <cell r="DK83">
            <v>-13.531720599999998</v>
          </cell>
          <cell r="DL83">
            <v>-13.057649</v>
          </cell>
          <cell r="DM83">
            <v>-13.1311158</v>
          </cell>
          <cell r="DN83">
            <v>-13.2045826</v>
          </cell>
          <cell r="DO83">
            <v>-13.2780494</v>
          </cell>
          <cell r="DP83">
            <v>-13.351516200000001</v>
          </cell>
          <cell r="DQ83">
            <v>-13.424983000000001</v>
          </cell>
          <cell r="DR83">
            <v>-4.699387333333334</v>
          </cell>
          <cell r="DS83">
            <v>4.0262083333333329</v>
          </cell>
          <cell r="DT83">
            <v>12.751804</v>
          </cell>
          <cell r="DU83">
            <v>-12.5151</v>
          </cell>
          <cell r="DV83">
            <v>-5.9756888597701163</v>
          </cell>
          <cell r="DW83">
            <v>-5.5065919862067858</v>
          </cell>
        </row>
        <row r="84">
          <cell r="CR84">
            <v>-11.288399999999999</v>
          </cell>
          <cell r="CS84">
            <v>-11.288399999999999</v>
          </cell>
          <cell r="CT84">
            <v>-11.288399999999999</v>
          </cell>
          <cell r="CU84">
            <v>-11.288399999999999</v>
          </cell>
          <cell r="CV84">
            <v>-11.288399999999999</v>
          </cell>
          <cell r="CW84">
            <v>-9.8926999999999996</v>
          </cell>
          <cell r="CX84">
            <v>-8.4969999999999999</v>
          </cell>
          <cell r="CY84">
            <v>-7.1013000000000002</v>
          </cell>
          <cell r="CZ84">
            <v>-5.7056000000000004</v>
          </cell>
          <cell r="DA84">
            <v>-4.3099000000000007</v>
          </cell>
          <cell r="DB84">
            <v>-2.914200000000001</v>
          </cell>
          <cell r="DC84">
            <v>-1.5185000000000011</v>
          </cell>
          <cell r="DD84">
            <v>-0.12280000000000113</v>
          </cell>
          <cell r="DE84">
            <v>1.2728999999999988</v>
          </cell>
          <cell r="DF84">
            <v>2.6685999999999988</v>
          </cell>
          <cell r="DG84">
            <v>4.0642999999999985</v>
          </cell>
          <cell r="DH84">
            <v>5.46</v>
          </cell>
          <cell r="DI84">
            <v>5.08</v>
          </cell>
          <cell r="DJ84">
            <v>4.7</v>
          </cell>
          <cell r="DK84">
            <v>4.32</v>
          </cell>
          <cell r="DL84">
            <v>3.94</v>
          </cell>
          <cell r="DM84">
            <v>2.4356333333333335</v>
          </cell>
          <cell r="DN84">
            <v>0.93126666666666691</v>
          </cell>
          <cell r="DO84">
            <v>-0.57310000000000005</v>
          </cell>
          <cell r="DP84">
            <v>7.3330028985506033</v>
          </cell>
          <cell r="DQ84">
            <v>8.126991130434817</v>
          </cell>
          <cell r="DR84">
            <v>8.9209793623188034</v>
          </cell>
          <cell r="DS84">
            <v>9.7149675942027898</v>
          </cell>
          <cell r="DT84">
            <v>10.508955826087004</v>
          </cell>
          <cell r="DU84">
            <v>11.30294405797099</v>
          </cell>
          <cell r="DV84">
            <v>12.096932289854976</v>
          </cell>
          <cell r="DW84">
            <v>12.89092052173919</v>
          </cell>
        </row>
        <row r="85">
          <cell r="CR85">
            <v>-60.656500000000001</v>
          </cell>
          <cell r="CS85">
            <v>-60.177500000000002</v>
          </cell>
          <cell r="CT85">
            <v>-59.6995</v>
          </cell>
          <cell r="CU85">
            <v>-59.220500000000001</v>
          </cell>
          <cell r="CV85">
            <v>-59.4955</v>
          </cell>
          <cell r="CW85">
            <v>-58.820500000000003</v>
          </cell>
          <cell r="CX85">
            <v>-58.375500000000002</v>
          </cell>
          <cell r="CY85">
            <v>-58.048500000000004</v>
          </cell>
          <cell r="CZ85">
            <v>-57.676500000000004</v>
          </cell>
          <cell r="DA85">
            <v>-57.016500000000001</v>
          </cell>
          <cell r="DB85">
            <v>-56.540700000000001</v>
          </cell>
          <cell r="DC85">
            <v>-56.100699999999996</v>
          </cell>
          <cell r="DD85">
            <v>-55.644500000000001</v>
          </cell>
          <cell r="DE85">
            <v>-55.119500000000002</v>
          </cell>
          <cell r="DF85">
            <v>-54.671500000000002</v>
          </cell>
          <cell r="DG85">
            <v>-54.441347619047633</v>
          </cell>
          <cell r="DH85">
            <v>-54.019316904761922</v>
          </cell>
          <cell r="DI85">
            <v>-53.597286190476211</v>
          </cell>
          <cell r="DJ85">
            <v>-53.1752554761905</v>
          </cell>
          <cell r="DK85">
            <v>-52.753224761904789</v>
          </cell>
          <cell r="DL85">
            <v>-52.331194047619078</v>
          </cell>
          <cell r="DM85">
            <v>-51.909163333333368</v>
          </cell>
          <cell r="DN85">
            <v>-51.487132619047657</v>
          </cell>
          <cell r="DO85">
            <v>-51.065101904761946</v>
          </cell>
          <cell r="DP85">
            <v>-50.643071190476235</v>
          </cell>
          <cell r="DQ85">
            <v>-50.22104047619041</v>
          </cell>
          <cell r="DR85">
            <v>-49.799009761904813</v>
          </cell>
          <cell r="DS85">
            <v>-49.376979047619102</v>
          </cell>
          <cell r="DT85">
            <v>-48.954948333333277</v>
          </cell>
          <cell r="DU85">
            <v>-48.53291761904768</v>
          </cell>
          <cell r="DV85">
            <v>-48.110886904761969</v>
          </cell>
          <cell r="DW85">
            <v>-47.688856190476258</v>
          </cell>
        </row>
        <row r="86">
          <cell r="CR86">
            <v>1.2400499999999999</v>
          </cell>
          <cell r="CS86">
            <v>1.2400499999999999</v>
          </cell>
          <cell r="CT86">
            <v>1.2400499999999999</v>
          </cell>
          <cell r="CU86">
            <v>1.2400499999999999</v>
          </cell>
          <cell r="CV86">
            <v>1.2400499999999999</v>
          </cell>
          <cell r="CW86">
            <v>1.1450100000000001</v>
          </cell>
          <cell r="CX86">
            <v>1.13097</v>
          </cell>
          <cell r="CY86">
            <v>1.1456300000000001</v>
          </cell>
          <cell r="CZ86">
            <v>1.04156</v>
          </cell>
          <cell r="DA86">
            <v>1.0676600000000001</v>
          </cell>
          <cell r="DB86">
            <v>1.1492</v>
          </cell>
          <cell r="DC86">
            <v>1.0598145454545431</v>
          </cell>
          <cell r="DD86">
            <v>1.0412945454545408</v>
          </cell>
          <cell r="DE86">
            <v>1.0227745454545456</v>
          </cell>
          <cell r="DF86">
            <v>1.0042545454545433</v>
          </cell>
          <cell r="DG86">
            <v>0.98573454545454098</v>
          </cell>
          <cell r="DH86">
            <v>0.96721454545454577</v>
          </cell>
          <cell r="DI86">
            <v>0.94869454545454346</v>
          </cell>
          <cell r="DJ86">
            <v>0.93017454545454825</v>
          </cell>
          <cell r="DK86">
            <v>0.91165454545454594</v>
          </cell>
          <cell r="DL86">
            <v>0.89313454545454363</v>
          </cell>
          <cell r="DM86">
            <v>0.87461454545454131</v>
          </cell>
          <cell r="DN86">
            <v>0.85609454545454611</v>
          </cell>
          <cell r="DO86">
            <v>0.8375745454545438</v>
          </cell>
          <cell r="DP86">
            <v>0.81905454545454148</v>
          </cell>
          <cell r="DQ86">
            <v>0.80053454545454628</v>
          </cell>
          <cell r="DR86">
            <v>0.78201454545454396</v>
          </cell>
          <cell r="DS86">
            <v>0.76349454545454165</v>
          </cell>
          <cell r="DT86">
            <v>0.74497454545454644</v>
          </cell>
          <cell r="DU86">
            <v>0.72645454545454413</v>
          </cell>
          <cell r="DV86">
            <v>0.70793454545454182</v>
          </cell>
          <cell r="DW86">
            <v>0.68941454545453951</v>
          </cell>
        </row>
        <row r="87">
          <cell r="CR87">
            <v>-9.6300000000000008</v>
          </cell>
          <cell r="CS87">
            <v>-9.6300000000000008</v>
          </cell>
          <cell r="CT87">
            <v>-9.6300000000000008</v>
          </cell>
          <cell r="CU87">
            <v>-9.6300000000000008</v>
          </cell>
          <cell r="CV87">
            <v>-9.6300000000000008</v>
          </cell>
          <cell r="CW87">
            <v>-9.6300000000000008</v>
          </cell>
          <cell r="CX87">
            <v>-9.6300000000000008</v>
          </cell>
          <cell r="CY87">
            <v>-9.6300000000000008</v>
          </cell>
          <cell r="CZ87">
            <v>-9.6300000000000008</v>
          </cell>
          <cell r="DA87">
            <v>-9.6300000000000008</v>
          </cell>
          <cell r="DB87">
            <v>-9.6300000000000008</v>
          </cell>
          <cell r="DC87">
            <v>-9.6300000000000008</v>
          </cell>
          <cell r="DD87">
            <v>-9.6300000000000008</v>
          </cell>
          <cell r="DE87">
            <v>-9.6300000000000008</v>
          </cell>
          <cell r="DF87">
            <v>-9.6300000000000008</v>
          </cell>
          <cell r="DG87">
            <v>-9.6300000000000008</v>
          </cell>
          <cell r="DH87">
            <v>-9.6739999999999995</v>
          </cell>
          <cell r="DI87">
            <v>-6.9980000000000002</v>
          </cell>
          <cell r="DJ87">
            <v>-7.15</v>
          </cell>
          <cell r="DK87">
            <v>-7.274</v>
          </cell>
          <cell r="DL87">
            <v>-7.2930000000000001</v>
          </cell>
          <cell r="DM87">
            <v>-7.2030000000000003</v>
          </cell>
          <cell r="DN87">
            <v>-7.1879999999999997</v>
          </cell>
          <cell r="DO87">
            <v>-7.5640000000000001</v>
          </cell>
          <cell r="DP87">
            <v>-7.4930000000000003</v>
          </cell>
          <cell r="DQ87">
            <v>-7.4420000000000002</v>
          </cell>
          <cell r="DR87">
            <v>-7.2004061538461599</v>
          </cell>
          <cell r="DS87">
            <v>-7.0803251282051178</v>
          </cell>
          <cell r="DT87">
            <v>-6.9602441025641042</v>
          </cell>
          <cell r="DU87">
            <v>-6.8401630769230621</v>
          </cell>
          <cell r="DV87">
            <v>-6.7200820512820485</v>
          </cell>
          <cell r="DW87">
            <v>-6.6000010256410349</v>
          </cell>
        </row>
        <row r="88">
          <cell r="CR88">
            <v>-0.46389999999999998</v>
          </cell>
          <cell r="CS88">
            <v>-0.46389999999999998</v>
          </cell>
          <cell r="CT88">
            <v>-0.46389999999999998</v>
          </cell>
          <cell r="CU88">
            <v>-0.46389999999999998</v>
          </cell>
          <cell r="CV88">
            <v>-0.46389999999999998</v>
          </cell>
          <cell r="CW88">
            <v>-0.46389999999999998</v>
          </cell>
          <cell r="CX88">
            <v>-0.46389999999999998</v>
          </cell>
          <cell r="CY88">
            <v>-0.46389999999999998</v>
          </cell>
          <cell r="CZ88">
            <v>-0.46389999999999998</v>
          </cell>
          <cell r="DA88">
            <v>-0.46389999999999998</v>
          </cell>
          <cell r="DB88">
            <v>-0.46389999999999998</v>
          </cell>
          <cell r="DC88">
            <v>-0.46389999999999998</v>
          </cell>
          <cell r="DD88">
            <v>-0.46389999999999998</v>
          </cell>
          <cell r="DE88">
            <v>-0.46389999999999998</v>
          </cell>
          <cell r="DF88">
            <v>-0.46389999999999998</v>
          </cell>
          <cell r="DG88">
            <v>-0.46389999999999998</v>
          </cell>
          <cell r="DH88">
            <v>-0.46389999999999998</v>
          </cell>
          <cell r="DI88">
            <v>-0.46389999999999998</v>
          </cell>
          <cell r="DJ88">
            <v>-0.46389999999999998</v>
          </cell>
          <cell r="DK88">
            <v>-0.46389999999999998</v>
          </cell>
          <cell r="DL88">
            <v>-0.46389999999999998</v>
          </cell>
          <cell r="DM88">
            <v>-0.46389999999999998</v>
          </cell>
          <cell r="DN88">
            <v>-0.46389999999999998</v>
          </cell>
          <cell r="DO88">
            <v>-0.46389999999999998</v>
          </cell>
          <cell r="DP88">
            <v>-0.46389999999999998</v>
          </cell>
          <cell r="DQ88">
            <v>-0.46389999999999998</v>
          </cell>
          <cell r="DR88">
            <v>-0.46389999999999998</v>
          </cell>
          <cell r="DS88">
            <v>-0.46389999999999998</v>
          </cell>
          <cell r="DT88">
            <v>-0.46390000000000015</v>
          </cell>
          <cell r="DU88">
            <v>-0.4639000000000002</v>
          </cell>
          <cell r="DV88">
            <v>-0.4639000000000002</v>
          </cell>
          <cell r="DW88">
            <v>-0.46390000000000026</v>
          </cell>
        </row>
        <row r="89">
          <cell r="CR89">
            <v>-3.3622952537188282</v>
          </cell>
          <cell r="CS89">
            <v>-2.5172960311350914</v>
          </cell>
          <cell r="CT89">
            <v>-3.0831457224515408</v>
          </cell>
          <cell r="CU89">
            <v>-5.7671219680127539</v>
          </cell>
          <cell r="CV89">
            <v>-6.4134115991914404</v>
          </cell>
          <cell r="CW89">
            <v>-6.3617717846108661</v>
          </cell>
          <cell r="CX89">
            <v>-2.6880894084806051</v>
          </cell>
          <cell r="CY89">
            <v>-3.1517279269428329</v>
          </cell>
          <cell r="CZ89">
            <v>-4.2189241688296981</v>
          </cell>
          <cell r="DA89">
            <v>-2.0057087088068171</v>
          </cell>
          <cell r="DB89">
            <v>-1.1012815362609354</v>
          </cell>
          <cell r="DC89">
            <v>-2.7698059582124146</v>
          </cell>
          <cell r="DD89">
            <v>-2.0658327004880812</v>
          </cell>
          <cell r="DE89">
            <v>-4.4366296508821952</v>
          </cell>
          <cell r="DF89">
            <v>-3.469467213707826</v>
          </cell>
          <cell r="DG89">
            <v>-6.0001885626494262</v>
          </cell>
          <cell r="DH89">
            <v>-4.04882415932929</v>
          </cell>
          <cell r="DI89">
            <v>-4.3910107473089326</v>
          </cell>
          <cell r="DJ89">
            <v>-6.0685193420476553</v>
          </cell>
          <cell r="DK89">
            <v>-4.6177450482320772</v>
          </cell>
          <cell r="DL89">
            <v>-4.83393130747179</v>
          </cell>
          <cell r="DM89">
            <v>-4.1830181070649903</v>
          </cell>
          <cell r="DN89">
            <v>-4.7667222614168638</v>
          </cell>
          <cell r="DO89">
            <v>-4.0751209406978788</v>
          </cell>
          <cell r="DP89">
            <v>-5.1049481596754696</v>
          </cell>
          <cell r="DQ89">
            <v>-5.6901826044548924</v>
          </cell>
          <cell r="DR89">
            <v>-4.5640649513372997</v>
          </cell>
          <cell r="DS89">
            <v>-5.3677904482933467</v>
          </cell>
          <cell r="DT89">
            <v>-4.8143023938472949</v>
          </cell>
          <cell r="DU89">
            <v>-5.3907916565778313</v>
          </cell>
          <cell r="DV89">
            <v>-7.1122207028328503</v>
          </cell>
          <cell r="DW89">
            <v>-7.2001190601998495</v>
          </cell>
        </row>
        <row r="90">
          <cell r="CR90">
            <v>9.6096004528933481</v>
          </cell>
          <cell r="CS90">
            <v>9.6174355736939372</v>
          </cell>
          <cell r="CT90">
            <v>9.6094800572095114</v>
          </cell>
          <cell r="CU90">
            <v>9.6026781818855191</v>
          </cell>
          <cell r="CV90">
            <v>9.5979787384292319</v>
          </cell>
          <cell r="CW90">
            <v>9.5871614890733152</v>
          </cell>
          <cell r="CX90">
            <v>9.5841772362579238</v>
          </cell>
          <cell r="CY90">
            <v>9.5822169243728919</v>
          </cell>
          <cell r="CZ90">
            <v>9.5848233034895944</v>
          </cell>
          <cell r="DA90">
            <v>9.5931815543743948</v>
          </cell>
          <cell r="DB90">
            <v>9.6038131229502106</v>
          </cell>
          <cell r="DC90">
            <v>9.6164648125724277</v>
          </cell>
          <cell r="DD90">
            <v>9.6338312480336885</v>
          </cell>
          <cell r="DE90">
            <v>9.6334451253589553</v>
          </cell>
          <cell r="DF90">
            <v>9.6348306010200044</v>
          </cell>
          <cell r="DG90">
            <v>9.6353395763794296</v>
          </cell>
          <cell r="DH90">
            <v>9.6982890895655096</v>
          </cell>
          <cell r="DI90">
            <v>9.6020133866501709</v>
          </cell>
          <cell r="DJ90">
            <v>9.6425852801346927</v>
          </cell>
          <cell r="DK90">
            <v>9.632925307060507</v>
          </cell>
          <cell r="DL90">
            <v>9.596235939926272</v>
          </cell>
          <cell r="DM90">
            <v>9.5694117609040923</v>
          </cell>
          <cell r="DN90">
            <v>9.5631011964686863</v>
          </cell>
          <cell r="DO90">
            <v>9.5495028908710147</v>
          </cell>
          <cell r="DP90">
            <v>9.529072330997705</v>
          </cell>
          <cell r="DQ90">
            <v>9.5058491517526527</v>
          </cell>
          <cell r="DR90">
            <v>9.4764526394273254</v>
          </cell>
          <cell r="DS90">
            <v>9.4362715248631872</v>
          </cell>
          <cell r="DT90">
            <v>9.4097079341230501</v>
          </cell>
          <cell r="DU90">
            <v>9.4103332836944862</v>
          </cell>
          <cell r="DV90">
            <v>9.4207806043338991</v>
          </cell>
          <cell r="DW90">
            <v>9.397830220966096</v>
          </cell>
        </row>
        <row r="93">
          <cell r="DQ93">
            <v>21.469699999999989</v>
          </cell>
        </row>
        <row r="94">
          <cell r="CR94">
            <v>0</v>
          </cell>
          <cell r="CS94">
            <v>0</v>
          </cell>
          <cell r="CT94">
            <v>0</v>
          </cell>
          <cell r="CU94">
            <v>0</v>
          </cell>
          <cell r="CV94">
            <v>0</v>
          </cell>
          <cell r="CW94">
            <v>0</v>
          </cell>
          <cell r="CX94">
            <v>0</v>
          </cell>
          <cell r="CY94">
            <v>0</v>
          </cell>
          <cell r="CZ94">
            <v>0</v>
          </cell>
          <cell r="DA94">
            <v>0</v>
          </cell>
          <cell r="DB94">
            <v>0</v>
          </cell>
          <cell r="DC94">
            <v>0</v>
          </cell>
          <cell r="DD94">
            <v>0</v>
          </cell>
          <cell r="DE94">
            <v>0</v>
          </cell>
          <cell r="DF94">
            <v>0</v>
          </cell>
          <cell r="DG94">
            <v>0</v>
          </cell>
          <cell r="DH94">
            <v>0</v>
          </cell>
          <cell r="DI94">
            <v>0</v>
          </cell>
          <cell r="DJ94">
            <v>0</v>
          </cell>
          <cell r="DK94">
            <v>0</v>
          </cell>
          <cell r="DL94">
            <v>0</v>
          </cell>
          <cell r="DM94">
            <v>0</v>
          </cell>
          <cell r="DN94">
            <v>0</v>
          </cell>
          <cell r="DO94">
            <v>0</v>
          </cell>
          <cell r="DP94">
            <v>0</v>
          </cell>
          <cell r="DQ94">
            <v>0</v>
          </cell>
          <cell r="DR94">
            <v>0</v>
          </cell>
          <cell r="DS94">
            <v>0</v>
          </cell>
          <cell r="DT94">
            <v>0</v>
          </cell>
          <cell r="DU94">
            <v>0</v>
          </cell>
          <cell r="DV94">
            <v>0</v>
          </cell>
          <cell r="DW94">
            <v>0</v>
          </cell>
        </row>
        <row r="95">
          <cell r="CR95">
            <v>6.0094426479479504</v>
          </cell>
          <cell r="CS95">
            <v>5.813889087197488</v>
          </cell>
          <cell r="CT95">
            <v>5.5684712640716159</v>
          </cell>
          <cell r="CU95">
            <v>5.671875265944891</v>
          </cell>
          <cell r="CV95">
            <v>5.7387488783594716</v>
          </cell>
          <cell r="CW95">
            <v>6.7021736928703666</v>
          </cell>
          <cell r="CX95">
            <v>6.3557765234996051</v>
          </cell>
          <cell r="CY95">
            <v>5.8219247695671754</v>
          </cell>
          <cell r="CZ95">
            <v>5.6324738458364685</v>
          </cell>
          <cell r="DA95">
            <v>5.7240266040133649</v>
          </cell>
          <cell r="DB95">
            <v>7.3256392800768717</v>
          </cell>
          <cell r="DC95">
            <v>8.4178434186271911</v>
          </cell>
          <cell r="DD95">
            <v>8.3000852417469009</v>
          </cell>
          <cell r="DE95">
            <v>8.7738565239499966</v>
          </cell>
          <cell r="DF95">
            <v>7.2384029595180985</v>
          </cell>
          <cell r="DG95">
            <v>7.6910130672327615</v>
          </cell>
          <cell r="DH95">
            <v>7.6148771907754567</v>
          </cell>
          <cell r="DI95">
            <v>6.5594256667599753</v>
          </cell>
          <cell r="DJ95">
            <v>6.1111132905463457</v>
          </cell>
          <cell r="DK95">
            <v>5.5567573032075419</v>
          </cell>
          <cell r="DL95">
            <v>7.0557907577496168</v>
          </cell>
          <cell r="DM95">
            <v>6.1765200449922597</v>
          </cell>
          <cell r="DN95">
            <v>5.4866285703916846</v>
          </cell>
          <cell r="DO95">
            <v>6.2896658349611334</v>
          </cell>
          <cell r="DP95">
            <v>5.8269422770836536</v>
          </cell>
          <cell r="DQ95">
            <v>6.2594087806612579</v>
          </cell>
          <cell r="DR95">
            <v>5.0364653877591801</v>
          </cell>
          <cell r="DS95">
            <v>7.4388596610158073</v>
          </cell>
          <cell r="DT95">
            <v>6.2639843155676678</v>
          </cell>
          <cell r="DU95">
            <v>6.6570676999370404</v>
          </cell>
          <cell r="DV95">
            <v>7.0424500858212173</v>
          </cell>
          <cell r="DW95">
            <v>7.3382512672665197</v>
          </cell>
        </row>
        <row r="96">
          <cell r="CR96">
            <v>-0.37</v>
          </cell>
          <cell r="CS96">
            <v>-0.37</v>
          </cell>
          <cell r="CT96">
            <v>-0.37</v>
          </cell>
          <cell r="CU96">
            <v>-0.37</v>
          </cell>
          <cell r="CV96">
            <v>-0.37</v>
          </cell>
          <cell r="CW96">
            <v>-0.37</v>
          </cell>
          <cell r="CX96">
            <v>-0.37</v>
          </cell>
          <cell r="CY96">
            <v>-0.3306675</v>
          </cell>
          <cell r="CZ96">
            <v>-0.29133500000000001</v>
          </cell>
          <cell r="DA96">
            <v>-0.25200250000000002</v>
          </cell>
          <cell r="DB96">
            <v>-0.21267</v>
          </cell>
          <cell r="DC96">
            <v>-0.23720570827777768</v>
          </cell>
          <cell r="DD96">
            <v>-0.26174141655555533</v>
          </cell>
          <cell r="DE96">
            <v>-0.28627712483333301</v>
          </cell>
          <cell r="DF96">
            <v>-0.27024867833333299</v>
          </cell>
          <cell r="DG96">
            <v>-0.37558999999999998</v>
          </cell>
          <cell r="DH96">
            <v>-0.39600000000000002</v>
          </cell>
          <cell r="DI96">
            <v>-0.38400000000000001</v>
          </cell>
          <cell r="DJ96">
            <v>-0.34600000000000003</v>
          </cell>
          <cell r="DK96">
            <v>-0.36699999999999999</v>
          </cell>
          <cell r="DL96">
            <v>-0.41106999999999999</v>
          </cell>
          <cell r="DM96">
            <v>-0.41400000000000003</v>
          </cell>
          <cell r="DN96">
            <v>-0.32500000000000001</v>
          </cell>
          <cell r="DO96">
            <v>-0.29099999999999998</v>
          </cell>
          <cell r="DP96">
            <v>-0.16300000000000001</v>
          </cell>
          <cell r="DQ96">
            <v>-0.14118</v>
          </cell>
          <cell r="DR96">
            <v>-0.20600000000000002</v>
          </cell>
          <cell r="DS96">
            <v>-0.17500000000000002</v>
          </cell>
          <cell r="DT96">
            <v>-0.25600000000000001</v>
          </cell>
          <cell r="DU96">
            <v>-0.28333999999999998</v>
          </cell>
          <cell r="DV96">
            <v>-0.26016000000000006</v>
          </cell>
          <cell r="DW96">
            <v>-0.24496677180143323</v>
          </cell>
        </row>
        <row r="97">
          <cell r="CR97">
            <v>-3.5033267842600946</v>
          </cell>
          <cell r="CS97">
            <v>-18.952182681358618</v>
          </cell>
          <cell r="CT97">
            <v>-16.969657624694367</v>
          </cell>
          <cell r="CU97">
            <v>-4.1200943412633224</v>
          </cell>
          <cell r="CV97">
            <v>-17.164379379680511</v>
          </cell>
          <cell r="CW97">
            <v>-23.942454116687909</v>
          </cell>
          <cell r="CX97">
            <v>-25.445020759087413</v>
          </cell>
          <cell r="CY97">
            <v>-17.056365821977138</v>
          </cell>
          <cell r="CZ97">
            <v>-14.591426240575327</v>
          </cell>
          <cell r="DA97">
            <v>-24.300553835284674</v>
          </cell>
          <cell r="DB97">
            <v>-21.562463590459817</v>
          </cell>
          <cell r="DC97">
            <v>-31.808346162171908</v>
          </cell>
          <cell r="DD97">
            <v>-36.128299741265636</v>
          </cell>
          <cell r="DE97">
            <v>-28.146131020440098</v>
          </cell>
          <cell r="DF97">
            <v>-34.478637112018127</v>
          </cell>
          <cell r="DG97">
            <v>-35.565716076010467</v>
          </cell>
          <cell r="DH97">
            <v>-36.373797449304099</v>
          </cell>
          <cell r="DI97">
            <v>-13.433570276189755</v>
          </cell>
          <cell r="DJ97">
            <v>-31.924231245503275</v>
          </cell>
          <cell r="DK97">
            <v>-35.349330583078405</v>
          </cell>
          <cell r="DL97">
            <v>-41.692908963788774</v>
          </cell>
          <cell r="DM97">
            <v>-34.385056133920685</v>
          </cell>
          <cell r="DN97">
            <v>-24.918927097420315</v>
          </cell>
          <cell r="DO97">
            <v>-41.236540876947792</v>
          </cell>
          <cell r="DP97">
            <v>-41.916310329280194</v>
          </cell>
          <cell r="DQ97">
            <v>-43.96397639081907</v>
          </cell>
          <cell r="DR97">
            <v>-43.16484860751163</v>
          </cell>
          <cell r="DS97">
            <v>-23.30554215367173</v>
          </cell>
          <cell r="DT97">
            <v>-45.182776676177973</v>
          </cell>
          <cell r="DU97">
            <v>-41.85305316666895</v>
          </cell>
          <cell r="DV97">
            <v>-32.564824182957935</v>
          </cell>
          <cell r="DW97">
            <v>-27.493260462738466</v>
          </cell>
        </row>
        <row r="98">
          <cell r="CR98">
            <v>-0.16700000000000001</v>
          </cell>
          <cell r="CS98">
            <v>-0.16700000000000001</v>
          </cell>
          <cell r="CT98">
            <v>-0.16700000000000001</v>
          </cell>
          <cell r="CU98">
            <v>-0.16700000000000001</v>
          </cell>
          <cell r="CV98">
            <v>-0.16700000000000001</v>
          </cell>
          <cell r="CW98">
            <v>-0.29358333333333331</v>
          </cell>
          <cell r="CX98">
            <v>-0.42016666666666663</v>
          </cell>
          <cell r="CY98">
            <v>-0.54674999999999996</v>
          </cell>
          <cell r="CZ98">
            <v>-0.67333333333333334</v>
          </cell>
          <cell r="DA98">
            <v>-0.79991666666666661</v>
          </cell>
          <cell r="DB98">
            <v>-0.92649999999999988</v>
          </cell>
          <cell r="DC98">
            <v>-1.0530833333333331</v>
          </cell>
          <cell r="DD98">
            <v>-1.1796666666666664</v>
          </cell>
          <cell r="DE98">
            <v>-1.3062499999999997</v>
          </cell>
          <cell r="DF98">
            <v>-1.432833333333333</v>
          </cell>
          <cell r="DG98">
            <v>-1.5594166666666662</v>
          </cell>
          <cell r="DH98">
            <v>-1.6859999999999999</v>
          </cell>
          <cell r="DI98">
            <v>-1.6380000000000001</v>
          </cell>
          <cell r="DJ98">
            <v>-1.6320000000000001</v>
          </cell>
          <cell r="DK98">
            <v>-1.6220000000000001</v>
          </cell>
          <cell r="DL98">
            <v>-1.6180000000000001</v>
          </cell>
          <cell r="DM98">
            <v>-1.6220000000000001</v>
          </cell>
          <cell r="DN98">
            <v>-1.6260000000000001</v>
          </cell>
          <cell r="DO98">
            <v>-2.0150454545454579</v>
          </cell>
          <cell r="DP98">
            <v>-2.1015510540184437</v>
          </cell>
          <cell r="DQ98">
            <v>-2.1880566534914294</v>
          </cell>
          <cell r="DR98">
            <v>-2.2745622529644152</v>
          </cell>
          <cell r="DS98">
            <v>-2.3610678524374293</v>
          </cell>
          <cell r="DT98">
            <v>-2.4475734519104151</v>
          </cell>
          <cell r="DU98">
            <v>-2.5340790513834008</v>
          </cell>
          <cell r="DV98">
            <v>-2.6205846508563866</v>
          </cell>
          <cell r="DW98">
            <v>-2.7070902503293723</v>
          </cell>
        </row>
        <row r="100">
          <cell r="CR100">
            <v>-3.573878525</v>
          </cell>
          <cell r="CS100">
            <v>-3.573878525</v>
          </cell>
          <cell r="CT100">
            <v>-3.573878525</v>
          </cell>
          <cell r="CU100">
            <v>-3.573878525</v>
          </cell>
          <cell r="CV100">
            <v>-3.573878525</v>
          </cell>
          <cell r="CW100">
            <v>-2.8550676374999999</v>
          </cell>
          <cell r="CX100">
            <v>-2.1362567499999998</v>
          </cell>
          <cell r="CY100">
            <v>-1.4174458624999997</v>
          </cell>
          <cell r="CZ100">
            <v>-0.69863497499999971</v>
          </cell>
          <cell r="DA100">
            <v>2.0175912500000281E-2</v>
          </cell>
          <cell r="DB100">
            <v>0.73898680000000005</v>
          </cell>
          <cell r="DC100">
            <v>0.76054400000000011</v>
          </cell>
          <cell r="DD100">
            <v>0.78210120000000005</v>
          </cell>
          <cell r="DE100">
            <v>0.80365839999999999</v>
          </cell>
          <cell r="DF100">
            <v>0.82521559999999994</v>
          </cell>
          <cell r="DG100">
            <v>0.84677279999999988</v>
          </cell>
          <cell r="DH100">
            <v>0.86833000000000005</v>
          </cell>
          <cell r="DI100">
            <v>0.68970407</v>
          </cell>
          <cell r="DJ100">
            <v>0.51107813999999996</v>
          </cell>
          <cell r="DK100">
            <v>0.33245220999999991</v>
          </cell>
          <cell r="DL100">
            <v>0.1538262799999999</v>
          </cell>
          <cell r="DM100">
            <v>-2.4799650000000117E-2</v>
          </cell>
          <cell r="DN100">
            <v>-0.20342558000000013</v>
          </cell>
          <cell r="DO100">
            <v>-0.38205151000000015</v>
          </cell>
          <cell r="DP100">
            <v>-0.56067744000000019</v>
          </cell>
          <cell r="DQ100">
            <v>-0.73930337000000024</v>
          </cell>
          <cell r="DR100">
            <v>-0.91792930000000006</v>
          </cell>
          <cell r="DS100">
            <v>-0.92337999999999998</v>
          </cell>
          <cell r="DT100">
            <v>0.98359362361114222</v>
          </cell>
          <cell r="DU100">
            <v>1.1041259899870113</v>
          </cell>
          <cell r="DV100">
            <v>1.2246583563629088</v>
          </cell>
          <cell r="DW100">
            <v>1.3451907227387778</v>
          </cell>
        </row>
        <row r="102">
          <cell r="CR102">
            <v>-28.000219300000001</v>
          </cell>
          <cell r="CS102">
            <v>-28.000219300000001</v>
          </cell>
          <cell r="CT102">
            <v>-28.000219300000001</v>
          </cell>
          <cell r="CU102">
            <v>-28.000219300000001</v>
          </cell>
          <cell r="CV102">
            <v>-28.000219300000001</v>
          </cell>
          <cell r="CW102">
            <v>9.7744699999999991</v>
          </cell>
          <cell r="CX102">
            <v>11.947217999999999</v>
          </cell>
          <cell r="CY102">
            <v>14.119966</v>
          </cell>
          <cell r="CZ102">
            <v>16.292714</v>
          </cell>
          <cell r="DA102">
            <v>18.465462000000002</v>
          </cell>
          <cell r="DB102">
            <v>20.638210000000001</v>
          </cell>
          <cell r="DC102">
            <v>20.028862</v>
          </cell>
          <cell r="DD102">
            <v>19.419513999999999</v>
          </cell>
          <cell r="DE102">
            <v>18.810165999999999</v>
          </cell>
          <cell r="DF102">
            <v>18.200817999999998</v>
          </cell>
          <cell r="DG102">
            <v>17.591470000000001</v>
          </cell>
          <cell r="DH102">
            <v>18.304376000000001</v>
          </cell>
          <cell r="DI102">
            <v>19.017282000000002</v>
          </cell>
          <cell r="DJ102">
            <v>19.730188000000002</v>
          </cell>
          <cell r="DK102">
            <v>20.443094000000002</v>
          </cell>
          <cell r="DL102">
            <v>21.155999999999999</v>
          </cell>
          <cell r="DM102">
            <v>35.458972338095009</v>
          </cell>
          <cell r="DN102">
            <v>38.059403964069134</v>
          </cell>
          <cell r="DO102">
            <v>40.659835590043258</v>
          </cell>
          <cell r="DP102">
            <v>43.260267216017382</v>
          </cell>
          <cell r="DQ102">
            <v>45.860698841991507</v>
          </cell>
          <cell r="DR102">
            <v>48.461130467966541</v>
          </cell>
          <cell r="DS102">
            <v>51.061562093939756</v>
          </cell>
          <cell r="DT102">
            <v>53.66199371991388</v>
          </cell>
          <cell r="DU102">
            <v>56.262425345888005</v>
          </cell>
          <cell r="DV102">
            <v>58.862856971862129</v>
          </cell>
          <cell r="DW102">
            <v>61.463288597835344</v>
          </cell>
        </row>
        <row r="103">
          <cell r="CR103">
            <v>0</v>
          </cell>
          <cell r="CS103">
            <v>0</v>
          </cell>
          <cell r="CT103">
            <v>0</v>
          </cell>
          <cell r="CU103">
            <v>0</v>
          </cell>
          <cell r="CV103">
            <v>0</v>
          </cell>
          <cell r="CW103">
            <v>0</v>
          </cell>
          <cell r="CX103">
            <v>0</v>
          </cell>
          <cell r="CY103">
            <v>0</v>
          </cell>
          <cell r="CZ103">
            <v>0</v>
          </cell>
          <cell r="DA103">
            <v>0</v>
          </cell>
          <cell r="DB103">
            <v>0</v>
          </cell>
          <cell r="DC103">
            <v>0</v>
          </cell>
          <cell r="DD103">
            <v>0</v>
          </cell>
          <cell r="DE103">
            <v>0</v>
          </cell>
          <cell r="DF103">
            <v>0</v>
          </cell>
          <cell r="DG103">
            <v>0</v>
          </cell>
          <cell r="DH103">
            <v>0</v>
          </cell>
          <cell r="DI103">
            <v>0</v>
          </cell>
          <cell r="DJ103">
            <v>0</v>
          </cell>
          <cell r="DK103">
            <v>0</v>
          </cell>
          <cell r="DL103">
            <v>0</v>
          </cell>
          <cell r="DM103">
            <v>0</v>
          </cell>
          <cell r="DN103">
            <v>0</v>
          </cell>
          <cell r="DO103">
            <v>0</v>
          </cell>
          <cell r="DP103">
            <v>0</v>
          </cell>
          <cell r="DQ103">
            <v>0</v>
          </cell>
          <cell r="DR103">
            <v>0</v>
          </cell>
          <cell r="DS103">
            <v>0</v>
          </cell>
          <cell r="DT103">
            <v>0</v>
          </cell>
          <cell r="DU103">
            <v>0</v>
          </cell>
          <cell r="DV103">
            <v>0</v>
          </cell>
          <cell r="DW103">
            <v>0</v>
          </cell>
        </row>
        <row r="104">
          <cell r="CR104">
            <v>-13.727</v>
          </cell>
          <cell r="CS104">
            <v>-13.63775</v>
          </cell>
          <cell r="CT104">
            <v>-13.548500000000001</v>
          </cell>
          <cell r="CU104">
            <v>-13.459250000000001</v>
          </cell>
          <cell r="CV104">
            <v>-13.370000000000001</v>
          </cell>
          <cell r="CW104">
            <v>-13.913666666666668</v>
          </cell>
          <cell r="CX104">
            <v>-14.457333333333334</v>
          </cell>
          <cell r="CY104">
            <v>-15.001000000000001</v>
          </cell>
          <cell r="CZ104">
            <v>-15.544666666666668</v>
          </cell>
          <cell r="DA104">
            <v>-16.088333333333335</v>
          </cell>
          <cell r="DB104">
            <v>-16.632000000000001</v>
          </cell>
          <cell r="DC104">
            <v>-16.756</v>
          </cell>
          <cell r="DD104">
            <v>-16.88</v>
          </cell>
          <cell r="DE104">
            <v>-17.161467948717927</v>
          </cell>
          <cell r="DF104">
            <v>-17.492056776556751</v>
          </cell>
          <cell r="DG104">
            <v>-17.822645604395575</v>
          </cell>
          <cell r="DH104">
            <v>-18.153234432234399</v>
          </cell>
          <cell r="DI104">
            <v>-18.483823260073223</v>
          </cell>
          <cell r="DJ104">
            <v>-18.814412087911933</v>
          </cell>
          <cell r="DK104">
            <v>-19.14500091575087</v>
          </cell>
          <cell r="DL104">
            <v>-19.475589743589694</v>
          </cell>
          <cell r="DM104">
            <v>-19.806178571428518</v>
          </cell>
          <cell r="DN104">
            <v>-20.136767399267342</v>
          </cell>
          <cell r="DO104">
            <v>-20.467356227106166</v>
          </cell>
          <cell r="DP104">
            <v>-20.797945054944989</v>
          </cell>
          <cell r="DQ104">
            <v>-21.128533882783813</v>
          </cell>
          <cell r="DR104">
            <v>-21.459122710622637</v>
          </cell>
          <cell r="DS104">
            <v>-21.789711538461461</v>
          </cell>
          <cell r="DT104">
            <v>-22.120300366300285</v>
          </cell>
          <cell r="DU104">
            <v>-22.450889194139108</v>
          </cell>
          <cell r="DV104">
            <v>-22.781478021977932</v>
          </cell>
          <cell r="DW104">
            <v>-23.112066849816756</v>
          </cell>
        </row>
        <row r="106">
          <cell r="CR106">
            <v>6.6000000000000003E-2</v>
          </cell>
          <cell r="CS106">
            <v>6.6000000000000003E-2</v>
          </cell>
          <cell r="CT106">
            <v>6.6000000000000003E-2</v>
          </cell>
          <cell r="CU106">
            <v>6.6000000000000003E-2</v>
          </cell>
          <cell r="CV106">
            <v>6.6000000000000003E-2</v>
          </cell>
          <cell r="CW106">
            <v>6.9454545454545463E-2</v>
          </cell>
          <cell r="CX106">
            <v>7.2909090909090923E-2</v>
          </cell>
          <cell r="CY106">
            <v>7.6363636363636384E-2</v>
          </cell>
          <cell r="CZ106">
            <v>7.9818181818181844E-2</v>
          </cell>
          <cell r="DA106">
            <v>8.3272727272727304E-2</v>
          </cell>
          <cell r="DB106">
            <v>8.6727272727272764E-2</v>
          </cell>
          <cell r="DC106">
            <v>9.0181818181818224E-2</v>
          </cell>
          <cell r="DD106">
            <v>9.3636363636363684E-2</v>
          </cell>
          <cell r="DE106">
            <v>9.7090909090909144E-2</v>
          </cell>
          <cell r="DF106">
            <v>0.1005454545454546</v>
          </cell>
          <cell r="DG106">
            <v>0.10400000000000006</v>
          </cell>
          <cell r="DH106">
            <v>0.10745454545454552</v>
          </cell>
          <cell r="DI106">
            <v>0.11090909090909098</v>
          </cell>
          <cell r="DJ106">
            <v>0.11436363636363645</v>
          </cell>
          <cell r="DK106">
            <v>0.11781818181818191</v>
          </cell>
          <cell r="DL106">
            <v>0.12127272727272737</v>
          </cell>
          <cell r="DM106">
            <v>0.12472727272727283</v>
          </cell>
          <cell r="DN106">
            <v>0.12818181818181829</v>
          </cell>
          <cell r="DO106">
            <v>0.13163636363636375</v>
          </cell>
          <cell r="DP106">
            <v>0.13509090909090921</v>
          </cell>
          <cell r="DQ106">
            <v>0.13854545454545467</v>
          </cell>
          <cell r="DR106">
            <v>0.14200000000000002</v>
          </cell>
          <cell r="DS106">
            <v>0.1431908831908828</v>
          </cell>
          <cell r="DT106">
            <v>0.14639234839234838</v>
          </cell>
          <cell r="DU106">
            <v>0.14959381359381307</v>
          </cell>
          <cell r="DV106">
            <v>0.15279527879527866</v>
          </cell>
          <cell r="DW106">
            <v>0.15599674399674424</v>
          </cell>
        </row>
        <row r="107">
          <cell r="CR107">
            <v>-10.273524999999999</v>
          </cell>
          <cell r="CS107">
            <v>-10.294483</v>
          </cell>
          <cell r="CT107">
            <v>-10.289529999999999</v>
          </cell>
          <cell r="CU107">
            <v>-10.293574</v>
          </cell>
          <cell r="CV107">
            <v>-10.309734000000001</v>
          </cell>
          <cell r="CW107">
            <v>-10.323646999999999</v>
          </cell>
          <cell r="CX107">
            <v>-10.032159</v>
          </cell>
          <cell r="CY107">
            <v>-10.303286</v>
          </cell>
          <cell r="CZ107">
            <v>-10.331511000000001</v>
          </cell>
          <cell r="DA107">
            <v>-10.339095</v>
          </cell>
          <cell r="DB107">
            <v>-10.303877</v>
          </cell>
          <cell r="DC107">
            <v>-10.221398000000001</v>
          </cell>
          <cell r="DD107">
            <v>-10.23926</v>
          </cell>
          <cell r="DE107">
            <v>-9.9143159999999995</v>
          </cell>
          <cell r="DF107">
            <v>-10.302866</v>
          </cell>
          <cell r="DG107">
            <v>-10.205985999999999</v>
          </cell>
          <cell r="DH107">
            <v>-10.208928999999999</v>
          </cell>
          <cell r="DI107">
            <v>-10.309901999999999</v>
          </cell>
          <cell r="DJ107">
            <v>-10.250705</v>
          </cell>
          <cell r="DK107">
            <v>-10.303402</v>
          </cell>
          <cell r="DL107">
            <v>-10.334543999999999</v>
          </cell>
          <cell r="DM107">
            <v>-10.295774</v>
          </cell>
          <cell r="DN107">
            <v>-10.324339999999999</v>
          </cell>
          <cell r="DO107">
            <v>-10.216191</v>
          </cell>
          <cell r="DP107">
            <v>-10.327718000000001</v>
          </cell>
          <cell r="DQ107">
            <v>-10.33653</v>
          </cell>
          <cell r="DR107">
            <v>-10.30254</v>
          </cell>
          <cell r="DS107">
            <v>-10.367314</v>
          </cell>
          <cell r="DT107">
            <v>-10.941371</v>
          </cell>
          <cell r="DU107">
            <v>-10.385725226600986</v>
          </cell>
          <cell r="DV107">
            <v>-10.391905742857144</v>
          </cell>
          <cell r="DW107">
            <v>-10.398086259113301</v>
          </cell>
        </row>
        <row r="108">
          <cell r="CR108">
            <v>-104.30383</v>
          </cell>
          <cell r="CS108">
            <v>-89.68146800000001</v>
          </cell>
          <cell r="CT108">
            <v>-75.059106000000014</v>
          </cell>
          <cell r="CU108">
            <v>-60.436744000000012</v>
          </cell>
          <cell r="CV108">
            <v>-45.814382000000009</v>
          </cell>
          <cell r="CW108">
            <v>-31.192020000000007</v>
          </cell>
          <cell r="CX108">
            <v>-16.569658000000004</v>
          </cell>
          <cell r="CY108">
            <v>-1.9472960000000032</v>
          </cell>
          <cell r="CZ108">
            <v>12.675065999999998</v>
          </cell>
          <cell r="DA108">
            <v>27.297427999999996</v>
          </cell>
          <cell r="DB108">
            <v>41.919789999999999</v>
          </cell>
          <cell r="DC108">
            <v>39.705344285714283</v>
          </cell>
          <cell r="DD108">
            <v>37.490898571428566</v>
          </cell>
          <cell r="DE108">
            <v>35.27645285714285</v>
          </cell>
          <cell r="DF108">
            <v>33.062007142857134</v>
          </cell>
          <cell r="DG108">
            <v>30.847561428571421</v>
          </cell>
          <cell r="DH108">
            <v>28.633115714285708</v>
          </cell>
          <cell r="DI108">
            <v>26.418669999999995</v>
          </cell>
          <cell r="DJ108">
            <v>24.204224285714282</v>
          </cell>
          <cell r="DK108">
            <v>21.98977857142857</v>
          </cell>
          <cell r="DL108">
            <v>19.775332857142857</v>
          </cell>
          <cell r="DM108">
            <v>17.560887142857144</v>
          </cell>
          <cell r="DN108">
            <v>15.346441428571429</v>
          </cell>
          <cell r="DO108">
            <v>13.131995714285715</v>
          </cell>
          <cell r="DP108">
            <v>10.917549999999999</v>
          </cell>
          <cell r="DQ108">
            <v>55.004325500001869</v>
          </cell>
          <cell r="DR108">
            <v>59.200818107692612</v>
          </cell>
          <cell r="DS108">
            <v>63.397310715385174</v>
          </cell>
          <cell r="DT108">
            <v>67.593803323077736</v>
          </cell>
          <cell r="DU108">
            <v>71.790295930770299</v>
          </cell>
          <cell r="DV108">
            <v>75.986788538462861</v>
          </cell>
          <cell r="DW108">
            <v>80.183281146153604</v>
          </cell>
        </row>
        <row r="109">
          <cell r="CR109">
            <v>-12.390084938723957</v>
          </cell>
          <cell r="CS109">
            <v>-12.810834725964684</v>
          </cell>
          <cell r="CT109">
            <v>-13.199005737250008</v>
          </cell>
          <cell r="CU109">
            <v>-13.076056566833271</v>
          </cell>
          <cell r="CV109">
            <v>-15.975977408402612</v>
          </cell>
          <cell r="CW109">
            <v>-14.838428299171056</v>
          </cell>
          <cell r="CX109">
            <v>-15.004690419879982</v>
          </cell>
          <cell r="CY109">
            <v>-13.235959627003751</v>
          </cell>
          <cell r="CZ109">
            <v>-12.286288151585124</v>
          </cell>
          <cell r="DA109">
            <v>-8.6089875057053789</v>
          </cell>
          <cell r="DB109">
            <v>-11.851310268156167</v>
          </cell>
          <cell r="DC109">
            <v>-12.362462912403386</v>
          </cell>
          <cell r="DD109">
            <v>-10.646855287728519</v>
          </cell>
          <cell r="DE109">
            <v>-10.23269601689813</v>
          </cell>
          <cell r="DF109">
            <v>-6.51954351054634</v>
          </cell>
          <cell r="DG109">
            <v>-5.9649142454055992</v>
          </cell>
          <cell r="DH109">
            <v>-6.7459246781117832</v>
          </cell>
          <cell r="DI109">
            <v>-6.3204427116756543</v>
          </cell>
          <cell r="DJ109">
            <v>-6.7065422033637008</v>
          </cell>
          <cell r="DK109">
            <v>-3.8113093474204778</v>
          </cell>
          <cell r="DL109">
            <v>-2.0297418285031794</v>
          </cell>
          <cell r="DM109">
            <v>-2.4298728743125255</v>
          </cell>
          <cell r="DN109">
            <v>-3.7897114297137189</v>
          </cell>
          <cell r="DO109">
            <v>-2.5020700085942691</v>
          </cell>
          <cell r="DP109">
            <v>1.4028924588093714</v>
          </cell>
          <cell r="DQ109">
            <v>0.15742107178426021</v>
          </cell>
          <cell r="DR109">
            <v>-1.6618285146765324</v>
          </cell>
          <cell r="DS109">
            <v>-3.1114949746684348</v>
          </cell>
          <cell r="DT109">
            <v>-0.61633911485481707</v>
          </cell>
          <cell r="DU109">
            <v>-2.2951028797858206</v>
          </cell>
          <cell r="DV109">
            <v>0.79911149037883067</v>
          </cell>
          <cell r="DW109">
            <v>2.3919355375721612</v>
          </cell>
        </row>
        <row r="110">
          <cell r="CR110">
            <v>0.20624780000000001</v>
          </cell>
          <cell r="CS110">
            <v>0.20624780000000001</v>
          </cell>
          <cell r="CT110">
            <v>0.20624780000000001</v>
          </cell>
          <cell r="CU110">
            <v>0.20624780000000001</v>
          </cell>
          <cell r="CV110">
            <v>0.20624780000000001</v>
          </cell>
          <cell r="CW110">
            <v>0.15907816666666669</v>
          </cell>
          <cell r="CX110">
            <v>0.11190853333333337</v>
          </cell>
          <cell r="CY110">
            <v>6.4738900000000044E-2</v>
          </cell>
          <cell r="CZ110">
            <v>1.7569266666666715E-2</v>
          </cell>
          <cell r="DA110">
            <v>-2.9600366666666614E-2</v>
          </cell>
          <cell r="DB110">
            <v>-7.6769999999999991E-2</v>
          </cell>
          <cell r="DC110">
            <v>-0.36073630000000001</v>
          </cell>
          <cell r="DD110">
            <v>-0.64470260000000001</v>
          </cell>
          <cell r="DE110">
            <v>-0.92866890000000002</v>
          </cell>
          <cell r="DF110">
            <v>-1.2126352</v>
          </cell>
          <cell r="DG110">
            <v>-1.4966015000000001</v>
          </cell>
          <cell r="DH110">
            <v>-1.7805678</v>
          </cell>
          <cell r="DI110">
            <v>-2.0645340999999999</v>
          </cell>
          <cell r="DJ110">
            <v>-2.3485003999999998</v>
          </cell>
          <cell r="DK110">
            <v>-2.6324666999999997</v>
          </cell>
          <cell r="DL110">
            <v>-2.9164329999999996</v>
          </cell>
          <cell r="DM110">
            <v>-3.2003992999999999</v>
          </cell>
          <cell r="DN110">
            <v>-3.0356830000000001</v>
          </cell>
          <cell r="DO110">
            <v>-3.3688500000000001</v>
          </cell>
          <cell r="DP110">
            <v>-2.65496</v>
          </cell>
          <cell r="DQ110">
            <v>-1.9410699999999999</v>
          </cell>
          <cell r="DR110">
            <v>-1.2271799999999997</v>
          </cell>
          <cell r="DS110">
            <v>-0.51328999999999969</v>
          </cell>
          <cell r="DT110">
            <v>0.20060000000000033</v>
          </cell>
          <cell r="DU110">
            <v>0.91449000000000003</v>
          </cell>
          <cell r="DV110">
            <v>-2.2228131314942345</v>
          </cell>
          <cell r="DW110">
            <v>-2.301846182343354</v>
          </cell>
        </row>
        <row r="111">
          <cell r="CR111">
            <v>1.26057</v>
          </cell>
          <cell r="CS111">
            <v>1.26057</v>
          </cell>
          <cell r="CT111">
            <v>1.26057</v>
          </cell>
          <cell r="CU111">
            <v>1.26057</v>
          </cell>
          <cell r="CV111">
            <v>1.26057</v>
          </cell>
          <cell r="CW111">
            <v>0.82081166666666672</v>
          </cell>
          <cell r="CX111">
            <v>0.38105333333333341</v>
          </cell>
          <cell r="CY111">
            <v>-5.8704999999999896E-2</v>
          </cell>
          <cell r="CZ111">
            <v>-0.4984633333333332</v>
          </cell>
          <cell r="DA111">
            <v>-0.93822166666666651</v>
          </cell>
          <cell r="DB111">
            <v>-1.37798</v>
          </cell>
          <cell r="DC111">
            <v>-1.1040160000000001</v>
          </cell>
          <cell r="DD111">
            <v>-0.83005200000000012</v>
          </cell>
          <cell r="DE111">
            <v>-0.55608800000000014</v>
          </cell>
          <cell r="DF111">
            <v>-0.28212400000000015</v>
          </cell>
          <cell r="DG111">
            <v>-8.1600000000000006E-3</v>
          </cell>
          <cell r="DH111">
            <v>-8.0260000000000001E-3</v>
          </cell>
          <cell r="DI111">
            <v>-7.8919999999999997E-3</v>
          </cell>
          <cell r="DJ111">
            <v>-7.7579999999999993E-3</v>
          </cell>
          <cell r="DK111">
            <v>-7.6239999999999988E-3</v>
          </cell>
          <cell r="DL111">
            <v>-7.4900000000000001E-3</v>
          </cell>
          <cell r="DM111">
            <v>1.19364</v>
          </cell>
          <cell r="DN111">
            <v>1.16486</v>
          </cell>
          <cell r="DO111">
            <v>1.1565000000000001</v>
          </cell>
          <cell r="DP111">
            <v>1.1247100000000001</v>
          </cell>
          <cell r="DQ111">
            <v>1.09758</v>
          </cell>
          <cell r="DR111">
            <v>1.1172299999999999</v>
          </cell>
          <cell r="DS111">
            <v>1.08955</v>
          </cell>
          <cell r="DT111">
            <v>0.48139878306878359</v>
          </cell>
          <cell r="DU111">
            <v>0.49056868682722055</v>
          </cell>
          <cell r="DV111">
            <v>0.49973859058565751</v>
          </cell>
          <cell r="DW111">
            <v>0.50890849434409446</v>
          </cell>
        </row>
        <row r="112">
          <cell r="CR112">
            <v>-96.811000000000007</v>
          </cell>
          <cell r="CS112">
            <v>-96.811000000000007</v>
          </cell>
          <cell r="CT112">
            <v>-96.811000000000007</v>
          </cell>
          <cell r="CU112">
            <v>-96.811000000000007</v>
          </cell>
          <cell r="CV112">
            <v>-96.811000000000007</v>
          </cell>
          <cell r="CW112">
            <v>-96.811000000000007</v>
          </cell>
          <cell r="CX112">
            <v>-96.811000000000007</v>
          </cell>
          <cell r="CY112">
            <v>-96.811000000000007</v>
          </cell>
          <cell r="CZ112">
            <v>-96.811000000000007</v>
          </cell>
          <cell r="DA112">
            <v>-96.811000000000007</v>
          </cell>
          <cell r="DB112">
            <v>-96.811000000000007</v>
          </cell>
          <cell r="DC112">
            <v>-91.353542142857151</v>
          </cell>
          <cell r="DD112">
            <v>-85.896084285714295</v>
          </cell>
          <cell r="DE112">
            <v>-80.438626428571439</v>
          </cell>
          <cell r="DF112">
            <v>-74.981168571428583</v>
          </cell>
          <cell r="DG112">
            <v>-69.523710714285727</v>
          </cell>
          <cell r="DH112">
            <v>-64.066252857142871</v>
          </cell>
          <cell r="DI112">
            <v>-58.608795000000015</v>
          </cell>
          <cell r="DJ112">
            <v>-53.151337142857159</v>
          </cell>
          <cell r="DK112">
            <v>-47.693879285714303</v>
          </cell>
          <cell r="DL112">
            <v>-42.236421428571447</v>
          </cell>
          <cell r="DM112">
            <v>-36.778963571428591</v>
          </cell>
          <cell r="DN112">
            <v>-31.321505714285735</v>
          </cell>
          <cell r="DO112">
            <v>-25.864047857142879</v>
          </cell>
          <cell r="DP112">
            <v>-20.406590000000001</v>
          </cell>
          <cell r="DQ112">
            <v>-29.95714124999995</v>
          </cell>
          <cell r="DR112">
            <v>-26.577715423077279</v>
          </cell>
          <cell r="DS112">
            <v>-23.1982895961537</v>
          </cell>
          <cell r="DT112">
            <v>-19.81886376923012</v>
          </cell>
          <cell r="DU112">
            <v>-16.43943794230745</v>
          </cell>
          <cell r="DV112">
            <v>-13.060012115384779</v>
          </cell>
          <cell r="DW112">
            <v>-9.6805862884621092</v>
          </cell>
        </row>
        <row r="113">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v>0</v>
          </cell>
          <cell r="DU113">
            <v>0</v>
          </cell>
          <cell r="DV113">
            <v>0</v>
          </cell>
          <cell r="DW113">
            <v>0</v>
          </cell>
        </row>
        <row r="114">
          <cell r="CR114">
            <v>7.4805125785521497E-3</v>
          </cell>
          <cell r="CS114">
            <v>-8.1458338594068095E-3</v>
          </cell>
          <cell r="CT114">
            <v>2.6867354150384094E-3</v>
          </cell>
          <cell r="CU114">
            <v>-5.6019828234193979E-4</v>
          </cell>
          <cell r="CV114">
            <v>1.8564183638734282E-2</v>
          </cell>
          <cell r="CW114">
            <v>5.2479559534968608E-3</v>
          </cell>
          <cell r="CX114">
            <v>-2.994349003361001E-3</v>
          </cell>
          <cell r="CY114">
            <v>8.34523471213355E-3</v>
          </cell>
          <cell r="CZ114">
            <v>6.818871337445913E-4</v>
          </cell>
          <cell r="DA114">
            <v>-4.1547836171667907E-4</v>
          </cell>
          <cell r="DB114">
            <v>2.5050877541908156E-2</v>
          </cell>
          <cell r="DC114">
            <v>2.1396016577614786E-3</v>
          </cell>
          <cell r="DD114">
            <v>3.0620151421108795E-3</v>
          </cell>
          <cell r="DE114">
            <v>7.0621365048057416E-3</v>
          </cell>
          <cell r="DF114">
            <v>9.2333955753844295E-3</v>
          </cell>
          <cell r="DG114">
            <v>9.291412071173448E-3</v>
          </cell>
          <cell r="DH114">
            <v>1.4077588225309639E-2</v>
          </cell>
          <cell r="DI114">
            <v>2.3139739835291589E-2</v>
          </cell>
          <cell r="DJ114">
            <v>2.5258054840982994E-2</v>
          </cell>
          <cell r="DK114">
            <v>2.232031439085045E-2</v>
          </cell>
          <cell r="DL114">
            <v>2.0899429999510048E-2</v>
          </cell>
          <cell r="DM114">
            <v>2.462315896899428E-2</v>
          </cell>
          <cell r="DN114">
            <v>2.4897923066485063E-2</v>
          </cell>
          <cell r="DO114">
            <v>1.744898825904595E-2</v>
          </cell>
          <cell r="DP114">
            <v>1.7371297487233338E-2</v>
          </cell>
          <cell r="DQ114">
            <v>1.2096850136616901E-2</v>
          </cell>
          <cell r="DR114">
            <v>1.0317490021397167E-2</v>
          </cell>
          <cell r="DS114">
            <v>1.1607026451237779E-2</v>
          </cell>
          <cell r="DT114">
            <v>2.227982086260618E-2</v>
          </cell>
          <cell r="DU114">
            <v>1.2289793326605548E-2</v>
          </cell>
          <cell r="DV114">
            <v>4.7327409462026805E-3</v>
          </cell>
          <cell r="DW114">
            <v>2.2544911418519119E-4</v>
          </cell>
        </row>
        <row r="115">
          <cell r="CR115">
            <v>-5.3625904029930522</v>
          </cell>
          <cell r="CS115">
            <v>-5.6820678031372447</v>
          </cell>
          <cell r="CT115">
            <v>-5.4145018410690335</v>
          </cell>
          <cell r="CU115">
            <v>-6.370113443612559</v>
          </cell>
          <cell r="CV115">
            <v>-5.8901246864829533</v>
          </cell>
          <cell r="CW115">
            <v>-4.6164092419420673</v>
          </cell>
          <cell r="CX115">
            <v>0.91928744148678676</v>
          </cell>
          <cell r="CY115">
            <v>-0.30005619702247227</v>
          </cell>
          <cell r="CZ115">
            <v>-7.8885913185664105</v>
          </cell>
          <cell r="DA115">
            <v>-7.2045772983726861</v>
          </cell>
          <cell r="DB115">
            <v>-9.4940196142700088</v>
          </cell>
          <cell r="DC115">
            <v>-7.3227942046606174</v>
          </cell>
          <cell r="DD115">
            <v>-6.3699762859167777</v>
          </cell>
          <cell r="DE115">
            <v>-5.6083178212257732</v>
          </cell>
          <cell r="DF115">
            <v>-5.0633371724892662</v>
          </cell>
          <cell r="DG115">
            <v>-4.1672986780896482</v>
          </cell>
          <cell r="DH115">
            <v>-3.7422757216854952</v>
          </cell>
          <cell r="DI115">
            <v>-5.5459702500324459</v>
          </cell>
          <cell r="DJ115">
            <v>-6.2648158059914989</v>
          </cell>
          <cell r="DK115">
            <v>-7.2777618938644286</v>
          </cell>
          <cell r="DL115">
            <v>-10.38367649333529</v>
          </cell>
          <cell r="DM115">
            <v>-10.581825384155112</v>
          </cell>
          <cell r="DN115">
            <v>-10.209533629112933</v>
          </cell>
          <cell r="DO115">
            <v>-9.5988307994824993</v>
          </cell>
          <cell r="DP115">
            <v>-8.8037460422450451</v>
          </cell>
          <cell r="DQ115">
            <v>-7.9715416226835041</v>
          </cell>
          <cell r="DR115">
            <v>-7.1552426085442979</v>
          </cell>
          <cell r="DS115">
            <v>-6.571846034541962</v>
          </cell>
          <cell r="DT115">
            <v>-5.6049664127588876</v>
          </cell>
          <cell r="DU115">
            <v>-5.9046787766420623</v>
          </cell>
          <cell r="DV115">
            <v>-6.6541020944350695</v>
          </cell>
          <cell r="DW115">
            <v>-6.1123031828355474</v>
          </cell>
        </row>
        <row r="116">
          <cell r="CR116">
            <v>4.8635812744734766E-3</v>
          </cell>
          <cell r="CS116">
            <v>-6.3039369472489018E-2</v>
          </cell>
          <cell r="CT116">
            <v>-0.46864868544450139</v>
          </cell>
          <cell r="CU116">
            <v>-0.59534677622288357</v>
          </cell>
          <cell r="CV116">
            <v>-0.44756184080091765</v>
          </cell>
          <cell r="CW116">
            <v>-0.52676717553705787</v>
          </cell>
          <cell r="CX116">
            <v>-0.56249320384269086</v>
          </cell>
          <cell r="CY116">
            <v>-0.64843331660364945</v>
          </cell>
          <cell r="CZ116">
            <v>-0.54255345949657396</v>
          </cell>
          <cell r="DA116">
            <v>-0.60886305549788766</v>
          </cell>
          <cell r="DB116">
            <v>-0.61887808242893605</v>
          </cell>
          <cell r="DC116">
            <v>-0.59749568982708567</v>
          </cell>
          <cell r="DD116">
            <v>-0.58940794068418134</v>
          </cell>
          <cell r="DE116">
            <v>-0.56967418546823279</v>
          </cell>
          <cell r="DF116">
            <v>-0.61582252372080204</v>
          </cell>
          <cell r="DG116">
            <v>-0.57232970269047578</v>
          </cell>
          <cell r="DH116">
            <v>-0.49134243942077366</v>
          </cell>
          <cell r="DI116">
            <v>-0.39908155607369411</v>
          </cell>
          <cell r="DJ116">
            <v>-0.41779270793649903</v>
          </cell>
          <cell r="DK116">
            <v>-0.43015251131176407</v>
          </cell>
          <cell r="DL116">
            <v>-0.21250194133381214</v>
          </cell>
          <cell r="DM116">
            <v>-0.30526796092893099</v>
          </cell>
          <cell r="DN116">
            <v>-0.37529678283364459</v>
          </cell>
          <cell r="DO116">
            <v>-0.5171681064239142</v>
          </cell>
          <cell r="DP116">
            <v>-0.42592040292713546</v>
          </cell>
          <cell r="DQ116">
            <v>-0.37253742141541762</v>
          </cell>
          <cell r="DR116">
            <v>-0.47126463722316214</v>
          </cell>
          <cell r="DS116">
            <v>-0.38237382472952725</v>
          </cell>
          <cell r="DT116">
            <v>-0.24409390147463009</v>
          </cell>
          <cell r="DU116">
            <v>-0.36653637115933346</v>
          </cell>
          <cell r="DV116">
            <v>-0.45059124885155472</v>
          </cell>
          <cell r="DW116">
            <v>-0.60829031779223308</v>
          </cell>
        </row>
        <row r="117">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0</v>
          </cell>
          <cell r="DM117">
            <v>0</v>
          </cell>
          <cell r="DN117">
            <v>0</v>
          </cell>
          <cell r="DO117">
            <v>0</v>
          </cell>
          <cell r="DP117">
            <v>0</v>
          </cell>
          <cell r="DQ117">
            <v>0</v>
          </cell>
          <cell r="DR117">
            <v>0</v>
          </cell>
          <cell r="DS117">
            <v>0</v>
          </cell>
          <cell r="DT117">
            <v>0</v>
          </cell>
          <cell r="DU117">
            <v>0</v>
          </cell>
          <cell r="DV117">
            <v>0</v>
          </cell>
          <cell r="DW117">
            <v>0</v>
          </cell>
        </row>
        <row r="118">
          <cell r="CR118">
            <v>-1.5455000000000001</v>
          </cell>
          <cell r="CS118">
            <v>-0.38534000000000002</v>
          </cell>
          <cell r="CT118">
            <v>0.77482000000000006</v>
          </cell>
          <cell r="CU118">
            <v>1.9349800000000001</v>
          </cell>
          <cell r="CV118">
            <v>3.0951400000000002</v>
          </cell>
          <cell r="CW118">
            <v>4.2553000000000001</v>
          </cell>
          <cell r="CX118">
            <v>5.4154600000000004</v>
          </cell>
          <cell r="CY118">
            <v>6.5756200000000007</v>
          </cell>
          <cell r="CZ118">
            <v>7.735780000000001</v>
          </cell>
          <cell r="DA118">
            <v>8.8959400000000013</v>
          </cell>
          <cell r="DB118">
            <v>10.056100000000001</v>
          </cell>
          <cell r="DC118">
            <v>7.6393000000000004</v>
          </cell>
          <cell r="DD118">
            <v>5.2225000000000001</v>
          </cell>
          <cell r="DE118">
            <v>2.8056999999999999</v>
          </cell>
          <cell r="DF118">
            <v>0.38889999999999958</v>
          </cell>
          <cell r="DG118">
            <v>-2.0279000000000003</v>
          </cell>
          <cell r="DH118">
            <v>-2.1639111111111111</v>
          </cell>
          <cell r="DI118">
            <v>-2.299922222222222</v>
          </cell>
          <cell r="DJ118">
            <v>-2.4359333333333328</v>
          </cell>
          <cell r="DK118">
            <v>-2.5719444444444437</v>
          </cell>
          <cell r="DL118">
            <v>-2.7079555555555546</v>
          </cell>
          <cell r="DM118">
            <v>-2.8439666666666654</v>
          </cell>
          <cell r="DN118">
            <v>-2.9799777777777763</v>
          </cell>
          <cell r="DO118">
            <v>-3.1159888888888871</v>
          </cell>
          <cell r="DP118">
            <v>-3.2519999999999998</v>
          </cell>
          <cell r="DQ118">
            <v>-0.89019999999999999</v>
          </cell>
          <cell r="DR118">
            <v>-1.3206</v>
          </cell>
          <cell r="DS118">
            <v>1.3597000000000001</v>
          </cell>
          <cell r="DT118">
            <v>-1.7629000000000001</v>
          </cell>
          <cell r="DU118">
            <v>1.6344000000000001</v>
          </cell>
          <cell r="DV118">
            <v>-2.3489712643677763</v>
          </cell>
          <cell r="DW118">
            <v>-2.5768309158324314</v>
          </cell>
        </row>
        <row r="119">
          <cell r="CR119">
            <v>-238.971</v>
          </cell>
          <cell r="CS119">
            <v>-238.971</v>
          </cell>
          <cell r="CT119">
            <v>-238.971</v>
          </cell>
          <cell r="CU119">
            <v>-238.971</v>
          </cell>
          <cell r="CV119">
            <v>-238.971</v>
          </cell>
          <cell r="CW119">
            <v>-238.01851666666667</v>
          </cell>
          <cell r="CX119">
            <v>-237.06603333333334</v>
          </cell>
          <cell r="CY119">
            <v>-236.11355</v>
          </cell>
          <cell r="CZ119">
            <v>-235.16106666666667</v>
          </cell>
          <cell r="DA119">
            <v>-234.20858333333334</v>
          </cell>
          <cell r="DB119">
            <v>-233.2561</v>
          </cell>
          <cell r="DC119">
            <v>-218.16748000000001</v>
          </cell>
          <cell r="DD119">
            <v>-203.07886000000002</v>
          </cell>
          <cell r="DE119">
            <v>-187.99024000000003</v>
          </cell>
          <cell r="DF119">
            <v>-172.90162000000004</v>
          </cell>
          <cell r="DG119">
            <v>-157.81300000000002</v>
          </cell>
          <cell r="DH119">
            <v>-168.65470000000002</v>
          </cell>
          <cell r="DI119">
            <v>-174.49110000000002</v>
          </cell>
          <cell r="DJ119">
            <v>-170.99</v>
          </cell>
          <cell r="DK119">
            <v>-167.47220000000002</v>
          </cell>
          <cell r="DL119">
            <v>-96.191299999999998</v>
          </cell>
          <cell r="DM119">
            <v>-143.58255976190412</v>
          </cell>
          <cell r="DN119">
            <v>-137.90638835497703</v>
          </cell>
          <cell r="DO119">
            <v>-132.23021694805175</v>
          </cell>
          <cell r="DP119">
            <v>-126.55404554112465</v>
          </cell>
          <cell r="DQ119">
            <v>-120.87787413419937</v>
          </cell>
          <cell r="DR119">
            <v>-115.20170272727228</v>
          </cell>
          <cell r="DS119">
            <v>-109.525531320347</v>
          </cell>
          <cell r="DT119">
            <v>-103.8493599134199</v>
          </cell>
          <cell r="DU119">
            <v>-98.173188506492806</v>
          </cell>
          <cell r="DV119">
            <v>-92.497017099567529</v>
          </cell>
          <cell r="DW119">
            <v>-86.820845692640432</v>
          </cell>
        </row>
        <row r="120">
          <cell r="CR120">
            <v>17.51202</v>
          </cell>
          <cell r="CS120">
            <v>17.51202</v>
          </cell>
          <cell r="CT120">
            <v>17.51202</v>
          </cell>
          <cell r="CU120">
            <v>17.51202</v>
          </cell>
          <cell r="CV120">
            <v>17.51202</v>
          </cell>
          <cell r="CW120">
            <v>17.8</v>
          </cell>
          <cell r="CX120">
            <v>18.088999999999999</v>
          </cell>
          <cell r="CY120">
            <v>18.376999999999999</v>
          </cell>
          <cell r="CZ120">
            <v>18.666</v>
          </cell>
          <cell r="DA120">
            <v>18.954000000000001</v>
          </cell>
          <cell r="DB120">
            <v>19.242999999999999</v>
          </cell>
          <cell r="DC120">
            <v>17.257883999999997</v>
          </cell>
          <cell r="DD120">
            <v>15.272767999999997</v>
          </cell>
          <cell r="DE120">
            <v>13.287651999999998</v>
          </cell>
          <cell r="DF120">
            <v>11.302535999999998</v>
          </cell>
          <cell r="DG120">
            <v>9.3174199999999985</v>
          </cell>
          <cell r="DH120">
            <v>7.3323039999999988</v>
          </cell>
          <cell r="DI120">
            <v>5.3471879999999992</v>
          </cell>
          <cell r="DJ120">
            <v>3.3620719999999991</v>
          </cell>
          <cell r="DK120">
            <v>1.376955999999999</v>
          </cell>
          <cell r="DL120">
            <v>-0.60816000000000003</v>
          </cell>
          <cell r="DM120">
            <v>3.7233420000000024</v>
          </cell>
          <cell r="DN120">
            <v>2.8413180259742603</v>
          </cell>
          <cell r="DO120">
            <v>1.9592940519480635</v>
          </cell>
          <cell r="DP120">
            <v>1.0772700779220941</v>
          </cell>
          <cell r="DQ120">
            <v>0.19524610389589725</v>
          </cell>
          <cell r="DR120">
            <v>-0.68677787012961744</v>
          </cell>
          <cell r="DS120">
            <v>-1.5688018441560416</v>
          </cell>
          <cell r="DT120">
            <v>-2.4508258181815563</v>
          </cell>
          <cell r="DU120">
            <v>-3.3328497922079805</v>
          </cell>
          <cell r="DV120">
            <v>-4.2148737662337226</v>
          </cell>
          <cell r="DW120">
            <v>-5.0968977402599194</v>
          </cell>
        </row>
        <row r="121">
          <cell r="CR121">
            <v>-95.913080000000008</v>
          </cell>
          <cell r="CS121">
            <v>-188.37816000000001</v>
          </cell>
          <cell r="CT121">
            <v>-165.18738000000002</v>
          </cell>
          <cell r="CU121">
            <v>-204.28808999999998</v>
          </cell>
          <cell r="CV121">
            <v>-188.62710000000001</v>
          </cell>
          <cell r="CW121">
            <v>-200.93280999999999</v>
          </cell>
          <cell r="CX121">
            <v>-209.64804000000001</v>
          </cell>
          <cell r="CY121">
            <v>-224.67916</v>
          </cell>
          <cell r="CZ121">
            <v>-217.98260000000002</v>
          </cell>
          <cell r="DA121">
            <v>-239.07901000000001</v>
          </cell>
          <cell r="DB121">
            <v>-169.39723999999998</v>
          </cell>
          <cell r="DC121">
            <v>-210.37858</v>
          </cell>
          <cell r="DD121">
            <v>-238.6138</v>
          </cell>
          <cell r="DE121">
            <v>-239.90821</v>
          </cell>
          <cell r="DF121">
            <v>-224.16943000000001</v>
          </cell>
          <cell r="DG121">
            <v>-197.07676000000001</v>
          </cell>
          <cell r="DH121">
            <v>-233.97798999999998</v>
          </cell>
          <cell r="DI121">
            <v>-206.37110000000001</v>
          </cell>
          <cell r="DJ121">
            <v>-228.67229999999998</v>
          </cell>
          <cell r="DK121">
            <v>-240.53380999999999</v>
          </cell>
          <cell r="DL121">
            <v>-237.39469</v>
          </cell>
          <cell r="DM121">
            <v>-241.25217999999998</v>
          </cell>
          <cell r="DN121">
            <v>-246.47067999999999</v>
          </cell>
          <cell r="DO121">
            <v>-248.80644000000001</v>
          </cell>
          <cell r="DP121">
            <v>-249.95254</v>
          </cell>
          <cell r="DQ121">
            <v>-244.03211999999999</v>
          </cell>
          <cell r="DR121">
            <v>-215.37504999999999</v>
          </cell>
          <cell r="DS121">
            <v>-243.36973</v>
          </cell>
          <cell r="DT121">
            <v>-241.26407999999998</v>
          </cell>
          <cell r="DU121">
            <v>-214.71454</v>
          </cell>
          <cell r="DV121">
            <v>-254.86890928735647</v>
          </cell>
          <cell r="DW121">
            <v>-257.31970623062625</v>
          </cell>
        </row>
        <row r="122">
          <cell r="CR122">
            <v>0</v>
          </cell>
          <cell r="CS122">
            <v>0</v>
          </cell>
          <cell r="CT122">
            <v>0</v>
          </cell>
          <cell r="CU122">
            <v>0</v>
          </cell>
          <cell r="CV122">
            <v>0</v>
          </cell>
          <cell r="CW122">
            <v>0</v>
          </cell>
          <cell r="CX122">
            <v>0</v>
          </cell>
          <cell r="CY122">
            <v>0</v>
          </cell>
          <cell r="CZ122">
            <v>0</v>
          </cell>
          <cell r="DA122">
            <v>0</v>
          </cell>
          <cell r="DB122">
            <v>0</v>
          </cell>
          <cell r="DC122">
            <v>0</v>
          </cell>
          <cell r="DD122">
            <v>0</v>
          </cell>
          <cell r="DE122">
            <v>0</v>
          </cell>
          <cell r="DF122">
            <v>0</v>
          </cell>
          <cell r="DG122">
            <v>0</v>
          </cell>
          <cell r="DH122">
            <v>0</v>
          </cell>
          <cell r="DI122">
            <v>0</v>
          </cell>
          <cell r="DJ122">
            <v>0</v>
          </cell>
          <cell r="DK122">
            <v>0</v>
          </cell>
          <cell r="DL122">
            <v>0</v>
          </cell>
          <cell r="DM122">
            <v>0</v>
          </cell>
          <cell r="DN122">
            <v>0</v>
          </cell>
          <cell r="DO122">
            <v>0</v>
          </cell>
          <cell r="DP122">
            <v>0</v>
          </cell>
          <cell r="DQ122">
            <v>0</v>
          </cell>
          <cell r="DR122">
            <v>0</v>
          </cell>
          <cell r="DS122">
            <v>0</v>
          </cell>
          <cell r="DT122">
            <v>0</v>
          </cell>
          <cell r="DU122">
            <v>0</v>
          </cell>
          <cell r="DV122">
            <v>0</v>
          </cell>
          <cell r="DW122">
            <v>0</v>
          </cell>
        </row>
        <row r="123">
          <cell r="CR123">
            <v>-9.7480560000000001</v>
          </cell>
          <cell r="CS123">
            <v>-9.7480560000000001</v>
          </cell>
          <cell r="CT123">
            <v>-9.7480560000000001</v>
          </cell>
          <cell r="CU123">
            <v>-9.7480560000000001</v>
          </cell>
          <cell r="CV123">
            <v>-9.7480560000000001</v>
          </cell>
          <cell r="CW123">
            <v>-9.7480560000000001</v>
          </cell>
          <cell r="CX123">
            <v>-20.720988800000001</v>
          </cell>
          <cell r="CY123">
            <v>-31.693921599999999</v>
          </cell>
          <cell r="CZ123">
            <v>-42.666854399999998</v>
          </cell>
          <cell r="DA123">
            <v>-53.639787200000001</v>
          </cell>
          <cell r="DB123">
            <v>-64.612719999999996</v>
          </cell>
          <cell r="DC123">
            <v>-82.631348000000003</v>
          </cell>
          <cell r="DD123">
            <v>-100.64997600000001</v>
          </cell>
          <cell r="DE123">
            <v>-118.66860400000002</v>
          </cell>
          <cell r="DF123">
            <v>-136.68723200000002</v>
          </cell>
          <cell r="DG123">
            <v>-154.70586000000003</v>
          </cell>
          <cell r="DH123">
            <v>-172.72448800000004</v>
          </cell>
          <cell r="DI123">
            <v>-190.74311600000004</v>
          </cell>
          <cell r="DJ123">
            <v>-208.76174400000005</v>
          </cell>
          <cell r="DK123">
            <v>-226.78037200000006</v>
          </cell>
          <cell r="DL123">
            <v>-244.79900000000001</v>
          </cell>
          <cell r="DM123">
            <v>-267.27581333333336</v>
          </cell>
          <cell r="DN123">
            <v>-289.75262666666669</v>
          </cell>
          <cell r="DO123">
            <v>-312.22944000000001</v>
          </cell>
          <cell r="DP123">
            <v>-317.73245000000003</v>
          </cell>
          <cell r="DQ123">
            <v>-317.97403000000003</v>
          </cell>
          <cell r="DR123">
            <v>-322.05543999999998</v>
          </cell>
          <cell r="DS123">
            <v>-325.30920000000003</v>
          </cell>
          <cell r="DT123">
            <v>-330.89966999999996</v>
          </cell>
          <cell r="DU123">
            <v>-344.42478000000006</v>
          </cell>
          <cell r="DV123">
            <v>-373.73425402299108</v>
          </cell>
          <cell r="DW123">
            <v>-387.65984503952495</v>
          </cell>
        </row>
        <row r="124">
          <cell r="CR124">
            <v>-7.9996904825351909E-3</v>
          </cell>
          <cell r="CS124">
            <v>-8.2268726713326714E-3</v>
          </cell>
          <cell r="CT124">
            <v>-5.0352151557491497E-3</v>
          </cell>
          <cell r="CU124">
            <v>-4.8638034853648602E-3</v>
          </cell>
          <cell r="CV124">
            <v>-4.5246262366598709E-3</v>
          </cell>
          <cell r="CW124">
            <v>-4.0065038597835506E-3</v>
          </cell>
          <cell r="CX124">
            <v>-4.0337463027468011E-3</v>
          </cell>
          <cell r="CY124">
            <v>-4.2614569809483202E-3</v>
          </cell>
          <cell r="CZ124">
            <v>-4.0350335207361898E-3</v>
          </cell>
          <cell r="DA124">
            <v>-4.8517260714468205E-3</v>
          </cell>
          <cell r="DB124">
            <v>-4.9394773785492296E-3</v>
          </cell>
          <cell r="DC124">
            <v>-2.4090272644757605E-3</v>
          </cell>
          <cell r="DD124">
            <v>2.1305141197168483E-2</v>
          </cell>
          <cell r="DE124">
            <v>2.1295532265076533E-2</v>
          </cell>
          <cell r="DF124">
            <v>-2.9814253023569979E-4</v>
          </cell>
          <cell r="DG124">
            <v>-4.9182108259957988E-4</v>
          </cell>
          <cell r="DH124">
            <v>-1.68954529855584E-3</v>
          </cell>
          <cell r="DI124">
            <v>-1.4492479250396702E-3</v>
          </cell>
          <cell r="DJ124">
            <v>1.2006982242756061E-2</v>
          </cell>
          <cell r="DK124">
            <v>1.143277581083167E-2</v>
          </cell>
          <cell r="DL124">
            <v>1.1201023094190458E-2</v>
          </cell>
          <cell r="DM124">
            <v>-1.96853524308809E-3</v>
          </cell>
          <cell r="DN124">
            <v>-1.7814111186969697E-3</v>
          </cell>
          <cell r="DO124">
            <v>-1.6015699306076302E-3</v>
          </cell>
          <cell r="DP124">
            <v>-4.1715114545223904E-3</v>
          </cell>
          <cell r="DQ124">
            <v>-3.8114754113846095E-3</v>
          </cell>
          <cell r="DR124">
            <v>-3.8006466418239403E-3</v>
          </cell>
          <cell r="DS124">
            <v>1.0617207083129505E-3</v>
          </cell>
          <cell r="DT124">
            <v>4.0467597636088983E-4</v>
          </cell>
          <cell r="DU124">
            <v>5.7162551974080907E-3</v>
          </cell>
          <cell r="DV124">
            <v>8.2808090524830683E-3</v>
          </cell>
          <cell r="DW124">
            <v>6.3840695265536106E-4</v>
          </cell>
        </row>
        <row r="125">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v>0</v>
          </cell>
          <cell r="DU125">
            <v>0</v>
          </cell>
          <cell r="DV125">
            <v>0</v>
          </cell>
          <cell r="DW125">
            <v>0</v>
          </cell>
        </row>
        <row r="126">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v>0</v>
          </cell>
          <cell r="DU126">
            <v>0</v>
          </cell>
          <cell r="DV126">
            <v>0</v>
          </cell>
          <cell r="DW126">
            <v>0</v>
          </cell>
        </row>
        <row r="127">
          <cell r="CR127">
            <v>-0.49319000000000002</v>
          </cell>
          <cell r="CS127">
            <v>2.61578</v>
          </cell>
          <cell r="CT127">
            <v>-0.58135000000000003</v>
          </cell>
          <cell r="CU127">
            <v>6.1829399999999994</v>
          </cell>
          <cell r="CV127">
            <v>2.91405</v>
          </cell>
          <cell r="CW127">
            <v>-0.10587000000000001</v>
          </cell>
          <cell r="CX127">
            <v>-0.60987000000000002</v>
          </cell>
          <cell r="CY127">
            <v>-0.13190000000000002</v>
          </cell>
          <cell r="CZ127">
            <v>0.11745999999999999</v>
          </cell>
          <cell r="DA127">
            <v>-0.10521999999999999</v>
          </cell>
          <cell r="DB127">
            <v>-0.67201999999999995</v>
          </cell>
          <cell r="DC127">
            <v>-0.74460000000000004</v>
          </cell>
          <cell r="DD127">
            <v>-0.74234</v>
          </cell>
          <cell r="DE127">
            <v>4.7891899999999996</v>
          </cell>
          <cell r="DF127">
            <v>-0.78346000000000005</v>
          </cell>
          <cell r="DG127">
            <v>-0.15359999999999999</v>
          </cell>
          <cell r="DH127">
            <v>-0.77163999999999999</v>
          </cell>
          <cell r="DI127">
            <v>-0.69120999999999999</v>
          </cell>
          <cell r="DJ127">
            <v>2.2159800000000001</v>
          </cell>
          <cell r="DK127">
            <v>1.4218900000000001</v>
          </cell>
          <cell r="DL127">
            <v>-0.22853000000000001</v>
          </cell>
          <cell r="DM127">
            <v>-0.71113999999999999</v>
          </cell>
          <cell r="DN127">
            <v>-0.67374999999999996</v>
          </cell>
          <cell r="DO127">
            <v>-0.81247000000000003</v>
          </cell>
          <cell r="DP127">
            <v>-0.80713999999999997</v>
          </cell>
          <cell r="DQ127">
            <v>-0.80291000000000001</v>
          </cell>
          <cell r="DR127">
            <v>-0.72945000000000004</v>
          </cell>
          <cell r="DS127">
            <v>-0.86736999999999997</v>
          </cell>
          <cell r="DT127">
            <v>-0.45735999999999999</v>
          </cell>
          <cell r="DU127">
            <v>-0.91544317733988123</v>
          </cell>
          <cell r="DV127">
            <v>-0.99390007881774523</v>
          </cell>
          <cell r="DW127">
            <v>-1.0723569802955524</v>
          </cell>
        </row>
        <row r="128">
          <cell r="CR128">
            <v>-0.22</v>
          </cell>
          <cell r="CS128">
            <v>-0.22</v>
          </cell>
          <cell r="CT128">
            <v>-0.22</v>
          </cell>
          <cell r="CU128">
            <v>-0.22</v>
          </cell>
          <cell r="CV128">
            <v>-0.22</v>
          </cell>
          <cell r="CW128">
            <v>-0.22</v>
          </cell>
          <cell r="CX128">
            <v>-0.26749000000000001</v>
          </cell>
          <cell r="CY128">
            <v>-0.31497999999999998</v>
          </cell>
          <cell r="CZ128">
            <v>-0.36246999999999996</v>
          </cell>
          <cell r="DA128">
            <v>-0.40995999999999994</v>
          </cell>
          <cell r="DB128">
            <v>-0.45744999999999997</v>
          </cell>
          <cell r="DC128">
            <v>-0.46057999999999999</v>
          </cell>
          <cell r="DD128">
            <v>-0.41876999999999998</v>
          </cell>
          <cell r="DE128">
            <v>-0.45988999999999997</v>
          </cell>
          <cell r="DF128">
            <v>1.5492999999999999</v>
          </cell>
          <cell r="DG128">
            <v>-0.32390999999999998</v>
          </cell>
          <cell r="DH128">
            <v>-0.31142999999999998</v>
          </cell>
          <cell r="DI128">
            <v>-0.21384</v>
          </cell>
          <cell r="DJ128">
            <v>-0.30815000000000003</v>
          </cell>
          <cell r="DK128">
            <v>-0.31547000000000003</v>
          </cell>
          <cell r="DL128">
            <v>-0.29665000000000002</v>
          </cell>
          <cell r="DM128">
            <v>-0.31226999999999999</v>
          </cell>
          <cell r="DN128">
            <v>-0.31367</v>
          </cell>
          <cell r="DO128">
            <v>-0.3135</v>
          </cell>
          <cell r="DP128">
            <v>-0.31026999999999999</v>
          </cell>
          <cell r="DQ128">
            <v>-0.32156000000000001</v>
          </cell>
          <cell r="DR128">
            <v>-0.32971000000000006</v>
          </cell>
          <cell r="DS128">
            <v>-0.26661601139601121</v>
          </cell>
          <cell r="DT128">
            <v>-0.26821895400895368</v>
          </cell>
          <cell r="DU128">
            <v>-0.2698218966218966</v>
          </cell>
          <cell r="DV128">
            <v>-0.27142483923483907</v>
          </cell>
          <cell r="DW128">
            <v>-0.27302778184778198</v>
          </cell>
        </row>
        <row r="130">
          <cell r="CR130">
            <v>-0.56799999999999995</v>
          </cell>
          <cell r="CS130">
            <v>-0.56799999999999995</v>
          </cell>
          <cell r="CT130">
            <v>-0.56799999999999995</v>
          </cell>
          <cell r="CU130">
            <v>-0.56799999999999995</v>
          </cell>
          <cell r="CV130">
            <v>-0.56799999999999995</v>
          </cell>
          <cell r="CW130">
            <v>-0.56799999999999995</v>
          </cell>
          <cell r="CX130">
            <v>-0.56799999999999995</v>
          </cell>
          <cell r="CY130">
            <v>-0.56799999999999995</v>
          </cell>
          <cell r="CZ130">
            <v>-0.56799999999999995</v>
          </cell>
          <cell r="DA130">
            <v>-0.56799999999999995</v>
          </cell>
          <cell r="DB130">
            <v>-0.56799999999999995</v>
          </cell>
          <cell r="DC130">
            <v>-0.56799999999999995</v>
          </cell>
          <cell r="DD130">
            <v>-0.56799999999999995</v>
          </cell>
          <cell r="DE130">
            <v>-0.56799999999999995</v>
          </cell>
          <cell r="DF130">
            <v>-0.56799999999999995</v>
          </cell>
          <cell r="DG130">
            <v>-0.56799999999999995</v>
          </cell>
          <cell r="DH130">
            <v>-0.56799999999999995</v>
          </cell>
          <cell r="DI130">
            <v>-0.56799999999999995</v>
          </cell>
          <cell r="DJ130">
            <v>-0.56799999999999995</v>
          </cell>
          <cell r="DK130">
            <v>-0.56799999999999995</v>
          </cell>
          <cell r="DL130">
            <v>-0.56799999999999995</v>
          </cell>
          <cell r="DM130">
            <v>-0.56799999999999995</v>
          </cell>
          <cell r="DN130">
            <v>-0.56799999999999995</v>
          </cell>
          <cell r="DO130">
            <v>-0.56799999999999995</v>
          </cell>
          <cell r="DP130">
            <v>-0.56799999999999995</v>
          </cell>
          <cell r="DQ130">
            <v>-0.56799999999999995</v>
          </cell>
          <cell r="DR130">
            <v>-0.56799999999999995</v>
          </cell>
          <cell r="DS130">
            <v>-0.56799999999999995</v>
          </cell>
          <cell r="DT130">
            <v>-0.56799999999999995</v>
          </cell>
          <cell r="DU130">
            <v>-0.56799999999999995</v>
          </cell>
          <cell r="DV130">
            <v>-0.56799999999999995</v>
          </cell>
          <cell r="DW130">
            <v>-0.56799999999999995</v>
          </cell>
        </row>
        <row r="131">
          <cell r="CR131">
            <v>-1.6575</v>
          </cell>
          <cell r="CS131">
            <v>-2.7216</v>
          </cell>
          <cell r="CT131">
            <v>-2.1160999999999999</v>
          </cell>
          <cell r="CU131">
            <v>-2.1392000000000002</v>
          </cell>
          <cell r="CV131">
            <v>-2.0731000000000002</v>
          </cell>
          <cell r="CW131">
            <v>-2.0310999999999999</v>
          </cell>
          <cell r="CX131">
            <v>-2.4767000000000001</v>
          </cell>
          <cell r="CY131">
            <v>-2.1156999999999999</v>
          </cell>
          <cell r="CZ131">
            <v>-2.1358000000000001</v>
          </cell>
          <cell r="DA131">
            <v>-1.8442000000000001</v>
          </cell>
          <cell r="DB131">
            <v>-2.1233</v>
          </cell>
          <cell r="DC131">
            <v>-1.7669999999999999</v>
          </cell>
          <cell r="DD131">
            <v>-1.8543000000000001</v>
          </cell>
          <cell r="DE131">
            <v>-1.7847999999999999</v>
          </cell>
          <cell r="DF131">
            <v>-1.9579</v>
          </cell>
          <cell r="DG131">
            <v>-1.6675</v>
          </cell>
          <cell r="DH131">
            <v>-1.7934000000000001</v>
          </cell>
          <cell r="DI131">
            <v>-1.9892000000000001</v>
          </cell>
          <cell r="DJ131">
            <v>-1.6836</v>
          </cell>
          <cell r="DK131">
            <v>-1.2949999999999999</v>
          </cell>
          <cell r="DL131">
            <v>-1.2282</v>
          </cell>
          <cell r="DM131">
            <v>-1.1698999999999999</v>
          </cell>
          <cell r="DN131">
            <v>-1.1991000000000001</v>
          </cell>
          <cell r="DO131">
            <v>-1.071</v>
          </cell>
          <cell r="DP131">
            <v>-0.72470000000000001</v>
          </cell>
          <cell r="DQ131">
            <v>-1.1819</v>
          </cell>
          <cell r="DR131">
            <v>-0.9375</v>
          </cell>
          <cell r="DS131">
            <v>-0.99329999999999996</v>
          </cell>
          <cell r="DT131">
            <v>-0.84109999999999996</v>
          </cell>
          <cell r="DU131">
            <v>1.3299999999999999E-2</v>
          </cell>
          <cell r="DV131">
            <v>-3.5000000000000001E-3</v>
          </cell>
          <cell r="DW131">
            <v>-0.56162516129033691</v>
          </cell>
        </row>
        <row r="132">
          <cell r="CR132">
            <v>-0.11307622954179</v>
          </cell>
          <cell r="CS132">
            <v>-0.11324764848686</v>
          </cell>
          <cell r="CT132">
            <v>-0.11530558359672</v>
          </cell>
          <cell r="CU132">
            <v>-0.11579971323527</v>
          </cell>
          <cell r="CV132">
            <v>-0.11849628983271</v>
          </cell>
          <cell r="CW132">
            <v>-0.11844096897088</v>
          </cell>
          <cell r="CX132">
            <v>-0.11566173623787</v>
          </cell>
          <cell r="CY132">
            <v>-0.11294468730857</v>
          </cell>
          <cell r="CZ132">
            <v>-0.10939221209099</v>
          </cell>
          <cell r="DA132">
            <v>-0.10707569591548</v>
          </cell>
          <cell r="DB132">
            <v>-0.10356091569415</v>
          </cell>
          <cell r="DC132">
            <v>-0.10124651446719</v>
          </cell>
          <cell r="DD132">
            <v>-8.8301222978559996E-2</v>
          </cell>
          <cell r="DE132">
            <v>-8.3798585437550005E-2</v>
          </cell>
          <cell r="DF132">
            <v>-2.3754179721829999E-2</v>
          </cell>
          <cell r="DG132">
            <v>-8.5165920696050001E-2</v>
          </cell>
          <cell r="DH132">
            <v>-5.1234267770530001E-2</v>
          </cell>
          <cell r="DI132">
            <v>-9.095198221353E-2</v>
          </cell>
          <cell r="DJ132">
            <v>-8.5029118510260002E-2</v>
          </cell>
          <cell r="DK132">
            <v>-8.7165598053549995E-2</v>
          </cell>
          <cell r="DL132">
            <v>-8.340860583977E-2</v>
          </cell>
          <cell r="DM132">
            <v>-8.5460131172879997E-2</v>
          </cell>
          <cell r="DN132">
            <v>-7.9957928965300004E-2</v>
          </cell>
          <cell r="DO132">
            <v>-7.423675622775E-2</v>
          </cell>
          <cell r="DP132">
            <v>-6.8132383508460001E-2</v>
          </cell>
          <cell r="DQ132">
            <v>4.3006862031689998E-2</v>
          </cell>
          <cell r="DR132">
            <v>-6.3317041863670001E-2</v>
          </cell>
          <cell r="DS132">
            <v>-6.2335173994819998E-2</v>
          </cell>
          <cell r="DT132">
            <v>-6.6009699491539994E-2</v>
          </cell>
          <cell r="DU132">
            <v>4.6692809066440001E-2</v>
          </cell>
          <cell r="DV132">
            <v>-6.7311174951220007E-2</v>
          </cell>
          <cell r="DW132">
            <v>-7.2830155686500003E-2</v>
          </cell>
        </row>
        <row r="133">
          <cell r="CR133">
            <v>-29.027189999999997</v>
          </cell>
          <cell r="CS133">
            <v>-30.777080000000002</v>
          </cell>
          <cell r="CT133">
            <v>-30.796130000000002</v>
          </cell>
          <cell r="CU133">
            <v>-30.583269999999999</v>
          </cell>
          <cell r="CV133">
            <v>-30.565819999999999</v>
          </cell>
          <cell r="CW133">
            <v>-30.820640000000001</v>
          </cell>
          <cell r="CX133">
            <v>-23.97392</v>
          </cell>
          <cell r="CY133">
            <v>-27.80697</v>
          </cell>
          <cell r="CZ133">
            <v>-27.32836</v>
          </cell>
          <cell r="DA133">
            <v>-29.32159</v>
          </cell>
          <cell r="DB133">
            <v>-27.13937</v>
          </cell>
          <cell r="DC133">
            <v>-28.19379</v>
          </cell>
          <cell r="DD133">
            <v>-28.1327</v>
          </cell>
          <cell r="DE133">
            <v>-26.968869999999999</v>
          </cell>
          <cell r="DF133">
            <v>-29.62481</v>
          </cell>
          <cell r="DG133">
            <v>-29.684240000000003</v>
          </cell>
          <cell r="DH133">
            <v>-29.450740000000003</v>
          </cell>
          <cell r="DI133">
            <v>-28.67681</v>
          </cell>
          <cell r="DJ133">
            <v>-28.205770000000001</v>
          </cell>
          <cell r="DK133">
            <v>-27.917770000000001</v>
          </cell>
          <cell r="DL133">
            <v>-30.265240000000002</v>
          </cell>
          <cell r="DM133">
            <v>-30.1159</v>
          </cell>
          <cell r="DN133">
            <v>-28.25761</v>
          </cell>
          <cell r="DO133">
            <v>-29.648229999999998</v>
          </cell>
          <cell r="DP133">
            <v>-30.46611</v>
          </cell>
          <cell r="DQ133">
            <v>-30.69125</v>
          </cell>
          <cell r="DR133">
            <v>-29.852240000000002</v>
          </cell>
          <cell r="DS133">
            <v>-29.743290000000002</v>
          </cell>
          <cell r="DT133">
            <v>-30.087019999999999</v>
          </cell>
          <cell r="DU133">
            <v>-30.200880000000002</v>
          </cell>
          <cell r="DV133">
            <v>-30.172519999999999</v>
          </cell>
          <cell r="DW133">
            <v>-29.713348516129038</v>
          </cell>
        </row>
        <row r="134">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0</v>
          </cell>
          <cell r="DM134">
            <v>0</v>
          </cell>
          <cell r="DN134">
            <v>0</v>
          </cell>
          <cell r="DO134">
            <v>0</v>
          </cell>
          <cell r="DP134">
            <v>0</v>
          </cell>
          <cell r="DQ134">
            <v>0</v>
          </cell>
          <cell r="DR134">
            <v>0</v>
          </cell>
          <cell r="DS134">
            <v>0</v>
          </cell>
          <cell r="DT134">
            <v>0</v>
          </cell>
          <cell r="DU134">
            <v>0</v>
          </cell>
          <cell r="DV134">
            <v>0</v>
          </cell>
          <cell r="DW134">
            <v>0</v>
          </cell>
        </row>
        <row r="136">
          <cell r="CR136">
            <v>-61.054000000000002</v>
          </cell>
          <cell r="CS136">
            <v>-57.408749999999998</v>
          </cell>
          <cell r="CT136">
            <v>-53.763499999999993</v>
          </cell>
          <cell r="CU136">
            <v>-50.118249999999989</v>
          </cell>
          <cell r="CV136">
            <v>-46.472999999999999</v>
          </cell>
          <cell r="CW136">
            <v>-42.827833333333331</v>
          </cell>
          <cell r="CX136">
            <v>-39.182666666666663</v>
          </cell>
          <cell r="CY136">
            <v>-35.537499999999994</v>
          </cell>
          <cell r="CZ136">
            <v>-31.892333333333326</v>
          </cell>
          <cell r="DA136">
            <v>-28.247166666666658</v>
          </cell>
          <cell r="DB136">
            <v>-24.602</v>
          </cell>
          <cell r="DC136">
            <v>-14.708399999999999</v>
          </cell>
          <cell r="DD136">
            <v>-4.8147999999999982</v>
          </cell>
          <cell r="DE136">
            <v>5.0788000000000029</v>
          </cell>
          <cell r="DF136">
            <v>14.972400000000004</v>
          </cell>
          <cell r="DG136">
            <v>24.866</v>
          </cell>
          <cell r="DH136">
            <v>27.8096</v>
          </cell>
          <cell r="DI136">
            <v>30.7532</v>
          </cell>
          <cell r="DJ136">
            <v>33.696800000000003</v>
          </cell>
          <cell r="DK136">
            <v>36.640400000000007</v>
          </cell>
          <cell r="DL136">
            <v>39.584000000000003</v>
          </cell>
          <cell r="DM136">
            <v>40.997</v>
          </cell>
          <cell r="DN136">
            <v>42.410000000000004</v>
          </cell>
          <cell r="DO136">
            <v>36.424000000000007</v>
          </cell>
          <cell r="DP136">
            <v>30.438000000000002</v>
          </cell>
          <cell r="DQ136">
            <v>32.079500000000003</v>
          </cell>
          <cell r="DR136">
            <v>33.721000000000004</v>
          </cell>
          <cell r="DS136">
            <v>60.749112535613676</v>
          </cell>
          <cell r="DT136">
            <v>65.250132478631713</v>
          </cell>
          <cell r="DU136">
            <v>69.751152421653387</v>
          </cell>
          <cell r="DV136">
            <v>74.252172364673243</v>
          </cell>
          <cell r="DW136">
            <v>78.753192307693098</v>
          </cell>
        </row>
        <row r="137">
          <cell r="CR137">
            <v>-104.20223299999999</v>
          </cell>
          <cell r="CS137">
            <v>-104.20223299999999</v>
          </cell>
          <cell r="CT137">
            <v>-104.20223299999999</v>
          </cell>
          <cell r="CU137">
            <v>-104.20223299999999</v>
          </cell>
          <cell r="CV137">
            <v>-104.20223299999999</v>
          </cell>
          <cell r="CW137">
            <v>-104.20223299999999</v>
          </cell>
          <cell r="CX137">
            <v>-104.20223299999999</v>
          </cell>
          <cell r="CY137">
            <v>-104.20223299999999</v>
          </cell>
          <cell r="CZ137">
            <v>-104.20223299999999</v>
          </cell>
          <cell r="DA137">
            <v>-104.20223299999999</v>
          </cell>
          <cell r="DB137">
            <v>-104.20223299999999</v>
          </cell>
          <cell r="DC137">
            <v>-100.56986999999999</v>
          </cell>
          <cell r="DD137">
            <v>-99.400320000000008</v>
          </cell>
          <cell r="DE137">
            <v>-98.290130000000005</v>
          </cell>
          <cell r="DF137">
            <v>-97.02658000000001</v>
          </cell>
          <cell r="DG137">
            <v>-95.774729999999991</v>
          </cell>
          <cell r="DH137">
            <v>-97.913225500000181</v>
          </cell>
          <cell r="DI137">
            <v>-97.393559433823611</v>
          </cell>
          <cell r="DJ137">
            <v>-96.87389336764727</v>
          </cell>
          <cell r="DK137">
            <v>-96.354227301470701</v>
          </cell>
          <cell r="DL137">
            <v>-95.834561235294132</v>
          </cell>
          <cell r="DM137">
            <v>-95.31489516911779</v>
          </cell>
          <cell r="DN137">
            <v>-94.795229102941221</v>
          </cell>
          <cell r="DO137">
            <v>-94.275563036764879</v>
          </cell>
          <cell r="DP137">
            <v>-93.75589697058831</v>
          </cell>
          <cell r="DQ137">
            <v>-93.236230904411968</v>
          </cell>
          <cell r="DR137">
            <v>-92.716564838235399</v>
          </cell>
          <cell r="DS137">
            <v>-92.196898772059058</v>
          </cell>
          <cell r="DT137">
            <v>-91.677232705882489</v>
          </cell>
          <cell r="DU137">
            <v>-91.157566639706147</v>
          </cell>
          <cell r="DV137">
            <v>-90.637900573529578</v>
          </cell>
          <cell r="DW137">
            <v>-90.118234507353009</v>
          </cell>
        </row>
        <row r="138">
          <cell r="CR138">
            <v>-81.286000000000001</v>
          </cell>
          <cell r="CS138">
            <v>-83.058999999999997</v>
          </cell>
          <cell r="CT138">
            <v>-84.971000000000004</v>
          </cell>
          <cell r="CU138">
            <v>-86.753</v>
          </cell>
          <cell r="CV138">
            <v>-88.552999999999997</v>
          </cell>
          <cell r="CW138">
            <v>-90.37</v>
          </cell>
          <cell r="CX138">
            <v>-92.204999999999998</v>
          </cell>
          <cell r="CY138">
            <v>-94.057000000000002</v>
          </cell>
          <cell r="CZ138">
            <v>-96.11</v>
          </cell>
          <cell r="DA138">
            <v>-98.013000000000005</v>
          </cell>
          <cell r="DB138">
            <v>-100.07299999999999</v>
          </cell>
          <cell r="DC138">
            <v>-100.145</v>
          </cell>
          <cell r="DD138">
            <v>-104.379</v>
          </cell>
          <cell r="DE138">
            <v>-104.878</v>
          </cell>
          <cell r="DF138">
            <v>-106.652</v>
          </cell>
          <cell r="DG138">
            <v>-104.422</v>
          </cell>
          <cell r="DH138">
            <v>-100.803</v>
          </cell>
          <cell r="DI138">
            <v>-98.025000000000006</v>
          </cell>
          <cell r="DJ138">
            <v>-106.61199999999999</v>
          </cell>
          <cell r="DK138">
            <v>-94.826999999999998</v>
          </cell>
          <cell r="DL138">
            <v>-98.974000000000004</v>
          </cell>
          <cell r="DM138">
            <v>-96.233000000000004</v>
          </cell>
          <cell r="DN138">
            <v>-95.253</v>
          </cell>
          <cell r="DO138">
            <v>-113.133</v>
          </cell>
          <cell r="DP138">
            <v>-110.238</v>
          </cell>
          <cell r="DQ138">
            <v>-112.309</v>
          </cell>
          <cell r="DR138">
            <v>-116.919</v>
          </cell>
          <cell r="DS138">
            <v>-112.00148148148128</v>
          </cell>
          <cell r="DT138">
            <v>-112.96652910052899</v>
          </cell>
          <cell r="DU138">
            <v>-113.9315767195767</v>
          </cell>
          <cell r="DV138">
            <v>-114.89662433862418</v>
          </cell>
          <cell r="DW138">
            <v>-115.86167195767189</v>
          </cell>
        </row>
        <row r="139">
          <cell r="CR139">
            <v>-9.0530000000000003E-3</v>
          </cell>
          <cell r="CS139">
            <v>-9.0530000000000003E-3</v>
          </cell>
          <cell r="CT139">
            <v>-9.0530000000000003E-3</v>
          </cell>
          <cell r="CU139">
            <v>-9.0530000000000003E-3</v>
          </cell>
          <cell r="CV139">
            <v>-9.0530000000000003E-3</v>
          </cell>
          <cell r="CW139">
            <v>-9.0530000000000003E-3</v>
          </cell>
          <cell r="CX139">
            <v>-9.0530000000000003E-3</v>
          </cell>
          <cell r="CY139">
            <v>-9.0530000000000003E-3</v>
          </cell>
          <cell r="CZ139">
            <v>-9.0530000000000003E-3</v>
          </cell>
          <cell r="DA139">
            <v>-9.0530000000000003E-3</v>
          </cell>
          <cell r="DB139">
            <v>-9.053000000000002E-3</v>
          </cell>
          <cell r="DC139">
            <v>-9.053000000000002E-3</v>
          </cell>
          <cell r="DD139">
            <v>-9.053000000000002E-3</v>
          </cell>
          <cell r="DE139">
            <v>-9.053000000000002E-3</v>
          </cell>
          <cell r="DF139">
            <v>-9.053000000000002E-3</v>
          </cell>
          <cell r="DG139">
            <v>-9.0530000000000038E-3</v>
          </cell>
          <cell r="DH139">
            <v>-9.0530000000000038E-3</v>
          </cell>
          <cell r="DI139">
            <v>-9.0530000000000038E-3</v>
          </cell>
          <cell r="DJ139">
            <v>-9.0530000000000038E-3</v>
          </cell>
          <cell r="DK139">
            <v>-9.0530000000000038E-3</v>
          </cell>
          <cell r="DL139">
            <v>-9.0530000000000038E-3</v>
          </cell>
          <cell r="DM139">
            <v>-9.0530000000000038E-3</v>
          </cell>
          <cell r="DN139">
            <v>-9.0530000000000072E-3</v>
          </cell>
          <cell r="DO139">
            <v>-9.0530000000000055E-3</v>
          </cell>
          <cell r="DP139">
            <v>-9.0530000000000072E-3</v>
          </cell>
          <cell r="DQ139">
            <v>-9.0530000000000072E-3</v>
          </cell>
          <cell r="DR139">
            <v>-9.0530000000000072E-3</v>
          </cell>
          <cell r="DS139">
            <v>-9.053000000000009E-3</v>
          </cell>
          <cell r="DT139">
            <v>-9.0530000000000072E-3</v>
          </cell>
          <cell r="DU139">
            <v>-9.053000000000009E-3</v>
          </cell>
          <cell r="DV139">
            <v>-9.0530000000000107E-3</v>
          </cell>
          <cell r="DW139">
            <v>-9.0530000000000124E-3</v>
          </cell>
        </row>
        <row r="140">
          <cell r="CR140">
            <v>8.1170000000000009</v>
          </cell>
          <cell r="CS140">
            <v>8.1170000000000009</v>
          </cell>
          <cell r="CT140">
            <v>8.1170000000000009</v>
          </cell>
          <cell r="CU140">
            <v>8.1170000000000009</v>
          </cell>
          <cell r="CV140">
            <v>8.1170000000000009</v>
          </cell>
          <cell r="CW140">
            <v>4.704833333333335</v>
          </cell>
          <cell r="CX140">
            <v>1.2926666666666686</v>
          </cell>
          <cell r="CY140">
            <v>-2.1194999999999977</v>
          </cell>
          <cell r="CZ140">
            <v>-5.5316666666666645</v>
          </cell>
          <cell r="DA140">
            <v>-8.9438333333333304</v>
          </cell>
          <cell r="DB140">
            <v>-12.356</v>
          </cell>
          <cell r="DC140">
            <v>-12.782038181818182</v>
          </cell>
          <cell r="DD140">
            <v>-13.208076363636364</v>
          </cell>
          <cell r="DE140">
            <v>-13.634114545454546</v>
          </cell>
          <cell r="DF140">
            <v>-14.060152727272728</v>
          </cell>
          <cell r="DG140">
            <v>-14.48619090909091</v>
          </cell>
          <cell r="DH140">
            <v>-14.912229090909092</v>
          </cell>
          <cell r="DI140">
            <v>-15.338267272727274</v>
          </cell>
          <cell r="DJ140">
            <v>-15.764305454545456</v>
          </cell>
          <cell r="DK140">
            <v>-16.190343636363636</v>
          </cell>
          <cell r="DL140">
            <v>-16.616381818181818</v>
          </cell>
          <cell r="DM140">
            <v>-17.04242</v>
          </cell>
          <cell r="DN140">
            <v>-23.341422683982728</v>
          </cell>
          <cell r="DO140">
            <v>-24.792443549783457</v>
          </cell>
          <cell r="DP140">
            <v>-26.243464415584185</v>
          </cell>
          <cell r="DQ140">
            <v>-27.694485281385369</v>
          </cell>
          <cell r="DR140">
            <v>-29.145506147186097</v>
          </cell>
          <cell r="DS140">
            <v>-30.596527012986826</v>
          </cell>
          <cell r="DT140">
            <v>-32.047547878788009</v>
          </cell>
          <cell r="DU140">
            <v>-33.498568744588283</v>
          </cell>
          <cell r="DV140">
            <v>-34.949589610389467</v>
          </cell>
          <cell r="DW140">
            <v>-36.40061047619065</v>
          </cell>
        </row>
        <row r="141">
          <cell r="CR141">
            <v>6.2371312790195415</v>
          </cell>
          <cell r="CS141">
            <v>6.2894171570942339</v>
          </cell>
          <cell r="CT141">
            <v>6.2522029661990262</v>
          </cell>
          <cell r="CU141">
            <v>6.3198612062621642</v>
          </cell>
          <cell r="CV141">
            <v>6.3214990204140147</v>
          </cell>
          <cell r="CW141">
            <v>6.0849577117485607</v>
          </cell>
          <cell r="CX141">
            <v>6.0114658113480974</v>
          </cell>
          <cell r="CY141">
            <v>5.9022810180407914</v>
          </cell>
          <cell r="CZ141">
            <v>5.9080293007957891</v>
          </cell>
          <cell r="DA141">
            <v>5.8096223288416908</v>
          </cell>
          <cell r="DB141">
            <v>5.694571828688229</v>
          </cell>
          <cell r="DC141">
            <v>5.7745142204436632</v>
          </cell>
          <cell r="DD141">
            <v>5.725110786967746</v>
          </cell>
          <cell r="DE141">
            <v>6.0486482657483895</v>
          </cell>
          <cell r="DF141">
            <v>5.8766024005951589</v>
          </cell>
          <cell r="DG141">
            <v>5.7595433563465388</v>
          </cell>
          <cell r="DH141">
            <v>5.7568909747473915</v>
          </cell>
          <cell r="DI141">
            <v>5.398055672282422</v>
          </cell>
          <cell r="DJ141">
            <v>5.4039825474468071</v>
          </cell>
          <cell r="DK141">
            <v>5.3453010975367539</v>
          </cell>
          <cell r="DL141">
            <v>5.0954076802138051</v>
          </cell>
          <cell r="DM141">
            <v>5.6516886505628046</v>
          </cell>
          <cell r="DN141">
            <v>5.964968429787076</v>
          </cell>
          <cell r="DO141">
            <v>5.49731310184732</v>
          </cell>
          <cell r="DP141">
            <v>5.448331907743607</v>
          </cell>
          <cell r="DQ141">
            <v>5.4083305469971803</v>
          </cell>
          <cell r="DR141">
            <v>5.1233997773151421</v>
          </cell>
          <cell r="DS141">
            <v>4.0925782687048464</v>
          </cell>
          <cell r="DT141">
            <v>4.182021488131948</v>
          </cell>
          <cell r="DU141">
            <v>4.1758945651078507</v>
          </cell>
          <cell r="DV141">
            <v>4.1423752825606295</v>
          </cell>
          <cell r="DW141">
            <v>4.312935741068249</v>
          </cell>
        </row>
        <row r="142">
          <cell r="CR142">
            <v>0</v>
          </cell>
          <cell r="CS142">
            <v>0</v>
          </cell>
          <cell r="CT142">
            <v>0</v>
          </cell>
          <cell r="CU142">
            <v>0</v>
          </cell>
          <cell r="CV142">
            <v>0</v>
          </cell>
          <cell r="CW142">
            <v>0</v>
          </cell>
          <cell r="CX142">
            <v>0</v>
          </cell>
          <cell r="CY142">
            <v>0</v>
          </cell>
          <cell r="CZ142">
            <v>0</v>
          </cell>
          <cell r="DA142">
            <v>0</v>
          </cell>
          <cell r="DB142">
            <v>0</v>
          </cell>
          <cell r="DC142">
            <v>0</v>
          </cell>
          <cell r="DD142">
            <v>0</v>
          </cell>
          <cell r="DE142">
            <v>0</v>
          </cell>
          <cell r="DF142">
            <v>0</v>
          </cell>
          <cell r="DG142">
            <v>0</v>
          </cell>
          <cell r="DH142">
            <v>0</v>
          </cell>
          <cell r="DI142">
            <v>0</v>
          </cell>
          <cell r="DJ142">
            <v>0</v>
          </cell>
          <cell r="DK142">
            <v>0</v>
          </cell>
          <cell r="DL142">
            <v>0</v>
          </cell>
          <cell r="DM142">
            <v>0</v>
          </cell>
          <cell r="DN142">
            <v>0</v>
          </cell>
          <cell r="DO142">
            <v>0</v>
          </cell>
          <cell r="DP142">
            <v>0</v>
          </cell>
          <cell r="DQ142">
            <v>0</v>
          </cell>
          <cell r="DR142">
            <v>0</v>
          </cell>
          <cell r="DS142">
            <v>0</v>
          </cell>
          <cell r="DT142">
            <v>0</v>
          </cell>
          <cell r="DU142">
            <v>0</v>
          </cell>
          <cell r="DV142">
            <v>0</v>
          </cell>
          <cell r="DW142">
            <v>0</v>
          </cell>
        </row>
        <row r="143">
          <cell r="CR143">
            <v>0</v>
          </cell>
          <cell r="CS143">
            <v>0</v>
          </cell>
          <cell r="CT143">
            <v>0</v>
          </cell>
          <cell r="CU143">
            <v>0</v>
          </cell>
          <cell r="CV143">
            <v>0</v>
          </cell>
          <cell r="CW143">
            <v>0</v>
          </cell>
          <cell r="CX143">
            <v>0</v>
          </cell>
          <cell r="CY143">
            <v>0</v>
          </cell>
          <cell r="CZ143">
            <v>0</v>
          </cell>
          <cell r="DA143">
            <v>0</v>
          </cell>
          <cell r="DB143">
            <v>0</v>
          </cell>
          <cell r="DC143">
            <v>0</v>
          </cell>
          <cell r="DD143">
            <v>0</v>
          </cell>
          <cell r="DE143">
            <v>0</v>
          </cell>
          <cell r="DF143">
            <v>0</v>
          </cell>
          <cell r="DG143">
            <v>0</v>
          </cell>
          <cell r="DH143">
            <v>0</v>
          </cell>
          <cell r="DI143">
            <v>0</v>
          </cell>
          <cell r="DJ143">
            <v>0</v>
          </cell>
          <cell r="DK143">
            <v>0</v>
          </cell>
          <cell r="DL143">
            <v>0</v>
          </cell>
          <cell r="DM143">
            <v>0</v>
          </cell>
          <cell r="DN143">
            <v>0</v>
          </cell>
          <cell r="DO143">
            <v>0</v>
          </cell>
          <cell r="DP143">
            <v>0</v>
          </cell>
          <cell r="DQ143">
            <v>0</v>
          </cell>
          <cell r="DR143">
            <v>0</v>
          </cell>
          <cell r="DS143">
            <v>0</v>
          </cell>
          <cell r="DT143">
            <v>0</v>
          </cell>
          <cell r="DU143">
            <v>0</v>
          </cell>
          <cell r="DV143">
            <v>0</v>
          </cell>
          <cell r="DW143">
            <v>0</v>
          </cell>
        </row>
        <row r="144">
          <cell r="CR144">
            <v>-20.212043309864079</v>
          </cell>
          <cell r="CS144">
            <v>-22.201087595958874</v>
          </cell>
          <cell r="CT144">
            <v>-22.055778668443853</v>
          </cell>
          <cell r="CU144">
            <v>-22.97747841679292</v>
          </cell>
          <cell r="CV144">
            <v>-22.954810492715055</v>
          </cell>
          <cell r="CW144">
            <v>-21.87436774937402</v>
          </cell>
          <cell r="CX144">
            <v>-21.606825754583838</v>
          </cell>
          <cell r="CY144">
            <v>-22.355654277721118</v>
          </cell>
          <cell r="CZ144">
            <v>-23.05355145136701</v>
          </cell>
          <cell r="DA144">
            <v>-25.873883768977009</v>
          </cell>
          <cell r="DB144">
            <v>-26.835731949158617</v>
          </cell>
          <cell r="DC144">
            <v>-27.402503226366672</v>
          </cell>
          <cell r="DD144">
            <v>-26.001375619222344</v>
          </cell>
          <cell r="DE144">
            <v>-27.130530813307153</v>
          </cell>
          <cell r="DF144">
            <v>-27.075908747486451</v>
          </cell>
          <cell r="DG144">
            <v>-25.339835925713988</v>
          </cell>
          <cell r="DH144">
            <v>-23.293621512482524</v>
          </cell>
          <cell r="DI144">
            <v>-21.653802214657876</v>
          </cell>
          <cell r="DJ144">
            <v>-29.410571996974603</v>
          </cell>
          <cell r="DK144">
            <v>-28.265235288477786</v>
          </cell>
          <cell r="DL144">
            <v>-29.260964274732942</v>
          </cell>
          <cell r="DM144">
            <v>-29.527722781321106</v>
          </cell>
          <cell r="DN144">
            <v>-26.581623565364271</v>
          </cell>
          <cell r="DO144">
            <v>-26.243332342920176</v>
          </cell>
          <cell r="DP144">
            <v>-26.452190378643813</v>
          </cell>
          <cell r="DQ144">
            <v>-26.42178035713037</v>
          </cell>
          <cell r="DR144">
            <v>-26.107834171698205</v>
          </cell>
          <cell r="DS144">
            <v>-24.504214139199824</v>
          </cell>
          <cell r="DT144">
            <v>-24.105115011622562</v>
          </cell>
          <cell r="DU144">
            <v>-23.939206088881757</v>
          </cell>
          <cell r="DV144">
            <v>-23.259701512739905</v>
          </cell>
          <cell r="DW144">
            <v>-21.096646960834921</v>
          </cell>
        </row>
        <row r="145">
          <cell r="CR145">
            <v>8.3707900000000013</v>
          </cell>
          <cell r="CS145">
            <v>8.3707900000000013</v>
          </cell>
          <cell r="CT145">
            <v>8.3707900000000013</v>
          </cell>
          <cell r="CU145">
            <v>8.3707900000000013</v>
          </cell>
          <cell r="CV145">
            <v>8.3707900000000013</v>
          </cell>
          <cell r="CW145">
            <v>8.3707900000000013</v>
          </cell>
          <cell r="CX145">
            <v>8.3707900000000013</v>
          </cell>
          <cell r="CY145">
            <v>8.9568899999999996</v>
          </cell>
          <cell r="CZ145">
            <v>9.5712399999999995</v>
          </cell>
          <cell r="DA145">
            <v>10.175270000000001</v>
          </cell>
          <cell r="DB145">
            <v>10.487959999999999</v>
          </cell>
          <cell r="DC145">
            <v>11.11612</v>
          </cell>
          <cell r="DD145">
            <v>11.331860000000001</v>
          </cell>
          <cell r="DE145">
            <v>11.446669999999999</v>
          </cell>
          <cell r="DF145">
            <v>11.682589999999999</v>
          </cell>
          <cell r="DG145">
            <v>11.828280000000001</v>
          </cell>
          <cell r="DH145">
            <v>11.7925</v>
          </cell>
          <cell r="DI145">
            <v>12.203719999999999</v>
          </cell>
          <cell r="DJ145">
            <v>12.2651</v>
          </cell>
          <cell r="DK145">
            <v>12.32769</v>
          </cell>
          <cell r="DL145">
            <v>12.13954</v>
          </cell>
          <cell r="DM145">
            <v>12.11769</v>
          </cell>
          <cell r="DN145">
            <v>12.140549999999999</v>
          </cell>
          <cell r="DO145">
            <v>12.33389</v>
          </cell>
          <cell r="DP145">
            <v>12.543760000000001</v>
          </cell>
          <cell r="DQ145">
            <v>12.548309999999999</v>
          </cell>
          <cell r="DR145">
            <v>12.642389999999999</v>
          </cell>
          <cell r="DS145">
            <v>12.621409999999999</v>
          </cell>
          <cell r="DT145">
            <v>12.72085</v>
          </cell>
          <cell r="DU145">
            <v>12.72085</v>
          </cell>
          <cell r="DV145">
            <v>13.754417425287386</v>
          </cell>
          <cell r="DW145">
            <v>13.935754764553224</v>
          </cell>
        </row>
        <row r="146">
          <cell r="CR146">
            <v>-19.920000000000002</v>
          </cell>
          <cell r="CS146">
            <v>-19.646666666666629</v>
          </cell>
          <cell r="CT146">
            <v>-19.373333333333257</v>
          </cell>
          <cell r="CU146">
            <v>-19.100000000000001</v>
          </cell>
          <cell r="CV146">
            <v>-18.826666666666629</v>
          </cell>
          <cell r="CW146">
            <v>-18.553333333333256</v>
          </cell>
          <cell r="CX146">
            <v>-18.28</v>
          </cell>
          <cell r="CY146">
            <v>-18.006666666666629</v>
          </cell>
          <cell r="CZ146">
            <v>-17.733333333333256</v>
          </cell>
          <cell r="DA146">
            <v>-17.46</v>
          </cell>
          <cell r="DB146">
            <v>-17.186666666666628</v>
          </cell>
          <cell r="DC146">
            <v>-16.913333333333256</v>
          </cell>
          <cell r="DD146">
            <v>-16.64</v>
          </cell>
          <cell r="DE146">
            <v>-16.366666666666628</v>
          </cell>
          <cell r="DF146">
            <v>-16.093333333333256</v>
          </cell>
          <cell r="DG146">
            <v>-15.82</v>
          </cell>
          <cell r="DH146">
            <v>-15.546666666666628</v>
          </cell>
          <cell r="DI146">
            <v>-15.273333333333255</v>
          </cell>
          <cell r="DJ146">
            <v>-15</v>
          </cell>
          <cell r="DK146">
            <v>-14.636363636363647</v>
          </cell>
          <cell r="DL146">
            <v>-14.272727272727177</v>
          </cell>
          <cell r="DM146">
            <v>-13.909090909090825</v>
          </cell>
          <cell r="DN146">
            <v>-13.545454545454472</v>
          </cell>
          <cell r="DO146">
            <v>-13.181818181818118</v>
          </cell>
          <cell r="DP146">
            <v>-12.818181818181765</v>
          </cell>
          <cell r="DQ146">
            <v>-12.454545454545412</v>
          </cell>
          <cell r="DR146">
            <v>-12.09090909090906</v>
          </cell>
          <cell r="DS146">
            <v>-11.727272727272705</v>
          </cell>
          <cell r="DT146">
            <v>-11.363636363636353</v>
          </cell>
          <cell r="DU146">
            <v>-11</v>
          </cell>
          <cell r="DV146">
            <v>-11.062344827586116</v>
          </cell>
          <cell r="DW146">
            <v>-10.75939933259167</v>
          </cell>
        </row>
        <row r="147">
          <cell r="CR147">
            <v>-5.9080000000000004</v>
          </cell>
          <cell r="CS147">
            <v>-5.9080000000000004</v>
          </cell>
          <cell r="CT147">
            <v>-5.9080000000000004</v>
          </cell>
          <cell r="CU147">
            <v>-5.9080000000000004</v>
          </cell>
          <cell r="CV147">
            <v>-5.9080000000000004</v>
          </cell>
          <cell r="CW147">
            <v>-5.9080000000000004</v>
          </cell>
          <cell r="CX147">
            <v>-5.9080000000000004</v>
          </cell>
          <cell r="CY147">
            <v>-5.9080000000000004</v>
          </cell>
          <cell r="CZ147">
            <v>-5.9080000000000004</v>
          </cell>
          <cell r="DA147">
            <v>-5.9080000000000004</v>
          </cell>
          <cell r="DB147">
            <v>-5.9080000000000004</v>
          </cell>
          <cell r="DC147">
            <v>-5.7859999999999996</v>
          </cell>
          <cell r="DD147">
            <v>-5.6509999999999998</v>
          </cell>
          <cell r="DE147">
            <v>-5.6230000000000002</v>
          </cell>
          <cell r="DF147">
            <v>-5.5510000000000002</v>
          </cell>
          <cell r="DG147">
            <v>-5.3390000000000004</v>
          </cell>
          <cell r="DH147">
            <v>-5.226</v>
          </cell>
          <cell r="DI147">
            <v>-5.2249999999999996</v>
          </cell>
          <cell r="DJ147">
            <v>-5.069</v>
          </cell>
          <cell r="DK147">
            <v>-4.9249999999999998</v>
          </cell>
          <cell r="DL147">
            <v>-4.7960000000000003</v>
          </cell>
          <cell r="DM147">
            <v>-5.3360000000000003</v>
          </cell>
          <cell r="DN147">
            <v>-4.2770000000000001</v>
          </cell>
          <cell r="DO147">
            <v>-5.0209999999999999</v>
          </cell>
          <cell r="DP147">
            <v>-5.3449999999999998</v>
          </cell>
          <cell r="DQ147">
            <v>-4.83</v>
          </cell>
          <cell r="DR147">
            <v>-4.7910000000000004</v>
          </cell>
          <cell r="DS147">
            <v>-4.5430000000000001</v>
          </cell>
          <cell r="DT147">
            <v>-4.6624285714285776</v>
          </cell>
          <cell r="DU147">
            <v>-4.6087980295566524</v>
          </cell>
          <cell r="DV147">
            <v>-4.5551674876847272</v>
          </cell>
          <cell r="DW147">
            <v>-4.5015369458128021</v>
          </cell>
        </row>
        <row r="148">
          <cell r="CR148">
            <v>8.534828999999999E-5</v>
          </cell>
          <cell r="CS148">
            <v>8.534828999999999E-5</v>
          </cell>
          <cell r="CT148">
            <v>8.534828999999999E-5</v>
          </cell>
          <cell r="CU148">
            <v>8.534828999999999E-5</v>
          </cell>
          <cell r="CV148">
            <v>8.534828999999999E-5</v>
          </cell>
          <cell r="CW148">
            <v>-9.520341596000001E-3</v>
          </cell>
          <cell r="CX148">
            <v>-1.9126031482000004E-2</v>
          </cell>
          <cell r="CY148">
            <v>-2.8731721368000007E-2</v>
          </cell>
          <cell r="CZ148">
            <v>-3.833741125400001E-2</v>
          </cell>
          <cell r="DA148">
            <v>-4.7943101140000013E-2</v>
          </cell>
          <cell r="DB148">
            <v>-5.7548791026000017E-2</v>
          </cell>
          <cell r="DC148">
            <v>-6.715448091200002E-2</v>
          </cell>
          <cell r="DD148">
            <v>-7.6760170798000016E-2</v>
          </cell>
          <cell r="DE148">
            <v>-8.6365860684000012E-2</v>
          </cell>
          <cell r="DF148">
            <v>-9.5971550570000008E-2</v>
          </cell>
          <cell r="DG148">
            <v>-0.105577240456</v>
          </cell>
          <cell r="DH148">
            <v>-0.115182930342</v>
          </cell>
          <cell r="DI148">
            <v>-0.124788620228</v>
          </cell>
          <cell r="DJ148">
            <v>-0.13439431011399999</v>
          </cell>
          <cell r="DK148">
            <v>-0.14400000000000002</v>
          </cell>
          <cell r="DL148">
            <v>-0.14551668787673933</v>
          </cell>
          <cell r="DM148">
            <v>-0.1538945828149032</v>
          </cell>
          <cell r="DN148">
            <v>-0.16227247775306708</v>
          </cell>
          <cell r="DO148">
            <v>-0.17065037269123451</v>
          </cell>
          <cell r="DP148">
            <v>-0.17902826762940194</v>
          </cell>
          <cell r="DQ148">
            <v>-0.18740616256756581</v>
          </cell>
          <cell r="DR148">
            <v>-0.19578405750573324</v>
          </cell>
          <cell r="DS148">
            <v>-0.20416195244389712</v>
          </cell>
          <cell r="DT148">
            <v>-0.212539847382061</v>
          </cell>
          <cell r="DU148">
            <v>-0.22091774232022843</v>
          </cell>
          <cell r="DV148">
            <v>-0.2292956372583923</v>
          </cell>
          <cell r="DW148">
            <v>-0.23767353219655973</v>
          </cell>
        </row>
        <row r="149">
          <cell r="CR149">
            <v>0</v>
          </cell>
          <cell r="CS149">
            <v>0</v>
          </cell>
          <cell r="CT149">
            <v>0</v>
          </cell>
          <cell r="CU149">
            <v>0</v>
          </cell>
          <cell r="CV149">
            <v>0</v>
          </cell>
          <cell r="CW149">
            <v>0</v>
          </cell>
          <cell r="CX149">
            <v>0</v>
          </cell>
          <cell r="CY149">
            <v>0</v>
          </cell>
          <cell r="CZ149">
            <v>0</v>
          </cell>
          <cell r="DA149">
            <v>0</v>
          </cell>
          <cell r="DB149">
            <v>0</v>
          </cell>
          <cell r="DC149">
            <v>0</v>
          </cell>
          <cell r="DD149">
            <v>0</v>
          </cell>
          <cell r="DE149">
            <v>0</v>
          </cell>
          <cell r="DF149">
            <v>0</v>
          </cell>
          <cell r="DG149">
            <v>0</v>
          </cell>
          <cell r="DH149">
            <v>0</v>
          </cell>
          <cell r="DI149">
            <v>0</v>
          </cell>
          <cell r="DJ149">
            <v>0</v>
          </cell>
          <cell r="DK149">
            <v>0</v>
          </cell>
          <cell r="DL149">
            <v>0</v>
          </cell>
          <cell r="DM149">
            <v>0</v>
          </cell>
          <cell r="DN149">
            <v>0</v>
          </cell>
          <cell r="DO149">
            <v>0</v>
          </cell>
          <cell r="DP149">
            <v>0</v>
          </cell>
          <cell r="DQ149">
            <v>0</v>
          </cell>
          <cell r="DR149">
            <v>0</v>
          </cell>
          <cell r="DS149">
            <v>0</v>
          </cell>
          <cell r="DT149">
            <v>0</v>
          </cell>
          <cell r="DU149">
            <v>0</v>
          </cell>
          <cell r="DV149">
            <v>0</v>
          </cell>
          <cell r="DW149">
            <v>0</v>
          </cell>
        </row>
        <row r="150">
          <cell r="CR150">
            <v>-9.8325516100928567</v>
          </cell>
          <cell r="CS150">
            <v>-11.620307845721783</v>
          </cell>
          <cell r="CT150">
            <v>-11.031188802461074</v>
          </cell>
          <cell r="CU150">
            <v>-12.561665054236395</v>
          </cell>
          <cell r="CV150">
            <v>-10.487848876559582</v>
          </cell>
          <cell r="CW150">
            <v>-14.734468103294132</v>
          </cell>
          <cell r="CX150">
            <v>-13.981250588582062</v>
          </cell>
          <cell r="CY150">
            <v>-12.906268111283724</v>
          </cell>
          <cell r="CZ150">
            <v>-15.410745445694472</v>
          </cell>
          <cell r="DA150">
            <v>-17.064573644321264</v>
          </cell>
          <cell r="DB150">
            <v>-18.691643840318619</v>
          </cell>
          <cell r="DC150">
            <v>-20.620081194819264</v>
          </cell>
          <cell r="DD150">
            <v>-21.664276052691196</v>
          </cell>
          <cell r="DE150">
            <v>-23.264101707273724</v>
          </cell>
          <cell r="DF150">
            <v>-22.961923371380603</v>
          </cell>
          <cell r="DG150">
            <v>-20.344865977355774</v>
          </cell>
          <cell r="DH150">
            <v>-22.344013737971185</v>
          </cell>
          <cell r="DI150">
            <v>-22.474967830211074</v>
          </cell>
          <cell r="DJ150">
            <v>-23.816975013345616</v>
          </cell>
          <cell r="DK150">
            <v>-27.246494902086543</v>
          </cell>
          <cell r="DL150">
            <v>-23.840293064187112</v>
          </cell>
          <cell r="DM150">
            <v>-25.175952489935273</v>
          </cell>
          <cell r="DN150">
            <v>-21.418771602101607</v>
          </cell>
          <cell r="DO150">
            <v>-21.947026042319628</v>
          </cell>
          <cell r="DP150">
            <v>-18.211283537785537</v>
          </cell>
          <cell r="DQ150">
            <v>-13.387895574225812</v>
          </cell>
          <cell r="DR150">
            <v>-13.328722484971854</v>
          </cell>
          <cell r="DS150">
            <v>-12.458342857416064</v>
          </cell>
          <cell r="DT150">
            <v>-13.289813674837879</v>
          </cell>
          <cell r="DU150">
            <v>-15.29590032008212</v>
          </cell>
          <cell r="DV150">
            <v>-19.180250730737857</v>
          </cell>
          <cell r="DW150">
            <v>-15.504740136226504</v>
          </cell>
        </row>
        <row r="151">
          <cell r="CR151">
            <v>0</v>
          </cell>
          <cell r="CS151">
            <v>0</v>
          </cell>
          <cell r="CT151">
            <v>0</v>
          </cell>
          <cell r="CU151">
            <v>0</v>
          </cell>
          <cell r="CV151">
            <v>0</v>
          </cell>
          <cell r="CW151">
            <v>0</v>
          </cell>
          <cell r="CX151">
            <v>0</v>
          </cell>
          <cell r="CY151">
            <v>0</v>
          </cell>
          <cell r="CZ151">
            <v>0</v>
          </cell>
          <cell r="DA151">
            <v>0</v>
          </cell>
          <cell r="DB151">
            <v>0</v>
          </cell>
          <cell r="DC151">
            <v>0</v>
          </cell>
          <cell r="DD151">
            <v>0</v>
          </cell>
          <cell r="DE151">
            <v>0</v>
          </cell>
          <cell r="DF151">
            <v>0</v>
          </cell>
          <cell r="DG151">
            <v>0</v>
          </cell>
          <cell r="DH151">
            <v>0</v>
          </cell>
          <cell r="DI151">
            <v>0</v>
          </cell>
          <cell r="DJ151">
            <v>0</v>
          </cell>
          <cell r="DK151">
            <v>0</v>
          </cell>
          <cell r="DL151">
            <v>0</v>
          </cell>
          <cell r="DM151">
            <v>0</v>
          </cell>
          <cell r="DN151">
            <v>0</v>
          </cell>
          <cell r="DO151">
            <v>0</v>
          </cell>
          <cell r="DP151">
            <v>0</v>
          </cell>
          <cell r="DQ151">
            <v>0</v>
          </cell>
          <cell r="DR151">
            <v>0</v>
          </cell>
          <cell r="DS151">
            <v>0</v>
          </cell>
          <cell r="DT151">
            <v>0</v>
          </cell>
          <cell r="DU151">
            <v>0</v>
          </cell>
          <cell r="DV151">
            <v>0</v>
          </cell>
          <cell r="DW151">
            <v>0</v>
          </cell>
        </row>
        <row r="152">
          <cell r="CR152">
            <v>2.6</v>
          </cell>
          <cell r="CS152">
            <v>2.6</v>
          </cell>
          <cell r="CT152">
            <v>2.6</v>
          </cell>
          <cell r="CU152">
            <v>2.6</v>
          </cell>
          <cell r="CV152">
            <v>2.6</v>
          </cell>
          <cell r="CW152">
            <v>2.6214285714285714</v>
          </cell>
          <cell r="CX152">
            <v>2.6428571428571428</v>
          </cell>
          <cell r="CY152">
            <v>2.6642857142857141</v>
          </cell>
          <cell r="CZ152">
            <v>2.6857142857142855</v>
          </cell>
          <cell r="DA152">
            <v>2.7071428571428569</v>
          </cell>
          <cell r="DB152">
            <v>2.7285714285714282</v>
          </cell>
          <cell r="DC152">
            <v>2.7499999999999996</v>
          </cell>
          <cell r="DD152">
            <v>2.7714285714285709</v>
          </cell>
          <cell r="DE152">
            <v>2.7928571428571423</v>
          </cell>
          <cell r="DF152">
            <v>2.8142857142857136</v>
          </cell>
          <cell r="DG152">
            <v>2.835714285714285</v>
          </cell>
          <cell r="DH152">
            <v>2.8571428571428563</v>
          </cell>
          <cell r="DI152">
            <v>2.8785714285714277</v>
          </cell>
          <cell r="DJ152">
            <v>2.9</v>
          </cell>
          <cell r="DK152">
            <v>3.0750000000000002</v>
          </cell>
          <cell r="DL152">
            <v>3.25</v>
          </cell>
          <cell r="DM152">
            <v>3.4249999999999998</v>
          </cell>
          <cell r="DN152">
            <v>3.6</v>
          </cell>
          <cell r="DO152">
            <v>3.2333333333333334</v>
          </cell>
          <cell r="DP152">
            <v>2.8666666666666667</v>
          </cell>
          <cell r="DQ152">
            <v>2.5</v>
          </cell>
          <cell r="DR152">
            <v>3.159076923076924</v>
          </cell>
          <cell r="DS152">
            <v>3.1833960113960131</v>
          </cell>
          <cell r="DT152">
            <v>3.2077150997150952</v>
          </cell>
          <cell r="DU152">
            <v>3.2320341880341843</v>
          </cell>
          <cell r="DV152">
            <v>3.2563532763532734</v>
          </cell>
          <cell r="DW152">
            <v>3.2806723646723626</v>
          </cell>
        </row>
        <row r="153">
          <cell r="CR153">
            <v>-0.41719000000000001</v>
          </cell>
          <cell r="CS153">
            <v>-0.41719000000000001</v>
          </cell>
          <cell r="CT153">
            <v>-0.41719000000000001</v>
          </cell>
          <cell r="CU153">
            <v>-0.41719000000000001</v>
          </cell>
          <cell r="CV153">
            <v>-0.41719000000000001</v>
          </cell>
          <cell r="CW153">
            <v>-0.36408666666666667</v>
          </cell>
          <cell r="CX153">
            <v>-0.31098333333333333</v>
          </cell>
          <cell r="CY153">
            <v>-0.25788</v>
          </cell>
          <cell r="CZ153">
            <v>-0.20477666666666666</v>
          </cell>
          <cell r="DA153">
            <v>-0.15167333333333333</v>
          </cell>
          <cell r="DB153">
            <v>-9.8569999999999991E-2</v>
          </cell>
          <cell r="DC153">
            <v>-9.8569999999999991E-2</v>
          </cell>
          <cell r="DD153">
            <v>-9.8569999999999991E-2</v>
          </cell>
          <cell r="DE153">
            <v>-9.8569999999999991E-2</v>
          </cell>
          <cell r="DF153">
            <v>-9.8569999999999991E-2</v>
          </cell>
          <cell r="DG153">
            <v>-9.8569999999999991E-2</v>
          </cell>
          <cell r="DH153">
            <v>-5.6391666666684159E-3</v>
          </cell>
          <cell r="DI153">
            <v>2.2864828431373496E-2</v>
          </cell>
          <cell r="DJ153">
            <v>5.1368823529415408E-2</v>
          </cell>
          <cell r="DK153">
            <v>7.987281862745732E-2</v>
          </cell>
          <cell r="DL153">
            <v>0.10837681372549213</v>
          </cell>
          <cell r="DM153">
            <v>0.13688080882353404</v>
          </cell>
          <cell r="DN153">
            <v>0.16538480392156885</v>
          </cell>
          <cell r="DO153">
            <v>0.19388879901961076</v>
          </cell>
          <cell r="DP153">
            <v>0.22239279411765267</v>
          </cell>
          <cell r="DQ153">
            <v>0.25089678921569458</v>
          </cell>
          <cell r="DR153">
            <v>0.27940078431372939</v>
          </cell>
          <cell r="DS153">
            <v>0.3079047794117713</v>
          </cell>
          <cell r="DT153">
            <v>0.33640877450980611</v>
          </cell>
          <cell r="DU153">
            <v>0.36491276960784802</v>
          </cell>
          <cell r="DV153">
            <v>0.39341676470588993</v>
          </cell>
          <cell r="DW153">
            <v>0.42192075980392474</v>
          </cell>
        </row>
        <row r="154">
          <cell r="CR154">
            <v>-22.180599999999998</v>
          </cell>
          <cell r="CS154">
            <v>-22.180599999999998</v>
          </cell>
          <cell r="CT154">
            <v>-22.180599999999998</v>
          </cell>
          <cell r="CU154">
            <v>-22.180599999999998</v>
          </cell>
          <cell r="CV154">
            <v>-22.180599999999998</v>
          </cell>
          <cell r="CW154">
            <v>-22.180599999999998</v>
          </cell>
          <cell r="CX154">
            <v>-22.180599999999998</v>
          </cell>
          <cell r="CY154">
            <v>-22.180599999999998</v>
          </cell>
          <cell r="CZ154">
            <v>-22.180599999999998</v>
          </cell>
          <cell r="DA154">
            <v>-22.180599999999998</v>
          </cell>
          <cell r="DB154">
            <v>-22.180599999999998</v>
          </cell>
          <cell r="DC154">
            <v>-21.063899999999997</v>
          </cell>
          <cell r="DD154">
            <v>-19.947199999999995</v>
          </cell>
          <cell r="DE154">
            <v>-18.830499999999994</v>
          </cell>
          <cell r="DF154">
            <v>-17.713799999999992</v>
          </cell>
          <cell r="DG154">
            <v>-16.597099999999998</v>
          </cell>
          <cell r="DH154">
            <v>-18.856679999999997</v>
          </cell>
          <cell r="DI154">
            <v>-21.116259999999997</v>
          </cell>
          <cell r="DJ154">
            <v>-23.375839999999997</v>
          </cell>
          <cell r="DK154">
            <v>-25.635419999999996</v>
          </cell>
          <cell r="DL154">
            <v>-27.895</v>
          </cell>
          <cell r="DM154">
            <v>-28.710699999999999</v>
          </cell>
          <cell r="DN154">
            <v>-29.526399999999999</v>
          </cell>
          <cell r="DO154">
            <v>-30.342099999999999</v>
          </cell>
          <cell r="DP154">
            <v>-30.723224999999999</v>
          </cell>
          <cell r="DQ154">
            <v>-31.10435</v>
          </cell>
          <cell r="DR154">
            <v>-31.485475000000001</v>
          </cell>
          <cell r="DS154">
            <v>-31.866599999999998</v>
          </cell>
          <cell r="DT154">
            <v>-27.774999999999999</v>
          </cell>
          <cell r="DU154">
            <v>-30.113700000000001</v>
          </cell>
          <cell r="DV154">
            <v>-29.862697586206878</v>
          </cell>
          <cell r="DW154">
            <v>-30.226600978865349</v>
          </cell>
        </row>
        <row r="155">
          <cell r="CR155">
            <v>-20.488</v>
          </cell>
          <cell r="CS155">
            <v>-20.488</v>
          </cell>
          <cell r="CT155">
            <v>-20.488</v>
          </cell>
          <cell r="CU155">
            <v>-20.488</v>
          </cell>
          <cell r="CV155">
            <v>-20.488</v>
          </cell>
          <cell r="CW155">
            <v>-20.488</v>
          </cell>
          <cell r="CX155">
            <v>-20.488</v>
          </cell>
          <cell r="CY155">
            <v>-20.488</v>
          </cell>
          <cell r="CZ155">
            <v>-20.488</v>
          </cell>
          <cell r="DA155">
            <v>-20.488</v>
          </cell>
          <cell r="DB155">
            <v>-20.488</v>
          </cell>
          <cell r="DC155">
            <v>-20.864000000000001</v>
          </cell>
          <cell r="DD155">
            <v>-12.929</v>
          </cell>
          <cell r="DE155">
            <v>-13.366</v>
          </cell>
          <cell r="DF155">
            <v>-11.087</v>
          </cell>
          <cell r="DG155">
            <v>-17.161000000000001</v>
          </cell>
          <cell r="DH155">
            <v>-12.441000000000001</v>
          </cell>
          <cell r="DI155">
            <v>-9.0830000000000002</v>
          </cell>
          <cell r="DJ155">
            <v>-7.8789999999999996</v>
          </cell>
          <cell r="DK155">
            <v>-3.8210000000000002</v>
          </cell>
          <cell r="DL155">
            <v>0.442</v>
          </cell>
          <cell r="DM155">
            <v>3.2519999999999998</v>
          </cell>
          <cell r="DN155">
            <v>-1.19</v>
          </cell>
          <cell r="DO155">
            <v>5.1239999999999997</v>
          </cell>
          <cell r="DP155">
            <v>1.6679999999999999</v>
          </cell>
          <cell r="DQ155">
            <v>5.617</v>
          </cell>
          <cell r="DR155">
            <v>-3.9809999999999999</v>
          </cell>
          <cell r="DS155">
            <v>-12.725</v>
          </cell>
          <cell r="DT155">
            <v>2.0518809523809978</v>
          </cell>
          <cell r="DU155">
            <v>3.0204638752052233</v>
          </cell>
          <cell r="DV155">
            <v>3.9890467980296762</v>
          </cell>
          <cell r="DW155">
            <v>4.9576297208539017</v>
          </cell>
        </row>
        <row r="156">
          <cell r="CR156">
            <v>36.315579999999997</v>
          </cell>
          <cell r="CS156">
            <v>36.116385999999999</v>
          </cell>
          <cell r="CT156">
            <v>35.917192</v>
          </cell>
          <cell r="CU156">
            <v>35.717998000000001</v>
          </cell>
          <cell r="CV156">
            <v>35.518804000000003</v>
          </cell>
          <cell r="CW156">
            <v>35.319609999999997</v>
          </cell>
          <cell r="CX156">
            <v>35.686571999999998</v>
          </cell>
          <cell r="CY156">
            <v>36.053533999999999</v>
          </cell>
          <cell r="CZ156">
            <v>36.420496</v>
          </cell>
          <cell r="DA156">
            <v>36.787458000000001</v>
          </cell>
          <cell r="DB156">
            <v>37.154420000000002</v>
          </cell>
          <cell r="DC156">
            <v>35.509336000000005</v>
          </cell>
          <cell r="DD156">
            <v>33.864252000000008</v>
          </cell>
          <cell r="DE156">
            <v>32.21916800000001</v>
          </cell>
          <cell r="DF156">
            <v>30.57408400000001</v>
          </cell>
          <cell r="DG156">
            <v>28.928999999999998</v>
          </cell>
          <cell r="DH156">
            <v>32.471157999999996</v>
          </cell>
          <cell r="DI156">
            <v>36.013315999999996</v>
          </cell>
          <cell r="DJ156">
            <v>39.555473999999997</v>
          </cell>
          <cell r="DK156">
            <v>43.097631999999997</v>
          </cell>
          <cell r="DL156">
            <v>46.639789999999998</v>
          </cell>
          <cell r="DM156">
            <v>44.572669999999995</v>
          </cell>
          <cell r="DN156">
            <v>42.505549999999992</v>
          </cell>
          <cell r="DO156">
            <v>40.43842999999999</v>
          </cell>
          <cell r="DP156">
            <v>38.371309999999987</v>
          </cell>
          <cell r="DQ156">
            <v>36.304189999999998</v>
          </cell>
          <cell r="DR156">
            <v>31.503554999999999</v>
          </cell>
          <cell r="DS156">
            <v>26.702919999999999</v>
          </cell>
          <cell r="DT156">
            <v>27.207630000000002</v>
          </cell>
          <cell r="DU156">
            <v>25.88532</v>
          </cell>
          <cell r="DV156">
            <v>34.56905870114943</v>
          </cell>
          <cell r="DW156">
            <v>34.499594025954764</v>
          </cell>
        </row>
        <row r="157">
          <cell r="CR157">
            <v>104.17992164325672</v>
          </cell>
          <cell r="CS157">
            <v>104.17992164325672</v>
          </cell>
          <cell r="CT157">
            <v>104.17992164325672</v>
          </cell>
          <cell r="CU157">
            <v>104.17992164325672</v>
          </cell>
          <cell r="CV157">
            <v>104.17992164325672</v>
          </cell>
          <cell r="CW157">
            <v>104.17992164325672</v>
          </cell>
          <cell r="CX157">
            <v>104.17992164325672</v>
          </cell>
          <cell r="CY157">
            <v>104.17992164325672</v>
          </cell>
          <cell r="CZ157">
            <v>104.17992164325672</v>
          </cell>
          <cell r="DA157">
            <v>104.17992164325672</v>
          </cell>
          <cell r="DB157">
            <v>104.17992164325672</v>
          </cell>
          <cell r="DC157">
            <v>104.17992164325672</v>
          </cell>
          <cell r="DD157">
            <v>104.17992164325672</v>
          </cell>
          <cell r="DE157">
            <v>104.17992164325672</v>
          </cell>
          <cell r="DF157">
            <v>104.17992164325672</v>
          </cell>
          <cell r="DG157">
            <v>104.17992164325672</v>
          </cell>
          <cell r="DH157">
            <v>104.17992164325672</v>
          </cell>
          <cell r="DI157">
            <v>104.17992164325672</v>
          </cell>
          <cell r="DJ157">
            <v>104.17992164325672</v>
          </cell>
          <cell r="DK157">
            <v>98.364704627930351</v>
          </cell>
          <cell r="DL157">
            <v>92.448198731372045</v>
          </cell>
          <cell r="DM157">
            <v>93.928602110352472</v>
          </cell>
          <cell r="DN157">
            <v>95.217180988694807</v>
          </cell>
          <cell r="DO157">
            <v>112.04886931934321</v>
          </cell>
          <cell r="DP157">
            <v>88.757059559225183</v>
          </cell>
          <cell r="DQ157">
            <v>80.70793752252564</v>
          </cell>
          <cell r="DR157">
            <v>100.342755259114</v>
          </cell>
          <cell r="DS157">
            <v>76.199371615853948</v>
          </cell>
          <cell r="DT157">
            <v>75.282392786869991</v>
          </cell>
          <cell r="DU157">
            <v>100.79405223753521</v>
          </cell>
          <cell r="DV157">
            <v>90.240688415579143</v>
          </cell>
          <cell r="DW157">
            <v>89.625013182217344</v>
          </cell>
        </row>
        <row r="159">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v>0</v>
          </cell>
          <cell r="DU159">
            <v>0</v>
          </cell>
          <cell r="DV159">
            <v>0</v>
          </cell>
          <cell r="DW159">
            <v>0</v>
          </cell>
        </row>
        <row r="160">
          <cell r="CR160">
            <v>-28.493663008329154</v>
          </cell>
          <cell r="CS160">
            <v>-21.42820574583612</v>
          </cell>
          <cell r="CT160">
            <v>-0.20555725148568219</v>
          </cell>
          <cell r="CU160">
            <v>-7.9199118129670056</v>
          </cell>
          <cell r="CV160">
            <v>-7.4743977813360107</v>
          </cell>
          <cell r="CW160">
            <v>-17.716929958078456</v>
          </cell>
          <cell r="CX160">
            <v>-35.127831273152466</v>
          </cell>
          <cell r="CY160">
            <v>-35.01802837117615</v>
          </cell>
          <cell r="CZ160">
            <v>-40.73297795554177</v>
          </cell>
          <cell r="DA160">
            <v>-37.939444351255119</v>
          </cell>
          <cell r="DB160">
            <v>-34.569106199591488</v>
          </cell>
          <cell r="DC160">
            <v>-26.805852217153294</v>
          </cell>
          <cell r="DD160">
            <v>-35.488408924975836</v>
          </cell>
          <cell r="DE160">
            <v>-37.470104245683594</v>
          </cell>
          <cell r="DF160">
            <v>-48.687848814561342</v>
          </cell>
          <cell r="DG160">
            <v>-48.018517660765788</v>
          </cell>
          <cell r="DH160">
            <v>-42.106451754916328</v>
          </cell>
          <cell r="DI160">
            <v>-35.236162372984587</v>
          </cell>
          <cell r="DJ160">
            <v>-34.832863238816294</v>
          </cell>
          <cell r="DK160">
            <v>-34.749524610454316</v>
          </cell>
          <cell r="DL160">
            <v>-32.962298654967491</v>
          </cell>
          <cell r="DM160">
            <v>-38.417153828046978</v>
          </cell>
          <cell r="DN160">
            <v>-38.799437198063075</v>
          </cell>
          <cell r="DO160">
            <v>-40.961154879341244</v>
          </cell>
          <cell r="DP160">
            <v>-33.481129741377593</v>
          </cell>
          <cell r="DQ160">
            <v>-29.143456949698923</v>
          </cell>
          <cell r="DR160">
            <v>-36.395763413359134</v>
          </cell>
          <cell r="DS160">
            <v>-37.388797433914128</v>
          </cell>
          <cell r="DT160">
            <v>-36.748269885557932</v>
          </cell>
          <cell r="DU160">
            <v>-18.294504211708777</v>
          </cell>
          <cell r="DV160">
            <v>-18.95784971577017</v>
          </cell>
          <cell r="DW160">
            <v>-20.094722948312796</v>
          </cell>
        </row>
        <row r="161">
          <cell r="CR161">
            <v>6.8448842207266383</v>
          </cell>
          <cell r="CS161">
            <v>-2.5083000845529404</v>
          </cell>
          <cell r="CT161">
            <v>-9.132148690335562</v>
          </cell>
          <cell r="CU161">
            <v>-9.9573598921909792</v>
          </cell>
          <cell r="CV161">
            <v>-9.0949445514850353</v>
          </cell>
          <cell r="CW161">
            <v>-10.463409115271821</v>
          </cell>
          <cell r="CX161">
            <v>-9.3402367818651086</v>
          </cell>
          <cell r="CY161">
            <v>-10.39137772211267</v>
          </cell>
          <cell r="CZ161">
            <v>-10.022193243072666</v>
          </cell>
          <cell r="DA161">
            <v>-10.529251827554164</v>
          </cell>
          <cell r="DB161">
            <v>-2.3989304870246473</v>
          </cell>
          <cell r="DC161">
            <v>-8.7064386135541731</v>
          </cell>
          <cell r="DD161">
            <v>-8.298688010583632</v>
          </cell>
          <cell r="DE161">
            <v>4.5025086127965475</v>
          </cell>
          <cell r="DF161">
            <v>-4.7992900659926088</v>
          </cell>
          <cell r="DG161">
            <v>3.0349750894129448</v>
          </cell>
          <cell r="DH161">
            <v>-2.380557864701756</v>
          </cell>
          <cell r="DI161">
            <v>-3.9548780364221297</v>
          </cell>
          <cell r="DJ161">
            <v>-9.9159896381913448</v>
          </cell>
          <cell r="DK161">
            <v>-10.820510397550851</v>
          </cell>
          <cell r="DL161">
            <v>-7.0263375978519145</v>
          </cell>
          <cell r="DM161">
            <v>-3.5087922759683945</v>
          </cell>
          <cell r="DN161">
            <v>-1.653757205086416</v>
          </cell>
          <cell r="DO161">
            <v>-0.49113590985874295</v>
          </cell>
          <cell r="DP161">
            <v>-5.5809197633382919</v>
          </cell>
          <cell r="DQ161">
            <v>-4.2532124883475735</v>
          </cell>
          <cell r="DR161">
            <v>0.58476691474411435</v>
          </cell>
          <cell r="DS161">
            <v>20.983466299687027</v>
          </cell>
          <cell r="DT161">
            <v>-3.9209418458025498</v>
          </cell>
          <cell r="DU161">
            <v>-4.9077777238804048</v>
          </cell>
          <cell r="DV161">
            <v>-5.1028415946046213</v>
          </cell>
          <cell r="DW161">
            <v>-6.4065568988709201</v>
          </cell>
        </row>
        <row r="162">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0</v>
          </cell>
          <cell r="DM162">
            <v>0</v>
          </cell>
          <cell r="DN162">
            <v>0</v>
          </cell>
          <cell r="DO162">
            <v>0</v>
          </cell>
          <cell r="DP162">
            <v>0</v>
          </cell>
          <cell r="DQ162">
            <v>0</v>
          </cell>
          <cell r="DR162">
            <v>0</v>
          </cell>
          <cell r="DS162">
            <v>0</v>
          </cell>
          <cell r="DT162">
            <v>0</v>
          </cell>
          <cell r="DU162">
            <v>0</v>
          </cell>
          <cell r="DV162">
            <v>0</v>
          </cell>
          <cell r="DW162">
            <v>0</v>
          </cell>
        </row>
        <row r="163">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0</v>
          </cell>
          <cell r="DM163">
            <v>0</v>
          </cell>
          <cell r="DN163">
            <v>0</v>
          </cell>
          <cell r="DO163">
            <v>0</v>
          </cell>
          <cell r="DP163">
            <v>0</v>
          </cell>
          <cell r="DQ163">
            <v>0</v>
          </cell>
          <cell r="DR163">
            <v>0</v>
          </cell>
          <cell r="DS163">
            <v>0</v>
          </cell>
          <cell r="DT163">
            <v>0</v>
          </cell>
          <cell r="DU163">
            <v>0</v>
          </cell>
          <cell r="DV163">
            <v>0</v>
          </cell>
          <cell r="DW163">
            <v>0</v>
          </cell>
        </row>
        <row r="164">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0</v>
          </cell>
          <cell r="DQ164">
            <v>0</v>
          </cell>
          <cell r="DR164">
            <v>0</v>
          </cell>
          <cell r="DS164">
            <v>0</v>
          </cell>
          <cell r="DT164">
            <v>0</v>
          </cell>
          <cell r="DU164">
            <v>0</v>
          </cell>
          <cell r="DV164">
            <v>0</v>
          </cell>
          <cell r="DW164">
            <v>0</v>
          </cell>
        </row>
        <row r="165">
          <cell r="CR165">
            <v>-28.603933260942508</v>
          </cell>
          <cell r="CS165">
            <v>-29.071386996667655</v>
          </cell>
          <cell r="CT165">
            <v>-30.508624355779659</v>
          </cell>
          <cell r="CU165">
            <v>-31.8741023278718</v>
          </cell>
          <cell r="CV165">
            <v>-31.470138455920591</v>
          </cell>
          <cell r="CW165">
            <v>-31.122150949636385</v>
          </cell>
          <cell r="CX165">
            <v>-30.27336097214846</v>
          </cell>
          <cell r="CY165">
            <v>-30.958324770016247</v>
          </cell>
          <cell r="CZ165">
            <v>-33.311163732973554</v>
          </cell>
          <cell r="DA165">
            <v>-32.912603187322468</v>
          </cell>
          <cell r="DB165">
            <v>-32.922135526259545</v>
          </cell>
          <cell r="DC165">
            <v>-33.88593557508991</v>
          </cell>
          <cell r="DD165">
            <v>-31.909533045485119</v>
          </cell>
          <cell r="DE165">
            <v>-32.486817482029593</v>
          </cell>
          <cell r="DF165">
            <v>-32.271386400770091</v>
          </cell>
          <cell r="DG165">
            <v>-33.494372379795877</v>
          </cell>
          <cell r="DH165">
            <v>-33.102618786198427</v>
          </cell>
          <cell r="DI165">
            <v>-33.939214352323738</v>
          </cell>
          <cell r="DJ165">
            <v>-34.420614651696084</v>
          </cell>
          <cell r="DK165">
            <v>-31.430483393926355</v>
          </cell>
          <cell r="DL165">
            <v>-37.235526528721969</v>
          </cell>
          <cell r="DM165">
            <v>-37.507663237930963</v>
          </cell>
          <cell r="DN165">
            <v>-39.911537514045584</v>
          </cell>
          <cell r="DO165">
            <v>-39.968921469775729</v>
          </cell>
          <cell r="DP165">
            <v>-51.20504216670939</v>
          </cell>
          <cell r="DQ165">
            <v>-50.297777467040994</v>
          </cell>
          <cell r="DR165">
            <v>-52.561415886240923</v>
          </cell>
          <cell r="DS165">
            <v>-50.532688736730989</v>
          </cell>
          <cell r="DT165">
            <v>-48.20772532873189</v>
          </cell>
          <cell r="DU165">
            <v>-48.222604542273807</v>
          </cell>
          <cell r="DV165">
            <v>-50.406757052158191</v>
          </cell>
          <cell r="DW165">
            <v>-49.258425068588615</v>
          </cell>
        </row>
        <row r="167">
          <cell r="CR167">
            <v>-3.6886100000000002</v>
          </cell>
          <cell r="CS167">
            <v>-3.6886100000000002</v>
          </cell>
          <cell r="CT167">
            <v>-3.6886100000000002</v>
          </cell>
          <cell r="CU167">
            <v>-3.6886100000000002</v>
          </cell>
          <cell r="CV167">
            <v>-3.6886100000000002</v>
          </cell>
          <cell r="CW167">
            <v>-3.6886100000000002</v>
          </cell>
          <cell r="CX167">
            <v>-3.6886100000000002</v>
          </cell>
          <cell r="CY167">
            <v>-3.6886100000000002</v>
          </cell>
          <cell r="CZ167">
            <v>-3.6886100000000002</v>
          </cell>
          <cell r="DA167">
            <v>-3.6886100000000002</v>
          </cell>
          <cell r="DB167">
            <v>-3.6886100000000002</v>
          </cell>
          <cell r="DC167">
            <v>-3.6886100000000002</v>
          </cell>
          <cell r="DD167">
            <v>-3.6886100000000002</v>
          </cell>
          <cell r="DE167">
            <v>-3.6886100000000002</v>
          </cell>
          <cell r="DF167">
            <v>-3.6886100000000002</v>
          </cell>
          <cell r="DG167">
            <v>-3.6886100000000002</v>
          </cell>
          <cell r="DH167">
            <v>-3.6886100000000002</v>
          </cell>
          <cell r="DI167">
            <v>-3.7971200000000001</v>
          </cell>
          <cell r="DJ167">
            <v>-3.9056299999999999</v>
          </cell>
          <cell r="DK167">
            <v>-4.0141400000000003</v>
          </cell>
          <cell r="DL167">
            <v>-4.1226500000000001</v>
          </cell>
          <cell r="DM167">
            <v>-4.23116</v>
          </cell>
          <cell r="DN167">
            <v>-4.3396699999999999</v>
          </cell>
          <cell r="DO167">
            <v>-4.4481799999999998</v>
          </cell>
          <cell r="DP167">
            <v>-4.5566899999999997</v>
          </cell>
          <cell r="DQ167">
            <v>-4.6651999999999996</v>
          </cell>
          <cell r="DR167">
            <v>-4.8214799999999993</v>
          </cell>
          <cell r="DS167">
            <v>-4.7790900000000001</v>
          </cell>
          <cell r="DT167">
            <v>-5.0923599999999993</v>
          </cell>
          <cell r="DU167">
            <v>-4.6331518472906481</v>
          </cell>
          <cell r="DV167">
            <v>-4.6765579704433549</v>
          </cell>
          <cell r="DW167">
            <v>-4.7199640935960616</v>
          </cell>
        </row>
        <row r="168">
          <cell r="CR168">
            <v>-0.39355999999999997</v>
          </cell>
          <cell r="CS168">
            <v>-0.39355999999999997</v>
          </cell>
          <cell r="CT168">
            <v>-0.39355999999999997</v>
          </cell>
          <cell r="CU168">
            <v>-0.39355999999999997</v>
          </cell>
          <cell r="CV168">
            <v>-0.39355999999999997</v>
          </cell>
          <cell r="CW168">
            <v>-0.4754733333333333</v>
          </cell>
          <cell r="CX168">
            <v>-0.55738666666666659</v>
          </cell>
          <cell r="CY168">
            <v>-0.63929999999999987</v>
          </cell>
          <cell r="CZ168">
            <v>-0.72121333333333315</v>
          </cell>
          <cell r="DA168">
            <v>-0.80312666666666643</v>
          </cell>
          <cell r="DB168">
            <v>-0.88503999999999994</v>
          </cell>
          <cell r="DC168">
            <v>-0.83290142857142857</v>
          </cell>
          <cell r="DD168">
            <v>-0.7807628571428572</v>
          </cell>
          <cell r="DE168">
            <v>-0.72862428571428584</v>
          </cell>
          <cell r="DF168">
            <v>-0.67648571428571447</v>
          </cell>
          <cell r="DG168">
            <v>-0.6243471428571431</v>
          </cell>
          <cell r="DH168">
            <v>-0.57220857142857173</v>
          </cell>
          <cell r="DI168">
            <v>-0.52007000000000003</v>
          </cell>
          <cell r="DJ168">
            <v>-0.7784867973856251</v>
          </cell>
          <cell r="DK168">
            <v>-0.79736412108703547</v>
          </cell>
          <cell r="DL168">
            <v>-0.81624144478843874</v>
          </cell>
          <cell r="DM168">
            <v>-0.83511876848985622</v>
          </cell>
          <cell r="DN168">
            <v>-0.85399609219125949</v>
          </cell>
          <cell r="DO168">
            <v>-0.87287341589266987</v>
          </cell>
          <cell r="DP168">
            <v>-0.89175073959408735</v>
          </cell>
          <cell r="DQ168">
            <v>-0.91062806329549062</v>
          </cell>
          <cell r="DR168">
            <v>-0.9295053869969081</v>
          </cell>
          <cell r="DS168">
            <v>-0.94838271069831137</v>
          </cell>
          <cell r="DT168">
            <v>-0.96726003439972885</v>
          </cell>
          <cell r="DU168">
            <v>-0.98613735810113212</v>
          </cell>
          <cell r="DV168">
            <v>-1.0050146818025496</v>
          </cell>
          <cell r="DW168">
            <v>-1.0238920055039529</v>
          </cell>
        </row>
        <row r="169">
          <cell r="CR169">
            <v>-4.0149999999999995E-3</v>
          </cell>
          <cell r="CS169">
            <v>-4.0149999999999995E-3</v>
          </cell>
          <cell r="CT169">
            <v>-4.0149999999999995E-3</v>
          </cell>
          <cell r="CU169">
            <v>-4.0149999999999995E-3</v>
          </cell>
          <cell r="CV169">
            <v>-4.0149999999999995E-3</v>
          </cell>
          <cell r="CW169">
            <v>-4.0149999999999995E-3</v>
          </cell>
          <cell r="CX169">
            <v>-4.0149999999999995E-3</v>
          </cell>
          <cell r="CY169">
            <v>-4.0149999999999995E-3</v>
          </cell>
          <cell r="CZ169">
            <v>-4.0149999999999995E-3</v>
          </cell>
          <cell r="DA169">
            <v>-4.0149999999999995E-3</v>
          </cell>
          <cell r="DB169">
            <v>-4.0149999999999995E-3</v>
          </cell>
          <cell r="DC169">
            <v>-4.0149999999999995E-3</v>
          </cell>
          <cell r="DD169">
            <v>-4.0149999999999995E-3</v>
          </cell>
          <cell r="DE169">
            <v>-4.0149999999999995E-3</v>
          </cell>
          <cell r="DF169">
            <v>-4.0149999999999995E-3</v>
          </cell>
          <cell r="DG169">
            <v>-4.0149999999999995E-3</v>
          </cell>
          <cell r="DH169">
            <v>-4.0149999999999995E-3</v>
          </cell>
          <cell r="DI169">
            <v>-4.0149999999999995E-3</v>
          </cell>
          <cell r="DJ169">
            <v>-6.1700000000000001E-3</v>
          </cell>
          <cell r="DK169">
            <v>-8.3250000000000008E-3</v>
          </cell>
          <cell r="DL169">
            <v>-1.0480000000000001E-2</v>
          </cell>
          <cell r="DM169">
            <v>-6.3547142857142691E-3</v>
          </cell>
          <cell r="DN169">
            <v>-6.5114415584415219E-3</v>
          </cell>
          <cell r="DO169">
            <v>-6.6681688311688303E-3</v>
          </cell>
          <cell r="DP169">
            <v>-6.8248961038960831E-3</v>
          </cell>
          <cell r="DQ169">
            <v>-6.9816233766233915E-3</v>
          </cell>
          <cell r="DR169">
            <v>-7.1383506493506443E-3</v>
          </cell>
          <cell r="DS169">
            <v>-7.2950779220778972E-3</v>
          </cell>
          <cell r="DT169">
            <v>-7.4518051948052055E-3</v>
          </cell>
          <cell r="DU169">
            <v>-7.6085324675325139E-3</v>
          </cell>
          <cell r="DV169">
            <v>-7.7652597402597112E-3</v>
          </cell>
          <cell r="DW169">
            <v>-7.9219870129869641E-3</v>
          </cell>
        </row>
        <row r="170">
          <cell r="CR170">
            <v>-0.36</v>
          </cell>
          <cell r="CS170">
            <v>-0.36</v>
          </cell>
          <cell r="CT170">
            <v>-0.36</v>
          </cell>
          <cell r="CU170">
            <v>-0.36</v>
          </cell>
          <cell r="CV170">
            <v>-0.36</v>
          </cell>
          <cell r="CW170">
            <v>-0.36</v>
          </cell>
          <cell r="CX170">
            <v>-0.36</v>
          </cell>
          <cell r="CY170">
            <v>-0.36</v>
          </cell>
          <cell r="CZ170">
            <v>-0.36</v>
          </cell>
          <cell r="DA170">
            <v>-0.36333333333333334</v>
          </cell>
          <cell r="DB170">
            <v>-0.3666666666666667</v>
          </cell>
          <cell r="DC170">
            <v>-0.37000000000000005</v>
          </cell>
          <cell r="DD170">
            <v>-0.37333333333333341</v>
          </cell>
          <cell r="DE170">
            <v>-0.37666666666666676</v>
          </cell>
          <cell r="DF170">
            <v>-0.38000000000000012</v>
          </cell>
          <cell r="DG170">
            <v>-0.38</v>
          </cell>
          <cell r="DH170">
            <v>-0.3855514285714286</v>
          </cell>
          <cell r="DI170">
            <v>-0.3911028571428572</v>
          </cell>
          <cell r="DJ170">
            <v>-0.39665428571428579</v>
          </cell>
          <cell r="DK170">
            <v>-0.40220571428571439</v>
          </cell>
          <cell r="DL170">
            <v>-0.40775714285714298</v>
          </cell>
          <cell r="DM170">
            <v>-0.41330857142857158</v>
          </cell>
          <cell r="DN170">
            <v>-0.41886000000000001</v>
          </cell>
          <cell r="DO170">
            <v>-0.44405375000000002</v>
          </cell>
          <cell r="DP170">
            <v>-0.46924750000000004</v>
          </cell>
          <cell r="DQ170">
            <v>-0.49444125000000005</v>
          </cell>
          <cell r="DR170">
            <v>-0.52325999999999995</v>
          </cell>
          <cell r="DS170">
            <v>-0.51963499999999996</v>
          </cell>
          <cell r="DT170">
            <v>-0.51600999999999997</v>
          </cell>
          <cell r="DU170">
            <v>-0.4829953879310338</v>
          </cell>
          <cell r="DV170">
            <v>-0.48845464942528594</v>
          </cell>
          <cell r="DW170">
            <v>-0.49391391091953984</v>
          </cell>
        </row>
        <row r="172">
          <cell r="CR172">
            <v>-10.521600000000001</v>
          </cell>
          <cell r="CS172">
            <v>-10.521600000000001</v>
          </cell>
          <cell r="CT172">
            <v>-10.521600000000001</v>
          </cell>
          <cell r="CU172">
            <v>-10.521600000000001</v>
          </cell>
          <cell r="CV172">
            <v>-10.521600000000001</v>
          </cell>
          <cell r="CW172">
            <v>-10.521600000000001</v>
          </cell>
          <cell r="CX172">
            <v>-10.521600000000001</v>
          </cell>
          <cell r="CY172">
            <v>-10.521600000000001</v>
          </cell>
          <cell r="CZ172">
            <v>-10.521600000000001</v>
          </cell>
          <cell r="DA172">
            <v>-10.521600000000001</v>
          </cell>
          <cell r="DB172">
            <v>-10.521600000000001</v>
          </cell>
          <cell r="DC172">
            <v>-10.697400000000002</v>
          </cell>
          <cell r="DD172">
            <v>-10.873200000000002</v>
          </cell>
          <cell r="DE172">
            <v>-11.049000000000003</v>
          </cell>
          <cell r="DF172">
            <v>-11.224800000000004</v>
          </cell>
          <cell r="DG172">
            <v>-11.400600000000001</v>
          </cell>
          <cell r="DH172">
            <v>-11.092950000000002</v>
          </cell>
          <cell r="DI172">
            <v>-11.140777941176481</v>
          </cell>
          <cell r="DJ172">
            <v>-11.188605882352945</v>
          </cell>
          <cell r="DK172">
            <v>-11.23643382352941</v>
          </cell>
          <cell r="DL172">
            <v>-11.284261764705889</v>
          </cell>
          <cell r="DM172">
            <v>-11.332089705882353</v>
          </cell>
          <cell r="DN172">
            <v>-11.379917647058832</v>
          </cell>
          <cell r="DO172">
            <v>-11.427745588235297</v>
          </cell>
          <cell r="DP172">
            <v>-11.475573529411776</v>
          </cell>
          <cell r="DQ172">
            <v>-11.52340147058824</v>
          </cell>
          <cell r="DR172">
            <v>-11.571229411764705</v>
          </cell>
          <cell r="DS172">
            <v>-11.619057352941184</v>
          </cell>
          <cell r="DT172">
            <v>-11.666885294117662</v>
          </cell>
          <cell r="DU172">
            <v>-11.714713235294113</v>
          </cell>
          <cell r="DV172">
            <v>-11.762541176470592</v>
          </cell>
          <cell r="DW172">
            <v>-11.81036911764707</v>
          </cell>
        </row>
        <row r="173">
          <cell r="CR173">
            <v>-1.4119300000000001</v>
          </cell>
          <cell r="CS173">
            <v>-1.6758160000000002</v>
          </cell>
          <cell r="CT173">
            <v>-1.9397020000000003</v>
          </cell>
          <cell r="CU173">
            <v>-2.2035880000000003</v>
          </cell>
          <cell r="CV173">
            <v>-2.4674740000000002</v>
          </cell>
          <cell r="CW173">
            <v>-2.73136</v>
          </cell>
          <cell r="CX173">
            <v>-2.9952459999999999</v>
          </cell>
          <cell r="CY173">
            <v>-3.2591319999999997</v>
          </cell>
          <cell r="CZ173">
            <v>-3.5230179999999995</v>
          </cell>
          <cell r="DA173">
            <v>-3.7869039999999994</v>
          </cell>
          <cell r="DB173">
            <v>-4.0507900000000001</v>
          </cell>
          <cell r="DC173">
            <v>-4.4866359999999998</v>
          </cell>
          <cell r="DD173">
            <v>-4.9224819999999996</v>
          </cell>
          <cell r="DE173">
            <v>-5.3583279999999993</v>
          </cell>
          <cell r="DF173">
            <v>-5.794173999999999</v>
          </cell>
          <cell r="DG173">
            <v>-6.2300200000000006</v>
          </cell>
          <cell r="DH173">
            <v>-6.1958360000000008</v>
          </cell>
          <cell r="DI173">
            <v>-6.161652000000001</v>
          </cell>
          <cell r="DJ173">
            <v>-6.1274680000000012</v>
          </cell>
          <cell r="DK173">
            <v>-6.0932840000000015</v>
          </cell>
          <cell r="DL173">
            <v>-6.0590999999999999</v>
          </cell>
          <cell r="DM173">
            <v>-5.9007040000000002</v>
          </cell>
          <cell r="DN173">
            <v>-5.7423080000000004</v>
          </cell>
          <cell r="DO173">
            <v>-5.5839120000000007</v>
          </cell>
          <cell r="DP173">
            <v>-5.4255160000000009</v>
          </cell>
          <cell r="DQ173">
            <v>-5.2671200000000002</v>
          </cell>
          <cell r="DR173">
            <v>-4.9405000000000001</v>
          </cell>
          <cell r="DS173">
            <v>-5.0593399999999997</v>
          </cell>
          <cell r="DT173">
            <v>-4.8194300000000005</v>
          </cell>
          <cell r="DU173">
            <v>-5.09694</v>
          </cell>
          <cell r="DV173">
            <v>-4.9473799999999999</v>
          </cell>
          <cell r="DW173">
            <v>-6.5629627096774357</v>
          </cell>
        </row>
        <row r="174">
          <cell r="CR174">
            <v>-0.83276800000000006</v>
          </cell>
          <cell r="CS174">
            <v>-0.83276800000000006</v>
          </cell>
          <cell r="CT174">
            <v>-0.83276800000000006</v>
          </cell>
          <cell r="CU174">
            <v>-0.83276800000000006</v>
          </cell>
          <cell r="CV174">
            <v>-0.83276800000000006</v>
          </cell>
          <cell r="CW174">
            <v>-0.83276800000000006</v>
          </cell>
          <cell r="CX174">
            <v>-0.83118200000000009</v>
          </cell>
          <cell r="CY174">
            <v>-0.82959600000000011</v>
          </cell>
          <cell r="CZ174">
            <v>-0.82801000000000013</v>
          </cell>
          <cell r="DA174">
            <v>-0.82642400000000016</v>
          </cell>
          <cell r="DB174">
            <v>-0.82483799999999996</v>
          </cell>
          <cell r="DC174">
            <v>-0.82584727272727299</v>
          </cell>
          <cell r="DD174">
            <v>-0.82505427272727294</v>
          </cell>
          <cell r="DE174">
            <v>-0.82426127272727312</v>
          </cell>
          <cell r="DF174">
            <v>-0.8234682727272733</v>
          </cell>
          <cell r="DG174">
            <v>-0.82267527272727325</v>
          </cell>
          <cell r="DH174">
            <v>-0.82188227272727299</v>
          </cell>
          <cell r="DI174">
            <v>-0.82108927272727317</v>
          </cell>
          <cell r="DJ174">
            <v>-0.8202962727272729</v>
          </cell>
          <cell r="DK174">
            <v>-0.8195032727272733</v>
          </cell>
          <cell r="DL174">
            <v>-0.81871027272727326</v>
          </cell>
          <cell r="DM174">
            <v>-0.81791727272727344</v>
          </cell>
          <cell r="DN174">
            <v>-0.81712427272727317</v>
          </cell>
          <cell r="DO174">
            <v>-0.81633127272727335</v>
          </cell>
          <cell r="DP174">
            <v>-0.81553827272727331</v>
          </cell>
          <cell r="DQ174">
            <v>-0.81474527272727371</v>
          </cell>
          <cell r="DR174">
            <v>-0.81395227272727322</v>
          </cell>
          <cell r="DS174">
            <v>-0.8131592727272734</v>
          </cell>
          <cell r="DT174">
            <v>-0.81236627272727313</v>
          </cell>
          <cell r="DU174">
            <v>-0.81157327272727375</v>
          </cell>
          <cell r="DV174">
            <v>-0.81078027272727327</v>
          </cell>
          <cell r="DW174">
            <v>-0.80998727272727367</v>
          </cell>
        </row>
        <row r="175">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0</v>
          </cell>
          <cell r="DN175">
            <v>0</v>
          </cell>
          <cell r="DO175">
            <v>0</v>
          </cell>
          <cell r="DP175">
            <v>0</v>
          </cell>
          <cell r="DQ175">
            <v>0</v>
          </cell>
          <cell r="DR175">
            <v>0</v>
          </cell>
          <cell r="DS175">
            <v>0</v>
          </cell>
          <cell r="DT175">
            <v>0</v>
          </cell>
          <cell r="DU175">
            <v>0</v>
          </cell>
          <cell r="DV175">
            <v>0</v>
          </cell>
          <cell r="DW175">
            <v>0</v>
          </cell>
        </row>
        <row r="176">
          <cell r="CR176">
            <v>2.9911400000000001</v>
          </cell>
          <cell r="CS176">
            <v>2.9911400000000001</v>
          </cell>
          <cell r="CT176">
            <v>2.9911400000000001</v>
          </cell>
          <cell r="CU176">
            <v>2.9911400000000001</v>
          </cell>
          <cell r="CV176">
            <v>2.9911400000000001</v>
          </cell>
          <cell r="CW176">
            <v>2.8917783333333333</v>
          </cell>
          <cell r="CX176">
            <v>2.7924166666666665</v>
          </cell>
          <cell r="CY176">
            <v>2.6930549999999998</v>
          </cell>
          <cell r="CZ176">
            <v>2.593693333333333</v>
          </cell>
          <cell r="DA176">
            <v>2.4943316666666662</v>
          </cell>
          <cell r="DB176">
            <v>2.3949699999999998</v>
          </cell>
          <cell r="DC176">
            <v>2.2842909999999996</v>
          </cell>
          <cell r="DD176">
            <v>2.1736119999999994</v>
          </cell>
          <cell r="DE176">
            <v>2.0629329999999992</v>
          </cell>
          <cell r="DF176">
            <v>1.9522539999999993</v>
          </cell>
          <cell r="DG176">
            <v>1.8415749999999993</v>
          </cell>
          <cell r="DH176">
            <v>1.7308959999999993</v>
          </cell>
          <cell r="DI176">
            <v>1.6202169999999994</v>
          </cell>
          <cell r="DJ176">
            <v>1.5095379999999994</v>
          </cell>
          <cell r="DK176">
            <v>1.3988589999999994</v>
          </cell>
          <cell r="DL176">
            <v>1.2881799999999999</v>
          </cell>
          <cell r="DM176">
            <v>1.286125</v>
          </cell>
          <cell r="DN176">
            <v>1.28407</v>
          </cell>
          <cell r="DO176">
            <v>1.32281</v>
          </cell>
          <cell r="DP176">
            <v>1.36155</v>
          </cell>
          <cell r="DQ176">
            <v>1.3809899999999997</v>
          </cell>
          <cell r="DR176">
            <v>1.4004299999999996</v>
          </cell>
          <cell r="DS176">
            <v>0.75604999999999978</v>
          </cell>
          <cell r="DT176">
            <v>0.11166999999999999</v>
          </cell>
          <cell r="DU176">
            <v>0.66697518472906836</v>
          </cell>
          <cell r="DV176">
            <v>0.57906779474549808</v>
          </cell>
          <cell r="DW176">
            <v>0.49116040476189937</v>
          </cell>
        </row>
        <row r="177">
          <cell r="CR177">
            <v>-9.3462651604631901</v>
          </cell>
          <cell r="CS177">
            <v>-10.174619346402245</v>
          </cell>
          <cell r="CT177">
            <v>-10.808475727391512</v>
          </cell>
          <cell r="CU177">
            <v>-10.599288040141543</v>
          </cell>
          <cell r="CV177">
            <v>-10.041035331557758</v>
          </cell>
          <cell r="CW177">
            <v>-9.4934981154719296</v>
          </cell>
          <cell r="CX177">
            <v>-9.4075094076277352</v>
          </cell>
          <cell r="CY177">
            <v>-9.199059087713584</v>
          </cell>
          <cell r="CZ177">
            <v>-10.268824748936655</v>
          </cell>
          <cell r="DA177">
            <v>-9.4288392142776392</v>
          </cell>
          <cell r="DB177">
            <v>-9.3999805369670124</v>
          </cell>
          <cell r="DC177">
            <v>-8.7172894470430364</v>
          </cell>
          <cell r="DD177">
            <v>-9.1961079740845797</v>
          </cell>
          <cell r="DE177">
            <v>-8.6260478910121936</v>
          </cell>
          <cell r="DF177">
            <v>-8.644361024030923</v>
          </cell>
          <cell r="DG177">
            <v>-4.7537229041621405</v>
          </cell>
          <cell r="DH177">
            <v>-7.8654411431001785</v>
          </cell>
          <cell r="DI177">
            <v>-7.3983465041624052</v>
          </cell>
          <cell r="DJ177">
            <v>-6.3024864501762243</v>
          </cell>
          <cell r="DK177">
            <v>-6.0758680071563838</v>
          </cell>
          <cell r="DL177">
            <v>-5.2151378097927292</v>
          </cell>
          <cell r="DM177">
            <v>-5.5660457963814096</v>
          </cell>
          <cell r="DN177">
            <v>-6.6639526747670113</v>
          </cell>
          <cell r="DO177">
            <v>-7.4340138655509147</v>
          </cell>
          <cell r="DP177">
            <v>-5.2357115613969363</v>
          </cell>
          <cell r="DQ177">
            <v>-5.7599974725810323</v>
          </cell>
          <cell r="DR177">
            <v>-5.8334233253407612</v>
          </cell>
          <cell r="DS177">
            <v>-5.729078464703842</v>
          </cell>
          <cell r="DT177">
            <v>-4.756000532693589</v>
          </cell>
          <cell r="DU177">
            <v>-5.5192673551116433</v>
          </cell>
          <cell r="DV177">
            <v>-7.6997680271585107</v>
          </cell>
          <cell r="DW177">
            <v>-7.6621684639264558</v>
          </cell>
        </row>
        <row r="178">
          <cell r="CR178">
            <v>-4.4072071443187575</v>
          </cell>
          <cell r="CS178">
            <v>-4.7601997247104375</v>
          </cell>
          <cell r="CT178">
            <v>-4.8762827714248562</v>
          </cell>
          <cell r="CU178">
            <v>-4.8763788344545924</v>
          </cell>
          <cell r="CV178">
            <v>-5.0628000595344558</v>
          </cell>
          <cell r="CW178">
            <v>-5.1485151987054945</v>
          </cell>
          <cell r="CX178">
            <v>-5.7216903596028086</v>
          </cell>
          <cell r="CY178">
            <v>-5.9331401136870019</v>
          </cell>
          <cell r="CZ178">
            <v>-6.0765708084379444</v>
          </cell>
          <cell r="DA178">
            <v>-6.1133797733413147</v>
          </cell>
          <cell r="DB178">
            <v>-6.2127271419771857</v>
          </cell>
          <cell r="DC178">
            <v>-6.2609384278112561</v>
          </cell>
          <cell r="DD178">
            <v>-7.3774055201379793</v>
          </cell>
          <cell r="DE178">
            <v>-7.0711587104128668</v>
          </cell>
          <cell r="DF178">
            <v>-7.1967285160538648</v>
          </cell>
          <cell r="DG178">
            <v>-7.2358504828810872</v>
          </cell>
          <cell r="DH178">
            <v>-7.2529674121227323</v>
          </cell>
          <cell r="DI178">
            <v>-7.5668037261644221</v>
          </cell>
          <cell r="DJ178">
            <v>-7.3153105486911079</v>
          </cell>
          <cell r="DK178">
            <v>-7.2493898898042586</v>
          </cell>
          <cell r="DL178">
            <v>-7.1767213443314342</v>
          </cell>
          <cell r="DM178">
            <v>-7.0773481657260966</v>
          </cell>
          <cell r="DN178">
            <v>-7.0162216442364445</v>
          </cell>
          <cell r="DO178">
            <v>-5.3163060758563008</v>
          </cell>
          <cell r="DP178">
            <v>0.70042653659128851</v>
          </cell>
          <cell r="DQ178">
            <v>0.80022045666031083</v>
          </cell>
          <cell r="DR178">
            <v>0.94880958065135446</v>
          </cell>
          <cell r="DS178">
            <v>0.94175757600162779</v>
          </cell>
          <cell r="DT178">
            <v>1.0387286671390941</v>
          </cell>
          <cell r="DU178">
            <v>-3.3521078591245419</v>
          </cell>
          <cell r="DV178">
            <v>-3.1498048902233622</v>
          </cell>
          <cell r="DW178">
            <v>-3.1126215491935603</v>
          </cell>
        </row>
        <row r="179">
          <cell r="CR179">
            <v>0</v>
          </cell>
          <cell r="CS179">
            <v>0</v>
          </cell>
          <cell r="CT179">
            <v>0</v>
          </cell>
          <cell r="CU179">
            <v>0</v>
          </cell>
          <cell r="CV179">
            <v>0</v>
          </cell>
          <cell r="CW179">
            <v>0</v>
          </cell>
          <cell r="CX179">
            <v>0</v>
          </cell>
          <cell r="CY179">
            <v>0</v>
          </cell>
          <cell r="CZ179">
            <v>0</v>
          </cell>
          <cell r="DA179">
            <v>0</v>
          </cell>
          <cell r="DB179">
            <v>0</v>
          </cell>
          <cell r="DC179">
            <v>0</v>
          </cell>
          <cell r="DD179">
            <v>0</v>
          </cell>
          <cell r="DE179">
            <v>0</v>
          </cell>
          <cell r="DF179">
            <v>0</v>
          </cell>
          <cell r="DG179">
            <v>0</v>
          </cell>
          <cell r="DH179">
            <v>0</v>
          </cell>
          <cell r="DI179">
            <v>0</v>
          </cell>
          <cell r="DJ179">
            <v>0</v>
          </cell>
          <cell r="DK179">
            <v>0</v>
          </cell>
          <cell r="DL179">
            <v>0</v>
          </cell>
          <cell r="DM179">
            <v>0</v>
          </cell>
          <cell r="DN179">
            <v>0</v>
          </cell>
          <cell r="DO179">
            <v>0</v>
          </cell>
          <cell r="DP179">
            <v>0</v>
          </cell>
          <cell r="DQ179">
            <v>0</v>
          </cell>
          <cell r="DR179">
            <v>0</v>
          </cell>
          <cell r="DS179">
            <v>0</v>
          </cell>
          <cell r="DT179">
            <v>0</v>
          </cell>
          <cell r="DU179">
            <v>0</v>
          </cell>
          <cell r="DV179">
            <v>0</v>
          </cell>
          <cell r="DW179">
            <v>0</v>
          </cell>
        </row>
        <row r="180">
          <cell r="CR180">
            <v>17.350000000000001</v>
          </cell>
          <cell r="CS180">
            <v>17.350000000000001</v>
          </cell>
          <cell r="CT180">
            <v>17.350000000000001</v>
          </cell>
          <cell r="CU180">
            <v>17.350000000000001</v>
          </cell>
          <cell r="CV180">
            <v>17.350000000000001</v>
          </cell>
          <cell r="CW180">
            <v>17.350000000000001</v>
          </cell>
          <cell r="CX180">
            <v>17.350000000000001</v>
          </cell>
          <cell r="CY180">
            <v>17.350000000000001</v>
          </cell>
          <cell r="CZ180">
            <v>17.350000000000001</v>
          </cell>
          <cell r="DA180">
            <v>17.350000000000001</v>
          </cell>
          <cell r="DB180">
            <v>17.350000000000001</v>
          </cell>
          <cell r="DC180">
            <v>17.350000000000001</v>
          </cell>
          <cell r="DD180">
            <v>17.350000000000001</v>
          </cell>
          <cell r="DE180">
            <v>17.350000000000001</v>
          </cell>
          <cell r="DF180">
            <v>17.350000000000001</v>
          </cell>
          <cell r="DG180">
            <v>17.350000000000001</v>
          </cell>
          <cell r="DH180">
            <v>17.350000000000001</v>
          </cell>
          <cell r="DI180">
            <v>17.350000000000001</v>
          </cell>
          <cell r="DJ180">
            <v>17.350000000000001</v>
          </cell>
          <cell r="DK180">
            <v>17.350000000000001</v>
          </cell>
          <cell r="DL180">
            <v>17.350000000000001</v>
          </cell>
          <cell r="DM180">
            <v>17.350000000000001</v>
          </cell>
          <cell r="DN180">
            <v>17.350000000000001</v>
          </cell>
          <cell r="DO180">
            <v>17.350000000000001</v>
          </cell>
          <cell r="DP180">
            <v>17.350000000000001</v>
          </cell>
          <cell r="DQ180">
            <v>17.350000000000001</v>
          </cell>
          <cell r="DR180">
            <v>17.350000000000001</v>
          </cell>
          <cell r="DS180">
            <v>17.350000000000001</v>
          </cell>
          <cell r="DT180">
            <v>17.350000000000001</v>
          </cell>
          <cell r="DU180">
            <v>17.350000000000001</v>
          </cell>
          <cell r="DV180">
            <v>17.350000000000001</v>
          </cell>
          <cell r="DW180">
            <v>17.350000000000009</v>
          </cell>
        </row>
        <row r="182">
          <cell r="CR182">
            <v>-33.91593629811792</v>
          </cell>
          <cell r="CS182">
            <v>-34.09278491321799</v>
          </cell>
          <cell r="CT182">
            <v>-34.245099910230834</v>
          </cell>
          <cell r="CU182">
            <v>-35.410737355343898</v>
          </cell>
          <cell r="CV182">
            <v>-34.17274755806374</v>
          </cell>
          <cell r="CW182">
            <v>-36.454504247796066</v>
          </cell>
          <cell r="CX182">
            <v>-37.261011019255179</v>
          </cell>
          <cell r="CY182">
            <v>-37.203061590405575</v>
          </cell>
          <cell r="CZ182">
            <v>-37.885848122718038</v>
          </cell>
          <cell r="DA182">
            <v>-41.456456745049387</v>
          </cell>
          <cell r="DB182">
            <v>-43.416272340225028</v>
          </cell>
          <cell r="DC182">
            <v>-45.323963100336968</v>
          </cell>
          <cell r="DD182">
            <v>-44.365644060942884</v>
          </cell>
          <cell r="DE182">
            <v>-43.896868571046099</v>
          </cell>
          <cell r="DF182">
            <v>-44.650458716234077</v>
          </cell>
          <cell r="DG182">
            <v>-44.399610570344414</v>
          </cell>
          <cell r="DH182">
            <v>-46.778013067646803</v>
          </cell>
          <cell r="DI182">
            <v>-44.184589462012397</v>
          </cell>
          <cell r="DJ182">
            <v>-44.074831805338945</v>
          </cell>
          <cell r="DK182">
            <v>-41.672848760876207</v>
          </cell>
          <cell r="DL182">
            <v>-44.161248130801944</v>
          </cell>
          <cell r="DM182">
            <v>-43.576575992001189</v>
          </cell>
          <cell r="DN182">
            <v>-41.060518456896503</v>
          </cell>
          <cell r="DO182">
            <v>-40.276233930007571</v>
          </cell>
          <cell r="DP182">
            <v>-42.146829320926784</v>
          </cell>
          <cell r="DQ182">
            <v>-44.571442086844314</v>
          </cell>
          <cell r="DR182">
            <v>-44.800056163757517</v>
          </cell>
          <cell r="DS182">
            <v>-45.31826865729392</v>
          </cell>
          <cell r="DT182">
            <v>-46.150358088398924</v>
          </cell>
          <cell r="DU182">
            <v>-45.239679009694946</v>
          </cell>
          <cell r="DV182">
            <v>-44.104390343882066</v>
          </cell>
          <cell r="DW182">
            <v>-44.531231546360395</v>
          </cell>
        </row>
        <row r="183">
          <cell r="CR183">
            <v>27.88</v>
          </cell>
          <cell r="CS183">
            <v>27.88</v>
          </cell>
          <cell r="CT183">
            <v>27.88</v>
          </cell>
          <cell r="CU183">
            <v>27.88</v>
          </cell>
          <cell r="CV183">
            <v>27.88</v>
          </cell>
          <cell r="CW183">
            <v>19.156591666666664</v>
          </cell>
          <cell r="CX183">
            <v>10.43318333333333</v>
          </cell>
          <cell r="CY183">
            <v>1.7097749999999969</v>
          </cell>
          <cell r="CZ183">
            <v>-7.0136333333333365</v>
          </cell>
          <cell r="DA183">
            <v>-15.73704166666667</v>
          </cell>
          <cell r="DB183">
            <v>-24.460450000000002</v>
          </cell>
          <cell r="DC183">
            <v>-22.961739999999999</v>
          </cell>
          <cell r="DD183">
            <v>-20.805509999999998</v>
          </cell>
          <cell r="DE183">
            <v>-20.480649999999997</v>
          </cell>
          <cell r="DF183">
            <v>-19.61514</v>
          </cell>
          <cell r="DG183">
            <v>-19.512169999999998</v>
          </cell>
          <cell r="DH183">
            <v>-19.874009999999998</v>
          </cell>
          <cell r="DI183">
            <v>-18.666050000000002</v>
          </cell>
          <cell r="DJ183">
            <v>-18.31138</v>
          </cell>
          <cell r="DK183">
            <v>-18.286510000000003</v>
          </cell>
          <cell r="DL183">
            <v>-20.512949999999993</v>
          </cell>
          <cell r="DM183">
            <v>-36.400209309523234</v>
          </cell>
          <cell r="DN183">
            <v>-39.382316281385101</v>
          </cell>
          <cell r="DO183">
            <v>-42.364423253246059</v>
          </cell>
          <cell r="DP183">
            <v>-45.346530225107927</v>
          </cell>
          <cell r="DQ183">
            <v>-48.328637196968884</v>
          </cell>
          <cell r="DR183">
            <v>-51.310744168830752</v>
          </cell>
          <cell r="DS183">
            <v>-54.29285114069171</v>
          </cell>
          <cell r="DT183">
            <v>-57.274958112553577</v>
          </cell>
          <cell r="DU183">
            <v>-60.257065084415444</v>
          </cell>
          <cell r="DV183">
            <v>-63.239172056276402</v>
          </cell>
          <cell r="DW183">
            <v>-66.22127902813736</v>
          </cell>
        </row>
        <row r="184">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v>0</v>
          </cell>
          <cell r="DU184">
            <v>0</v>
          </cell>
          <cell r="DV184">
            <v>0</v>
          </cell>
          <cell r="DW184">
            <v>0</v>
          </cell>
        </row>
        <row r="185">
          <cell r="CR185">
            <v>-6.584000000000001E-2</v>
          </cell>
          <cell r="CS185">
            <v>-6.584000000000001E-2</v>
          </cell>
          <cell r="CT185">
            <v>-6.584000000000001E-2</v>
          </cell>
          <cell r="CU185">
            <v>-6.584000000000001E-2</v>
          </cell>
          <cell r="CV185">
            <v>-6.584000000000001E-2</v>
          </cell>
          <cell r="CW185">
            <v>-6.584000000000001E-2</v>
          </cell>
          <cell r="CX185">
            <v>-6.584000000000001E-2</v>
          </cell>
          <cell r="CY185">
            <v>-6.584000000000001E-2</v>
          </cell>
          <cell r="CZ185">
            <v>-6.584000000000001E-2</v>
          </cell>
          <cell r="DA185">
            <v>-6.584000000000001E-2</v>
          </cell>
          <cell r="DB185">
            <v>-6.584000000000001E-2</v>
          </cell>
          <cell r="DC185">
            <v>-6.584000000000001E-2</v>
          </cell>
          <cell r="DD185">
            <v>-6.584000000000001E-2</v>
          </cell>
          <cell r="DE185">
            <v>-6.584000000000001E-2</v>
          </cell>
          <cell r="DF185">
            <v>-6.584000000000001E-2</v>
          </cell>
          <cell r="DG185">
            <v>-6.584000000000001E-2</v>
          </cell>
          <cell r="DH185">
            <v>-6.584000000000001E-2</v>
          </cell>
          <cell r="DI185">
            <v>-6.584000000000001E-2</v>
          </cell>
          <cell r="DJ185">
            <v>-6.584000000000001E-2</v>
          </cell>
          <cell r="DK185">
            <v>-6.584000000000001E-2</v>
          </cell>
          <cell r="DL185">
            <v>-6.584000000000001E-2</v>
          </cell>
          <cell r="DM185">
            <v>-9.0490000000000001E-2</v>
          </cell>
          <cell r="DN185">
            <v>-9.0490000000000001E-2</v>
          </cell>
          <cell r="DO185">
            <v>-9.0490000000000001E-2</v>
          </cell>
          <cell r="DP185">
            <v>-0.11309999999999999</v>
          </cell>
          <cell r="DQ185">
            <v>-0.11309999999999999</v>
          </cell>
          <cell r="DR185">
            <v>-0.11309999999999999</v>
          </cell>
          <cell r="DS185">
            <v>-0.11309999999999999</v>
          </cell>
          <cell r="DT185">
            <v>-0.11309999999999999</v>
          </cell>
          <cell r="DU185">
            <v>-0.10186241379310346</v>
          </cell>
          <cell r="DV185">
            <v>-0.10355068965517278</v>
          </cell>
          <cell r="DW185">
            <v>-0.10523896551724166</v>
          </cell>
        </row>
        <row r="186">
          <cell r="CR186">
            <v>-0.34523541999999996</v>
          </cell>
          <cell r="CS186">
            <v>-0.34523541999999996</v>
          </cell>
          <cell r="CT186">
            <v>-0.34523541999999996</v>
          </cell>
          <cell r="CU186">
            <v>-0.34523541999999996</v>
          </cell>
          <cell r="CV186">
            <v>-0.34523541999999996</v>
          </cell>
          <cell r="CW186">
            <v>-0.30216138333333331</v>
          </cell>
          <cell r="CX186">
            <v>-0.25908734666666666</v>
          </cell>
          <cell r="CY186">
            <v>-0.21601331000000001</v>
          </cell>
          <cell r="CZ186">
            <v>-0.17293927333333337</v>
          </cell>
          <cell r="DA186">
            <v>-0.12986523666666672</v>
          </cell>
          <cell r="DB186">
            <v>-8.6791199999999999E-2</v>
          </cell>
          <cell r="DC186">
            <v>-8.6791339999999995E-2</v>
          </cell>
          <cell r="DD186">
            <v>-8.679147999999999E-2</v>
          </cell>
          <cell r="DE186">
            <v>-8.6791619999999986E-2</v>
          </cell>
          <cell r="DF186">
            <v>-8.6791759999999982E-2</v>
          </cell>
          <cell r="DG186">
            <v>-8.6791900000000005E-2</v>
          </cell>
          <cell r="DH186">
            <v>-9.400718000000001E-2</v>
          </cell>
          <cell r="DI186">
            <v>-0.10122246000000001</v>
          </cell>
          <cell r="DJ186">
            <v>-0.10843774000000002</v>
          </cell>
          <cell r="DK186">
            <v>-0.11565302000000002</v>
          </cell>
          <cell r="DL186">
            <v>-0.12286830000000001</v>
          </cell>
          <cell r="DM186">
            <v>-1.6120763571429109E-2</v>
          </cell>
          <cell r="DN186">
            <v>-8.3658341991110774E-4</v>
          </cell>
          <cell r="DO186">
            <v>1.444759673160334E-2</v>
          </cell>
          <cell r="DP186">
            <v>2.9731776883117789E-2</v>
          </cell>
          <cell r="DQ186">
            <v>4.5015957034632237E-2</v>
          </cell>
          <cell r="DR186">
            <v>6.0300137186146685E-2</v>
          </cell>
          <cell r="DS186">
            <v>7.5584317337664686E-2</v>
          </cell>
          <cell r="DT186">
            <v>9.0868497489179134E-2</v>
          </cell>
          <cell r="DU186">
            <v>0.10615267764069358</v>
          </cell>
          <cell r="DV186">
            <v>0.12143685779220803</v>
          </cell>
          <cell r="DW186">
            <v>0.13672103794372248</v>
          </cell>
        </row>
        <row r="187">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0</v>
          </cell>
          <cell r="DM187">
            <v>0</v>
          </cell>
          <cell r="DN187">
            <v>0</v>
          </cell>
          <cell r="DO187">
            <v>0</v>
          </cell>
          <cell r="DP187">
            <v>0</v>
          </cell>
          <cell r="DQ187">
            <v>0</v>
          </cell>
          <cell r="DR187">
            <v>0</v>
          </cell>
          <cell r="DS187">
            <v>0</v>
          </cell>
          <cell r="DT187">
            <v>0</v>
          </cell>
          <cell r="DU187">
            <v>0</v>
          </cell>
          <cell r="DV187">
            <v>0</v>
          </cell>
          <cell r="DW187">
            <v>0</v>
          </cell>
        </row>
        <row r="188">
          <cell r="CR188">
            <v>-0.13218750000000001</v>
          </cell>
          <cell r="CS188">
            <v>-0.13218750000000001</v>
          </cell>
          <cell r="CT188">
            <v>-0.13218750000000001</v>
          </cell>
          <cell r="CU188">
            <v>-0.13218750000000001</v>
          </cell>
          <cell r="CV188">
            <v>-0.13218750000000001</v>
          </cell>
          <cell r="CW188">
            <v>-0.13218750000000001</v>
          </cell>
          <cell r="CX188">
            <v>-0.13218750000000001</v>
          </cell>
          <cell r="CY188">
            <v>-0.13218750000000001</v>
          </cell>
          <cell r="CZ188">
            <v>-9.7476000000000007E-2</v>
          </cell>
          <cell r="DA188">
            <v>-6.2764500000000001E-2</v>
          </cell>
          <cell r="DB188">
            <v>-2.8053000000000002E-2</v>
          </cell>
          <cell r="DC188">
            <v>-2.9607000000000001E-2</v>
          </cell>
          <cell r="DD188">
            <v>-3.1161000000000001E-2</v>
          </cell>
          <cell r="DE188">
            <v>-3.2715000000000001E-2</v>
          </cell>
          <cell r="DF188">
            <v>-3.4269000000000001E-2</v>
          </cell>
          <cell r="DG188">
            <v>-1.489312857142977E-2</v>
          </cell>
          <cell r="DH188">
            <v>-5.3085571428574951E-3</v>
          </cell>
          <cell r="DI188">
            <v>4.2760142857147798E-3</v>
          </cell>
          <cell r="DJ188">
            <v>1.3860585714287055E-2</v>
          </cell>
          <cell r="DK188">
            <v>2.3445157142855777E-2</v>
          </cell>
          <cell r="DL188">
            <v>3.3029728571428052E-2</v>
          </cell>
          <cell r="DM188">
            <v>4.2614300000000327E-2</v>
          </cell>
          <cell r="DN188">
            <v>5.2198871428572602E-2</v>
          </cell>
          <cell r="DO188">
            <v>6.1783442857141324E-2</v>
          </cell>
          <cell r="DP188">
            <v>7.1368014285713599E-2</v>
          </cell>
          <cell r="DQ188">
            <v>8.0952585714285874E-2</v>
          </cell>
          <cell r="DR188">
            <v>9.0537157142858149E-2</v>
          </cell>
          <cell r="DS188">
            <v>0.10012172857142687</v>
          </cell>
          <cell r="DT188">
            <v>0.10970629999999915</v>
          </cell>
          <cell r="DU188">
            <v>0.11929087142857142</v>
          </cell>
          <cell r="DV188">
            <v>0.1288754428571437</v>
          </cell>
          <cell r="DW188">
            <v>0.13846001428571597</v>
          </cell>
        </row>
        <row r="189">
          <cell r="CR189">
            <v>17.776</v>
          </cell>
          <cell r="CS189">
            <v>17.776</v>
          </cell>
          <cell r="CT189">
            <v>17.776</v>
          </cell>
          <cell r="CU189">
            <v>17.776</v>
          </cell>
          <cell r="CV189">
            <v>17.776</v>
          </cell>
          <cell r="CW189">
            <v>17.776</v>
          </cell>
          <cell r="CX189">
            <v>16.097000000000001</v>
          </cell>
          <cell r="CY189">
            <v>14.418000000000001</v>
          </cell>
          <cell r="CZ189">
            <v>12.739000000000001</v>
          </cell>
          <cell r="DA189">
            <v>11.06</v>
          </cell>
          <cell r="DB189">
            <v>9.3810000000000002</v>
          </cell>
          <cell r="DC189">
            <v>10.4494545454545</v>
          </cell>
          <cell r="DD189">
            <v>9.6099545454546842</v>
          </cell>
          <cell r="DE189">
            <v>8.7704545454546405</v>
          </cell>
          <cell r="DF189">
            <v>7.9309545454545969</v>
          </cell>
          <cell r="DG189">
            <v>7.0914545454547806</v>
          </cell>
          <cell r="DH189">
            <v>6.2519545454547369</v>
          </cell>
          <cell r="DI189">
            <v>5.4124545454546933</v>
          </cell>
          <cell r="DJ189">
            <v>4.5729545454546496</v>
          </cell>
          <cell r="DK189">
            <v>3.7334545454548334</v>
          </cell>
          <cell r="DL189">
            <v>2.8939545454547897</v>
          </cell>
          <cell r="DM189">
            <v>2.054454545454746</v>
          </cell>
          <cell r="DN189">
            <v>1.2149545454547024</v>
          </cell>
          <cell r="DO189">
            <v>0.3754545454548861</v>
          </cell>
          <cell r="DP189">
            <v>-0.46404545454515755</v>
          </cell>
          <cell r="DQ189">
            <v>-1.3035454545449738</v>
          </cell>
          <cell r="DR189">
            <v>-2.1430454545450175</v>
          </cell>
          <cell r="DS189">
            <v>-2.9825454545450611</v>
          </cell>
          <cell r="DT189">
            <v>-3.8220454545451048</v>
          </cell>
          <cell r="DU189">
            <v>-4.6615454545451485</v>
          </cell>
          <cell r="DV189">
            <v>-5.5010454545449647</v>
          </cell>
          <cell r="DW189">
            <v>-6.3405454545450084</v>
          </cell>
        </row>
        <row r="190">
          <cell r="CR190">
            <v>-5.2818000000000005</v>
          </cell>
          <cell r="CS190">
            <v>-5.2818000000000005</v>
          </cell>
          <cell r="CT190">
            <v>-5.2818000000000005</v>
          </cell>
          <cell r="CU190">
            <v>-5.2818000000000005</v>
          </cell>
          <cell r="CV190">
            <v>-5.2818000000000005</v>
          </cell>
          <cell r="CW190">
            <v>-5.2818000000000005</v>
          </cell>
          <cell r="CX190">
            <v>-5.2818000000000005</v>
          </cell>
          <cell r="CY190">
            <v>-5.2818000000000005</v>
          </cell>
          <cell r="CZ190">
            <v>-5.2818000000000005</v>
          </cell>
          <cell r="DA190">
            <v>-5.2818000000000005</v>
          </cell>
          <cell r="DB190">
            <v>-5.2818000000000005</v>
          </cell>
          <cell r="DC190">
            <v>-4.1258999999999997</v>
          </cell>
          <cell r="DD190">
            <v>-5.5516999999999994</v>
          </cell>
          <cell r="DE190">
            <v>-6.9266000000000005</v>
          </cell>
          <cell r="DF190">
            <v>-8.2908999999999988</v>
          </cell>
          <cell r="DG190">
            <v>-9.5660000000000007</v>
          </cell>
          <cell r="DH190">
            <v>-10.8909</v>
          </cell>
          <cell r="DI190">
            <v>-12.4185</v>
          </cell>
          <cell r="DJ190">
            <v>-13.5878</v>
          </cell>
          <cell r="DK190">
            <v>-14.991400000000001</v>
          </cell>
          <cell r="DL190">
            <v>-12.8721</v>
          </cell>
          <cell r="DM190">
            <v>-13.4971</v>
          </cell>
          <cell r="DN190">
            <v>-14.3795</v>
          </cell>
          <cell r="DO190">
            <v>-15.838100000000001</v>
          </cell>
          <cell r="DP190">
            <v>-8.2508999999999997</v>
          </cell>
          <cell r="DQ190">
            <v>-13.8611</v>
          </cell>
          <cell r="DR190">
            <v>-15.8687</v>
          </cell>
          <cell r="DS190">
            <v>-17.860199999999999</v>
          </cell>
          <cell r="DT190">
            <v>-15.998975396825472</v>
          </cell>
          <cell r="DU190">
            <v>-16.469650547345395</v>
          </cell>
          <cell r="DV190">
            <v>-16.940325697865319</v>
          </cell>
          <cell r="DW190">
            <v>-17.411000848385356</v>
          </cell>
        </row>
        <row r="191">
          <cell r="CR191">
            <v>-6.2750000000000004</v>
          </cell>
          <cell r="CS191">
            <v>-6.2628000000000004</v>
          </cell>
          <cell r="CT191">
            <v>-6.2506000000000004</v>
          </cell>
          <cell r="CU191">
            <v>-6.2384000000000004</v>
          </cell>
          <cell r="CV191">
            <v>-6.2262000000000004</v>
          </cell>
          <cell r="CW191">
            <v>-6.2140000000000004</v>
          </cell>
          <cell r="CX191">
            <v>-6.2016</v>
          </cell>
          <cell r="CY191">
            <v>-6.1891999999999996</v>
          </cell>
          <cell r="CZ191">
            <v>-6.1767999999999992</v>
          </cell>
          <cell r="DA191">
            <v>-6.1643999999999988</v>
          </cell>
          <cell r="DB191">
            <v>-6.1520000000000001</v>
          </cell>
          <cell r="DC191">
            <v>-6.1231999999999998</v>
          </cell>
          <cell r="DD191">
            <v>-6.0943999999999994</v>
          </cell>
          <cell r="DE191">
            <v>-6.065599999999999</v>
          </cell>
          <cell r="DF191">
            <v>-6.0367999999999986</v>
          </cell>
          <cell r="DG191">
            <v>-6.008</v>
          </cell>
          <cell r="DH191">
            <v>-5.9992000000000001</v>
          </cell>
          <cell r="DI191">
            <v>-5.9904000000000002</v>
          </cell>
          <cell r="DJ191">
            <v>-5.9816000000000003</v>
          </cell>
          <cell r="DK191">
            <v>-5.9728000000000003</v>
          </cell>
          <cell r="DL191">
            <v>-5.9640000000000004</v>
          </cell>
          <cell r="DM191">
            <v>-5.9341047619047629</v>
          </cell>
          <cell r="DN191">
            <v>-5.9169151515151484</v>
          </cell>
          <cell r="DO191">
            <v>-5.8997255411255409</v>
          </cell>
          <cell r="DP191">
            <v>-5.8825359307359264</v>
          </cell>
          <cell r="DQ191">
            <v>-5.865346320346319</v>
          </cell>
          <cell r="DR191">
            <v>-5.8481567099567116</v>
          </cell>
          <cell r="DS191">
            <v>-5.830967099567097</v>
          </cell>
          <cell r="DT191">
            <v>-5.8137774891774896</v>
          </cell>
          <cell r="DU191">
            <v>-5.7965878787878751</v>
          </cell>
          <cell r="DV191">
            <v>-5.7793982683982605</v>
          </cell>
          <cell r="DW191">
            <v>-5.7622086580086531</v>
          </cell>
        </row>
        <row r="192">
          <cell r="CR192">
            <v>-46.342311771307358</v>
          </cell>
          <cell r="CS192">
            <v>-46.0713074731757</v>
          </cell>
          <cell r="CT192">
            <v>-45.084681123420367</v>
          </cell>
          <cell r="CU192">
            <v>-41.09058615884102</v>
          </cell>
          <cell r="CV192">
            <v>-42.599874622924361</v>
          </cell>
          <cell r="CW192">
            <v>-42.642940730390031</v>
          </cell>
          <cell r="CX192">
            <v>-45.215677136140364</v>
          </cell>
          <cell r="CY192">
            <v>-46.011851430586695</v>
          </cell>
          <cell r="CZ192">
            <v>-46.602833040676032</v>
          </cell>
          <cell r="DA192">
            <v>-46.974676070763699</v>
          </cell>
          <cell r="DB192">
            <v>-48.208345898637695</v>
          </cell>
          <cell r="DC192">
            <v>-49.097452280955679</v>
          </cell>
          <cell r="DD192">
            <v>-48.091791643941022</v>
          </cell>
          <cell r="DE192">
            <v>-45.308462830943014</v>
          </cell>
          <cell r="DF192">
            <v>-42.896854013822349</v>
          </cell>
          <cell r="DG192">
            <v>-43.388226415759021</v>
          </cell>
          <cell r="DH192">
            <v>-50.412338066557695</v>
          </cell>
          <cell r="DI192">
            <v>-48.314887423809687</v>
          </cell>
          <cell r="DJ192">
            <v>-48.047655118023016</v>
          </cell>
          <cell r="DK192">
            <v>-47.924898067774016</v>
          </cell>
          <cell r="DL192">
            <v>-50.295848091565702</v>
          </cell>
          <cell r="DM192">
            <v>-51.1734535477717</v>
          </cell>
          <cell r="DN192">
            <v>-51.256249738932695</v>
          </cell>
          <cell r="DO192">
            <v>-49.458439110854705</v>
          </cell>
          <cell r="DP192">
            <v>-47.927132680913694</v>
          </cell>
          <cell r="DQ192">
            <v>-46.415226770601016</v>
          </cell>
          <cell r="DR192">
            <v>-45.219161421162688</v>
          </cell>
          <cell r="DS192">
            <v>-38.792515109073356</v>
          </cell>
          <cell r="DT192">
            <v>-35.453718209711688</v>
          </cell>
          <cell r="DU192">
            <v>-38.259191908041018</v>
          </cell>
          <cell r="DV192">
            <v>-41.29078503790101</v>
          </cell>
          <cell r="DW192">
            <v>-41.71504904558401</v>
          </cell>
        </row>
        <row r="193">
          <cell r="CR193">
            <v>-1.7711689842664711</v>
          </cell>
          <cell r="CS193">
            <v>-4.8988475127037008</v>
          </cell>
          <cell r="CT193">
            <v>-4.0163014633988663</v>
          </cell>
          <cell r="CU193">
            <v>-4.2825042514579961</v>
          </cell>
          <cell r="CV193">
            <v>-2.9937464606801556</v>
          </cell>
          <cell r="CW193">
            <v>-3.8027071050811934</v>
          </cell>
          <cell r="CX193">
            <v>-5.463538104088058</v>
          </cell>
          <cell r="CY193">
            <v>-3.7670943779394737</v>
          </cell>
          <cell r="CZ193">
            <v>-2.8201032302004956</v>
          </cell>
          <cell r="DA193">
            <v>-2.4142520001550016</v>
          </cell>
          <cell r="DB193">
            <v>5.2574321056679088</v>
          </cell>
          <cell r="DC193">
            <v>-0.84033814387037975</v>
          </cell>
          <cell r="DD193">
            <v>-2.5949454227462452</v>
          </cell>
          <cell r="DE193">
            <v>-2.5589340228775859</v>
          </cell>
          <cell r="DF193">
            <v>-2.6398435688331165</v>
          </cell>
          <cell r="DG193">
            <v>-2.897835261720485</v>
          </cell>
          <cell r="DH193">
            <v>-1.9288889673917582</v>
          </cell>
          <cell r="DI193">
            <v>-0.84242798351927384</v>
          </cell>
          <cell r="DJ193">
            <v>-2.0656806967339754</v>
          </cell>
          <cell r="DK193">
            <v>-3.1660017018259019</v>
          </cell>
          <cell r="DL193">
            <v>-2.8141745786804293</v>
          </cell>
          <cell r="DM193">
            <v>-0.9904226799125001</v>
          </cell>
          <cell r="DN193">
            <v>-2.5234512853835591</v>
          </cell>
          <cell r="DO193">
            <v>-1.7502648686903088</v>
          </cell>
          <cell r="DP193">
            <v>-0.16831219106634387</v>
          </cell>
          <cell r="DQ193">
            <v>-1.9616465960130955</v>
          </cell>
          <cell r="DR193">
            <v>-1.9872947640980261</v>
          </cell>
          <cell r="DS193">
            <v>-1.6929830652149322</v>
          </cell>
          <cell r="DT193">
            <v>-1.094589070433438</v>
          </cell>
          <cell r="DU193">
            <v>-1.773750324624582</v>
          </cell>
          <cell r="DV193">
            <v>-1.4340402892265511</v>
          </cell>
          <cell r="DW193">
            <v>-1.8824873330205352</v>
          </cell>
        </row>
        <row r="194">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0</v>
          </cell>
          <cell r="DM194">
            <v>0</v>
          </cell>
          <cell r="DN194">
            <v>0</v>
          </cell>
          <cell r="DO194">
            <v>0</v>
          </cell>
          <cell r="DP194">
            <v>0</v>
          </cell>
          <cell r="DQ194">
            <v>0</v>
          </cell>
          <cell r="DR194">
            <v>0</v>
          </cell>
          <cell r="DS194">
            <v>0</v>
          </cell>
          <cell r="DT194">
            <v>0</v>
          </cell>
          <cell r="DU194">
            <v>0</v>
          </cell>
          <cell r="DV194">
            <v>0</v>
          </cell>
          <cell r="DW194">
            <v>0</v>
          </cell>
        </row>
        <row r="195">
          <cell r="CR195">
            <v>0</v>
          </cell>
          <cell r="CS195">
            <v>0</v>
          </cell>
          <cell r="CT195">
            <v>0</v>
          </cell>
          <cell r="CU195">
            <v>0</v>
          </cell>
          <cell r="CV195">
            <v>0</v>
          </cell>
          <cell r="CW195">
            <v>0</v>
          </cell>
          <cell r="CX195">
            <v>0</v>
          </cell>
          <cell r="CY195">
            <v>0</v>
          </cell>
          <cell r="CZ195">
            <v>0</v>
          </cell>
          <cell r="DA195">
            <v>0</v>
          </cell>
          <cell r="DB195">
            <v>0</v>
          </cell>
          <cell r="DC195">
            <v>0</v>
          </cell>
          <cell r="DD195">
            <v>0</v>
          </cell>
          <cell r="DE195">
            <v>0</v>
          </cell>
          <cell r="DF195">
            <v>0</v>
          </cell>
          <cell r="DG195">
            <v>0</v>
          </cell>
          <cell r="DH195">
            <v>0</v>
          </cell>
          <cell r="DI195">
            <v>0</v>
          </cell>
          <cell r="DJ195">
            <v>0</v>
          </cell>
          <cell r="DK195">
            <v>0</v>
          </cell>
          <cell r="DL195">
            <v>0</v>
          </cell>
          <cell r="DM195">
            <v>0</v>
          </cell>
          <cell r="DN195">
            <v>0</v>
          </cell>
          <cell r="DO195">
            <v>0</v>
          </cell>
          <cell r="DP195">
            <v>0</v>
          </cell>
          <cell r="DQ195">
            <v>0</v>
          </cell>
          <cell r="DR195">
            <v>0</v>
          </cell>
          <cell r="DS195">
            <v>0</v>
          </cell>
          <cell r="DT195">
            <v>0</v>
          </cell>
          <cell r="DU195">
            <v>0</v>
          </cell>
          <cell r="DV195">
            <v>0</v>
          </cell>
          <cell r="DW195">
            <v>0</v>
          </cell>
        </row>
        <row r="196">
          <cell r="CR196">
            <v>-1.9160000000000001</v>
          </cell>
          <cell r="CS196">
            <v>-1.8960000000000001</v>
          </cell>
          <cell r="CT196">
            <v>-1.889</v>
          </cell>
          <cell r="CU196">
            <v>-1.899</v>
          </cell>
          <cell r="CV196">
            <v>-1.887</v>
          </cell>
          <cell r="CW196">
            <v>-1.877</v>
          </cell>
          <cell r="CX196">
            <v>-1.883</v>
          </cell>
          <cell r="CY196">
            <v>-1.873</v>
          </cell>
          <cell r="CZ196">
            <v>-1.8620000000000001</v>
          </cell>
          <cell r="DA196">
            <v>-1.8540000000000001</v>
          </cell>
          <cell r="DB196">
            <v>-1.877</v>
          </cell>
          <cell r="DC196">
            <v>-1.8820000000000001</v>
          </cell>
          <cell r="DD196">
            <v>-1.9140000000000001</v>
          </cell>
          <cell r="DE196">
            <v>-1.93</v>
          </cell>
          <cell r="DF196">
            <v>-1.4607699999999999</v>
          </cell>
          <cell r="DG196">
            <v>-1.4608099999999999</v>
          </cell>
          <cell r="DH196">
            <v>-1.4919100000000001</v>
          </cell>
          <cell r="DI196">
            <v>-1.49648</v>
          </cell>
          <cell r="DJ196">
            <v>-1.50196</v>
          </cell>
          <cell r="DK196">
            <v>-1.4982500000000001</v>
          </cell>
          <cell r="DL196">
            <v>-1.5121199999999999</v>
          </cell>
          <cell r="DM196">
            <v>-1.53627</v>
          </cell>
          <cell r="DN196">
            <v>-1.5507899999999999</v>
          </cell>
          <cell r="DO196">
            <v>-1.5642799999999999</v>
          </cell>
          <cell r="DP196">
            <v>-1.5769000000000002</v>
          </cell>
          <cell r="DQ196">
            <v>-1.5907500000000001</v>
          </cell>
          <cell r="DR196">
            <v>-1.59832</v>
          </cell>
          <cell r="DS196">
            <v>-1.4503414814814803</v>
          </cell>
          <cell r="DT196">
            <v>-1.4315071164021163</v>
          </cell>
          <cell r="DU196">
            <v>-1.4126727513227522</v>
          </cell>
          <cell r="DV196">
            <v>-1.393838386243381</v>
          </cell>
          <cell r="DW196">
            <v>-1.375004021164024</v>
          </cell>
        </row>
        <row r="197">
          <cell r="CR197">
            <v>177.46299999999999</v>
          </cell>
          <cell r="CS197">
            <v>177.46299999999999</v>
          </cell>
          <cell r="CT197">
            <v>177.46299999999999</v>
          </cell>
          <cell r="CU197">
            <v>177.46299999999999</v>
          </cell>
          <cell r="CV197">
            <v>177.46299999999999</v>
          </cell>
          <cell r="CW197">
            <v>177.46299999999999</v>
          </cell>
          <cell r="CX197">
            <v>178.52249999999998</v>
          </cell>
          <cell r="CY197">
            <v>179.58199999999999</v>
          </cell>
          <cell r="CZ197">
            <v>179.922</v>
          </cell>
          <cell r="DA197">
            <v>180.262</v>
          </cell>
          <cell r="DB197">
            <v>180.60499999999999</v>
          </cell>
          <cell r="DC197">
            <v>181.80799999999999</v>
          </cell>
          <cell r="DD197">
            <v>183.011</v>
          </cell>
          <cell r="DE197">
            <v>182.30753846153846</v>
          </cell>
          <cell r="DF197">
            <v>182.76366483516495</v>
          </cell>
          <cell r="DG197">
            <v>183.21979120879132</v>
          </cell>
          <cell r="DH197">
            <v>183.6759175824177</v>
          </cell>
          <cell r="DI197">
            <v>184.13204395604396</v>
          </cell>
          <cell r="DJ197">
            <v>184.58817032967033</v>
          </cell>
          <cell r="DK197">
            <v>185.04429670329682</v>
          </cell>
          <cell r="DL197">
            <v>185.50042307692308</v>
          </cell>
          <cell r="DM197">
            <v>185.95654945054946</v>
          </cell>
          <cell r="DN197">
            <v>186.41267582417595</v>
          </cell>
          <cell r="DO197">
            <v>186.86880219780232</v>
          </cell>
          <cell r="DP197">
            <v>187.3249285714287</v>
          </cell>
          <cell r="DQ197">
            <v>187.78105494505508</v>
          </cell>
          <cell r="DR197">
            <v>188.23718131868145</v>
          </cell>
          <cell r="DS197">
            <v>188.69330769230794</v>
          </cell>
          <cell r="DT197">
            <v>189.14943406593432</v>
          </cell>
          <cell r="DU197">
            <v>189.60556043956069</v>
          </cell>
          <cell r="DV197">
            <v>190.06168681318707</v>
          </cell>
          <cell r="DW197">
            <v>190.51781318681333</v>
          </cell>
        </row>
        <row r="199">
          <cell r="CR199">
            <v>-0.30299999999999999</v>
          </cell>
          <cell r="CS199">
            <v>-0.30299999999999999</v>
          </cell>
          <cell r="CT199">
            <v>-0.30299999999999999</v>
          </cell>
          <cell r="CU199">
            <v>-0.30299999999999999</v>
          </cell>
          <cell r="CV199">
            <v>-0.30299999999999999</v>
          </cell>
          <cell r="CW199">
            <v>-0.30299999999999999</v>
          </cell>
          <cell r="CX199">
            <v>-0.30299999999999999</v>
          </cell>
          <cell r="CY199">
            <v>-0.30299999999999999</v>
          </cell>
          <cell r="CZ199">
            <v>-0.30299999999999999</v>
          </cell>
          <cell r="DA199">
            <v>-0.30299999999999999</v>
          </cell>
          <cell r="DB199">
            <v>-0.30299999999999999</v>
          </cell>
          <cell r="DC199">
            <v>-0.30299999999999999</v>
          </cell>
          <cell r="DD199">
            <v>-0.30299999999999999</v>
          </cell>
          <cell r="DE199">
            <v>-0.30299999999999999</v>
          </cell>
          <cell r="DF199">
            <v>-0.30299999999999999</v>
          </cell>
          <cell r="DG199">
            <v>-0.30299999999999999</v>
          </cell>
          <cell r="DH199">
            <v>1.1830000000000001</v>
          </cell>
          <cell r="DI199">
            <v>-5.5869999999999997</v>
          </cell>
          <cell r="DJ199">
            <v>-4.5640000000000001</v>
          </cell>
          <cell r="DK199">
            <v>-2.4220000000000002</v>
          </cell>
          <cell r="DL199">
            <v>-0.27900000000000003</v>
          </cell>
          <cell r="DM199">
            <v>-3.43</v>
          </cell>
          <cell r="DN199">
            <v>-2.859</v>
          </cell>
          <cell r="DO199">
            <v>-2.64</v>
          </cell>
          <cell r="DP199">
            <v>1.4390000000000001</v>
          </cell>
          <cell r="DQ199">
            <v>-1.4787300000000001</v>
          </cell>
          <cell r="DR199">
            <v>-2.1402476923076961</v>
          </cell>
          <cell r="DS199">
            <v>-2.2261756410256339</v>
          </cell>
          <cell r="DT199">
            <v>-2.3121035897436002</v>
          </cell>
          <cell r="DU199">
            <v>-2.398031538461538</v>
          </cell>
          <cell r="DV199">
            <v>-2.4839594871794759</v>
          </cell>
          <cell r="DW199">
            <v>-2.5698874358974422</v>
          </cell>
        </row>
        <row r="200">
          <cell r="CR200">
            <v>6.3452700000000002</v>
          </cell>
          <cell r="CS200">
            <v>6.3452700000000002</v>
          </cell>
          <cell r="CT200">
            <v>6.3452700000000002</v>
          </cell>
          <cell r="CU200">
            <v>6.3452700000000002</v>
          </cell>
          <cell r="CV200">
            <v>6.3452700000000002</v>
          </cell>
          <cell r="CW200">
            <v>6.3452700000000002</v>
          </cell>
          <cell r="CX200">
            <v>6.9380139999999999</v>
          </cell>
          <cell r="CY200">
            <v>7.5307579999999996</v>
          </cell>
          <cell r="CZ200">
            <v>8.1235020000000002</v>
          </cell>
          <cell r="DA200">
            <v>8.7162459999999999</v>
          </cell>
          <cell r="DB200">
            <v>9.3089899999999997</v>
          </cell>
          <cell r="DC200">
            <v>9.8569019999999998</v>
          </cell>
          <cell r="DD200">
            <v>10.404814</v>
          </cell>
          <cell r="DE200">
            <v>10.952726</v>
          </cell>
          <cell r="DF200">
            <v>11.500638</v>
          </cell>
          <cell r="DG200">
            <v>12.048549999999999</v>
          </cell>
          <cell r="DH200">
            <v>12.658977999999999</v>
          </cell>
          <cell r="DI200">
            <v>13.269406</v>
          </cell>
          <cell r="DJ200">
            <v>13.879834000000001</v>
          </cell>
          <cell r="DK200">
            <v>14.490262000000001</v>
          </cell>
          <cell r="DL200">
            <v>15.10069</v>
          </cell>
          <cell r="DM200">
            <v>15.911040000000002</v>
          </cell>
          <cell r="DN200">
            <v>16.721390000000003</v>
          </cell>
          <cell r="DO200">
            <v>17.531740000000003</v>
          </cell>
          <cell r="DP200">
            <v>17.844169999999998</v>
          </cell>
          <cell r="DQ200">
            <v>18.342939999999999</v>
          </cell>
          <cell r="DR200">
            <v>17.91112</v>
          </cell>
          <cell r="DS200">
            <v>18.521439999999998</v>
          </cell>
          <cell r="DT200">
            <v>18.1388</v>
          </cell>
          <cell r="DU200">
            <v>19.624876748768429</v>
          </cell>
          <cell r="DV200">
            <v>20.142915497536933</v>
          </cell>
          <cell r="DW200">
            <v>20.660954246305437</v>
          </cell>
        </row>
        <row r="201">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0</v>
          </cell>
          <cell r="DM201">
            <v>0</v>
          </cell>
          <cell r="DN201">
            <v>0</v>
          </cell>
          <cell r="DO201">
            <v>0</v>
          </cell>
          <cell r="DP201">
            <v>0</v>
          </cell>
          <cell r="DQ201">
            <v>0</v>
          </cell>
          <cell r="DR201">
            <v>0</v>
          </cell>
          <cell r="DS201">
            <v>0</v>
          </cell>
          <cell r="DT201">
            <v>0</v>
          </cell>
          <cell r="DU201">
            <v>0</v>
          </cell>
          <cell r="DV201">
            <v>0</v>
          </cell>
          <cell r="DW201">
            <v>0</v>
          </cell>
        </row>
        <row r="202">
          <cell r="CR202">
            <v>-0.30963000000000002</v>
          </cell>
          <cell r="CS202">
            <v>-0.30963000000000002</v>
          </cell>
          <cell r="CT202">
            <v>-0.30963000000000002</v>
          </cell>
          <cell r="CU202">
            <v>-0.30963000000000002</v>
          </cell>
          <cell r="CV202">
            <v>-0.30963000000000002</v>
          </cell>
          <cell r="CW202">
            <v>-0.56307333333333331</v>
          </cell>
          <cell r="CX202">
            <v>-0.81651666666666656</v>
          </cell>
          <cell r="CY202">
            <v>-1.0699599999999998</v>
          </cell>
          <cell r="CZ202">
            <v>-1.323403333333333</v>
          </cell>
          <cell r="DA202">
            <v>-1.5768466666666663</v>
          </cell>
          <cell r="DB202">
            <v>-1.83029</v>
          </cell>
          <cell r="DC202">
            <v>-1.8072366666666666</v>
          </cell>
          <cell r="DD202">
            <v>-1.7841833333333332</v>
          </cell>
          <cell r="DE202">
            <v>-1.7611299999999999</v>
          </cell>
          <cell r="DF202">
            <v>-1.7380766666666665</v>
          </cell>
          <cell r="DG202">
            <v>-1.7150233333333331</v>
          </cell>
          <cell r="DH202">
            <v>-1.69197</v>
          </cell>
          <cell r="DI202">
            <v>-2.2093841911764684</v>
          </cell>
          <cell r="DJ202">
            <v>-2.3292121078431478</v>
          </cell>
          <cell r="DK202">
            <v>-2.4490400245097987</v>
          </cell>
          <cell r="DL202">
            <v>-2.5688679411764497</v>
          </cell>
          <cell r="DM202">
            <v>-2.688695857843129</v>
          </cell>
          <cell r="DN202">
            <v>-2.80852377450978</v>
          </cell>
          <cell r="DO202">
            <v>-2.9283516911764593</v>
          </cell>
          <cell r="DP202">
            <v>-3.0481796078431103</v>
          </cell>
          <cell r="DQ202">
            <v>-3.1680075245097896</v>
          </cell>
          <cell r="DR202">
            <v>-3.2878354411764406</v>
          </cell>
          <cell r="DS202">
            <v>-3.4076633578431483</v>
          </cell>
          <cell r="DT202">
            <v>-3.5274912745097708</v>
          </cell>
          <cell r="DU202">
            <v>-3.6473191911764502</v>
          </cell>
          <cell r="DV202">
            <v>-3.7671471078431011</v>
          </cell>
          <cell r="DW202">
            <v>-3.8869750245097805</v>
          </cell>
        </row>
        <row r="203">
          <cell r="CR203">
            <v>-1.4961520000000001</v>
          </cell>
          <cell r="CS203">
            <v>-1.5394437142857205</v>
          </cell>
          <cell r="CT203">
            <v>-1.582735428571439</v>
          </cell>
          <cell r="CU203">
            <v>-1.6260271428571431</v>
          </cell>
          <cell r="CV203">
            <v>-1.6693188571428619</v>
          </cell>
          <cell r="CW203">
            <v>-1.7126105714285804</v>
          </cell>
          <cell r="CX203">
            <v>-1.755902285714299</v>
          </cell>
          <cell r="CY203">
            <v>-1.7991940000000031</v>
          </cell>
          <cell r="CZ203">
            <v>-1.8424857142857218</v>
          </cell>
          <cell r="DA203">
            <v>-1.8857774285714404</v>
          </cell>
          <cell r="DB203">
            <v>-1.9290691428571445</v>
          </cell>
          <cell r="DC203">
            <v>-1.972360857142863</v>
          </cell>
          <cell r="DD203">
            <v>-2.0156525714285816</v>
          </cell>
          <cell r="DE203">
            <v>-2.0589442857142859</v>
          </cell>
          <cell r="DF203">
            <v>-2.1022360000000044</v>
          </cell>
          <cell r="DG203">
            <v>-2.145527714285723</v>
          </cell>
          <cell r="DH203">
            <v>-2.1888194285714415</v>
          </cell>
          <cell r="DI203">
            <v>-2.2321111428571458</v>
          </cell>
          <cell r="DJ203">
            <v>-2.2754028571428644</v>
          </cell>
          <cell r="DK203">
            <v>-2.3186945714285829</v>
          </cell>
          <cell r="DL203">
            <v>-2.3619862857142873</v>
          </cell>
          <cell r="DM203">
            <v>-2.4052780000000058</v>
          </cell>
          <cell r="DN203">
            <v>-2.4485697142857243</v>
          </cell>
          <cell r="DO203">
            <v>-2.4918614285714282</v>
          </cell>
          <cell r="DP203">
            <v>-2.5351531428571472</v>
          </cell>
          <cell r="DQ203">
            <v>-2.5784448571428658</v>
          </cell>
          <cell r="DR203">
            <v>-2.6217365714285843</v>
          </cell>
          <cell r="DS203">
            <v>-2.6650282857142882</v>
          </cell>
          <cell r="DT203">
            <v>-2.7083200000000001</v>
          </cell>
          <cell r="DU203">
            <v>-2.7516117142857155</v>
          </cell>
          <cell r="DV203">
            <v>-2.7949034285714305</v>
          </cell>
          <cell r="DW203">
            <v>-2.8381951428571455</v>
          </cell>
        </row>
        <row r="204">
          <cell r="CR204">
            <v>-1.7726999999999999</v>
          </cell>
          <cell r="CS204">
            <v>-1.7726999999999999</v>
          </cell>
          <cell r="CT204">
            <v>-1.7726999999999999</v>
          </cell>
          <cell r="CU204">
            <v>-1.7726999999999999</v>
          </cell>
          <cell r="CV204">
            <v>-1.7726999999999999</v>
          </cell>
          <cell r="CW204">
            <v>-1.8342516666666666</v>
          </cell>
          <cell r="CX204">
            <v>-1.8958033333333333</v>
          </cell>
          <cell r="CY204">
            <v>-1.957355</v>
          </cell>
          <cell r="CZ204">
            <v>-2.0189066666666666</v>
          </cell>
          <cell r="DA204">
            <v>-2.0804583333333335</v>
          </cell>
          <cell r="DB204">
            <v>-2.1420100000000004</v>
          </cell>
          <cell r="DC204">
            <v>-3.2200090000000001</v>
          </cell>
          <cell r="DD204">
            <v>-4.2980080000000003</v>
          </cell>
          <cell r="DE204">
            <v>-5.3760070000000004</v>
          </cell>
          <cell r="DF204">
            <v>-6.4540060000000006</v>
          </cell>
          <cell r="DG204">
            <v>-7.5320050000000007</v>
          </cell>
          <cell r="DH204">
            <v>-8.610004</v>
          </cell>
          <cell r="DI204">
            <v>-9.6880030000000001</v>
          </cell>
          <cell r="DJ204">
            <v>-10.766002</v>
          </cell>
          <cell r="DK204">
            <v>-11.844001</v>
          </cell>
          <cell r="DL204">
            <v>-12.922000000000001</v>
          </cell>
          <cell r="DM204">
            <v>-13.132</v>
          </cell>
          <cell r="DN204">
            <v>-13.521000000000001</v>
          </cell>
          <cell r="DO204">
            <v>-14.866</v>
          </cell>
          <cell r="DP204">
            <v>-15.224</v>
          </cell>
          <cell r="DQ204">
            <v>-16.123000000000001</v>
          </cell>
          <cell r="DR204">
            <v>-16.666</v>
          </cell>
          <cell r="DS204">
            <v>-16.754000000000001</v>
          </cell>
          <cell r="DT204">
            <v>-17.001000000000001</v>
          </cell>
          <cell r="DU204">
            <v>-17.033000000000001</v>
          </cell>
          <cell r="DV204">
            <v>-17.257999999999999</v>
          </cell>
          <cell r="DW204">
            <v>-17.254000000000001</v>
          </cell>
        </row>
        <row r="206">
          <cell r="CR206">
            <v>-0.82999599999999996</v>
          </cell>
          <cell r="CS206">
            <v>-0.82999599999999996</v>
          </cell>
          <cell r="CT206">
            <v>-0.82999599999999996</v>
          </cell>
          <cell r="CU206">
            <v>-0.82999599999999996</v>
          </cell>
          <cell r="CV206">
            <v>-0.82999599999999996</v>
          </cell>
          <cell r="CW206">
            <v>-0.82999599999999996</v>
          </cell>
          <cell r="CX206">
            <v>-0.82999599999999996</v>
          </cell>
          <cell r="CY206">
            <v>-0.82999599999999996</v>
          </cell>
          <cell r="CZ206">
            <v>-0.82999599999999996</v>
          </cell>
          <cell r="DA206">
            <v>-0.82999599999999996</v>
          </cell>
          <cell r="DB206">
            <v>-0.82999599999999996</v>
          </cell>
          <cell r="DC206">
            <v>-0.82999599999999996</v>
          </cell>
          <cell r="DD206">
            <v>-0.82999599999999996</v>
          </cell>
          <cell r="DE206">
            <v>-0.82999599999999996</v>
          </cell>
          <cell r="DF206">
            <v>-0.82999599999999996</v>
          </cell>
          <cell r="DG206">
            <v>-0.82999599999999962</v>
          </cell>
          <cell r="DH206">
            <v>-0.82999599999999951</v>
          </cell>
          <cell r="DI206">
            <v>-0.82999599999999951</v>
          </cell>
          <cell r="DJ206">
            <v>-0.8299959999999994</v>
          </cell>
          <cell r="DK206">
            <v>-0.82999599999999929</v>
          </cell>
          <cell r="DL206">
            <v>-0.82999599999999918</v>
          </cell>
          <cell r="DM206">
            <v>-0.82999599999999907</v>
          </cell>
          <cell r="DN206">
            <v>-0.82999599999999896</v>
          </cell>
          <cell r="DO206">
            <v>-0.82999599999999873</v>
          </cell>
          <cell r="DP206">
            <v>-0.82999599999999851</v>
          </cell>
          <cell r="DQ206">
            <v>-0.8299959999999984</v>
          </cell>
          <cell r="DR206">
            <v>-0.82999599999999829</v>
          </cell>
          <cell r="DS206">
            <v>-0.82999599999999829</v>
          </cell>
          <cell r="DT206">
            <v>-0.82999599999999796</v>
          </cell>
          <cell r="DU206">
            <v>-0.82999599999999796</v>
          </cell>
          <cell r="DV206">
            <v>-0.82999599999999785</v>
          </cell>
          <cell r="DW206">
            <v>-0.82999599999999762</v>
          </cell>
        </row>
        <row r="207">
          <cell r="CR207">
            <v>0</v>
          </cell>
          <cell r="CS207">
            <v>0</v>
          </cell>
          <cell r="CT207">
            <v>0</v>
          </cell>
          <cell r="CU207">
            <v>0</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0</v>
          </cell>
          <cell r="DM207">
            <v>0</v>
          </cell>
          <cell r="DN207">
            <v>0</v>
          </cell>
          <cell r="DO207">
            <v>0</v>
          </cell>
          <cell r="DP207">
            <v>0</v>
          </cell>
          <cell r="DQ207">
            <v>0</v>
          </cell>
          <cell r="DR207">
            <v>0</v>
          </cell>
          <cell r="DS207">
            <v>0</v>
          </cell>
          <cell r="DT207">
            <v>0</v>
          </cell>
          <cell r="DU207">
            <v>0</v>
          </cell>
          <cell r="DV207">
            <v>0</v>
          </cell>
          <cell r="DW207">
            <v>0</v>
          </cell>
        </row>
        <row r="208">
          <cell r="CR208">
            <v>-3.3399999999999999E-5</v>
          </cell>
          <cell r="CS208">
            <v>-3.3399999999999999E-5</v>
          </cell>
          <cell r="CT208">
            <v>-3.3399999999999999E-5</v>
          </cell>
          <cell r="CU208">
            <v>-3.3399999999999999E-5</v>
          </cell>
          <cell r="CV208">
            <v>-3.3399999999999999E-5</v>
          </cell>
          <cell r="CW208">
            <v>-3.3399999999999999E-5</v>
          </cell>
          <cell r="CX208">
            <v>-3.3399999999999999E-5</v>
          </cell>
          <cell r="CY208">
            <v>-3.3399999999999999E-5</v>
          </cell>
          <cell r="CZ208">
            <v>-3.3399999999999999E-5</v>
          </cell>
          <cell r="DA208">
            <v>-3.3399999999999999E-5</v>
          </cell>
          <cell r="DB208">
            <v>-3.3399999999999999E-5</v>
          </cell>
          <cell r="DC208">
            <v>-3.3399999999999999E-5</v>
          </cell>
          <cell r="DD208">
            <v>-3.3399999999999999E-5</v>
          </cell>
          <cell r="DE208">
            <v>-3.3399999999999999E-5</v>
          </cell>
          <cell r="DF208">
            <v>-3.3399999999999999E-5</v>
          </cell>
          <cell r="DG208">
            <v>-3.3399999999999999E-5</v>
          </cell>
          <cell r="DH208">
            <v>-3.3399999999999999E-5</v>
          </cell>
          <cell r="DI208">
            <v>-3.3399999999999999E-5</v>
          </cell>
          <cell r="DJ208">
            <v>-3.3399999999999999E-5</v>
          </cell>
          <cell r="DK208">
            <v>-3.3399999999999999E-5</v>
          </cell>
          <cell r="DL208">
            <v>-3.3399999999999999E-5</v>
          </cell>
          <cell r="DM208">
            <v>-3.3399999999999999E-5</v>
          </cell>
          <cell r="DN208">
            <v>-3.3399999999999999E-5</v>
          </cell>
          <cell r="DO208">
            <v>-3.3399999999999999E-5</v>
          </cell>
          <cell r="DP208">
            <v>-3.3399999999999999E-5</v>
          </cell>
          <cell r="DQ208">
            <v>-3.3400000000000019E-5</v>
          </cell>
          <cell r="DR208">
            <v>-3.3400000000000026E-5</v>
          </cell>
          <cell r="DS208">
            <v>-3.3400000000000019E-5</v>
          </cell>
          <cell r="DT208">
            <v>-3.3400000000000026E-5</v>
          </cell>
          <cell r="DU208">
            <v>-3.3400000000000033E-5</v>
          </cell>
          <cell r="DV208">
            <v>-3.3400000000000039E-5</v>
          </cell>
          <cell r="DW208">
            <v>-3.3400000000000039E-5</v>
          </cell>
        </row>
        <row r="209">
          <cell r="CR209">
            <v>15.022</v>
          </cell>
          <cell r="CS209">
            <v>15.022</v>
          </cell>
          <cell r="CT209">
            <v>15.022</v>
          </cell>
          <cell r="CU209">
            <v>15.022</v>
          </cell>
          <cell r="CV209">
            <v>15.022</v>
          </cell>
          <cell r="CW209">
            <v>15.022</v>
          </cell>
          <cell r="CX209">
            <v>15.9542</v>
          </cell>
          <cell r="CY209">
            <v>16.886400000000002</v>
          </cell>
          <cell r="CZ209">
            <v>17.818600000000004</v>
          </cell>
          <cell r="DA209">
            <v>18.750800000000005</v>
          </cell>
          <cell r="DB209">
            <v>19.683</v>
          </cell>
          <cell r="DC209">
            <v>21.676400000000001</v>
          </cell>
          <cell r="DD209">
            <v>23.669800000000002</v>
          </cell>
          <cell r="DE209">
            <v>25.663200000000003</v>
          </cell>
          <cell r="DF209">
            <v>27.656600000000005</v>
          </cell>
          <cell r="DG209">
            <v>29.65</v>
          </cell>
          <cell r="DH209">
            <v>32.406399999999998</v>
          </cell>
          <cell r="DI209">
            <v>35.162799999999997</v>
          </cell>
          <cell r="DJ209">
            <v>37.919199999999996</v>
          </cell>
          <cell r="DK209">
            <v>40.675599999999996</v>
          </cell>
          <cell r="DL209">
            <v>43.432000000000002</v>
          </cell>
          <cell r="DM209">
            <v>45.357800000000005</v>
          </cell>
          <cell r="DN209">
            <v>47.283600000000007</v>
          </cell>
          <cell r="DO209">
            <v>49.209400000000009</v>
          </cell>
          <cell r="DP209">
            <v>51.135200000000012</v>
          </cell>
          <cell r="DQ209">
            <v>53.061</v>
          </cell>
          <cell r="DR209">
            <v>54.765500000000003</v>
          </cell>
          <cell r="DS209">
            <v>56.47</v>
          </cell>
          <cell r="DT209">
            <v>55.657829365079579</v>
          </cell>
          <cell r="DU209">
            <v>57.391818828681153</v>
          </cell>
          <cell r="DV209">
            <v>59.125808292282272</v>
          </cell>
          <cell r="DW209">
            <v>60.859797755883847</v>
          </cell>
        </row>
        <row r="214">
          <cell r="CR214">
            <v>-7.5321999999999996</v>
          </cell>
          <cell r="CS214">
            <v>-7.6954999999999991</v>
          </cell>
          <cell r="CT214">
            <v>-7.8587999999999987</v>
          </cell>
          <cell r="CU214">
            <v>-8.0220999999999982</v>
          </cell>
          <cell r="CV214">
            <v>-8.1853999999999996</v>
          </cell>
          <cell r="CW214">
            <v>-9.3238000000000003</v>
          </cell>
          <cell r="CX214">
            <v>-10.462200000000001</v>
          </cell>
          <cell r="CY214">
            <v>-11.600600000000002</v>
          </cell>
          <cell r="CZ214">
            <v>-12.739000000000001</v>
          </cell>
          <cell r="DA214">
            <v>-14.873700000000001</v>
          </cell>
          <cell r="DB214">
            <v>-17.008400000000002</v>
          </cell>
          <cell r="DC214">
            <v>-17.463850000000001</v>
          </cell>
          <cell r="DD214">
            <v>-17.9193</v>
          </cell>
          <cell r="DE214">
            <v>-17.3599</v>
          </cell>
          <cell r="DF214">
            <v>-16.8005</v>
          </cell>
          <cell r="DG214">
            <v>-15.965350000000001</v>
          </cell>
          <cell r="DH214">
            <v>-15.1302</v>
          </cell>
          <cell r="DI214">
            <v>-14.032299999999999</v>
          </cell>
          <cell r="DJ214">
            <v>-12.9344</v>
          </cell>
          <cell r="DK214">
            <v>-12.1632</v>
          </cell>
          <cell r="DL214">
            <v>-11.391999999999999</v>
          </cell>
          <cell r="DM214">
            <v>-14.744149999999999</v>
          </cell>
          <cell r="DN214">
            <v>-18.096299999999999</v>
          </cell>
          <cell r="DO214">
            <v>-16.4038</v>
          </cell>
          <cell r="DP214">
            <v>-14.7113</v>
          </cell>
          <cell r="DQ214">
            <v>-14.239850000000001</v>
          </cell>
          <cell r="DR214">
            <v>-13.7684</v>
          </cell>
          <cell r="DS214">
            <v>-12.554500000000001</v>
          </cell>
          <cell r="DT214">
            <v>-10.321299999999999</v>
          </cell>
          <cell r="DU214">
            <v>-11.465999999999999</v>
          </cell>
          <cell r="DV214">
            <v>-9.6712999999999987</v>
          </cell>
          <cell r="DW214">
            <v>-15.063695483870958</v>
          </cell>
        </row>
        <row r="215">
          <cell r="CR215">
            <v>-14.1</v>
          </cell>
          <cell r="CS215">
            <v>-13.33</v>
          </cell>
          <cell r="CT215">
            <v>-12.56</v>
          </cell>
          <cell r="CU215">
            <v>-11.790000000000001</v>
          </cell>
          <cell r="CV215">
            <v>-11.020000000000001</v>
          </cell>
          <cell r="CW215">
            <v>-10.250000000000002</v>
          </cell>
          <cell r="CX215">
            <v>-9.4800000000000022</v>
          </cell>
          <cell r="CY215">
            <v>-8.7100000000000026</v>
          </cell>
          <cell r="CZ215">
            <v>-7.9400000000000031</v>
          </cell>
          <cell r="DA215">
            <v>-7.1700000000000035</v>
          </cell>
          <cell r="DB215">
            <v>-6.4</v>
          </cell>
          <cell r="DC215">
            <v>-7.1222222222222227</v>
          </cell>
          <cell r="DD215">
            <v>-7.844444444444445</v>
          </cell>
          <cell r="DE215">
            <v>-8.5666666666666664</v>
          </cell>
          <cell r="DF215">
            <v>-9.2888888888888879</v>
          </cell>
          <cell r="DG215">
            <v>-10.011111111111109</v>
          </cell>
          <cell r="DH215">
            <v>-10.733333333333331</v>
          </cell>
          <cell r="DI215">
            <v>-11.455555555555552</v>
          </cell>
          <cell r="DJ215">
            <v>-12.177777777777774</v>
          </cell>
          <cell r="DK215">
            <v>-12.899999999999995</v>
          </cell>
          <cell r="DL215">
            <v>-12.9</v>
          </cell>
          <cell r="DM215">
            <v>-13.3</v>
          </cell>
          <cell r="DN215">
            <v>-12.9</v>
          </cell>
          <cell r="DO215">
            <v>-11.3</v>
          </cell>
          <cell r="DP215">
            <v>-13</v>
          </cell>
          <cell r="DQ215">
            <v>-12.2</v>
          </cell>
          <cell r="DR215">
            <v>-10.5</v>
          </cell>
          <cell r="DS215">
            <v>-8.6</v>
          </cell>
          <cell r="DT215">
            <v>-11.104232804232808</v>
          </cell>
          <cell r="DU215">
            <v>-11.137160189746396</v>
          </cell>
          <cell r="DV215">
            <v>-11.170087575260006</v>
          </cell>
          <cell r="DW215">
            <v>-11.203014960773586</v>
          </cell>
        </row>
        <row r="216">
          <cell r="CR216">
            <v>-1.1534E-3</v>
          </cell>
          <cell r="CS216">
            <v>-1.1534E-3</v>
          </cell>
          <cell r="CT216">
            <v>-1.1534E-3</v>
          </cell>
          <cell r="CU216">
            <v>-1.1534E-3</v>
          </cell>
          <cell r="CV216">
            <v>-1.1534E-3</v>
          </cell>
          <cell r="CW216">
            <v>-1.3198215000000002</v>
          </cell>
          <cell r="CX216">
            <v>-2.6384896000000007</v>
          </cell>
          <cell r="CY216">
            <v>-3.9571577000000007</v>
          </cell>
          <cell r="CZ216">
            <v>-5.2758258000000007</v>
          </cell>
          <cell r="DA216">
            <v>-6.5944939000000007</v>
          </cell>
          <cell r="DB216">
            <v>-7.9131620000000007</v>
          </cell>
          <cell r="DC216">
            <v>-7.9126670000000008</v>
          </cell>
          <cell r="DD216">
            <v>-7.9121720000000009</v>
          </cell>
          <cell r="DE216">
            <v>-7.911677000000001</v>
          </cell>
          <cell r="DF216">
            <v>-7.911182000000001</v>
          </cell>
          <cell r="DG216">
            <v>-7.9106870000000002</v>
          </cell>
          <cell r="DH216">
            <v>-7.4659434999999998</v>
          </cell>
          <cell r="DI216">
            <v>-7.0211999999999994</v>
          </cell>
          <cell r="DJ216">
            <v>-7.0211999999999994</v>
          </cell>
          <cell r="DK216">
            <v>-7.0211999999999994</v>
          </cell>
          <cell r="DL216">
            <v>-6.9737</v>
          </cell>
          <cell r="DM216">
            <v>-6.9737</v>
          </cell>
          <cell r="DN216">
            <v>-6.9737</v>
          </cell>
          <cell r="DO216">
            <v>-6.9737</v>
          </cell>
          <cell r="DP216">
            <v>-6.9737</v>
          </cell>
          <cell r="DQ216">
            <v>-6.9737</v>
          </cell>
          <cell r="DR216">
            <v>-9.5831700507692403</v>
          </cell>
          <cell r="DS216">
            <v>-9.9009124305982823</v>
          </cell>
          <cell r="DT216">
            <v>-10.218654810427324</v>
          </cell>
          <cell r="DU216">
            <v>-10.536397190256366</v>
          </cell>
          <cell r="DV216">
            <v>-10.854139570085522</v>
          </cell>
          <cell r="DW216">
            <v>-11.171881949914564</v>
          </cell>
        </row>
        <row r="217">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v>0</v>
          </cell>
          <cell r="DU217">
            <v>0</v>
          </cell>
          <cell r="DV217">
            <v>0</v>
          </cell>
          <cell r="DW217">
            <v>0</v>
          </cell>
        </row>
        <row r="218">
          <cell r="CR218">
            <v>-14.29</v>
          </cell>
          <cell r="CS218">
            <v>-14.29</v>
          </cell>
          <cell r="CT218">
            <v>-14.29</v>
          </cell>
          <cell r="CU218">
            <v>-14.29</v>
          </cell>
          <cell r="CV218">
            <v>-14.29</v>
          </cell>
          <cell r="CW218">
            <v>-14.29</v>
          </cell>
          <cell r="CX218">
            <v>-14.29</v>
          </cell>
          <cell r="CY218">
            <v>-14.29</v>
          </cell>
          <cell r="CZ218">
            <v>-14.29</v>
          </cell>
          <cell r="DA218">
            <v>-14.29</v>
          </cell>
          <cell r="DB218">
            <v>-15.739909090909091</v>
          </cell>
          <cell r="DC218">
            <v>-17.189818181818183</v>
          </cell>
          <cell r="DD218">
            <v>-18.639727272727274</v>
          </cell>
          <cell r="DE218">
            <v>-20.089636363636366</v>
          </cell>
          <cell r="DF218">
            <v>-21.539545454545458</v>
          </cell>
          <cell r="DG218">
            <v>-22.989454545454549</v>
          </cell>
          <cell r="DH218">
            <v>-24.439363636363641</v>
          </cell>
          <cell r="DI218">
            <v>-25.889272727272733</v>
          </cell>
          <cell r="DJ218">
            <v>-27.339181818181824</v>
          </cell>
          <cell r="DK218">
            <v>-28.789090909090916</v>
          </cell>
          <cell r="DL218">
            <v>-30.239000000000001</v>
          </cell>
          <cell r="DM218">
            <v>-27.960571428571257</v>
          </cell>
          <cell r="DN218">
            <v>-28.789090909091101</v>
          </cell>
          <cell r="DO218">
            <v>-29.617610389610491</v>
          </cell>
          <cell r="DP218">
            <v>-30.44612987012988</v>
          </cell>
          <cell r="DQ218">
            <v>-31.274649350649497</v>
          </cell>
          <cell r="DR218">
            <v>-32.103168831168887</v>
          </cell>
          <cell r="DS218">
            <v>-32.931688311688504</v>
          </cell>
          <cell r="DT218">
            <v>-33.760207792207893</v>
          </cell>
          <cell r="DU218">
            <v>-34.588727272727283</v>
          </cell>
          <cell r="DV218">
            <v>-35.417246753246673</v>
          </cell>
          <cell r="DW218">
            <v>-36.24576623376629</v>
          </cell>
        </row>
        <row r="219">
          <cell r="DQ219">
            <v>-37.540179999999999</v>
          </cell>
        </row>
        <row r="220">
          <cell r="CR220">
            <v>0</v>
          </cell>
          <cell r="CS220">
            <v>0</v>
          </cell>
          <cell r="CT220">
            <v>0</v>
          </cell>
          <cell r="CU220">
            <v>0</v>
          </cell>
          <cell r="CV220">
            <v>0</v>
          </cell>
          <cell r="CW220">
            <v>0</v>
          </cell>
          <cell r="CX220">
            <v>0</v>
          </cell>
          <cell r="CY220">
            <v>0</v>
          </cell>
          <cell r="CZ220">
            <v>0</v>
          </cell>
          <cell r="DA220">
            <v>0</v>
          </cell>
          <cell r="DB220">
            <v>0</v>
          </cell>
          <cell r="DC220">
            <v>0</v>
          </cell>
          <cell r="DD220">
            <v>0</v>
          </cell>
          <cell r="DE220">
            <v>0</v>
          </cell>
          <cell r="DF220">
            <v>0</v>
          </cell>
          <cell r="DG220">
            <v>0</v>
          </cell>
          <cell r="DH220">
            <v>0</v>
          </cell>
          <cell r="DI220">
            <v>0</v>
          </cell>
          <cell r="DJ220">
            <v>0</v>
          </cell>
          <cell r="DK220">
            <v>0</v>
          </cell>
          <cell r="DL220">
            <v>0</v>
          </cell>
          <cell r="DM220">
            <v>0</v>
          </cell>
          <cell r="DN220">
            <v>0</v>
          </cell>
          <cell r="DO220">
            <v>0</v>
          </cell>
          <cell r="DP220">
            <v>0</v>
          </cell>
          <cell r="DQ220">
            <v>0</v>
          </cell>
          <cell r="DR220">
            <v>0</v>
          </cell>
          <cell r="DS220">
            <v>0</v>
          </cell>
          <cell r="DT220">
            <v>0</v>
          </cell>
          <cell r="DU220">
            <v>0</v>
          </cell>
          <cell r="DV220">
            <v>0</v>
          </cell>
          <cell r="DW220">
            <v>0</v>
          </cell>
        </row>
        <row r="221">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Q221">
            <v>0</v>
          </cell>
          <cell r="DR221">
            <v>0</v>
          </cell>
          <cell r="DS221">
            <v>0</v>
          </cell>
          <cell r="DT221">
            <v>0</v>
          </cell>
          <cell r="DU221">
            <v>0</v>
          </cell>
          <cell r="DV221">
            <v>0</v>
          </cell>
          <cell r="DW221">
            <v>0</v>
          </cell>
        </row>
        <row r="222">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0</v>
          </cell>
          <cell r="DM222">
            <v>0</v>
          </cell>
          <cell r="DN222">
            <v>0</v>
          </cell>
          <cell r="DO222">
            <v>0</v>
          </cell>
          <cell r="DP222">
            <v>0</v>
          </cell>
          <cell r="DQ222">
            <v>0</v>
          </cell>
          <cell r="DR222">
            <v>0</v>
          </cell>
          <cell r="DS222">
            <v>0</v>
          </cell>
          <cell r="DT222">
            <v>0</v>
          </cell>
          <cell r="DU222">
            <v>0</v>
          </cell>
          <cell r="DV222">
            <v>0</v>
          </cell>
          <cell r="DW222">
            <v>0</v>
          </cell>
        </row>
        <row r="223">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v>0</v>
          </cell>
          <cell r="DU223">
            <v>0</v>
          </cell>
          <cell r="DV223">
            <v>0</v>
          </cell>
          <cell r="DW223">
            <v>0</v>
          </cell>
        </row>
        <row r="224">
          <cell r="CR224">
            <v>-9.670179000000001</v>
          </cell>
          <cell r="CS224">
            <v>-9.670179000000001</v>
          </cell>
          <cell r="CT224">
            <v>-9.670179000000001</v>
          </cell>
          <cell r="CU224">
            <v>-9.670179000000001</v>
          </cell>
          <cell r="CV224">
            <v>-9.670179000000001</v>
          </cell>
          <cell r="CW224">
            <v>-9.670179000000001</v>
          </cell>
          <cell r="CX224">
            <v>-8.0364072000000011</v>
          </cell>
          <cell r="CY224">
            <v>-6.4026354000000012</v>
          </cell>
          <cell r="CZ224">
            <v>-4.7688636000000013</v>
          </cell>
          <cell r="DA224">
            <v>-3.135091800000001</v>
          </cell>
          <cell r="DB224">
            <v>-1.50132</v>
          </cell>
          <cell r="DC224">
            <v>-1.5398879999999999</v>
          </cell>
          <cell r="DD224">
            <v>-1.5784559999999999</v>
          </cell>
          <cell r="DE224">
            <v>-1.6170239999999998</v>
          </cell>
          <cell r="DF224">
            <v>-1.6555919999999997</v>
          </cell>
          <cell r="DG224">
            <v>-1.6941599999999997</v>
          </cell>
          <cell r="DH224">
            <v>-1.7327279999999996</v>
          </cell>
          <cell r="DI224">
            <v>-1.7712959999999995</v>
          </cell>
          <cell r="DJ224">
            <v>-1.8098639999999995</v>
          </cell>
          <cell r="DK224">
            <v>-1.8484319999999994</v>
          </cell>
          <cell r="DL224">
            <v>-1.887</v>
          </cell>
          <cell r="DM224">
            <v>-1.7135</v>
          </cell>
          <cell r="DN224">
            <v>-1.54</v>
          </cell>
          <cell r="DO224">
            <v>1.0880522964426973</v>
          </cell>
          <cell r="DP224">
            <v>1.5492064081026911</v>
          </cell>
          <cell r="DQ224">
            <v>2.0103605197627985</v>
          </cell>
          <cell r="DR224">
            <v>2.4715146314227923</v>
          </cell>
          <cell r="DS224">
            <v>2.9326687430828997</v>
          </cell>
          <cell r="DT224">
            <v>3.3938228547430072</v>
          </cell>
          <cell r="DU224">
            <v>3.8549769664031146</v>
          </cell>
          <cell r="DV224">
            <v>4.316131078063222</v>
          </cell>
          <cell r="DW224">
            <v>4.7772851897232158</v>
          </cell>
        </row>
        <row r="225">
          <cell r="CR225">
            <v>-69.007000000000005</v>
          </cell>
          <cell r="CS225">
            <v>-69.007000000000005</v>
          </cell>
          <cell r="CT225">
            <v>-69.007000000000005</v>
          </cell>
          <cell r="CU225">
            <v>-69.007000000000005</v>
          </cell>
          <cell r="CV225">
            <v>-69.007000000000005</v>
          </cell>
          <cell r="CW225">
            <v>-66.247716666666676</v>
          </cell>
          <cell r="CX225">
            <v>-63.48843333333334</v>
          </cell>
          <cell r="CY225">
            <v>-60.729150000000004</v>
          </cell>
          <cell r="CZ225">
            <v>-57.969866666666668</v>
          </cell>
          <cell r="DA225">
            <v>-55.210583333333332</v>
          </cell>
          <cell r="DB225">
            <v>-52.451300000000003</v>
          </cell>
          <cell r="DC225">
            <v>-51.336280000000002</v>
          </cell>
          <cell r="DD225">
            <v>-50.221260000000001</v>
          </cell>
          <cell r="DE225">
            <v>-49.10624</v>
          </cell>
          <cell r="DF225">
            <v>-47.991219999999998</v>
          </cell>
          <cell r="DG225">
            <v>-46.876199999999997</v>
          </cell>
          <cell r="DH225">
            <v>-44.528599999999997</v>
          </cell>
          <cell r="DI225">
            <v>-42.180999999999997</v>
          </cell>
          <cell r="DJ225">
            <v>-39.833399999999997</v>
          </cell>
          <cell r="DK225">
            <v>-37.485799999999998</v>
          </cell>
          <cell r="DL225">
            <v>-35.138199999999998</v>
          </cell>
          <cell r="DM225">
            <v>-38.514099999999999</v>
          </cell>
          <cell r="DN225">
            <v>-37.418099999999995</v>
          </cell>
          <cell r="DO225">
            <v>-36.292999999999999</v>
          </cell>
          <cell r="DP225">
            <v>-35.137699999999995</v>
          </cell>
          <cell r="DQ225">
            <v>-33.951099999999997</v>
          </cell>
          <cell r="DR225">
            <v>-33.659300000000002</v>
          </cell>
          <cell r="DS225">
            <v>-28.163439743589606</v>
          </cell>
          <cell r="DT225">
            <v>-26.575104619454578</v>
          </cell>
          <cell r="DU225">
            <v>-24.98676949531955</v>
          </cell>
          <cell r="DV225">
            <v>-23.398434371184067</v>
          </cell>
          <cell r="DW225">
            <v>-21.810099247049493</v>
          </cell>
        </row>
        <row r="226">
          <cell r="CR226">
            <v>-39.479699999999994</v>
          </cell>
          <cell r="CS226">
            <v>-39.479699999999994</v>
          </cell>
          <cell r="CT226">
            <v>-39.479699999999994</v>
          </cell>
          <cell r="CU226">
            <v>-39.479699999999994</v>
          </cell>
          <cell r="CV226">
            <v>-39.479699999999994</v>
          </cell>
          <cell r="CW226">
            <v>-39.479699999999994</v>
          </cell>
          <cell r="CX226">
            <v>-38.596439999999994</v>
          </cell>
          <cell r="CY226">
            <v>-37.713179999999994</v>
          </cell>
          <cell r="CZ226">
            <v>-36.829919999999994</v>
          </cell>
          <cell r="DA226">
            <v>-35.946659999999994</v>
          </cell>
          <cell r="DB226">
            <v>-35.063400000000001</v>
          </cell>
          <cell r="DC226">
            <v>-35.102600000000002</v>
          </cell>
          <cell r="DD226">
            <v>-35.141800000000003</v>
          </cell>
          <cell r="DE226">
            <v>-35.181000000000004</v>
          </cell>
          <cell r="DF226">
            <v>-35.220200000000006</v>
          </cell>
          <cell r="DG226">
            <v>-35.259400000000007</v>
          </cell>
          <cell r="DH226">
            <v>-35.2986</v>
          </cell>
          <cell r="DI226">
            <v>-32.173850000000002</v>
          </cell>
          <cell r="DJ226">
            <v>-29.049100000000003</v>
          </cell>
          <cell r="DK226">
            <v>-25.924350000000004</v>
          </cell>
          <cell r="DL226">
            <v>-22.799599999999998</v>
          </cell>
          <cell r="DM226">
            <v>-22.17792857142857</v>
          </cell>
          <cell r="DN226">
            <v>-21.556257142857142</v>
          </cell>
          <cell r="DO226">
            <v>-20.934585714285713</v>
          </cell>
          <cell r="DP226">
            <v>-20.312914285714285</v>
          </cell>
          <cell r="DQ226">
            <v>-19.691242857142857</v>
          </cell>
          <cell r="DR226">
            <v>-19.069571428571429</v>
          </cell>
          <cell r="DS226">
            <v>-18.447900000000001</v>
          </cell>
          <cell r="DT226">
            <v>-18.751846825396797</v>
          </cell>
          <cell r="DU226">
            <v>-17.866829611384901</v>
          </cell>
          <cell r="DV226">
            <v>-16.981812397372778</v>
          </cell>
          <cell r="DW226">
            <v>-16.096795183360655</v>
          </cell>
        </row>
      </sheetData>
      <sheetData sheetId="84">
        <row r="229">
          <cell r="DW229">
            <v>-4157.6907401159478</v>
          </cell>
        </row>
      </sheetData>
      <sheetData sheetId="85"/>
      <sheetData sheetId="86"/>
      <sheetData sheetId="87"/>
      <sheetData sheetId="88"/>
      <sheetData sheetId="89"/>
      <sheetData sheetId="90"/>
      <sheetData sheetId="91">
        <row r="3">
          <cell r="AF3">
            <v>5</v>
          </cell>
          <cell r="AG3">
            <v>0.33077209178141298</v>
          </cell>
          <cell r="AI3">
            <v>1.1582366039354461</v>
          </cell>
          <cell r="AJ3">
            <v>1.2622551296094515</v>
          </cell>
          <cell r="AK3">
            <v>1.330772091781413</v>
          </cell>
        </row>
        <row r="4">
          <cell r="AF4">
            <v>1</v>
          </cell>
          <cell r="AG4">
            <v>-5.7824768822972716E-3</v>
          </cell>
          <cell r="AI4">
            <v>0.99248027147057527</v>
          </cell>
          <cell r="AJ4">
            <v>1.0178430959518039</v>
          </cell>
          <cell r="AK4">
            <v>0.99421752311770273</v>
          </cell>
        </row>
        <row r="5">
          <cell r="AF5">
            <v>12</v>
          </cell>
          <cell r="AG5">
            <v>9.1045630411221046E-2</v>
          </cell>
          <cell r="AI5">
            <v>1.0404393103151259</v>
          </cell>
          <cell r="AJ5">
            <v>1.0626383040230822</v>
          </cell>
          <cell r="AK5">
            <v>1.091045630411221</v>
          </cell>
        </row>
        <row r="6">
          <cell r="AF6">
            <v>20</v>
          </cell>
          <cell r="AG6">
            <v>0.22787153972279328</v>
          </cell>
          <cell r="AI6">
            <v>1.0824741421980071</v>
          </cell>
          <cell r="AJ6">
            <v>1.1915721398406152</v>
          </cell>
          <cell r="AK6">
            <v>1.2278715397227933</v>
          </cell>
        </row>
        <row r="7">
          <cell r="AF7">
            <v>9</v>
          </cell>
          <cell r="AG7">
            <v>0.5193098490549537</v>
          </cell>
          <cell r="AI7">
            <v>1.1438013046699451</v>
          </cell>
          <cell r="AJ7">
            <v>1.31030673747851</v>
          </cell>
          <cell r="AK7">
            <v>1.5193098490549537</v>
          </cell>
        </row>
        <row r="8">
          <cell r="AF8">
            <v>18</v>
          </cell>
          <cell r="AG8">
            <v>0.57791847756456516</v>
          </cell>
          <cell r="AI8">
            <v>1.1676625643135343</v>
          </cell>
          <cell r="AJ8">
            <v>1.3747978760376751</v>
          </cell>
          <cell r="AK8">
            <v>1.5779184775645652</v>
          </cell>
        </row>
        <row r="9">
          <cell r="AF9">
            <v>22</v>
          </cell>
          <cell r="AG9">
            <v>0.61629696619490715</v>
          </cell>
          <cell r="AI9">
            <v>1.2142724852214231</v>
          </cell>
          <cell r="AJ9">
            <v>1.4345038983945879</v>
          </cell>
          <cell r="AK9">
            <v>1.6162969661949071</v>
          </cell>
        </row>
        <row r="10">
          <cell r="AF10">
            <v>23</v>
          </cell>
          <cell r="AG10">
            <v>-0.13196176730065079</v>
          </cell>
          <cell r="AI10">
            <v>0.93639112246277956</v>
          </cell>
          <cell r="AJ10">
            <v>0.88743437802211445</v>
          </cell>
          <cell r="AK10">
            <v>0.86803823269934921</v>
          </cell>
        </row>
        <row r="11">
          <cell r="AF11">
            <v>19</v>
          </cell>
          <cell r="AG11">
            <v>0.15192854982599724</v>
          </cell>
          <cell r="AI11">
            <v>1.0683449933413014</v>
          </cell>
          <cell r="AJ11">
            <v>1.1179038568506805</v>
          </cell>
          <cell r="AK11">
            <v>1.1519285498259972</v>
          </cell>
        </row>
        <row r="12">
          <cell r="AF12">
            <v>17</v>
          </cell>
          <cell r="AG12">
            <v>0.27609519768070245</v>
          </cell>
          <cell r="AI12">
            <v>1.1120214533379187</v>
          </cell>
          <cell r="AJ12">
            <v>1.2052340614211945</v>
          </cell>
          <cell r="AK12">
            <v>1.2760951976807025</v>
          </cell>
        </row>
        <row r="13">
          <cell r="AF13">
            <v>3</v>
          </cell>
          <cell r="AG13">
            <v>0.16250564943190637</v>
          </cell>
          <cell r="AI13">
            <v>1.0542606694629033</v>
          </cell>
          <cell r="AJ13">
            <v>1.1514167102378599</v>
          </cell>
          <cell r="AK13">
            <v>1.1625056494319064</v>
          </cell>
        </row>
        <row r="14">
          <cell r="AF14">
            <v>7</v>
          </cell>
          <cell r="AG14">
            <v>0.37015932048165956</v>
          </cell>
          <cell r="AI14">
            <v>1.1662184846773946</v>
          </cell>
          <cell r="AJ14">
            <v>1.298930661655987</v>
          </cell>
          <cell r="AK14">
            <v>1.3701593204816596</v>
          </cell>
        </row>
        <row r="15">
          <cell r="AF15">
            <v>24</v>
          </cell>
          <cell r="AG15">
            <v>0.11499679235493865</v>
          </cell>
          <cell r="AI15">
            <v>1.0734891711731072</v>
          </cell>
          <cell r="AJ15">
            <v>1.1020900186047944</v>
          </cell>
          <cell r="AK15">
            <v>1.1149967923549386</v>
          </cell>
        </row>
        <row r="16">
          <cell r="AF16">
            <v>4</v>
          </cell>
          <cell r="AG16">
            <v>0.34278683632417661</v>
          </cell>
          <cell r="AI16">
            <v>1.1370108884622989</v>
          </cell>
          <cell r="AJ16">
            <v>1.2720406167524543</v>
          </cell>
          <cell r="AK16">
            <v>1.3427868363241766</v>
          </cell>
        </row>
        <row r="17">
          <cell r="AF17">
            <v>26</v>
          </cell>
          <cell r="AG17">
            <v>0.37185422561855264</v>
          </cell>
          <cell r="AI17">
            <v>1.1106415428432987</v>
          </cell>
          <cell r="AJ17">
            <v>1.1719912084901727</v>
          </cell>
          <cell r="AK17">
            <v>1.3718542256185526</v>
          </cell>
        </row>
        <row r="18">
          <cell r="AF18">
            <v>6</v>
          </cell>
          <cell r="AG18">
            <v>0.34689566955624307</v>
          </cell>
          <cell r="AI18">
            <v>1.1249010920657294</v>
          </cell>
          <cell r="AJ18">
            <v>1.2416207744287893</v>
          </cell>
          <cell r="AK18">
            <v>1.3468956695562431</v>
          </cell>
        </row>
        <row r="19">
          <cell r="AF19">
            <v>25</v>
          </cell>
          <cell r="AG19">
            <v>0.53185374218023629</v>
          </cell>
          <cell r="AI19">
            <v>1.1731318071379098</v>
          </cell>
          <cell r="AJ19">
            <v>1.3627210407496044</v>
          </cell>
          <cell r="AK19">
            <v>1.5318537421802363</v>
          </cell>
        </row>
        <row r="20">
          <cell r="AF20">
            <v>16</v>
          </cell>
          <cell r="AG20">
            <v>0.11901008183554329</v>
          </cell>
          <cell r="AI20">
            <v>1.0217467482391254</v>
          </cell>
          <cell r="AJ20">
            <v>1.0656469043515209</v>
          </cell>
          <cell r="AK20">
            <v>1.1190100818355433</v>
          </cell>
        </row>
        <row r="21">
          <cell r="AF21">
            <v>10</v>
          </cell>
          <cell r="AG21">
            <v>0.49272566300983156</v>
          </cell>
          <cell r="AI21">
            <v>1.2124865055597724</v>
          </cell>
          <cell r="AJ21">
            <v>1.3490248690552809</v>
          </cell>
          <cell r="AK21">
            <v>1.4927256630098316</v>
          </cell>
        </row>
        <row r="22">
          <cell r="AF22">
            <v>21</v>
          </cell>
          <cell r="AG22">
            <v>0.53902746396675782</v>
          </cell>
          <cell r="AI22">
            <v>1.1845747373455799</v>
          </cell>
          <cell r="AJ22">
            <v>1.3874767281970375</v>
          </cell>
          <cell r="AK22">
            <v>1.5390274639667578</v>
          </cell>
        </row>
        <row r="23">
          <cell r="AF23">
            <v>15</v>
          </cell>
          <cell r="AG23">
            <v>0.27552009859452253</v>
          </cell>
          <cell r="AI23">
            <v>1.0912798954649583</v>
          </cell>
          <cell r="AJ23">
            <v>1.2039569223553748</v>
          </cell>
          <cell r="AK23">
            <v>1.2755200985945225</v>
          </cell>
        </row>
        <row r="24">
          <cell r="AF24">
            <v>13</v>
          </cell>
          <cell r="AG24">
            <v>0.33932980289612891</v>
          </cell>
          <cell r="AI24">
            <v>1.1342597534612961</v>
          </cell>
          <cell r="AJ24">
            <v>1.2537979382715849</v>
          </cell>
          <cell r="AK24">
            <v>1.3393298028961289</v>
          </cell>
        </row>
        <row r="25">
          <cell r="AF25">
            <v>14</v>
          </cell>
          <cell r="AG25">
            <v>0.19901604804214235</v>
          </cell>
          <cell r="AI25">
            <v>1.0432106699077297</v>
          </cell>
          <cell r="AJ25">
            <v>1.1157841929157832</v>
          </cell>
          <cell r="AK25">
            <v>1.1990160480421423</v>
          </cell>
        </row>
        <row r="26">
          <cell r="AF26">
            <v>2</v>
          </cell>
          <cell r="AG26">
            <v>-1.2416680450535011E-2</v>
          </cell>
          <cell r="AI26">
            <v>1.030233715677741</v>
          </cell>
          <cell r="AJ26">
            <v>1.0135795484861909</v>
          </cell>
          <cell r="AK26">
            <v>0.98758331954946499</v>
          </cell>
        </row>
        <row r="27">
          <cell r="AF27">
            <v>8</v>
          </cell>
          <cell r="AG27">
            <v>0.83489325058920394</v>
          </cell>
          <cell r="AI27">
            <v>1.3192867372048569</v>
          </cell>
          <cell r="AJ27">
            <v>1.5306445295415185</v>
          </cell>
          <cell r="AK27">
            <v>1.8348932505892039</v>
          </cell>
        </row>
        <row r="28">
          <cell r="AF28">
            <v>11</v>
          </cell>
          <cell r="AG28">
            <v>-6.5021658032201501E-2</v>
          </cell>
          <cell r="AI28">
            <v>0.97239744995970556</v>
          </cell>
          <cell r="AJ28">
            <v>0.94020979360194745</v>
          </cell>
          <cell r="AK28">
            <v>0.9349783419677985</v>
          </cell>
        </row>
        <row r="29">
          <cell r="AF29">
            <v>27</v>
          </cell>
          <cell r="AG29">
            <v>0.21511387487421807</v>
          </cell>
          <cell r="AI29">
            <v>1.0796174875892017</v>
          </cell>
          <cell r="AJ29">
            <v>1.1596526181027809</v>
          </cell>
          <cell r="AK29">
            <v>1.2151138748742181</v>
          </cell>
        </row>
      </sheetData>
      <sheetData sheetId="92"/>
      <sheetData sheetId="93"/>
      <sheetData sheetId="94"/>
      <sheetData sheetId="95"/>
      <sheetData sheetId="96"/>
      <sheetData sheetId="97"/>
      <sheetData sheetId="98"/>
      <sheetData sheetId="99"/>
      <sheetData sheetId="100"/>
      <sheetData sheetId="101"/>
      <sheetData sheetId="102">
        <row r="210">
          <cell r="AN210">
            <v>335.76297</v>
          </cell>
          <cell r="AS210">
            <v>362.67241999999999</v>
          </cell>
          <cell r="CE210">
            <v>374</v>
          </cell>
          <cell r="CJ210">
            <v>400</v>
          </cell>
        </row>
      </sheetData>
      <sheetData sheetId="103"/>
      <sheetData sheetId="104">
        <row r="210">
          <cell r="AN210">
            <v>440.25468148481008</v>
          </cell>
          <cell r="AS210">
            <v>478.11144358096215</v>
          </cell>
          <cell r="CE210">
            <v>451.59468148481005</v>
          </cell>
          <cell r="CJ210">
            <v>492.37644358096213</v>
          </cell>
        </row>
      </sheetData>
      <sheetData sheetId="105">
        <row r="210">
          <cell r="AN210">
            <v>440.25468148481008</v>
          </cell>
          <cell r="AS210">
            <v>478.11144358096215</v>
          </cell>
          <cell r="CE210">
            <v>451.59468148481005</v>
          </cell>
          <cell r="CJ210">
            <v>492.37644358096213</v>
          </cell>
        </row>
      </sheetData>
      <sheetData sheetId="106"/>
      <sheetData sheetId="107"/>
      <sheetData sheetId="108"/>
      <sheetData sheetId="109"/>
      <sheetData sheetId="110"/>
      <sheetData sheetId="111"/>
      <sheetData sheetId="112">
        <row r="3">
          <cell r="P3">
            <v>5</v>
          </cell>
          <cell r="Q3">
            <v>-6.638605670527431E-3</v>
          </cell>
          <cell r="S3">
            <v>1.1312739054050667</v>
          </cell>
          <cell r="T3">
            <v>1.0383717491128417</v>
          </cell>
          <cell r="U3">
            <v>0.99336139432947257</v>
          </cell>
          <cell r="V3">
            <v>1.0479075215161759</v>
          </cell>
          <cell r="W3">
            <v>0.98879497044748954</v>
          </cell>
          <cell r="X3">
            <v>0.85655224552872034</v>
          </cell>
          <cell r="Y3">
            <v>0.82407187595123643</v>
          </cell>
          <cell r="Z3">
            <v>5</v>
          </cell>
          <cell r="AA3">
            <v>1350.2333889366723</v>
          </cell>
          <cell r="AB3"/>
          <cell r="AC3">
            <v>1.0433467288871174</v>
          </cell>
          <cell r="AD3">
            <v>0.95766530336237154</v>
          </cell>
          <cell r="AE3">
            <v>0.91615333512470443</v>
          </cell>
          <cell r="AF3">
            <v>0.96645991702480594</v>
          </cell>
          <cell r="AG3">
            <v>0.91194183214809055</v>
          </cell>
          <cell r="AH3">
            <v>0.78997754586526225</v>
          </cell>
          <cell r="AI3">
            <v>0.76002168178159601</v>
          </cell>
        </row>
        <row r="4">
          <cell r="P4">
            <v>1</v>
          </cell>
          <cell r="Q4">
            <v>-0.33193611319698613</v>
          </cell>
          <cell r="S4">
            <v>0.95107934586910514</v>
          </cell>
          <cell r="T4">
            <v>0.77282691023356798</v>
          </cell>
          <cell r="U4">
            <v>0.66806388680301387</v>
          </cell>
          <cell r="V4">
            <v>0.5578519676786986</v>
          </cell>
          <cell r="W4">
            <v>0.45543856085662493</v>
          </cell>
          <cell r="X4">
            <v>0.39183383791839749</v>
          </cell>
          <cell r="Y4">
            <v>0.3273758356121389</v>
          </cell>
          <cell r="Z4">
            <v>1</v>
          </cell>
          <cell r="AA4">
            <v>658.08126446995902</v>
          </cell>
          <cell r="AB4"/>
          <cell r="AC4">
            <v>0.98307972464065529</v>
          </cell>
          <cell r="AD4">
            <v>0.79882973950300373</v>
          </cell>
          <cell r="AE4">
            <v>0.69054181938996828</v>
          </cell>
          <cell r="AF4">
            <v>0.57662166795839509</v>
          </cell>
          <cell r="AG4">
            <v>0.47076242055127915</v>
          </cell>
          <cell r="AH4">
            <v>0.40501762882223719</v>
          </cell>
          <cell r="AI4">
            <v>0.33839084796178465</v>
          </cell>
        </row>
        <row r="5">
          <cell r="P5">
            <v>12</v>
          </cell>
          <cell r="Q5">
            <v>-0.26477193348612515</v>
          </cell>
          <cell r="S5">
            <v>1.0514247387415312</v>
          </cell>
          <cell r="T5">
            <v>0.86058859449942104</v>
          </cell>
          <cell r="U5">
            <v>0.73522806651387485</v>
          </cell>
          <cell r="V5">
            <v>0.62738948129164707</v>
          </cell>
          <cell r="W5">
            <v>0.4503503359805619</v>
          </cell>
          <cell r="X5">
            <v>0.34397538538528621</v>
          </cell>
          <cell r="Y5">
            <v>0.23661660260437495</v>
          </cell>
          <cell r="Z5">
            <v>12</v>
          </cell>
          <cell r="AA5">
            <v>1136.5796099852462</v>
          </cell>
          <cell r="AB5"/>
          <cell r="AC5">
            <v>1.0113938757464134</v>
          </cell>
          <cell r="AD5">
            <v>0.82782343038239503</v>
          </cell>
          <cell r="AE5">
            <v>0.70723575007284289</v>
          </cell>
          <cell r="AF5">
            <v>0.60350290011777763</v>
          </cell>
          <cell r="AG5">
            <v>0.43320416095236058</v>
          </cell>
          <cell r="AH5">
            <v>0.33087922070636455</v>
          </cell>
          <cell r="AI5">
            <v>0.22760790568845193</v>
          </cell>
        </row>
        <row r="6">
          <cell r="P6">
            <v>20</v>
          </cell>
          <cell r="Q6">
            <v>-0.18764672611459599</v>
          </cell>
          <cell r="S6">
            <v>1.0448742856003224</v>
          </cell>
          <cell r="T6">
            <v>0.95377475577467596</v>
          </cell>
          <cell r="U6">
            <v>0.81235327388540401</v>
          </cell>
          <cell r="V6">
            <v>0.66426654325786261</v>
          </cell>
          <cell r="W6">
            <v>0.37430012751853275</v>
          </cell>
          <cell r="X6">
            <v>0.25094751937249204</v>
          </cell>
          <cell r="Y6">
            <v>0.17795185030864194</v>
          </cell>
          <cell r="Z6">
            <v>20</v>
          </cell>
          <cell r="AA6">
            <v>13399.123052886805</v>
          </cell>
          <cell r="AB6"/>
          <cell r="AC6">
            <v>1.0376738229921125</v>
          </cell>
          <cell r="AD6">
            <v>0.94720208042008602</v>
          </cell>
          <cell r="AE6">
            <v>0.80675516562120453</v>
          </cell>
          <cell r="AF6">
            <v>0.65968893380519533</v>
          </cell>
          <cell r="AG6">
            <v>0.37172074154876811</v>
          </cell>
          <cell r="AH6">
            <v>0.24921818383924507</v>
          </cell>
          <cell r="AI6">
            <v>0.17672554427176504</v>
          </cell>
        </row>
        <row r="7">
          <cell r="P7">
            <v>9</v>
          </cell>
          <cell r="Q7">
            <v>0.30637973351064618</v>
          </cell>
          <cell r="S7">
            <v>1.1365029878602522</v>
          </cell>
          <cell r="T7">
            <v>1.217632140307245</v>
          </cell>
          <cell r="U7">
            <v>1.3063797335106462</v>
          </cell>
          <cell r="V7">
            <v>1.2668306995640624</v>
          </cell>
          <cell r="W7">
            <v>1.2299090515444624</v>
          </cell>
          <cell r="X7">
            <v>1.2496236828162262</v>
          </cell>
          <cell r="Y7">
            <v>1.2837921807738646</v>
          </cell>
          <cell r="Z7">
            <v>9</v>
          </cell>
          <cell r="AA7">
            <v>474.61199767018593</v>
          </cell>
          <cell r="AB7"/>
          <cell r="AC7">
            <v>1.0373991690136177</v>
          </cell>
          <cell r="AD7">
            <v>1.1114538052356902</v>
          </cell>
          <cell r="AE7">
            <v>1.1924625490969847</v>
          </cell>
          <cell r="AF7">
            <v>1.1563622172987174</v>
          </cell>
          <cell r="AG7">
            <v>1.1226601616215384</v>
          </cell>
          <cell r="AH7">
            <v>1.1406556638922747</v>
          </cell>
          <cell r="AI7">
            <v>1.1718446460298704</v>
          </cell>
        </row>
        <row r="8">
          <cell r="P8">
            <v>18</v>
          </cell>
          <cell r="Q8">
            <v>-5.5482032877505083E-2</v>
          </cell>
          <cell r="S8">
            <v>1.0826897629232466</v>
          </cell>
          <cell r="T8">
            <v>1.0286811165791068</v>
          </cell>
          <cell r="U8">
            <v>0.94451796712249492</v>
          </cell>
          <cell r="V8">
            <v>0.76357006229805702</v>
          </cell>
          <cell r="W8">
            <v>0.47144026266265715</v>
          </cell>
          <cell r="X8">
            <v>0.39909562966279089</v>
          </cell>
          <cell r="Y8">
            <v>0.33428401550147024</v>
          </cell>
          <cell r="Z8">
            <v>18</v>
          </cell>
          <cell r="AA8">
            <v>3406.9507102956686</v>
          </cell>
          <cell r="AB8"/>
          <cell r="AC8">
            <v>1.0442861708439899</v>
          </cell>
          <cell r="AD8">
            <v>0.99219324042696211</v>
          </cell>
          <cell r="AE8">
            <v>0.91101540344907028</v>
          </cell>
          <cell r="AF8">
            <v>0.73648581877731545</v>
          </cell>
          <cell r="AG8">
            <v>0.45471802129948857</v>
          </cell>
          <cell r="AH8">
            <v>0.384939491600857</v>
          </cell>
          <cell r="AI8">
            <v>0.32242678048405143</v>
          </cell>
        </row>
        <row r="9">
          <cell r="P9">
            <v>22</v>
          </cell>
          <cell r="Q9">
            <v>8.5860765808439821E-2</v>
          </cell>
          <cell r="S9">
            <v>1.2111239995933167</v>
          </cell>
          <cell r="T9">
            <v>1.1916692509514062</v>
          </cell>
          <cell r="U9">
            <v>1.0858607658084398</v>
          </cell>
          <cell r="V9">
            <v>0.95068087781796362</v>
          </cell>
          <cell r="W9">
            <v>0.68923246399680926</v>
          </cell>
          <cell r="X9">
            <v>0.56545127268728101</v>
          </cell>
          <cell r="Y9">
            <v>0.47463392350474093</v>
          </cell>
          <cell r="Z9">
            <v>22</v>
          </cell>
          <cell r="AA9">
            <v>991.39626187602425</v>
          </cell>
          <cell r="AB9"/>
          <cell r="AC9">
            <v>1.0635767251751169</v>
          </cell>
          <cell r="AD9">
            <v>1.0464920849098622</v>
          </cell>
          <cell r="AE9">
            <v>0.95357390133668185</v>
          </cell>
          <cell r="AF9">
            <v>0.83486253683005185</v>
          </cell>
          <cell r="AG9">
            <v>0.6052655278800968</v>
          </cell>
          <cell r="AH9">
            <v>0.49656419413105901</v>
          </cell>
          <cell r="AI9">
            <v>0.41681082547096687</v>
          </cell>
        </row>
        <row r="10">
          <cell r="P10">
            <v>23</v>
          </cell>
          <cell r="Q10">
            <v>-0.39992910583545449</v>
          </cell>
          <cell r="S10">
            <v>0.97677266220257464</v>
          </cell>
          <cell r="T10">
            <v>0.84936291751228998</v>
          </cell>
          <cell r="U10">
            <v>0.60007089416454551</v>
          </cell>
          <cell r="V10">
            <v>0.43109867459100348</v>
          </cell>
          <cell r="W10">
            <v>0.23528412123804196</v>
          </cell>
          <cell r="X10">
            <v>0.17214773274468806</v>
          </cell>
          <cell r="Y10">
            <v>0.12640702025163894</v>
          </cell>
          <cell r="Z10">
            <v>23</v>
          </cell>
          <cell r="AA10">
            <v>1341.2266073505998</v>
          </cell>
          <cell r="AB10"/>
          <cell r="AC10">
            <v>1.008373632380549</v>
          </cell>
          <cell r="AD10">
            <v>0.87684187271365555</v>
          </cell>
          <cell r="AE10">
            <v>0.61948464637624645</v>
          </cell>
          <cell r="AF10">
            <v>0.44504576472433605</v>
          </cell>
          <cell r="AG10">
            <v>0.24289613454094117</v>
          </cell>
          <cell r="AH10">
            <v>0.1777171303938849</v>
          </cell>
          <cell r="AI10">
            <v>0.13049659465501243</v>
          </cell>
        </row>
        <row r="11">
          <cell r="P11">
            <v>19</v>
          </cell>
          <cell r="Q11">
            <v>-0.25706751848551068</v>
          </cell>
          <cell r="S11">
            <v>1.0158536778813863</v>
          </cell>
          <cell r="T11">
            <v>0.89469467080305132</v>
          </cell>
          <cell r="U11">
            <v>0.74293248151448932</v>
          </cell>
          <cell r="V11">
            <v>0.64335129627340626</v>
          </cell>
          <cell r="W11">
            <v>0.47875154127592423</v>
          </cell>
          <cell r="X11">
            <v>0.29013787234898647</v>
          </cell>
          <cell r="Y11">
            <v>0.19444526834479359</v>
          </cell>
          <cell r="Z11">
            <v>19</v>
          </cell>
          <cell r="AA11">
            <v>845.48860332021536</v>
          </cell>
          <cell r="AB11"/>
          <cell r="AC11">
            <v>1.0174088904412517</v>
          </cell>
          <cell r="AD11">
            <v>0.89606439601011023</v>
          </cell>
          <cell r="AE11">
            <v>0.74406986768686911</v>
          </cell>
          <cell r="AF11">
            <v>0.64433622947604707</v>
          </cell>
          <cell r="AG11">
            <v>0.47948448188170134</v>
          </cell>
          <cell r="AH11">
            <v>0.29058205646033491</v>
          </cell>
          <cell r="AI11">
            <v>0.19474295267681954</v>
          </cell>
        </row>
        <row r="12">
          <cell r="P12">
            <v>17</v>
          </cell>
          <cell r="Q12">
            <v>-0.16543932616122292</v>
          </cell>
          <cell r="S12">
            <v>1.0958560666045944</v>
          </cell>
          <cell r="T12">
            <v>0.99173348292363905</v>
          </cell>
          <cell r="U12">
            <v>0.83456067383877708</v>
          </cell>
          <cell r="V12">
            <v>0.6873691703346082</v>
          </cell>
          <cell r="W12">
            <v>0.58643318043959292</v>
          </cell>
          <cell r="X12">
            <v>0.56284783927824444</v>
          </cell>
          <cell r="Y12">
            <v>0.53212826730834983</v>
          </cell>
          <cell r="Z12">
            <v>17</v>
          </cell>
          <cell r="AA12">
            <v>2325.7348242641497</v>
          </cell>
          <cell r="AB12"/>
          <cell r="AC12">
            <v>1.0368421586642034</v>
          </cell>
          <cell r="AD12">
            <v>0.93832677172661438</v>
          </cell>
          <cell r="AE12">
            <v>0.78961801368707396</v>
          </cell>
          <cell r="AF12">
            <v>0.65035304917111059</v>
          </cell>
          <cell r="AG12">
            <v>0.55485265195752531</v>
          </cell>
          <cell r="AH12">
            <v>0.5325374257268275</v>
          </cell>
          <cell r="AI12">
            <v>0.50347216041950094</v>
          </cell>
        </row>
        <row r="13">
          <cell r="P13">
            <v>3</v>
          </cell>
          <cell r="Q13">
            <v>-0.19710013020666151</v>
          </cell>
          <cell r="S13">
            <v>0.94280288622016206</v>
          </cell>
          <cell r="T13">
            <v>0.85485181092985707</v>
          </cell>
          <cell r="U13">
            <v>0.80289986979333849</v>
          </cell>
          <cell r="V13">
            <v>0.7201439988472178</v>
          </cell>
          <cell r="W13">
            <v>0.5536800511679979</v>
          </cell>
          <cell r="X13">
            <v>0.46285319889687782</v>
          </cell>
          <cell r="Y13">
            <v>0.41444957235521052</v>
          </cell>
          <cell r="Z13">
            <v>3</v>
          </cell>
          <cell r="AA13">
            <v>640.49538051035029</v>
          </cell>
          <cell r="AB13"/>
          <cell r="AC13">
            <v>1.0042748478508889</v>
          </cell>
          <cell r="AD13">
            <v>0.91058924925285156</v>
          </cell>
          <cell r="AE13">
            <v>0.85524997468867514</v>
          </cell>
          <cell r="AF13">
            <v>0.76709831444463183</v>
          </cell>
          <cell r="AG13">
            <v>0.58978070312670439</v>
          </cell>
          <cell r="AH13">
            <v>0.49303182318738925</v>
          </cell>
          <cell r="AI13">
            <v>0.4414722178965621</v>
          </cell>
        </row>
        <row r="14">
          <cell r="P14">
            <v>7</v>
          </cell>
          <cell r="Q14">
            <v>-9.5713840248358162E-3</v>
          </cell>
          <cell r="S14">
            <v>1.1505360554079618</v>
          </cell>
          <cell r="T14">
            <v>1.079252525735741</v>
          </cell>
          <cell r="U14">
            <v>0.99042861597516418</v>
          </cell>
          <cell r="V14">
            <v>0.87932726573310782</v>
          </cell>
          <cell r="W14">
            <v>0.67479666755801671</v>
          </cell>
          <cell r="X14">
            <v>0.5685888597173655</v>
          </cell>
          <cell r="Y14">
            <v>0.51529652664445391</v>
          </cell>
          <cell r="Z14">
            <v>7</v>
          </cell>
          <cell r="AA14">
            <v>768.00193615679859</v>
          </cell>
          <cell r="AB14"/>
          <cell r="AC14">
            <v>1.0437474445509856</v>
          </cell>
          <cell r="AD14">
            <v>0.97908019524207723</v>
          </cell>
          <cell r="AE14">
            <v>0.89850060072015137</v>
          </cell>
          <cell r="AF14">
            <v>0.79771127746839798</v>
          </cell>
          <cell r="AG14">
            <v>0.61216447241669547</v>
          </cell>
          <cell r="AH14">
            <v>0.51581449059388806</v>
          </cell>
          <cell r="AI14">
            <v>0.46746855984486146</v>
          </cell>
        </row>
        <row r="15">
          <cell r="P15">
            <v>24</v>
          </cell>
          <cell r="Q15">
            <v>-0.28126901653375957</v>
          </cell>
          <cell r="S15">
            <v>0.9980615989287952</v>
          </cell>
          <cell r="T15">
            <v>0.82837962228461504</v>
          </cell>
          <cell r="U15">
            <v>0.71873098346624043</v>
          </cell>
          <cell r="V15">
            <v>0.65584403009403502</v>
          </cell>
          <cell r="W15">
            <v>0.5120385324729243</v>
          </cell>
          <cell r="X15">
            <v>0.4289100561539938</v>
          </cell>
          <cell r="Y15">
            <v>0.3917918068457763</v>
          </cell>
          <cell r="Z15">
            <v>24</v>
          </cell>
          <cell r="AA15">
            <v>731.31045988869869</v>
          </cell>
          <cell r="AB15"/>
          <cell r="AC15">
            <v>1.0094288234316213</v>
          </cell>
          <cell r="AD15">
            <v>0.83781428759002496</v>
          </cell>
          <cell r="AE15">
            <v>0.7269168273610126</v>
          </cell>
          <cell r="AF15">
            <v>0.66331363551409994</v>
          </cell>
          <cell r="AG15">
            <v>0.51787029371788584</v>
          </cell>
          <cell r="AH15">
            <v>0.43379504211583725</v>
          </cell>
          <cell r="AI15">
            <v>0.39625404187371827</v>
          </cell>
        </row>
        <row r="16">
          <cell r="P16">
            <v>4</v>
          </cell>
          <cell r="Q16">
            <v>-6.222596313133788E-2</v>
          </cell>
          <cell r="S16">
            <v>1.1145398024524169</v>
          </cell>
          <cell r="T16">
            <v>1.0284118537836044</v>
          </cell>
          <cell r="U16">
            <v>0.93777403686866212</v>
          </cell>
          <cell r="V16">
            <v>0.80599946370272835</v>
          </cell>
          <cell r="W16">
            <v>0.6801178811898817</v>
          </cell>
          <cell r="X16">
            <v>0.61818869273752686</v>
          </cell>
          <cell r="Y16">
            <v>0.56575200516636637</v>
          </cell>
          <cell r="Z16">
            <v>4</v>
          </cell>
          <cell r="AA16">
            <v>302.25412139869951</v>
          </cell>
          <cell r="AB16"/>
          <cell r="AC16">
            <v>1.0352126920089091</v>
          </cell>
          <cell r="AD16">
            <v>0.95521487999496524</v>
          </cell>
          <cell r="AE16">
            <v>0.87102818855526332</v>
          </cell>
          <cell r="AF16">
            <v>0.74863263989449191</v>
          </cell>
          <cell r="AG16">
            <v>0.63171064965177104</v>
          </cell>
          <cell r="AH16">
            <v>0.57418925674088273</v>
          </cell>
          <cell r="AI16">
            <v>0.52548473817534802</v>
          </cell>
        </row>
        <row r="17">
          <cell r="P17">
            <v>26</v>
          </cell>
          <cell r="Q17">
            <v>0.36877092447523463</v>
          </cell>
          <cell r="S17">
            <v>1.3552858643608694</v>
          </cell>
          <cell r="T17">
            <v>1.3704865024944404</v>
          </cell>
          <cell r="U17">
            <v>1.3687709244752346</v>
          </cell>
          <cell r="V17">
            <v>1.186404479358258</v>
          </cell>
          <cell r="W17">
            <v>1.0355829996446466</v>
          </cell>
          <cell r="X17">
            <v>0.92552154651155094</v>
          </cell>
          <cell r="Y17">
            <v>0.89534064127371715</v>
          </cell>
          <cell r="Z17">
            <v>26</v>
          </cell>
          <cell r="AA17">
            <v>374.1027120734168</v>
          </cell>
          <cell r="AB17"/>
          <cell r="AC17">
            <v>1.0762075926060601</v>
          </cell>
          <cell r="AD17">
            <v>1.0882781399363246</v>
          </cell>
          <cell r="AE17">
            <v>1.0869158309662919</v>
          </cell>
          <cell r="AF17">
            <v>0.94210198908060128</v>
          </cell>
          <cell r="AG17">
            <v>0.82233742437571167</v>
          </cell>
          <cell r="AH17">
            <v>0.73493964754510033</v>
          </cell>
          <cell r="AI17">
            <v>0.71097354546817926</v>
          </cell>
        </row>
        <row r="18">
          <cell r="P18">
            <v>6</v>
          </cell>
          <cell r="Q18">
            <v>1.386311247403893E-2</v>
          </cell>
          <cell r="S18">
            <v>1.1233665535318764</v>
          </cell>
          <cell r="T18">
            <v>1.0090792919865879</v>
          </cell>
          <cell r="U18">
            <v>1.0138631124740389</v>
          </cell>
          <cell r="V18">
            <v>0.97296242372837805</v>
          </cell>
          <cell r="W18">
            <v>0.81564380073096754</v>
          </cell>
          <cell r="X18">
            <v>0.72427730914259081</v>
          </cell>
          <cell r="Y18">
            <v>0.69195633464564943</v>
          </cell>
          <cell r="Z18">
            <v>6</v>
          </cell>
          <cell r="AA18">
            <v>1449.3831770147156</v>
          </cell>
          <cell r="AB18"/>
          <cell r="AC18">
            <v>1.0406265860550026</v>
          </cell>
          <cell r="AD18">
            <v>0.93475699038515603</v>
          </cell>
          <cell r="AE18">
            <v>0.93918846537121881</v>
          </cell>
          <cell r="AF18">
            <v>0.90130025874544839</v>
          </cell>
          <cell r="AG18">
            <v>0.75556871541441062</v>
          </cell>
          <cell r="AH18">
            <v>0.67093169295499322</v>
          </cell>
          <cell r="AI18">
            <v>0.64099127391458566</v>
          </cell>
        </row>
        <row r="19">
          <cell r="P19">
            <v>25</v>
          </cell>
          <cell r="Q19">
            <v>6.5724339836083612E-2</v>
          </cell>
          <cell r="S19">
            <v>1.1562441492871973</v>
          </cell>
          <cell r="T19">
            <v>1.1357501747607164</v>
          </cell>
          <cell r="U19">
            <v>1.0657243398360836</v>
          </cell>
          <cell r="V19">
            <v>0.94480125312004959</v>
          </cell>
          <cell r="W19">
            <v>0.80784166809991331</v>
          </cell>
          <cell r="X19">
            <v>0.7649420010995438</v>
          </cell>
          <cell r="Y19">
            <v>0.71636996482048898</v>
          </cell>
          <cell r="Z19">
            <v>25</v>
          </cell>
          <cell r="AA19">
            <v>872.74708995547326</v>
          </cell>
          <cell r="AB19"/>
          <cell r="AC19">
            <v>1.0500902782559631</v>
          </cell>
          <cell r="AD19">
            <v>1.0314778395021325</v>
          </cell>
          <cell r="AE19">
            <v>0.96788102171373913</v>
          </cell>
          <cell r="AF19">
            <v>0.85805978901345603</v>
          </cell>
          <cell r="AG19">
            <v>0.73367435637599931</v>
          </cell>
          <cell r="AH19">
            <v>0.69471327425050033</v>
          </cell>
          <cell r="AI19">
            <v>0.6506005986333524</v>
          </cell>
        </row>
        <row r="20">
          <cell r="P20">
            <v>16</v>
          </cell>
          <cell r="Q20">
            <v>-0.22990359179902808</v>
          </cell>
          <cell r="S20">
            <v>1.0465734713151043</v>
          </cell>
          <cell r="T20">
            <v>0.91247328586151255</v>
          </cell>
          <cell r="U20">
            <v>0.77009640820097192</v>
          </cell>
          <cell r="V20">
            <v>0.57659454576612279</v>
          </cell>
          <cell r="W20">
            <v>0.44435892106751512</v>
          </cell>
          <cell r="X20">
            <v>0.32720729221603667</v>
          </cell>
          <cell r="Y20">
            <v>0.16695457678549933</v>
          </cell>
          <cell r="Z20">
            <v>16</v>
          </cell>
          <cell r="AA20">
            <v>2466.0500917489871</v>
          </cell>
          <cell r="AB20"/>
          <cell r="AC20">
            <v>1.0218945996898439</v>
          </cell>
          <cell r="AD20">
            <v>0.89095658235195463</v>
          </cell>
          <cell r="AE20">
            <v>0.75193704250141469</v>
          </cell>
          <cell r="AF20">
            <v>0.56299807770649701</v>
          </cell>
          <cell r="AG20">
            <v>0.43388065358880246</v>
          </cell>
          <cell r="AH20">
            <v>0.31949153505156197</v>
          </cell>
          <cell r="AI20">
            <v>0.16301768111532566</v>
          </cell>
        </row>
        <row r="21">
          <cell r="P21">
            <v>10</v>
          </cell>
          <cell r="Q21">
            <v>-0.32146866566500054</v>
          </cell>
          <cell r="S21">
            <v>1.1381688205687124</v>
          </cell>
          <cell r="T21">
            <v>1.0280049877049728</v>
          </cell>
          <cell r="U21">
            <v>0.67853133433499946</v>
          </cell>
          <cell r="V21">
            <v>0.40759340608977807</v>
          </cell>
          <cell r="W21">
            <v>0.26434713610739657</v>
          </cell>
          <cell r="X21">
            <v>0.2195274507401947</v>
          </cell>
          <cell r="Y21">
            <v>0.20537234405022725</v>
          </cell>
          <cell r="Z21">
            <v>10</v>
          </cell>
          <cell r="AA21">
            <v>538.22641962850901</v>
          </cell>
          <cell r="AB21"/>
          <cell r="AC21">
            <v>1.0318109466451408</v>
          </cell>
          <cell r="AD21">
            <v>0.93194153657256906</v>
          </cell>
          <cell r="AE21">
            <v>0.61512496718962761</v>
          </cell>
          <cell r="AF21">
            <v>0.36950523558857379</v>
          </cell>
          <cell r="AG21">
            <v>0.23964482581205818</v>
          </cell>
          <cell r="AH21">
            <v>0.1990133824344735</v>
          </cell>
          <cell r="AI21">
            <v>0.18618102068840112</v>
          </cell>
        </row>
        <row r="22">
          <cell r="P22">
            <v>21</v>
          </cell>
          <cell r="Q22">
            <v>0.11244844591218284</v>
          </cell>
          <cell r="S22">
            <v>1.1733198340894462</v>
          </cell>
          <cell r="T22">
            <v>1.17138565487683</v>
          </cell>
          <cell r="U22">
            <v>1.1124484459121828</v>
          </cell>
          <cell r="V22">
            <v>0.91079254225294604</v>
          </cell>
          <cell r="W22">
            <v>0.57687361363249345</v>
          </cell>
          <cell r="X22">
            <v>0.44412336001724434</v>
          </cell>
          <cell r="Y22">
            <v>0.36153547647019957</v>
          </cell>
          <cell r="Z22">
            <v>21</v>
          </cell>
          <cell r="AA22">
            <v>1710.320624934378</v>
          </cell>
          <cell r="AB22"/>
          <cell r="AC22">
            <v>1.0517023162497472</v>
          </cell>
          <cell r="AD22">
            <v>1.0499686195211573</v>
          </cell>
          <cell r="AE22">
            <v>0.99714039879179595</v>
          </cell>
          <cell r="AF22">
            <v>0.8163866308914679</v>
          </cell>
          <cell r="AG22">
            <v>0.51707922939143314</v>
          </cell>
          <cell r="AH22">
            <v>0.39808886959900197</v>
          </cell>
          <cell r="AI22">
            <v>0.32406142550657574</v>
          </cell>
        </row>
        <row r="23">
          <cell r="P23">
            <v>15</v>
          </cell>
          <cell r="Q23">
            <v>-6.1770335618009597E-2</v>
          </cell>
          <cell r="S23">
            <v>1.1228407697935276</v>
          </cell>
          <cell r="T23">
            <v>1.0324679585443228</v>
          </cell>
          <cell r="U23">
            <v>0.9382296643819904</v>
          </cell>
          <cell r="V23">
            <v>0.85429195802899982</v>
          </cell>
          <cell r="W23">
            <v>0.76010450548571817</v>
          </cell>
          <cell r="X23">
            <v>0.58798268418126853</v>
          </cell>
          <cell r="Y23">
            <v>0.48758896852012024</v>
          </cell>
          <cell r="Z23">
            <v>15</v>
          </cell>
          <cell r="AA23">
            <v>788.1468949956942</v>
          </cell>
          <cell r="AB23"/>
          <cell r="AC23">
            <v>1.0411010814752499</v>
          </cell>
          <cell r="AD23">
            <v>0.95730715979140613</v>
          </cell>
          <cell r="AE23">
            <v>0.86992915161057727</v>
          </cell>
          <cell r="AF23">
            <v>0.79210187706592428</v>
          </cell>
          <cell r="AG23">
            <v>0.7047710093755386</v>
          </cell>
          <cell r="AH23">
            <v>0.54517917843542807</v>
          </cell>
          <cell r="AI23">
            <v>0.45209384633855398</v>
          </cell>
        </row>
        <row r="24">
          <cell r="P24">
            <v>13</v>
          </cell>
          <cell r="Q24">
            <v>-0.16043910355089286</v>
          </cell>
          <cell r="S24">
            <v>1.028747468837234</v>
          </cell>
          <cell r="T24">
            <v>0.90416452350080412</v>
          </cell>
          <cell r="U24">
            <v>0.83956089644910714</v>
          </cell>
          <cell r="V24">
            <v>0.71558849611317732</v>
          </cell>
          <cell r="W24">
            <v>0.55667787473453678</v>
          </cell>
          <cell r="X24">
            <v>0.48330360023303826</v>
          </cell>
          <cell r="Y24">
            <v>0.43575784759845054</v>
          </cell>
          <cell r="Z24">
            <v>13</v>
          </cell>
          <cell r="AA24">
            <v>534.93718599579552</v>
          </cell>
          <cell r="AB24"/>
          <cell r="AC24">
            <v>1.0334651679454359</v>
          </cell>
          <cell r="AD24">
            <v>0.90831090178643792</v>
          </cell>
          <cell r="AE24">
            <v>0.84341101109088201</v>
          </cell>
          <cell r="AF24">
            <v>0.71887008981057743</v>
          </cell>
          <cell r="AG24">
            <v>0.55923072545130126</v>
          </cell>
          <cell r="AH24">
            <v>0.48551996628289812</v>
          </cell>
          <cell r="AI24">
            <v>0.43775617514848641</v>
          </cell>
        </row>
        <row r="25">
          <cell r="P25">
            <v>14</v>
          </cell>
          <cell r="Q25">
            <v>-0.22216004479781004</v>
          </cell>
          <cell r="S25">
            <v>1.0549855130994525</v>
          </cell>
          <cell r="T25">
            <v>0.87287020612749078</v>
          </cell>
          <cell r="U25">
            <v>0.77783995520218996</v>
          </cell>
          <cell r="V25">
            <v>0.67573282601675533</v>
          </cell>
          <cell r="W25">
            <v>0.59329459386571759</v>
          </cell>
          <cell r="X25">
            <v>0.40045893162775925</v>
          </cell>
          <cell r="Y25">
            <v>0.15464285538794129</v>
          </cell>
          <cell r="Z25">
            <v>14</v>
          </cell>
          <cell r="AA25">
            <v>530.36005803263481</v>
          </cell>
          <cell r="AB25"/>
          <cell r="AC25">
            <v>1.0037221102199771</v>
          </cell>
          <cell r="AD25">
            <v>0.83045607201607174</v>
          </cell>
          <cell r="AE25">
            <v>0.74004349022312621</v>
          </cell>
          <cell r="AF25">
            <v>0.64289790679856318</v>
          </cell>
          <cell r="AG25">
            <v>0.56446547781255152</v>
          </cell>
          <cell r="AH25">
            <v>0.38100000324076544</v>
          </cell>
          <cell r="AI25">
            <v>0.14712851618635911</v>
          </cell>
        </row>
        <row r="26">
          <cell r="P26">
            <v>2</v>
          </cell>
          <cell r="Q26">
            <v>-0.33133513592897734</v>
          </cell>
          <cell r="S26">
            <v>0.98801986515589246</v>
          </cell>
          <cell r="T26">
            <v>0.80146356973581745</v>
          </cell>
          <cell r="U26">
            <v>0.66866486407102266</v>
          </cell>
          <cell r="V26">
            <v>0.52203787082700204</v>
          </cell>
          <cell r="W26">
            <v>0.3660149065751192</v>
          </cell>
          <cell r="X26">
            <v>0.30721566350428831</v>
          </cell>
          <cell r="Y26">
            <v>0.20713705694593201</v>
          </cell>
          <cell r="Z26">
            <v>2</v>
          </cell>
          <cell r="AA26">
            <v>6617.8236789156899</v>
          </cell>
          <cell r="AB26"/>
          <cell r="AC26">
            <v>0.99411079764113019</v>
          </cell>
          <cell r="AD26">
            <v>0.80640442230852183</v>
          </cell>
          <cell r="AE26">
            <v>0.67278704084695695</v>
          </cell>
          <cell r="AF26">
            <v>0.52525612335216043</v>
          </cell>
          <cell r="AG26">
            <v>0.36827131068515995</v>
          </cell>
          <cell r="AH26">
            <v>0.30910958277737594</v>
          </cell>
          <cell r="AI26">
            <v>0.20841401287925168</v>
          </cell>
        </row>
        <row r="27">
          <cell r="P27">
            <v>8</v>
          </cell>
          <cell r="Q27">
            <v>0.23856551110935986</v>
          </cell>
          <cell r="S27">
            <v>1.1796262252051517</v>
          </cell>
          <cell r="T27">
            <v>1.2153089512881428</v>
          </cell>
          <cell r="U27">
            <v>1.2385655111093599</v>
          </cell>
          <cell r="V27">
            <v>1.1123351583637098</v>
          </cell>
          <cell r="W27">
            <v>0.99486463195948083</v>
          </cell>
          <cell r="X27">
            <v>1.0375439263022876</v>
          </cell>
          <cell r="Y27">
            <v>1.0768255835908456</v>
          </cell>
          <cell r="Z27">
            <v>8</v>
          </cell>
          <cell r="AA27">
            <v>769.57310248863109</v>
          </cell>
          <cell r="AB27"/>
          <cell r="AC27">
            <v>1.043865682785122</v>
          </cell>
          <cell r="AD27">
            <v>1.0754417637761817</v>
          </cell>
          <cell r="AE27">
            <v>1.0960217781725095</v>
          </cell>
          <cell r="AF27">
            <v>0.98431899423844704</v>
          </cell>
          <cell r="AG27">
            <v>0.88036788783544007</v>
          </cell>
          <cell r="AH27">
            <v>0.91813531770263646</v>
          </cell>
          <cell r="AI27">
            <v>0.95289613696072006</v>
          </cell>
        </row>
        <row r="28">
          <cell r="P28">
            <v>11</v>
          </cell>
          <cell r="Q28">
            <v>-0.4085997660372489</v>
          </cell>
          <cell r="S28">
            <v>0.94617331060412657</v>
          </cell>
          <cell r="T28">
            <v>0.71048078106343004</v>
          </cell>
          <cell r="U28">
            <v>0.5914002339627511</v>
          </cell>
          <cell r="V28">
            <v>0.45977837824386297</v>
          </cell>
          <cell r="W28">
            <v>0.32014301484965235</v>
          </cell>
          <cell r="X28">
            <v>0.23796908254099466</v>
          </cell>
          <cell r="Y28">
            <v>0.19631322200027609</v>
          </cell>
          <cell r="Z28">
            <v>11</v>
          </cell>
          <cell r="AA28">
            <v>4021.0777370735341</v>
          </cell>
          <cell r="AB28"/>
          <cell r="AC28">
            <v>0.98400520831138738</v>
          </cell>
          <cell r="AD28">
            <v>0.73888872274908624</v>
          </cell>
          <cell r="AE28">
            <v>0.61504684595716819</v>
          </cell>
          <cell r="AF28">
            <v>0.47816220748401123</v>
          </cell>
          <cell r="AG28">
            <v>0.33294364836335066</v>
          </cell>
          <cell r="AH28">
            <v>0.24748406450812852</v>
          </cell>
          <cell r="AI28">
            <v>0.2041626314584177</v>
          </cell>
        </row>
        <row r="29">
          <cell r="P29">
            <v>27</v>
          </cell>
          <cell r="Q29">
            <v>-0.18385689227098834</v>
          </cell>
          <cell r="S29">
            <v>1.0492517078777226</v>
          </cell>
          <cell r="T29">
            <v>0.93361247921743551</v>
          </cell>
          <cell r="U29">
            <v>0.81614310772901166</v>
          </cell>
          <cell r="V29">
            <v>0.67916986554215764</v>
          </cell>
          <cell r="W29">
            <v>0.47786426650242908</v>
          </cell>
          <cell r="X29">
            <v>0.38547291705526809</v>
          </cell>
          <cell r="Y29">
            <v>0.31487137625038875</v>
          </cell>
          <cell r="Z29">
            <v>27</v>
          </cell>
          <cell r="AA29">
            <v>49650.631679538201</v>
          </cell>
          <cell r="AB29"/>
          <cell r="AC29">
            <v>1.0250428029888414</v>
          </cell>
          <cell r="AD29">
            <v>0.91207166537576623</v>
          </cell>
          <cell r="AE29">
            <v>0.79731261098320116</v>
          </cell>
          <cell r="AF29">
            <v>0.6634996897827482</v>
          </cell>
          <cell r="AG29">
            <v>0.46683872278332328</v>
          </cell>
          <cell r="AH29">
            <v>0.37657907669630808</v>
          </cell>
          <cell r="AI29">
            <v>0.3076064929600914</v>
          </cell>
        </row>
      </sheetData>
      <sheetData sheetId="113">
        <row r="3">
          <cell r="P3">
            <v>5</v>
          </cell>
          <cell r="Q3">
            <v>-0.11269154585834706</v>
          </cell>
          <cell r="S3">
            <v>1.1136316382664972</v>
          </cell>
          <cell r="T3">
            <v>1.0004700462040752</v>
          </cell>
          <cell r="U3">
            <v>0.88730845414165294</v>
          </cell>
          <cell r="V3">
            <v>0.86939956269032381</v>
          </cell>
          <cell r="W3">
            <v>0.85149067123899469</v>
          </cell>
          <cell r="X3">
            <v>0.77539431122457325</v>
          </cell>
          <cell r="Y3">
            <v>0.6992979512101517</v>
          </cell>
          <cell r="Z3">
            <v>5</v>
          </cell>
          <cell r="AA3">
            <v>1229.8535111312981</v>
          </cell>
          <cell r="AB3"/>
          <cell r="AC3">
            <v>1.0425515349315813</v>
          </cell>
          <cell r="AD3">
            <v>0.93661274202549527</v>
          </cell>
          <cell r="AE3">
            <v>0.83067394911940928</v>
          </cell>
          <cell r="AF3">
            <v>0.81390813389834582</v>
          </cell>
          <cell r="AG3">
            <v>0.79714231867728247</v>
          </cell>
          <cell r="AH3">
            <v>0.72590298404484066</v>
          </cell>
          <cell r="AI3">
            <v>0.65466364941239885</v>
          </cell>
        </row>
        <row r="4">
          <cell r="P4">
            <v>1</v>
          </cell>
          <cell r="Q4">
            <v>-0.39069761821041027</v>
          </cell>
          <cell r="S4">
            <v>0.96591851368062898</v>
          </cell>
          <cell r="T4">
            <v>0.78761044773510935</v>
          </cell>
          <cell r="U4">
            <v>0.60930238178958973</v>
          </cell>
          <cell r="V4">
            <v>0.4657538634326539</v>
          </cell>
          <cell r="W4">
            <v>0.32220534507571802</v>
          </cell>
          <cell r="X4">
            <v>0.18238356054029883</v>
          </cell>
          <cell r="Y4">
            <v>4.2561776004879655E-2</v>
          </cell>
          <cell r="Z4">
            <v>1</v>
          </cell>
          <cell r="AA4">
            <v>667.34417126380595</v>
          </cell>
          <cell r="AB4"/>
          <cell r="AC4">
            <v>0.98608281445091439</v>
          </cell>
          <cell r="AD4">
            <v>0.80405242884740125</v>
          </cell>
          <cell r="AE4">
            <v>0.62202204324388799</v>
          </cell>
          <cell r="AF4">
            <v>0.47547683783904754</v>
          </cell>
          <cell r="AG4">
            <v>0.32893163243420692</v>
          </cell>
          <cell r="AH4">
            <v>0.1861909593200122</v>
          </cell>
          <cell r="AI4">
            <v>4.3450286205817451E-2</v>
          </cell>
        </row>
        <row r="5">
          <cell r="P5">
            <v>12</v>
          </cell>
          <cell r="Q5">
            <v>-0.38016581722725662</v>
          </cell>
          <cell r="S5">
            <v>0.99745914253606316</v>
          </cell>
          <cell r="T5">
            <v>0.80864666265440321</v>
          </cell>
          <cell r="U5">
            <v>0.61983418277274338</v>
          </cell>
          <cell r="V5">
            <v>0.4936052736197743</v>
          </cell>
          <cell r="W5">
            <v>0.36737636446680516</v>
          </cell>
          <cell r="X5">
            <v>0.23912215744449888</v>
          </cell>
          <cell r="Y5">
            <v>0.11086795042219255</v>
          </cell>
          <cell r="Z5">
            <v>12</v>
          </cell>
          <cell r="AA5">
            <v>1096.9114250337861</v>
          </cell>
          <cell r="AB5"/>
          <cell r="AC5">
            <v>0.99898210521909425</v>
          </cell>
          <cell r="AD5">
            <v>0.80988133848067234</v>
          </cell>
          <cell r="AE5">
            <v>0.62078057174225032</v>
          </cell>
          <cell r="AF5">
            <v>0.49435893096754197</v>
          </cell>
          <cell r="AG5">
            <v>0.3679372901928335</v>
          </cell>
          <cell r="AH5">
            <v>0.23948725923859138</v>
          </cell>
          <cell r="AI5">
            <v>0.11103722828434924</v>
          </cell>
        </row>
        <row r="6">
          <cell r="P6">
            <v>20</v>
          </cell>
          <cell r="Q6">
            <v>-0.28448798683182308</v>
          </cell>
          <cell r="S6">
            <v>1.1062686833197093</v>
          </cell>
          <cell r="T6">
            <v>0.9108903482439431</v>
          </cell>
          <cell r="U6">
            <v>0.71551201316817692</v>
          </cell>
          <cell r="V6">
            <v>0.52872648381363463</v>
          </cell>
          <cell r="W6">
            <v>0.34194095445909239</v>
          </cell>
          <cell r="X6">
            <v>0.21518922642431185</v>
          </cell>
          <cell r="Y6">
            <v>8.8437498389531383E-2</v>
          </cell>
          <cell r="Z6">
            <v>20</v>
          </cell>
          <cell r="AA6">
            <v>13639.51824980697</v>
          </cell>
          <cell r="AB6"/>
          <cell r="AC6">
            <v>1.0399596008282821</v>
          </cell>
          <cell r="AD6">
            <v>0.8562921261726989</v>
          </cell>
          <cell r="AE6">
            <v>0.67262465151711559</v>
          </cell>
          <cell r="AF6">
            <v>0.49703493495283363</v>
          </cell>
          <cell r="AG6">
            <v>0.32144521838855172</v>
          </cell>
          <cell r="AH6">
            <v>0.20229091303861838</v>
          </cell>
          <cell r="AI6">
            <v>8.313660768868511E-2</v>
          </cell>
        </row>
        <row r="7">
          <cell r="P7">
            <v>9</v>
          </cell>
          <cell r="Q7">
            <v>0.1212523425179457</v>
          </cell>
          <cell r="S7">
            <v>1.1353601079427236</v>
          </cell>
          <cell r="T7">
            <v>1.1283062252303346</v>
          </cell>
          <cell r="U7">
            <v>1.1212523425179457</v>
          </cell>
          <cell r="V7">
            <v>1.1069386318181313</v>
          </cell>
          <cell r="W7">
            <v>1.092624921118317</v>
          </cell>
          <cell r="X7">
            <v>1.1251322580284799</v>
          </cell>
          <cell r="Y7">
            <v>1.1576395949386431</v>
          </cell>
          <cell r="Z7">
            <v>9</v>
          </cell>
          <cell r="AA7">
            <v>488.76811769244466</v>
          </cell>
          <cell r="AB7"/>
          <cell r="AC7">
            <v>1.050076987330766</v>
          </cell>
          <cell r="AD7">
            <v>1.0435529604112088</v>
          </cell>
          <cell r="AE7">
            <v>1.0370289334916512</v>
          </cell>
          <cell r="AF7">
            <v>1.0237904040558932</v>
          </cell>
          <cell r="AG7">
            <v>1.010551874620135</v>
          </cell>
          <cell r="AH7">
            <v>1.0406174072823873</v>
          </cell>
          <cell r="AI7">
            <v>1.0706829399446398</v>
          </cell>
        </row>
        <row r="8">
          <cell r="P8">
            <v>18</v>
          </cell>
          <cell r="Q8">
            <v>-6.7485915150467757E-2</v>
          </cell>
          <cell r="S8">
            <v>1.1392711798814481</v>
          </cell>
          <cell r="T8">
            <v>1.0358926323654902</v>
          </cell>
          <cell r="U8">
            <v>0.93251408484953224</v>
          </cell>
          <cell r="V8">
            <v>0.61653776953194384</v>
          </cell>
          <cell r="W8">
            <v>0.30056145421435532</v>
          </cell>
          <cell r="X8">
            <v>0.1498397513277939</v>
          </cell>
          <cell r="Y8">
            <v>-8.8195155876750575E-4</v>
          </cell>
          <cell r="Z8">
            <v>18</v>
          </cell>
          <cell r="AA8">
            <v>3524.5157709900996</v>
          </cell>
          <cell r="AB8"/>
          <cell r="AC8">
            <v>1.0514123193285794</v>
          </cell>
          <cell r="AD8">
            <v>0.95600616815754424</v>
          </cell>
          <cell r="AE8">
            <v>0.86060001698650901</v>
          </cell>
          <cell r="AF8">
            <v>0.56899131450398421</v>
          </cell>
          <cell r="AG8">
            <v>0.27738261202145936</v>
          </cell>
          <cell r="AH8">
            <v>0.13828433761272468</v>
          </cell>
          <cell r="AI8">
            <v>-8.1393679600996565E-4</v>
          </cell>
        </row>
        <row r="9">
          <cell r="P9">
            <v>22</v>
          </cell>
          <cell r="Q9">
            <v>-0.16732727493901545</v>
          </cell>
          <cell r="S9">
            <v>1.1311658160652118</v>
          </cell>
          <cell r="T9">
            <v>0.98191927056309813</v>
          </cell>
          <cell r="U9">
            <v>0.83267272506098455</v>
          </cell>
          <cell r="V9">
            <v>0.52436268879401071</v>
          </cell>
          <cell r="W9">
            <v>0.21605265252703681</v>
          </cell>
          <cell r="X9">
            <v>4.9809028447172013E-2</v>
          </cell>
          <cell r="Y9">
            <v>-0.11643459563269278</v>
          </cell>
          <cell r="Z9">
            <v>22</v>
          </cell>
          <cell r="AA9">
            <v>940.74739061367507</v>
          </cell>
          <cell r="AB9"/>
          <cell r="AC9">
            <v>1.0486385012044801</v>
          </cell>
          <cell r="AD9">
            <v>0.91028064812711984</v>
          </cell>
          <cell r="AE9">
            <v>0.77192279504975991</v>
          </cell>
          <cell r="AF9">
            <v>0.48610636588827283</v>
          </cell>
          <cell r="AG9">
            <v>0.20028993672678572</v>
          </cell>
          <cell r="AH9">
            <v>4.6175073711989374E-2</v>
          </cell>
          <cell r="AI9">
            <v>-0.10793978930280695</v>
          </cell>
        </row>
        <row r="10">
          <cell r="P10">
            <v>23</v>
          </cell>
          <cell r="Q10">
            <v>-0.55707206281621868</v>
          </cell>
          <cell r="S10">
            <v>0.96128850896972551</v>
          </cell>
          <cell r="T10">
            <v>0.70210822307675347</v>
          </cell>
          <cell r="U10">
            <v>0.44292793718378137</v>
          </cell>
          <cell r="V10">
            <v>0.27491220593272925</v>
          </cell>
          <cell r="W10">
            <v>0.10689647468167719</v>
          </cell>
          <cell r="X10">
            <v>-1.6170848184971647E-2</v>
          </cell>
          <cell r="Y10">
            <v>-0.13923817105162048</v>
          </cell>
          <cell r="Z10">
            <v>23</v>
          </cell>
          <cell r="AA10">
            <v>1220.2256963766952</v>
          </cell>
          <cell r="AB10"/>
          <cell r="AC10">
            <v>0.9841471920891427</v>
          </cell>
          <cell r="AD10">
            <v>0.71880380326635707</v>
          </cell>
          <cell r="AE10">
            <v>0.45346041444357149</v>
          </cell>
          <cell r="AF10">
            <v>0.28144940152223163</v>
          </cell>
          <cell r="AG10">
            <v>0.10943838860089186</v>
          </cell>
          <cell r="AH10">
            <v>-1.6555378210019633E-2</v>
          </cell>
          <cell r="AI10">
            <v>-0.14254914502093113</v>
          </cell>
        </row>
        <row r="11">
          <cell r="P11">
            <v>19</v>
          </cell>
          <cell r="Q11">
            <v>-0.32945724965129897</v>
          </cell>
          <cell r="S11">
            <v>1.0519354479484317</v>
          </cell>
          <cell r="T11">
            <v>0.86123909914856644</v>
          </cell>
          <cell r="U11">
            <v>0.67054275034870103</v>
          </cell>
          <cell r="V11">
            <v>0.48345407492633513</v>
          </cell>
          <cell r="W11">
            <v>0.29636539950396928</v>
          </cell>
          <cell r="X11">
            <v>0.16132981505141999</v>
          </cell>
          <cell r="Y11">
            <v>2.6294230598870684E-2</v>
          </cell>
          <cell r="Z11">
            <v>19</v>
          </cell>
          <cell r="AA11">
            <v>856.96588169119457</v>
          </cell>
          <cell r="AB11"/>
          <cell r="AC11">
            <v>1.0201463920422182</v>
          </cell>
          <cell r="AD11">
            <v>0.83521280834826561</v>
          </cell>
          <cell r="AE11">
            <v>0.65027922465431265</v>
          </cell>
          <cell r="AF11">
            <v>0.46884429193452426</v>
          </cell>
          <cell r="AG11">
            <v>0.28740935921473587</v>
          </cell>
          <cell r="AH11">
            <v>0.15645449449823329</v>
          </cell>
          <cell r="AI11">
            <v>2.5499629781730676E-2</v>
          </cell>
        </row>
        <row r="12">
          <cell r="P12">
            <v>17</v>
          </cell>
          <cell r="Q12">
            <v>-0.21616520761401581</v>
          </cell>
          <cell r="S12">
            <v>1.1140416337961216</v>
          </cell>
          <cell r="T12">
            <v>0.94893821309105286</v>
          </cell>
          <cell r="U12">
            <v>0.78383479238598419</v>
          </cell>
          <cell r="V12">
            <v>0.54986416409865813</v>
          </cell>
          <cell r="W12">
            <v>0.31589353581133195</v>
          </cell>
          <cell r="X12">
            <v>0.20479683331682738</v>
          </cell>
          <cell r="Y12">
            <v>9.3700130822322786E-2</v>
          </cell>
          <cell r="Z12">
            <v>17</v>
          </cell>
          <cell r="AA12">
            <v>2394.1185262054632</v>
          </cell>
          <cell r="AB12"/>
          <cell r="AC12">
            <v>1.042695233039753</v>
          </cell>
          <cell r="AD12">
            <v>0.88816550586867904</v>
          </cell>
          <cell r="AE12">
            <v>0.73363577869760521</v>
          </cell>
          <cell r="AF12">
            <v>0.51464929615905641</v>
          </cell>
          <cell r="AG12">
            <v>0.29566281362050745</v>
          </cell>
          <cell r="AH12">
            <v>0.19168106053042933</v>
          </cell>
          <cell r="AI12">
            <v>8.7699307440351176E-2</v>
          </cell>
        </row>
        <row r="13">
          <cell r="P13">
            <v>3</v>
          </cell>
          <cell r="Q13">
            <v>-0.23747027199741877</v>
          </cell>
          <cell r="S13">
            <v>1.0209881176946161</v>
          </cell>
          <cell r="T13">
            <v>0.89175892284859859</v>
          </cell>
          <cell r="U13">
            <v>0.76252972800258123</v>
          </cell>
          <cell r="V13">
            <v>0.58088002025501517</v>
          </cell>
          <cell r="W13">
            <v>0.39923031250744917</v>
          </cell>
          <cell r="X13">
            <v>0.28356471777706987</v>
          </cell>
          <cell r="Y13">
            <v>0.16789912304669063</v>
          </cell>
          <cell r="Z13">
            <v>3</v>
          </cell>
          <cell r="AA13">
            <v>656.39310938295807</v>
          </cell>
          <cell r="AB13"/>
          <cell r="AC13">
            <v>1.0082908415824938</v>
          </cell>
          <cell r="AD13">
            <v>0.88066877490992879</v>
          </cell>
          <cell r="AE13">
            <v>0.75304670823736386</v>
          </cell>
          <cell r="AF13">
            <v>0.57365604391545988</v>
          </cell>
          <cell r="AG13">
            <v>0.39426537959355595</v>
          </cell>
          <cell r="AH13">
            <v>0.28003823254685845</v>
          </cell>
          <cell r="AI13">
            <v>0.16581108550016099</v>
          </cell>
        </row>
        <row r="14">
          <cell r="P14">
            <v>7</v>
          </cell>
          <cell r="Q14">
            <v>-0.15724310408881148</v>
          </cell>
          <cell r="S14">
            <v>1.1309961784391571</v>
          </cell>
          <cell r="T14">
            <v>0.98687653717517287</v>
          </cell>
          <cell r="U14">
            <v>0.84275689591118852</v>
          </cell>
          <cell r="V14">
            <v>0.62854584356662258</v>
          </cell>
          <cell r="W14">
            <v>0.41433479122205669</v>
          </cell>
          <cell r="X14">
            <v>0.2822395012176635</v>
          </cell>
          <cell r="Y14">
            <v>0.15014421121327037</v>
          </cell>
          <cell r="Z14">
            <v>7</v>
          </cell>
          <cell r="AA14">
            <v>781.10110583600328</v>
          </cell>
          <cell r="AB14"/>
          <cell r="AC14">
            <v>1.0485801805738293</v>
          </cell>
          <cell r="AD14">
            <v>0.91496257660510483</v>
          </cell>
          <cell r="AE14">
            <v>0.78134497263638025</v>
          </cell>
          <cell r="AF14">
            <v>0.58274353769752796</v>
          </cell>
          <cell r="AG14">
            <v>0.38414210275867561</v>
          </cell>
          <cell r="AH14">
            <v>0.26167263231633103</v>
          </cell>
          <cell r="AI14">
            <v>0.1392031618739866</v>
          </cell>
        </row>
        <row r="15">
          <cell r="P15">
            <v>24</v>
          </cell>
          <cell r="Q15">
            <v>-0.360231092377989</v>
          </cell>
          <cell r="S15">
            <v>1.0374281783241652</v>
          </cell>
          <cell r="T15">
            <v>0.83859854297308811</v>
          </cell>
          <cell r="U15">
            <v>0.639768907622011</v>
          </cell>
          <cell r="V15">
            <v>0.44770952916553836</v>
          </cell>
          <cell r="W15">
            <v>0.25565015070906566</v>
          </cell>
          <cell r="X15">
            <v>0.21545224302222249</v>
          </cell>
          <cell r="Y15">
            <v>0.17525433533537935</v>
          </cell>
          <cell r="Z15">
            <v>24</v>
          </cell>
          <cell r="AA15">
            <v>744.06997167119141</v>
          </cell>
          <cell r="AB15"/>
          <cell r="AC15">
            <v>1.0146424472535218</v>
          </cell>
          <cell r="AD15">
            <v>0.82017984057454252</v>
          </cell>
          <cell r="AE15">
            <v>0.62571723389556311</v>
          </cell>
          <cell r="AF15">
            <v>0.43787618441698006</v>
          </cell>
          <cell r="AG15">
            <v>0.25003513493839702</v>
          </cell>
          <cell r="AH15">
            <v>0.21072012086606368</v>
          </cell>
          <cell r="AI15">
            <v>0.17140510679373036</v>
          </cell>
        </row>
        <row r="16">
          <cell r="P16">
            <v>4</v>
          </cell>
          <cell r="Q16">
            <v>-0.13264876039988871</v>
          </cell>
          <cell r="S16">
            <v>1.0991574702096842</v>
          </cell>
          <cell r="T16">
            <v>0.98325435490489776</v>
          </cell>
          <cell r="U16">
            <v>0.86735123960011129</v>
          </cell>
          <cell r="V16">
            <v>0.62475010485227422</v>
          </cell>
          <cell r="W16">
            <v>0.38214897010443705</v>
          </cell>
          <cell r="X16">
            <v>0.24769031971908376</v>
          </cell>
          <cell r="Y16">
            <v>0.11323166933373054</v>
          </cell>
          <cell r="Z16">
            <v>4</v>
          </cell>
          <cell r="AA16">
            <v>309.63415494519921</v>
          </cell>
          <cell r="AB16"/>
          <cell r="AC16">
            <v>1.0374357665405605</v>
          </cell>
          <cell r="AD16">
            <v>0.92804103418458439</v>
          </cell>
          <cell r="AE16">
            <v>0.8186463018286082</v>
          </cell>
          <cell r="AF16">
            <v>0.58966810624511379</v>
          </cell>
          <cell r="AG16">
            <v>0.36068991066161915</v>
          </cell>
          <cell r="AH16">
            <v>0.23378160424404323</v>
          </cell>
          <cell r="AI16">
            <v>0.10687329782646734</v>
          </cell>
        </row>
        <row r="17">
          <cell r="P17">
            <v>26</v>
          </cell>
          <cell r="Q17">
            <v>-9.1627046232368947E-2</v>
          </cell>
          <cell r="S17">
            <v>1.1251387626809322</v>
          </cell>
          <cell r="T17">
            <v>1.0167558582242817</v>
          </cell>
          <cell r="U17">
            <v>0.90837295376763105</v>
          </cell>
          <cell r="V17">
            <v>0.7733787383240136</v>
          </cell>
          <cell r="W17">
            <v>0.63838452288039604</v>
          </cell>
          <cell r="X17">
            <v>0.67556916590791438</v>
          </cell>
          <cell r="Y17">
            <v>0.71275380893543283</v>
          </cell>
          <cell r="Z17">
            <v>26</v>
          </cell>
          <cell r="AA17">
            <v>344.1237888751574</v>
          </cell>
          <cell r="AB17"/>
          <cell r="AC17">
            <v>1.0465596545366334</v>
          </cell>
          <cell r="AD17">
            <v>0.94574615596375067</v>
          </cell>
          <cell r="AE17">
            <v>0.84493265739086798</v>
          </cell>
          <cell r="AF17">
            <v>0.71936636800049858</v>
          </cell>
          <cell r="AG17">
            <v>0.59380007861012907</v>
          </cell>
          <cell r="AH17">
            <v>0.62838776543750341</v>
          </cell>
          <cell r="AI17">
            <v>0.66297545226487786</v>
          </cell>
        </row>
        <row r="18">
          <cell r="P18">
            <v>6</v>
          </cell>
          <cell r="Q18">
            <v>-0.12712425025731211</v>
          </cell>
          <cell r="S18">
            <v>1.1035440819154294</v>
          </cell>
          <cell r="T18">
            <v>0.98820991582905882</v>
          </cell>
          <cell r="U18">
            <v>0.87287574974268789</v>
          </cell>
          <cell r="V18">
            <v>0.76385123526434495</v>
          </cell>
          <cell r="W18">
            <v>0.65482672078600213</v>
          </cell>
          <cell r="X18">
            <v>0.52880702206360553</v>
          </cell>
          <cell r="Y18">
            <v>0.40278732334120904</v>
          </cell>
          <cell r="Z18">
            <v>6</v>
          </cell>
          <cell r="AA18">
            <v>1417.5518498040076</v>
          </cell>
          <cell r="AB18"/>
          <cell r="AC18">
            <v>1.038995011186612</v>
          </cell>
          <cell r="AD18">
            <v>0.93040703074534625</v>
          </cell>
          <cell r="AE18">
            <v>0.8218190503040802</v>
          </cell>
          <cell r="AF18">
            <v>0.71917165406828421</v>
          </cell>
          <cell r="AG18">
            <v>0.61652425783248821</v>
          </cell>
          <cell r="AH18">
            <v>0.49787576845221165</v>
          </cell>
          <cell r="AI18">
            <v>0.3792272790719351</v>
          </cell>
        </row>
        <row r="19">
          <cell r="P19">
            <v>25</v>
          </cell>
          <cell r="Q19">
            <v>-5.9412844925908925E-2</v>
          </cell>
          <cell r="S19">
            <v>1.1490012266760012</v>
          </cell>
          <cell r="T19">
            <v>1.0447941908750462</v>
          </cell>
          <cell r="U19">
            <v>0.94058715507409107</v>
          </cell>
          <cell r="V19">
            <v>0.72968910183164992</v>
          </cell>
          <cell r="W19">
            <v>0.51879104858920877</v>
          </cell>
          <cell r="X19">
            <v>0.40791415190597263</v>
          </cell>
          <cell r="Y19">
            <v>0.2970372552227365</v>
          </cell>
          <cell r="Z19">
            <v>25</v>
          </cell>
          <cell r="AA19">
            <v>891.91074081082036</v>
          </cell>
          <cell r="AB19"/>
          <cell r="AC19">
            <v>1.0547094275784428</v>
          </cell>
          <cell r="AD19">
            <v>0.95905405269496236</v>
          </cell>
          <cell r="AE19">
            <v>0.86339867781148205</v>
          </cell>
          <cell r="AF19">
            <v>0.66980779222449371</v>
          </cell>
          <cell r="AG19">
            <v>0.47621690663750527</v>
          </cell>
          <cell r="AH19">
            <v>0.37443902727809014</v>
          </cell>
          <cell r="AI19">
            <v>0.27266114791867496</v>
          </cell>
        </row>
        <row r="20">
          <cell r="P20">
            <v>16</v>
          </cell>
          <cell r="Q20">
            <v>-0.32927490070825605</v>
          </cell>
          <cell r="S20">
            <v>1.0236168910681038</v>
          </cell>
          <cell r="T20">
            <v>0.847170995179924</v>
          </cell>
          <cell r="U20">
            <v>0.67072509929174395</v>
          </cell>
          <cell r="V20">
            <v>0.52089391029322041</v>
          </cell>
          <cell r="W20">
            <v>0.37106272129469692</v>
          </cell>
          <cell r="X20">
            <v>0.2640965621765215</v>
          </cell>
          <cell r="Y20">
            <v>0.15713040305834608</v>
          </cell>
          <cell r="Z20">
            <v>16</v>
          </cell>
          <cell r="AA20">
            <v>2358.7987287510841</v>
          </cell>
          <cell r="AB20"/>
          <cell r="AC20">
            <v>1.0093147649536995</v>
          </cell>
          <cell r="AD20">
            <v>0.83533419713638479</v>
          </cell>
          <cell r="AE20">
            <v>0.66135362931906982</v>
          </cell>
          <cell r="AF20">
            <v>0.5136159037829281</v>
          </cell>
          <cell r="AG20">
            <v>0.36587817824678648</v>
          </cell>
          <cell r="AH20">
            <v>0.26040656607388984</v>
          </cell>
          <cell r="AI20">
            <v>0.15493495390099321</v>
          </cell>
        </row>
        <row r="21">
          <cell r="P21">
            <v>10</v>
          </cell>
          <cell r="Q21">
            <v>-0.37810565357087311</v>
          </cell>
          <cell r="S21">
            <v>1.084210737326976</v>
          </cell>
          <cell r="T21">
            <v>0.85305254187805135</v>
          </cell>
          <cell r="U21">
            <v>0.62189434642912689</v>
          </cell>
          <cell r="V21">
            <v>0.35580698370082453</v>
          </cell>
          <cell r="W21">
            <v>8.9719620972522215E-2</v>
          </cell>
          <cell r="X21">
            <v>-1.3972270051554447E-2</v>
          </cell>
          <cell r="Y21">
            <v>-0.11766416107563112</v>
          </cell>
          <cell r="Z21">
            <v>10</v>
          </cell>
          <cell r="AA21">
            <v>537.08933232981428</v>
          </cell>
          <cell r="AB21"/>
          <cell r="AC21">
            <v>1.0320642047371587</v>
          </cell>
          <cell r="AD21">
            <v>0.81202386484655387</v>
          </cell>
          <cell r="AE21">
            <v>0.59198352495594919</v>
          </cell>
          <cell r="AF21">
            <v>0.33869398174238324</v>
          </cell>
          <cell r="AG21">
            <v>8.540443852881735E-2</v>
          </cell>
          <cell r="AH21">
            <v>-1.3300255460190574E-2</v>
          </cell>
          <cell r="AI21">
            <v>-0.1120049494491985</v>
          </cell>
        </row>
        <row r="22">
          <cell r="P22">
            <v>21</v>
          </cell>
          <cell r="Q22">
            <v>-9.9059487030439319E-2</v>
          </cell>
          <cell r="S22">
            <v>1.139518943390613</v>
          </cell>
          <cell r="T22">
            <v>1.0202297281800867</v>
          </cell>
          <cell r="U22">
            <v>0.90094051296956068</v>
          </cell>
          <cell r="V22">
            <v>0.57134303836882527</v>
          </cell>
          <cell r="W22">
            <v>0.24174556376808978</v>
          </cell>
          <cell r="X22">
            <v>0.13266303085446737</v>
          </cell>
          <cell r="Y22">
            <v>2.3580497940844939E-2</v>
          </cell>
          <cell r="Z22">
            <v>21</v>
          </cell>
          <cell r="AA22">
            <v>1705.4700778744573</v>
          </cell>
          <cell r="AB22"/>
          <cell r="AC22">
            <v>1.05149671684303</v>
          </cell>
          <cell r="AD22">
            <v>0.94142200603968951</v>
          </cell>
          <cell r="AE22">
            <v>0.83134729523634898</v>
          </cell>
          <cell r="AF22">
            <v>0.5272096023681514</v>
          </cell>
          <cell r="AG22">
            <v>0.22307190949995379</v>
          </cell>
          <cell r="AH22">
            <v>0.12241546505129138</v>
          </cell>
          <cell r="AI22">
            <v>2.1759020602628919E-2</v>
          </cell>
        </row>
        <row r="23">
          <cell r="P23">
            <v>15</v>
          </cell>
          <cell r="Q23">
            <v>-0.28437775842117297</v>
          </cell>
          <cell r="S23">
            <v>1.0762920142261876</v>
          </cell>
          <cell r="T23">
            <v>0.89595712790250726</v>
          </cell>
          <cell r="U23">
            <v>0.71562224157882703</v>
          </cell>
          <cell r="V23">
            <v>0.64406541379238746</v>
          </cell>
          <cell r="W23">
            <v>0.57250858600594789</v>
          </cell>
          <cell r="X23">
            <v>0.43643705975908237</v>
          </cell>
          <cell r="Y23">
            <v>0.3003655335122169</v>
          </cell>
          <cell r="Z23">
            <v>15</v>
          </cell>
          <cell r="AA23">
            <v>733.54689019401553</v>
          </cell>
          <cell r="AB23"/>
          <cell r="AC23">
            <v>1.0291810376086508</v>
          </cell>
          <cell r="AD23">
            <v>0.85673968993491489</v>
          </cell>
          <cell r="AE23">
            <v>0.68429834226117914</v>
          </cell>
          <cell r="AF23">
            <v>0.6158736681989273</v>
          </cell>
          <cell r="AG23">
            <v>0.54744899413667547</v>
          </cell>
          <cell r="AH23">
            <v>0.4173335303771244</v>
          </cell>
          <cell r="AI23">
            <v>0.28721806661757326</v>
          </cell>
        </row>
        <row r="24">
          <cell r="P24">
            <v>13</v>
          </cell>
          <cell r="Q24">
            <v>-0.13793436216285782</v>
          </cell>
          <cell r="S24">
            <v>1.130554217468958</v>
          </cell>
          <cell r="T24">
            <v>0.99630992765305004</v>
          </cell>
          <cell r="U24">
            <v>0.86206563783714218</v>
          </cell>
          <cell r="V24">
            <v>0.61018280732902541</v>
          </cell>
          <cell r="W24">
            <v>0.35829997682090853</v>
          </cell>
          <cell r="X24">
            <v>0.22642881368468504</v>
          </cell>
          <cell r="Y24">
            <v>9.4557650548461519E-2</v>
          </cell>
          <cell r="Z24">
            <v>13</v>
          </cell>
          <cell r="AA24">
            <v>573.92657695895764</v>
          </cell>
          <cell r="AB24"/>
          <cell r="AC24">
            <v>1.0484281847309858</v>
          </cell>
          <cell r="AD24">
            <v>0.9239357058145049</v>
          </cell>
          <cell r="AE24">
            <v>0.79944322689802405</v>
          </cell>
          <cell r="AF24">
            <v>0.56585773875952317</v>
          </cell>
          <cell r="AG24">
            <v>0.33227225062102234</v>
          </cell>
          <cell r="AH24">
            <v>0.20998050905837526</v>
          </cell>
          <cell r="AI24">
            <v>8.7688767495728209E-2</v>
          </cell>
        </row>
        <row r="25">
          <cell r="P25">
            <v>14</v>
          </cell>
          <cell r="Q25">
            <v>-0.34967533428807718</v>
          </cell>
          <cell r="S25">
            <v>0.99857865982470606</v>
          </cell>
          <cell r="T25">
            <v>0.8244516627683145</v>
          </cell>
          <cell r="U25">
            <v>0.65032466571192282</v>
          </cell>
          <cell r="V25">
            <v>0.48970506632854049</v>
          </cell>
          <cell r="W25">
            <v>0.32908546694515817</v>
          </cell>
          <cell r="X25">
            <v>7.6429339639237356E-2</v>
          </cell>
          <cell r="Y25">
            <v>-0.17622678766668345</v>
          </cell>
          <cell r="Z25">
            <v>14</v>
          </cell>
          <cell r="AA25">
            <v>526.40489812399494</v>
          </cell>
          <cell r="AB25"/>
          <cell r="AC25">
            <v>0.99943097866615316</v>
          </cell>
          <cell r="AD25">
            <v>0.82515535864557588</v>
          </cell>
          <cell r="AE25">
            <v>0.65087973862499837</v>
          </cell>
          <cell r="AF25">
            <v>0.49012304527359141</v>
          </cell>
          <cell r="AG25">
            <v>0.32936635192218439</v>
          </cell>
          <cell r="AH25">
            <v>7.6494574526417211E-2</v>
          </cell>
          <cell r="AI25">
            <v>-0.17637720286934996</v>
          </cell>
        </row>
        <row r="26">
          <cell r="P26">
            <v>2</v>
          </cell>
          <cell r="Q26">
            <v>-0.41825215481125322</v>
          </cell>
          <cell r="S26">
            <v>0.98089845441580448</v>
          </cell>
          <cell r="T26">
            <v>0.78132314980227557</v>
          </cell>
          <cell r="U26">
            <v>0.58174784518874678</v>
          </cell>
          <cell r="V26">
            <v>0.37199868566984179</v>
          </cell>
          <cell r="W26">
            <v>0.16224952615093674</v>
          </cell>
          <cell r="X26">
            <v>6.5655418903609958E-2</v>
          </cell>
          <cell r="Y26">
            <v>-3.0938688343716811E-2</v>
          </cell>
          <cell r="Z26">
            <v>2</v>
          </cell>
          <cell r="AA26">
            <v>6578.9147120076013</v>
          </cell>
          <cell r="AB26"/>
          <cell r="AC26">
            <v>0.99227079794306983</v>
          </cell>
          <cell r="AD26">
            <v>0.79038165654714387</v>
          </cell>
          <cell r="AE26">
            <v>0.58849251515121814</v>
          </cell>
          <cell r="AF26">
            <v>0.37631156517952374</v>
          </cell>
          <cell r="AG26">
            <v>0.1641306152078294</v>
          </cell>
          <cell r="AH26">
            <v>6.6416614901867552E-2</v>
          </cell>
          <cell r="AI26">
            <v>-3.1297385404094276E-2</v>
          </cell>
        </row>
        <row r="27">
          <cell r="P27">
            <v>8</v>
          </cell>
          <cell r="Q27">
            <v>-4.719304601531038E-2</v>
          </cell>
          <cell r="S27">
            <v>1.1242395835255252</v>
          </cell>
          <cell r="T27">
            <v>1.0385232687551076</v>
          </cell>
          <cell r="U27">
            <v>0.95280695398468962</v>
          </cell>
          <cell r="V27">
            <v>0.81531617919415911</v>
          </cell>
          <cell r="W27">
            <v>0.67782540440362871</v>
          </cell>
          <cell r="X27">
            <v>0.63052771008394271</v>
          </cell>
          <cell r="Y27">
            <v>0.5832300157642567</v>
          </cell>
          <cell r="Z27">
            <v>8</v>
          </cell>
          <cell r="AA27">
            <v>739.30107944417409</v>
          </cell>
          <cell r="AB27"/>
          <cell r="AC27">
            <v>1.0462483108806662</v>
          </cell>
          <cell r="AD27">
            <v>0.96647834826981949</v>
          </cell>
          <cell r="AE27">
            <v>0.8867083856589727</v>
          </cell>
          <cell r="AF27">
            <v>0.75875568501204638</v>
          </cell>
          <cell r="AG27">
            <v>0.63080298436512017</v>
          </cell>
          <cell r="AH27">
            <v>0.58678644775168753</v>
          </cell>
          <cell r="AI27">
            <v>0.54276991113825479</v>
          </cell>
        </row>
        <row r="28">
          <cell r="P28">
            <v>11</v>
          </cell>
          <cell r="Q28">
            <v>-0.42826396038779746</v>
          </cell>
          <cell r="S28">
            <v>0.94542937593907495</v>
          </cell>
          <cell r="T28">
            <v>0.75858270777563874</v>
          </cell>
          <cell r="U28">
            <v>0.57173603961220254</v>
          </cell>
          <cell r="V28">
            <v>0.44281971941793835</v>
          </cell>
          <cell r="W28">
            <v>0.31390339922367405</v>
          </cell>
          <cell r="X28">
            <v>0.21156656258699444</v>
          </cell>
          <cell r="Y28">
            <v>0.10922972595031485</v>
          </cell>
          <cell r="Z28">
            <v>11</v>
          </cell>
          <cell r="AA28">
            <v>3943.3355779938456</v>
          </cell>
          <cell r="AB28"/>
          <cell r="AC28">
            <v>0.97743284824283005</v>
          </cell>
          <cell r="AD28">
            <v>0.78426128440574527</v>
          </cell>
          <cell r="AE28">
            <v>0.59108972056866038</v>
          </cell>
          <cell r="AF28">
            <v>0.45780948913169633</v>
          </cell>
          <cell r="AG28">
            <v>0.32452925769473223</v>
          </cell>
          <cell r="AH28">
            <v>0.21872824467395965</v>
          </cell>
          <cell r="AI28">
            <v>0.11292723165318709</v>
          </cell>
        </row>
        <row r="29">
          <cell r="P29">
            <v>27</v>
          </cell>
          <cell r="Q29">
            <v>-0.28271810520477403</v>
          </cell>
          <cell r="S29">
            <v>1.0632252938654592</v>
          </cell>
          <cell r="T29">
            <v>0.89025359433034257</v>
          </cell>
          <cell r="U29">
            <v>0.71728189479522597</v>
          </cell>
          <cell r="V29">
            <v>0.52895941294601012</v>
          </cell>
          <cell r="W29">
            <v>0.34063693109679422</v>
          </cell>
          <cell r="X29">
            <v>0.22692380630044995</v>
          </cell>
          <cell r="Y29">
            <v>0.11321068150410574</v>
          </cell>
          <cell r="Z29">
            <v>27</v>
          </cell>
          <cell r="AA29">
            <v>49525.354950232366</v>
          </cell>
          <cell r="AB29"/>
          <cell r="AC29">
            <v>1.0243657967503013</v>
          </cell>
          <cell r="AD29">
            <v>0.85771598712682506</v>
          </cell>
          <cell r="AE29">
            <v>0.69106617750334876</v>
          </cell>
          <cell r="AF29">
            <v>0.50962663662850827</v>
          </cell>
          <cell r="AG29">
            <v>0.32818709575366783</v>
          </cell>
          <cell r="AH29">
            <v>0.21863003728726768</v>
          </cell>
          <cell r="AI29">
            <v>0.10907297882086753</v>
          </cell>
        </row>
      </sheetData>
      <sheetData sheetId="11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ocu"/>
      <sheetName val="Fig Impact new NDCs"/>
      <sheetName val="Fig Reduction"/>
      <sheetName val="Fig Gap"/>
      <sheetName val="Fig NDC types"/>
      <sheetName val="Tables Intentsity"/>
      <sheetName val="Table LULUCF"/>
      <sheetName val="Table PerCap"/>
      <sheetName val="Overview NDCs"/>
      <sheetName val="NDCs"/>
      <sheetName val="input site"/>
      <sheetName val="NZ targets"/>
      <sheetName val="NZT data"/>
      <sheetName val="Surpluses"/>
      <sheetName val="UNEP EGR"/>
      <sheetName val="IIASA Proj"/>
      <sheetName val="input FAIR"/>
      <sheetName val="ARG"/>
      <sheetName val="AUS"/>
      <sheetName val="BRA"/>
      <sheetName val="CAN"/>
      <sheetName val="CHI"/>
      <sheetName val="EU27"/>
      <sheetName val="USA"/>
      <sheetName val="UK"/>
      <sheetName val="IND"/>
      <sheetName val="INDO"/>
      <sheetName val="JAP"/>
      <sheetName val="MEX"/>
      <sheetName val="RUS"/>
      <sheetName val="SAF"/>
      <sheetName val="SKOR"/>
      <sheetName val="TUR"/>
      <sheetName val="CHL"/>
      <sheetName val="COL"/>
      <sheetName val="EGP"/>
      <sheetName val="ETH"/>
      <sheetName val="IRA"/>
      <sheetName val="KAZ"/>
      <sheetName val="MAR"/>
      <sheetName val="SAU"/>
      <sheetName val="PHL"/>
      <sheetName val="THA"/>
      <sheetName val="UKR"/>
      <sheetName val="COD"/>
      <sheetName val="UAE"/>
      <sheetName val="VTN"/>
      <sheetName val="Factsheet"/>
      <sheetName val="Factsheet2019"/>
      <sheetName val="Factsheet2021_preCOVID"/>
      <sheetName val="Factsheet2021_postCOVID"/>
      <sheetName val="Factsheet2022_postCOVID"/>
      <sheetName val="Factsheet2022_postCOVID_SSP1"/>
      <sheetName val="Factsheet2022_postCOVID_SSP3"/>
      <sheetName val="Factsheet2023"/>
      <sheetName val="Factsheet2023_SSP1"/>
      <sheetName val="Factsheet2023_SSP3"/>
      <sheetName val="PBL_CurPol"/>
      <sheetName val="PBL_CurPol2019"/>
      <sheetName val="PBL_CurPol2021_preCOVID"/>
      <sheetName val="PBL_CurPol2021_postCOVID"/>
      <sheetName val="PBL_CurPol2022_postCOVID"/>
      <sheetName val="PBL_CurPol2022_postCOVID_SSP1"/>
      <sheetName val="PBL_CurPol2022_postCOVID_SSP3"/>
      <sheetName val="PBL_CurPol2023"/>
      <sheetName val="PBL_CurPol2024_SSP3"/>
      <sheetName val="PBL_CurPol2024_SSP1"/>
      <sheetName val="DATA"/>
      <sheetName val="IMAGE CurPol SSP"/>
      <sheetName val="IMAGE SSP2 2024 CurPol"/>
      <sheetName val="IMAGE SSP1 2024 CurPol"/>
      <sheetName val="IMAGE SSP3 2024 CurPol"/>
      <sheetName val="IMAGE CDLINKS CurPol"/>
      <sheetName val="GDP_OECD (2019)andCAT"/>
      <sheetName val="Pledge 2020"/>
      <sheetName val="CRF"/>
      <sheetName val="CRF 2023"/>
      <sheetName val="BUR"/>
      <sheetName val="NatCom"/>
      <sheetName val="GHG_hist"/>
      <sheetName val="EDGAR23"/>
      <sheetName val="PRIMAPExcl_CR"/>
      <sheetName val="PRIMAPExcl_TP"/>
      <sheetName val="LULUCF_hist"/>
      <sheetName val="LUC NGHGI"/>
      <sheetName val="FAOSTAT21"/>
      <sheetName val="PRIMAP_TP"/>
      <sheetName val="IIASA"/>
      <sheetName val="FAOSTAT21 CO2"/>
      <sheetName val="FAOSTAT CO2"/>
      <sheetName val="Add info"/>
      <sheetName val="IMAGE SSP2"/>
      <sheetName val="IMAGE CurPol"/>
      <sheetName val="IMAGE COMMIT CurPol"/>
      <sheetName val="TBD"/>
      <sheetName val="Graph Map NDC"/>
      <sheetName val="NDCs-LULUCF"/>
      <sheetName val="NOT USED"/>
      <sheetName val="CRF 2019"/>
      <sheetName val="EDGAR+FAO"/>
      <sheetName val="FactshHist"/>
      <sheetName val="EDGAR FAO 2021 input"/>
      <sheetName val="PBLMax"/>
      <sheetName val="IMAGE BAU"/>
      <sheetName val="NCMin"/>
      <sheetName val="NCMax"/>
      <sheetName val="UNFCCC SAR"/>
      <sheetName val="SSP"/>
      <sheetName val="FAOSTAT"/>
      <sheetName val="ghg-emissions"/>
      <sheetName val="Variation median"/>
      <sheetName val="Factsheet2021_NDC"/>
      <sheetName val="IMAGE CDLINKS 2C"/>
      <sheetName val="IMAGE CDLINKS 1_5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ow r="3">
          <cell r="EH3">
            <v>7.4482099999999996E-2</v>
          </cell>
        </row>
        <row r="4">
          <cell r="EH4">
            <v>-0.35832979999999998</v>
          </cell>
        </row>
        <row r="5">
          <cell r="EH5">
            <v>3.2612799999999997E-2</v>
          </cell>
        </row>
        <row r="6">
          <cell r="EH6">
            <v>-4.0097279999999999E-2</v>
          </cell>
        </row>
        <row r="7">
          <cell r="EH7">
            <v>0</v>
          </cell>
        </row>
        <row r="8">
          <cell r="EH8">
            <v>35.596092860000006</v>
          </cell>
        </row>
        <row r="9">
          <cell r="EH9">
            <v>0</v>
          </cell>
        </row>
        <row r="10">
          <cell r="EH10">
            <v>36.878160979999997</v>
          </cell>
        </row>
        <row r="11">
          <cell r="EH11">
            <v>1.3211500000000004E-2</v>
          </cell>
        </row>
        <row r="12">
          <cell r="EH12">
            <v>-1.0906000000000002E-4</v>
          </cell>
        </row>
        <row r="13">
          <cell r="EH13">
            <v>-4.1382952600000014</v>
          </cell>
        </row>
        <row r="14">
          <cell r="EH14">
            <v>-7.1119691199999995</v>
          </cell>
        </row>
        <row r="15">
          <cell r="EH15">
            <v>-2.1024876799999999</v>
          </cell>
        </row>
        <row r="16">
          <cell r="EH16">
            <v>0</v>
          </cell>
        </row>
        <row r="17">
          <cell r="EH17">
            <v>-2.8900599999999999E-3</v>
          </cell>
        </row>
        <row r="18">
          <cell r="EH18">
            <v>21.771644460000005</v>
          </cell>
        </row>
        <row r="19">
          <cell r="EH19">
            <v>-1.6357400000000001E-3</v>
          </cell>
        </row>
        <row r="20">
          <cell r="EH20">
            <v>-20.44960056</v>
          </cell>
        </row>
        <row r="21">
          <cell r="EH21">
            <v>-0.34446821999999999</v>
          </cell>
        </row>
        <row r="22">
          <cell r="EH22">
            <v>5.2810581000000001</v>
          </cell>
        </row>
        <row r="23">
          <cell r="EH23">
            <v>10.7103333</v>
          </cell>
        </row>
        <row r="24">
          <cell r="EH24">
            <v>0</v>
          </cell>
        </row>
        <row r="25">
          <cell r="EH25">
            <v>-1.3179319</v>
          </cell>
        </row>
        <row r="26">
          <cell r="EH26">
            <v>65.861280300000004</v>
          </cell>
        </row>
        <row r="27">
          <cell r="EH27">
            <v>-2.1320828000000001</v>
          </cell>
        </row>
        <row r="28">
          <cell r="EH28">
            <v>41.32902962</v>
          </cell>
        </row>
        <row r="29">
          <cell r="EH29">
            <v>359.83997556000003</v>
          </cell>
        </row>
        <row r="30">
          <cell r="EH30">
            <v>0.34648055999999999</v>
          </cell>
        </row>
        <row r="31">
          <cell r="EH31">
            <v>-29.466657280000003</v>
          </cell>
        </row>
        <row r="32">
          <cell r="EH32">
            <v>20.454954659999999</v>
          </cell>
        </row>
        <row r="33">
          <cell r="EH33">
            <v>2.50640938</v>
          </cell>
        </row>
        <row r="34">
          <cell r="EH34">
            <v>36.189124439999993</v>
          </cell>
        </row>
        <row r="35">
          <cell r="EH35">
            <v>33.75561502</v>
          </cell>
        </row>
        <row r="36">
          <cell r="EH36">
            <v>55.194866299999987</v>
          </cell>
        </row>
        <row r="37">
          <cell r="EH37">
            <v>-6.2920000000000004E-2</v>
          </cell>
        </row>
        <row r="38">
          <cell r="EH38">
            <v>-3.3026399999999999E-3</v>
          </cell>
        </row>
        <row r="39">
          <cell r="EH39">
            <v>13.979763739999999</v>
          </cell>
        </row>
        <row r="40">
          <cell r="EH40">
            <v>23.846184299999997</v>
          </cell>
        </row>
        <row r="41">
          <cell r="EH41">
            <v>-62.564191140000005</v>
          </cell>
        </row>
        <row r="42">
          <cell r="EH42">
            <v>-662.11445184000002</v>
          </cell>
        </row>
        <row r="43">
          <cell r="EH43">
            <v>77.673816639999998</v>
          </cell>
        </row>
        <row r="44">
          <cell r="EH44">
            <v>5.9855599999999995E-2</v>
          </cell>
        </row>
        <row r="45">
          <cell r="EH45">
            <v>601.37180492000005</v>
          </cell>
        </row>
        <row r="46">
          <cell r="EH46">
            <v>10.252990299999999</v>
          </cell>
        </row>
        <row r="47">
          <cell r="EH47">
            <v>-3.0422999999999995E-3</v>
          </cell>
        </row>
        <row r="48">
          <cell r="EH48">
            <v>-7.2967307000000003</v>
          </cell>
        </row>
        <row r="49">
          <cell r="EH49">
            <v>26.638938239999998</v>
          </cell>
        </row>
        <row r="50">
          <cell r="EH50">
            <v>-3.7752815599999998</v>
          </cell>
        </row>
        <row r="51">
          <cell r="EH51">
            <v>-4.9813221399999996</v>
          </cell>
        </row>
        <row r="52">
          <cell r="EH52">
            <v>-0.26240743999999999</v>
          </cell>
        </row>
        <row r="53">
          <cell r="EH53">
            <v>-5.3801266999999999</v>
          </cell>
        </row>
        <row r="54">
          <cell r="EH54">
            <v>0.29467798000000001</v>
          </cell>
        </row>
        <row r="55">
          <cell r="EH55">
            <v>4.7200000000000005E-6</v>
          </cell>
        </row>
        <row r="56">
          <cell r="EH56">
            <v>-1.242892E-2</v>
          </cell>
        </row>
        <row r="57">
          <cell r="EH57">
            <v>-1.4809410000000003</v>
          </cell>
        </row>
        <row r="58">
          <cell r="EH58">
            <v>24.328864300000003</v>
          </cell>
        </row>
        <row r="59">
          <cell r="EH59">
            <v>0.32928440000000003</v>
          </cell>
        </row>
        <row r="60">
          <cell r="EH60">
            <v>1.0810799999999998</v>
          </cell>
        </row>
        <row r="61">
          <cell r="EH61">
            <v>3.8326484400000007</v>
          </cell>
        </row>
        <row r="62">
          <cell r="EH62">
            <v>0.43373273999999995</v>
          </cell>
        </row>
        <row r="63">
          <cell r="EH63">
            <v>0.3239547599999999</v>
          </cell>
        </row>
        <row r="64">
          <cell r="EH64">
            <v>31.714650819999996</v>
          </cell>
        </row>
        <row r="65">
          <cell r="EH65">
            <v>1.650954E-2</v>
          </cell>
        </row>
        <row r="66">
          <cell r="EH66">
            <v>0.24960620000000003</v>
          </cell>
        </row>
        <row r="67">
          <cell r="EH67">
            <v>-2.5444952200000004</v>
          </cell>
        </row>
        <row r="68">
          <cell r="EH68">
            <v>-5.4843066599999988</v>
          </cell>
        </row>
        <row r="69">
          <cell r="EH69">
            <v>-61.806939739999997</v>
          </cell>
        </row>
        <row r="70">
          <cell r="EH70">
            <v>2.7016160599999997</v>
          </cell>
        </row>
        <row r="71">
          <cell r="EH71">
            <v>0</v>
          </cell>
        </row>
        <row r="72">
          <cell r="EH72">
            <v>6.4567354199999993</v>
          </cell>
        </row>
        <row r="73">
          <cell r="EH73">
            <v>0.52768230000000005</v>
          </cell>
        </row>
        <row r="74">
          <cell r="EH74">
            <v>0</v>
          </cell>
        </row>
        <row r="75">
          <cell r="EH75">
            <v>-29.427675540000003</v>
          </cell>
        </row>
        <row r="76">
          <cell r="EH76">
            <v>-14.0611341</v>
          </cell>
        </row>
        <row r="77">
          <cell r="EH77">
            <v>0</v>
          </cell>
        </row>
        <row r="78">
          <cell r="EH78">
            <v>1.3938889000000001</v>
          </cell>
        </row>
        <row r="79">
          <cell r="EH79">
            <v>-9.3919999999999982E-5</v>
          </cell>
        </row>
        <row r="80">
          <cell r="EH80">
            <v>0</v>
          </cell>
        </row>
        <row r="81">
          <cell r="EH81">
            <v>1.570214E-2</v>
          </cell>
        </row>
        <row r="82">
          <cell r="EH82">
            <v>4.1584904800000002</v>
          </cell>
        </row>
        <row r="83">
          <cell r="EH83">
            <v>12.006114499999999</v>
          </cell>
        </row>
        <row r="84">
          <cell r="EH84">
            <v>1.4866332000000002</v>
          </cell>
        </row>
        <row r="85">
          <cell r="EH85">
            <v>14.60500246</v>
          </cell>
        </row>
        <row r="86">
          <cell r="EH86">
            <v>0.63798546000000012</v>
          </cell>
        </row>
        <row r="87">
          <cell r="EH87">
            <v>5.5990640799999998</v>
          </cell>
        </row>
        <row r="88">
          <cell r="EH88">
            <v>0</v>
          </cell>
        </row>
        <row r="89">
          <cell r="EH89">
            <v>1.78447958</v>
          </cell>
        </row>
        <row r="90">
          <cell r="EH90">
            <v>-8.1527539999999996E-2</v>
          </cell>
        </row>
        <row r="91">
          <cell r="EH91">
            <v>-40.385384479999992</v>
          </cell>
        </row>
        <row r="92">
          <cell r="EH92">
            <v>749.40719882000008</v>
          </cell>
        </row>
        <row r="93">
          <cell r="EH93">
            <v>4.4540320000000001E-2</v>
          </cell>
        </row>
        <row r="94">
          <cell r="EH94">
            <v>0.41382000000000002</v>
          </cell>
        </row>
        <row r="95">
          <cell r="EH95">
            <v>-2.68418812</v>
          </cell>
        </row>
        <row r="96">
          <cell r="EH96">
            <v>5.6410959999999996E-2</v>
          </cell>
        </row>
        <row r="97">
          <cell r="EH97">
            <v>-17.188714900000001</v>
          </cell>
        </row>
        <row r="98">
          <cell r="EH98">
            <v>0.19129224</v>
          </cell>
        </row>
        <row r="99">
          <cell r="EH99">
            <v>-35.603964400000002</v>
          </cell>
        </row>
        <row r="100">
          <cell r="EH100">
            <v>0</v>
          </cell>
        </row>
        <row r="101">
          <cell r="EH101">
            <v>-4.3592485999999999</v>
          </cell>
        </row>
        <row r="102">
          <cell r="EH102">
            <v>-4.4392426</v>
          </cell>
        </row>
        <row r="103">
          <cell r="EH103">
            <v>0</v>
          </cell>
        </row>
        <row r="104">
          <cell r="EH104">
            <v>3.2706082199999997</v>
          </cell>
        </row>
        <row r="105">
          <cell r="EH105">
            <v>-46.730949459999998</v>
          </cell>
        </row>
        <row r="106">
          <cell r="EH106">
            <v>-4.4254600000000009E-3</v>
          </cell>
        </row>
        <row r="107">
          <cell r="EH107">
            <v>-2.7613780999999995</v>
          </cell>
        </row>
        <row r="108">
          <cell r="EH108">
            <v>8.6690450000000006</v>
          </cell>
        </row>
        <row r="109">
          <cell r="EH109">
            <v>-2.7592211999999998</v>
          </cell>
        </row>
        <row r="110">
          <cell r="EH110">
            <v>-7.7998159999999997E-2</v>
          </cell>
        </row>
        <row r="111">
          <cell r="EH111">
            <v>0</v>
          </cell>
        </row>
        <row r="112">
          <cell r="EH112">
            <v>13.438674539999999</v>
          </cell>
        </row>
        <row r="113">
          <cell r="EH113">
            <v>0</v>
          </cell>
        </row>
        <row r="115">
          <cell r="EH115">
            <v>-1.7177963400000003</v>
          </cell>
        </row>
        <row r="116">
          <cell r="EH116">
            <v>-0.27030818000000001</v>
          </cell>
        </row>
        <row r="117">
          <cell r="EH117">
            <v>0</v>
          </cell>
        </row>
        <row r="118">
          <cell r="EH118">
            <v>0</v>
          </cell>
        </row>
        <row r="119">
          <cell r="EH119">
            <v>10.11313384</v>
          </cell>
        </row>
        <row r="120">
          <cell r="EH120">
            <v>8.1432711600000012</v>
          </cell>
        </row>
        <row r="121">
          <cell r="EH121">
            <v>41.979421019999997</v>
          </cell>
        </row>
        <row r="122">
          <cell r="EH122">
            <v>0</v>
          </cell>
        </row>
        <row r="123">
          <cell r="EH123">
            <v>0</v>
          </cell>
        </row>
        <row r="124">
          <cell r="EH124">
            <v>-3.6888199999999998E-3</v>
          </cell>
        </row>
        <row r="125">
          <cell r="EH125">
            <v>0</v>
          </cell>
        </row>
        <row r="126">
          <cell r="EH126">
            <v>-0.13200000000000001</v>
          </cell>
        </row>
        <row r="127">
          <cell r="EH127">
            <v>-0.78686544000000014</v>
          </cell>
        </row>
        <row r="128">
          <cell r="EH128">
            <v>-1.8994100000000003E-2</v>
          </cell>
        </row>
        <row r="129">
          <cell r="EH129">
            <v>14.328231120000002</v>
          </cell>
        </row>
        <row r="130">
          <cell r="EH130">
            <v>-3.3808519999999995E-2</v>
          </cell>
        </row>
        <row r="131">
          <cell r="EH131">
            <v>-4.3903599999999985E-3</v>
          </cell>
        </row>
        <row r="133">
          <cell r="EH133">
            <v>3.1141446400000001</v>
          </cell>
        </row>
        <row r="134">
          <cell r="EH134">
            <v>-6.491E-4</v>
          </cell>
        </row>
        <row r="135">
          <cell r="EH135">
            <v>-1.8394529399999999</v>
          </cell>
        </row>
        <row r="136">
          <cell r="EH136">
            <v>51.378178439999999</v>
          </cell>
        </row>
        <row r="137">
          <cell r="EH137">
            <v>104.45441201999999</v>
          </cell>
        </row>
        <row r="138">
          <cell r="EH138">
            <v>10.560552640000001</v>
          </cell>
        </row>
        <row r="139">
          <cell r="EH139">
            <v>0</v>
          </cell>
        </row>
        <row r="140">
          <cell r="EH140">
            <v>2.9626490799999998</v>
          </cell>
        </row>
        <row r="141">
          <cell r="EH141">
            <v>1.36095122</v>
          </cell>
        </row>
        <row r="142">
          <cell r="EH142">
            <v>-9.6040000000000009E-5</v>
          </cell>
        </row>
        <row r="143">
          <cell r="EH143">
            <v>3.09357E-2</v>
          </cell>
        </row>
        <row r="144">
          <cell r="EH144">
            <v>-11.834497799999999</v>
          </cell>
        </row>
        <row r="145">
          <cell r="EH145">
            <v>17.80510714</v>
          </cell>
        </row>
        <row r="146">
          <cell r="EH146">
            <v>1.2412289999999999</v>
          </cell>
        </row>
        <row r="147">
          <cell r="EH147">
            <v>45.991605659999991</v>
          </cell>
        </row>
        <row r="148">
          <cell r="EH148">
            <v>-2.2069799999999999E-3</v>
          </cell>
        </row>
        <row r="149">
          <cell r="EH149">
            <v>0.8131311200000001</v>
          </cell>
        </row>
        <row r="150">
          <cell r="EH150">
            <v>-18.936801519999999</v>
          </cell>
        </row>
        <row r="151">
          <cell r="EH151">
            <v>1.52856E-2</v>
          </cell>
        </row>
        <row r="152">
          <cell r="EH152">
            <v>6.6869688600000003</v>
          </cell>
        </row>
        <row r="153">
          <cell r="EH153">
            <v>0</v>
          </cell>
        </row>
        <row r="154">
          <cell r="EH154">
            <v>4.3970465799999996</v>
          </cell>
        </row>
        <row r="155">
          <cell r="EH155">
            <v>40.755963660000006</v>
          </cell>
        </row>
        <row r="156">
          <cell r="EH156">
            <v>50.407953399999997</v>
          </cell>
        </row>
        <row r="157">
          <cell r="EH157">
            <v>89.607203679999998</v>
          </cell>
        </row>
        <row r="158">
          <cell r="EH158">
            <v>2.4555992799999999</v>
          </cell>
        </row>
        <row r="159">
          <cell r="EH159">
            <v>0</v>
          </cell>
        </row>
        <row r="160">
          <cell r="EH160">
            <v>-31.742537700000003</v>
          </cell>
        </row>
        <row r="161">
          <cell r="EH161">
            <v>7.5473820000000011E-2</v>
          </cell>
        </row>
        <row r="162">
          <cell r="EH162">
            <v>-2.17844164</v>
          </cell>
        </row>
        <row r="163">
          <cell r="EH163">
            <v>0</v>
          </cell>
        </row>
        <row r="164">
          <cell r="EH164">
            <v>-0.12302399999999999</v>
          </cell>
        </row>
        <row r="165">
          <cell r="EH165">
            <v>-75.331099460000004</v>
          </cell>
        </row>
        <row r="166">
          <cell r="EH166">
            <v>-584.49849449999999</v>
          </cell>
        </row>
        <row r="167">
          <cell r="EH167">
            <v>1.6871720400000001</v>
          </cell>
        </row>
        <row r="168">
          <cell r="EH168">
            <v>0.10706568000000001</v>
          </cell>
        </row>
        <row r="170">
          <cell r="EH170">
            <v>0.21530740000000001</v>
          </cell>
        </row>
        <row r="171">
          <cell r="EH171">
            <v>0</v>
          </cell>
        </row>
        <row r="172">
          <cell r="EH172">
            <v>4.3580256399999993</v>
          </cell>
        </row>
        <row r="173">
          <cell r="EH173">
            <v>0</v>
          </cell>
        </row>
        <row r="174">
          <cell r="EH174">
            <v>0</v>
          </cell>
        </row>
        <row r="175">
          <cell r="EH175">
            <v>3.3457435199999992</v>
          </cell>
        </row>
        <row r="176">
          <cell r="EH176">
            <v>1.6099059999999998E-2</v>
          </cell>
        </row>
        <row r="177">
          <cell r="EH177">
            <v>-2.3745686600000004</v>
          </cell>
        </row>
        <row r="178">
          <cell r="EH178">
            <v>-0.24984353999999992</v>
          </cell>
        </row>
        <row r="179">
          <cell r="EH179">
            <v>32.763690939999996</v>
          </cell>
        </row>
        <row r="180">
          <cell r="EH180">
            <v>17.3521517</v>
          </cell>
        </row>
        <row r="181">
          <cell r="EH181">
            <v>6.5003871799999997</v>
          </cell>
        </row>
        <row r="182">
          <cell r="EH182">
            <v>-12.679676179999998</v>
          </cell>
        </row>
        <row r="183">
          <cell r="EH183">
            <v>1.6535303600000002</v>
          </cell>
        </row>
        <row r="184">
          <cell r="EH184">
            <v>2.1026000000000001E-4</v>
          </cell>
        </row>
        <row r="185">
          <cell r="EH185">
            <v>0</v>
          </cell>
        </row>
        <row r="186">
          <cell r="EH186">
            <v>-0.14634264000000002</v>
          </cell>
        </row>
        <row r="187">
          <cell r="EH187">
            <v>1.3688999999999999E-3</v>
          </cell>
        </row>
        <row r="188">
          <cell r="EH188">
            <v>0</v>
          </cell>
        </row>
        <row r="189">
          <cell r="EH189">
            <v>0</v>
          </cell>
        </row>
        <row r="190">
          <cell r="EH190">
            <v>9.1373608599999994</v>
          </cell>
        </row>
        <row r="191">
          <cell r="EH191">
            <v>-0.12908617999999999</v>
          </cell>
        </row>
        <row r="192">
          <cell r="EH192">
            <v>-17.61069058</v>
          </cell>
        </row>
        <row r="193">
          <cell r="EH193">
            <v>-2.2343125000000001</v>
          </cell>
        </row>
        <row r="194">
          <cell r="EH194">
            <v>-0.13212284000000002</v>
          </cell>
        </row>
        <row r="195">
          <cell r="EH195">
            <v>0</v>
          </cell>
        </row>
        <row r="196">
          <cell r="EH196">
            <v>-0.18328083999999997</v>
          </cell>
        </row>
        <row r="197">
          <cell r="EH197">
            <v>61.677148880000004</v>
          </cell>
        </row>
        <row r="198">
          <cell r="EH198">
            <v>10.489496320000001</v>
          </cell>
        </row>
        <row r="199">
          <cell r="EH199">
            <v>0.46323199999999998</v>
          </cell>
        </row>
        <row r="200">
          <cell r="EH200">
            <v>0.83751948000000009</v>
          </cell>
        </row>
        <row r="201">
          <cell r="EH201">
            <v>0</v>
          </cell>
        </row>
        <row r="202">
          <cell r="EH202">
            <v>0</v>
          </cell>
        </row>
        <row r="203">
          <cell r="EH203">
            <v>0.12313282</v>
          </cell>
        </row>
        <row r="204">
          <cell r="EH204">
            <v>-2.25214078</v>
          </cell>
        </row>
        <row r="205">
          <cell r="EH205">
            <v>-34.854349640000002</v>
          </cell>
        </row>
        <row r="206">
          <cell r="EH206">
            <v>0</v>
          </cell>
        </row>
        <row r="207">
          <cell r="EH207">
            <v>0</v>
          </cell>
        </row>
        <row r="208">
          <cell r="EH208">
            <v>-1.9513999999999995E-4</v>
          </cell>
        </row>
        <row r="209">
          <cell r="EH209">
            <v>15.824938139999997</v>
          </cell>
        </row>
        <row r="210">
          <cell r="EH210">
            <v>-12.597293539999999</v>
          </cell>
        </row>
        <row r="211">
          <cell r="EH211">
            <v>0</v>
          </cell>
        </row>
        <row r="212">
          <cell r="EH212">
            <v>-10.62937556</v>
          </cell>
        </row>
        <row r="213">
          <cell r="EH213">
            <v>-269.26605059999997</v>
          </cell>
        </row>
        <row r="214">
          <cell r="EH214">
            <v>-2.7929139399999996</v>
          </cell>
        </row>
        <row r="215">
          <cell r="EH215">
            <v>-3.31715362</v>
          </cell>
        </row>
        <row r="216">
          <cell r="EH216">
            <v>0</v>
          </cell>
        </row>
        <row r="218">
          <cell r="EH218">
            <v>56.115642080000001</v>
          </cell>
        </row>
        <row r="219">
          <cell r="EH219">
            <v>-14.460313640000001</v>
          </cell>
        </row>
        <row r="220">
          <cell r="EH220">
            <v>0</v>
          </cell>
        </row>
        <row r="221">
          <cell r="EH221">
            <v>-0.14084201999999998</v>
          </cell>
        </row>
        <row r="222">
          <cell r="EH222">
            <v>1.3154E-4</v>
          </cell>
        </row>
        <row r="223">
          <cell r="EH223">
            <v>-0.11136114</v>
          </cell>
        </row>
        <row r="224">
          <cell r="EH224">
            <v>0</v>
          </cell>
        </row>
        <row r="225">
          <cell r="EH225">
            <v>32.791577439999998</v>
          </cell>
        </row>
        <row r="226">
          <cell r="EH226">
            <v>71.993984740000002</v>
          </cell>
        </row>
        <row r="227">
          <cell r="EH227">
            <v>-313.06811524</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quity"/>
      <sheetName val="Figure Equity"/>
      <sheetName val="Infographics"/>
      <sheetName val="Equity indicators"/>
      <sheetName val="Population90 20"/>
      <sheetName val="Overview GDP (PPP)"/>
      <sheetName val="Credibility Rogelj"/>
      <sheetName val="Pivot"/>
      <sheetName val="Figure"/>
      <sheetName val="EGR2023_MASTER"/>
      <sheetName val="September 2023 Update (WRI)"/>
      <sheetName val="CAT_NZ_Nov22"/>
    </sheetNames>
    <sheetDataSet>
      <sheetData sheetId="0"/>
      <sheetData sheetId="1"/>
      <sheetData sheetId="2"/>
      <sheetData sheetId="3"/>
      <sheetData sheetId="4"/>
      <sheetData sheetId="5"/>
      <sheetData sheetId="6"/>
      <sheetData sheetId="7"/>
      <sheetData sheetId="8"/>
      <sheetData sheetId="9"/>
      <sheetData sheetId="10"/>
      <sheetData sheetId="11">
        <row r="16">
          <cell r="C16" t="str">
            <v>CHL</v>
          </cell>
          <cell r="Q16" t="str">
            <v>Credible</v>
          </cell>
        </row>
        <row r="17">
          <cell r="C17" t="str">
            <v>COL</v>
          </cell>
          <cell r="Q17" t="str">
            <v>Credible</v>
          </cell>
        </row>
        <row r="18">
          <cell r="C18" t="str">
            <v>CRI</v>
          </cell>
          <cell r="Q18" t="str">
            <v>Credible</v>
          </cell>
        </row>
        <row r="19">
          <cell r="C19" t="str">
            <v>EU27</v>
          </cell>
          <cell r="Q19" t="str">
            <v>Credible</v>
          </cell>
        </row>
        <row r="20">
          <cell r="C20" t="str">
            <v>GBR</v>
          </cell>
          <cell r="Q20" t="str">
            <v>Credible</v>
          </cell>
        </row>
        <row r="21">
          <cell r="C21" t="str">
            <v>VNM</v>
          </cell>
          <cell r="Q21" t="str">
            <v>Credible</v>
          </cell>
        </row>
        <row r="22">
          <cell r="C22" t="str">
            <v>CAN</v>
          </cell>
          <cell r="Q22" t="str">
            <v>Credible</v>
          </cell>
        </row>
        <row r="23">
          <cell r="C23" t="str">
            <v>DEU</v>
          </cell>
          <cell r="Q23" t="str">
            <v>Credible</v>
          </cell>
        </row>
        <row r="24">
          <cell r="C24" t="str">
            <v>NGA</v>
          </cell>
          <cell r="Q24" t="str">
            <v>Credible</v>
          </cell>
        </row>
        <row r="25">
          <cell r="C25" t="str">
            <v>KOR</v>
          </cell>
          <cell r="Q25" t="str">
            <v>Credible</v>
          </cell>
        </row>
        <row r="26">
          <cell r="C26" t="str">
            <v>CHE</v>
          </cell>
          <cell r="Q26" t="str">
            <v>Credible</v>
          </cell>
        </row>
        <row r="27">
          <cell r="C27" t="str">
            <v>THA</v>
          </cell>
          <cell r="Q27" t="str">
            <v>Credible</v>
          </cell>
        </row>
        <row r="28">
          <cell r="C28" t="str">
            <v>USA</v>
          </cell>
          <cell r="Q28" t="str">
            <v>Credible</v>
          </cell>
        </row>
        <row r="29">
          <cell r="C29" t="str">
            <v>ARG</v>
          </cell>
          <cell r="Q29" t="str">
            <v>Weaker</v>
          </cell>
        </row>
        <row r="30">
          <cell r="C30" t="str">
            <v>AUS</v>
          </cell>
          <cell r="Q30" t="str">
            <v>Weaker</v>
          </cell>
        </row>
        <row r="31">
          <cell r="C31" t="str">
            <v>CHN</v>
          </cell>
          <cell r="Q31" t="str">
            <v>Credible</v>
          </cell>
        </row>
        <row r="32">
          <cell r="C32" t="str">
            <v>JPN</v>
          </cell>
          <cell r="Q32" t="str">
            <v>Credible</v>
          </cell>
        </row>
        <row r="33">
          <cell r="C33" t="str">
            <v>KAZ</v>
          </cell>
          <cell r="Q33" t="str">
            <v>Credible</v>
          </cell>
        </row>
        <row r="34">
          <cell r="C34" t="str">
            <v>NZL</v>
          </cell>
          <cell r="Q34" t="str">
            <v>Credible</v>
          </cell>
        </row>
        <row r="35">
          <cell r="C35" t="str">
            <v>RUS</v>
          </cell>
          <cell r="Q35" t="str">
            <v>Credible</v>
          </cell>
        </row>
        <row r="36">
          <cell r="C36" t="str">
            <v>SGP</v>
          </cell>
          <cell r="Q36" t="str">
            <v>Credible</v>
          </cell>
        </row>
        <row r="37">
          <cell r="C37" t="str">
            <v>GMB</v>
          </cell>
          <cell r="Q37" t="str">
            <v>Credible</v>
          </cell>
        </row>
        <row r="38">
          <cell r="C38" t="str">
            <v>TUR</v>
          </cell>
          <cell r="Q38" t="str">
            <v>Credible</v>
          </cell>
        </row>
        <row r="39">
          <cell r="C39" t="str">
            <v>BRA</v>
          </cell>
          <cell r="Q39" t="str">
            <v>None</v>
          </cell>
        </row>
        <row r="40">
          <cell r="C40" t="str">
            <v>ETH</v>
          </cell>
          <cell r="Q40" t="str">
            <v>None</v>
          </cell>
        </row>
        <row r="41">
          <cell r="C41" t="str">
            <v>IND</v>
          </cell>
          <cell r="Q41" t="str">
            <v>None</v>
          </cell>
        </row>
        <row r="42">
          <cell r="C42" t="str">
            <v>IDN</v>
          </cell>
          <cell r="Q42" t="str">
            <v>None</v>
          </cell>
        </row>
        <row r="43">
          <cell r="C43" t="str">
            <v>PER</v>
          </cell>
          <cell r="Q43" t="str">
            <v>None</v>
          </cell>
        </row>
        <row r="44">
          <cell r="C44" t="str">
            <v>SAU</v>
          </cell>
          <cell r="Q44" t="str">
            <v>Weaker</v>
          </cell>
        </row>
        <row r="45">
          <cell r="C45" t="str">
            <v>ZAF</v>
          </cell>
          <cell r="Q45" t="str">
            <v>None</v>
          </cell>
        </row>
        <row r="46">
          <cell r="C46" t="str">
            <v>ARE</v>
          </cell>
          <cell r="Q46" t="str">
            <v>None</v>
          </cell>
        </row>
        <row r="47">
          <cell r="C47" t="str">
            <v>EGY</v>
          </cell>
          <cell r="Q47" t="str">
            <v>None</v>
          </cell>
        </row>
        <row r="48">
          <cell r="C48" t="str">
            <v>IRN</v>
          </cell>
          <cell r="Q48" t="str">
            <v>None</v>
          </cell>
        </row>
        <row r="49">
          <cell r="C49" t="str">
            <v>KEN</v>
          </cell>
          <cell r="Q49" t="str">
            <v>None</v>
          </cell>
        </row>
        <row r="50">
          <cell r="C50" t="str">
            <v>MEX</v>
          </cell>
          <cell r="Q50" t="str">
            <v>None</v>
          </cell>
        </row>
        <row r="51">
          <cell r="C51" t="str">
            <v>MAR</v>
          </cell>
          <cell r="Q51" t="str">
            <v>None</v>
          </cell>
        </row>
        <row r="52">
          <cell r="C52" t="str">
            <v>NOR</v>
          </cell>
          <cell r="Q52" t="str">
            <v>None</v>
          </cell>
        </row>
        <row r="53">
          <cell r="C53" t="str">
            <v>PHL</v>
          </cell>
          <cell r="Q53" t="str">
            <v>None</v>
          </cell>
        </row>
        <row r="54">
          <cell r="Q54"/>
        </row>
      </sheetData>
    </sheetDataSet>
  </externalBook>
</externalLink>
</file>

<file path=xl/persons/person.xml><?xml version="1.0" encoding="utf-8"?>
<personList xmlns="http://schemas.microsoft.com/office/spreadsheetml/2018/threadedcomments" xmlns:x="http://schemas.openxmlformats.org/spreadsheetml/2006/main">
  <person displayName="Michel den Elzen" id="{50C3D158-E15F-46ED-B8B5-4E341EEC204F}" userId="Michel den Elzen" providerId="None"/>
  <person displayName="Elzen, den Michel" id="{6F5F92A6-6F91-4E96-AA05-6937517FBF78}" userId="S::elzendm@pbl.nl::fb1db3dc-4981-4438-925b-519a1b7c935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10B5A7-266C-4752-A6FA-F848A833BFD8}" name="Table12" displayName="Table12" ref="H11:BR239" totalsRowShown="0" headerRowDxfId="97" headerRowBorderDxfId="96">
  <autoFilter ref="H11:BR239" xr:uid="{3310B5A7-266C-4752-A6FA-F848A833BFD8}"/>
  <tableColumns count="63">
    <tableColumn id="1" xr3:uid="{4AF67061-F2EA-4CEA-87EB-D11C1558F8BF}" name="(Mt CO2 equivalent)" dataDxfId="95"/>
    <tableColumn id="2" xr3:uid="{50C828C4-6B37-4FC1-BD60-D7060B25DB25}" name="Net-zero target status"/>
    <tableColumn id="3" xr3:uid="{4AF20185-052C-48DD-8457-FFBB5568862A}" name="2021 emissions" dataDxfId="94"/>
    <tableColumn id="4" xr3:uid="{4AEE98F7-6E04-4799-9E7D-1C30B3B11210}" name="Current policies" dataDxfId="93"/>
    <tableColumn id="5" xr3:uid="{A380890B-C9A5-40C5-B2B8-526D112DD85E}" name="Net-zero targets if available (alternative Current policies)" dataDxfId="92"/>
    <tableColumn id="6" xr3:uid="{370803B9-DEF5-488C-AE5B-17C709DAB8B5}" name="2 Degree &amp; net-zero targets" dataDxfId="91"/>
    <tableColumn id="7" xr3:uid="{3BBE4773-B05A-4B2E-824E-54CCE4B1D56E}" name="2 degree scenario" dataDxfId="90"/>
    <tableColumn id="8" xr3:uid="{BCAF18E0-ACC5-4F1D-84F6-62A0F955293C}" name="NZ target year"/>
    <tableColumn id="9" xr3:uid="{A0CA790E-9555-491B-8B32-E70A33A4469C}" name="Difference 2Degree - LTS"/>
    <tableColumn id="12" xr3:uid="{9AAA0617-6F3A-4172-AE65-2DCCB3D18FC1}" name="1.5 Degree &amp; net-zero targets"/>
    <tableColumn id="11" xr3:uid="{2E6973E2-806A-4557-9C19-343C1B364078}" name="1.5 degree scenario"/>
    <tableColumn id="10" xr3:uid="{7BABB05D-729A-48F8-8ACC-36417F5C6671}" name="Reaching net-zero" dataDxfId="89"/>
    <tableColumn id="21" xr3:uid="{2B898CF7-7599-4798-9EAC-6EB19C9451C5}" name="Country" dataDxfId="88" dataCellStyle="Normal 4">
      <calculatedColumnFormula>Table12[[#This Row],[(Mt CO2 equivalent)]]</calculatedColumnFormula>
    </tableColumn>
    <tableColumn id="13" xr3:uid="{5BEA1C64-0F6F-4154-B88F-610961211C63}" name="Net zero year" dataCellStyle="Normal 4"/>
    <tableColumn id="20" xr3:uid="{5BAEA0C9-199C-4E26-9424-34F278FD6773}" name="NZ GHG year" dataDxfId="87" dataCellStyle="Normal 4">
      <calculatedColumnFormula>VLOOKUP($G12,'[12]NZT data'!$B$3:$F$200,4,FALSE)</calculatedColumnFormula>
    </tableColumn>
    <tableColumn id="19" xr3:uid="{22618CDA-1C45-4075-86CD-829A568536E4}" name="residual LULUCF emissions in 2050" dataDxfId="86" dataCellStyle="Normal 4">
      <calculatedColumnFormula>-IF('[12]LUC NGHGI'!DY2="",'[12]LUC NGHGI'!DW2,'[12]LUC NGHGI'!DY2)</calculatedColumnFormula>
    </tableColumn>
    <tableColumn id="62" xr3:uid="{9926C9F4-B958-4A9B-B087-D76C022A67F3}" name="LULUCF emis-sions NZ" dataDxfId="85" dataCellStyle="Normal 4"/>
    <tableColumn id="64" xr3:uid="{FD511C8A-E3C1-4888-A517-9E953CFB32A3}" name="LULUCF NDC uncond" dataDxfId="84" dataCellStyle="Normal 4"/>
    <tableColumn id="61" xr3:uid="{133A2E99-573B-4E11-8C76-F99246AC6943}" name="LULUCF NDC cond" dataDxfId="83" dataCellStyle="Normal 4"/>
    <tableColumn id="42" xr3:uid="{531DEF60-AC8A-41C1-A2B7-91B9C396B7F0}" name="GHG emissions incl LULUCF" dataDxfId="82" dataCellStyle="Normal 4"/>
    <tableColumn id="41" xr3:uid="{EC3C2001-2C84-4A2D-BDDB-A32B97161706}" name="LULUCF emis-sions in 20213" dataDxfId="81" dataCellStyle="Normal 4">
      <calculatedColumnFormula>'LUC NGHGI'!DW2</calculatedColumnFormula>
    </tableColumn>
    <tableColumn id="40" xr3:uid="{1A30DA4E-C068-473A-8B99-4BEF3612DBEF}" name="GHG emissions excl LULUCF" dataDxfId="80" dataCellStyle="Normal 4">
      <calculatedColumnFormula>IF(F12="incl",Table12[[#This Row],[GHG emissions incl LULUCF]]-Table12[[#This Row],[LULUCF emis-sions in 20213]],Table12[[#This Row],[GHG emissions incl LULUCF]])</calculatedColumnFormula>
    </tableColumn>
    <tableColumn id="37" xr3:uid="{FC1E5713-6EDE-4B86-98AB-BAE837D0E2EC}" name="Current Policies 2030 incl LULUCF" dataDxfId="79" dataCellStyle="Normal 4">
      <calculatedColumnFormula>'input site'!BN12</calculatedColumnFormula>
    </tableColumn>
    <tableColumn id="38" xr3:uid="{20023860-B739-43B9-ADCD-E0BE53AE802C}" name="LULUCF CurPol 2030" dataDxfId="78" dataCellStyle="Normal 4"/>
    <tableColumn id="39" xr3:uid="{E2B861F3-F146-4D2C-B5AA-4EC09B19AF1C}" name="Current Policies 2030 excl LULUCF" dataDxfId="77" dataCellStyle="Normal 4"/>
    <tableColumn id="22" xr3:uid="{650EF634-F1F9-4F27-959C-4BE43918CFE0}" name="Formule Stephan" dataDxfId="76" dataCellStyle="Normal 4">
      <calculatedColumnFormula>IF(Table12[[#This Row],[Net-zero target status]]&lt;=1,"",IF(Table12[[#This Row],[NZ GHG year]]="","",1000000000*(Table12[[#This Row],[residual LULUCF emissions in 2050]]-Table12[[#This Row],[GHG emissions excl LULUCF]])/(Table12[[#This Row],[NZ GHG year]]-2021))/Table12[[#This Row],[Population]])</calculatedColumnFormula>
    </tableColumn>
    <tableColumn id="54" xr3:uid="{66EFFA3E-07AF-41F3-AA92-B6D6AAB02C7E}" name="(A) Formule Peak" dataDxfId="75" dataCellStyle="Normal 4"/>
    <tableColumn id="58" xr3:uid="{C7E3ABEE-3F1A-48EE-9B27-761444C93DEF}" name="Penalty (1)" dataDxfId="74" dataCellStyle="Normal 4"/>
    <tableColumn id="55" xr3:uid="{C92C25CA-9F9B-4B0E-93EE-C4D69C61502D}" name="Formule no Peak (2)" dataDxfId="73" dataCellStyle="Normal 4"/>
    <tableColumn id="59" xr3:uid="{AD8A9CE3-6A51-415E-A7D4-8932D72A9804}" name="(B) Formule no Peak " dataDxfId="72" dataCellStyle="Normal 4"/>
    <tableColumn id="25" xr3:uid="{DEA369BA-5AB4-4C9F-BE38-DD3B34FAA068}" name="Current Policies (2021 - 2030)" dataDxfId="71" dataCellStyle="Normal 4">
      <calculatedColumnFormula>(#REF!/Table12[[#This Row],[2021 emissions]])^(1/(2030-2021))-1</calculatedColumnFormula>
    </tableColumn>
    <tableColumn id="43" xr3:uid="{151D1F2E-5945-4C20-82FB-5664B54D3D7F}" name="Reduction rate CurPol to NZ target" dataDxfId="70" dataCellStyle="Percent"/>
    <tableColumn id="14" xr3:uid="{A790D7AA-0A47-4EF5-B826-56D4F00EA7E9}" name="Reduction rate 2021 to NZ target2" dataDxfId="69" dataCellStyle="Normal 4">
      <calculatedColumnFormula>IF(Table12[[#This Row],[Net-zero target status]]&lt;=1,"",IF(Table12[[#This Row],[NZ GHG year]]="","",((MAX(Table12[[#This Row],[residual LULUCF emissions in 2050]],0.1)/Table12[[#This Row],[2021 emissions]])^(1/(Table12[[#This Row],[NZ GHG year]]-2021))-1)))</calculatedColumnFormula>
    </tableColumn>
    <tableColumn id="44" xr3:uid="{EF38A0DE-886F-4C5E-AD99-D9C9AEC4C84F}" name="Reduction rate NDC to NZ target" dataDxfId="68" dataCellStyle="Percent"/>
    <tableColumn id="57" xr3:uid="{34450E09-F070-4BBE-81E9-DC012C906739}" name="Maximum inventory data" dataDxfId="67" dataCellStyle="Percent">
      <calculatedColumnFormula>MAX('input site'!O12:AS12)</calculatedColumnFormula>
    </tableColumn>
    <tableColumn id="24" xr3:uid="{03967B13-CFC7-455D-80E6-0F8761F963BB}" name="Peak revised" dataDxfId="66" dataCellStyle="Percent">
      <calculatedColumnFormula>IF(Table12[[#This Row],[Current Policies 2030 incl LULUCF]]&gt;Table12[[#This Row],[Maximum inventory data]],"No","Yes")</calculatedColumnFormula>
    </tableColumn>
    <tableColumn id="26" xr3:uid="{855D0672-8E38-47A0-AE39-F6F09F0D145A}" name="Residual emissions as % 2021 emissions" dataDxfId="65" dataCellStyle="Percent">
      <calculatedColumnFormula>Table12[[#This Row],[residual LULUCF emissions in 2050]]/Table12[[#This Row],[2021 emissions]]</calculatedColumnFormula>
    </tableColumn>
    <tableColumn id="15" xr3:uid="{8833600E-2349-4C58-9916-5782756F7988}" name="2030 unconditional NDCs" dataDxfId="64" dataCellStyle="Normal 4"/>
    <tableColumn id="16" xr3:uid="{95AC93BC-626D-4CAD-8900-43D8AE759895}" name="2030 unconditional NDCs2" dataDxfId="63" dataCellStyle="Normal 4"/>
    <tableColumn id="17" xr3:uid="{60B2DAEF-77C6-4F7A-A9F5-02C9489A698A}" name="2030 conditional NDCs" dataDxfId="62" dataCellStyle="Normal 4"/>
    <tableColumn id="18" xr3:uid="{20409785-B170-4EEB-9F3C-49424116F821}" name="2030 conditional NDCs2" dataDxfId="61" dataCellStyle="Normal 4"/>
    <tableColumn id="52" xr3:uid="{887586CA-8E0C-497C-B898-A4CABEF93DA7}" name="2031 conditional NDCs2" dataDxfId="60">
      <calculatedColumnFormula>IF(Table12[[#This Row],[2030 unconditional NDCs]]="","",IF(F12="incl",Table12[[#This Row],[2030 unconditional NDCs]]-Table12[[#This Row],[LULUCF NDC uncond]],Table12[[#This Row],[2030 unconditional NDCs]]))</calculatedColumnFormula>
    </tableColumn>
    <tableColumn id="53" xr3:uid="{ED2D45C9-D249-4B6E-A535-FECDCD16AB62}" name="2032 conditional NDCs2" dataDxfId="59">
      <calculatedColumnFormula>IF(Table12[[#This Row],[2030 unconditional NDCs2]]="","",IF(F12="incl",Table12[[#This Row],[2030 unconditional NDCs2]]-Table12[[#This Row],[LULUCF NDC uncond]],Table12[[#This Row],[2030 unconditional NDCs2]]))</calculatedColumnFormula>
    </tableColumn>
    <tableColumn id="56" xr3:uid="{7B0A63A5-36AD-4FC1-8B39-C09C9406839C}" name="2033 conditional NDCs2" dataDxfId="58">
      <calculatedColumnFormula>IF(Table12[[#This Row],[2030 conditional NDCs]]="","",IF(F12="incl",Table12[[#This Row],[2030 conditional NDCs]]-Table12[[#This Row],[LULUCF NDC cond]],Table12[[#This Row],[2030 conditional NDCs]]))</calculatedColumnFormula>
    </tableColumn>
    <tableColumn id="60" xr3:uid="{F768FA77-7B24-4C46-928D-7946DB796052}" name="2034 conditional NDCs2" dataDxfId="57">
      <calculatedColumnFormula>IF(Table12[[#This Row],[2030 conditional NDCs2]]="","",IF(F12="incl",Table12[[#This Row],[2030 conditional NDCs2]]-Table12[[#This Row],[LULUCF NDC cond]],Table12[[#This Row],[2030 conditional NDCs2]]))</calculatedColumnFormula>
    </tableColumn>
    <tableColumn id="29" xr3:uid="{9088F4FF-395A-4708-81C6-3B44F1B1B09F}" name="Population" dataDxfId="56" dataCellStyle="Normal 4">
      <calculatedColumnFormula>VLOOKUP($G12,'Population90 20'!$C$6:$AU$231,37,FALSE)</calculatedColumnFormula>
    </tableColumn>
    <tableColumn id="30" xr3:uid="{14645419-19BB-44FE-B5F3-DB5ED5B63F39}" name="Income" dataDxfId="55" dataCellStyle="Normal 4">
      <calculatedColumnFormula>VLOOKUP($G12,'Overview GDP (PPP)'!$C$6:$AI$231,33,FALSE)</calculatedColumnFormula>
    </tableColumn>
    <tableColumn id="31" xr3:uid="{55C1B5B9-81DF-48FE-847D-710DBD81F3A4}" name="Incomeper capita" dataDxfId="54" dataCellStyle="Normal 4">
      <calculatedColumnFormula>VLOOKUP($G12,'Overview GDP (PPP)'!$C$6:$AI$231,33,FALSE)</calculatedColumnFormula>
    </tableColumn>
    <tableColumn id="32" xr3:uid="{59DC3861-76E2-4321-B02F-C944E209CE90}" name="Emissions per capita" dataDxfId="53" dataCellStyle="Normal 4"/>
    <tableColumn id="33" xr3:uid="{FC234883-BE27-48C2-BF4A-B20C2E20913E}" name="Legally binding" dataDxfId="52" dataCellStyle="Normal 4">
      <calculatedColumnFormula>VLOOKUP($G12,EGR2023_MASTER!$B$4:$S$38,14,FALSE)</calculatedColumnFormula>
    </tableColumn>
    <tableColumn id="34" xr3:uid="{161892A7-304F-48A7-BA4A-C5E6BF953142}" name="Published plan (BOLD: manually coded)" dataDxfId="51" dataCellStyle="Normal 4">
      <calculatedColumnFormula>VLOOKUP($G12,EGR2023_MASTER!$B$4:$S$38,15,FALSE)</calculatedColumnFormula>
    </tableColumn>
    <tableColumn id="35" xr3:uid="{DDFE52BC-6E03-455D-912D-5B7F2CB90220}" name="CurPol 10% below" dataDxfId="50" dataCellStyle="Normal 4">
      <calculatedColumnFormula>VLOOKUP($G12,EGR2023_MASTER!$B$4:$S$38,16,FALSE)</calculatedColumnFormula>
    </tableColumn>
    <tableColumn id="23" xr3:uid="{1C0AD53A-1761-416B-9120-74569AE78309}" name="Confidence assessment" dataDxfId="49" dataCellStyle="Normal 4">
      <calculatedColumnFormula>IF(AND(BE12="Y",AND(BF12="credible",BG12="Y")),"higher",IF(BG12="Y","lower",IF(AND(BG12="N",OR(BE12="Y",BF12="credible")),"lower","much lower")))</calculatedColumnFormula>
    </tableColumn>
    <tableColumn id="27" xr3:uid="{6321AA9D-5471-4127-A09F-0CB17ADB209D}" name="Confidence assessment2" dataDxfId="48" dataCellStyle="Normal 4">
      <calculatedColumnFormula>IF(AND($BF12="credible",BG12="Y"),"stronger","weak")</calculatedColumnFormula>
    </tableColumn>
    <tableColumn id="45" xr3:uid="{9767A92A-44B9-486E-A539-C2E79745677D}" name="Current Policies (2021 - 2030)2" dataDxfId="47" dataCellStyle="Normal 4"/>
    <tableColumn id="46" xr3:uid="{05932313-5395-4B43-A8F7-097AE841FBDD}" name="Reduction rate CurPol to NZ target3" dataDxfId="46" dataCellStyle="Normal 4"/>
    <tableColumn id="47" xr3:uid="{1D4DD7C2-C0C3-4171-ABD9-CA35A0655448}" name="Reduction rate 2021 to NZ target24" dataDxfId="45" dataCellStyle="Normal 4"/>
    <tableColumn id="48" xr3:uid="{013451AC-FB90-4C0C-B40F-F3DEC1B555A3}" name="Reduction rate NDC to NZ target5" dataDxfId="44" dataCellStyle="Normal 4"/>
    <tableColumn id="28" xr3:uid="{6510D768-15F3-4BA0-AB8D-35A2CC0DB37E}" name="Low residual LULUCF " dataDxfId="43" dataCellStyle="Normal 4"/>
    <tableColumn id="49" xr3:uid="{6D1A1E68-19ED-4353-9263-2208184F29C0}" name="High residual LULUCF " dataDxfId="42" dataCellStyle="Normal 4"/>
    <tableColumn id="50" xr3:uid="{F5F1FAE4-4E46-4A77-A400-28C88FCD7F9C}" name="Low res. CDR" dataDxfId="41" dataCellStyle="Normal 4"/>
    <tableColumn id="36" xr3:uid="{B4EAD3E1-765A-4963-8EF8-867C7F8BF1C8}" name="High res. CDR" dataDxfId="40" dataCellStyle="Normal 4"/>
    <tableColumn id="51" xr3:uid="{CD051815-3A8B-4F62-A05F-5CAEA5EB7C9E}" name="(Mt CO2 equivalent)2" dataDxfId="39" dataCellStyle="Normal 4"/>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0B9E0A-F393-417C-AD9B-2E6B25FC334B}" name="Table23" displayName="Table23" ref="F1:I8" totalsRowShown="0" headerRowDxfId="38" headerRowCellStyle="TableHeader">
  <tableColumns count="4">
    <tableColumn id="1" xr3:uid="{BB383565-7A25-42C7-93B9-939C4214EEA5}" name="Target types" dataDxfId="37" dataCellStyle="TableFirstColumn"/>
    <tableColumn id="2" xr3:uid="{1E826441-C59B-4831-B88E-BA2C66FD1706}" name="Column1" dataDxfId="36" dataCellStyle="Normal 4"/>
    <tableColumn id="3" xr3:uid="{3CFC24E3-0AAC-4BE2-963A-773012166C13}" name="Type" dataDxfId="35" dataCellStyle="Normal 4"/>
    <tableColumn id="4" xr3:uid="{3131A53F-B159-4C3F-874E-A9518E8590D8}" name="Number of countries" dataDxfId="34" dataCellStyle="Normal 4">
      <calculatedColumnFormula>COUNTIF(I$13:I$239,$H2)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FC6A73-CEC7-4172-A667-8CE91AA2AF37}" name="Table34" displayName="Table34" ref="I248:P255" totalsRowShown="0" headerRowDxfId="33" dataDxfId="31" headerRowBorderDxfId="32" tableBorderDxfId="30" headerRowCellStyle="Percent">
  <tableColumns count="8">
    <tableColumn id="1" xr3:uid="{D4B1A4AF-F44A-4EF5-AEA2-8FD2209C7BBD}" name="Countries" dataDxfId="29"/>
    <tableColumn id="2" xr3:uid="{68EEA57C-96BB-42BE-A6FD-DAAC5605BA3F}" name="2018 emissions" dataDxfId="28"/>
    <tableColumn id="3" xr3:uid="{B408505B-24CF-49CC-801D-5FEE676082C8}" name="Domestic policies" dataDxfId="27"/>
    <tableColumn id="4" xr3:uid="{7FF6F0DF-5E7D-4EB4-8ED5-E2AE2C2701C8}" name="Domestic policies &amp; net-zero targets" dataDxfId="26"/>
    <tableColumn id="5" xr3:uid="{7D3CAC6B-32EA-487D-8766-DCC7C75C1BE1}" name="2 Degree &amp; net-zero targets" dataDxfId="25"/>
    <tableColumn id="6" xr3:uid="{AB9B772D-3FFF-42AF-B3C8-5C1ED646C9F1}" name="2 degree scenario" dataDxfId="24"/>
    <tableColumn id="7" xr3:uid="{77E418FC-314A-423A-B5A8-A296CF806250}" name="1.5 Degree &amp; net-zero targets2" dataDxfId="23"/>
    <tableColumn id="8" xr3:uid="{DE6FCA3A-FE43-4B20-BE6B-DF8AC7828151}" name="1.5 degree scenario3" dataDxfId="22"/>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G4" dT="2024-03-15T16:58:35.69" personId="{50C3D158-E15F-46ED-B8B5-4E341EEC204F}" id="{FC475ABD-524F-459D-A6E9-7C05C2F5533A}">
    <text xml:space="preserve">op basis van populatie, zie je inderdaad dat de ambitie van de VS en Saudi Arabië  ongeveer twee keer zo hoog is als die van de EU, terwijl de reductiesnelheden ongeveer gelijk zijn. De hoofdelijke uitstoot van de VS en Saudi Arabië zijn veel hoger (factor 3) dan de EU.  Ik snap het wel,  hoe hoger je huidige hoofdelijke uitstoot, hoe meer ambitie bij een gelijk netto-nul jaar, maar aan de andere kant, als je niet naar nul gaat, maar halverwege, dan eindig je met gelijke waarde voor ambitie, en dat lijkt in tegenspraak. Verder China is iets lager dan de EU, terwijl de reductiesnelheid van China de helft is van de EU. Verder krijgt India natuurlijk een hele lage waarde, wat eigenlijk wel klopt, want India heeft weliswaar lage hoofdelijk uitstoot, maar stijgende uitstoot, en geen vooruitzicht dat netto-nul wordt gehaald.
</text>
  </threadedComment>
  <threadedComment ref="AG5" dT="2024-03-15T15:05:56.74" personId="{50C3D158-E15F-46ED-B8B5-4E341EEC204F}" id="{9338E8F7-683F-4A38-A193-B1EDB8BB243C}">
    <text>Hoe hoger per capita emissies, hoe hoger. dus USA is ambitieuser dan de EU. De reductisnelheid is wel gelijk tussen VS en EU</text>
  </threadedComment>
  <threadedComment ref="J74" dT="2024-03-13T23:49:53.19" personId="{50C3D158-E15F-46ED-B8B5-4E341EEC204F}" id="{AEE9D49E-438D-47EB-8D86-86D1D4BB8765}">
    <text>Assumes too high LULUCF emissions in 2021, compared to the inventory data of IIASA.</text>
  </threadedComment>
  <threadedComment ref="AP102" dT="2024-03-24T18:09:43.70" personId="{50C3D158-E15F-46ED-B8B5-4E341EEC204F}" id="{0B470D7D-5ECA-4536-A435-D73F0ABE73CE}">
    <text>Adjusted because of peak in LULUCF emissions Indonesia</text>
  </threadedComment>
  <threadedComment ref="H109" dT="2020-10-12T19:47:32.61" personId="{6F5F92A6-6F91-4E96-AA05-6937517FBF78}" id="{B6AFEAC0-2284-47F0-A50D-A93471D57147}">
    <text>Note that Japan is not on the website</text>
  </threadedComment>
  <threadedComment ref="BR109" dT="2020-10-12T19:47:32.61" personId="{6F5F92A6-6F91-4E96-AA05-6937517FBF78}" id="{D9B3C1DD-AA40-403B-9ACC-362F470A9B06}">
    <text>Note that Japan is not on the website</text>
  </threadedComment>
  <threadedComment ref="AU129" dT="2021-08-27T14:10:26.17" personId="{6F5F92A6-6F91-4E96-AA05-6937517FBF78}" id="{D1068131-87F8-4320-9582-B6B55BCF0F0B}">
    <text>Excluded, as it only leads to surpluses, and the net impact of including is zero, as it leads to more surpluses, which are cancelled.</text>
  </threadedComment>
  <threadedComment ref="AS162" dT="2021-12-22T14:49:43.18" personId="{6F5F92A6-6F91-4E96-AA05-6937517FBF78}" id="{D9A0C70E-65DF-4072-9845-E86F9E66CADD}">
    <text>The unconditional target was not included, as this would only lead to more surpluses.</text>
  </threadedComment>
  <threadedComment ref="AP176" dT="2024-03-24T18:10:04.71" personId="{50C3D158-E15F-46ED-B8B5-4E341EEC204F}" id="{4CE9D7A0-F335-49F4-958F-FEB80895BC66}">
    <text>Adjusted as Russia emissions has already peaked by 1990</text>
  </threadedComment>
</ThreadedComments>
</file>

<file path=xl/threadedComments/threadedComment2.xml><?xml version="1.0" encoding="utf-8"?>
<ThreadedComments xmlns="http://schemas.microsoft.com/office/spreadsheetml/2018/threadedcomments" xmlns:x="http://schemas.openxmlformats.org/spreadsheetml/2006/main">
  <threadedComment ref="AI9" dT="2024-02-14T10:08:42.95" personId="{50C3D158-E15F-46ED-B8B5-4E341EEC204F}" id="{CE2E604A-BF34-41C9-8A02-9495950F2E85}">
    <text>Further corrected by 300 MtCO2e or much lower NGHfGI</text>
  </threadedComment>
  <threadedComment ref="AY52" dT="2020-02-11T16:17:09.38" personId="{6F5F92A6-6F91-4E96-AA05-6937517FBF78}" id="{E2744E7D-3AE2-429F-A7B4-DA255DF1F0EE}">
    <text>No GWP correction, as the data was in GWP AR4</text>
  </threadedComment>
  <threadedComment ref="BA52" dT="2020-02-11T16:17:48.12" personId="{6F5F92A6-6F91-4E96-AA05-6937517FBF78}" id="{729B73AC-D3AF-4A28-8B83-A2B9B9657E3E}">
    <text>No GWP correction, as the data was in GWP AR4</text>
  </threadedComment>
  <threadedComment ref="BI52" dT="2021-09-22T11:20:00.59" personId="{6F5F92A6-6F91-4E96-AA05-6937517FBF78}" id="{C47DBD82-7CB2-43F4-97DF-9BFA8D3B32A1}">
    <text>Current Policies, as explained in paper</text>
  </threadedComment>
  <threadedComment ref="DH109" dT="2020-10-12T19:47:32.61" personId="{6F5F92A6-6F91-4E96-AA05-6937517FBF78}" id="{5D0DC564-BECD-4110-A6AD-EB396DD5FF76}">
    <text>Bote that Japan is not on the website</text>
  </threadedComment>
  <threadedComment ref="BG129" dT="2021-08-27T14:10:26.17" personId="{6F5F92A6-6F91-4E96-AA05-6937517FBF78}" id="{D2EF28A4-B0F0-48E2-86CD-2D1714DDA74C}">
    <text>Excluded, as it only leads to surpluses, and the net impact of including is zero, as it leads to more surpluses, which are cancelled.</text>
  </threadedComment>
  <threadedComment ref="BK129" dT="2021-08-27T14:10:26.17" personId="{6F5F92A6-6F91-4E96-AA05-6937517FBF78}" id="{F2A27212-5816-49CA-A20C-AE3A66C6C701}">
    <text>Excluded, as it only leads to surpluses, and the net impact of including is zero, as it leads to more surpluses, which are cancelled.</text>
  </threadedComment>
  <threadedComment ref="BE162" dT="2021-12-22T14:49:43.18" personId="{6F5F92A6-6F91-4E96-AA05-6937517FBF78}" id="{311EAD7C-787E-4539-B9F6-94E84C1D306B}">
    <text>The unconditional target was not included, as this would only lead to more surpluses.</text>
  </threadedComment>
  <threadedComment ref="AT238" dT="2020-04-15T11:11:30.11" personId="{6F5F92A6-6F91-4E96-AA05-6937517FBF78}" id="{AA5DA818-3399-4DD6-B120-A76E6CE775A2}">
    <text>Use latest SSP2 scenario</text>
  </threadedComment>
  <threadedComment ref="AV242" dT="2020-03-05T15:50:02.11" personId="{6F5F92A6-6F91-4E96-AA05-6937517FBF78}" id="{A3A026F7-313A-427D-B5E1-F455CCAFC32B}">
    <text>Using the trend in IIASA LULUCF emissions projection by 2030, and starting point the FAO 2010 emissions</text>
  </threadedComment>
  <threadedComment ref="BM253" dT="2022-06-06T07:57:19.65" personId="{6F5F92A6-6F91-4E96-AA05-6937517FBF78}" id="{88774C6E-5A4C-41F3-85F8-10F728CED06B}">
    <text>Wrong sum of EU individual countries</text>
  </threadedComment>
  <threadedComment ref="BP253" dT="2022-06-06T07:57:19.65" personId="{6F5F92A6-6F91-4E96-AA05-6937517FBF78}" id="{E40C6E4F-0D39-4B1D-85CA-4450E4D1E080}">
    <text>Wrong sum of EU individual countries</text>
  </threadedComment>
  <threadedComment ref="BS253" dT="2022-06-06T07:57:19.65" personId="{6F5F92A6-6F91-4E96-AA05-6937517FBF78}" id="{7BC11D7D-1611-4222-BEF0-19371D71F76D}">
    <text>Wrong sum of EU individual countries</text>
  </threadedComment>
</ThreadedComments>
</file>

<file path=xl/threadedComments/threadedComment3.xml><?xml version="1.0" encoding="utf-8"?>
<ThreadedComments xmlns="http://schemas.microsoft.com/office/spreadsheetml/2018/threadedcomments" xmlns:x="http://schemas.openxmlformats.org/spreadsheetml/2006/main">
  <threadedComment ref="I6" dT="2024-02-20T08:23:13.14" personId="{50C3D158-E15F-46ED-B8B5-4E341EEC204F}" id="{A196B113-714F-44DA-B7CF-2BC8FAB003D2}">
    <text>No change. Full accounting. It depends on BY emissions, including LULUCF</text>
  </threadedComment>
  <threadedComment ref="Z6" dT="2024-02-20T09:21:10.43" personId="{50C3D158-E15F-46ED-B8B5-4E341EEC204F}" id="{7667E1DE-1531-4C74-9878-D0C0043BA92D}">
    <text>Now minus NDC LULUCF IIASA</text>
  </threadedComment>
  <threadedComment ref="AB6" dT="2024-02-20T09:21:33.56" personId="{50C3D158-E15F-46ED-B8B5-4E341EEC204F}" id="{987EF258-FB14-4CB2-99F9-53050446C818}">
    <text>Now minus CurPol IIASA</text>
  </threadedComment>
  <threadedComment ref="AD6" dT="2024-02-20T09:21:59.85" personId="{50C3D158-E15F-46ED-B8B5-4E341EEC204F}" id="{6E3BC4BC-2FA6-4BAD-870F-8CDAA67B88D8}">
    <text>Now minus LULUCF CurPol IMAGE</text>
  </threadedComment>
  <threadedComment ref="AG6" dT="2024-02-20T09:28:31.82" personId="{50C3D158-E15F-46ED-B8B5-4E341EEC204F}" id="{F1D748F2-D055-4E4D-AE78-BE26E17B6A6B}">
    <text>Fill accounting, based on BY emissions, so independent on LULUCF emissions assumptions</text>
  </threadedComment>
  <threadedComment ref="I7" dT="2024-02-20T08:20:57.30" personId="{50C3D158-E15F-46ED-B8B5-4E341EEC204F}" id="{96E3F9A6-4D9B-4A53-AE38-454E49C2BFD7}">
    <text>NDC target now assumes LULUCF emissions projections Current Policies IIASA (harmonised with GHGI data), therefore the later needs to be replaced by LULUCF NDC target IIASA.</text>
  </threadedComment>
  <threadedComment ref="Z7" dT="2024-02-20T09:18:12.16" personId="{50C3D158-E15F-46ED-B8B5-4E341EEC204F}" id="{C31A683F-A7B2-4E03-A257-D798687A6DC1}">
    <text>Same as Australia</text>
  </threadedComment>
  <threadedComment ref="AB7" dT="2024-02-20T09:24:29.33" personId="{50C3D158-E15F-46ED-B8B5-4E341EEC204F}" id="{99246BF8-992B-42D5-A561-9058FF9591B9}">
    <text>Same as Australia</text>
  </threadedComment>
  <threadedComment ref="AK7" dT="2024-02-20T09:28:52.05" personId="{50C3D158-E15F-46ED-B8B5-4E341EEC204F}" id="{6425F5D7-82EA-4D3A-BD52-D53D6CF01C41}">
    <text>The excluding target + IMAGE LULUCF</text>
  </threadedComment>
  <threadedComment ref="I8" dT="2024-02-20T09:06:54.37" personId="{50C3D158-E15F-46ED-B8B5-4E341EEC204F}" id="{68138B97-7E8F-4667-A6B2-1B57A118E5CD}">
    <text>This needs to be including LULUCF NDC target IIASA</text>
  </threadedComment>
  <threadedComment ref="Z8" dT="2024-02-20T09:19:30.71" personId="{50C3D158-E15F-46ED-B8B5-4E341EEC204F}" id="{3EC41AF6-5B9A-438F-8297-EEDD57D72B51}">
    <text>Original NDC target is excluding LULUCF, so similar approach for three options.</text>
  </threadedComment>
  <threadedComment ref="AK8" dT="2024-02-20T09:29:18.83" personId="{50C3D158-E15F-46ED-B8B5-4E341EEC204F}" id="{9C1C8B0C-0C32-4ADC-A471-43CD9D40164F}">
    <text>Same as China.</text>
  </threadedComment>
  <threadedComment ref="B13" dT="2024-02-20T09:59:07.35" personId="{50C3D158-E15F-46ED-B8B5-4E341EEC204F}" id="{2D937F2F-1453-415D-A363-04D2C98B7F33}">
    <text xml:space="preserve">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ext>
  </threadedComment>
  <threadedComment ref="G13" dT="2024-02-20T10:01:03.08" personId="{50C3D158-E15F-46ED-B8B5-4E341EEC204F}" id="{474DAACA-65F1-41BD-A3E3-7E497E813069}">
    <text xml:space="preserve">LULUCF target is 47.7 MtCO2 according to factsheet 2023, which is close to the values given here
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ext>
  </threadedComment>
  <threadedComment ref="I13" dT="2024-02-20T12:15:03.10" personId="{50C3D158-E15F-46ED-B8B5-4E341EEC204F}" id="{D64EECBC-44B9-4F70-8893-677A73CC536A}">
    <text xml:space="preserve">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ext>
  </threadedComment>
  <threadedComment ref="Z13" dT="2024-02-20T12:15:03.10" personId="{50C3D158-E15F-46ED-B8B5-4E341EEC204F}" id="{DA998285-A106-4E70-A36C-3A4F43E82A0F}">
    <text xml:space="preserve">Japan uses a gross-net approach to account for the land use sector in its NDC. This means that it does not include the land use sector in the base year of its NDC target, but it does include it in the target year. Since the land use sector is a sink in Japan, this accounting approach makes it slightly easier for Japan to reach its target </text>
  </threadedComment>
  <threadedComment ref="I14" dT="2024-02-20T08:22:08.27" personId="{50C3D158-E15F-46ED-B8B5-4E341EEC204F}" id="{B7E96EC5-2F0A-4EB7-A524-C4AD84860B45}">
    <text>Same as China.</text>
  </threadedComment>
  <threadedComment ref="K14" dT="2024-02-18T16:44:59.14" personId="{50C3D158-E15F-46ED-B8B5-4E341EEC204F}" id="{C7AA8B59-562C-4A0C-8D73-E10DB5CABF44}">
    <text>Quite a change compared to factsheet report. Change in GHGI data</text>
  </threadedComment>
  <threadedComment ref="Z14" dT="2024-02-20T08:22:08.27" personId="{50C3D158-E15F-46ED-B8B5-4E341EEC204F}" id="{986D231B-E9F1-4205-B060-B024BEB16FE8}">
    <text>Same as China.</text>
  </threadedComment>
  <threadedComment ref="AK14" dT="2024-02-20T09:28:52.05" personId="{50C3D158-E15F-46ED-B8B5-4E341EEC204F}" id="{7C86F127-A2F4-4DAC-88AC-3EED0D6CAFBA}">
    <text>The excluding target + IMAGE LULUCF</text>
  </threadedComment>
  <threadedComment ref="Q16" dT="2021-06-27T10:08:34.59" personId="{6F5F92A6-6F91-4E96-AA05-6937517FBF78}" id="{785C3D26-F15A-46E8-9EA8-61DE227BBA7E}">
    <text>Nicklas: The numbers for Russia are correct. In the NDC for Russia, they project a decrease of the forest sink over time (i.e. that the sink would be smaller). I have harmonized the IIASA projections to the 2010 historical number, which is the same starting year of the scenarios presented in the NDC for Russia. The single number that I have provided for you represent that average of the scenarios that they present in the NDC. In this case Russia basically believe that their sink will decrease much quicker than we do.</text>
  </threadedComment>
  <threadedComment ref="AA17" dT="2024-02-20T14:56:19.17" personId="{50C3D158-E15F-46ED-B8B5-4E341EEC204F}" id="{23C2F626-452D-47C2-A16A-1BEFDA6FB0D4}">
    <text>There is a conditional LULUCF target</text>
  </threadedComment>
  <threadedComment ref="Z18" dT="2024-02-20T09:19:30.71" personId="{50C3D158-E15F-46ED-B8B5-4E341EEC204F}" id="{ED9A15B5-EE2E-45D4-B852-EB3CCA5D8208}">
    <text>Original NDC target is excluding LULUCF, so similar approach for three options.</text>
  </threadedComment>
  <threadedComment ref="AK18" dT="2024-02-20T09:29:18.83" personId="{50C3D158-E15F-46ED-B8B5-4E341EEC204F}" id="{1C42236B-97F0-4338-A8C7-92D3F3282251}">
    <text>Same as China.</text>
  </threadedComment>
  <threadedComment ref="L19" dT="2021-06-27T10:09:04.56" personId="{6F5F92A6-6F91-4E96-AA05-6937517FBF78}" id="{46494482-CE0E-4AB4-8E6C-491713323C5D}">
    <text>Nicklas: For the US, its actually a very similar story. The numbers that we are using come from two scenarios that US present in the 6th NC, one with a decrease of the sink and one with basically stable development of the sink, compared to 2010 levels. No later projections for the LULUCF sector has been provided by the US. I have harmonized the projections to the 2010 level and taken the average of these scenarios for this work, this basically leads to a small reduction of their sink. In the current policy scenario we believe that they can still maintain their sink so this is causing the difference between the NDC and the current policy scenario.</text>
  </threadedComment>
  <threadedComment ref="Q19" dT="2021-06-27T10:09:04.56" personId="{6F5F92A6-6F91-4E96-AA05-6937517FBF78}" id="{0615DF0A-85EA-4EF4-88B2-37437509D7FA}">
    <text>Nicklas: For the US, its actually a very similar story. The numbers that we are using come from two scenarios that US present in the 6th NC, one with a decrease of the sink and one with basically stable development of the sink, compared to 2010 levels. No later projections for the LULUCF sector has been provided by the US. I have harmonized the projections to the 2010 level and taken the average of these scenarios for this work, this basically leads to a small reduction of their sink. In the current policy scenario we believe that they can still maintain their sink so this is causing the difference between the NDC and the current policy scenario.</text>
  </threadedComment>
  <threadedComment ref="B22" dT="2024-02-20T10:04:22.03" personId="{50C3D158-E15F-46ED-B8B5-4E341EEC204F}" id="{3D63EACF-6554-461A-9D41-310B2FC69B11}">
    <text xml:space="preserve">Same as Japan. The Republic of Korea uses a gross-net approach to account for the land use sector in its NDC. This means that it does not include the land use sector in the base year of its NDC target, but it does include it in the target year. Since the land use sector is a sink in the country, this accounting approach makes it easier for the Republic of Korea to reach its target </text>
  </threadedComment>
  <threadedComment ref="I22" dT="2024-02-20T12:15:03.10" personId="{50C3D158-E15F-46ED-B8B5-4E341EEC204F}" id="{76FB37EC-2E7E-4BEA-81DD-65FD2CD89F0E}">
    <text>their updated NDC of Korea, they exlc. LULUCF when calculating their target (see statements in Annex 1, table 1 a(b)). This means that their NDC target would be: 727.6 * (1-0.4) = 436.56 MtCO2eq.
So incl. LULUCF depends on option.</text>
  </threadedComment>
  <threadedComment ref="Z22" dT="2024-02-20T12:15:03.10" personId="{50C3D158-E15F-46ED-B8B5-4E341EEC204F}" id="{A3B9CF09-89EA-4B43-87D1-CD048BF26CAE}">
    <text>their updated NDC of Korea, they exlc. LULUCF when calculating their target (see statements in Annex 1, table 1 a(b)). This means that their NDC target would be: 727.6 * (1-0.4) = 436.56 MtCO2eq.
So incl. LULUCF depends on option.</text>
  </threadedComment>
  <threadedComment ref="AG22" dT="2024-02-20T12:15:03.10" personId="{50C3D158-E15F-46ED-B8B5-4E341EEC204F}" id="{CF1619CB-1AF0-454A-A201-420C02FDBE94}">
    <text>their updated NDC of Korea, they exlc. LULUCF when calculating their target (see statements in Annex 1, table 1 a(b)). This means that their NDC target would be: 727.6 * (1-0.4) = 436.56 MtCO2eq.
So incl. LULUCF depends on option.</text>
  </threadedComment>
  <threadedComment ref="Z23" dT="2024-02-20T09:19:30.71" personId="{50C3D158-E15F-46ED-B8B5-4E341EEC204F}" id="{E0A51ADF-C125-401A-82C7-84191B99264D}">
    <text>Original NDC target is excluding LULUCF, so similar approach for three options.</text>
  </threadedComment>
  <threadedComment ref="AK23" dT="2024-02-20T09:29:18.83" personId="{50C3D158-E15F-46ED-B8B5-4E341EEC204F}" id="{5C005D35-61F6-46E0-84C6-33B718900318}">
    <text>Same as China.</text>
  </threadedComment>
</ThreadedComments>
</file>

<file path=xl/worksheets/_rels/sheet2.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vmlDrawing" Target="../drawings/vmlDrawing1.vml"/><Relationship Id="rId7" Type="http://schemas.openxmlformats.org/officeDocument/2006/relationships/comments" Target="../comments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table" Target="../tables/table3.xml"/><Relationship Id="rId5" Type="http://schemas.openxmlformats.org/officeDocument/2006/relationships/table" Target="../tables/table2.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0.x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1.xml"/><Relationship Id="rId1" Type="http://schemas.openxmlformats.org/officeDocument/2006/relationships/printerSettings" Target="../printerSettings/printerSettings5.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8" Type="http://schemas.openxmlformats.org/officeDocument/2006/relationships/hyperlink" Target="https://newclimate.org/resources/publications/emissions-scenarios-for-major-economies-2022-update" TargetMode="External"/><Relationship Id="rId13" Type="http://schemas.openxmlformats.org/officeDocument/2006/relationships/hyperlink" Target="https://newclimate.org/resources/publications/emissions-scenarios-for-major-economies-2022-update" TargetMode="External"/><Relationship Id="rId18" Type="http://schemas.openxmlformats.org/officeDocument/2006/relationships/hyperlink" Target="https://climateactiontracker.org/countries/nepal/" TargetMode="External"/><Relationship Id="rId3" Type="http://schemas.openxmlformats.org/officeDocument/2006/relationships/hyperlink" Target="https://newclimate.org/resources/publications/emissions-scenarios-for-major-economies-2022-update" TargetMode="External"/><Relationship Id="rId21" Type="http://schemas.openxmlformats.org/officeDocument/2006/relationships/comments" Target="../comments4.xml"/><Relationship Id="rId7" Type="http://schemas.openxmlformats.org/officeDocument/2006/relationships/hyperlink" Target="https://newclimate.org/resources/publications/emissions-scenarios-for-major-economies-2022-update" TargetMode="External"/><Relationship Id="rId12" Type="http://schemas.openxmlformats.org/officeDocument/2006/relationships/hyperlink" Target="https://newclimate.org/resources/publications/emissions-scenarios-for-major-economies-2022-update" TargetMode="External"/><Relationship Id="rId17" Type="http://schemas.openxmlformats.org/officeDocument/2006/relationships/hyperlink" Target="https://newclimate.org/sites/default/files/2021/11/NewClimate_TrackingCurrentPolicies_Nov21.pdf" TargetMode="External"/><Relationship Id="rId2" Type="http://schemas.openxmlformats.org/officeDocument/2006/relationships/hyperlink" Target="https://climateactiontracker.org/countries/nigeria/" TargetMode="External"/><Relationship Id="rId16" Type="http://schemas.openxmlformats.org/officeDocument/2006/relationships/hyperlink" Target="https://unfccc.int/sites/default/files/resource/KHM_LTS_Dec2021.pdf" TargetMode="External"/><Relationship Id="rId20" Type="http://schemas.openxmlformats.org/officeDocument/2006/relationships/vmlDrawing" Target="../drawings/vmlDrawing4.vml"/><Relationship Id="rId1" Type="http://schemas.openxmlformats.org/officeDocument/2006/relationships/hyperlink" Target="http://doi.org/10.2760/410610" TargetMode="External"/><Relationship Id="rId6" Type="http://schemas.openxmlformats.org/officeDocument/2006/relationships/hyperlink" Target="https://newclimate.org/resources/publications/emissions-scenarios-for-major-economies-2022-update" TargetMode="External"/><Relationship Id="rId11" Type="http://schemas.openxmlformats.org/officeDocument/2006/relationships/hyperlink" Target="https://newclimate.org/resources/publications/emissions-scenarios-for-major-economies-2022-update" TargetMode="External"/><Relationship Id="rId5" Type="http://schemas.openxmlformats.org/officeDocument/2006/relationships/hyperlink" Target="https://newclimate.org/sites/default/files/2021/11/NewClimate_TrackingCurrentPolicies_Nov21.pdf" TargetMode="External"/><Relationship Id="rId15" Type="http://schemas.openxmlformats.org/officeDocument/2006/relationships/hyperlink" Target="http://doi.org/10.2760/410610" TargetMode="External"/><Relationship Id="rId10" Type="http://schemas.openxmlformats.org/officeDocument/2006/relationships/hyperlink" Target="https://newclimate.org/resources/publications/emissions-scenarios-for-major-economies-2022-update" TargetMode="External"/><Relationship Id="rId19" Type="http://schemas.openxmlformats.org/officeDocument/2006/relationships/printerSettings" Target="../printerSettings/printerSettings6.bin"/><Relationship Id="rId4" Type="http://schemas.openxmlformats.org/officeDocument/2006/relationships/hyperlink" Target="https://newclimate.org/sites/default/files/2021/11/NewClimate_TrackingCurrentPolicies_Nov21.pdf" TargetMode="External"/><Relationship Id="rId9" Type="http://schemas.openxmlformats.org/officeDocument/2006/relationships/hyperlink" Target="http://doi.org/10.2760/410610" TargetMode="External"/><Relationship Id="rId14" Type="http://schemas.openxmlformats.org/officeDocument/2006/relationships/hyperlink" Target="https://newclimate.org/sites/default/files/2021/11/NewClimate_TrackingCurrentPolicies_Nov21.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F9B36-A97C-4D3D-BF42-2050FAB77F3A}">
  <sheetPr filterMode="1">
    <tabColor rgb="FFFFC000"/>
  </sheetPr>
  <dimension ref="A1:BG77"/>
  <sheetViews>
    <sheetView workbookViewId="0"/>
  </sheetViews>
  <sheetFormatPr defaultRowHeight="15" x14ac:dyDescent="0.25"/>
  <cols>
    <col min="2" max="2" width="18" bestFit="1" customWidth="1"/>
    <col min="3" max="4" width="9" bestFit="1" customWidth="1"/>
    <col min="5" max="5" width="12.5703125" bestFit="1" customWidth="1"/>
    <col min="6" max="11" width="9" bestFit="1" customWidth="1"/>
    <col min="12" max="12" width="9.5703125" bestFit="1" customWidth="1"/>
    <col min="13" max="13" width="9" bestFit="1" customWidth="1"/>
    <col min="14" max="14" width="9.5703125" bestFit="1" customWidth="1"/>
    <col min="15" max="15" width="9" bestFit="1" customWidth="1"/>
    <col min="16" max="16" width="9.5703125" bestFit="1" customWidth="1"/>
    <col min="17" max="17" width="10.5703125" bestFit="1" customWidth="1"/>
    <col min="18" max="21" width="9" bestFit="1" customWidth="1"/>
    <col min="22" max="22" width="10.28515625" bestFit="1" customWidth="1"/>
    <col min="23" max="26" width="9" bestFit="1" customWidth="1"/>
    <col min="27" max="27" width="16.7109375" bestFit="1" customWidth="1"/>
    <col min="28" max="49" width="9" bestFit="1" customWidth="1"/>
    <col min="50" max="50" width="14.7109375" bestFit="1" customWidth="1"/>
    <col min="51" max="52" width="9" bestFit="1" customWidth="1"/>
    <col min="53" max="53" width="10.5703125" bestFit="1" customWidth="1"/>
    <col min="54" max="55" width="9" bestFit="1" customWidth="1"/>
  </cols>
  <sheetData>
    <row r="1" spans="1:59" ht="195" x14ac:dyDescent="0.25">
      <c r="A1" s="434" t="s">
        <v>2594</v>
      </c>
      <c r="B1" s="435" t="s">
        <v>50</v>
      </c>
      <c r="C1" s="434" t="s">
        <v>2595</v>
      </c>
      <c r="D1" s="434" t="s">
        <v>2596</v>
      </c>
      <c r="E1" s="434" t="s">
        <v>2597</v>
      </c>
      <c r="F1" s="434" t="s">
        <v>2598</v>
      </c>
      <c r="G1" s="434" t="s">
        <v>2599</v>
      </c>
      <c r="H1" s="434" t="s">
        <v>2600</v>
      </c>
      <c r="I1" s="434" t="s">
        <v>2601</v>
      </c>
      <c r="J1" s="434" t="s">
        <v>2602</v>
      </c>
      <c r="K1" s="434" t="s">
        <v>2603</v>
      </c>
      <c r="L1" s="434" t="s">
        <v>2604</v>
      </c>
      <c r="M1" s="434" t="s">
        <v>2605</v>
      </c>
      <c r="N1" s="434" t="s">
        <v>2606</v>
      </c>
      <c r="O1" s="434" t="s">
        <v>2607</v>
      </c>
      <c r="P1" s="434" t="s">
        <v>2608</v>
      </c>
      <c r="Q1" s="434" t="s">
        <v>2609</v>
      </c>
      <c r="R1" s="434" t="s">
        <v>2610</v>
      </c>
      <c r="S1" s="434" t="s">
        <v>2611</v>
      </c>
      <c r="T1" s="434" t="s">
        <v>2612</v>
      </c>
      <c r="U1" s="434" t="s">
        <v>2613</v>
      </c>
      <c r="V1" s="434" t="s">
        <v>2614</v>
      </c>
      <c r="W1" s="434" t="s">
        <v>2615</v>
      </c>
      <c r="X1" s="434" t="s">
        <v>2616</v>
      </c>
      <c r="Y1" s="434" t="s">
        <v>2617</v>
      </c>
      <c r="Z1" s="434" t="s">
        <v>2618</v>
      </c>
      <c r="AA1" s="434" t="s">
        <v>2619</v>
      </c>
      <c r="AB1" s="434" t="s">
        <v>2620</v>
      </c>
      <c r="AC1" s="434" t="s">
        <v>2621</v>
      </c>
      <c r="AD1" s="434" t="s">
        <v>2622</v>
      </c>
      <c r="AE1" s="434" t="s">
        <v>2623</v>
      </c>
      <c r="AF1" s="434" t="s">
        <v>2624</v>
      </c>
      <c r="AG1" s="434" t="s">
        <v>2625</v>
      </c>
      <c r="AH1" s="434" t="s">
        <v>2626</v>
      </c>
      <c r="AI1" s="434" t="s">
        <v>2627</v>
      </c>
      <c r="AJ1" s="434" t="s">
        <v>2628</v>
      </c>
      <c r="AK1" s="434" t="s">
        <v>2629</v>
      </c>
      <c r="AL1" s="434" t="s">
        <v>2630</v>
      </c>
      <c r="AM1" s="434" t="s">
        <v>2631</v>
      </c>
      <c r="AN1" s="434" t="s">
        <v>2632</v>
      </c>
      <c r="AO1" s="434" t="s">
        <v>2633</v>
      </c>
      <c r="AP1" s="434" t="s">
        <v>2634</v>
      </c>
      <c r="AQ1" s="434" t="s">
        <v>2635</v>
      </c>
      <c r="AR1" s="434" t="s">
        <v>2636</v>
      </c>
      <c r="AS1" s="434" t="s">
        <v>2637</v>
      </c>
      <c r="AT1" s="434" t="s">
        <v>2638</v>
      </c>
      <c r="AU1" s="434" t="s">
        <v>2639</v>
      </c>
      <c r="AV1" s="434" t="s">
        <v>2640</v>
      </c>
      <c r="AW1" s="434" t="s">
        <v>2641</v>
      </c>
      <c r="AX1" s="434" t="s">
        <v>2642</v>
      </c>
      <c r="AY1" s="434" t="s">
        <v>2643</v>
      </c>
      <c r="AZ1" s="434" t="s">
        <v>2644</v>
      </c>
      <c r="BA1" s="434" t="s">
        <v>2645</v>
      </c>
      <c r="BB1" s="434" t="s">
        <v>2646</v>
      </c>
      <c r="BC1" s="434" t="s">
        <v>2647</v>
      </c>
      <c r="BD1" s="435" t="s">
        <v>2648</v>
      </c>
      <c r="BE1" s="436" t="s">
        <v>2409</v>
      </c>
      <c r="BF1" s="437" t="s">
        <v>2479</v>
      </c>
      <c r="BG1" s="441" t="s">
        <v>2419</v>
      </c>
    </row>
    <row r="2" spans="1:59" hidden="1" x14ac:dyDescent="0.25">
      <c r="A2" t="s">
        <v>470</v>
      </c>
      <c r="B2" s="438" t="str">
        <f>VLOOKUP($A2,'NZ targets'!$G$13:$BG$238,2,FALSE)</f>
        <v>United Arab Emirates</v>
      </c>
      <c r="C2" s="111">
        <v>100</v>
      </c>
      <c r="D2" s="111">
        <v>88.404048372806599</v>
      </c>
      <c r="E2" s="111">
        <v>9441129</v>
      </c>
      <c r="F2" s="111">
        <v>1.1553364992141699</v>
      </c>
      <c r="G2" s="111">
        <v>1.2999622821807899</v>
      </c>
      <c r="H2" s="111">
        <v>0.70078533887863204</v>
      </c>
      <c r="I2" s="111">
        <v>1.0347807407379199</v>
      </c>
      <c r="J2" s="111">
        <v>0.83664274215698198</v>
      </c>
      <c r="K2" s="111">
        <v>-1.12725257873535</v>
      </c>
      <c r="L2" s="111">
        <v>296</v>
      </c>
      <c r="M2" s="111">
        <v>0.23240111175667</v>
      </c>
      <c r="N2" s="111">
        <v>2869.8919999999998</v>
      </c>
      <c r="O2" s="111">
        <v>0.137108046073838</v>
      </c>
      <c r="P2" s="111">
        <v>127366</v>
      </c>
      <c r="Q2" s="111">
        <v>2093160.891852</v>
      </c>
      <c r="R2" s="111">
        <v>20.252271680142599</v>
      </c>
      <c r="S2" s="111">
        <v>0</v>
      </c>
      <c r="T2" s="111">
        <v>4.4677555618135703</v>
      </c>
      <c r="U2" s="111">
        <v>6.1314669296928299</v>
      </c>
      <c r="V2" s="111">
        <v>-2762</v>
      </c>
      <c r="W2" s="111">
        <v>0.19700469900312101</v>
      </c>
      <c r="X2" s="111">
        <v>131.866305266122</v>
      </c>
      <c r="Y2" s="111">
        <v>-0.26595883275257398</v>
      </c>
      <c r="Z2" s="111">
        <v>0</v>
      </c>
      <c r="AA2" s="111">
        <v>370866072290.13599</v>
      </c>
      <c r="AB2" s="111">
        <v>37497.580713634998</v>
      </c>
      <c r="AC2" s="111">
        <v>0.43164407347900202</v>
      </c>
      <c r="AD2" s="111">
        <v>11.512161770248699</v>
      </c>
      <c r="AE2" s="111">
        <v>0.689946493945367</v>
      </c>
      <c r="AF2" s="111">
        <v>0.8</v>
      </c>
      <c r="AG2" s="111">
        <v>5.59</v>
      </c>
      <c r="AH2" s="111">
        <v>37.67</v>
      </c>
      <c r="AI2" s="111">
        <v>-2.44</v>
      </c>
      <c r="AJ2" s="111">
        <v>2.04</v>
      </c>
      <c r="AK2" s="111">
        <v>2.87</v>
      </c>
      <c r="AL2" s="111">
        <v>27.33</v>
      </c>
      <c r="AM2" s="111">
        <v>2.04</v>
      </c>
      <c r="AN2" s="111">
        <v>0.8</v>
      </c>
      <c r="AO2" s="111">
        <v>8.4499999999999993</v>
      </c>
      <c r="AP2" s="111">
        <v>37.67</v>
      </c>
      <c r="AQ2" s="111">
        <v>15.717690470000001</v>
      </c>
      <c r="AR2" s="111">
        <v>62573.591809999998</v>
      </c>
      <c r="AS2" s="111">
        <v>0.91100000000000003</v>
      </c>
      <c r="AT2" s="111">
        <v>78.710400000000007</v>
      </c>
      <c r="AU2" s="111">
        <v>12.69402981</v>
      </c>
      <c r="AV2" s="111">
        <v>1.7</v>
      </c>
      <c r="AW2" s="111">
        <v>295.11026343660001</v>
      </c>
      <c r="AX2" s="111">
        <v>9998219154.7515011</v>
      </c>
      <c r="AY2" s="111">
        <v>0.34416960224242421</v>
      </c>
      <c r="AZ2" s="111">
        <v>1.0813898773712911</v>
      </c>
      <c r="BA2" s="111">
        <v>75660.006060606072</v>
      </c>
      <c r="BB2" s="111">
        <v>-2.3255813953488369</v>
      </c>
      <c r="BC2" s="111">
        <v>1</v>
      </c>
      <c r="BD2" s="438">
        <f>VLOOKUP($A2,'NZ targets'!$G$13:$BG$238,33,FALSE)</f>
        <v>-2.6916159373246352E-2</v>
      </c>
      <c r="BE2" s="439">
        <f>VLOOKUP($A2,'NZ targets'!$G$13:$BG$238,18,FALSE)</f>
        <v>-13</v>
      </c>
      <c r="BF2" s="440">
        <f>VLOOKUP($A2,'NZ targets'!$G$13:$BG$238,25,FALSE)</f>
        <v>-8.279541</v>
      </c>
      <c r="BG2" s="442">
        <f>VLOOKUP($A2,'NZ targets'!$G$13:$BG$238,3,FALSE)</f>
        <v>3</v>
      </c>
    </row>
    <row r="3" spans="1:59" hidden="1" x14ac:dyDescent="0.25">
      <c r="A3" t="s">
        <v>74</v>
      </c>
      <c r="B3" s="438" t="str">
        <f>VLOOKUP($A3,'NZ targets'!$G$13:$BG$238,2,FALSE)</f>
        <v>Australia</v>
      </c>
      <c r="C3" s="111">
        <v>100</v>
      </c>
      <c r="D3" s="111">
        <v>28.218409691562499</v>
      </c>
      <c r="E3" s="111">
        <v>26005540</v>
      </c>
      <c r="F3" s="111">
        <v>1.7644895315170299</v>
      </c>
      <c r="G3" s="111">
        <v>1.52887463569641</v>
      </c>
      <c r="H3" s="111">
        <v>0.93357205390930198</v>
      </c>
      <c r="I3" s="111">
        <v>1.8948932886123699</v>
      </c>
      <c r="J3" s="111">
        <v>1.5100852251052901</v>
      </c>
      <c r="K3" s="111">
        <v>1.31948041915894</v>
      </c>
      <c r="L3" s="111">
        <v>34405</v>
      </c>
      <c r="M3" s="111">
        <v>13.6378410946741</v>
      </c>
      <c r="N3" s="111">
        <v>296838.09999999998</v>
      </c>
      <c r="O3" s="111">
        <v>9.1805029598078605</v>
      </c>
      <c r="P3" s="111">
        <v>252276</v>
      </c>
      <c r="Q3" s="111">
        <v>3233353.3500239998</v>
      </c>
      <c r="R3" s="111">
        <v>14.776136906625901</v>
      </c>
      <c r="S3" s="111">
        <v>62.871616800646898</v>
      </c>
      <c r="T3" s="111">
        <v>17.421314557164401</v>
      </c>
      <c r="U3" s="111">
        <v>5.1262619161388301</v>
      </c>
      <c r="V3" s="111">
        <v>117929</v>
      </c>
      <c r="W3" s="111">
        <v>1.92332406236627</v>
      </c>
      <c r="X3" s="111">
        <v>3.33922844714392</v>
      </c>
      <c r="Y3" s="111">
        <v>0.21483114264172801</v>
      </c>
      <c r="Z3" s="111">
        <v>0.55413179234842602</v>
      </c>
      <c r="AA3" s="111">
        <v>1490967836287.24</v>
      </c>
      <c r="AB3" s="111">
        <v>58029.5155258862</v>
      </c>
      <c r="AC3" s="111">
        <v>0.91640160752847699</v>
      </c>
      <c r="AD3" s="111">
        <v>0.253858465971328</v>
      </c>
      <c r="AE3" s="111">
        <v>3.9838689967004801</v>
      </c>
      <c r="AF3" s="111">
        <v>15.1</v>
      </c>
      <c r="AG3" s="111">
        <v>3.02</v>
      </c>
      <c r="AH3" s="111">
        <v>99.64</v>
      </c>
      <c r="AI3" s="111">
        <v>-0.61</v>
      </c>
      <c r="AJ3" s="111">
        <v>159.54</v>
      </c>
      <c r="AK3" s="111">
        <v>14.42</v>
      </c>
      <c r="AL3" s="111">
        <v>24.79</v>
      </c>
      <c r="AM3" s="111">
        <v>159.54</v>
      </c>
      <c r="AN3" s="111">
        <v>15.1</v>
      </c>
      <c r="AO3" s="111">
        <v>17.440000000000001</v>
      </c>
      <c r="AP3" s="111">
        <v>99.64</v>
      </c>
      <c r="AQ3" s="111">
        <v>21.054590229999999</v>
      </c>
      <c r="AR3" s="111">
        <v>49238.433349999999</v>
      </c>
      <c r="AS3" s="111">
        <v>0.95099999999999996</v>
      </c>
      <c r="AT3" s="111">
        <v>84.526499999999999</v>
      </c>
      <c r="AU3" s="111">
        <v>12.726819989999999</v>
      </c>
      <c r="AV3" s="111">
        <v>2.4</v>
      </c>
      <c r="AW3" s="111">
        <v>571.38211263582002</v>
      </c>
      <c r="AX3" s="111">
        <v>32549747035.989491</v>
      </c>
      <c r="AY3" s="111">
        <v>7.4412489999999984E-2</v>
      </c>
      <c r="AZ3" s="111">
        <v>4.4636502738877648E-2</v>
      </c>
      <c r="BA3" s="111">
        <v>329293.77575757582</v>
      </c>
      <c r="BB3" s="111">
        <v>-3.5714285714285721</v>
      </c>
      <c r="BC3" s="111">
        <v>1</v>
      </c>
      <c r="BD3" s="438">
        <f>VLOOKUP($A3,'NZ targets'!$G$13:$BG$238,33,FALSE)</f>
        <v>-4.3916954887343054E-2</v>
      </c>
      <c r="BE3" s="439">
        <f>VLOOKUP($A3,'NZ targets'!$G$13:$BG$238,18,FALSE)</f>
        <v>-60</v>
      </c>
      <c r="BF3" s="440">
        <f>VLOOKUP($A3,'NZ targets'!$G$13:$BG$238,25,FALSE)</f>
        <v>-63.860982206518798</v>
      </c>
      <c r="BG3" s="442">
        <f>VLOOKUP($A3,'NZ targets'!$G$13:$BG$238,3,FALSE)</f>
        <v>4</v>
      </c>
    </row>
    <row r="4" spans="1:59" hidden="1" x14ac:dyDescent="0.25">
      <c r="A4" t="s">
        <v>76</v>
      </c>
      <c r="B4" s="438" t="str">
        <f>VLOOKUP($A4,'NZ targets'!$G$13:$BG$238,2,FALSE)</f>
        <v>Austria</v>
      </c>
      <c r="C4" s="111">
        <v>100</v>
      </c>
      <c r="D4" s="111">
        <v>17.465726250517001</v>
      </c>
      <c r="E4" s="111">
        <v>9041851</v>
      </c>
      <c r="F4" s="111">
        <v>1.2586194276809699</v>
      </c>
      <c r="G4" s="111">
        <v>1.4654501676559399</v>
      </c>
      <c r="H4" s="111">
        <v>0.63799536228179898</v>
      </c>
      <c r="I4" s="111">
        <v>1.2831997871398899</v>
      </c>
      <c r="J4" s="111">
        <v>1.70585024356842</v>
      </c>
      <c r="K4" s="111">
        <v>1.4087607860565201</v>
      </c>
      <c r="L4" s="111">
        <v>47243</v>
      </c>
      <c r="M4" s="111">
        <v>76.490779269141697</v>
      </c>
      <c r="N4" s="111">
        <v>362355.8</v>
      </c>
      <c r="O4" s="111">
        <v>34.394991747785397</v>
      </c>
      <c r="P4" s="111">
        <v>61763</v>
      </c>
      <c r="Q4" s="111">
        <v>1053513.2633760001</v>
      </c>
      <c r="R4" s="111">
        <v>6.6326457373354604</v>
      </c>
      <c r="S4" s="111">
        <v>8.2266081634635597</v>
      </c>
      <c r="T4" s="111">
        <v>47.294474066892903</v>
      </c>
      <c r="U4" s="111">
        <v>0.76967400848549405</v>
      </c>
      <c r="V4" s="111">
        <v>20314</v>
      </c>
      <c r="W4" s="111">
        <v>0.421643852592122</v>
      </c>
      <c r="X4" s="111">
        <v>108.528805138148</v>
      </c>
      <c r="Y4" s="111">
        <v>-5.3645571645176901E-2</v>
      </c>
      <c r="Z4" s="111">
        <v>0</v>
      </c>
      <c r="AA4" s="111">
        <v>386514237678.39801</v>
      </c>
      <c r="AB4" s="111">
        <v>43346.431848506203</v>
      </c>
      <c r="AC4" s="111">
        <v>8.7652478356928E-3</v>
      </c>
      <c r="AD4" s="111">
        <v>2.27114611405239E-2</v>
      </c>
      <c r="AE4" s="111">
        <v>16.009209888511901</v>
      </c>
      <c r="AF4" s="111">
        <v>7.45</v>
      </c>
      <c r="AG4" s="111">
        <v>1.71</v>
      </c>
      <c r="AH4" s="111">
        <v>24.76</v>
      </c>
      <c r="AI4" s="111">
        <v>-4.04</v>
      </c>
      <c r="AJ4" s="111">
        <v>7.41</v>
      </c>
      <c r="AK4" s="111">
        <v>1.73</v>
      </c>
      <c r="AL4" s="111">
        <v>7.68</v>
      </c>
      <c r="AM4" s="111">
        <v>7.41</v>
      </c>
      <c r="AN4" s="111">
        <v>7.45</v>
      </c>
      <c r="AO4" s="111">
        <v>3.44</v>
      </c>
      <c r="AP4" s="111">
        <v>24.76</v>
      </c>
      <c r="AQ4" s="111">
        <v>16.007959369999998</v>
      </c>
      <c r="AR4" s="111">
        <v>53618.67138</v>
      </c>
      <c r="AS4" s="111">
        <v>0.91600000000000004</v>
      </c>
      <c r="AT4" s="111">
        <v>81.579700000000003</v>
      </c>
      <c r="AU4" s="111">
        <v>12.25669003</v>
      </c>
      <c r="AV4" s="111">
        <v>1.9</v>
      </c>
      <c r="AW4" s="111">
        <v>76.743304468293999</v>
      </c>
      <c r="AX4" s="111">
        <v>3789545178.0355649</v>
      </c>
      <c r="AY4" s="111">
        <v>5.7440873939393802E-2</v>
      </c>
      <c r="AZ4" s="111">
        <v>0.74279329896152702</v>
      </c>
      <c r="BA4" s="111">
        <v>59199.242424242417</v>
      </c>
      <c r="BB4" s="111">
        <v>-5.5555555555555554</v>
      </c>
      <c r="BC4" s="111">
        <v>1</v>
      </c>
      <c r="BD4" s="438">
        <f>VLOOKUP($A4,'NZ targets'!$G$13:$BG$238,33,FALSE)</f>
        <v>-8.8718244110570929E-2</v>
      </c>
      <c r="BE4" s="439">
        <f>VLOOKUP($A4,'NZ targets'!$G$13:$BG$238,18,FALSE)</f>
        <v>-5.2338985189962326</v>
      </c>
      <c r="BF4" s="440">
        <f>VLOOKUP($A4,'NZ targets'!$G$13:$BG$238,25,FALSE)</f>
        <v>-9.0584389885547711</v>
      </c>
      <c r="BG4" s="442">
        <f>VLOOKUP($A4,'NZ targets'!$G$13:$BG$238,3,FALSE)</f>
        <v>4</v>
      </c>
    </row>
    <row r="5" spans="1:59" hidden="1" x14ac:dyDescent="0.25">
      <c r="A5" t="s">
        <v>90</v>
      </c>
      <c r="B5" s="438" t="str">
        <f>VLOOKUP($A5,'NZ targets'!$G$13:$BG$238,2,FALSE)</f>
        <v>Belgium</v>
      </c>
      <c r="C5" s="111">
        <v>100</v>
      </c>
      <c r="D5" s="111">
        <v>12.2835331942319</v>
      </c>
      <c r="E5" s="111">
        <v>11685814</v>
      </c>
      <c r="F5" s="111">
        <v>1.4950486421585101</v>
      </c>
      <c r="G5" s="111">
        <v>1.2276587486267101</v>
      </c>
      <c r="H5" s="111">
        <v>0.57566881179809604</v>
      </c>
      <c r="I5" s="111">
        <v>1.2529551982879601</v>
      </c>
      <c r="J5" s="111">
        <v>1.34894239902496</v>
      </c>
      <c r="K5" s="111">
        <v>1.29260873794556</v>
      </c>
      <c r="L5" s="111">
        <v>14466</v>
      </c>
      <c r="M5" s="111">
        <v>20.800023005693902</v>
      </c>
      <c r="N5" s="111">
        <v>128345.2</v>
      </c>
      <c r="O5" s="111">
        <v>9.2016405307814804</v>
      </c>
      <c r="P5" s="111">
        <v>69548</v>
      </c>
      <c r="Q5" s="111">
        <v>1394807.801616</v>
      </c>
      <c r="R5" s="111">
        <v>7.39813065774681</v>
      </c>
      <c r="S5" s="111">
        <v>6.1080117329038899</v>
      </c>
      <c r="T5" s="111">
        <v>22.764200792602399</v>
      </c>
      <c r="U5" s="111">
        <v>0.69107897445826205</v>
      </c>
      <c r="V5" s="111">
        <v>53428</v>
      </c>
      <c r="W5" s="111">
        <v>0.39555879645406</v>
      </c>
      <c r="X5" s="111">
        <v>382.635237780713</v>
      </c>
      <c r="Y5" s="111">
        <v>-0.15906383767556101</v>
      </c>
      <c r="Z5" s="111">
        <v>0</v>
      </c>
      <c r="AA5" s="111">
        <v>466671773120.625</v>
      </c>
      <c r="AB5" s="111">
        <v>40424.638841187101</v>
      </c>
      <c r="AC5" s="111">
        <v>3.4458348921717699E-5</v>
      </c>
      <c r="AD5" s="111">
        <v>0</v>
      </c>
      <c r="AE5" s="111">
        <v>28.562635402906199</v>
      </c>
      <c r="AF5" s="111">
        <v>22.41</v>
      </c>
      <c r="AG5" s="111">
        <v>2.29</v>
      </c>
      <c r="AH5" s="111">
        <v>25.31</v>
      </c>
      <c r="AI5" s="111">
        <v>0.46</v>
      </c>
      <c r="AJ5" s="111">
        <v>9.4</v>
      </c>
      <c r="AK5" s="111">
        <v>3.06</v>
      </c>
      <c r="AL5" s="111">
        <v>9.5299999999999994</v>
      </c>
      <c r="AM5" s="111">
        <v>9.4</v>
      </c>
      <c r="AN5" s="111">
        <v>22.41</v>
      </c>
      <c r="AO5" s="111">
        <v>5.35</v>
      </c>
      <c r="AP5" s="111">
        <v>25.31</v>
      </c>
      <c r="AQ5" s="111">
        <v>19.604219440000001</v>
      </c>
      <c r="AR5" s="111">
        <v>52293.399770000004</v>
      </c>
      <c r="AS5" s="111">
        <v>0.93700000000000006</v>
      </c>
      <c r="AT5" s="111">
        <v>81.878699999999995</v>
      </c>
      <c r="AU5" s="111">
        <v>12.37567997</v>
      </c>
      <c r="AV5" s="111">
        <v>2.1</v>
      </c>
      <c r="AW5" s="111">
        <v>114.03220323006001</v>
      </c>
      <c r="AX5" s="111">
        <v>5182784184.4017286</v>
      </c>
      <c r="AY5" s="111">
        <v>0.11456469327272729</v>
      </c>
      <c r="AZ5" s="111">
        <v>1.7752834153956889</v>
      </c>
      <c r="BA5" s="111">
        <v>55904.47878787879</v>
      </c>
      <c r="BB5" s="111">
        <v>-3.5714285714285721</v>
      </c>
      <c r="BC5" s="111">
        <v>1</v>
      </c>
      <c r="BD5" s="438">
        <f>VLOOKUP($A5,'NZ targets'!$G$13:$BG$238,33,FALSE)</f>
        <v>-4.9715849595718627E-2</v>
      </c>
      <c r="BE5" s="439">
        <f>VLOOKUP($A5,'NZ targets'!$G$13:$BG$238,18,FALSE)</f>
        <v>-0.35387688274222762</v>
      </c>
      <c r="BF5" s="440">
        <f>VLOOKUP($A5,'NZ targets'!$G$13:$BG$238,25,FALSE)</f>
        <v>-0.61246356614403574</v>
      </c>
      <c r="BG5" s="442">
        <f>VLOOKUP($A5,'NZ targets'!$G$13:$BG$238,3,FALSE)</f>
        <v>3</v>
      </c>
    </row>
    <row r="6" spans="1:59" x14ac:dyDescent="0.25">
      <c r="A6" t="s">
        <v>84</v>
      </c>
      <c r="B6" s="438" t="str">
        <f>VLOOKUP($A6,'NZ targets'!$G$13:$BG$238,2,FALSE)</f>
        <v>Bangladesh</v>
      </c>
      <c r="C6" s="111">
        <v>98.991027832031307</v>
      </c>
      <c r="D6" s="111">
        <v>0.88375373539614199</v>
      </c>
      <c r="E6" s="111">
        <v>171186372</v>
      </c>
      <c r="F6" s="111">
        <v>-1.0755273103714</v>
      </c>
      <c r="G6" s="111">
        <v>-0.76255190372466997</v>
      </c>
      <c r="H6" s="111">
        <v>-1.0923711061477701</v>
      </c>
      <c r="I6" s="111">
        <v>-0.92765891551971402</v>
      </c>
      <c r="J6" s="111">
        <v>-0.60133934020996105</v>
      </c>
      <c r="K6" s="111">
        <v>-0.75266188383102395</v>
      </c>
      <c r="L6" s="111">
        <v>724</v>
      </c>
      <c r="M6" s="111">
        <v>1.2268899018827</v>
      </c>
      <c r="N6" s="111">
        <v>386058.6</v>
      </c>
      <c r="O6" s="111">
        <v>34.747069011541598</v>
      </c>
      <c r="P6" s="111">
        <v>59011</v>
      </c>
      <c r="Q6" s="111">
        <v>1111053.7118160001</v>
      </c>
      <c r="R6" s="111">
        <v>0.51064755927709404</v>
      </c>
      <c r="S6" s="111">
        <v>1.6895155140567</v>
      </c>
      <c r="T6" s="111">
        <v>14.4687716063609</v>
      </c>
      <c r="U6" s="111">
        <v>0.53102073927414295</v>
      </c>
      <c r="V6" s="111">
        <v>-61154</v>
      </c>
      <c r="W6" s="111">
        <v>0.16770210832215399</v>
      </c>
      <c r="X6" s="111">
        <v>1301.0390335714801</v>
      </c>
      <c r="Y6" s="111">
        <v>0.17934585773323899</v>
      </c>
      <c r="Z6" s="111">
        <v>1.0438769696879201E-2</v>
      </c>
      <c r="AA6" s="111">
        <v>266759891218.35999</v>
      </c>
      <c r="AB6" s="111">
        <v>1619.7758857251899</v>
      </c>
      <c r="AC6" s="111">
        <v>0.20682978846469499</v>
      </c>
      <c r="AD6" s="111">
        <v>9.7279475743229007E-3</v>
      </c>
      <c r="AE6" s="111">
        <v>61.458093262656497</v>
      </c>
      <c r="AF6" s="111">
        <v>9.82</v>
      </c>
      <c r="AG6" s="111">
        <v>0.8</v>
      </c>
      <c r="AH6" s="111">
        <v>12.01</v>
      </c>
      <c r="AI6" s="111">
        <v>3.07</v>
      </c>
      <c r="AJ6" s="111">
        <v>88.53</v>
      </c>
      <c r="AK6" s="111">
        <v>3.18</v>
      </c>
      <c r="AL6" s="111">
        <v>1.37</v>
      </c>
      <c r="AM6" s="111">
        <v>88.53</v>
      </c>
      <c r="AN6" s="111">
        <v>9.82</v>
      </c>
      <c r="AO6" s="111">
        <v>3.97</v>
      </c>
      <c r="AP6" s="111">
        <v>12.01</v>
      </c>
      <c r="AQ6" s="111">
        <v>12.441980360000001</v>
      </c>
      <c r="AR6" s="111">
        <v>5472.104781</v>
      </c>
      <c r="AS6" s="111">
        <v>0.66100000000000003</v>
      </c>
      <c r="AT6" s="111">
        <v>72.381100000000004</v>
      </c>
      <c r="AU6" s="111">
        <v>7.3790597919999996</v>
      </c>
      <c r="AV6" s="111">
        <v>5.7</v>
      </c>
      <c r="AW6" s="111">
        <v>281.08210987487001</v>
      </c>
      <c r="AX6" s="111">
        <v>13062121147.64282</v>
      </c>
      <c r="AY6" s="111">
        <v>0.26075707061212122</v>
      </c>
      <c r="AZ6" s="111">
        <v>14.73467037277619</v>
      </c>
      <c r="BA6" s="111">
        <v>1910366.4969696971</v>
      </c>
      <c r="BB6" s="111">
        <v>-3.5714285714285721</v>
      </c>
      <c r="BC6" s="111">
        <v>1</v>
      </c>
      <c r="BD6" s="438" t="str">
        <f>VLOOKUP($A6,'NZ targets'!$G$13:$BG$238,33,FALSE)</f>
        <v/>
      </c>
      <c r="BE6" s="439">
        <f>VLOOKUP($A6,'NZ targets'!$G$13:$BG$238,18,FALSE)</f>
        <v>8.2258265747126416</v>
      </c>
      <c r="BF6" s="440">
        <f>VLOOKUP($A6,'NZ targets'!$G$13:$BG$238,25,FALSE)</f>
        <v>7.636921810173293</v>
      </c>
      <c r="BG6" s="442">
        <f>VLOOKUP($A6,'NZ targets'!$G$13:$BG$238,3,FALSE)</f>
        <v>1</v>
      </c>
    </row>
    <row r="7" spans="1:59" x14ac:dyDescent="0.25">
      <c r="A7" t="s">
        <v>110</v>
      </c>
      <c r="B7" s="438" t="str">
        <f>VLOOKUP($A7,'NZ targets'!$G$13:$BG$238,2,FALSE)</f>
        <v>Bulgaria</v>
      </c>
      <c r="C7" s="111">
        <v>99.8</v>
      </c>
      <c r="D7" s="111">
        <v>1.428196392424</v>
      </c>
      <c r="E7" s="111">
        <v>6465097</v>
      </c>
      <c r="F7" s="111">
        <v>-0.15789711475372301</v>
      </c>
      <c r="G7" s="111">
        <v>-0.27079984545707703</v>
      </c>
      <c r="H7" s="111">
        <v>0.24625205993652299</v>
      </c>
      <c r="I7" s="111">
        <v>0.320686906576157</v>
      </c>
      <c r="J7" s="111">
        <v>-0.10721157491207101</v>
      </c>
      <c r="K7" s="111">
        <v>0.285204857587814</v>
      </c>
      <c r="L7" s="111">
        <v>8768</v>
      </c>
      <c r="M7" s="111">
        <v>17.9885929998769</v>
      </c>
      <c r="N7" s="111">
        <v>69034.960000000006</v>
      </c>
      <c r="O7" s="111">
        <v>17.650077927404201</v>
      </c>
      <c r="P7" s="111">
        <v>48742</v>
      </c>
      <c r="Q7" s="111">
        <v>391131.19094399997</v>
      </c>
      <c r="R7" s="111">
        <v>4.9232803794050097</v>
      </c>
      <c r="S7" s="111">
        <v>46.206556973452102</v>
      </c>
      <c r="T7" s="111">
        <v>35.980103168754603</v>
      </c>
      <c r="U7" s="111">
        <v>1.0067034210338499</v>
      </c>
      <c r="V7" s="111">
        <v>-9902</v>
      </c>
      <c r="W7" s="111">
        <v>0.62427462920111898</v>
      </c>
      <c r="X7" s="111">
        <v>63.354301768607201</v>
      </c>
      <c r="Y7" s="111">
        <v>-0.83439604273849</v>
      </c>
      <c r="Z7" s="111">
        <v>7.1455113957944294E-2</v>
      </c>
      <c r="AA7" s="111">
        <v>54923717977.782799</v>
      </c>
      <c r="AB7" s="111">
        <v>7920.9113302729802</v>
      </c>
      <c r="AC7" s="111">
        <v>4.9703972974475003E-3</v>
      </c>
      <c r="AD7" s="111">
        <v>1.30064500047005E-2</v>
      </c>
      <c r="AE7" s="111">
        <v>32.1665438467207</v>
      </c>
      <c r="AF7" s="111">
        <v>1.02</v>
      </c>
      <c r="AG7" s="111">
        <v>1.24</v>
      </c>
      <c r="AH7" s="111">
        <v>9.44</v>
      </c>
      <c r="AI7" s="111">
        <v>-13.82</v>
      </c>
      <c r="AJ7" s="111">
        <v>5.26</v>
      </c>
      <c r="AK7" s="111">
        <v>1.37</v>
      </c>
      <c r="AL7" s="111">
        <v>2.78</v>
      </c>
      <c r="AM7" s="111">
        <v>5.26</v>
      </c>
      <c r="AN7" s="111">
        <v>1.02</v>
      </c>
      <c r="AO7" s="111">
        <v>2.6</v>
      </c>
      <c r="AP7" s="111">
        <v>9.44</v>
      </c>
      <c r="AQ7" s="111">
        <v>13.897290229999999</v>
      </c>
      <c r="AR7" s="111">
        <v>23078.95595</v>
      </c>
      <c r="AS7" s="111">
        <v>0.79500000000000004</v>
      </c>
      <c r="AT7" s="111">
        <v>71.798000000000002</v>
      </c>
      <c r="AU7" s="111">
        <v>11.413180349999999</v>
      </c>
      <c r="AV7" s="111">
        <v>2.7</v>
      </c>
      <c r="AW7" s="111">
        <v>68.413545071895996</v>
      </c>
      <c r="AX7" s="111">
        <v>1004624791.327463</v>
      </c>
      <c r="AY7" s="111">
        <v>5.6774054666666497E-2</v>
      </c>
      <c r="AZ7" s="111">
        <v>-0.44229846363413189</v>
      </c>
      <c r="BA7" s="111">
        <v>-68790.909090909088</v>
      </c>
      <c r="BB7" s="111">
        <v>-2.3255813953488369</v>
      </c>
      <c r="BC7" s="111">
        <v>1</v>
      </c>
      <c r="BD7" s="438" t="str">
        <f>VLOOKUP($A7,'NZ targets'!$G$13:$BG$238,33,FALSE)</f>
        <v/>
      </c>
      <c r="BE7" s="439">
        <f>VLOOKUP($A7,'NZ targets'!$G$13:$BG$238,18,FALSE)</f>
        <v>-9.4482010814052639</v>
      </c>
      <c r="BF7" s="440">
        <f>VLOOKUP($A7,'NZ targets'!$G$13:$BG$238,25,FALSE)</f>
        <v>-10.724190204313601</v>
      </c>
      <c r="BG7" s="442">
        <f>VLOOKUP($A7,'NZ targets'!$G$13:$BG$238,3,FALSE)</f>
        <v>1</v>
      </c>
    </row>
    <row r="8" spans="1:59" hidden="1" x14ac:dyDescent="0.25">
      <c r="A8" t="s">
        <v>82</v>
      </c>
      <c r="B8" s="438" t="str">
        <f>VLOOKUP($A8,'NZ targets'!$G$13:$BG$238,2,FALSE)</f>
        <v>Bahrain</v>
      </c>
      <c r="C8" s="111">
        <v>100</v>
      </c>
      <c r="D8" s="111">
        <v>51.126785005050003</v>
      </c>
      <c r="E8" s="111">
        <v>1472233</v>
      </c>
      <c r="F8" s="111">
        <v>0.139385640621185</v>
      </c>
      <c r="G8" s="111">
        <v>0.64042490720748901</v>
      </c>
      <c r="H8" s="111">
        <v>-0.40702849626541099</v>
      </c>
      <c r="I8" s="111">
        <v>0.97063350677490201</v>
      </c>
      <c r="J8" s="111">
        <v>0.43882861733436601</v>
      </c>
      <c r="K8" s="111">
        <v>-1.4175617694854701</v>
      </c>
      <c r="L8" s="111">
        <v>0</v>
      </c>
      <c r="M8" s="111">
        <v>0</v>
      </c>
      <c r="N8" s="111">
        <v>0</v>
      </c>
      <c r="O8" s="111">
        <v>0</v>
      </c>
      <c r="P8" s="111">
        <v>28484</v>
      </c>
      <c r="Q8" s="111">
        <v>191733.45929999999</v>
      </c>
      <c r="R8" s="111">
        <v>21.976907806525901</v>
      </c>
      <c r="S8" s="111">
        <v>0</v>
      </c>
      <c r="T8" s="111">
        <v>0.911392405063291</v>
      </c>
      <c r="U8" s="111">
        <v>11.940307397312599</v>
      </c>
      <c r="V8" s="111">
        <v>-48716</v>
      </c>
      <c r="W8" s="111">
        <v>0.116170557893262</v>
      </c>
      <c r="X8" s="111">
        <v>1852.2341772151899</v>
      </c>
      <c r="Y8" s="111">
        <v>-3.2753403960406899</v>
      </c>
      <c r="Z8" s="111">
        <v>0</v>
      </c>
      <c r="AA8" s="111">
        <v>33258424204.472599</v>
      </c>
      <c r="AB8" s="111">
        <v>19545.578560947401</v>
      </c>
      <c r="AC8" s="111">
        <v>1.3230688061448601</v>
      </c>
      <c r="AD8" s="111">
        <v>7.3591310725651597</v>
      </c>
      <c r="AE8" s="111">
        <v>2.0382165605095501</v>
      </c>
      <c r="AF8" s="111">
        <v>0.27</v>
      </c>
      <c r="AG8" s="111">
        <v>0.56000000000000005</v>
      </c>
      <c r="AH8" s="111">
        <v>3.85</v>
      </c>
      <c r="AI8" s="111">
        <v>2.1</v>
      </c>
      <c r="AJ8" s="111">
        <v>0.05</v>
      </c>
      <c r="AK8" s="111">
        <v>3.31</v>
      </c>
      <c r="AL8" s="111">
        <v>31.19</v>
      </c>
      <c r="AM8" s="111">
        <v>0.05</v>
      </c>
      <c r="AN8" s="111">
        <v>0.27</v>
      </c>
      <c r="AO8" s="111">
        <v>3.87</v>
      </c>
      <c r="AP8" s="111">
        <v>3.85</v>
      </c>
      <c r="AQ8" s="111">
        <v>16.297559740000001</v>
      </c>
      <c r="AR8" s="111">
        <v>39497.247880000003</v>
      </c>
      <c r="AS8" s="111">
        <v>0.875</v>
      </c>
      <c r="AT8" s="111">
        <v>78.760499999999993</v>
      </c>
      <c r="AU8" s="111">
        <v>11.04658985</v>
      </c>
      <c r="AV8" s="111">
        <v>1.4</v>
      </c>
      <c r="AW8" s="111">
        <v>69.976211881851</v>
      </c>
      <c r="AX8" s="111">
        <v>904919071.06864107</v>
      </c>
      <c r="AY8" s="111">
        <v>0.32702731985454547</v>
      </c>
      <c r="AZ8" s="111">
        <v>34.387924670891593</v>
      </c>
      <c r="BA8" s="111">
        <v>23155.63030303031</v>
      </c>
      <c r="BB8" s="111">
        <v>-1.8867924528301889</v>
      </c>
      <c r="BC8" s="111">
        <v>1</v>
      </c>
      <c r="BD8" s="438">
        <f>VLOOKUP($A8,'NZ targets'!$G$13:$BG$238,33,FALSE)</f>
        <v>-2.2203960362061011E-2</v>
      </c>
      <c r="BE8" s="439">
        <f>VLOOKUP($A8,'NZ targets'!$G$13:$BG$238,18,FALSE)</f>
        <v>-2.4799999999999964E-2</v>
      </c>
      <c r="BF8" s="440">
        <f>VLOOKUP($A8,'NZ targets'!$G$13:$BG$238,25,FALSE)</f>
        <v>-3.1253048894261989E-2</v>
      </c>
      <c r="BG8" s="442">
        <f>VLOOKUP($A8,'NZ targets'!$G$13:$BG$238,3,FALSE)</f>
        <v>2</v>
      </c>
    </row>
    <row r="9" spans="1:59" hidden="1" x14ac:dyDescent="0.25">
      <c r="A9" t="s">
        <v>120</v>
      </c>
      <c r="B9" s="438" t="str">
        <f>VLOOKUP($A9,'NZ targets'!$G$13:$BG$238,2,FALSE)</f>
        <v>Canada</v>
      </c>
      <c r="C9" s="111">
        <v>100</v>
      </c>
      <c r="D9" s="111">
        <v>21.801663648342998</v>
      </c>
      <c r="E9" s="111">
        <v>38929902</v>
      </c>
      <c r="F9" s="111">
        <v>1.65857982635498</v>
      </c>
      <c r="G9" s="111">
        <v>1.5670704841613801</v>
      </c>
      <c r="H9" s="111">
        <v>0.77281403541564897</v>
      </c>
      <c r="I9" s="111">
        <v>1.6770927906036399</v>
      </c>
      <c r="J9" s="111">
        <v>1.5662201642990099</v>
      </c>
      <c r="K9" s="111">
        <v>1.4349683523178101</v>
      </c>
      <c r="L9" s="111">
        <v>422643</v>
      </c>
      <c r="M9" s="111">
        <v>63.011450040253997</v>
      </c>
      <c r="N9" s="111">
        <v>1587094</v>
      </c>
      <c r="O9" s="111">
        <v>22.0253592107108</v>
      </c>
      <c r="P9" s="111">
        <v>670740</v>
      </c>
      <c r="Q9" s="111">
        <v>7205757.6215519998</v>
      </c>
      <c r="R9" s="111">
        <v>13.5993749178773</v>
      </c>
      <c r="S9" s="111">
        <v>9.8364492948087197</v>
      </c>
      <c r="T9" s="111">
        <v>39.4701279256318</v>
      </c>
      <c r="U9" s="111">
        <v>2.63485537174753</v>
      </c>
      <c r="V9" s="111">
        <v>195181</v>
      </c>
      <c r="W9" s="111">
        <v>1.2387219275965</v>
      </c>
      <c r="X9" s="111">
        <v>4.3495053875999901</v>
      </c>
      <c r="Y9" s="111">
        <v>1.40639768855095E-2</v>
      </c>
      <c r="Z9" s="111">
        <v>5.3023333095896803E-2</v>
      </c>
      <c r="AA9" s="111">
        <v>1607402450990.0901</v>
      </c>
      <c r="AB9" s="111">
        <v>42258.691017091704</v>
      </c>
      <c r="AC9" s="111">
        <v>3.7249733938485401E-2</v>
      </c>
      <c r="AD9" s="111">
        <v>1.08793463855046</v>
      </c>
      <c r="AE9" s="111">
        <v>4.26463846774167</v>
      </c>
      <c r="AF9" s="111">
        <v>75.680000000000007</v>
      </c>
      <c r="AG9" s="111">
        <v>6.75</v>
      </c>
      <c r="AH9" s="111">
        <v>192.11</v>
      </c>
      <c r="AI9" s="111">
        <v>2.37</v>
      </c>
      <c r="AJ9" s="111">
        <v>58.95</v>
      </c>
      <c r="AK9" s="111">
        <v>14.88</v>
      </c>
      <c r="AL9" s="111">
        <v>20.6</v>
      </c>
      <c r="AM9" s="111">
        <v>58.95</v>
      </c>
      <c r="AN9" s="111">
        <v>75.680000000000007</v>
      </c>
      <c r="AO9" s="111">
        <v>21.64</v>
      </c>
      <c r="AP9" s="111">
        <v>192.11</v>
      </c>
      <c r="AQ9" s="111">
        <v>16.396259310000001</v>
      </c>
      <c r="AR9" s="111">
        <v>46807.986190000003</v>
      </c>
      <c r="AS9" s="111">
        <v>0.93600000000000005</v>
      </c>
      <c r="AT9" s="111">
        <v>82.656499999999994</v>
      </c>
      <c r="AU9" s="111">
        <v>13.83442722</v>
      </c>
      <c r="AV9" s="111">
        <v>2.4</v>
      </c>
      <c r="AW9" s="111">
        <v>756.81011113812997</v>
      </c>
      <c r="AX9" s="111">
        <v>24909799517.123718</v>
      </c>
      <c r="AY9" s="111">
        <v>2.8846842484848461E-2</v>
      </c>
      <c r="AZ9" s="111">
        <v>5.0256575973528457E-2</v>
      </c>
      <c r="BA9" s="111">
        <v>428256.60606060608</v>
      </c>
      <c r="BB9" s="111">
        <v>-3.5714285714285721</v>
      </c>
      <c r="BC9" s="111">
        <v>1</v>
      </c>
      <c r="BD9" s="438">
        <f>VLOOKUP($A9,'NZ targets'!$G$13:$BG$238,33,FALSE)</f>
        <v>-3.9599480886211416E-2</v>
      </c>
      <c r="BE9" s="439">
        <f>VLOOKUP($A9,'NZ targets'!$G$13:$BG$238,18,FALSE)</f>
        <v>-100</v>
      </c>
      <c r="BF9" s="440">
        <f>VLOOKUP($A9,'NZ targets'!$G$13:$BG$238,25,FALSE)</f>
        <v>-28.496770730000001</v>
      </c>
      <c r="BG9" s="442">
        <f>VLOOKUP($A9,'NZ targets'!$G$13:$BG$238,3,FALSE)</f>
        <v>4</v>
      </c>
    </row>
    <row r="10" spans="1:59" hidden="1" x14ac:dyDescent="0.25">
      <c r="A10" t="s">
        <v>434</v>
      </c>
      <c r="B10" s="438" t="str">
        <f>VLOOKUP($A10,'NZ targets'!$G$13:$BG$238,2,FALSE)</f>
        <v>Switzerland</v>
      </c>
      <c r="C10" s="111">
        <v>100</v>
      </c>
      <c r="D10" s="111">
        <v>29.3866855419963</v>
      </c>
      <c r="E10" s="111">
        <v>8775760</v>
      </c>
      <c r="F10" s="111">
        <v>2.0093138217925999</v>
      </c>
      <c r="G10" s="111">
        <v>2.04994893074036</v>
      </c>
      <c r="H10" s="111">
        <v>1.1611397266387899</v>
      </c>
      <c r="I10" s="111">
        <v>1.6201130151748699</v>
      </c>
      <c r="J10" s="111">
        <v>1.7518067359924301</v>
      </c>
      <c r="K10" s="111">
        <v>1.6155595779418901</v>
      </c>
      <c r="L10" s="111">
        <v>41111</v>
      </c>
      <c r="M10" s="111">
        <v>62.197981754088701</v>
      </c>
      <c r="N10" s="111">
        <v>195365.5</v>
      </c>
      <c r="O10" s="111">
        <v>25.291983682512701</v>
      </c>
      <c r="P10" s="111">
        <v>66097</v>
      </c>
      <c r="Q10" s="111">
        <v>772440.40029599995</v>
      </c>
      <c r="R10" s="111">
        <v>4.0420728147534097</v>
      </c>
      <c r="S10" s="111">
        <v>0</v>
      </c>
      <c r="T10" s="111">
        <v>32.2086033202538</v>
      </c>
      <c r="U10" s="111">
        <v>0.57596010334136905</v>
      </c>
      <c r="V10" s="111">
        <v>53786</v>
      </c>
      <c r="W10" s="111">
        <v>0.27745614665703999</v>
      </c>
      <c r="X10" s="111">
        <v>220.31454103721001</v>
      </c>
      <c r="Y10" s="111">
        <v>-0.32739762738269501</v>
      </c>
      <c r="Z10" s="111">
        <v>0</v>
      </c>
      <c r="AA10" s="111">
        <v>740026236249.64795</v>
      </c>
      <c r="AB10" s="111">
        <v>85685.290273483595</v>
      </c>
      <c r="AC10" s="111">
        <v>0</v>
      </c>
      <c r="AD10" s="111">
        <v>0</v>
      </c>
      <c r="AE10" s="111">
        <v>10.118463317291701</v>
      </c>
      <c r="AF10" s="111">
        <v>11.34</v>
      </c>
      <c r="AG10" s="111">
        <v>1.76</v>
      </c>
      <c r="AH10" s="111">
        <v>15.82</v>
      </c>
      <c r="AI10" s="111">
        <v>-2.62</v>
      </c>
      <c r="AJ10" s="111">
        <v>5.54</v>
      </c>
      <c r="AK10" s="111">
        <v>1.67</v>
      </c>
      <c r="AL10" s="111">
        <v>5.14</v>
      </c>
      <c r="AM10" s="111">
        <v>5.54</v>
      </c>
      <c r="AN10" s="111">
        <v>11.34</v>
      </c>
      <c r="AO10" s="111">
        <v>3.42</v>
      </c>
      <c r="AP10" s="111">
        <v>15.82</v>
      </c>
      <c r="AQ10" s="111">
        <v>16.50029945</v>
      </c>
      <c r="AR10" s="111">
        <v>66933.004539999994</v>
      </c>
      <c r="AS10" s="111">
        <v>0.96199999999999997</v>
      </c>
      <c r="AT10" s="111">
        <v>83.987200000000001</v>
      </c>
      <c r="AU10" s="111">
        <v>13.85966015</v>
      </c>
      <c r="AV10" s="111">
        <v>1.4</v>
      </c>
      <c r="AW10" s="111">
        <v>45.563819554927001</v>
      </c>
      <c r="AX10" s="111">
        <v>11788788620.838169</v>
      </c>
      <c r="AY10" s="111">
        <v>4.7105968121212143E-2</v>
      </c>
      <c r="AZ10" s="111">
        <v>1.9829354491841451</v>
      </c>
      <c r="BA10" s="111">
        <v>74158.636363636368</v>
      </c>
      <c r="BB10" s="111">
        <v>-3.5714285714285721</v>
      </c>
      <c r="BC10" s="111">
        <v>1</v>
      </c>
      <c r="BD10" s="438">
        <f>VLOOKUP($A10,'NZ targets'!$G$13:$BG$238,33,FALSE)</f>
        <v>-4.8161486808683908E-2</v>
      </c>
      <c r="BE10" s="439">
        <f>VLOOKUP($A10,'NZ targets'!$G$13:$BG$238,18,FALSE)</f>
        <v>-1.4340402892265511</v>
      </c>
      <c r="BF10" s="440">
        <f>VLOOKUP($A10,'NZ targets'!$G$13:$BG$238,25,FALSE)</f>
        <v>-1.4849326480863152</v>
      </c>
      <c r="BG10" s="442">
        <f>VLOOKUP($A10,'NZ targets'!$G$13:$BG$238,3,FALSE)</f>
        <v>4</v>
      </c>
    </row>
    <row r="11" spans="1:59" hidden="1" x14ac:dyDescent="0.25">
      <c r="A11" t="s">
        <v>130</v>
      </c>
      <c r="B11" s="438" t="str">
        <f>VLOOKUP($A11,'NZ targets'!$G$13:$BG$238,2,FALSE)</f>
        <v>Chile</v>
      </c>
      <c r="C11" s="111">
        <v>100</v>
      </c>
      <c r="D11" s="111">
        <v>2.6155132166612698</v>
      </c>
      <c r="E11" s="111">
        <v>19603733</v>
      </c>
      <c r="F11" s="111">
        <v>0.96828013658523604</v>
      </c>
      <c r="G11" s="111">
        <v>0.54677397012710605</v>
      </c>
      <c r="H11" s="111">
        <v>0.118578858673573</v>
      </c>
      <c r="I11" s="111">
        <v>0.97841113805770896</v>
      </c>
      <c r="J11" s="111">
        <v>0.69040066003799405</v>
      </c>
      <c r="K11" s="111">
        <v>0.97297513484954801</v>
      </c>
      <c r="L11" s="111">
        <v>32872</v>
      </c>
      <c r="M11" s="111">
        <v>43.604334964914401</v>
      </c>
      <c r="N11" s="111">
        <v>259606.8</v>
      </c>
      <c r="O11" s="111">
        <v>24.882554273954401</v>
      </c>
      <c r="P11" s="111">
        <v>75387</v>
      </c>
      <c r="Q11" s="111">
        <v>1043328.5793</v>
      </c>
      <c r="R11" s="111">
        <v>4.3951510635966304</v>
      </c>
      <c r="S11" s="111">
        <v>37.1443352302121</v>
      </c>
      <c r="T11" s="111">
        <v>24.657472711329198</v>
      </c>
      <c r="U11" s="111">
        <v>0.61115767281518496</v>
      </c>
      <c r="V11" s="111">
        <v>98439</v>
      </c>
      <c r="W11" s="111">
        <v>0.34193389081991699</v>
      </c>
      <c r="X11" s="111">
        <v>26.217007472442301</v>
      </c>
      <c r="Y11" s="111">
        <v>-0.75873432149744202</v>
      </c>
      <c r="Z11" s="111">
        <v>7.1161043817166E-3</v>
      </c>
      <c r="AA11" s="111">
        <v>246412987238.94101</v>
      </c>
      <c r="AB11" s="111">
        <v>12890.2643426289</v>
      </c>
      <c r="AC11" s="111">
        <v>1.12246947432378E-2</v>
      </c>
      <c r="AD11" s="111">
        <v>1.7901358233752399E-2</v>
      </c>
      <c r="AE11" s="111">
        <v>1.6098836364810101</v>
      </c>
      <c r="AF11" s="111">
        <v>6.58</v>
      </c>
      <c r="AG11" s="111">
        <v>0.88</v>
      </c>
      <c r="AH11" s="111">
        <v>28.33</v>
      </c>
      <c r="AI11" s="111">
        <v>-1.89</v>
      </c>
      <c r="AJ11" s="111">
        <v>10.65</v>
      </c>
      <c r="AK11" s="111">
        <v>3.15</v>
      </c>
      <c r="AL11" s="111">
        <v>2.76</v>
      </c>
      <c r="AM11" s="111">
        <v>10.65</v>
      </c>
      <c r="AN11" s="111">
        <v>6.58</v>
      </c>
      <c r="AO11" s="111">
        <v>4.03</v>
      </c>
      <c r="AP11" s="111">
        <v>28.33</v>
      </c>
      <c r="AQ11" s="111">
        <v>16.731300350000001</v>
      </c>
      <c r="AR11" s="111">
        <v>24563.244859999999</v>
      </c>
      <c r="AS11" s="111">
        <v>0.85499999999999998</v>
      </c>
      <c r="AT11" s="111">
        <v>78.9435</v>
      </c>
      <c r="AU11" s="111">
        <v>10.934966299999999</v>
      </c>
      <c r="AV11" s="111">
        <v>3.2</v>
      </c>
      <c r="AW11" s="111">
        <v>137.01124815352</v>
      </c>
      <c r="AX11" s="111">
        <v>4454470739.5619268</v>
      </c>
      <c r="AY11" s="111">
        <v>0.13699493774545449</v>
      </c>
      <c r="AZ11" s="111">
        <v>0.33774917718689101</v>
      </c>
      <c r="BA11" s="111">
        <v>253560.30303030301</v>
      </c>
      <c r="BB11" s="111">
        <v>-2.3255813953488369</v>
      </c>
      <c r="BC11" s="111">
        <v>1</v>
      </c>
      <c r="BD11" s="438">
        <f>VLOOKUP($A11,'NZ targets'!$G$13:$BG$238,33,FALSE)</f>
        <v>-2.8594464532472115E-2</v>
      </c>
      <c r="BE11" s="439">
        <f>VLOOKUP($A11,'NZ targets'!$G$13:$BG$238,18,FALSE)</f>
        <v>65</v>
      </c>
      <c r="BF11" s="440">
        <f>VLOOKUP($A11,'NZ targets'!$G$13:$BG$238,25,FALSE)</f>
        <v>-62.585230336074154</v>
      </c>
      <c r="BG11" s="442">
        <f>VLOOKUP($A11,'NZ targets'!$G$13:$BG$238,3,FALSE)</f>
        <v>4</v>
      </c>
    </row>
    <row r="12" spans="1:59" hidden="1" x14ac:dyDescent="0.25">
      <c r="A12" t="s">
        <v>132</v>
      </c>
      <c r="B12" s="438" t="str">
        <f>VLOOKUP($A12,'NZ targets'!$G$13:$BG$238,2,FALSE)</f>
        <v>China</v>
      </c>
      <c r="C12" s="111">
        <v>100</v>
      </c>
      <c r="D12" s="111">
        <v>7.1076396299371999E-2</v>
      </c>
      <c r="E12" s="111">
        <v>1412175000</v>
      </c>
      <c r="F12" s="111">
        <v>1.59702487289906E-2</v>
      </c>
      <c r="G12" s="111">
        <v>0.49503201246261602</v>
      </c>
      <c r="H12" s="111">
        <v>-0.44107362627983099</v>
      </c>
      <c r="I12" s="111">
        <v>-0.41841763257980302</v>
      </c>
      <c r="J12" s="111">
        <v>-4.1443984955549198E-2</v>
      </c>
      <c r="K12" s="111">
        <v>-1.60957491397858</v>
      </c>
      <c r="L12" s="111">
        <v>1398321</v>
      </c>
      <c r="M12" s="111">
        <v>23.926817173663</v>
      </c>
      <c r="N12" s="111">
        <v>9084482</v>
      </c>
      <c r="O12" s="111">
        <v>12.413352569891099</v>
      </c>
      <c r="P12" s="111">
        <v>5844158</v>
      </c>
      <c r="Q12" s="111">
        <v>73183146.525900006</v>
      </c>
      <c r="R12" s="111">
        <v>7.7561379065976901</v>
      </c>
      <c r="S12" s="111">
        <v>70.3094269525225</v>
      </c>
      <c r="T12" s="111">
        <v>23.631528267901999</v>
      </c>
      <c r="U12" s="111">
        <v>0.84068115725320702</v>
      </c>
      <c r="V12" s="111">
        <v>-33649</v>
      </c>
      <c r="W12" s="111">
        <v>0.38049763326482899</v>
      </c>
      <c r="X12" s="111">
        <v>150.43975369106599</v>
      </c>
      <c r="Y12" s="111">
        <v>-1.09211411258147</v>
      </c>
      <c r="Z12" s="111">
        <v>0.35006509217913101</v>
      </c>
      <c r="AA12" s="111">
        <v>14616539906896.801</v>
      </c>
      <c r="AB12" s="111">
        <v>10358.2594478753</v>
      </c>
      <c r="AC12" s="111">
        <v>0.10814925094921</v>
      </c>
      <c r="AD12" s="111">
        <v>0.255107180083741</v>
      </c>
      <c r="AE12" s="111">
        <v>12.6765905798473</v>
      </c>
      <c r="AF12" s="111">
        <v>542.13</v>
      </c>
      <c r="AG12" s="111">
        <v>782</v>
      </c>
      <c r="AH12" s="111">
        <v>917.02</v>
      </c>
      <c r="AI12" s="111">
        <v>2.61</v>
      </c>
      <c r="AJ12" s="111">
        <v>672.87</v>
      </c>
      <c r="AK12" s="111">
        <v>384.29</v>
      </c>
      <c r="AL12" s="111">
        <v>8.4</v>
      </c>
      <c r="AM12" s="111">
        <v>672.87</v>
      </c>
      <c r="AN12" s="111">
        <v>542.13</v>
      </c>
      <c r="AO12" s="111">
        <v>1166.29</v>
      </c>
      <c r="AP12" s="111">
        <v>917.02</v>
      </c>
      <c r="AQ12" s="111">
        <v>14.2361149</v>
      </c>
      <c r="AR12" s="111">
        <v>17504.399689999998</v>
      </c>
      <c r="AS12" s="111">
        <v>0.76800000000000002</v>
      </c>
      <c r="AT12" s="111">
        <v>78.210700000000003</v>
      </c>
      <c r="AU12" s="111">
        <v>7.6001184459999998</v>
      </c>
      <c r="AV12" s="111">
        <v>3</v>
      </c>
      <c r="AW12" s="111">
        <v>15684.626764781</v>
      </c>
      <c r="AX12" s="111">
        <v>737602232118.92212</v>
      </c>
      <c r="AY12" s="111">
        <v>8.3395466987878752E-2</v>
      </c>
      <c r="AZ12" s="111">
        <v>0.71986064933827232</v>
      </c>
      <c r="BA12" s="111">
        <v>5736515.1515151514</v>
      </c>
      <c r="BB12" s="111">
        <v>-1.8867924528301889</v>
      </c>
      <c r="BC12" s="111">
        <v>1</v>
      </c>
      <c r="BD12" s="438">
        <f>VLOOKUP($A12,'NZ targets'!$G$13:$BG$238,33,FALSE)</f>
        <v>-2.0453534966036128E-2</v>
      </c>
      <c r="BE12" s="439">
        <f>VLOOKUP($A12,'NZ targets'!$G$13:$BG$238,18,FALSE)</f>
        <v>-1211.5891625615768</v>
      </c>
      <c r="BF12" s="440">
        <f>VLOOKUP($A12,'NZ targets'!$G$13:$BG$238,25,FALSE)</f>
        <v>-1377.2090599999999</v>
      </c>
      <c r="BG12" s="442">
        <f>VLOOKUP($A12,'NZ targets'!$G$13:$BG$238,3,FALSE)</f>
        <v>3</v>
      </c>
    </row>
    <row r="13" spans="1:59" x14ac:dyDescent="0.25">
      <c r="A13" t="s">
        <v>138</v>
      </c>
      <c r="B13" s="438" t="str">
        <f>VLOOKUP($A13,'NZ targets'!$G$13:$BG$238,2,FALSE)</f>
        <v>Congo, Democratic Republic</v>
      </c>
      <c r="C13" s="111">
        <v>20.768186569213899</v>
      </c>
      <c r="D13" s="111">
        <v>0.70624628058301997</v>
      </c>
      <c r="E13" s="111">
        <v>99010212</v>
      </c>
      <c r="F13" s="111">
        <v>-1.5444740056991599</v>
      </c>
      <c r="G13" s="111">
        <v>-1.7459200620651201</v>
      </c>
      <c r="H13" s="111">
        <v>-1.9777462482452399</v>
      </c>
      <c r="I13" s="111">
        <v>-1.47606945037842</v>
      </c>
      <c r="J13" s="111">
        <v>-1.6724338531494101</v>
      </c>
      <c r="K13" s="111">
        <v>-1.1836930513382</v>
      </c>
      <c r="L13" s="111">
        <v>8926</v>
      </c>
      <c r="M13" s="111">
        <v>99.821069112055497</v>
      </c>
      <c r="N13" s="111">
        <v>862513.8</v>
      </c>
      <c r="O13" s="111">
        <v>95.817699714627096</v>
      </c>
      <c r="P13" s="111">
        <v>8942</v>
      </c>
      <c r="Q13" s="111">
        <v>900161.246376</v>
      </c>
      <c r="R13" s="111">
        <v>3.2584780848178702E-2</v>
      </c>
      <c r="S13" s="111">
        <v>0</v>
      </c>
      <c r="T13" s="111">
        <v>55.161493262168896</v>
      </c>
      <c r="U13" s="111">
        <v>0.38430795282323399</v>
      </c>
      <c r="V13" s="111">
        <v>-1643</v>
      </c>
      <c r="W13" s="111">
        <v>0.16112068986685299</v>
      </c>
      <c r="X13" s="111">
        <v>42.299075009373396</v>
      </c>
      <c r="Y13" s="111">
        <v>0.20082870582875501</v>
      </c>
      <c r="Z13" s="111">
        <v>0</v>
      </c>
      <c r="AA13" s="111">
        <v>45259706747.584801</v>
      </c>
      <c r="AB13" s="111">
        <v>505.34833897406099</v>
      </c>
      <c r="AC13" s="111">
        <v>0</v>
      </c>
      <c r="AD13" s="111">
        <v>0.50031777412591205</v>
      </c>
      <c r="AE13" s="111">
        <v>5.9447299353785796</v>
      </c>
      <c r="AF13" s="111">
        <v>0</v>
      </c>
      <c r="AG13" s="111">
        <v>0.08</v>
      </c>
      <c r="AH13" s="111">
        <v>2.0699999999999998</v>
      </c>
      <c r="AI13" s="111">
        <v>-0.66</v>
      </c>
      <c r="AJ13" s="111">
        <v>25.98</v>
      </c>
      <c r="AK13" s="111">
        <v>2.1</v>
      </c>
      <c r="AL13" s="111">
        <v>8.11</v>
      </c>
      <c r="AM13" s="111">
        <v>25.98</v>
      </c>
      <c r="AN13" s="111">
        <v>0</v>
      </c>
      <c r="AO13" s="111">
        <v>2.1800000000000002</v>
      </c>
      <c r="AP13" s="111">
        <v>2.0699999999999998</v>
      </c>
      <c r="AQ13" s="111">
        <v>9.8178644510000002</v>
      </c>
      <c r="AR13" s="111">
        <v>1076.0987809999999</v>
      </c>
      <c r="AS13" s="111">
        <v>0.47899999999999998</v>
      </c>
      <c r="AT13" s="111">
        <v>59.192999999999998</v>
      </c>
      <c r="AU13" s="111">
        <v>7.0186965160000003</v>
      </c>
      <c r="AV13" s="111">
        <v>7.7</v>
      </c>
      <c r="AW13" s="111">
        <v>61.635094374677003</v>
      </c>
      <c r="AX13" s="111">
        <v>1970711399.527936</v>
      </c>
      <c r="AY13" s="111">
        <v>0.14352156335757579</v>
      </c>
      <c r="AZ13" s="111">
        <v>1.2225696910883359</v>
      </c>
      <c r="BA13" s="111">
        <v>2837421.5151515151</v>
      </c>
      <c r="BB13" s="111">
        <v>-2.3255813953488369</v>
      </c>
      <c r="BC13" s="111">
        <v>0</v>
      </c>
      <c r="BD13" s="438" t="str">
        <f>VLOOKUP($A13,'NZ targets'!$G$13:$BG$238,33,FALSE)</f>
        <v/>
      </c>
      <c r="BE13" s="439">
        <f>VLOOKUP($A13,'NZ targets'!$G$13:$BG$238,18,FALSE)</f>
        <v>214.60858296551669</v>
      </c>
      <c r="BF13" s="440">
        <f>VLOOKUP($A13,'NZ targets'!$G$13:$BG$238,25,FALSE)</f>
        <v>180.17104497651925</v>
      </c>
      <c r="BG13" s="442">
        <f>VLOOKUP($A13,'NZ targets'!$G$13:$BG$238,3,FALSE)</f>
        <v>1</v>
      </c>
    </row>
    <row r="14" spans="1:59" hidden="1" x14ac:dyDescent="0.25">
      <c r="A14" t="s">
        <v>134</v>
      </c>
      <c r="B14" s="438" t="str">
        <f>VLOOKUP($A14,'NZ targets'!$G$13:$BG$238,2,FALSE)</f>
        <v>Colombia</v>
      </c>
      <c r="C14" s="111">
        <v>99.999107360839801</v>
      </c>
      <c r="D14" s="111">
        <v>0.27604722697918699</v>
      </c>
      <c r="E14" s="111">
        <v>51874024</v>
      </c>
      <c r="F14" s="111">
        <v>-0.361808151006699</v>
      </c>
      <c r="G14" s="111">
        <v>1.44156282767653E-2</v>
      </c>
      <c r="H14" s="111">
        <v>-0.64192593097686801</v>
      </c>
      <c r="I14" s="111">
        <v>0.14044916629791299</v>
      </c>
      <c r="J14" s="111">
        <v>-0.42687553167343101</v>
      </c>
      <c r="K14" s="111">
        <v>0.166357532143593</v>
      </c>
      <c r="L14" s="111">
        <v>47095</v>
      </c>
      <c r="M14" s="111">
        <v>68.236811220424002</v>
      </c>
      <c r="N14" s="111">
        <v>251833.9</v>
      </c>
      <c r="O14" s="111">
        <v>23.5647575160943</v>
      </c>
      <c r="P14" s="111">
        <v>69017</v>
      </c>
      <c r="Q14" s="111">
        <v>1068688.6967879999</v>
      </c>
      <c r="R14" s="111">
        <v>1.55225942282078</v>
      </c>
      <c r="S14" s="111">
        <v>11.8521523682571</v>
      </c>
      <c r="T14" s="111">
        <v>53.125395853988302</v>
      </c>
      <c r="U14" s="111">
        <v>1.5149302422183299</v>
      </c>
      <c r="V14" s="111">
        <v>229437</v>
      </c>
      <c r="W14" s="111">
        <v>0.46687423874443301</v>
      </c>
      <c r="X14" s="111">
        <v>46.432232537178898</v>
      </c>
      <c r="Y14" s="111">
        <v>0.36481043751155101</v>
      </c>
      <c r="Z14" s="111">
        <v>0.57139936775927802</v>
      </c>
      <c r="AA14" s="111">
        <v>298741641185.07098</v>
      </c>
      <c r="AB14" s="111">
        <v>5871.1617286683404</v>
      </c>
      <c r="AC14" s="111">
        <v>0.119586973762304</v>
      </c>
      <c r="AD14" s="111">
        <v>2.6116460263059298</v>
      </c>
      <c r="AE14" s="111">
        <v>4.3965235691753</v>
      </c>
      <c r="AF14" s="111">
        <v>5.09</v>
      </c>
      <c r="AG14" s="111">
        <v>5.32</v>
      </c>
      <c r="AH14" s="111">
        <v>29.34</v>
      </c>
      <c r="AI14" s="111">
        <v>2.82</v>
      </c>
      <c r="AJ14" s="111">
        <v>63.02</v>
      </c>
      <c r="AK14" s="111">
        <v>6.9</v>
      </c>
      <c r="AL14" s="111">
        <v>5.4</v>
      </c>
      <c r="AM14" s="111">
        <v>63.02</v>
      </c>
      <c r="AN14" s="111">
        <v>5.09</v>
      </c>
      <c r="AO14" s="111">
        <v>12.22</v>
      </c>
      <c r="AP14" s="111">
        <v>29.34</v>
      </c>
      <c r="AQ14" s="111">
        <v>14.44274998</v>
      </c>
      <c r="AR14" s="111">
        <v>14384.356659999999</v>
      </c>
      <c r="AS14" s="111">
        <v>0.752</v>
      </c>
      <c r="AT14" s="111">
        <v>72.829599999999999</v>
      </c>
      <c r="AU14" s="111">
        <v>8.8628597259999999</v>
      </c>
      <c r="AV14" s="111">
        <v>5.2</v>
      </c>
      <c r="AW14" s="111">
        <v>215.5373798741</v>
      </c>
      <c r="AX14" s="111">
        <v>6850815880.4859943</v>
      </c>
      <c r="AY14" s="111">
        <v>0.14002708378181819</v>
      </c>
      <c r="AZ14" s="111">
        <v>0.59650751225640297</v>
      </c>
      <c r="BA14" s="111">
        <v>680360.38787878794</v>
      </c>
      <c r="BB14" s="111">
        <v>-3.5714285714285721</v>
      </c>
      <c r="BC14" s="111">
        <v>0</v>
      </c>
      <c r="BD14" s="438">
        <f>VLOOKUP($A14,'NZ targets'!$G$13:$BG$238,33,FALSE)</f>
        <v>1.7754577860067604E-2</v>
      </c>
      <c r="BE14" s="439">
        <f>VLOOKUP($A14,'NZ targets'!$G$13:$BG$238,18,FALSE)</f>
        <v>-281.84500000000003</v>
      </c>
      <c r="BF14" s="440">
        <f>VLOOKUP($A14,'NZ targets'!$G$13:$BG$238,25,FALSE)</f>
        <v>109.487478</v>
      </c>
      <c r="BG14" s="442">
        <f>VLOOKUP($A14,'NZ targets'!$G$13:$BG$238,3,FALSE)</f>
        <v>4</v>
      </c>
    </row>
    <row r="15" spans="1:59" hidden="1" x14ac:dyDescent="0.25">
      <c r="A15" t="s">
        <v>144</v>
      </c>
      <c r="B15" s="438" t="str">
        <f>VLOOKUP($A15,'NZ targets'!$G$13:$BG$238,2,FALSE)</f>
        <v>Costa Rica</v>
      </c>
      <c r="C15" s="111">
        <v>100</v>
      </c>
      <c r="D15" s="111">
        <v>8.7710099108749198</v>
      </c>
      <c r="E15" s="111">
        <v>5180829</v>
      </c>
      <c r="F15" s="111">
        <v>0.465849369764328</v>
      </c>
      <c r="G15" s="111">
        <v>5.32664284110069E-2</v>
      </c>
      <c r="H15" s="111">
        <v>0.95444679260253895</v>
      </c>
      <c r="I15" s="111">
        <v>0.56706172227859497</v>
      </c>
      <c r="J15" s="111">
        <v>0.43657729029655501</v>
      </c>
      <c r="K15" s="111">
        <v>1.0695933103561399</v>
      </c>
      <c r="L15" s="111">
        <v>10704</v>
      </c>
      <c r="M15" s="111">
        <v>99.001109877913393</v>
      </c>
      <c r="N15" s="111">
        <v>58767.05</v>
      </c>
      <c r="O15" s="111">
        <v>38.733413882177402</v>
      </c>
      <c r="P15" s="111">
        <v>10812</v>
      </c>
      <c r="Q15" s="111">
        <v>151721.844552</v>
      </c>
      <c r="R15" s="111">
        <v>1.35999554957394</v>
      </c>
      <c r="S15" s="111">
        <v>0</v>
      </c>
      <c r="T15" s="111">
        <v>59.757931844888397</v>
      </c>
      <c r="U15" s="111">
        <v>0.90773879297808702</v>
      </c>
      <c r="V15" s="111">
        <v>2084</v>
      </c>
      <c r="W15" s="111">
        <v>0.36614457033381098</v>
      </c>
      <c r="X15" s="111">
        <v>100.939228358794</v>
      </c>
      <c r="Y15" s="111">
        <v>-0.99398723726409299</v>
      </c>
      <c r="Z15" s="111">
        <v>0</v>
      </c>
      <c r="AA15" s="111">
        <v>61774415011.139801</v>
      </c>
      <c r="AB15" s="111">
        <v>12126.6259473462</v>
      </c>
      <c r="AC15" s="111">
        <v>0</v>
      </c>
      <c r="AD15" s="111">
        <v>0</v>
      </c>
      <c r="AE15" s="111">
        <v>4.7884841363102204</v>
      </c>
      <c r="AF15" s="111">
        <v>0.31</v>
      </c>
      <c r="AG15" s="111">
        <v>0.62</v>
      </c>
      <c r="AH15" s="111">
        <v>5.88</v>
      </c>
      <c r="AI15" s="111">
        <v>1.34</v>
      </c>
      <c r="AJ15" s="111">
        <v>3.99</v>
      </c>
      <c r="AK15" s="111">
        <v>0.95</v>
      </c>
      <c r="AL15" s="111">
        <v>1.71</v>
      </c>
      <c r="AM15" s="111">
        <v>3.99</v>
      </c>
      <c r="AN15" s="111">
        <v>0.31</v>
      </c>
      <c r="AO15" s="111">
        <v>1.57</v>
      </c>
      <c r="AP15" s="111">
        <v>5.88</v>
      </c>
      <c r="AQ15" s="111">
        <v>16.545770650000001</v>
      </c>
      <c r="AR15" s="111">
        <v>19974.273580000001</v>
      </c>
      <c r="AS15" s="111">
        <v>0.80900000000000005</v>
      </c>
      <c r="AT15" s="111">
        <v>77.023200000000003</v>
      </c>
      <c r="AU15" s="111">
        <v>8.8040599820000001</v>
      </c>
      <c r="AV15" s="111">
        <v>3.2</v>
      </c>
      <c r="AW15" s="111">
        <v>16.861415789351</v>
      </c>
      <c r="AX15" s="111">
        <v>1705061129.735594</v>
      </c>
      <c r="AY15" s="111">
        <v>3.4241291933333327E-2</v>
      </c>
      <c r="AZ15" s="111">
        <v>0.92150636802814223</v>
      </c>
      <c r="BA15" s="111">
        <v>44094.042424242427</v>
      </c>
      <c r="BB15" s="111">
        <v>-3.5714285714285721</v>
      </c>
      <c r="BC15" s="111">
        <v>1</v>
      </c>
      <c r="BD15" s="438">
        <f>VLOOKUP($A15,'NZ targets'!$G$13:$BG$238,33,FALSE)</f>
        <v>-4.0033471165097791E-2</v>
      </c>
      <c r="BE15" s="439">
        <f>VLOOKUP($A15,'NZ targets'!$G$13:$BG$238,18,FALSE)</f>
        <v>-4.5</v>
      </c>
      <c r="BF15" s="440">
        <f>VLOOKUP($A15,'NZ targets'!$G$13:$BG$238,25,FALSE)</f>
        <v>-8.0780949947679659</v>
      </c>
      <c r="BG15" s="442">
        <f>VLOOKUP($A15,'NZ targets'!$G$13:$BG$238,3,FALSE)</f>
        <v>3</v>
      </c>
    </row>
    <row r="16" spans="1:59" hidden="1" x14ac:dyDescent="0.25">
      <c r="A16" t="s">
        <v>152</v>
      </c>
      <c r="B16" s="438" t="str">
        <f>VLOOKUP($A16,'NZ targets'!$G$13:$BG$238,2,FALSE)</f>
        <v>Cyprus</v>
      </c>
      <c r="C16" s="111">
        <v>100</v>
      </c>
      <c r="D16" s="111">
        <v>16.834034154295001</v>
      </c>
      <c r="E16" s="111">
        <v>1251488</v>
      </c>
      <c r="F16" s="111">
        <v>0.42160916328430198</v>
      </c>
      <c r="G16" s="111">
        <v>0.73067885637283303</v>
      </c>
      <c r="H16" s="111">
        <v>0.41863507032394398</v>
      </c>
      <c r="I16" s="111">
        <v>0.773753821849823</v>
      </c>
      <c r="J16" s="111">
        <v>0.57079851627349898</v>
      </c>
      <c r="K16" s="111">
        <v>0.84696084260940596</v>
      </c>
      <c r="L16" s="111">
        <v>398</v>
      </c>
      <c r="M16" s="111">
        <v>8.7800573571586096</v>
      </c>
      <c r="N16" s="111">
        <v>5857.732</v>
      </c>
      <c r="O16" s="111">
        <v>9.9420660163921006</v>
      </c>
      <c r="P16" s="111">
        <v>4533</v>
      </c>
      <c r="Q16" s="111">
        <v>58918.659264000002</v>
      </c>
      <c r="R16" s="111">
        <v>5.4719980089484199</v>
      </c>
      <c r="S16" s="111">
        <v>0</v>
      </c>
      <c r="T16" s="111">
        <v>18.669913419913399</v>
      </c>
      <c r="U16" s="111">
        <v>0.60580213359277302</v>
      </c>
      <c r="V16" s="111">
        <v>2999</v>
      </c>
      <c r="W16" s="111">
        <v>0.30032086313378897</v>
      </c>
      <c r="X16" s="111">
        <v>134.65238095238101</v>
      </c>
      <c r="Y16" s="111">
        <v>-4.22190746664768E-2</v>
      </c>
      <c r="Z16" s="111">
        <v>0</v>
      </c>
      <c r="AA16" s="111">
        <v>23640672756.9972</v>
      </c>
      <c r="AB16" s="111">
        <v>26502.84765625</v>
      </c>
      <c r="AC16" s="111">
        <v>0</v>
      </c>
      <c r="AD16" s="111">
        <v>0</v>
      </c>
      <c r="AE16" s="111">
        <v>11.082424242424199</v>
      </c>
      <c r="AF16" s="111">
        <v>0.39</v>
      </c>
      <c r="AG16" s="111">
        <v>0.92</v>
      </c>
      <c r="AH16" s="111">
        <v>1.99</v>
      </c>
      <c r="AI16" s="111">
        <v>-0.92</v>
      </c>
      <c r="AJ16" s="111">
        <v>0.42</v>
      </c>
      <c r="AK16" s="111">
        <v>0.32</v>
      </c>
      <c r="AL16" s="111">
        <v>7.02</v>
      </c>
      <c r="AM16" s="111">
        <v>0.42</v>
      </c>
      <c r="AN16" s="111">
        <v>0.39</v>
      </c>
      <c r="AO16" s="111">
        <v>1.24</v>
      </c>
      <c r="AP16" s="111">
        <v>1.99</v>
      </c>
      <c r="AQ16" s="111">
        <v>15.64826965</v>
      </c>
      <c r="AR16" s="111">
        <v>38188.421520000004</v>
      </c>
      <c r="AS16" s="111">
        <v>0.89600000000000002</v>
      </c>
      <c r="AT16" s="111">
        <v>81.203299999999999</v>
      </c>
      <c r="AU16" s="111">
        <v>12.440170289999999</v>
      </c>
      <c r="AV16" s="111">
        <v>2.6</v>
      </c>
      <c r="AW16" s="111">
        <v>10.629908362775</v>
      </c>
      <c r="AX16" s="111">
        <v>464540093.36212248</v>
      </c>
      <c r="AY16" s="111">
        <v>8.1112706121212089E-2</v>
      </c>
      <c r="AZ16" s="111">
        <v>1.080395513577376</v>
      </c>
      <c r="BA16" s="111">
        <v>9609.0242424242442</v>
      </c>
      <c r="BB16" s="111">
        <v>-3.5714285714285721</v>
      </c>
      <c r="BC16" s="111">
        <v>1</v>
      </c>
      <c r="BD16" s="438">
        <f>VLOOKUP($A16,'NZ targets'!$G$13:$BG$238,33,FALSE)</f>
        <v>-4.6773309000526529E-2</v>
      </c>
      <c r="BE16" s="439">
        <f>VLOOKUP($A16,'NZ targets'!$G$13:$BG$238,18,FALSE)</f>
        <v>-0.29876105859942059</v>
      </c>
      <c r="BF16" s="440">
        <f>VLOOKUP($A16,'NZ targets'!$G$13:$BG$238,25,FALSE)</f>
        <v>-0.33197665227444179</v>
      </c>
      <c r="BG16" s="442">
        <f>VLOOKUP($A16,'NZ targets'!$G$13:$BG$238,3,FALSE)</f>
        <v>3</v>
      </c>
    </row>
    <row r="17" spans="1:59" hidden="1" x14ac:dyDescent="0.25">
      <c r="A17" t="s">
        <v>198</v>
      </c>
      <c r="B17" s="438" t="str">
        <f>VLOOKUP($A17,'NZ targets'!$G$13:$BG$238,2,FALSE)</f>
        <v>Germany</v>
      </c>
      <c r="C17" s="111">
        <v>100</v>
      </c>
      <c r="D17" s="111">
        <v>14.879051295323301</v>
      </c>
      <c r="E17" s="111">
        <v>83797985</v>
      </c>
      <c r="F17" s="111">
        <v>1.81837582588196</v>
      </c>
      <c r="G17" s="111">
        <v>1.2898074388503999</v>
      </c>
      <c r="H17" s="111">
        <v>0.61475914716720603</v>
      </c>
      <c r="I17" s="111">
        <v>1.52229499816895</v>
      </c>
      <c r="J17" s="111">
        <v>1.53315436840057</v>
      </c>
      <c r="K17" s="111">
        <v>1.4095424413680999</v>
      </c>
      <c r="L17" s="111">
        <v>187366</v>
      </c>
      <c r="M17" s="111">
        <v>29.231770122330801</v>
      </c>
      <c r="N17" s="111">
        <v>1183042</v>
      </c>
      <c r="O17" s="111">
        <v>14.206252697777201</v>
      </c>
      <c r="P17" s="111">
        <v>640967</v>
      </c>
      <c r="Q17" s="111">
        <v>8327614.784616</v>
      </c>
      <c r="R17" s="111">
        <v>7.2552210281683998</v>
      </c>
      <c r="S17" s="111">
        <v>44.262809161782101</v>
      </c>
      <c r="T17" s="111">
        <v>32.682675520192298</v>
      </c>
      <c r="U17" s="111">
        <v>0.56417879954624295</v>
      </c>
      <c r="V17" s="111">
        <v>334055</v>
      </c>
      <c r="W17" s="111">
        <v>0.40662282866181099</v>
      </c>
      <c r="X17" s="111">
        <v>238.11808580669199</v>
      </c>
      <c r="Y17" s="111">
        <v>-3.8064109017341301E-2</v>
      </c>
      <c r="Z17" s="111">
        <v>7.8802233235524006E-3</v>
      </c>
      <c r="AA17" s="111">
        <v>3435817462174.3999</v>
      </c>
      <c r="AB17" s="111">
        <v>41315.3135706623</v>
      </c>
      <c r="AC17" s="111">
        <v>6.2089756198484003E-3</v>
      </c>
      <c r="AD17" s="111">
        <v>8.8369975233606006E-3</v>
      </c>
      <c r="AE17" s="111">
        <v>33.383897650190299</v>
      </c>
      <c r="AF17" s="111">
        <v>120.82</v>
      </c>
      <c r="AG17" s="111">
        <v>13.41</v>
      </c>
      <c r="AH17" s="111">
        <v>158.30000000000001</v>
      </c>
      <c r="AI17" s="111">
        <v>-3.31</v>
      </c>
      <c r="AJ17" s="111">
        <v>58.3</v>
      </c>
      <c r="AK17" s="111">
        <v>11.93</v>
      </c>
      <c r="AL17" s="111">
        <v>9.3699999999999992</v>
      </c>
      <c r="AM17" s="111">
        <v>58.3</v>
      </c>
      <c r="AN17" s="111">
        <v>120.82</v>
      </c>
      <c r="AO17" s="111">
        <v>25.34</v>
      </c>
      <c r="AP17" s="111">
        <v>158.30000000000001</v>
      </c>
      <c r="AQ17" s="111">
        <v>17.010139469999999</v>
      </c>
      <c r="AR17" s="111">
        <v>54534.216820000001</v>
      </c>
      <c r="AS17" s="111">
        <v>0.94199999999999995</v>
      </c>
      <c r="AT17" s="111">
        <v>80.630099999999999</v>
      </c>
      <c r="AU17" s="111">
        <v>14.090966910000001</v>
      </c>
      <c r="AV17" s="111">
        <v>2.4</v>
      </c>
      <c r="AW17" s="111">
        <v>784.00464646408</v>
      </c>
      <c r="AX17" s="111">
        <v>42651513339.674423</v>
      </c>
      <c r="AY17" s="111">
        <v>1.0999835878787971E-2</v>
      </c>
      <c r="AZ17" s="111">
        <v>0.92855610769455643</v>
      </c>
      <c r="BA17" s="111">
        <v>325572.27272727271</v>
      </c>
      <c r="BB17" s="111">
        <v>-4.3478260869565224</v>
      </c>
      <c r="BC17" s="111">
        <v>1</v>
      </c>
      <c r="BD17" s="438">
        <f>VLOOKUP($A17,'NZ targets'!$G$13:$BG$238,33,FALSE)</f>
        <v>-6.6682371538503524E-2</v>
      </c>
      <c r="BE17" s="439">
        <f>VLOOKUP($A17,'NZ targets'!$G$13:$BG$238,18,FALSE)</f>
        <v>4.0784091715736981</v>
      </c>
      <c r="BF17" s="440">
        <f>VLOOKUP($A17,'NZ targets'!$G$13:$BG$238,25,FALSE)</f>
        <v>1.0982136497289714</v>
      </c>
      <c r="BG17" s="442">
        <f>VLOOKUP($A17,'NZ targets'!$G$13:$BG$238,3,FALSE)</f>
        <v>4</v>
      </c>
    </row>
    <row r="18" spans="1:59" x14ac:dyDescent="0.25">
      <c r="A18" t="s">
        <v>162</v>
      </c>
      <c r="B18" s="438" t="str">
        <f>VLOOKUP($A18,'NZ targets'!$G$13:$BG$238,2,FALSE)</f>
        <v>Dominican Republic</v>
      </c>
      <c r="C18" s="111">
        <v>98.1</v>
      </c>
      <c r="D18" s="111">
        <v>3.9470798529423901</v>
      </c>
      <c r="E18" s="111">
        <v>11228821</v>
      </c>
      <c r="F18" s="111">
        <v>-0.43960806727409402</v>
      </c>
      <c r="G18" s="111">
        <v>-6.7733064293861403E-2</v>
      </c>
      <c r="H18" s="111">
        <v>0.32811304926872298</v>
      </c>
      <c r="I18" s="111">
        <v>6.9547787308692904E-2</v>
      </c>
      <c r="J18" s="111">
        <v>-9.2175312340259594E-2</v>
      </c>
      <c r="K18" s="111">
        <v>0.31095007061958302</v>
      </c>
      <c r="L18" s="111">
        <v>2147</v>
      </c>
      <c r="M18" s="111">
        <v>11.6324429755648</v>
      </c>
      <c r="N18" s="111">
        <v>37352.980000000003</v>
      </c>
      <c r="O18" s="111">
        <v>16.480109206897001</v>
      </c>
      <c r="P18" s="111">
        <v>18457</v>
      </c>
      <c r="Q18" s="111">
        <v>226654.93007999999</v>
      </c>
      <c r="R18" s="111">
        <v>2.0801817219144101</v>
      </c>
      <c r="S18" s="111">
        <v>12.856910657203199</v>
      </c>
      <c r="T18" s="111">
        <v>45.279712187835301</v>
      </c>
      <c r="U18" s="111">
        <v>0.840308746976271</v>
      </c>
      <c r="V18" s="111">
        <v>-14966</v>
      </c>
      <c r="W18" s="111">
        <v>0.30869222068965002</v>
      </c>
      <c r="X18" s="111">
        <v>233.90782857503501</v>
      </c>
      <c r="Y18" s="111">
        <v>-1.94210419505723</v>
      </c>
      <c r="Z18" s="111">
        <v>0</v>
      </c>
      <c r="AA18" s="111">
        <v>83287065054.835495</v>
      </c>
      <c r="AB18" s="111">
        <v>7677.7103719608403</v>
      </c>
      <c r="AC18" s="111">
        <v>0</v>
      </c>
      <c r="AD18" s="111">
        <v>0</v>
      </c>
      <c r="AE18" s="111">
        <v>18.153591388946399</v>
      </c>
      <c r="AF18" s="111">
        <v>1.56</v>
      </c>
      <c r="AG18" s="111">
        <v>1.92</v>
      </c>
      <c r="AH18" s="111">
        <v>7.17</v>
      </c>
      <c r="AI18" s="111">
        <v>5.79</v>
      </c>
      <c r="AJ18" s="111">
        <v>9.2200000000000006</v>
      </c>
      <c r="AK18" s="111">
        <v>1.34</v>
      </c>
      <c r="AL18" s="111">
        <v>3.53</v>
      </c>
      <c r="AM18" s="111">
        <v>9.2200000000000006</v>
      </c>
      <c r="AN18" s="111">
        <v>1.56</v>
      </c>
      <c r="AO18" s="111">
        <v>3.26</v>
      </c>
      <c r="AP18" s="111">
        <v>7.17</v>
      </c>
      <c r="AQ18" s="111">
        <v>14.466558020000001</v>
      </c>
      <c r="AR18" s="111">
        <v>17989.60037</v>
      </c>
      <c r="AS18" s="111">
        <v>0.76700000000000002</v>
      </c>
      <c r="AT18" s="111">
        <v>72.614599999999996</v>
      </c>
      <c r="AU18" s="111">
        <v>9.3068641070000009</v>
      </c>
      <c r="AV18" s="111">
        <v>4.0999999999999996</v>
      </c>
      <c r="AW18" s="111">
        <v>41.858467712686</v>
      </c>
      <c r="AX18" s="111">
        <v>3622640826.2711082</v>
      </c>
      <c r="AY18" s="111">
        <v>0.25313960073939412</v>
      </c>
      <c r="AZ18" s="111">
        <v>2.969758690296564</v>
      </c>
      <c r="BA18" s="111">
        <v>119070.0181818182</v>
      </c>
      <c r="BB18" s="111">
        <v>-3.5714285714285721</v>
      </c>
      <c r="BC18" s="111">
        <v>1</v>
      </c>
      <c r="BD18" s="438" t="str">
        <f>VLOOKUP($A18,'NZ targets'!$G$13:$BG$238,33,FALSE)</f>
        <v/>
      </c>
      <c r="BE18" s="439">
        <f>VLOOKUP($A18,'NZ targets'!$G$13:$BG$238,18,FALSE)</f>
        <v>-16.368978655270666</v>
      </c>
      <c r="BF18" s="440">
        <f>VLOOKUP($A18,'NZ targets'!$G$13:$BG$238,25,FALSE)</f>
        <v>-23.005754847451914</v>
      </c>
      <c r="BG18" s="442">
        <f>VLOOKUP($A18,'NZ targets'!$G$13:$BG$238,3,FALSE)</f>
        <v>1</v>
      </c>
    </row>
    <row r="19" spans="1:59" hidden="1" x14ac:dyDescent="0.25">
      <c r="A19" t="s">
        <v>164</v>
      </c>
      <c r="B19" s="438" t="str">
        <f>VLOOKUP($A19,'NZ targets'!$G$13:$BG$238,2,FALSE)</f>
        <v>Ecuador</v>
      </c>
      <c r="C19" s="111">
        <v>100</v>
      </c>
      <c r="D19" s="111">
        <v>2.4002991013024202</v>
      </c>
      <c r="E19" s="111">
        <v>18001000</v>
      </c>
      <c r="F19" s="111">
        <v>-0.62992846965789795</v>
      </c>
      <c r="G19" s="111">
        <v>-0.30854624509811401</v>
      </c>
      <c r="H19" s="111">
        <v>-0.239295244216919</v>
      </c>
      <c r="I19" s="111">
        <v>-0.45972153544425998</v>
      </c>
      <c r="J19" s="111">
        <v>-0.62022411823272705</v>
      </c>
      <c r="K19" s="111">
        <v>2.5918409228324901E-2</v>
      </c>
      <c r="L19" s="111">
        <v>13639</v>
      </c>
      <c r="M19" s="111">
        <v>52.8029423151374</v>
      </c>
      <c r="N19" s="111">
        <v>68348.95</v>
      </c>
      <c r="O19" s="111">
        <v>13.8166859421647</v>
      </c>
      <c r="P19" s="111">
        <v>25830</v>
      </c>
      <c r="Q19" s="111">
        <v>494684.11083600001</v>
      </c>
      <c r="R19" s="111">
        <v>1.9575753492533099</v>
      </c>
      <c r="S19" s="111">
        <v>0</v>
      </c>
      <c r="T19" s="111">
        <v>50.062650990497701</v>
      </c>
      <c r="U19" s="111">
        <v>1.56125677576862</v>
      </c>
      <c r="V19" s="111">
        <v>35894</v>
      </c>
      <c r="W19" s="111">
        <v>0.29523737001164702</v>
      </c>
      <c r="X19" s="111">
        <v>71.661044451602507</v>
      </c>
      <c r="Y19" s="111">
        <v>0.59789100734968803</v>
      </c>
      <c r="Z19" s="111">
        <v>0</v>
      </c>
      <c r="AA19" s="111">
        <v>93781977159.781204</v>
      </c>
      <c r="AB19" s="111">
        <v>5315.5165351011201</v>
      </c>
      <c r="AC19" s="111">
        <v>1.12430128872318E-2</v>
      </c>
      <c r="AD19" s="111">
        <v>4.3945655375451196</v>
      </c>
      <c r="AE19" s="111">
        <v>4.1794169753583503</v>
      </c>
      <c r="AF19" s="111">
        <v>3.74</v>
      </c>
      <c r="AG19" s="111">
        <v>2.21</v>
      </c>
      <c r="AH19" s="111">
        <v>18.489999999999998</v>
      </c>
      <c r="AI19" s="111">
        <v>1.8</v>
      </c>
      <c r="AJ19" s="111">
        <v>12.39</v>
      </c>
      <c r="AK19" s="111">
        <v>0.85</v>
      </c>
      <c r="AL19" s="111">
        <v>5.38</v>
      </c>
      <c r="AM19" s="111">
        <v>12.39</v>
      </c>
      <c r="AN19" s="111">
        <v>3.74</v>
      </c>
      <c r="AO19" s="111">
        <v>3.06</v>
      </c>
      <c r="AP19" s="111">
        <v>18.489999999999998</v>
      </c>
      <c r="AQ19" s="111">
        <v>14.62423038</v>
      </c>
      <c r="AR19" s="111">
        <v>10311.632729999999</v>
      </c>
      <c r="AS19" s="111">
        <v>0.74</v>
      </c>
      <c r="AT19" s="111">
        <v>73.67</v>
      </c>
      <c r="AU19" s="111">
        <v>8.8171195979999997</v>
      </c>
      <c r="AV19" s="111">
        <v>4.7</v>
      </c>
      <c r="AW19" s="111">
        <v>76.943687861957997</v>
      </c>
      <c r="AX19" s="111">
        <v>1064505890.69365</v>
      </c>
      <c r="AY19" s="111">
        <v>7.6888521678787833E-2</v>
      </c>
      <c r="AZ19" s="111">
        <v>1.0622246055335129</v>
      </c>
      <c r="BA19" s="111">
        <v>262878.53333333333</v>
      </c>
      <c r="BB19" s="111">
        <v>-3.5714285714285721</v>
      </c>
      <c r="BC19" s="111">
        <v>1</v>
      </c>
      <c r="BD19" s="438">
        <f>VLOOKUP($A19,'NZ targets'!$G$13:$BG$238,33,FALSE)</f>
        <v>-5.007400738445722E-2</v>
      </c>
      <c r="BE19" s="439">
        <f>VLOOKUP($A19,'NZ targets'!$G$13:$BG$238,18,FALSE)</f>
        <v>13.367531287788097</v>
      </c>
      <c r="BF19" s="440">
        <f>VLOOKUP($A19,'NZ targets'!$G$13:$BG$238,25,FALSE)</f>
        <v>9.9111380456209588</v>
      </c>
      <c r="BG19" s="442">
        <f>VLOOKUP($A19,'NZ targets'!$G$13:$BG$238,3,FALSE)</f>
        <v>3</v>
      </c>
    </row>
    <row r="20" spans="1:59" hidden="1" x14ac:dyDescent="0.25">
      <c r="A20" t="s">
        <v>412</v>
      </c>
      <c r="B20" s="438" t="str">
        <f>VLOOKUP($A20,'NZ targets'!$G$13:$BG$238,2,FALSE)</f>
        <v>Spain</v>
      </c>
      <c r="C20" s="111">
        <v>100</v>
      </c>
      <c r="D20" s="111">
        <v>12.690237191825901</v>
      </c>
      <c r="E20" s="111">
        <v>47778340</v>
      </c>
      <c r="F20" s="111">
        <v>0.68531209230422996</v>
      </c>
      <c r="G20" s="111">
        <v>0.92075788974761996</v>
      </c>
      <c r="H20" s="111">
        <v>0.26532697677612299</v>
      </c>
      <c r="I20" s="111">
        <v>0.79707443714141801</v>
      </c>
      <c r="J20" s="111">
        <v>0.79993212223053001</v>
      </c>
      <c r="K20" s="111">
        <v>1.01301276683807</v>
      </c>
      <c r="L20" s="111">
        <v>97088</v>
      </c>
      <c r="M20" s="111">
        <v>34.949890565602999</v>
      </c>
      <c r="N20" s="111">
        <v>513540.8</v>
      </c>
      <c r="O20" s="111">
        <v>16.254097737239</v>
      </c>
      <c r="P20" s="111">
        <v>277792</v>
      </c>
      <c r="Q20" s="111">
        <v>3159454.3622280001</v>
      </c>
      <c r="R20" s="111">
        <v>4.2795945712141004</v>
      </c>
      <c r="S20" s="111">
        <v>18.9623891256768</v>
      </c>
      <c r="T20" s="111">
        <v>37.172752109323298</v>
      </c>
      <c r="U20" s="111">
        <v>0.83822816046774795</v>
      </c>
      <c r="V20" s="111">
        <v>208791</v>
      </c>
      <c r="W20" s="111">
        <v>0.44252255479207497</v>
      </c>
      <c r="X20" s="111">
        <v>94.882208796979697</v>
      </c>
      <c r="Y20" s="111">
        <v>-0.54458038626350502</v>
      </c>
      <c r="Z20" s="111">
        <v>0</v>
      </c>
      <c r="AA20" s="111">
        <v>1181205175565.6201</v>
      </c>
      <c r="AB20" s="111">
        <v>24939.187256849498</v>
      </c>
      <c r="AC20" s="111">
        <v>2.5210081256050001E-4</v>
      </c>
      <c r="AD20" s="111">
        <v>3.897588166301E-4</v>
      </c>
      <c r="AE20" s="111">
        <v>23.2994560606836</v>
      </c>
      <c r="AF20" s="111">
        <v>25.46</v>
      </c>
      <c r="AG20" s="111">
        <v>9.4499999999999993</v>
      </c>
      <c r="AH20" s="111">
        <v>92.31</v>
      </c>
      <c r="AI20" s="111">
        <v>-1.66</v>
      </c>
      <c r="AJ20" s="111">
        <v>41.36</v>
      </c>
      <c r="AK20" s="111">
        <v>9</v>
      </c>
      <c r="AL20" s="111">
        <v>6.69</v>
      </c>
      <c r="AM20" s="111">
        <v>41.36</v>
      </c>
      <c r="AN20" s="111">
        <v>25.46</v>
      </c>
      <c r="AO20" s="111">
        <v>18.45</v>
      </c>
      <c r="AP20" s="111">
        <v>92.31</v>
      </c>
      <c r="AQ20" s="111">
        <v>17.916900630000001</v>
      </c>
      <c r="AR20" s="111">
        <v>38353.601640000001</v>
      </c>
      <c r="AS20" s="111">
        <v>0.90500000000000003</v>
      </c>
      <c r="AT20" s="111">
        <v>83.01</v>
      </c>
      <c r="AU20" s="111">
        <v>10.60540009</v>
      </c>
      <c r="AV20" s="111">
        <v>2.2999999999999998</v>
      </c>
      <c r="AW20" s="111">
        <v>328.59097242639001</v>
      </c>
      <c r="AX20" s="111">
        <v>14221588296.97892</v>
      </c>
      <c r="AY20" s="111">
        <v>0.12610956875757581</v>
      </c>
      <c r="AZ20" s="111">
        <v>0.20116812103327009</v>
      </c>
      <c r="BA20" s="111">
        <v>143818.16363636361</v>
      </c>
      <c r="BB20" s="111">
        <v>-3.5714285714285721</v>
      </c>
      <c r="BC20" s="111">
        <v>1</v>
      </c>
      <c r="BD20" s="438">
        <f>VLOOKUP($A20,'NZ targets'!$G$13:$BG$238,33,FALSE)</f>
        <v>-3.7982167460107248E-2</v>
      </c>
      <c r="BE20" s="439">
        <f>VLOOKUP($A20,'NZ targets'!$G$13:$BG$238,18,FALSE)</f>
        <v>-44.104390343882066</v>
      </c>
      <c r="BF20" s="440">
        <f>VLOOKUP($A20,'NZ targets'!$G$13:$BG$238,25,FALSE)</f>
        <v>-49.007818909219715</v>
      </c>
      <c r="BG20" s="442">
        <f>VLOOKUP($A20,'NZ targets'!$G$13:$BG$238,3,FALSE)</f>
        <v>4</v>
      </c>
    </row>
    <row r="21" spans="1:59" hidden="1" x14ac:dyDescent="0.25">
      <c r="A21" t="s">
        <v>176</v>
      </c>
      <c r="B21" s="438" t="str">
        <f>VLOOKUP($A21,'NZ targets'!$G$13:$BG$238,2,FALSE)</f>
        <v>Ethiopia</v>
      </c>
      <c r="C21" s="111">
        <v>54.1884155273438</v>
      </c>
      <c r="D21" s="111">
        <v>1.0795260122295101</v>
      </c>
      <c r="E21" s="111">
        <v>123379924</v>
      </c>
      <c r="F21" s="111">
        <v>-0.44087877869606001</v>
      </c>
      <c r="G21" s="111">
        <v>-0.74526518583297696</v>
      </c>
      <c r="H21" s="111">
        <v>-2.0380675792694101</v>
      </c>
      <c r="I21" s="111">
        <v>-0.94841742515563998</v>
      </c>
      <c r="J21" s="111">
        <v>-0.62345695495605502</v>
      </c>
      <c r="K21" s="111">
        <v>-1.0485825538635301</v>
      </c>
      <c r="L21" s="111">
        <v>10433</v>
      </c>
      <c r="M21" s="111">
        <v>99.961674810769395</v>
      </c>
      <c r="N21" s="111">
        <v>1574274</v>
      </c>
      <c r="O21" s="111">
        <v>92.163461141347994</v>
      </c>
      <c r="P21" s="111">
        <v>10437</v>
      </c>
      <c r="Q21" s="111">
        <v>1708132.4643240001</v>
      </c>
      <c r="R21" s="111">
        <v>0.15443177159020499</v>
      </c>
      <c r="S21" s="111">
        <v>0</v>
      </c>
      <c r="T21" s="111">
        <v>15.059305980114599</v>
      </c>
      <c r="U21" s="111">
        <v>0.807618781289276</v>
      </c>
      <c r="V21" s="111">
        <v>38867</v>
      </c>
      <c r="W21" s="111">
        <v>0.45874977070534101</v>
      </c>
      <c r="X21" s="111">
        <v>106.579911903038</v>
      </c>
      <c r="Y21" s="111">
        <v>0.61219896964398401</v>
      </c>
      <c r="Z21" s="111">
        <v>4.2645410969250299E-5</v>
      </c>
      <c r="AA21" s="111">
        <v>95071785237.713394</v>
      </c>
      <c r="AB21" s="111">
        <v>826.97305317731195</v>
      </c>
      <c r="AC21" s="111">
        <v>0</v>
      </c>
      <c r="AD21" s="111">
        <v>0</v>
      </c>
      <c r="AE21" s="111">
        <v>14.350090687449899</v>
      </c>
      <c r="AF21" s="111">
        <v>0.5</v>
      </c>
      <c r="AG21" s="111">
        <v>3.2</v>
      </c>
      <c r="AH21" s="111">
        <v>6.87</v>
      </c>
      <c r="AI21" s="111">
        <v>0.65</v>
      </c>
      <c r="AJ21" s="111">
        <v>112.45</v>
      </c>
      <c r="AK21" s="111">
        <v>0.68</v>
      </c>
      <c r="AL21" s="111">
        <v>1.87</v>
      </c>
      <c r="AM21" s="111">
        <v>112.45</v>
      </c>
      <c r="AN21" s="111">
        <v>0.5</v>
      </c>
      <c r="AO21" s="111">
        <v>3.88</v>
      </c>
      <c r="AP21" s="111">
        <v>6.87</v>
      </c>
      <c r="AQ21" s="111">
        <v>9.6510714209999993</v>
      </c>
      <c r="AR21" s="111">
        <v>2361.0696039999998</v>
      </c>
      <c r="AS21" s="111">
        <v>0.498</v>
      </c>
      <c r="AT21" s="111">
        <v>64.974800000000002</v>
      </c>
      <c r="AU21" s="111">
        <v>3.2015206809999999</v>
      </c>
      <c r="AV21" s="111">
        <v>7</v>
      </c>
      <c r="AW21" s="111">
        <v>192.47395538279</v>
      </c>
      <c r="AX21" s="111">
        <v>5823482960.4068012</v>
      </c>
      <c r="AY21" s="111">
        <v>0.116803647</v>
      </c>
      <c r="AZ21" s="111">
        <v>2.5452777768887458</v>
      </c>
      <c r="BA21" s="111">
        <v>2929833.3818181818</v>
      </c>
      <c r="BB21" s="111">
        <v>-3.5714285714285721</v>
      </c>
      <c r="BC21" s="111">
        <v>0</v>
      </c>
      <c r="BD21" s="438">
        <f>VLOOKUP($A21,'NZ targets'!$G$13:$BG$238,33,FALSE)</f>
        <v>1.9342479577726827E-2</v>
      </c>
      <c r="BE21" s="439">
        <f>VLOOKUP($A21,'NZ targets'!$G$13:$BG$238,18,FALSE)</f>
        <v>-274.58499999999998</v>
      </c>
      <c r="BF21" s="440">
        <f>VLOOKUP($A21,'NZ targets'!$G$13:$BG$238,25,FALSE)</f>
        <v>102.02336</v>
      </c>
      <c r="BG21" s="442">
        <f>VLOOKUP($A21,'NZ targets'!$G$13:$BG$238,3,FALSE)</f>
        <v>3</v>
      </c>
    </row>
    <row r="22" spans="1:59" hidden="1" x14ac:dyDescent="0.25">
      <c r="A22" t="s">
        <v>184</v>
      </c>
      <c r="B22" s="438" t="str">
        <f>VLOOKUP($A22,'NZ targets'!$G$13:$BG$238,2,FALSE)</f>
        <v>Finland</v>
      </c>
      <c r="C22" s="111">
        <v>100</v>
      </c>
      <c r="D22" s="111">
        <v>5.7396832572690197</v>
      </c>
      <c r="E22" s="111">
        <v>5556106</v>
      </c>
      <c r="F22" s="111">
        <v>2.2469778060913099</v>
      </c>
      <c r="G22" s="111">
        <v>1.75512683391571</v>
      </c>
      <c r="H22" s="111">
        <v>0.89149171113967896</v>
      </c>
      <c r="I22" s="111">
        <v>1.77915287017822</v>
      </c>
      <c r="J22" s="111">
        <v>1.9583724737167401</v>
      </c>
      <c r="K22" s="111">
        <v>1.6016194820404099</v>
      </c>
      <c r="L22" s="111">
        <v>30525</v>
      </c>
      <c r="M22" s="111">
        <v>44.499030569849999</v>
      </c>
      <c r="N22" s="111">
        <v>418361.2</v>
      </c>
      <c r="O22" s="111">
        <v>43.235262589850301</v>
      </c>
      <c r="P22" s="111">
        <v>68597</v>
      </c>
      <c r="Q22" s="111">
        <v>967638.85527599999</v>
      </c>
      <c r="R22" s="111">
        <v>6.5701451277257501</v>
      </c>
      <c r="S22" s="111">
        <v>8.3035701269734794</v>
      </c>
      <c r="T22" s="111">
        <v>73.726499657671397</v>
      </c>
      <c r="U22" s="111">
        <v>0.81495379111800004</v>
      </c>
      <c r="V22" s="111">
        <v>17482</v>
      </c>
      <c r="W22" s="111">
        <v>1.0628480324685099</v>
      </c>
      <c r="X22" s="111">
        <v>18.230165913412101</v>
      </c>
      <c r="Y22" s="111">
        <v>6.7744383619626106E-2</v>
      </c>
      <c r="Z22" s="111">
        <v>0</v>
      </c>
      <c r="AA22" s="111">
        <v>248882603086.328</v>
      </c>
      <c r="AB22" s="111">
        <v>45009.615276764802</v>
      </c>
      <c r="AC22" s="111">
        <v>0</v>
      </c>
      <c r="AD22" s="111">
        <v>0</v>
      </c>
      <c r="AE22" s="111">
        <v>7.3797460025004904</v>
      </c>
      <c r="AF22" s="111">
        <v>1.96</v>
      </c>
      <c r="AG22" s="111">
        <v>0.6</v>
      </c>
      <c r="AH22" s="111">
        <v>11.51</v>
      </c>
      <c r="AI22" s="111">
        <v>2.36</v>
      </c>
      <c r="AJ22" s="111">
        <v>5.93</v>
      </c>
      <c r="AK22" s="111">
        <v>1.47</v>
      </c>
      <c r="AL22" s="111">
        <v>11.14</v>
      </c>
      <c r="AM22" s="111">
        <v>5.92</v>
      </c>
      <c r="AN22" s="111">
        <v>1.96</v>
      </c>
      <c r="AO22" s="111">
        <v>2.0699999999999998</v>
      </c>
      <c r="AP22" s="111">
        <v>11.51</v>
      </c>
      <c r="AQ22" s="111">
        <v>19.051929470000001</v>
      </c>
      <c r="AR22" s="111">
        <v>49452.166720000001</v>
      </c>
      <c r="AS22" s="111">
        <v>0.94</v>
      </c>
      <c r="AT22" s="111">
        <v>82.0381</v>
      </c>
      <c r="AU22" s="111">
        <v>12.87362003</v>
      </c>
      <c r="AV22" s="111">
        <v>1.5</v>
      </c>
      <c r="AW22" s="111">
        <v>54.805048213165001</v>
      </c>
      <c r="AX22" s="111">
        <v>2145333952.3508489</v>
      </c>
      <c r="AY22" s="111">
        <v>4.6573881454545378E-2</v>
      </c>
      <c r="AZ22" s="111">
        <v>4.3448187695842452E-2</v>
      </c>
      <c r="BA22" s="111">
        <v>11800.12727272727</v>
      </c>
      <c r="BB22" s="111">
        <v>-7.6923076923076934</v>
      </c>
      <c r="BC22" s="111">
        <v>1</v>
      </c>
      <c r="BD22" s="438">
        <f>VLOOKUP($A22,'NZ targets'!$G$13:$BG$238,33,FALSE)</f>
        <v>-5.0401464680400146E-2</v>
      </c>
      <c r="BE22" s="439">
        <f>VLOOKUP($A22,'NZ targets'!$G$13:$BG$238,18,FALSE)</f>
        <v>-28.5</v>
      </c>
      <c r="BF22" s="440">
        <f>VLOOKUP($A22,'NZ targets'!$G$13:$BG$238,25,FALSE)</f>
        <v>-11.144282774376384</v>
      </c>
      <c r="BG22" s="442">
        <f>VLOOKUP($A22,'NZ targets'!$G$13:$BG$238,3,FALSE)</f>
        <v>4</v>
      </c>
    </row>
    <row r="23" spans="1:59" hidden="1" x14ac:dyDescent="0.25">
      <c r="A23" t="s">
        <v>192</v>
      </c>
      <c r="B23" s="438" t="str">
        <f>VLOOKUP($A23,'NZ targets'!$G$13:$BG$238,2,FALSE)</f>
        <v>Gabon</v>
      </c>
      <c r="C23" s="111">
        <v>91.806404113769503</v>
      </c>
      <c r="D23" s="111">
        <v>15.555859529865099</v>
      </c>
      <c r="E23" s="111">
        <v>2388992</v>
      </c>
      <c r="F23" s="111">
        <v>-1.0480993986129801</v>
      </c>
      <c r="G23" s="111">
        <v>-0.72611659765243497</v>
      </c>
      <c r="H23" s="111">
        <v>6.9895133376121493E-2</v>
      </c>
      <c r="I23" s="111">
        <v>-0.70225721597671498</v>
      </c>
      <c r="J23" s="111">
        <v>-0.84057945013046298</v>
      </c>
      <c r="K23" s="111">
        <v>-0.87900006771087602</v>
      </c>
      <c r="L23" s="111">
        <v>930</v>
      </c>
      <c r="M23" s="111">
        <v>43.7441204139229</v>
      </c>
      <c r="N23" s="111">
        <v>162175.4</v>
      </c>
      <c r="O23" s="111">
        <v>82.007843686057299</v>
      </c>
      <c r="P23" s="111">
        <v>2126</v>
      </c>
      <c r="Q23" s="111">
        <v>197755.96176000001</v>
      </c>
      <c r="R23" s="111">
        <v>2.3332735751489699</v>
      </c>
      <c r="S23" s="111">
        <v>0</v>
      </c>
      <c r="T23" s="111">
        <v>91.274576008072302</v>
      </c>
      <c r="U23" s="111">
        <v>3.2503061930852399</v>
      </c>
      <c r="V23" s="111">
        <v>1514</v>
      </c>
      <c r="W23" s="111">
        <v>0.22818137394098301</v>
      </c>
      <c r="X23" s="111">
        <v>9.0859587844917904</v>
      </c>
      <c r="Y23" s="111">
        <v>-0.29678461992301702</v>
      </c>
      <c r="Z23" s="111">
        <v>0</v>
      </c>
      <c r="AA23" s="111">
        <v>15176119328.9266</v>
      </c>
      <c r="AB23" s="111">
        <v>6818.4968374062701</v>
      </c>
      <c r="AC23" s="111">
        <v>5.4360738820697897E-2</v>
      </c>
      <c r="AD23" s="111">
        <v>14.3218738678033</v>
      </c>
      <c r="AE23" s="111">
        <v>1.26130321729344</v>
      </c>
      <c r="AF23" s="111">
        <v>0.21</v>
      </c>
      <c r="AG23" s="111">
        <v>0.09</v>
      </c>
      <c r="AH23" s="111">
        <v>0.21</v>
      </c>
      <c r="AI23" s="111">
        <v>-0.48</v>
      </c>
      <c r="AJ23" s="111">
        <v>0.51</v>
      </c>
      <c r="AK23" s="111">
        <v>1.3</v>
      </c>
      <c r="AL23" s="111">
        <v>6.59</v>
      </c>
      <c r="AM23" s="111">
        <v>0.51</v>
      </c>
      <c r="AN23" s="111">
        <v>0.21</v>
      </c>
      <c r="AO23" s="111">
        <v>1.39</v>
      </c>
      <c r="AP23" s="111">
        <v>0.21</v>
      </c>
      <c r="AQ23" s="111">
        <v>12.977309999999999</v>
      </c>
      <c r="AR23" s="111">
        <v>13366.93455</v>
      </c>
      <c r="AS23" s="111">
        <v>0.70599999999999996</v>
      </c>
      <c r="AT23" s="111">
        <v>65.820999999999998</v>
      </c>
      <c r="AU23" s="111">
        <v>9.4359999999999999</v>
      </c>
      <c r="AV23" s="111">
        <v>3.2</v>
      </c>
      <c r="AW23" s="111">
        <v>18.626671672806001</v>
      </c>
      <c r="AX23" s="111">
        <v>366379731.9582473</v>
      </c>
      <c r="AY23" s="111">
        <v>0.14356363636363631</v>
      </c>
      <c r="AZ23" s="111">
        <v>0.2163170651679209</v>
      </c>
      <c r="BA23" s="111">
        <v>53593.793939393952</v>
      </c>
      <c r="BB23" s="111">
        <v>-3.5714285714285721</v>
      </c>
      <c r="BC23" s="111">
        <v>1</v>
      </c>
      <c r="BD23" s="438">
        <f>VLOOKUP($A23,'NZ targets'!$G$13:$BG$238,33,FALSE)</f>
        <v>0.74751289465787241</v>
      </c>
      <c r="BE23" s="439">
        <f>VLOOKUP($A23,'NZ targets'!$G$13:$BG$238,18,FALSE)</f>
        <v>-113.87865320197045</v>
      </c>
      <c r="BF23" s="440">
        <f>VLOOKUP($A23,'NZ targets'!$G$13:$BG$238,25,FALSE)</f>
        <v>-132.15238853719168</v>
      </c>
      <c r="BG23" s="442">
        <f>VLOOKUP($A23,'NZ targets'!$G$13:$BG$238,3,FALSE)</f>
        <v>5</v>
      </c>
    </row>
    <row r="24" spans="1:59" hidden="1" x14ac:dyDescent="0.25">
      <c r="A24" t="s">
        <v>472</v>
      </c>
      <c r="B24" s="438" t="str">
        <f>VLOOKUP($A24,'NZ targets'!$G$13:$BG$238,2,FALSE)</f>
        <v>United Kingdom</v>
      </c>
      <c r="C24" s="111">
        <v>100</v>
      </c>
      <c r="D24" s="111">
        <v>13.200978246274</v>
      </c>
      <c r="E24" s="111">
        <v>66971395</v>
      </c>
      <c r="F24" s="111">
        <v>1.62015616893768</v>
      </c>
      <c r="G24" s="111">
        <v>1.2386348247528101</v>
      </c>
      <c r="H24" s="111">
        <v>0.50393909215927102</v>
      </c>
      <c r="I24" s="111">
        <v>1.5665100812912001</v>
      </c>
      <c r="J24" s="111">
        <v>1.4154912233352701</v>
      </c>
      <c r="K24" s="111">
        <v>1.2321926355361901</v>
      </c>
      <c r="L24" s="111">
        <v>83551</v>
      </c>
      <c r="M24" s="111">
        <v>24.840050422766399</v>
      </c>
      <c r="N24" s="111">
        <v>429157.5</v>
      </c>
      <c r="O24" s="111">
        <v>8.7116855743791302</v>
      </c>
      <c r="P24" s="111">
        <v>336356</v>
      </c>
      <c r="Q24" s="111">
        <v>4926228.0684479997</v>
      </c>
      <c r="R24" s="111">
        <v>4.6011422509013498</v>
      </c>
      <c r="S24" s="111">
        <v>22.806490741952</v>
      </c>
      <c r="T24" s="111">
        <v>13.2214553796553</v>
      </c>
      <c r="U24" s="111">
        <v>0.75156152658133901</v>
      </c>
      <c r="V24" s="111">
        <v>211063</v>
      </c>
      <c r="W24" s="111">
        <v>0.41288282263859399</v>
      </c>
      <c r="X24" s="111">
        <v>277.04828669449802</v>
      </c>
      <c r="Y24" s="111">
        <v>-0.41643596451234499</v>
      </c>
      <c r="Z24" s="111">
        <v>1.1251242954190999E-3</v>
      </c>
      <c r="AA24" s="111">
        <v>2895628856980.5601</v>
      </c>
      <c r="AB24" s="111">
        <v>43166.155200139598</v>
      </c>
      <c r="AC24" s="111">
        <v>7.6023355431949394E-2</v>
      </c>
      <c r="AD24" s="111">
        <v>0.31197648100320202</v>
      </c>
      <c r="AE24" s="111">
        <v>24.711702558591298</v>
      </c>
      <c r="AF24" s="111">
        <v>87.01</v>
      </c>
      <c r="AG24" s="111">
        <v>4.41</v>
      </c>
      <c r="AH24" s="111">
        <v>120.66</v>
      </c>
      <c r="AI24" s="111">
        <v>-2.02</v>
      </c>
      <c r="AJ24" s="111">
        <v>50.7</v>
      </c>
      <c r="AK24" s="111">
        <v>14.73</v>
      </c>
      <c r="AL24" s="111">
        <v>6.64</v>
      </c>
      <c r="AM24" s="111">
        <v>50.7</v>
      </c>
      <c r="AN24" s="111">
        <v>87.01</v>
      </c>
      <c r="AO24" s="111">
        <v>19.14</v>
      </c>
      <c r="AP24" s="111">
        <v>120.66</v>
      </c>
      <c r="AQ24" s="111">
        <v>17.309719090000002</v>
      </c>
      <c r="AR24" s="111">
        <v>45224.765639999998</v>
      </c>
      <c r="AS24" s="111">
        <v>0.92900000000000005</v>
      </c>
      <c r="AT24" s="111">
        <v>80.742199999999997</v>
      </c>
      <c r="AU24" s="111">
        <v>13.4061203</v>
      </c>
      <c r="AV24" s="111">
        <v>2.1</v>
      </c>
      <c r="AW24" s="111">
        <v>426.56209915176998</v>
      </c>
      <c r="AX24" s="111">
        <v>43806606729.036728</v>
      </c>
      <c r="AY24" s="111">
        <v>4.6493944545454517E-2</v>
      </c>
      <c r="AZ24" s="111">
        <v>1.65976399384243</v>
      </c>
      <c r="BA24" s="111">
        <v>342162.53333333338</v>
      </c>
      <c r="BB24" s="111">
        <v>-3.5714285714285721</v>
      </c>
      <c r="BC24" s="111">
        <v>1</v>
      </c>
      <c r="BD24" s="438">
        <f>VLOOKUP($A24,'NZ targets'!$G$13:$BG$238,33,FALSE)</f>
        <v>-5.0014364723903519E-2</v>
      </c>
      <c r="BE24" s="439">
        <f>VLOOKUP($A24,'NZ targets'!$G$13:$BG$238,18,FALSE)</f>
        <v>1.1055433073677507</v>
      </c>
      <c r="BF24" s="440">
        <f>VLOOKUP($A24,'NZ targets'!$G$13:$BG$238,25,FALSE)</f>
        <v>0.98427262500000001</v>
      </c>
      <c r="BG24" s="442">
        <f>VLOOKUP($A24,'NZ targets'!$G$13:$BG$238,3,FALSE)</f>
        <v>4</v>
      </c>
    </row>
    <row r="25" spans="1:59" hidden="1" x14ac:dyDescent="0.25">
      <c r="A25" t="s">
        <v>200</v>
      </c>
      <c r="B25" s="438" t="str">
        <f>VLOOKUP($A25,'NZ targets'!$G$13:$BG$238,2,FALSE)</f>
        <v>Ghana</v>
      </c>
      <c r="C25" s="111">
        <v>86.3</v>
      </c>
      <c r="D25" s="111">
        <v>1.4573971521888101</v>
      </c>
      <c r="E25" s="111">
        <v>33475870</v>
      </c>
      <c r="F25" s="111">
        <v>-4.5995499938726397E-2</v>
      </c>
      <c r="G25" s="111">
        <v>-6.2545537948608398E-2</v>
      </c>
      <c r="H25" s="111">
        <v>-6.5912969410419506E-2</v>
      </c>
      <c r="I25" s="111">
        <v>-0.17881870269775399</v>
      </c>
      <c r="J25" s="111">
        <v>-7.6319806277751895E-2</v>
      </c>
      <c r="K25" s="111">
        <v>0.394973695278168</v>
      </c>
      <c r="L25" s="111">
        <v>5848</v>
      </c>
      <c r="M25" s="111">
        <v>50.892002436689602</v>
      </c>
      <c r="N25" s="111">
        <v>117256</v>
      </c>
      <c r="O25" s="111">
        <v>41.4127943140724</v>
      </c>
      <c r="P25" s="111">
        <v>11491</v>
      </c>
      <c r="Q25" s="111">
        <v>283139.55129600002</v>
      </c>
      <c r="R25" s="111">
        <v>0.602887453142675</v>
      </c>
      <c r="S25" s="111">
        <v>0</v>
      </c>
      <c r="T25" s="111">
        <v>35.128677158917597</v>
      </c>
      <c r="U25" s="111">
        <v>0.368171715759539</v>
      </c>
      <c r="V25" s="111">
        <v>-297</v>
      </c>
      <c r="W25" s="111">
        <v>0.19791919469866101</v>
      </c>
      <c r="X25" s="111">
        <v>144.30008394386701</v>
      </c>
      <c r="Y25" s="111">
        <v>-0.31330979076858501</v>
      </c>
      <c r="Z25" s="111">
        <v>0</v>
      </c>
      <c r="AA25" s="111">
        <v>62786746873.612503</v>
      </c>
      <c r="AB25" s="111">
        <v>2020.6242721316701</v>
      </c>
      <c r="AC25" s="111">
        <v>0.35060167357822303</v>
      </c>
      <c r="AD25" s="111">
        <v>3.0845250258148398</v>
      </c>
      <c r="AE25" s="111">
        <v>11.0463097660559</v>
      </c>
      <c r="AF25" s="111">
        <v>1.03</v>
      </c>
      <c r="AG25" s="111">
        <v>1.03</v>
      </c>
      <c r="AH25" s="111">
        <v>8.06</v>
      </c>
      <c r="AI25" s="111">
        <v>8.75</v>
      </c>
      <c r="AJ25" s="111">
        <v>9.73</v>
      </c>
      <c r="AK25" s="111">
        <v>1.24</v>
      </c>
      <c r="AL25" s="111">
        <v>0.66</v>
      </c>
      <c r="AM25" s="111">
        <v>9.73</v>
      </c>
      <c r="AN25" s="111">
        <v>1.03</v>
      </c>
      <c r="AO25" s="111">
        <v>2.2799999999999998</v>
      </c>
      <c r="AP25" s="111">
        <v>8.06</v>
      </c>
      <c r="AQ25" s="111">
        <v>12.047780039999999</v>
      </c>
      <c r="AR25" s="111">
        <v>5744.5040170000002</v>
      </c>
      <c r="AS25" s="111">
        <v>0.63200000000000001</v>
      </c>
      <c r="AT25" s="111">
        <v>63.795400000000001</v>
      </c>
      <c r="AU25" s="111">
        <v>8.3298866950000008</v>
      </c>
      <c r="AV25" s="111">
        <v>3.5</v>
      </c>
      <c r="AW25" s="111">
        <v>53.007332740834997</v>
      </c>
      <c r="AX25" s="111">
        <v>2514138810.3698921</v>
      </c>
      <c r="AY25" s="111">
        <v>8.9196841600000132E-2</v>
      </c>
      <c r="AZ25" s="111">
        <v>2.920959486665704</v>
      </c>
      <c r="BA25" s="111">
        <v>661265.56363636372</v>
      </c>
      <c r="BB25" s="111">
        <v>-2.083333333333333</v>
      </c>
      <c r="BC25" s="111">
        <v>0</v>
      </c>
      <c r="BD25" s="438">
        <f>VLOOKUP($A25,'NZ targets'!$G$13:$BG$238,33,FALSE)</f>
        <v>-2.5030543049790372E-2</v>
      </c>
      <c r="BE25" s="439">
        <f>VLOOKUP($A25,'NZ targets'!$G$13:$BG$238,18,FALSE)</f>
        <v>13.508965517241371</v>
      </c>
      <c r="BF25" s="440">
        <f>VLOOKUP($A25,'NZ targets'!$G$13:$BG$238,25,FALSE)</f>
        <v>9.48739237323975</v>
      </c>
      <c r="BG25" s="442">
        <f>VLOOKUP($A25,'NZ targets'!$G$13:$BG$238,3,FALSE)</f>
        <v>2</v>
      </c>
    </row>
    <row r="26" spans="1:59" hidden="1" x14ac:dyDescent="0.25">
      <c r="A26" t="s">
        <v>148</v>
      </c>
      <c r="B26" s="438" t="str">
        <f>VLOOKUP($A26,'NZ targets'!$G$13:$BG$238,2,FALSE)</f>
        <v>Croatia</v>
      </c>
      <c r="C26" s="111">
        <v>100</v>
      </c>
      <c r="D26" s="111">
        <v>13.6047139871854</v>
      </c>
      <c r="E26" s="111">
        <v>3855600</v>
      </c>
      <c r="F26" s="111">
        <v>0.148001134395599</v>
      </c>
      <c r="G26" s="111">
        <v>0.58165103197097801</v>
      </c>
      <c r="H26" s="111">
        <v>0.61216127872466997</v>
      </c>
      <c r="I26" s="111">
        <v>0.50254988670349099</v>
      </c>
      <c r="J26" s="111">
        <v>0.36811631917953502</v>
      </c>
      <c r="K26" s="111">
        <v>0.61327046155929599</v>
      </c>
      <c r="L26" s="111">
        <v>7510</v>
      </c>
      <c r="M26" s="111">
        <v>66.826837515572194</v>
      </c>
      <c r="N26" s="111">
        <v>89589.79</v>
      </c>
      <c r="O26" s="111">
        <v>33.127466635857097</v>
      </c>
      <c r="P26" s="111">
        <v>11238</v>
      </c>
      <c r="Q26" s="111">
        <v>270439.60525199998</v>
      </c>
      <c r="R26" s="111">
        <v>3.86070539173057</v>
      </c>
      <c r="S26" s="111">
        <v>20.555258942872399</v>
      </c>
      <c r="T26" s="111">
        <v>34.6963902787706</v>
      </c>
      <c r="U26" s="111">
        <v>0.906365123972251</v>
      </c>
      <c r="V26" s="111">
        <v>-11592</v>
      </c>
      <c r="W26" s="111">
        <v>0.43804473747924699</v>
      </c>
      <c r="X26" s="111">
        <v>69.317369549678304</v>
      </c>
      <c r="Y26" s="111">
        <v>-0.129673935021586</v>
      </c>
      <c r="Z26" s="111">
        <v>0</v>
      </c>
      <c r="AA26" s="111">
        <v>52557893779.493202</v>
      </c>
      <c r="AB26" s="111">
        <v>12984.695870101699</v>
      </c>
      <c r="AC26" s="111">
        <v>8.2767700340104805E-2</v>
      </c>
      <c r="AD26" s="111">
        <v>0.18860440028080899</v>
      </c>
      <c r="AE26" s="111">
        <v>15.886347390993601</v>
      </c>
      <c r="AF26" s="111">
        <v>2.08</v>
      </c>
      <c r="AG26" s="111">
        <v>1.29</v>
      </c>
      <c r="AH26" s="111">
        <v>6.3</v>
      </c>
      <c r="AI26" s="111">
        <v>-4.45</v>
      </c>
      <c r="AJ26" s="111">
        <v>2.78</v>
      </c>
      <c r="AK26" s="111">
        <v>0.54</v>
      </c>
      <c r="AL26" s="111">
        <v>4.45</v>
      </c>
      <c r="AM26" s="111">
        <v>2.79</v>
      </c>
      <c r="AN26" s="111">
        <v>2.08</v>
      </c>
      <c r="AO26" s="111">
        <v>1.82</v>
      </c>
      <c r="AP26" s="111">
        <v>6.3</v>
      </c>
      <c r="AQ26" s="111">
        <v>15.112099649999999</v>
      </c>
      <c r="AR26" s="111">
        <v>30132.288140000001</v>
      </c>
      <c r="AS26" s="111">
        <v>0.85799999999999998</v>
      </c>
      <c r="AT26" s="111">
        <v>77.580399999999997</v>
      </c>
      <c r="AU26" s="111">
        <v>12.19108434</v>
      </c>
      <c r="AV26" s="111">
        <v>2.4</v>
      </c>
      <c r="AW26" s="111">
        <v>24.177776858653999</v>
      </c>
      <c r="AX26" s="111">
        <v>736742119.45647633</v>
      </c>
      <c r="AY26" s="111">
        <v>0.11217752115151509</v>
      </c>
      <c r="AZ26" s="111">
        <v>-0.67265593769835874</v>
      </c>
      <c r="BA26" s="111">
        <v>-44000.727272727272</v>
      </c>
      <c r="BB26" s="111">
        <v>-3.5714285714285721</v>
      </c>
      <c r="BC26" s="111">
        <v>1</v>
      </c>
      <c r="BD26" s="438">
        <f>VLOOKUP($A26,'NZ targets'!$G$13:$BG$238,33,FALSE)</f>
        <v>-3.0622212357302826E-2</v>
      </c>
      <c r="BE26" s="439">
        <f>VLOOKUP($A26,'NZ targets'!$G$13:$BG$238,18,FALSE)</f>
        <v>-5.6667896153969712</v>
      </c>
      <c r="BF26" s="440">
        <f>VLOOKUP($A26,'NZ targets'!$G$13:$BG$238,25,FALSE)</f>
        <v>-5.1320378706711169</v>
      </c>
      <c r="BG26" s="442">
        <f>VLOOKUP($A26,'NZ targets'!$G$13:$BG$238,3,FALSE)</f>
        <v>3</v>
      </c>
    </row>
    <row r="27" spans="1:59" hidden="1" x14ac:dyDescent="0.25">
      <c r="A27" t="s">
        <v>220</v>
      </c>
      <c r="B27" s="438" t="str">
        <f>VLOOKUP($A27,'NZ targets'!$G$13:$BG$238,2,FALSE)</f>
        <v>Haiti</v>
      </c>
      <c r="C27" s="111">
        <v>47.180332183837898</v>
      </c>
      <c r="D27" s="111">
        <v>0.369048200333356</v>
      </c>
      <c r="E27" s="111">
        <v>11584996</v>
      </c>
      <c r="F27" s="111">
        <v>-1.4590376615524301</v>
      </c>
      <c r="G27" s="111">
        <v>-2.2269656658172599</v>
      </c>
      <c r="H27" s="111">
        <v>-1.4062956571578999</v>
      </c>
      <c r="I27" s="111">
        <v>-1.3143843412399301</v>
      </c>
      <c r="J27" s="111">
        <v>-1.3773607015609699</v>
      </c>
      <c r="K27" s="111">
        <v>-1.1919929981231701</v>
      </c>
      <c r="L27" s="111">
        <v>83</v>
      </c>
      <c r="M27" s="111">
        <v>7.9961464354527898</v>
      </c>
      <c r="N27" s="111">
        <v>103983.6</v>
      </c>
      <c r="O27" s="111">
        <v>76.072213233750603</v>
      </c>
      <c r="P27" s="111">
        <v>1038</v>
      </c>
      <c r="Q27" s="111">
        <v>136690.6464</v>
      </c>
      <c r="R27" s="111">
        <v>0.28381502424956401</v>
      </c>
      <c r="S27" s="111">
        <v>0</v>
      </c>
      <c r="T27" s="111">
        <v>12.4887518142235</v>
      </c>
      <c r="U27" s="111">
        <v>0.46022011159478299</v>
      </c>
      <c r="V27" s="111">
        <v>-33872</v>
      </c>
      <c r="W27" s="111">
        <v>0.13561630606216599</v>
      </c>
      <c r="X27" s="111">
        <v>415.368976777939</v>
      </c>
      <c r="Y27" s="111">
        <v>0.77456403046410605</v>
      </c>
      <c r="Z27" s="111">
        <v>0</v>
      </c>
      <c r="AA27" s="111">
        <v>14956795315.413401</v>
      </c>
      <c r="AB27" s="111">
        <v>1311.7081367283399</v>
      </c>
      <c r="AC27" s="111">
        <v>0</v>
      </c>
      <c r="AD27" s="111">
        <v>0</v>
      </c>
      <c r="AE27" s="111">
        <v>38.824383164005802</v>
      </c>
      <c r="AF27" s="111">
        <v>0.27</v>
      </c>
      <c r="AG27" s="111">
        <v>0.12</v>
      </c>
      <c r="AH27" s="111">
        <v>1.46</v>
      </c>
      <c r="AI27" s="111">
        <v>0.27</v>
      </c>
      <c r="AJ27" s="111">
        <v>4.46</v>
      </c>
      <c r="AK27" s="111">
        <v>0.27</v>
      </c>
      <c r="AL27" s="111">
        <v>0.95</v>
      </c>
      <c r="AM27" s="111">
        <v>4.46</v>
      </c>
      <c r="AN27" s="111">
        <v>0.27</v>
      </c>
      <c r="AO27" s="111">
        <v>0.39</v>
      </c>
      <c r="AP27" s="111">
        <v>1.46</v>
      </c>
      <c r="AQ27" s="111">
        <v>9.6999999999999993</v>
      </c>
      <c r="AR27" s="111">
        <v>2847.5007460000002</v>
      </c>
      <c r="AS27" s="111">
        <v>0.53500000000000003</v>
      </c>
      <c r="AT27" s="111">
        <v>63.192399999999999</v>
      </c>
      <c r="AU27" s="111">
        <v>5.5540000000000003</v>
      </c>
      <c r="AV27" s="111">
        <v>7.2</v>
      </c>
      <c r="AW27" s="111">
        <v>14.874059573118</v>
      </c>
      <c r="AX27" s="111">
        <v>220752609.506511</v>
      </c>
      <c r="AY27" s="111">
        <v>7.1733333333333371E-2</v>
      </c>
      <c r="AZ27" s="111">
        <v>5.4106986409817166</v>
      </c>
      <c r="BA27" s="111">
        <v>147647.1393939394</v>
      </c>
      <c r="BB27" s="111">
        <v>-2.3255813953488369</v>
      </c>
      <c r="BC27" s="111">
        <v>0</v>
      </c>
      <c r="BD27" s="438">
        <f>VLOOKUP($A27,'NZ targets'!$G$13:$BG$238,33,FALSE)</f>
        <v>-2.8737748044496959E-2</v>
      </c>
      <c r="BE27" s="439">
        <f>VLOOKUP($A27,'NZ targets'!$G$13:$BG$238,18,FALSE)</f>
        <v>0.70793454545454182</v>
      </c>
      <c r="BF27" s="440">
        <f>VLOOKUP($A27,'NZ targets'!$G$13:$BG$238,25,FALSE)</f>
        <v>0.42090361726755232</v>
      </c>
      <c r="BG27" s="442">
        <f>VLOOKUP($A27,'NZ targets'!$G$13:$BG$238,3,FALSE)</f>
        <v>2</v>
      </c>
    </row>
    <row r="28" spans="1:59" hidden="1" x14ac:dyDescent="0.25">
      <c r="A28" t="s">
        <v>226</v>
      </c>
      <c r="B28" s="438" t="str">
        <f>VLOOKUP($A28,'NZ targets'!$G$13:$BG$238,2,FALSE)</f>
        <v>Hungary</v>
      </c>
      <c r="C28" s="111">
        <v>100</v>
      </c>
      <c r="D28" s="111">
        <v>4.5624652524910401</v>
      </c>
      <c r="E28" s="111">
        <v>9643048</v>
      </c>
      <c r="F28" s="111">
        <v>-0.103074185550213</v>
      </c>
      <c r="G28" s="111">
        <v>0.53434455394744895</v>
      </c>
      <c r="H28" s="111">
        <v>0.63595128059387196</v>
      </c>
      <c r="I28" s="111">
        <v>0.40653768181800798</v>
      </c>
      <c r="J28" s="111">
        <v>0.42367401719093301</v>
      </c>
      <c r="K28" s="111">
        <v>0.42207983136177102</v>
      </c>
      <c r="L28" s="111">
        <v>3211</v>
      </c>
      <c r="M28" s="111">
        <v>10.582690659811499</v>
      </c>
      <c r="N28" s="111">
        <v>110073.3</v>
      </c>
      <c r="O28" s="111">
        <v>15.559362050795</v>
      </c>
      <c r="P28" s="111">
        <v>30342</v>
      </c>
      <c r="Q28" s="111">
        <v>707440.95831599995</v>
      </c>
      <c r="R28" s="111">
        <v>4.5916529070478802</v>
      </c>
      <c r="S28" s="111">
        <v>19.471359831257001</v>
      </c>
      <c r="T28" s="111">
        <v>22.4803495507342</v>
      </c>
      <c r="U28" s="111">
        <v>0.71345011835203798</v>
      </c>
      <c r="V28" s="111">
        <v>9042</v>
      </c>
      <c r="W28" s="111">
        <v>0.66506353482392899</v>
      </c>
      <c r="X28" s="111">
        <v>106.398104317335</v>
      </c>
      <c r="Y28" s="111">
        <v>-0.50998893700926795</v>
      </c>
      <c r="Z28" s="111">
        <v>6.8481045109928E-3</v>
      </c>
      <c r="AA28" s="111">
        <v>140409157545.21899</v>
      </c>
      <c r="AB28" s="111">
        <v>14400.7191628784</v>
      </c>
      <c r="AC28" s="111">
        <v>6.0094594389935301E-2</v>
      </c>
      <c r="AD28" s="111">
        <v>9.5460397672583394E-2</v>
      </c>
      <c r="AE28" s="111">
        <v>43.962305500767002</v>
      </c>
      <c r="AF28" s="111">
        <v>9.98</v>
      </c>
      <c r="AG28" s="111">
        <v>0.78</v>
      </c>
      <c r="AH28" s="111">
        <v>13.58</v>
      </c>
      <c r="AI28" s="111">
        <v>0.04</v>
      </c>
      <c r="AJ28" s="111">
        <v>7.79</v>
      </c>
      <c r="AK28" s="111">
        <v>1.75</v>
      </c>
      <c r="AL28" s="111">
        <v>6.42</v>
      </c>
      <c r="AM28" s="111">
        <v>7.79</v>
      </c>
      <c r="AN28" s="111">
        <v>9.98</v>
      </c>
      <c r="AO28" s="111">
        <v>2.54</v>
      </c>
      <c r="AP28" s="111">
        <v>13.58</v>
      </c>
      <c r="AQ28" s="111">
        <v>15.0336281</v>
      </c>
      <c r="AR28" s="111">
        <v>32789.010629999997</v>
      </c>
      <c r="AS28" s="111">
        <v>0.84599999999999997</v>
      </c>
      <c r="AT28" s="111">
        <v>74.530100000000004</v>
      </c>
      <c r="AU28" s="111">
        <v>12.24958992</v>
      </c>
      <c r="AV28" s="111">
        <v>1.9</v>
      </c>
      <c r="AW28" s="111">
        <v>66.207631175157999</v>
      </c>
      <c r="AX28" s="111">
        <v>3776684037.6232719</v>
      </c>
      <c r="AY28" s="111">
        <v>4.8881339878787913E-2</v>
      </c>
      <c r="AZ28" s="111">
        <v>-0.32396413079066039</v>
      </c>
      <c r="BA28" s="111">
        <v>-23950.230303030301</v>
      </c>
      <c r="BB28" s="111">
        <v>-3.5714285714285721</v>
      </c>
      <c r="BC28" s="111">
        <v>1</v>
      </c>
      <c r="BD28" s="438">
        <f>VLOOKUP($A28,'NZ targets'!$G$13:$BG$238,33,FALSE)</f>
        <v>-4.0418587235716001E-2</v>
      </c>
      <c r="BE28" s="439">
        <f>VLOOKUP($A28,'NZ targets'!$G$13:$BG$238,18,FALSE)</f>
        <v>-7.1122207028328503</v>
      </c>
      <c r="BF28" s="440">
        <f>VLOOKUP($A28,'NZ targets'!$G$13:$BG$238,25,FALSE)</f>
        <v>-8.072733310296158</v>
      </c>
      <c r="BG28" s="442">
        <f>VLOOKUP($A28,'NZ targets'!$G$13:$BG$238,3,FALSE)</f>
        <v>4</v>
      </c>
    </row>
    <row r="29" spans="1:59" x14ac:dyDescent="0.25">
      <c r="A29" t="s">
        <v>232</v>
      </c>
      <c r="B29" s="438" t="str">
        <f>VLOOKUP($A29,'NZ targets'!$G$13:$BG$238,2,FALSE)</f>
        <v>Indonesia</v>
      </c>
      <c r="C29" s="111">
        <v>99.21</v>
      </c>
      <c r="D29" s="111">
        <v>0.12767554324352601</v>
      </c>
      <c r="E29" s="111">
        <v>275501339</v>
      </c>
      <c r="F29" s="111">
        <v>-0.43491065502166698</v>
      </c>
      <c r="G29" s="111">
        <v>0.436999291181564</v>
      </c>
      <c r="H29" s="111">
        <v>-0.43942385911941501</v>
      </c>
      <c r="I29" s="111">
        <v>0.20595996081829099</v>
      </c>
      <c r="J29" s="111">
        <v>-0.18895465135574299</v>
      </c>
      <c r="K29" s="111">
        <v>0.14151874184608501</v>
      </c>
      <c r="L29" s="111">
        <v>24922</v>
      </c>
      <c r="M29" s="111">
        <v>10.6511556345733</v>
      </c>
      <c r="N29" s="111">
        <v>2402254</v>
      </c>
      <c r="O29" s="111">
        <v>36.879348103235898</v>
      </c>
      <c r="P29" s="111">
        <v>233984</v>
      </c>
      <c r="Q29" s="111">
        <v>6513819.0438599996</v>
      </c>
      <c r="R29" s="111">
        <v>2.0716589622147201</v>
      </c>
      <c r="S29" s="111">
        <v>55.776463347921201</v>
      </c>
      <c r="T29" s="111">
        <v>48.361944868120602</v>
      </c>
      <c r="U29" s="111">
        <v>1.22856397956624</v>
      </c>
      <c r="V29" s="111">
        <v>-24999</v>
      </c>
      <c r="W29" s="111">
        <v>0.27807035633349297</v>
      </c>
      <c r="X29" s="111">
        <v>144.64738040148401</v>
      </c>
      <c r="Y29" s="111">
        <v>0.58676021357125296</v>
      </c>
      <c r="Z29" s="111">
        <v>0.72909835291046998</v>
      </c>
      <c r="AA29" s="111">
        <v>1027661515658.5601</v>
      </c>
      <c r="AB29" s="111">
        <v>3757.1216405421801</v>
      </c>
      <c r="AC29" s="111">
        <v>0.48819311250383901</v>
      </c>
      <c r="AD29" s="111">
        <v>0.642365487718348</v>
      </c>
      <c r="AE29" s="111">
        <v>14.007847590357301</v>
      </c>
      <c r="AF29" s="111">
        <v>25.12</v>
      </c>
      <c r="AG29" s="111">
        <v>31.03</v>
      </c>
      <c r="AH29" s="111">
        <v>154.01</v>
      </c>
      <c r="AI29" s="111">
        <v>16.22</v>
      </c>
      <c r="AJ29" s="111">
        <v>200.24</v>
      </c>
      <c r="AK29" s="111">
        <v>6.3</v>
      </c>
      <c r="AL29" s="111">
        <v>6.37</v>
      </c>
      <c r="AM29" s="111">
        <v>200.24</v>
      </c>
      <c r="AN29" s="111">
        <v>25.12</v>
      </c>
      <c r="AO29" s="111">
        <v>37.340000000000003</v>
      </c>
      <c r="AP29" s="111">
        <v>154.01</v>
      </c>
      <c r="AQ29" s="111">
        <v>13.748893860000001</v>
      </c>
      <c r="AR29" s="111">
        <v>11466.068359999999</v>
      </c>
      <c r="AS29" s="111">
        <v>0.70499999999999996</v>
      </c>
      <c r="AT29" s="111">
        <v>67.570300000000003</v>
      </c>
      <c r="AU29" s="111">
        <v>8.5565099720000006</v>
      </c>
      <c r="AV29" s="111">
        <v>4.5999999999999996</v>
      </c>
      <c r="AW29" s="111">
        <v>1240.8326105470001</v>
      </c>
      <c r="AX29" s="111">
        <v>40260873133.651283</v>
      </c>
      <c r="AY29" s="111">
        <v>0.1100453815151516</v>
      </c>
      <c r="AZ29" s="111">
        <v>1.3415926147545461</v>
      </c>
      <c r="BA29" s="111">
        <v>2498720.4727272731</v>
      </c>
      <c r="BB29" s="111">
        <v>-1.8867924528301889</v>
      </c>
      <c r="BC29" s="111">
        <v>0</v>
      </c>
      <c r="BD29" s="438">
        <f>VLOOKUP($A29,'NZ targets'!$G$13:$BG$238,33,FALSE)</f>
        <v>-2.2223980837406006E-2</v>
      </c>
      <c r="BE29" s="439">
        <f>VLOOKUP($A29,'NZ targets'!$G$13:$BG$238,18,FALSE)</f>
        <v>669.97311724138126</v>
      </c>
      <c r="BF29" s="440">
        <f>VLOOKUP($A29,'NZ targets'!$G$13:$BG$238,25,FALSE)</f>
        <v>861.67909612806204</v>
      </c>
      <c r="BG29" s="442">
        <f>VLOOKUP($A29,'NZ targets'!$G$13:$BG$238,3,FALSE)</f>
        <v>2</v>
      </c>
    </row>
    <row r="30" spans="1:59" hidden="1" x14ac:dyDescent="0.25">
      <c r="A30" t="s">
        <v>230</v>
      </c>
      <c r="B30" s="438" t="str">
        <f>VLOOKUP($A30,'NZ targets'!$G$13:$BG$238,2,FALSE)</f>
        <v>India</v>
      </c>
      <c r="C30" s="111">
        <v>99.572525024414105</v>
      </c>
      <c r="D30" s="111">
        <v>0.39975270914940098</v>
      </c>
      <c r="E30" s="111">
        <v>1417173173</v>
      </c>
      <c r="F30" s="111">
        <v>-0.32181087136268599</v>
      </c>
      <c r="G30" s="111">
        <v>0.37033140659332298</v>
      </c>
      <c r="H30" s="111">
        <v>-0.56860816478729204</v>
      </c>
      <c r="I30" s="111">
        <v>-5.0446417182683903E-2</v>
      </c>
      <c r="J30" s="111">
        <v>0.11470004171133</v>
      </c>
      <c r="K30" s="111">
        <v>5.09058088064194E-2</v>
      </c>
      <c r="L30" s="111">
        <v>212195</v>
      </c>
      <c r="M30" s="111">
        <v>15.343050345479799</v>
      </c>
      <c r="N30" s="111">
        <v>8011645</v>
      </c>
      <c r="O30" s="111">
        <v>36.021222565281697</v>
      </c>
      <c r="P30" s="111">
        <v>1383004</v>
      </c>
      <c r="Q30" s="111">
        <v>22241457.755856</v>
      </c>
      <c r="R30" s="111">
        <v>1.57609323191648</v>
      </c>
      <c r="S30" s="111">
        <v>75.309398960523595</v>
      </c>
      <c r="T30" s="111">
        <v>24.3598290052099</v>
      </c>
      <c r="U30" s="111">
        <v>0.49961408065888002</v>
      </c>
      <c r="V30" s="111">
        <v>-34772</v>
      </c>
      <c r="W30" s="111">
        <v>0.199804041519211</v>
      </c>
      <c r="X30" s="111">
        <v>473.41873274160099</v>
      </c>
      <c r="Y30" s="111">
        <v>-0.52015883322693002</v>
      </c>
      <c r="Z30" s="111">
        <v>0.71268082618846396</v>
      </c>
      <c r="AA30" s="111">
        <v>2508593750079.0298</v>
      </c>
      <c r="AB30" s="111">
        <v>1817.81578185277</v>
      </c>
      <c r="AC30" s="111">
        <v>2.9501363742727799E-2</v>
      </c>
      <c r="AD30" s="111">
        <v>0.247046218586742</v>
      </c>
      <c r="AE30" s="111">
        <v>52.256692777790903</v>
      </c>
      <c r="AF30" s="111">
        <v>118.84</v>
      </c>
      <c r="AG30" s="111">
        <v>125.3</v>
      </c>
      <c r="AH30" s="111">
        <v>305.33</v>
      </c>
      <c r="AI30" s="111">
        <v>4.49</v>
      </c>
      <c r="AJ30" s="111">
        <v>718.71</v>
      </c>
      <c r="AK30" s="111">
        <v>23.24</v>
      </c>
      <c r="AL30" s="111">
        <v>2.4700000000000002</v>
      </c>
      <c r="AM30" s="111">
        <v>718.7</v>
      </c>
      <c r="AN30" s="111">
        <v>118.84</v>
      </c>
      <c r="AO30" s="111">
        <v>148.54</v>
      </c>
      <c r="AP30" s="111">
        <v>305.33</v>
      </c>
      <c r="AQ30" s="111">
        <v>11.874620439999999</v>
      </c>
      <c r="AR30" s="111">
        <v>6589.9800370000003</v>
      </c>
      <c r="AS30" s="111">
        <v>0.63300000000000001</v>
      </c>
      <c r="AT30" s="111">
        <v>67.239800000000002</v>
      </c>
      <c r="AU30" s="111">
        <v>6.6551091949999996</v>
      </c>
      <c r="AV30" s="111">
        <v>5.3</v>
      </c>
      <c r="AW30" s="111">
        <v>3943.2645902238</v>
      </c>
      <c r="AX30" s="111">
        <v>123646348003.3351</v>
      </c>
      <c r="AY30" s="111">
        <v>0.12383823633939391</v>
      </c>
      <c r="AZ30" s="111">
        <v>5.0303536625848464</v>
      </c>
      <c r="BA30" s="111">
        <v>14257146.58787879</v>
      </c>
      <c r="BB30" s="111">
        <v>-1.587301587301587</v>
      </c>
      <c r="BC30" s="111">
        <v>0</v>
      </c>
      <c r="BD30" s="438">
        <f>VLOOKUP($A30,'NZ targets'!$G$13:$BG$238,33,FALSE)</f>
        <v>-1.6950088971017331E-2</v>
      </c>
      <c r="BE30" s="439">
        <f>VLOOKUP($A30,'NZ targets'!$G$13:$BG$238,18,FALSE)</f>
        <v>-307.81900000000002</v>
      </c>
      <c r="BF30" s="440">
        <f>VLOOKUP($A30,'NZ targets'!$G$13:$BG$238,25,FALSE)</f>
        <v>-402.89495929999998</v>
      </c>
      <c r="BG30" s="442">
        <f>VLOOKUP($A30,'NZ targets'!$G$13:$BG$238,3,FALSE)</f>
        <v>3</v>
      </c>
    </row>
    <row r="31" spans="1:59" hidden="1" x14ac:dyDescent="0.25">
      <c r="A31" t="s">
        <v>228</v>
      </c>
      <c r="B31" s="438" t="str">
        <f>VLOOKUP($A31,'NZ targets'!$G$13:$BG$238,2,FALSE)</f>
        <v>Iceland</v>
      </c>
      <c r="C31" s="111">
        <v>100</v>
      </c>
      <c r="D31" s="111">
        <v>11.390149502921799</v>
      </c>
      <c r="E31" s="111">
        <v>382003</v>
      </c>
      <c r="F31" s="111">
        <v>1.56752812862396</v>
      </c>
      <c r="G31" s="111">
        <v>1.5632753372192401</v>
      </c>
      <c r="H31" s="111">
        <v>1.2629352807998699</v>
      </c>
      <c r="I31" s="111">
        <v>1.30729651451111</v>
      </c>
      <c r="J31" s="111">
        <v>1.70302581787109</v>
      </c>
      <c r="K31" s="111">
        <v>1.4223897457122801</v>
      </c>
      <c r="L31" s="111">
        <v>18795</v>
      </c>
      <c r="M31" s="111">
        <v>99.978722272461297</v>
      </c>
      <c r="N31" s="111">
        <v>91392.87</v>
      </c>
      <c r="O31" s="111">
        <v>77.029689205552998</v>
      </c>
      <c r="P31" s="111">
        <v>18799</v>
      </c>
      <c r="Q31" s="111">
        <v>118646.29202399999</v>
      </c>
      <c r="R31" s="111">
        <v>3.9474653648526599</v>
      </c>
      <c r="S31" s="111">
        <v>0</v>
      </c>
      <c r="T31" s="111">
        <v>0.51575225627293497</v>
      </c>
      <c r="U31" s="111">
        <v>1.4057750796124</v>
      </c>
      <c r="V31" s="111">
        <v>2573</v>
      </c>
      <c r="W31" s="111">
        <v>1.00599204012411</v>
      </c>
      <c r="X31" s="111">
        <v>3.69453535654071</v>
      </c>
      <c r="Y31" s="111">
        <v>-3.6346156326246999</v>
      </c>
      <c r="Z31" s="111">
        <v>0</v>
      </c>
      <c r="AA31" s="111">
        <v>19491448632.067902</v>
      </c>
      <c r="AB31" s="111">
        <v>53188.039807751098</v>
      </c>
      <c r="AC31" s="111">
        <v>0</v>
      </c>
      <c r="AD31" s="111">
        <v>0</v>
      </c>
      <c r="AE31" s="111">
        <v>1.2000396707329199</v>
      </c>
      <c r="AF31" s="111">
        <v>0.01</v>
      </c>
      <c r="AG31" s="111">
        <v>0</v>
      </c>
      <c r="AH31" s="111">
        <v>1.02</v>
      </c>
      <c r="AI31" s="111">
        <v>0.51</v>
      </c>
      <c r="AJ31" s="111">
        <v>0.65</v>
      </c>
      <c r="AK31" s="111">
        <v>0.3</v>
      </c>
      <c r="AL31" s="111">
        <v>9.51</v>
      </c>
      <c r="AM31" s="111">
        <v>0.65</v>
      </c>
      <c r="AN31" s="111">
        <v>0.01</v>
      </c>
      <c r="AO31" s="111">
        <v>0.31</v>
      </c>
      <c r="AP31" s="111">
        <v>1.02</v>
      </c>
      <c r="AQ31" s="111">
        <v>19.163059230000002</v>
      </c>
      <c r="AR31" s="111">
        <v>55782.049809999997</v>
      </c>
      <c r="AS31" s="111">
        <v>0.95899999999999996</v>
      </c>
      <c r="AT31" s="111">
        <v>82.678200000000004</v>
      </c>
      <c r="AU31" s="111">
        <v>13.76716995</v>
      </c>
      <c r="AV31" s="111">
        <v>1.6</v>
      </c>
      <c r="AW31" s="111">
        <v>4.7682410211726998</v>
      </c>
      <c r="AX31" s="111">
        <v>598197564.09638929</v>
      </c>
      <c r="AY31" s="111">
        <v>0.20907082799999999</v>
      </c>
      <c r="AZ31" s="111">
        <v>5.7685756708700582E-2</v>
      </c>
      <c r="BA31" s="111">
        <v>6684.9818181818191</v>
      </c>
      <c r="BB31" s="111">
        <v>-5.5555555555555554</v>
      </c>
      <c r="BC31" s="111">
        <v>0</v>
      </c>
      <c r="BD31" s="438">
        <f>VLOOKUP($A31,'NZ targets'!$G$13:$BG$238,33,FALSE)</f>
        <v>-9.204318904094333E-2</v>
      </c>
      <c r="BE31" s="439">
        <f>VLOOKUP($A31,'NZ targets'!$G$13:$BG$238,18,FALSE)</f>
        <v>9.4207806043338991</v>
      </c>
      <c r="BF31" s="440">
        <f>VLOOKUP($A31,'NZ targets'!$G$13:$BG$238,25,FALSE)</f>
        <v>9.0864484723451557</v>
      </c>
      <c r="BG31" s="442">
        <f>VLOOKUP($A31,'NZ targets'!$G$13:$BG$238,3,FALSE)</f>
        <v>4</v>
      </c>
    </row>
    <row r="32" spans="1:59" x14ac:dyDescent="0.25">
      <c r="A32" t="s">
        <v>240</v>
      </c>
      <c r="B32" s="438" t="str">
        <f>VLOOKUP($A32,'NZ targets'!$G$13:$BG$238,2,FALSE)</f>
        <v>Israel</v>
      </c>
      <c r="C32" s="111">
        <v>100</v>
      </c>
      <c r="D32" s="111">
        <v>24.946900038640699</v>
      </c>
      <c r="E32" s="111">
        <v>9557500</v>
      </c>
      <c r="F32" s="111">
        <v>0.78103899955749501</v>
      </c>
      <c r="G32" s="111">
        <v>1.2365643978118901</v>
      </c>
      <c r="H32" s="111">
        <v>-1.285315990448</v>
      </c>
      <c r="I32" s="111">
        <v>1.20628762245178</v>
      </c>
      <c r="J32" s="111">
        <v>0.94524872303009</v>
      </c>
      <c r="K32" s="111">
        <v>0.67433553934097301</v>
      </c>
      <c r="L32" s="111">
        <v>1214</v>
      </c>
      <c r="M32" s="111">
        <v>1.8902002304362699</v>
      </c>
      <c r="N32" s="111">
        <v>18987.48</v>
      </c>
      <c r="O32" s="111">
        <v>3.7077669125467199</v>
      </c>
      <c r="P32" s="111">
        <v>64226</v>
      </c>
      <c r="Q32" s="111">
        <v>512100.15213599999</v>
      </c>
      <c r="R32" s="111">
        <v>6.34521600416707</v>
      </c>
      <c r="S32" s="111">
        <v>45.403730576402097</v>
      </c>
      <c r="T32" s="111">
        <v>6.4695009242144197</v>
      </c>
      <c r="U32" s="111">
        <v>1.0636317717659101</v>
      </c>
      <c r="V32" s="111">
        <v>16569</v>
      </c>
      <c r="W32" s="111">
        <v>0.29197010298314702</v>
      </c>
      <c r="X32" s="111">
        <v>433.05914972273598</v>
      </c>
      <c r="Y32" s="111">
        <v>-0.50465278764546895</v>
      </c>
      <c r="Z32" s="111">
        <v>0</v>
      </c>
      <c r="AA32" s="111">
        <v>345459861240.94202</v>
      </c>
      <c r="AB32" s="111">
        <v>37488.454953385401</v>
      </c>
      <c r="AC32" s="111">
        <v>8.5174623124177298E-2</v>
      </c>
      <c r="AD32" s="111">
        <v>2.0512221816704299E-2</v>
      </c>
      <c r="AE32" s="111">
        <v>17.560073937153401</v>
      </c>
      <c r="AF32" s="111">
        <v>0.67</v>
      </c>
      <c r="AG32" s="111">
        <v>2.2599999999999998</v>
      </c>
      <c r="AH32" s="111">
        <v>18.04</v>
      </c>
      <c r="AI32" s="111">
        <v>-3.54</v>
      </c>
      <c r="AJ32" s="111">
        <v>1.6</v>
      </c>
      <c r="AK32" s="111">
        <v>12.38</v>
      </c>
      <c r="AL32" s="111">
        <v>9.9</v>
      </c>
      <c r="AM32" s="111">
        <v>1.6</v>
      </c>
      <c r="AN32" s="111">
        <v>0.67</v>
      </c>
      <c r="AO32" s="111">
        <v>14.64</v>
      </c>
      <c r="AP32" s="111">
        <v>18.04</v>
      </c>
      <c r="AQ32" s="111">
        <v>16.05088997</v>
      </c>
      <c r="AR32" s="111">
        <v>41523.743190000001</v>
      </c>
      <c r="AS32" s="111">
        <v>0.91900000000000004</v>
      </c>
      <c r="AT32" s="111">
        <v>82.254999999999995</v>
      </c>
      <c r="AU32" s="111">
        <v>13.344866400000001</v>
      </c>
      <c r="AV32" s="111">
        <v>1.8</v>
      </c>
      <c r="AW32" s="111">
        <v>87.753749118586001</v>
      </c>
      <c r="AX32" s="111">
        <v>10614365674.323999</v>
      </c>
      <c r="AY32" s="111">
        <v>7.751162454545471E-2</v>
      </c>
      <c r="AZ32" s="111">
        <v>7.5909370974065986</v>
      </c>
      <c r="BA32" s="111">
        <v>166305.45454545459</v>
      </c>
      <c r="BB32" s="111">
        <v>-2.3255813953488369</v>
      </c>
      <c r="BC32" s="111">
        <v>1</v>
      </c>
      <c r="BD32" s="438">
        <f>VLOOKUP($A32,'NZ targets'!$G$13:$BG$238,33,FALSE)</f>
        <v>-2.8483122250311549E-2</v>
      </c>
      <c r="BE32" s="439">
        <f>VLOOKUP($A32,'NZ targets'!$G$13:$BG$238,18,FALSE)</f>
        <v>-0.26016000000000006</v>
      </c>
      <c r="BF32" s="440">
        <f>VLOOKUP($A32,'NZ targets'!$G$13:$BG$238,25,FALSE)</f>
        <v>-0.32785456452948442</v>
      </c>
      <c r="BG32" s="442">
        <f>VLOOKUP($A32,'NZ targets'!$G$13:$BG$238,3,FALSE)</f>
        <v>2</v>
      </c>
    </row>
    <row r="33" spans="1:59" hidden="1" x14ac:dyDescent="0.25">
      <c r="A33" t="s">
        <v>246</v>
      </c>
      <c r="B33" s="438" t="str">
        <f>VLOOKUP($A33,'NZ targets'!$G$13:$BG$238,2,FALSE)</f>
        <v>Japan</v>
      </c>
      <c r="C33" s="111">
        <v>100</v>
      </c>
      <c r="D33" s="111">
        <v>1.61477505702794</v>
      </c>
      <c r="E33" s="111">
        <v>125124989</v>
      </c>
      <c r="F33" s="111">
        <v>1.53997182846069</v>
      </c>
      <c r="G33" s="111">
        <v>1.6197468042373699</v>
      </c>
      <c r="H33" s="111">
        <v>1.0739109516143801</v>
      </c>
      <c r="I33" s="111">
        <v>1.4387725591659499</v>
      </c>
      <c r="J33" s="111">
        <v>1.5582402944564799</v>
      </c>
      <c r="K33" s="111">
        <v>1.01706731319427</v>
      </c>
      <c r="L33" s="111">
        <v>165485</v>
      </c>
      <c r="M33" s="111">
        <v>15.984780723021901</v>
      </c>
      <c r="N33" s="111">
        <v>664986.9</v>
      </c>
      <c r="O33" s="111">
        <v>6.2973570805928896</v>
      </c>
      <c r="P33" s="111">
        <v>1035266</v>
      </c>
      <c r="Q33" s="111">
        <v>10559777.562072</v>
      </c>
      <c r="R33" s="111">
        <v>8.0314958696668004</v>
      </c>
      <c r="S33" s="111">
        <v>33.1527356254335</v>
      </c>
      <c r="T33" s="111">
        <v>68.408779149519901</v>
      </c>
      <c r="U33" s="111">
        <v>0.20420646383285401</v>
      </c>
      <c r="V33" s="111">
        <v>87584</v>
      </c>
      <c r="W33" s="111">
        <v>0.14650925725283301</v>
      </c>
      <c r="X33" s="111">
        <v>344.80546776405998</v>
      </c>
      <c r="Y33" s="111">
        <v>-2.1941932516739399E-2</v>
      </c>
      <c r="Z33" s="111">
        <v>1.9168613911980001E-4</v>
      </c>
      <c r="AA33" s="111">
        <v>4363130661935.3599</v>
      </c>
      <c r="AB33" s="111">
        <v>34556.4399294744</v>
      </c>
      <c r="AC33" s="111">
        <v>3.2687680023751001E-3</v>
      </c>
      <c r="AD33" s="111">
        <v>8.2540984348359995E-4</v>
      </c>
      <c r="AE33" s="111">
        <v>11.2592592592593</v>
      </c>
      <c r="AF33" s="111">
        <v>106.11</v>
      </c>
      <c r="AG33" s="111">
        <v>25.43</v>
      </c>
      <c r="AH33" s="111">
        <v>204.56</v>
      </c>
      <c r="AI33" s="111">
        <v>-4.04</v>
      </c>
      <c r="AJ33" s="111">
        <v>21.56</v>
      </c>
      <c r="AK33" s="111">
        <v>42.54</v>
      </c>
      <c r="AL33" s="111">
        <v>9.1300000000000008</v>
      </c>
      <c r="AM33" s="111">
        <v>21.56</v>
      </c>
      <c r="AN33" s="111">
        <v>106.11</v>
      </c>
      <c r="AO33" s="111">
        <v>67.97</v>
      </c>
      <c r="AP33" s="111">
        <v>204.56</v>
      </c>
      <c r="AQ33" s="111">
        <v>15.221625879999999</v>
      </c>
      <c r="AR33" s="111">
        <v>42274.291340000003</v>
      </c>
      <c r="AS33" s="111">
        <v>0.92500000000000004</v>
      </c>
      <c r="AT33" s="111">
        <v>84.783900000000003</v>
      </c>
      <c r="AU33" s="111">
        <v>13.366100339999999</v>
      </c>
      <c r="AV33" s="111">
        <v>2.2999999999999998</v>
      </c>
      <c r="AW33" s="111">
        <v>1182.7698935946</v>
      </c>
      <c r="AX33" s="111">
        <v>30137458973.125999</v>
      </c>
      <c r="AY33" s="111">
        <v>4.4310843757575623E-2</v>
      </c>
      <c r="AZ33" s="111">
        <v>-0.50087148023444572</v>
      </c>
      <c r="BA33" s="111">
        <v>-229884.53333333341</v>
      </c>
      <c r="BB33" s="111">
        <v>-3.5714285714285721</v>
      </c>
      <c r="BC33" s="111">
        <v>1</v>
      </c>
      <c r="BD33" s="438">
        <f>VLOOKUP($A33,'NZ targets'!$G$13:$BG$238,33,FALSE)</f>
        <v>-4.7746371008133927E-2</v>
      </c>
      <c r="BE33" s="439">
        <f>VLOOKUP($A33,'NZ targets'!$G$13:$BG$238,18,FALSE)</f>
        <v>-39.799999999999997</v>
      </c>
      <c r="BF33" s="440">
        <f>VLOOKUP($A33,'NZ targets'!$G$13:$BG$238,25,FALSE)</f>
        <v>-34.000036735332799</v>
      </c>
      <c r="BG33" s="442">
        <f>VLOOKUP($A33,'NZ targets'!$G$13:$BG$238,3,FALSE)</f>
        <v>4</v>
      </c>
    </row>
    <row r="34" spans="1:59" hidden="1" x14ac:dyDescent="0.25">
      <c r="A34" t="s">
        <v>250</v>
      </c>
      <c r="B34" s="438" t="str">
        <f>VLOOKUP($A34,'NZ targets'!$G$13:$BG$238,2,FALSE)</f>
        <v>Kazakhstan</v>
      </c>
      <c r="C34" s="111">
        <v>100</v>
      </c>
      <c r="D34" s="111">
        <v>20.123305085563199</v>
      </c>
      <c r="E34" s="111">
        <v>19621972</v>
      </c>
      <c r="F34" s="111">
        <v>-0.18530115485191301</v>
      </c>
      <c r="G34" s="111">
        <v>0.143430486321449</v>
      </c>
      <c r="H34" s="111">
        <v>-0.35683342814445501</v>
      </c>
      <c r="I34" s="111">
        <v>-1.1234054341912301E-2</v>
      </c>
      <c r="J34" s="111">
        <v>-0.47439333796501199</v>
      </c>
      <c r="K34" s="111">
        <v>-1.06673884391785</v>
      </c>
      <c r="L34" s="111">
        <v>9448</v>
      </c>
      <c r="M34" s="111">
        <v>8.8740278769207706</v>
      </c>
      <c r="N34" s="111">
        <v>24725.24</v>
      </c>
      <c r="O34" s="111">
        <v>1.5584429122582699</v>
      </c>
      <c r="P34" s="111">
        <v>106468</v>
      </c>
      <c r="Q34" s="111">
        <v>1586534.8551119999</v>
      </c>
      <c r="R34" s="111">
        <v>11.2977433059429</v>
      </c>
      <c r="S34" s="111">
        <v>71.568922117443705</v>
      </c>
      <c r="T34" s="111">
        <v>1.2904838315368401</v>
      </c>
      <c r="U34" s="111">
        <v>3.71884695856708</v>
      </c>
      <c r="V34" s="111">
        <v>-12432</v>
      </c>
      <c r="W34" s="111">
        <v>0.618344571715022</v>
      </c>
      <c r="X34" s="111">
        <v>7.0381849835166896</v>
      </c>
      <c r="Y34" s="111">
        <v>0.111816999200684</v>
      </c>
      <c r="Z34" s="111">
        <v>0.57577799239751104</v>
      </c>
      <c r="AA34" s="111">
        <v>205829297737.43201</v>
      </c>
      <c r="AB34" s="111">
        <v>10974.2462750953</v>
      </c>
      <c r="AC34" s="111">
        <v>0.98511068994052098</v>
      </c>
      <c r="AD34" s="111">
        <v>9.3382351073020704</v>
      </c>
      <c r="AE34" s="111">
        <v>10.9468459458458</v>
      </c>
      <c r="AF34" s="111">
        <v>36.840000000000003</v>
      </c>
      <c r="AG34" s="111">
        <v>3.55</v>
      </c>
      <c r="AH34" s="111">
        <v>17.41</v>
      </c>
      <c r="AI34" s="111">
        <v>-3.34</v>
      </c>
      <c r="AJ34" s="111">
        <v>25.44</v>
      </c>
      <c r="AK34" s="111">
        <v>1.56</v>
      </c>
      <c r="AL34" s="111">
        <v>14.84</v>
      </c>
      <c r="AM34" s="111">
        <v>25.44</v>
      </c>
      <c r="AN34" s="111">
        <v>36.840000000000003</v>
      </c>
      <c r="AO34" s="111">
        <v>5.1100000000000003</v>
      </c>
      <c r="AP34" s="111">
        <v>17.41</v>
      </c>
      <c r="AQ34" s="111">
        <v>15.76500034</v>
      </c>
      <c r="AR34" s="111">
        <v>23942.818370000001</v>
      </c>
      <c r="AS34" s="111">
        <v>0.81100000000000005</v>
      </c>
      <c r="AT34" s="111">
        <v>69.362200000000001</v>
      </c>
      <c r="AU34" s="111">
        <v>12.34756189</v>
      </c>
      <c r="AV34" s="111">
        <v>3.2</v>
      </c>
      <c r="AW34" s="111">
        <v>331.53015220879001</v>
      </c>
      <c r="AX34" s="111">
        <v>5649931714.0012655</v>
      </c>
      <c r="AY34" s="111">
        <v>0.1133961911515152</v>
      </c>
      <c r="AZ34" s="111">
        <v>9.0902324725194286E-2</v>
      </c>
      <c r="BA34" s="111">
        <v>265021.45454545447</v>
      </c>
      <c r="BB34" s="111">
        <v>-2.6315789473684208</v>
      </c>
      <c r="BC34" s="111">
        <v>0</v>
      </c>
      <c r="BD34" s="438">
        <f>VLOOKUP($A34,'NZ targets'!$G$13:$BG$238,33,FALSE)</f>
        <v>-3.3341264958739673E-2</v>
      </c>
      <c r="BE34" s="439">
        <f>VLOOKUP($A34,'NZ targets'!$G$13:$BG$238,18,FALSE)</f>
        <v>8.1271580000000068</v>
      </c>
      <c r="BF34" s="440">
        <f>VLOOKUP($A34,'NZ targets'!$G$13:$BG$238,25,FALSE)</f>
        <v>5.4280541483505154</v>
      </c>
      <c r="BG34" s="442">
        <f>VLOOKUP($A34,'NZ targets'!$G$13:$BG$238,3,FALSE)</f>
        <v>3</v>
      </c>
    </row>
    <row r="35" spans="1:59" x14ac:dyDescent="0.25">
      <c r="A35" t="s">
        <v>262</v>
      </c>
      <c r="B35" s="438" t="str">
        <f>VLOOKUP($A35,'NZ targets'!$G$13:$BG$238,2,FALSE)</f>
        <v>Kyrgyzstan</v>
      </c>
      <c r="C35" s="111">
        <v>99.673728942871094</v>
      </c>
      <c r="D35" s="111">
        <v>3.44079642260338</v>
      </c>
      <c r="E35" s="111">
        <v>6974900</v>
      </c>
      <c r="F35" s="111">
        <v>-1.2300286293029801</v>
      </c>
      <c r="G35" s="111">
        <v>-0.88900065422058105</v>
      </c>
      <c r="H35" s="111">
        <v>-0.54657906293868996</v>
      </c>
      <c r="I35" s="111">
        <v>-0.63258820772170998</v>
      </c>
      <c r="J35" s="111">
        <v>-1.1478084325790401</v>
      </c>
      <c r="K35" s="111">
        <v>-0.72317677736282304</v>
      </c>
      <c r="L35" s="111">
        <v>11100</v>
      </c>
      <c r="M35" s="111">
        <v>85.188027628549506</v>
      </c>
      <c r="N35" s="111">
        <v>32594.68</v>
      </c>
      <c r="O35" s="111">
        <v>23.3068222046976</v>
      </c>
      <c r="P35" s="111">
        <v>13030</v>
      </c>
      <c r="Q35" s="111">
        <v>139850.382492</v>
      </c>
      <c r="R35" s="111">
        <v>1.37997537956504</v>
      </c>
      <c r="S35" s="111">
        <v>13.2156561780507</v>
      </c>
      <c r="T35" s="111">
        <v>6.9531803962460899</v>
      </c>
      <c r="U35" s="111">
        <v>0.73937243742306102</v>
      </c>
      <c r="V35" s="111">
        <v>-14307</v>
      </c>
      <c r="W35" s="111">
        <v>0.30641810741804598</v>
      </c>
      <c r="X35" s="111">
        <v>35.314911366006299</v>
      </c>
      <c r="Y35" s="111">
        <v>1.96826522900857</v>
      </c>
      <c r="Z35" s="111">
        <v>0.14912025796696601</v>
      </c>
      <c r="AA35" s="111">
        <v>7255421236.2524996</v>
      </c>
      <c r="AB35" s="111">
        <v>1102.6643621107501</v>
      </c>
      <c r="AC35" s="111">
        <v>1.8462320097767E-3</v>
      </c>
      <c r="AD35" s="111">
        <v>8.8983359910343299E-2</v>
      </c>
      <c r="AE35" s="111">
        <v>6.7122002085505699</v>
      </c>
      <c r="AF35" s="111">
        <v>6.11</v>
      </c>
      <c r="AG35" s="111">
        <v>0.5</v>
      </c>
      <c r="AH35" s="111">
        <v>1.52</v>
      </c>
      <c r="AI35" s="111">
        <v>14.54</v>
      </c>
      <c r="AJ35" s="111">
        <v>5.43</v>
      </c>
      <c r="AK35" s="111">
        <v>0.15</v>
      </c>
      <c r="AL35" s="111">
        <v>2.35</v>
      </c>
      <c r="AM35" s="111">
        <v>5.43</v>
      </c>
      <c r="AN35" s="111">
        <v>6.11</v>
      </c>
      <c r="AO35" s="111">
        <v>0.65</v>
      </c>
      <c r="AP35" s="111">
        <v>1.52</v>
      </c>
      <c r="AQ35" s="111">
        <v>13.195300100000001</v>
      </c>
      <c r="AR35" s="111">
        <v>4566.3038310000002</v>
      </c>
      <c r="AS35" s="111">
        <v>0.69199999999999995</v>
      </c>
      <c r="AT35" s="111">
        <v>69.977400000000003</v>
      </c>
      <c r="AU35" s="111">
        <v>11.37410556</v>
      </c>
      <c r="AV35" s="111">
        <v>3.1</v>
      </c>
      <c r="AW35" s="111">
        <v>21.939593497169</v>
      </c>
      <c r="AX35" s="111">
        <v>250920388.93846601</v>
      </c>
      <c r="AY35" s="111">
        <v>2.1167749454545481E-2</v>
      </c>
      <c r="AZ35" s="111">
        <v>0.65844471829873652</v>
      </c>
      <c r="BA35" s="111">
        <v>134743.63636363641</v>
      </c>
      <c r="BB35" s="111">
        <v>-2.3255813953488369</v>
      </c>
      <c r="BC35" s="111">
        <v>1</v>
      </c>
      <c r="BD35" s="438" t="str">
        <f>VLOOKUP($A35,'NZ targets'!$G$13:$BG$238,33,FALSE)</f>
        <v/>
      </c>
      <c r="BE35" s="439">
        <f>VLOOKUP($A35,'NZ targets'!$G$13:$BG$238,18,FALSE)</f>
        <v>-10.391905742857144</v>
      </c>
      <c r="BF35" s="440">
        <f>VLOOKUP($A35,'NZ targets'!$G$13:$BG$238,25,FALSE)</f>
        <v>-13.843153130507805</v>
      </c>
      <c r="BG35" s="442">
        <f>VLOOKUP($A35,'NZ targets'!$G$13:$BG$238,3,FALSE)</f>
        <v>1</v>
      </c>
    </row>
    <row r="36" spans="1:59" hidden="1" x14ac:dyDescent="0.25">
      <c r="A36" t="s">
        <v>116</v>
      </c>
      <c r="B36" s="438" t="str">
        <f>VLOOKUP($A36,'NZ targets'!$G$13:$BG$238,2,FALSE)</f>
        <v>Cambodia</v>
      </c>
      <c r="C36" s="111">
        <v>82.501716613769503</v>
      </c>
      <c r="D36" s="111">
        <v>0.47479445077927401</v>
      </c>
      <c r="E36" s="111">
        <v>16767842</v>
      </c>
      <c r="F36" s="111">
        <v>-1.24149858951569</v>
      </c>
      <c r="G36" s="111">
        <v>-0.351662397384644</v>
      </c>
      <c r="H36" s="111">
        <v>-3.6172445863485302E-2</v>
      </c>
      <c r="I36" s="111">
        <v>-0.70980101823806796</v>
      </c>
      <c r="J36" s="111">
        <v>-0.86658465862274203</v>
      </c>
      <c r="K36" s="111">
        <v>-1.3091670274734499</v>
      </c>
      <c r="L36" s="111">
        <v>2041</v>
      </c>
      <c r="M36" s="111">
        <v>46.4180122811008</v>
      </c>
      <c r="N36" s="111">
        <v>159807</v>
      </c>
      <c r="O36" s="111">
        <v>64.923775910660694</v>
      </c>
      <c r="P36" s="111">
        <v>4397</v>
      </c>
      <c r="Q36" s="111">
        <v>246145.572648</v>
      </c>
      <c r="R36" s="111">
        <v>1.1375836593103801</v>
      </c>
      <c r="S36" s="111">
        <v>48.396634068683198</v>
      </c>
      <c r="T36" s="111">
        <v>44.825968728756003</v>
      </c>
      <c r="U36" s="111">
        <v>1.08779519615341</v>
      </c>
      <c r="V36" s="111">
        <v>-22308</v>
      </c>
      <c r="W36" s="111">
        <v>0.29179932340704301</v>
      </c>
      <c r="X36" s="111">
        <v>93.978149784726895</v>
      </c>
      <c r="Y36" s="111">
        <v>1.3217461843932601</v>
      </c>
      <c r="Z36" s="111">
        <v>0</v>
      </c>
      <c r="AA36" s="111">
        <v>23024448758.505699</v>
      </c>
      <c r="AB36" s="111">
        <v>1377.1450861722101</v>
      </c>
      <c r="AC36" s="111">
        <v>0</v>
      </c>
      <c r="AD36" s="111">
        <v>0.157827482777123</v>
      </c>
      <c r="AE36" s="111">
        <v>21.9578518014956</v>
      </c>
      <c r="AF36" s="111">
        <v>0.61</v>
      </c>
      <c r="AG36" s="111">
        <v>0.61</v>
      </c>
      <c r="AH36" s="111">
        <v>5.77</v>
      </c>
      <c r="AI36" s="111">
        <v>-2.34</v>
      </c>
      <c r="AJ36" s="111">
        <v>21.3</v>
      </c>
      <c r="AK36" s="111">
        <v>0.84</v>
      </c>
      <c r="AL36" s="111">
        <v>4.26</v>
      </c>
      <c r="AM36" s="111">
        <v>21.31</v>
      </c>
      <c r="AN36" s="111">
        <v>0.61</v>
      </c>
      <c r="AO36" s="111">
        <v>1.45</v>
      </c>
      <c r="AP36" s="111">
        <v>5.77</v>
      </c>
      <c r="AQ36" s="111">
        <v>11.46772</v>
      </c>
      <c r="AR36" s="111">
        <v>4078.697154</v>
      </c>
      <c r="AS36" s="111">
        <v>0.59299999999999997</v>
      </c>
      <c r="AT36" s="111">
        <v>69.583500000000001</v>
      </c>
      <c r="AU36" s="111">
        <v>5.0880000000000001</v>
      </c>
      <c r="AV36" s="111">
        <v>4.3</v>
      </c>
      <c r="AW36" s="111">
        <v>50.016265267138003</v>
      </c>
      <c r="AX36" s="111">
        <v>1167400121.5382309</v>
      </c>
      <c r="AY36" s="111">
        <v>9.7381818181818167E-2</v>
      </c>
      <c r="AZ36" s="111">
        <v>1.133551044091488</v>
      </c>
      <c r="BA36" s="111">
        <v>196373.29090909089</v>
      </c>
      <c r="BB36" s="111">
        <v>-3.5714285714285721</v>
      </c>
      <c r="BC36" s="111">
        <v>0</v>
      </c>
      <c r="BD36" s="438">
        <f>VLOOKUP($A36,'NZ targets'!$G$13:$BG$238,33,FALSE)</f>
        <v>-5.0083462525599177E-2</v>
      </c>
      <c r="BE36" s="439">
        <f>VLOOKUP($A36,'NZ targets'!$G$13:$BG$238,18,FALSE)</f>
        <v>14.965472943722943</v>
      </c>
      <c r="BF36" s="440">
        <f>VLOOKUP($A36,'NZ targets'!$G$13:$BG$238,25,FALSE)</f>
        <v>5.4908092785881166</v>
      </c>
      <c r="BG36" s="442">
        <f>VLOOKUP($A36,'NZ targets'!$G$13:$BG$238,3,FALSE)</f>
        <v>3</v>
      </c>
    </row>
    <row r="37" spans="1:59" hidden="1" x14ac:dyDescent="0.25">
      <c r="A37" t="s">
        <v>258</v>
      </c>
      <c r="B37" s="438" t="str">
        <f>VLOOKUP($A37,'NZ targets'!$G$13:$BG$238,2,FALSE)</f>
        <v>South Korea</v>
      </c>
      <c r="C37" s="111">
        <v>100</v>
      </c>
      <c r="D37" s="111">
        <v>2.6391593543642902</v>
      </c>
      <c r="E37" s="111">
        <v>51628117</v>
      </c>
      <c r="F37" s="111">
        <v>0.74846160411834695</v>
      </c>
      <c r="G37" s="111">
        <v>1.3495734930038501</v>
      </c>
      <c r="H37" s="111">
        <v>0.56241101026535001</v>
      </c>
      <c r="I37" s="111">
        <v>1.1452225446701001</v>
      </c>
      <c r="J37" s="111">
        <v>1.1597031354904199</v>
      </c>
      <c r="K37" s="111">
        <v>0.87220239639282204</v>
      </c>
      <c r="L37" s="111">
        <v>10406</v>
      </c>
      <c r="M37" s="111">
        <v>1.8946663122284799</v>
      </c>
      <c r="N37" s="111">
        <v>143837.9</v>
      </c>
      <c r="O37" s="111">
        <v>2.70770280422964</v>
      </c>
      <c r="P37" s="111">
        <v>549226</v>
      </c>
      <c r="Q37" s="111">
        <v>5312174.5774800004</v>
      </c>
      <c r="R37" s="111">
        <v>10.9900295814285</v>
      </c>
      <c r="S37" s="111">
        <v>43.076256404467401</v>
      </c>
      <c r="T37" s="111">
        <v>64.313524590163894</v>
      </c>
      <c r="U37" s="111">
        <v>0.42422310326179302</v>
      </c>
      <c r="V37" s="111">
        <v>0</v>
      </c>
      <c r="W37" s="111">
        <v>0.19478254662727401</v>
      </c>
      <c r="X37" s="111">
        <v>530.17290983606597</v>
      </c>
      <c r="Y37" s="111">
        <v>0.11112317137137501</v>
      </c>
      <c r="Z37" s="111">
        <v>7.2051108616310005E-4</v>
      </c>
      <c r="AA37" s="111">
        <v>1623895080923.74</v>
      </c>
      <c r="AB37" s="111">
        <v>31327.409400279699</v>
      </c>
      <c r="AC37" s="111">
        <v>2.4571388528846E-3</v>
      </c>
      <c r="AD37" s="111">
        <v>2.266423561156E-4</v>
      </c>
      <c r="AE37" s="111">
        <v>13.8524590163934</v>
      </c>
      <c r="AF37" s="111">
        <v>51.09</v>
      </c>
      <c r="AG37" s="111">
        <v>25.09</v>
      </c>
      <c r="AH37" s="111">
        <v>101.66</v>
      </c>
      <c r="AI37" s="111">
        <v>1.28</v>
      </c>
      <c r="AJ37" s="111">
        <v>14.17</v>
      </c>
      <c r="AK37" s="111">
        <v>52.76</v>
      </c>
      <c r="AL37" s="111">
        <v>13.04</v>
      </c>
      <c r="AM37" s="111">
        <v>14.18</v>
      </c>
      <c r="AN37" s="111">
        <v>51.09</v>
      </c>
      <c r="AO37" s="111">
        <v>77.849999999999994</v>
      </c>
      <c r="AP37" s="111">
        <v>101.66</v>
      </c>
      <c r="AQ37" s="111">
        <v>16.521739960000001</v>
      </c>
      <c r="AR37" s="111">
        <v>44500.93187</v>
      </c>
      <c r="AS37" s="111">
        <v>0.92500000000000004</v>
      </c>
      <c r="AT37" s="111">
        <v>83.697800000000001</v>
      </c>
      <c r="AU37" s="111">
        <v>12.51293027</v>
      </c>
      <c r="AV37" s="111">
        <v>1.9</v>
      </c>
      <c r="AW37" s="111">
        <v>725.74363514493996</v>
      </c>
      <c r="AX37" s="111">
        <v>39243543972.35466</v>
      </c>
      <c r="AY37" s="111">
        <v>8.3120004909091022E-2</v>
      </c>
      <c r="AZ37" s="111">
        <v>1.7483157350033589</v>
      </c>
      <c r="BA37" s="111">
        <v>143946.66060606061</v>
      </c>
      <c r="BB37" s="111">
        <v>-3.5714285714285721</v>
      </c>
      <c r="BC37" s="111">
        <v>1</v>
      </c>
      <c r="BD37" s="438">
        <f>VLOOKUP($A37,'NZ targets'!$G$13:$BG$238,33,FALSE)</f>
        <v>-4.7102948407163267E-2</v>
      </c>
      <c r="BE37" s="439">
        <f>VLOOKUP($A37,'NZ targets'!$G$13:$BG$238,18,FALSE)</f>
        <v>-26.7</v>
      </c>
      <c r="BF37" s="440">
        <f>VLOOKUP($A37,'NZ targets'!$G$13:$BG$238,25,FALSE)</f>
        <v>-43.404440270000002</v>
      </c>
      <c r="BG37" s="442">
        <f>VLOOKUP($A37,'NZ targets'!$G$13:$BG$238,3,FALSE)</f>
        <v>4</v>
      </c>
    </row>
    <row r="38" spans="1:59" hidden="1" x14ac:dyDescent="0.25">
      <c r="A38" t="s">
        <v>414</v>
      </c>
      <c r="B38" s="438" t="str">
        <f>VLOOKUP($A38,'NZ targets'!$G$13:$BG$238,2,FALSE)</f>
        <v>Sri Lanka</v>
      </c>
      <c r="C38" s="111">
        <v>100</v>
      </c>
      <c r="D38" s="111">
        <v>0.18685001841659701</v>
      </c>
      <c r="E38" s="111">
        <v>22181000</v>
      </c>
      <c r="F38" s="111">
        <v>-0.38328722119331399</v>
      </c>
      <c r="G38" s="111">
        <v>-0.39120447635650601</v>
      </c>
      <c r="H38" s="111">
        <v>-0.78556984663009599</v>
      </c>
      <c r="I38" s="111">
        <v>-0.65364283323287997</v>
      </c>
      <c r="J38" s="111">
        <v>-5.69253154098988E-2</v>
      </c>
      <c r="K38" s="111">
        <v>-0.191544353961945</v>
      </c>
      <c r="L38" s="111">
        <v>6390</v>
      </c>
      <c r="M38" s="111">
        <v>48.475193445607601</v>
      </c>
      <c r="N38" s="111">
        <v>219348</v>
      </c>
      <c r="O38" s="111">
        <v>52.875892036898399</v>
      </c>
      <c r="P38" s="111">
        <v>13182</v>
      </c>
      <c r="Q38" s="111">
        <v>414835.55463600002</v>
      </c>
      <c r="R38" s="111">
        <v>0.99668324284867005</v>
      </c>
      <c r="S38" s="111">
        <v>33.705052344105603</v>
      </c>
      <c r="T38" s="111">
        <v>34.107015842224399</v>
      </c>
      <c r="U38" s="111">
        <v>0.38221046461973601</v>
      </c>
      <c r="V38" s="111">
        <v>-92400</v>
      </c>
      <c r="W38" s="111">
        <v>0.144039201879648</v>
      </c>
      <c r="X38" s="111">
        <v>358.16359521500198</v>
      </c>
      <c r="Y38" s="111">
        <v>0.38104392356267203</v>
      </c>
      <c r="Z38" s="111">
        <v>0</v>
      </c>
      <c r="AA38" s="111">
        <v>88853624203.293793</v>
      </c>
      <c r="AB38" s="111">
        <v>4053.7261829140798</v>
      </c>
      <c r="AC38" s="111">
        <v>0</v>
      </c>
      <c r="AD38" s="111">
        <v>0</v>
      </c>
      <c r="AE38" s="111">
        <v>22.1791141286777</v>
      </c>
      <c r="AF38" s="111">
        <v>1.03</v>
      </c>
      <c r="AG38" s="111">
        <v>1.03</v>
      </c>
      <c r="AH38" s="111">
        <v>9.9499999999999993</v>
      </c>
      <c r="AI38" s="111">
        <v>-1.8</v>
      </c>
      <c r="AJ38" s="111">
        <v>5.82</v>
      </c>
      <c r="AK38" s="111">
        <v>1.34</v>
      </c>
      <c r="AL38" s="111">
        <v>1.71</v>
      </c>
      <c r="AM38" s="111">
        <v>5.82</v>
      </c>
      <c r="AN38" s="111">
        <v>1.03</v>
      </c>
      <c r="AO38" s="111">
        <v>2.37</v>
      </c>
      <c r="AP38" s="111">
        <v>9.9499999999999993</v>
      </c>
      <c r="AQ38" s="111">
        <v>14.13990486</v>
      </c>
      <c r="AR38" s="111">
        <v>12578.22055</v>
      </c>
      <c r="AS38" s="111">
        <v>0.78200000000000003</v>
      </c>
      <c r="AT38" s="111">
        <v>76.399100000000004</v>
      </c>
      <c r="AU38" s="111">
        <v>10.82730007</v>
      </c>
      <c r="AV38" s="111">
        <v>3.1</v>
      </c>
      <c r="AW38" s="111">
        <v>38.804484801450002</v>
      </c>
      <c r="AX38" s="111">
        <v>2948195497.2721791</v>
      </c>
      <c r="AY38" s="111">
        <v>5.6427273090909093E-2</v>
      </c>
      <c r="AZ38" s="111">
        <v>2.5168925133564111</v>
      </c>
      <c r="BA38" s="111">
        <v>121613.4363636364</v>
      </c>
      <c r="BB38" s="111">
        <v>-3.5714285714285721</v>
      </c>
      <c r="BC38" s="111">
        <v>0</v>
      </c>
      <c r="BD38" s="438">
        <f>VLOOKUP($A38,'NZ targets'!$G$13:$BG$238,33,FALSE)</f>
        <v>1.6588533786657519E-2</v>
      </c>
      <c r="BE38" s="439">
        <f>VLOOKUP($A38,'NZ targets'!$G$13:$BG$238,18,FALSE)</f>
        <v>-63.239172056276402</v>
      </c>
      <c r="BF38" s="440">
        <f>VLOOKUP($A38,'NZ targets'!$G$13:$BG$238,25,FALSE)</f>
        <v>-67.766601536002071</v>
      </c>
      <c r="BG38" s="442">
        <f>VLOOKUP($A38,'NZ targets'!$G$13:$BG$238,3,FALSE)</f>
        <v>2</v>
      </c>
    </row>
    <row r="39" spans="1:59" hidden="1" x14ac:dyDescent="0.25">
      <c r="A39" t="s">
        <v>278</v>
      </c>
      <c r="B39" s="438" t="str">
        <f>VLOOKUP($A39,'NZ targets'!$G$13:$BG$238,2,FALSE)</f>
        <v>Lithuania</v>
      </c>
      <c r="C39" s="111">
        <v>100</v>
      </c>
      <c r="D39" s="111">
        <v>4.7260896225513802</v>
      </c>
      <c r="E39" s="111">
        <v>2831639</v>
      </c>
      <c r="F39" s="111">
        <v>0.747045457363129</v>
      </c>
      <c r="G39" s="111">
        <v>0.99431878328323398</v>
      </c>
      <c r="H39" s="111">
        <v>0.65373951196670499</v>
      </c>
      <c r="I39" s="111">
        <v>1.2988812923431401</v>
      </c>
      <c r="J39" s="111">
        <v>1.0602790117263801</v>
      </c>
      <c r="K39" s="111">
        <v>1.06380426883698</v>
      </c>
      <c r="L39" s="111">
        <v>1678</v>
      </c>
      <c r="M39" s="111">
        <v>39.408172851103799</v>
      </c>
      <c r="N39" s="111">
        <v>57858.64</v>
      </c>
      <c r="O39" s="111">
        <v>28.961179254376301</v>
      </c>
      <c r="P39" s="111">
        <v>4258</v>
      </c>
      <c r="Q39" s="111">
        <v>199779.98648399999</v>
      </c>
      <c r="R39" s="111">
        <v>4.1840004150439096</v>
      </c>
      <c r="S39" s="111">
        <v>0</v>
      </c>
      <c r="T39" s="111">
        <v>35.180749081616398</v>
      </c>
      <c r="U39" s="111">
        <v>1.0728029675639601</v>
      </c>
      <c r="V39" s="111">
        <v>-12625</v>
      </c>
      <c r="W39" s="111">
        <v>1.65092456755824</v>
      </c>
      <c r="X39" s="111">
        <v>44.734690943938702</v>
      </c>
      <c r="Y39" s="111">
        <v>-0.50947587293852303</v>
      </c>
      <c r="Z39" s="111">
        <v>0</v>
      </c>
      <c r="AA39" s="111">
        <v>48110631392.507797</v>
      </c>
      <c r="AB39" s="111">
        <v>17213.814304526899</v>
      </c>
      <c r="AC39" s="111">
        <v>0</v>
      </c>
      <c r="AD39" s="111">
        <v>1.1252747109430901E-2</v>
      </c>
      <c r="AE39" s="111">
        <v>35.921430852762697</v>
      </c>
      <c r="AF39" s="111">
        <v>1.1399999999999999</v>
      </c>
      <c r="AG39" s="111">
        <v>0.45</v>
      </c>
      <c r="AH39" s="111">
        <v>6.05</v>
      </c>
      <c r="AI39" s="111">
        <v>0.56999999999999995</v>
      </c>
      <c r="AJ39" s="111">
        <v>4.92</v>
      </c>
      <c r="AK39" s="111">
        <v>0.79</v>
      </c>
      <c r="AL39" s="111">
        <v>6.5</v>
      </c>
      <c r="AM39" s="111">
        <v>4.92</v>
      </c>
      <c r="AN39" s="111">
        <v>1.1399999999999999</v>
      </c>
      <c r="AO39" s="111">
        <v>1.24</v>
      </c>
      <c r="AP39" s="111">
        <v>6.05</v>
      </c>
      <c r="AQ39" s="111">
        <v>16.28506088</v>
      </c>
      <c r="AR39" s="111">
        <v>37931.303590000003</v>
      </c>
      <c r="AS39" s="111">
        <v>0.875</v>
      </c>
      <c r="AT39" s="111">
        <v>73.720100000000002</v>
      </c>
      <c r="AU39" s="111">
        <v>13.498100279999999</v>
      </c>
      <c r="AV39" s="111">
        <v>1.9</v>
      </c>
      <c r="AW39" s="111">
        <v>20.846858807768001</v>
      </c>
      <c r="AX39" s="111">
        <v>1351796870.8861079</v>
      </c>
      <c r="AY39" s="111">
        <v>0.11411866648484841</v>
      </c>
      <c r="AZ39" s="111">
        <v>-0.36853739269107672</v>
      </c>
      <c r="BA39" s="111">
        <v>-17299.472727272729</v>
      </c>
      <c r="BB39" s="111">
        <v>-3.5714285714285721</v>
      </c>
      <c r="BC39" s="111">
        <v>1</v>
      </c>
      <c r="BD39" s="438">
        <f>VLOOKUP($A39,'NZ targets'!$G$13:$BG$238,33,FALSE)</f>
        <v>-2.934286025668922E-2</v>
      </c>
      <c r="BE39" s="439">
        <f>VLOOKUP($A39,'NZ targets'!$G$13:$BG$238,18,FALSE)</f>
        <v>-6.6541020944350695</v>
      </c>
      <c r="BF39" s="440">
        <f>VLOOKUP($A39,'NZ targets'!$G$13:$BG$238,25,FALSE)</f>
        <v>-8.8620266761266517</v>
      </c>
      <c r="BG39" s="442">
        <f>VLOOKUP($A39,'NZ targets'!$G$13:$BG$238,3,FALSE)</f>
        <v>3</v>
      </c>
    </row>
    <row r="40" spans="1:59" hidden="1" x14ac:dyDescent="0.25">
      <c r="A40" t="s">
        <v>266</v>
      </c>
      <c r="B40" s="438" t="str">
        <f>VLOOKUP($A40,'NZ targets'!$G$13:$BG$238,2,FALSE)</f>
        <v>Latvia</v>
      </c>
      <c r="C40" s="111">
        <v>100</v>
      </c>
      <c r="D40" s="111">
        <v>13.353240264034101</v>
      </c>
      <c r="E40" s="111">
        <v>1879383</v>
      </c>
      <c r="F40" s="111">
        <v>0.69385296106338501</v>
      </c>
      <c r="G40" s="111">
        <v>0.69189512729644798</v>
      </c>
      <c r="H40" s="111">
        <v>0.48072436451911899</v>
      </c>
      <c r="I40" s="111">
        <v>1.17088675498962</v>
      </c>
      <c r="J40" s="111">
        <v>0.92199593782424905</v>
      </c>
      <c r="K40" s="111">
        <v>0.93372839689254805</v>
      </c>
      <c r="L40" s="111">
        <v>2776</v>
      </c>
      <c r="M40" s="111">
        <v>50.1716970901862</v>
      </c>
      <c r="N40" s="111">
        <v>58759.11</v>
      </c>
      <c r="O40" s="111">
        <v>38.098017166682901</v>
      </c>
      <c r="P40" s="111">
        <v>5533</v>
      </c>
      <c r="Q40" s="111">
        <v>154231.412472</v>
      </c>
      <c r="R40" s="111">
        <v>3.6456121684928098</v>
      </c>
      <c r="S40" s="111">
        <v>0</v>
      </c>
      <c r="T40" s="111">
        <v>54.871605335047398</v>
      </c>
      <c r="U40" s="111">
        <v>1.02755218845652</v>
      </c>
      <c r="V40" s="111">
        <v>-7381</v>
      </c>
      <c r="W40" s="111">
        <v>1.2385514360027501</v>
      </c>
      <c r="X40" s="111">
        <v>30.282661095934401</v>
      </c>
      <c r="Y40" s="111">
        <v>-0.232722809758343</v>
      </c>
      <c r="Z40" s="111">
        <v>0</v>
      </c>
      <c r="AA40" s="111">
        <v>29570216089.878899</v>
      </c>
      <c r="AB40" s="111">
        <v>15559.5946483588</v>
      </c>
      <c r="AC40" s="111">
        <v>2.7710153110729999E-4</v>
      </c>
      <c r="AD40" s="111">
        <v>0</v>
      </c>
      <c r="AE40" s="111">
        <v>21.4366061385184</v>
      </c>
      <c r="AF40" s="111">
        <v>0.84</v>
      </c>
      <c r="AG40" s="111">
        <v>0.44</v>
      </c>
      <c r="AH40" s="111">
        <v>3.24</v>
      </c>
      <c r="AI40" s="111">
        <v>4.88</v>
      </c>
      <c r="AJ40" s="111">
        <v>2.72</v>
      </c>
      <c r="AK40" s="111">
        <v>0.24</v>
      </c>
      <c r="AL40" s="111">
        <v>4.6100000000000003</v>
      </c>
      <c r="AM40" s="111">
        <v>2.72</v>
      </c>
      <c r="AN40" s="111">
        <v>0.84</v>
      </c>
      <c r="AO40" s="111">
        <v>0.68</v>
      </c>
      <c r="AP40" s="111">
        <v>3.24</v>
      </c>
      <c r="AQ40" s="111">
        <v>16.202529909999999</v>
      </c>
      <c r="AR40" s="111">
        <v>32803.234230000002</v>
      </c>
      <c r="AS40" s="111">
        <v>0.86299999999999999</v>
      </c>
      <c r="AT40" s="111">
        <v>73.578599999999994</v>
      </c>
      <c r="AU40" s="111">
        <v>13.252719880000001</v>
      </c>
      <c r="AV40" s="111">
        <v>2.4</v>
      </c>
      <c r="AW40" s="111">
        <v>11.107760337734</v>
      </c>
      <c r="AX40" s="111">
        <v>738098985.53943336</v>
      </c>
      <c r="AY40" s="111">
        <v>6.7169516666666693E-2</v>
      </c>
      <c r="AZ40" s="111">
        <v>-0.26330321907638188</v>
      </c>
      <c r="BA40" s="111">
        <v>-15163.81212121212</v>
      </c>
      <c r="BB40" s="111">
        <v>-3.5714285714285721</v>
      </c>
      <c r="BC40" s="111">
        <v>1</v>
      </c>
      <c r="BD40" s="438">
        <f>VLOOKUP($A40,'NZ targets'!$G$13:$BG$238,33,FALSE)</f>
        <v>-5.0809726483764632E-2</v>
      </c>
      <c r="BE40" s="439">
        <f>VLOOKUP($A40,'NZ targets'!$G$13:$BG$238,18,FALSE)</f>
        <v>0.79911149037883067</v>
      </c>
      <c r="BF40" s="440">
        <f>VLOOKUP($A40,'NZ targets'!$G$13:$BG$238,25,FALSE)</f>
        <v>0.53395506835831597</v>
      </c>
      <c r="BG40" s="442">
        <f>VLOOKUP($A40,'NZ targets'!$G$13:$BG$238,3,FALSE)</f>
        <v>3</v>
      </c>
    </row>
    <row r="41" spans="1:59" x14ac:dyDescent="0.25">
      <c r="A41" t="s">
        <v>306</v>
      </c>
      <c r="B41" s="438" t="str">
        <f>VLOOKUP($A41,'NZ targets'!$G$13:$BG$238,2,FALSE)</f>
        <v>Mexico</v>
      </c>
      <c r="C41" s="111">
        <v>100</v>
      </c>
      <c r="D41" s="111">
        <v>0.93936472741681099</v>
      </c>
      <c r="E41" s="111">
        <v>127504125</v>
      </c>
      <c r="F41" s="111">
        <v>-1.0118662118911701</v>
      </c>
      <c r="G41" s="111">
        <v>-0.280898958444595</v>
      </c>
      <c r="H41" s="111">
        <v>-0.69195973873138406</v>
      </c>
      <c r="I41" s="111">
        <v>-0.14830949902534499</v>
      </c>
      <c r="J41" s="111">
        <v>-0.86664253473281905</v>
      </c>
      <c r="K41" s="111">
        <v>-0.121708184480667</v>
      </c>
      <c r="L41" s="111">
        <v>47897</v>
      </c>
      <c r="M41" s="111">
        <v>15.394133792722201</v>
      </c>
      <c r="N41" s="111">
        <v>441721.1</v>
      </c>
      <c r="O41" s="111">
        <v>9.2152134550018001</v>
      </c>
      <c r="P41" s="111">
        <v>311138</v>
      </c>
      <c r="Q41" s="111">
        <v>4793389.7804640001</v>
      </c>
      <c r="R41" s="111">
        <v>3.04076637477226</v>
      </c>
      <c r="S41" s="111">
        <v>10.865918017085701</v>
      </c>
      <c r="T41" s="111">
        <v>33.7273678335348</v>
      </c>
      <c r="U41" s="111">
        <v>1.13875255953846</v>
      </c>
      <c r="V41" s="111">
        <v>-9949</v>
      </c>
      <c r="W41" s="111">
        <v>0.34358585554589499</v>
      </c>
      <c r="X41" s="111">
        <v>65.179216543635405</v>
      </c>
      <c r="Y41" s="111">
        <v>0.18068452648500999</v>
      </c>
      <c r="Z41" s="111">
        <v>1.5941336773760799E-2</v>
      </c>
      <c r="AA41" s="111">
        <v>1150416990019.6499</v>
      </c>
      <c r="AB41" s="111">
        <v>8922.6124724076308</v>
      </c>
      <c r="AC41" s="111">
        <v>6.8697476552473102E-2</v>
      </c>
      <c r="AD41" s="111">
        <v>1.4478215205730001</v>
      </c>
      <c r="AE41" s="111">
        <v>10.324854034311601</v>
      </c>
      <c r="AF41" s="111">
        <v>21.61</v>
      </c>
      <c r="AG41" s="111">
        <v>19.350000000000001</v>
      </c>
      <c r="AH41" s="111">
        <v>156.58000000000001</v>
      </c>
      <c r="AI41" s="111">
        <v>0.1</v>
      </c>
      <c r="AJ41" s="111">
        <v>96.83</v>
      </c>
      <c r="AK41" s="111">
        <v>21.18</v>
      </c>
      <c r="AL41" s="111">
        <v>5.51</v>
      </c>
      <c r="AM41" s="111">
        <v>96.83</v>
      </c>
      <c r="AN41" s="111">
        <v>21.61</v>
      </c>
      <c r="AO41" s="111">
        <v>40.53</v>
      </c>
      <c r="AP41" s="111">
        <v>156.58000000000001</v>
      </c>
      <c r="AQ41" s="111">
        <v>14.86443996</v>
      </c>
      <c r="AR41" s="111">
        <v>17896.294979999999</v>
      </c>
      <c r="AS41" s="111">
        <v>0.75800000000000001</v>
      </c>
      <c r="AT41" s="111">
        <v>70.212699999999998</v>
      </c>
      <c r="AU41" s="111">
        <v>9.2210502620000003</v>
      </c>
      <c r="AV41" s="111">
        <v>4.9000000000000004</v>
      </c>
      <c r="AW41" s="111">
        <v>819.87288291533002</v>
      </c>
      <c r="AX41" s="111">
        <v>18941543177.569752</v>
      </c>
      <c r="AY41" s="111">
        <v>0.10383258878787879</v>
      </c>
      <c r="AZ41" s="111">
        <v>0.63617867088799573</v>
      </c>
      <c r="BA41" s="111">
        <v>1143518.824242424</v>
      </c>
      <c r="BB41" s="111">
        <v>-2.3255813953488369</v>
      </c>
      <c r="BC41" s="111">
        <v>1</v>
      </c>
      <c r="BD41" s="438" t="str">
        <f>VLOOKUP($A41,'NZ targets'!$G$13:$BG$238,33,FALSE)</f>
        <v/>
      </c>
      <c r="BE41" s="439">
        <f>VLOOKUP($A41,'NZ targets'!$G$13:$BG$238,18,FALSE)</f>
        <v>-261.5332084772017</v>
      </c>
      <c r="BF41" s="440">
        <f>VLOOKUP($A41,'NZ targets'!$G$13:$BG$238,25,FALSE)</f>
        <v>-265.04369359999998</v>
      </c>
      <c r="BG41" s="442">
        <f>VLOOKUP($A41,'NZ targets'!$G$13:$BG$238,3,FALSE)</f>
        <v>1</v>
      </c>
    </row>
    <row r="42" spans="1:59" hidden="1" x14ac:dyDescent="0.25">
      <c r="A42" t="s">
        <v>296</v>
      </c>
      <c r="B42" s="438" t="str">
        <f>VLOOKUP($A42,'NZ targets'!$G$13:$BG$238,2,FALSE)</f>
        <v>Malta</v>
      </c>
      <c r="C42" s="111">
        <v>100</v>
      </c>
      <c r="D42" s="111">
        <v>9.8984880693625001</v>
      </c>
      <c r="E42" s="111">
        <v>531113</v>
      </c>
      <c r="F42" s="111">
        <v>0.23867781460285201</v>
      </c>
      <c r="G42" s="111">
        <v>0.80439019203186002</v>
      </c>
      <c r="H42" s="111">
        <v>0.91342258453369096</v>
      </c>
      <c r="I42" s="111">
        <v>0.67409378290176403</v>
      </c>
      <c r="J42" s="111">
        <v>0.78720271587371804</v>
      </c>
      <c r="K42" s="111">
        <v>1.07677125930786</v>
      </c>
      <c r="L42" s="111">
        <v>100</v>
      </c>
      <c r="M42" s="111">
        <v>7.6745970836531097</v>
      </c>
      <c r="N42" s="111">
        <v>1026.0889999999999</v>
      </c>
      <c r="O42" s="111">
        <v>5.3550047464189703</v>
      </c>
      <c r="P42" s="111">
        <v>1303</v>
      </c>
      <c r="Q42" s="111">
        <v>19161.30888</v>
      </c>
      <c r="R42" s="111">
        <v>3.12555789277592</v>
      </c>
      <c r="S42" s="111">
        <v>0</v>
      </c>
      <c r="T42" s="111">
        <v>1.4375</v>
      </c>
      <c r="U42" s="111">
        <v>0.442987452748907</v>
      </c>
      <c r="V42" s="111">
        <v>10854</v>
      </c>
      <c r="W42" s="111">
        <v>9.3089876041076394E-2</v>
      </c>
      <c r="X42" s="111">
        <v>1620.425</v>
      </c>
      <c r="Y42" s="111">
        <v>0</v>
      </c>
      <c r="Z42" s="111">
        <v>0</v>
      </c>
      <c r="AA42" s="111">
        <v>13103388906.642</v>
      </c>
      <c r="AB42" s="111">
        <v>25427.081777653901</v>
      </c>
      <c r="AC42" s="111">
        <v>0</v>
      </c>
      <c r="AD42" s="111">
        <v>0</v>
      </c>
      <c r="AE42" s="111">
        <v>28.34375</v>
      </c>
      <c r="AF42" s="111">
        <v>0.11</v>
      </c>
      <c r="AG42" s="111">
        <v>0</v>
      </c>
      <c r="AH42" s="111">
        <v>0.67</v>
      </c>
      <c r="AI42" s="111">
        <v>1.17</v>
      </c>
      <c r="AJ42" s="111">
        <v>0.09</v>
      </c>
      <c r="AK42" s="111">
        <v>0.23</v>
      </c>
      <c r="AL42" s="111">
        <v>4.1900000000000004</v>
      </c>
      <c r="AM42" s="111">
        <v>0.09</v>
      </c>
      <c r="AN42" s="111">
        <v>0.11</v>
      </c>
      <c r="AO42" s="111">
        <v>0.23</v>
      </c>
      <c r="AP42" s="111">
        <v>0.67</v>
      </c>
      <c r="AQ42" s="111">
        <v>16.838569639999999</v>
      </c>
      <c r="AR42" s="111">
        <v>38884.456230000003</v>
      </c>
      <c r="AS42" s="111">
        <v>0.91800000000000004</v>
      </c>
      <c r="AT42" s="111">
        <v>83.776899999999998</v>
      </c>
      <c r="AU42" s="111">
        <v>12.21026039</v>
      </c>
      <c r="AV42" s="111">
        <v>1.7</v>
      </c>
      <c r="AW42" s="111">
        <v>2.1781684453507002</v>
      </c>
      <c r="AX42" s="111">
        <v>650376522.25227547</v>
      </c>
      <c r="AY42" s="111">
        <v>0.16755734339393941</v>
      </c>
      <c r="AZ42" s="111">
        <v>37.708731060606048</v>
      </c>
      <c r="BA42" s="111">
        <v>12413.96363636364</v>
      </c>
      <c r="BB42" s="111">
        <v>-3.5714285714285721</v>
      </c>
      <c r="BC42" s="111">
        <v>1</v>
      </c>
      <c r="BD42" s="438">
        <f>VLOOKUP($A42,'NZ targets'!$G$13:$BG$238,33,FALSE)</f>
        <v>-5.0350071047636537E-2</v>
      </c>
      <c r="BE42" s="439">
        <f>VLOOKUP($A42,'NZ targets'!$G$13:$BG$238,18,FALSE)</f>
        <v>8.2808090524830683E-3</v>
      </c>
      <c r="BF42" s="440">
        <f>VLOOKUP($A42,'NZ targets'!$G$13:$BG$238,25,FALSE)</f>
        <v>7.3601670180855902E-3</v>
      </c>
      <c r="BG42" s="442">
        <f>VLOOKUP($A42,'NZ targets'!$G$13:$BG$238,3,FALSE)</f>
        <v>3</v>
      </c>
    </row>
    <row r="43" spans="1:59" x14ac:dyDescent="0.25">
      <c r="A43" t="s">
        <v>322</v>
      </c>
      <c r="B43" s="438" t="str">
        <f>VLOOKUP($A43,'NZ targets'!$G$13:$BG$238,2,FALSE)</f>
        <v>Myanmar</v>
      </c>
      <c r="C43" s="111">
        <v>72.466819763183594</v>
      </c>
      <c r="D43" s="111">
        <v>0.13601460292319001</v>
      </c>
      <c r="E43" s="111">
        <v>54179306</v>
      </c>
      <c r="F43" s="111">
        <v>-1.15162312984467</v>
      </c>
      <c r="G43" s="111">
        <v>-1.6840410232543901</v>
      </c>
      <c r="H43" s="111">
        <v>-2.21174263954163</v>
      </c>
      <c r="I43" s="111">
        <v>-1.23508405685425</v>
      </c>
      <c r="J43" s="111">
        <v>-1.52855384349823</v>
      </c>
      <c r="K43" s="111">
        <v>-1.80904972553253</v>
      </c>
      <c r="L43" s="111">
        <v>9399</v>
      </c>
      <c r="M43" s="111">
        <v>58.854101440200402</v>
      </c>
      <c r="N43" s="111">
        <v>449993.5</v>
      </c>
      <c r="O43" s="111">
        <v>61.527811647324199</v>
      </c>
      <c r="P43" s="111">
        <v>15970</v>
      </c>
      <c r="Q43" s="111">
        <v>731366.00823599997</v>
      </c>
      <c r="R43" s="111">
        <v>0.63408034839097405</v>
      </c>
      <c r="S43" s="111">
        <v>1.7845961177207299</v>
      </c>
      <c r="T43" s="111">
        <v>43.290146628464598</v>
      </c>
      <c r="U43" s="111">
        <v>1.3497884746622599</v>
      </c>
      <c r="V43" s="111">
        <v>-66228</v>
      </c>
      <c r="W43" s="111">
        <v>0.42971088421176101</v>
      </c>
      <c r="X43" s="111">
        <v>82.427695466315299</v>
      </c>
      <c r="Y43" s="111">
        <v>1.21167193776671</v>
      </c>
      <c r="Z43" s="111">
        <v>8.2414680824919005E-3</v>
      </c>
      <c r="AA43" s="111">
        <v>86343026585.115601</v>
      </c>
      <c r="AB43" s="111">
        <v>1586.90228794315</v>
      </c>
      <c r="AC43" s="111">
        <v>1.81420282283773</v>
      </c>
      <c r="AD43" s="111">
        <v>9.4599663302628104E-2</v>
      </c>
      <c r="AE43" s="111">
        <v>16.881425528981001</v>
      </c>
      <c r="AF43" s="111">
        <v>1.45</v>
      </c>
      <c r="AG43" s="111">
        <v>0.99</v>
      </c>
      <c r="AH43" s="111">
        <v>6.13</v>
      </c>
      <c r="AI43" s="111">
        <v>0.71</v>
      </c>
      <c r="AJ43" s="111">
        <v>78.38</v>
      </c>
      <c r="AK43" s="111">
        <v>0.01</v>
      </c>
      <c r="AL43" s="111">
        <v>4.3099999999999996</v>
      </c>
      <c r="AM43" s="111">
        <v>78.38</v>
      </c>
      <c r="AN43" s="111">
        <v>1.45</v>
      </c>
      <c r="AO43" s="111">
        <v>1</v>
      </c>
      <c r="AP43" s="111">
        <v>6.13</v>
      </c>
      <c r="AQ43" s="111">
        <v>10.90913752</v>
      </c>
      <c r="AR43" s="111">
        <v>3850.524234</v>
      </c>
      <c r="AS43" s="111">
        <v>0.58499999999999996</v>
      </c>
      <c r="AT43" s="111">
        <v>65.671599999999998</v>
      </c>
      <c r="AU43" s="111">
        <v>6.3768000599999999</v>
      </c>
      <c r="AV43" s="111">
        <v>7.1</v>
      </c>
      <c r="AW43" s="111">
        <v>169.38691122345</v>
      </c>
      <c r="AX43" s="111">
        <v>4299054548.3564749</v>
      </c>
      <c r="AY43" s="111">
        <v>0.1487144892363636</v>
      </c>
      <c r="AZ43" s="111">
        <v>0.61490163115661234</v>
      </c>
      <c r="BA43" s="111">
        <v>390156.30909090908</v>
      </c>
      <c r="BB43" s="111">
        <v>-5.5555555555555554</v>
      </c>
      <c r="BC43" s="111">
        <v>1</v>
      </c>
      <c r="BD43" s="438" t="str">
        <f>VLOOKUP($A43,'NZ targets'!$G$13:$BG$238,33,FALSE)</f>
        <v/>
      </c>
      <c r="BE43" s="439">
        <f>VLOOKUP($A43,'NZ targets'!$G$13:$BG$238,18,FALSE)</f>
        <v>-90.637900573529578</v>
      </c>
      <c r="BF43" s="440">
        <f>VLOOKUP($A43,'NZ targets'!$G$13:$BG$238,25,FALSE)</f>
        <v>-100.7516973920046</v>
      </c>
      <c r="BG43" s="442">
        <f>VLOOKUP($A43,'NZ targets'!$G$13:$BG$238,3,FALSE)</f>
        <v>1</v>
      </c>
    </row>
    <row r="44" spans="1:59" x14ac:dyDescent="0.25">
      <c r="A44" t="s">
        <v>320</v>
      </c>
      <c r="B44" s="438" t="str">
        <f>VLOOKUP($A44,'NZ targets'!$G$13:$BG$238,2,FALSE)</f>
        <v>Mozambique</v>
      </c>
      <c r="C44" s="111">
        <v>31.4940395355225</v>
      </c>
      <c r="D44" s="111">
        <v>0.79680138543819401</v>
      </c>
      <c r="E44" s="111">
        <v>32969518</v>
      </c>
      <c r="F44" s="111">
        <v>-0.83638811111450195</v>
      </c>
      <c r="G44" s="111">
        <v>-0.71427029371261597</v>
      </c>
      <c r="H44" s="111">
        <v>-1.28796994686127</v>
      </c>
      <c r="I44" s="111">
        <v>-0.726218461990356</v>
      </c>
      <c r="J44" s="111">
        <v>-1.0214757919311499</v>
      </c>
      <c r="K44" s="111">
        <v>-0.60652935504913297</v>
      </c>
      <c r="L44" s="111">
        <v>17207</v>
      </c>
      <c r="M44" s="111">
        <v>86.410887360016105</v>
      </c>
      <c r="N44" s="111">
        <v>376700.5</v>
      </c>
      <c r="O44" s="111">
        <v>86.400508917612299</v>
      </c>
      <c r="P44" s="111">
        <v>19913</v>
      </c>
      <c r="Q44" s="111">
        <v>435993.38096400001</v>
      </c>
      <c r="R44" s="111">
        <v>0.22276755271521301</v>
      </c>
      <c r="S44" s="111">
        <v>0</v>
      </c>
      <c r="T44" s="111">
        <v>46.412173122409001</v>
      </c>
      <c r="U44" s="111">
        <v>0.52137186292016002</v>
      </c>
      <c r="V44" s="111">
        <v>11745</v>
      </c>
      <c r="W44" s="111">
        <v>0.30789878514306102</v>
      </c>
      <c r="X44" s="111">
        <v>40.790803428368001</v>
      </c>
      <c r="Y44" s="111">
        <v>0.54610995020557596</v>
      </c>
      <c r="Z44" s="111">
        <v>2.1217883102154</v>
      </c>
      <c r="AA44" s="111">
        <v>17959233845.112499</v>
      </c>
      <c r="AB44" s="111">
        <v>574.595549385651</v>
      </c>
      <c r="AC44" s="111">
        <v>1.78731949829612</v>
      </c>
      <c r="AD44" s="111">
        <v>0.32939663613189601</v>
      </c>
      <c r="AE44" s="111">
        <v>7.1848215875276598</v>
      </c>
      <c r="AF44" s="111">
        <v>0.23</v>
      </c>
      <c r="AG44" s="111">
        <v>0.73</v>
      </c>
      <c r="AH44" s="111">
        <v>3.56</v>
      </c>
      <c r="AI44" s="111">
        <v>3.45</v>
      </c>
      <c r="AJ44" s="111">
        <v>18.100000000000001</v>
      </c>
      <c r="AK44" s="111">
        <v>0.85</v>
      </c>
      <c r="AL44" s="111">
        <v>3.73</v>
      </c>
      <c r="AM44" s="111">
        <v>18.100000000000001</v>
      </c>
      <c r="AN44" s="111">
        <v>0.23</v>
      </c>
      <c r="AO44" s="111">
        <v>1.58</v>
      </c>
      <c r="AP44" s="111">
        <v>3.56</v>
      </c>
      <c r="AQ44" s="111">
        <v>10.2191516</v>
      </c>
      <c r="AR44" s="111">
        <v>1198.073924</v>
      </c>
      <c r="AS44" s="111">
        <v>0.44600000000000001</v>
      </c>
      <c r="AT44" s="111">
        <v>59.3247</v>
      </c>
      <c r="AU44" s="111">
        <v>3.197641838</v>
      </c>
      <c r="AV44" s="111">
        <v>6.7</v>
      </c>
      <c r="AW44" s="111">
        <v>40.072071149995999</v>
      </c>
      <c r="AX44" s="111">
        <v>698585325.45996118</v>
      </c>
      <c r="AY44" s="111">
        <v>3.9337292975757589E-2</v>
      </c>
      <c r="AZ44" s="111">
        <v>1.0762011426351881</v>
      </c>
      <c r="BA44" s="111">
        <v>860759.8</v>
      </c>
      <c r="BB44" s="111">
        <v>-2.3255813953488369</v>
      </c>
      <c r="BC44" s="111">
        <v>0</v>
      </c>
      <c r="BD44" s="438" t="str">
        <f>VLOOKUP($A44,'NZ targets'!$G$13:$BG$238,33,FALSE)</f>
        <v/>
      </c>
      <c r="BE44" s="439">
        <f>VLOOKUP($A44,'NZ targets'!$G$13:$BG$238,18,FALSE)</f>
        <v>74.252172364673243</v>
      </c>
      <c r="BF44" s="440">
        <f>VLOOKUP($A44,'NZ targets'!$G$13:$BG$238,25,FALSE)</f>
        <v>59.530682299452941</v>
      </c>
      <c r="BG44" s="442">
        <f>VLOOKUP($A44,'NZ targets'!$G$13:$BG$238,3,FALSE)</f>
        <v>1</v>
      </c>
    </row>
    <row r="45" spans="1:59" x14ac:dyDescent="0.25">
      <c r="A45" t="s">
        <v>304</v>
      </c>
      <c r="B45" s="438" t="str">
        <f>VLOOKUP($A45,'NZ targets'!$G$13:$BG$238,2,FALSE)</f>
        <v>Mauritius</v>
      </c>
      <c r="C45" s="111">
        <v>99.6</v>
      </c>
      <c r="D45" s="111">
        <v>2.24510921983142</v>
      </c>
      <c r="E45" s="111">
        <v>1262523</v>
      </c>
      <c r="F45" s="111">
        <v>0.41271939873695401</v>
      </c>
      <c r="G45" s="111">
        <v>0.75028473138809204</v>
      </c>
      <c r="H45" s="111">
        <v>0.83572173118591297</v>
      </c>
      <c r="I45" s="111">
        <v>1.1661061048507699</v>
      </c>
      <c r="J45" s="111">
        <v>0.79998904466628995</v>
      </c>
      <c r="K45" s="111">
        <v>0.60103243589401201</v>
      </c>
      <c r="L45" s="111">
        <v>681</v>
      </c>
      <c r="M45" s="111">
        <v>22.7227227227227</v>
      </c>
      <c r="N45" s="111">
        <v>3862.1239999999998</v>
      </c>
      <c r="O45" s="111">
        <v>11.537361962472801</v>
      </c>
      <c r="P45" s="111">
        <v>2997</v>
      </c>
      <c r="Q45" s="111">
        <v>33474.931380000002</v>
      </c>
      <c r="R45" s="111">
        <v>2.9385141080588402</v>
      </c>
      <c r="S45" s="111">
        <v>39.439439439439397</v>
      </c>
      <c r="T45" s="111">
        <v>19.434151226840299</v>
      </c>
      <c r="U45" s="111">
        <v>1.5590078948574</v>
      </c>
      <c r="V45" s="111">
        <v>-478</v>
      </c>
      <c r="W45" s="111">
        <v>0.17525040560372901</v>
      </c>
      <c r="X45" s="111">
        <v>634.11817726589902</v>
      </c>
      <c r="Y45" s="111">
        <v>0.54539761360715</v>
      </c>
      <c r="Z45" s="111">
        <v>0</v>
      </c>
      <c r="AA45" s="111">
        <v>11465336642.940599</v>
      </c>
      <c r="AB45" s="111">
        <v>9058.2083547494494</v>
      </c>
      <c r="AC45" s="111">
        <v>0</v>
      </c>
      <c r="AD45" s="111">
        <v>0</v>
      </c>
      <c r="AE45" s="111">
        <v>36.945812807881801</v>
      </c>
      <c r="AF45" s="111">
        <v>0.2</v>
      </c>
      <c r="AG45" s="111">
        <v>0</v>
      </c>
      <c r="AH45" s="111">
        <v>1.1399999999999999</v>
      </c>
      <c r="AI45" s="111">
        <v>0.24</v>
      </c>
      <c r="AJ45" s="111">
        <v>0.14000000000000001</v>
      </c>
      <c r="AK45" s="111">
        <v>0.49</v>
      </c>
      <c r="AL45" s="111">
        <v>5.31</v>
      </c>
      <c r="AM45" s="111">
        <v>0.14000000000000001</v>
      </c>
      <c r="AN45" s="111">
        <v>0.2</v>
      </c>
      <c r="AO45" s="111">
        <v>0.49</v>
      </c>
      <c r="AP45" s="111">
        <v>1.1399999999999999</v>
      </c>
      <c r="AQ45" s="111">
        <v>15.17352977</v>
      </c>
      <c r="AR45" s="111">
        <v>22025.346310000001</v>
      </c>
      <c r="AS45" s="111">
        <v>0.80200000000000005</v>
      </c>
      <c r="AT45" s="111">
        <v>73.555199999999999</v>
      </c>
      <c r="AU45" s="111">
        <v>10.42791048</v>
      </c>
      <c r="AV45" s="111">
        <v>2.1</v>
      </c>
      <c r="AW45" s="111">
        <v>6.4090480844137998</v>
      </c>
      <c r="AX45" s="111">
        <v>288346365.91279447</v>
      </c>
      <c r="AY45" s="111">
        <v>0.20686588377575749</v>
      </c>
      <c r="AZ45" s="111">
        <v>0.53655027996534865</v>
      </c>
      <c r="BA45" s="111">
        <v>553.4848484848485</v>
      </c>
      <c r="BB45" s="111">
        <v>-2.3255813953488369</v>
      </c>
      <c r="BC45" s="111">
        <v>0</v>
      </c>
      <c r="BD45" s="438" t="str">
        <f>VLOOKUP($A45,'NZ targets'!$G$13:$BG$238,33,FALSE)</f>
        <v/>
      </c>
      <c r="BE45" s="439">
        <f>VLOOKUP($A45,'NZ targets'!$G$13:$BG$238,18,FALSE)</f>
        <v>-0.27142483923483907</v>
      </c>
      <c r="BF45" s="440">
        <f>VLOOKUP($A45,'NZ targets'!$G$13:$BG$238,25,FALSE)</f>
        <v>-0.3252384577054922</v>
      </c>
      <c r="BG45" s="442">
        <f>VLOOKUP($A45,'NZ targets'!$G$13:$BG$238,3,FALSE)</f>
        <v>1</v>
      </c>
    </row>
    <row r="46" spans="1:59" hidden="1" x14ac:dyDescent="0.25">
      <c r="A46" t="s">
        <v>290</v>
      </c>
      <c r="B46" s="438" t="str">
        <f>VLOOKUP($A46,'NZ targets'!$G$13:$BG$238,2,FALSE)</f>
        <v>Malaysia</v>
      </c>
      <c r="C46" s="111">
        <v>100</v>
      </c>
      <c r="D46" s="111">
        <v>8.2893489161108302</v>
      </c>
      <c r="E46" s="111">
        <v>33938221</v>
      </c>
      <c r="F46" s="111">
        <v>0.24918389320373499</v>
      </c>
      <c r="G46" s="111">
        <v>0.99327057600021396</v>
      </c>
      <c r="H46" s="111">
        <v>0.14035816490650199</v>
      </c>
      <c r="I46" s="111">
        <v>0.64400660991668701</v>
      </c>
      <c r="J46" s="111">
        <v>0.561897993087769</v>
      </c>
      <c r="K46" s="111">
        <v>-2.0934494677931001E-3</v>
      </c>
      <c r="L46" s="111">
        <v>14948</v>
      </c>
      <c r="M46" s="111">
        <v>9.9571684552000708</v>
      </c>
      <c r="N46" s="111">
        <v>99297.57</v>
      </c>
      <c r="O46" s="111">
        <v>5.1944425890152903</v>
      </c>
      <c r="P46" s="111">
        <v>150123</v>
      </c>
      <c r="Q46" s="111">
        <v>1911611.6560800001</v>
      </c>
      <c r="R46" s="111">
        <v>7.38371541222915</v>
      </c>
      <c r="S46" s="111">
        <v>42.281329309965798</v>
      </c>
      <c r="T46" s="111">
        <v>58.024318977324597</v>
      </c>
      <c r="U46" s="111">
        <v>1.11974716169368</v>
      </c>
      <c r="V46" s="111">
        <v>57483</v>
      </c>
      <c r="W46" s="111">
        <v>0.27906921266519502</v>
      </c>
      <c r="X46" s="111">
        <v>102.188020088267</v>
      </c>
      <c r="Y46" s="111">
        <v>-0.184105780919296</v>
      </c>
      <c r="Z46" s="111">
        <v>1.5201686928248101E-2</v>
      </c>
      <c r="AA46" s="111">
        <v>344099355780.31</v>
      </c>
      <c r="AB46" s="111">
        <v>10631.5076637003</v>
      </c>
      <c r="AC46" s="111">
        <v>1.7797361580195199</v>
      </c>
      <c r="AD46" s="111">
        <v>1.58527252358926</v>
      </c>
      <c r="AE46" s="111">
        <v>2.5140770050220702</v>
      </c>
      <c r="AF46" s="111">
        <v>3.38</v>
      </c>
      <c r="AG46" s="111">
        <v>9.6</v>
      </c>
      <c r="AH46" s="111">
        <v>60.83</v>
      </c>
      <c r="AI46" s="111">
        <v>6.33</v>
      </c>
      <c r="AJ46" s="111">
        <v>14.13</v>
      </c>
      <c r="AK46" s="111">
        <v>10.27</v>
      </c>
      <c r="AL46" s="111">
        <v>12.31</v>
      </c>
      <c r="AM46" s="111">
        <v>14.14</v>
      </c>
      <c r="AN46" s="111">
        <v>3.38</v>
      </c>
      <c r="AO46" s="111">
        <v>19.88</v>
      </c>
      <c r="AP46" s="111">
        <v>60.83</v>
      </c>
      <c r="AQ46" s="111">
        <v>13.34304047</v>
      </c>
      <c r="AR46" s="111">
        <v>26657.94355</v>
      </c>
      <c r="AS46" s="111">
        <v>0.80300000000000005</v>
      </c>
      <c r="AT46" s="111">
        <v>74.883899999999997</v>
      </c>
      <c r="AU46" s="111">
        <v>10.645059590000001</v>
      </c>
      <c r="AV46" s="111">
        <v>2.9</v>
      </c>
      <c r="AW46" s="111">
        <v>353.91739494868</v>
      </c>
      <c r="AX46" s="111">
        <v>13224977120.378071</v>
      </c>
      <c r="AY46" s="111">
        <v>8.6662042206060733E-2</v>
      </c>
      <c r="AZ46" s="111">
        <v>1.330137786324697</v>
      </c>
      <c r="BA46" s="111">
        <v>423725.46666666667</v>
      </c>
      <c r="BB46" s="111">
        <v>-3.5714285714285721</v>
      </c>
      <c r="BC46" s="111">
        <v>1</v>
      </c>
      <c r="BD46" s="438">
        <f>VLOOKUP($A46,'NZ targets'!$G$13:$BG$238,33,FALSE)</f>
        <v>-1.9533751019080281E-2</v>
      </c>
      <c r="BE46" s="439">
        <f>VLOOKUP($A46,'NZ targets'!$G$13:$BG$238,18,FALSE)</f>
        <v>-254.86890928735647</v>
      </c>
      <c r="BF46" s="440">
        <f>VLOOKUP($A46,'NZ targets'!$G$13:$BG$238,25,FALSE)</f>
        <v>-260.08590928735646</v>
      </c>
      <c r="BG46" s="442">
        <f>VLOOKUP($A46,'NZ targets'!$G$13:$BG$238,3,FALSE)</f>
        <v>3</v>
      </c>
    </row>
    <row r="47" spans="1:59" hidden="1" x14ac:dyDescent="0.25">
      <c r="A47" t="s">
        <v>324</v>
      </c>
      <c r="B47" s="438" t="str">
        <f>VLOOKUP($A47,'NZ targets'!$G$13:$BG$238,2,FALSE)</f>
        <v>Namibia</v>
      </c>
      <c r="C47" s="111">
        <v>55.225318908691399</v>
      </c>
      <c r="D47" s="111">
        <v>3.8184014348287598</v>
      </c>
      <c r="E47" s="111">
        <v>2567012</v>
      </c>
      <c r="F47" s="111">
        <v>0.21532823145389601</v>
      </c>
      <c r="G47" s="111">
        <v>3.9499521255493199E-2</v>
      </c>
      <c r="H47" s="111">
        <v>0.55630606412887595</v>
      </c>
      <c r="I47" s="111">
        <v>-1.5001387335360101E-2</v>
      </c>
      <c r="J47" s="111">
        <v>0.40454351902008101</v>
      </c>
      <c r="K47" s="111">
        <v>0.56127846240997303</v>
      </c>
      <c r="L47" s="111">
        <v>1502</v>
      </c>
      <c r="M47" s="111">
        <v>97.7864583333333</v>
      </c>
      <c r="N47" s="111">
        <v>18868.63</v>
      </c>
      <c r="O47" s="111">
        <v>26.4684298435307</v>
      </c>
      <c r="P47" s="111">
        <v>1536</v>
      </c>
      <c r="Q47" s="111">
        <v>71287.303824000002</v>
      </c>
      <c r="R47" s="111">
        <v>1.58804514727825</v>
      </c>
      <c r="S47" s="111">
        <v>0.45572916666666702</v>
      </c>
      <c r="T47" s="111">
        <v>7.9776142064157201</v>
      </c>
      <c r="U47" s="111">
        <v>2.14365994066927</v>
      </c>
      <c r="V47" s="111">
        <v>-4301</v>
      </c>
      <c r="W47" s="111">
        <v>1.5752959007640499</v>
      </c>
      <c r="X47" s="111">
        <v>3.0732196431391099</v>
      </c>
      <c r="Y47" s="111">
        <v>0.98948745444911901</v>
      </c>
      <c r="Z47" s="111">
        <v>0</v>
      </c>
      <c r="AA47" s="111">
        <v>10352990574.9401</v>
      </c>
      <c r="AB47" s="111">
        <v>4074.5111506795602</v>
      </c>
      <c r="AC47" s="111">
        <v>0</v>
      </c>
      <c r="AD47" s="111">
        <v>0</v>
      </c>
      <c r="AE47" s="111">
        <v>0.97171106171579902</v>
      </c>
      <c r="AF47" s="111">
        <v>0.01</v>
      </c>
      <c r="AG47" s="111">
        <v>0.37</v>
      </c>
      <c r="AH47" s="111">
        <v>2.1</v>
      </c>
      <c r="AI47" s="111">
        <v>-4.08</v>
      </c>
      <c r="AJ47" s="111">
        <v>6.41</v>
      </c>
      <c r="AK47" s="111">
        <v>0.3</v>
      </c>
      <c r="AL47" s="111">
        <v>9.19</v>
      </c>
      <c r="AM47" s="111">
        <v>6.41</v>
      </c>
      <c r="AN47" s="111">
        <v>0.01</v>
      </c>
      <c r="AO47" s="111">
        <v>0.67</v>
      </c>
      <c r="AP47" s="111">
        <v>2.1</v>
      </c>
      <c r="AQ47" s="111">
        <v>11.92720692</v>
      </c>
      <c r="AR47" s="111">
        <v>8633.5044519999992</v>
      </c>
      <c r="AS47" s="111">
        <v>0.61499999999999999</v>
      </c>
      <c r="AT47" s="111">
        <v>59.268999999999998</v>
      </c>
      <c r="AU47" s="111">
        <v>7.192013277</v>
      </c>
      <c r="AV47" s="111">
        <v>3.8</v>
      </c>
      <c r="AW47" s="111">
        <v>13.102837395039</v>
      </c>
      <c r="AX47" s="111">
        <v>165633900.98099199</v>
      </c>
      <c r="AY47" s="111">
        <v>6.200839291515152E-2</v>
      </c>
      <c r="AZ47" s="111">
        <v>4.9208110695557153E-2</v>
      </c>
      <c r="BA47" s="111">
        <v>40700.36363636364</v>
      </c>
      <c r="BB47" s="111">
        <v>-3.5714285714285721</v>
      </c>
      <c r="BC47" s="111">
        <v>1</v>
      </c>
      <c r="BD47" s="438">
        <f>VLOOKUP($A47,'NZ targets'!$G$13:$BG$238,33,FALSE)</f>
        <v>0.11153841215075966</v>
      </c>
      <c r="BE47" s="439">
        <f>VLOOKUP($A47,'NZ targets'!$G$13:$BG$238,18,FALSE)</f>
        <v>-114.89662433862418</v>
      </c>
      <c r="BF47" s="440">
        <f>VLOOKUP($A47,'NZ targets'!$G$13:$BG$238,25,FALSE)</f>
        <v>-137.67642269147535</v>
      </c>
      <c r="BG47" s="442">
        <f>VLOOKUP($A47,'NZ targets'!$G$13:$BG$238,3,FALSE)</f>
        <v>3</v>
      </c>
    </row>
    <row r="48" spans="1:59" x14ac:dyDescent="0.25">
      <c r="A48" t="s">
        <v>340</v>
      </c>
      <c r="B48" s="438" t="str">
        <f>VLOOKUP($A48,'NZ targets'!$G$13:$BG$238,2,FALSE)</f>
        <v>Niger</v>
      </c>
      <c r="C48" s="111">
        <v>18.600000000000001</v>
      </c>
      <c r="D48" s="111">
        <v>0.951072208218253</v>
      </c>
      <c r="E48" s="111">
        <v>26207977</v>
      </c>
      <c r="F48" s="111">
        <v>-0.58580398559570301</v>
      </c>
      <c r="G48" s="111">
        <v>-0.639215767383575</v>
      </c>
      <c r="H48" s="111">
        <v>-1.47217929363251</v>
      </c>
      <c r="I48" s="111">
        <v>-0.72080385684966997</v>
      </c>
      <c r="J48" s="111">
        <v>-0.484884023666382</v>
      </c>
      <c r="K48" s="111">
        <v>-0.38176506757736201</v>
      </c>
      <c r="L48" s="111">
        <v>4</v>
      </c>
      <c r="M48" s="111">
        <v>0.75329566854990604</v>
      </c>
      <c r="N48" s="111">
        <v>89828.49</v>
      </c>
      <c r="O48" s="111">
        <v>78.939827517515496</v>
      </c>
      <c r="P48" s="111">
        <v>531</v>
      </c>
      <c r="Q48" s="111">
        <v>113793.623352</v>
      </c>
      <c r="R48" s="111">
        <v>9.0325577691030903E-2</v>
      </c>
      <c r="S48" s="111">
        <v>41.619585687382298</v>
      </c>
      <c r="T48" s="111">
        <v>0.84256730086050402</v>
      </c>
      <c r="U48" s="111">
        <v>1.1744792223637399</v>
      </c>
      <c r="V48" s="111">
        <v>-4403</v>
      </c>
      <c r="W48" s="111">
        <v>0.54434522596476398</v>
      </c>
      <c r="X48" s="111">
        <v>19.935834846451399</v>
      </c>
      <c r="Y48" s="111">
        <v>1.0009101491344401</v>
      </c>
      <c r="Z48" s="111">
        <v>1.90150786348013E-2</v>
      </c>
      <c r="AA48" s="111">
        <v>12649312790.6637</v>
      </c>
      <c r="AB48" s="111">
        <v>522.55558313280903</v>
      </c>
      <c r="AC48" s="111">
        <v>0</v>
      </c>
      <c r="AD48" s="111">
        <v>0.73243091174099895</v>
      </c>
      <c r="AE48" s="111">
        <v>13.9733164916713</v>
      </c>
      <c r="AF48" s="111">
        <v>0.08</v>
      </c>
      <c r="AG48" s="111">
        <v>0.02</v>
      </c>
      <c r="AH48" s="111">
        <v>1.37</v>
      </c>
      <c r="AI48" s="111">
        <v>4.5199999999999996</v>
      </c>
      <c r="AJ48" s="111">
        <v>30.47</v>
      </c>
      <c r="AK48" s="111">
        <v>0.66</v>
      </c>
      <c r="AL48" s="111">
        <v>2.06</v>
      </c>
      <c r="AM48" s="111">
        <v>30.47</v>
      </c>
      <c r="AN48" s="111">
        <v>0.08</v>
      </c>
      <c r="AO48" s="111">
        <v>0.68</v>
      </c>
      <c r="AP48" s="111">
        <v>1.37</v>
      </c>
      <c r="AQ48" s="111">
        <v>6.9571119880000003</v>
      </c>
      <c r="AR48" s="111">
        <v>1239.8669359999999</v>
      </c>
      <c r="AS48" s="111">
        <v>0.4</v>
      </c>
      <c r="AT48" s="111">
        <v>61.576300000000003</v>
      </c>
      <c r="AU48" s="111">
        <v>2.1167172989999998</v>
      </c>
      <c r="AV48" s="111">
        <v>6.6</v>
      </c>
      <c r="AW48" s="111">
        <v>43.240138759011003</v>
      </c>
      <c r="AX48" s="111">
        <v>566024765.21601021</v>
      </c>
      <c r="AY48" s="111">
        <v>5.9781483775757552E-2</v>
      </c>
      <c r="AZ48" s="111">
        <v>0.6409773474860696</v>
      </c>
      <c r="BA48" s="111">
        <v>839937.08484848484</v>
      </c>
      <c r="BB48" s="111">
        <v>-2.3255813953488369</v>
      </c>
      <c r="BC48" s="111">
        <v>1</v>
      </c>
      <c r="BD48" s="438" t="str">
        <f>VLOOKUP($A48,'NZ targets'!$G$13:$BG$238,33,FALSE)</f>
        <v/>
      </c>
      <c r="BE48" s="439">
        <f>VLOOKUP($A48,'NZ targets'!$G$13:$BG$238,18,FALSE)</f>
        <v>-11.062344827586116</v>
      </c>
      <c r="BF48" s="440">
        <f>VLOOKUP($A48,'NZ targets'!$G$13:$BG$238,25,FALSE)</f>
        <v>-14.355567303542985</v>
      </c>
      <c r="BG48" s="442">
        <f>VLOOKUP($A48,'NZ targets'!$G$13:$BG$238,3,FALSE)</f>
        <v>1</v>
      </c>
    </row>
    <row r="49" spans="1:59" hidden="1" x14ac:dyDescent="0.25">
      <c r="A49" t="s">
        <v>342</v>
      </c>
      <c r="B49" s="438" t="str">
        <f>VLOOKUP($A49,'NZ targets'!$G$13:$BG$238,2,FALSE)</f>
        <v>Nigeria</v>
      </c>
      <c r="C49" s="111">
        <v>59.5</v>
      </c>
      <c r="D49" s="111">
        <v>0.65812408759901297</v>
      </c>
      <c r="E49" s="111">
        <v>218541212</v>
      </c>
      <c r="F49" s="111">
        <v>-1.10103046894073</v>
      </c>
      <c r="G49" s="111">
        <v>-1.03512346744537</v>
      </c>
      <c r="H49" s="111">
        <v>-1.7981414794921899</v>
      </c>
      <c r="I49" s="111">
        <v>-1.15594470500946</v>
      </c>
      <c r="J49" s="111">
        <v>-0.91373431682586703</v>
      </c>
      <c r="K49" s="111">
        <v>-0.59521096944809004</v>
      </c>
      <c r="L49" s="111">
        <v>5718</v>
      </c>
      <c r="M49" s="111">
        <v>18.1951250556864</v>
      </c>
      <c r="N49" s="111">
        <v>4320767</v>
      </c>
      <c r="O49" s="111">
        <v>86.635621563418695</v>
      </c>
      <c r="P49" s="111">
        <v>31426</v>
      </c>
      <c r="Q49" s="111">
        <v>4987286.8942679996</v>
      </c>
      <c r="R49" s="111">
        <v>0.53751017538955104</v>
      </c>
      <c r="S49" s="111">
        <v>0</v>
      </c>
      <c r="T49" s="111">
        <v>23.566487697223199</v>
      </c>
      <c r="U49" s="111">
        <v>0.72510755078046496</v>
      </c>
      <c r="V49" s="111">
        <v>-4824</v>
      </c>
      <c r="W49" s="111">
        <v>0.19774788045768599</v>
      </c>
      <c r="X49" s="111">
        <v>234.30868715482501</v>
      </c>
      <c r="Y49" s="111">
        <v>4.1163653212543601</v>
      </c>
      <c r="Z49" s="111">
        <v>2.3988043670199999E-4</v>
      </c>
      <c r="AA49" s="111">
        <v>493917966761.43298</v>
      </c>
      <c r="AB49" s="111">
        <v>2396.0364622319398</v>
      </c>
      <c r="AC49" s="111">
        <v>0.77239495492172305</v>
      </c>
      <c r="AD49" s="111">
        <v>4.4096738469646404</v>
      </c>
      <c r="AE49" s="111">
        <v>38.429021597110101</v>
      </c>
      <c r="AF49" s="111">
        <v>1.91</v>
      </c>
      <c r="AG49" s="111">
        <v>8.52</v>
      </c>
      <c r="AH49" s="111">
        <v>67.47</v>
      </c>
      <c r="AI49" s="111">
        <v>5.96</v>
      </c>
      <c r="AJ49" s="111">
        <v>76.19</v>
      </c>
      <c r="AK49" s="111">
        <v>15.45</v>
      </c>
      <c r="AL49" s="111">
        <v>1.83</v>
      </c>
      <c r="AM49" s="111">
        <v>76.19</v>
      </c>
      <c r="AN49" s="111">
        <v>1.91</v>
      </c>
      <c r="AO49" s="111">
        <v>23.98</v>
      </c>
      <c r="AP49" s="111">
        <v>67.47</v>
      </c>
      <c r="AQ49" s="111">
        <v>10.12758388</v>
      </c>
      <c r="AR49" s="111">
        <v>4790.2844249999998</v>
      </c>
      <c r="AS49" s="111">
        <v>0.53500000000000003</v>
      </c>
      <c r="AT49" s="111">
        <v>52.676000000000002</v>
      </c>
      <c r="AU49" s="111">
        <v>7.181074153</v>
      </c>
      <c r="AV49" s="111">
        <v>6.6</v>
      </c>
      <c r="AW49" s="111">
        <v>407.69023844051998</v>
      </c>
      <c r="AX49" s="111">
        <v>10154860394.54351</v>
      </c>
      <c r="AY49" s="111">
        <v>0.18215051315757569</v>
      </c>
      <c r="AZ49" s="111">
        <v>5.2753854497409662</v>
      </c>
      <c r="BA49" s="111">
        <v>4866390.6000000006</v>
      </c>
      <c r="BB49" s="111">
        <v>-2.083333333333333</v>
      </c>
      <c r="BC49" s="111">
        <v>0</v>
      </c>
      <c r="BD49" s="438">
        <f>VLOOKUP($A49,'NZ targets'!$G$13:$BG$238,33,FALSE)</f>
        <v>-2.4764933157899207E-2</v>
      </c>
      <c r="BE49" s="439">
        <f>VLOOKUP($A49,'NZ targets'!$G$13:$BG$238,18,FALSE)</f>
        <v>-4.5551674876847272</v>
      </c>
      <c r="BF49" s="440">
        <f>VLOOKUP($A49,'NZ targets'!$G$13:$BG$238,25,FALSE)</f>
        <v>-5.9112253746873957</v>
      </c>
      <c r="BG49" s="442">
        <f>VLOOKUP($A49,'NZ targets'!$G$13:$BG$238,3,FALSE)</f>
        <v>4</v>
      </c>
    </row>
    <row r="50" spans="1:59" x14ac:dyDescent="0.25">
      <c r="A50" t="s">
        <v>338</v>
      </c>
      <c r="B50" s="438" t="str">
        <f>VLOOKUP($A50,'NZ targets'!$G$13:$BG$238,2,FALSE)</f>
        <v>Nicaragua</v>
      </c>
      <c r="C50" s="111">
        <v>86.291473388671903</v>
      </c>
      <c r="D50" s="111">
        <v>0.66198270577991003</v>
      </c>
      <c r="E50" s="111">
        <v>6948392</v>
      </c>
      <c r="F50" s="111">
        <v>-1.2873117923736599</v>
      </c>
      <c r="G50" s="111">
        <v>-1.03581631183624</v>
      </c>
      <c r="H50" s="111">
        <v>-0.34842848777771002</v>
      </c>
      <c r="I50" s="111">
        <v>-0.91473376750946001</v>
      </c>
      <c r="J50" s="111">
        <v>-1.30988025665283</v>
      </c>
      <c r="K50" s="111">
        <v>-1.3488910198211701</v>
      </c>
      <c r="L50" s="111">
        <v>2292</v>
      </c>
      <c r="M50" s="111">
        <v>50.054597073596902</v>
      </c>
      <c r="N50" s="111">
        <v>50040.28</v>
      </c>
      <c r="O50" s="111">
        <v>48.204909192033497</v>
      </c>
      <c r="P50" s="111">
        <v>4579</v>
      </c>
      <c r="Q50" s="111">
        <v>103807.43546399999</v>
      </c>
      <c r="R50" s="111">
        <v>0.67825210427337901</v>
      </c>
      <c r="S50" s="111">
        <v>0</v>
      </c>
      <c r="T50" s="111">
        <v>27.484876184144898</v>
      </c>
      <c r="U50" s="111">
        <v>1.41873242686572</v>
      </c>
      <c r="V50" s="111">
        <v>-10384</v>
      </c>
      <c r="W50" s="111">
        <v>0.52803747956414404</v>
      </c>
      <c r="X50" s="111">
        <v>56.926541465846803</v>
      </c>
      <c r="Y50" s="111">
        <v>1.3427070684815301</v>
      </c>
      <c r="Z50" s="111">
        <v>0</v>
      </c>
      <c r="AA50" s="111">
        <v>12745084492.696899</v>
      </c>
      <c r="AB50" s="111">
        <v>1923.9158579878599</v>
      </c>
      <c r="AC50" s="111">
        <v>0</v>
      </c>
      <c r="AD50" s="111">
        <v>0</v>
      </c>
      <c r="AE50" s="111">
        <v>12.4979225527672</v>
      </c>
      <c r="AF50" s="111">
        <v>0.62</v>
      </c>
      <c r="AG50" s="111">
        <v>0.27</v>
      </c>
      <c r="AH50" s="111">
        <v>2.2200000000000002</v>
      </c>
      <c r="AI50" s="111">
        <v>0.47</v>
      </c>
      <c r="AJ50" s="111">
        <v>11.14</v>
      </c>
      <c r="AK50" s="111">
        <v>0.62</v>
      </c>
      <c r="AL50" s="111">
        <v>5.98</v>
      </c>
      <c r="AM50" s="111">
        <v>11.14</v>
      </c>
      <c r="AN50" s="111">
        <v>0.62</v>
      </c>
      <c r="AO50" s="111">
        <v>0.89</v>
      </c>
      <c r="AP50" s="111">
        <v>2.2200000000000002</v>
      </c>
      <c r="AQ50" s="111">
        <v>12.64135783</v>
      </c>
      <c r="AR50" s="111">
        <v>5624.7935950000001</v>
      </c>
      <c r="AS50" s="111">
        <v>0.66700000000000004</v>
      </c>
      <c r="AT50" s="111">
        <v>73.836799999999997</v>
      </c>
      <c r="AU50" s="111">
        <v>7.1440000000000001</v>
      </c>
      <c r="AV50" s="111">
        <v>4.0999999999999996</v>
      </c>
      <c r="AW50" s="111">
        <v>21.025224195505</v>
      </c>
      <c r="AX50" s="111">
        <v>301551330.12039638</v>
      </c>
      <c r="AY50" s="111">
        <v>0.104</v>
      </c>
      <c r="AZ50" s="111">
        <v>0.75661640503422622</v>
      </c>
      <c r="BA50" s="111">
        <v>91857.078787878796</v>
      </c>
      <c r="BB50" s="111">
        <v>-3.5714285714285721</v>
      </c>
      <c r="BC50" s="111">
        <v>0</v>
      </c>
      <c r="BD50" s="438" t="str">
        <f>VLOOKUP($A50,'NZ targets'!$G$13:$BG$238,33,FALSE)</f>
        <v/>
      </c>
      <c r="BE50" s="439">
        <f>VLOOKUP($A50,'NZ targets'!$G$13:$BG$238,18,FALSE)</f>
        <v>13.754417425287386</v>
      </c>
      <c r="BF50" s="440">
        <f>VLOOKUP($A50,'NZ targets'!$G$13:$BG$238,25,FALSE)</f>
        <v>8.1777108983913251</v>
      </c>
      <c r="BG50" s="442">
        <f>VLOOKUP($A50,'NZ targets'!$G$13:$BG$238,3,FALSE)</f>
        <v>1</v>
      </c>
    </row>
    <row r="51" spans="1:59" hidden="1" x14ac:dyDescent="0.25">
      <c r="A51" t="s">
        <v>348</v>
      </c>
      <c r="B51" s="438" t="str">
        <f>VLOOKUP($A51,'NZ targets'!$G$13:$BG$238,2,FALSE)</f>
        <v>Norway</v>
      </c>
      <c r="C51" s="111">
        <v>100</v>
      </c>
      <c r="D51" s="111">
        <v>14.235611163916399</v>
      </c>
      <c r="E51" s="111">
        <v>5457127</v>
      </c>
      <c r="F51" s="111">
        <v>2.0677604675293</v>
      </c>
      <c r="G51" s="111">
        <v>1.9421806335449201</v>
      </c>
      <c r="H51" s="111">
        <v>0.86095833778381303</v>
      </c>
      <c r="I51" s="111">
        <v>1.5161395072937001</v>
      </c>
      <c r="J51" s="111">
        <v>1.7621715068817101</v>
      </c>
      <c r="K51" s="111">
        <v>1.77486836910248</v>
      </c>
      <c r="L51" s="111">
        <v>140626</v>
      </c>
      <c r="M51" s="111">
        <v>97.709870624366005</v>
      </c>
      <c r="N51" s="111">
        <v>436883.3</v>
      </c>
      <c r="O51" s="111">
        <v>57.772001598538097</v>
      </c>
      <c r="P51" s="111">
        <v>143922</v>
      </c>
      <c r="Q51" s="111">
        <v>756219.77413200005</v>
      </c>
      <c r="R51" s="111">
        <v>6.7250800496330996</v>
      </c>
      <c r="S51" s="111">
        <v>0.104917941662845</v>
      </c>
      <c r="T51" s="111">
        <v>33.458149175062502</v>
      </c>
      <c r="U51" s="111">
        <v>0.80728347264370603</v>
      </c>
      <c r="V51" s="111">
        <v>10756</v>
      </c>
      <c r="W51" s="111">
        <v>0.654895603939046</v>
      </c>
      <c r="X51" s="111">
        <v>14.8470090866665</v>
      </c>
      <c r="Y51" s="111">
        <v>5.5039408248089999E-4</v>
      </c>
      <c r="Z51" s="111">
        <v>4.9145363224650004E-4</v>
      </c>
      <c r="AA51" s="111">
        <v>403552919293.16901</v>
      </c>
      <c r="AB51" s="111">
        <v>75017.156747297704</v>
      </c>
      <c r="AC51" s="111">
        <v>1.7174002837376201</v>
      </c>
      <c r="AD51" s="111">
        <v>4.2897502857115501</v>
      </c>
      <c r="AE51" s="111">
        <v>2.2084274675048401</v>
      </c>
      <c r="AF51" s="111">
        <v>1.37</v>
      </c>
      <c r="AG51" s="111">
        <v>0.77</v>
      </c>
      <c r="AH51" s="111">
        <v>12.53</v>
      </c>
      <c r="AI51" s="111">
        <v>1.59</v>
      </c>
      <c r="AJ51" s="111">
        <v>5.14</v>
      </c>
      <c r="AK51" s="111">
        <v>2.2400000000000002</v>
      </c>
      <c r="AL51" s="111">
        <v>5.35</v>
      </c>
      <c r="AM51" s="111">
        <v>5.13</v>
      </c>
      <c r="AN51" s="111">
        <v>1.37</v>
      </c>
      <c r="AO51" s="111">
        <v>3</v>
      </c>
      <c r="AP51" s="111">
        <v>12.53</v>
      </c>
      <c r="AQ51" s="111">
        <v>18.185199740000002</v>
      </c>
      <c r="AR51" s="111">
        <v>64660.106220000001</v>
      </c>
      <c r="AS51" s="111">
        <v>0.96099999999999997</v>
      </c>
      <c r="AT51" s="111">
        <v>83.233900000000006</v>
      </c>
      <c r="AU51" s="111">
        <v>13.00362968</v>
      </c>
      <c r="AV51" s="111">
        <v>1.7</v>
      </c>
      <c r="AW51" s="111">
        <v>69.965484010142006</v>
      </c>
      <c r="AX51" s="111">
        <v>5553220663.8045063</v>
      </c>
      <c r="AY51" s="111">
        <v>4.6784825151515032E-2</v>
      </c>
      <c r="AZ51" s="111">
        <v>0.12105314032934179</v>
      </c>
      <c r="BA51" s="111">
        <v>40148.915151515161</v>
      </c>
      <c r="BB51" s="111">
        <v>-3.5714285714285721</v>
      </c>
      <c r="BC51" s="111">
        <v>1</v>
      </c>
      <c r="BD51" s="438">
        <f>VLOOKUP($A51,'NZ targets'!$G$13:$BG$238,33,FALSE)</f>
        <v>-2.868861029918016E-2</v>
      </c>
      <c r="BE51" s="439">
        <f>VLOOKUP($A51,'NZ targets'!$G$13:$BG$238,18,FALSE)</f>
        <v>-19.180250730737857</v>
      </c>
      <c r="BF51" s="440">
        <f>VLOOKUP($A51,'NZ targets'!$G$13:$BG$238,25,FALSE)</f>
        <v>-19.860934677027426</v>
      </c>
      <c r="BG51" s="442">
        <f>VLOOKUP($A51,'NZ targets'!$G$13:$BG$238,3,FALSE)</f>
        <v>4</v>
      </c>
    </row>
    <row r="52" spans="1:59" hidden="1" x14ac:dyDescent="0.25">
      <c r="A52" t="s">
        <v>328</v>
      </c>
      <c r="B52" s="438" t="str">
        <f>VLOOKUP($A52,'NZ targets'!$G$13:$BG$238,2,FALSE)</f>
        <v>Nepal</v>
      </c>
      <c r="C52" s="111">
        <v>89.9</v>
      </c>
      <c r="D52" s="111">
        <v>1.8176455528395099</v>
      </c>
      <c r="E52" s="111">
        <v>30547580</v>
      </c>
      <c r="F52" s="111">
        <v>-0.53264135122299205</v>
      </c>
      <c r="G52" s="111">
        <v>-0.91734474897384599</v>
      </c>
      <c r="H52" s="111">
        <v>-0.25190749764442399</v>
      </c>
      <c r="I52" s="111">
        <v>-0.65023493766784701</v>
      </c>
      <c r="J52" s="111">
        <v>-0.44867846369743303</v>
      </c>
      <c r="K52" s="111">
        <v>-4.9159400165081003E-2</v>
      </c>
      <c r="L52" s="111">
        <v>3503</v>
      </c>
      <c r="M52" s="111">
        <v>100</v>
      </c>
      <c r="N52" s="111">
        <v>412327.7</v>
      </c>
      <c r="O52" s="111">
        <v>85.263958190371298</v>
      </c>
      <c r="P52" s="111">
        <v>3503</v>
      </c>
      <c r="Q52" s="111">
        <v>483589.67698799999</v>
      </c>
      <c r="R52" s="111">
        <v>0.50936624735460401</v>
      </c>
      <c r="S52" s="111">
        <v>0</v>
      </c>
      <c r="T52" s="111">
        <v>41.590722009068699</v>
      </c>
      <c r="U52" s="111">
        <v>0.80561424832582496</v>
      </c>
      <c r="V52" s="111">
        <v>306664</v>
      </c>
      <c r="W52" s="111">
        <v>0.244568862829597</v>
      </c>
      <c r="X52" s="111">
        <v>209.52207185211</v>
      </c>
      <c r="Y52" s="111">
        <v>0.46619244596220699</v>
      </c>
      <c r="Z52" s="111">
        <v>1.8864473287372001E-3</v>
      </c>
      <c r="AA52" s="111">
        <v>29880062111.189301</v>
      </c>
      <c r="AB52" s="111">
        <v>1025.5091124322601</v>
      </c>
      <c r="AC52" s="111">
        <v>0</v>
      </c>
      <c r="AD52" s="111">
        <v>0</v>
      </c>
      <c r="AE52" s="111">
        <v>14.7450296477154</v>
      </c>
      <c r="AF52" s="111">
        <v>1.52</v>
      </c>
      <c r="AG52" s="111">
        <v>0.84</v>
      </c>
      <c r="AH52" s="111">
        <v>5.36</v>
      </c>
      <c r="AI52" s="111">
        <v>2.85</v>
      </c>
      <c r="AJ52" s="111">
        <v>25.74</v>
      </c>
      <c r="AK52" s="111">
        <v>0.08</v>
      </c>
      <c r="AL52" s="111">
        <v>1.94</v>
      </c>
      <c r="AM52" s="111">
        <v>25.74</v>
      </c>
      <c r="AN52" s="111">
        <v>1.52</v>
      </c>
      <c r="AO52" s="111">
        <v>0.92</v>
      </c>
      <c r="AP52" s="111">
        <v>5.36</v>
      </c>
      <c r="AQ52" s="111">
        <v>12.88694954</v>
      </c>
      <c r="AR52" s="111">
        <v>3877.3154439999998</v>
      </c>
      <c r="AS52" s="111">
        <v>0.60199999999999998</v>
      </c>
      <c r="AT52" s="111">
        <v>68.4495</v>
      </c>
      <c r="AU52" s="111">
        <v>5.1217927420000002</v>
      </c>
      <c r="AV52" s="111">
        <v>4.0999999999999996</v>
      </c>
      <c r="AW52" s="111">
        <v>56.735142215510997</v>
      </c>
      <c r="AX52" s="111">
        <v>1169322924.588501</v>
      </c>
      <c r="AY52" s="111">
        <v>0.15705438660000001</v>
      </c>
      <c r="AZ52" s="111">
        <v>2.0281578252000312</v>
      </c>
      <c r="BA52" s="111">
        <v>354140.19393939403</v>
      </c>
      <c r="BB52" s="111">
        <v>-4.3478260869565224</v>
      </c>
      <c r="BC52" s="111">
        <v>0</v>
      </c>
      <c r="BD52" s="438">
        <f>VLOOKUP($A52,'NZ targets'!$G$13:$BG$238,33,FALSE)</f>
        <v>-2.7438351273639028E-2</v>
      </c>
      <c r="BE52" s="439">
        <f>VLOOKUP($A52,'NZ targets'!$G$13:$BG$238,18,FALSE)</f>
        <v>-34.949589610389467</v>
      </c>
      <c r="BF52" s="440">
        <f>VLOOKUP($A52,'NZ targets'!$G$13:$BG$238,25,FALSE)</f>
        <v>-37.451706528770067</v>
      </c>
      <c r="BG52" s="442">
        <f>VLOOKUP($A52,'NZ targets'!$G$13:$BG$238,3,FALSE)</f>
        <v>3</v>
      </c>
    </row>
    <row r="53" spans="1:59" hidden="1" x14ac:dyDescent="0.25">
      <c r="A53" t="s">
        <v>336</v>
      </c>
      <c r="B53" s="438" t="str">
        <f>VLOOKUP($A53,'NZ targets'!$G$13:$BG$238,2,FALSE)</f>
        <v>New Zealand</v>
      </c>
      <c r="C53" s="111">
        <v>100</v>
      </c>
      <c r="D53" s="111">
        <v>22.959700352830001</v>
      </c>
      <c r="E53" s="111">
        <v>5124100</v>
      </c>
      <c r="F53" s="111">
        <v>2.1633341312408398</v>
      </c>
      <c r="G53" s="111">
        <v>1.34053194522858</v>
      </c>
      <c r="H53" s="111">
        <v>1.31238234043121</v>
      </c>
      <c r="I53" s="111">
        <v>1.8651930093765301</v>
      </c>
      <c r="J53" s="111">
        <v>1.7317972183227499</v>
      </c>
      <c r="K53" s="111">
        <v>1.63967132568359</v>
      </c>
      <c r="L53" s="111">
        <v>35400</v>
      </c>
      <c r="M53" s="111">
        <v>80.081438751272501</v>
      </c>
      <c r="N53" s="111">
        <v>163270.9</v>
      </c>
      <c r="O53" s="111">
        <v>30.789175554473399</v>
      </c>
      <c r="P53" s="111">
        <v>44205</v>
      </c>
      <c r="Q53" s="111">
        <v>530286.69024000003</v>
      </c>
      <c r="R53" s="111">
        <v>6.1607991827433102</v>
      </c>
      <c r="S53" s="111">
        <v>4.2529125664517604</v>
      </c>
      <c r="T53" s="111">
        <v>37.630650943754503</v>
      </c>
      <c r="U53" s="111">
        <v>6.3341198774115002</v>
      </c>
      <c r="V53" s="111">
        <v>38220</v>
      </c>
      <c r="W53" s="111">
        <v>2.92913525008841</v>
      </c>
      <c r="X53" s="111">
        <v>19.412099806312</v>
      </c>
      <c r="Y53" s="111">
        <v>-8.5427411489860001E-3</v>
      </c>
      <c r="Z53" s="111">
        <v>2.1385899766902802E-2</v>
      </c>
      <c r="AA53" s="111">
        <v>199618427796.858</v>
      </c>
      <c r="AB53" s="111">
        <v>39216.224862845898</v>
      </c>
      <c r="AC53" s="111">
        <v>0.19535364244310299</v>
      </c>
      <c r="AD53" s="111">
        <v>4.4120440773931499E-2</v>
      </c>
      <c r="AE53" s="111">
        <v>2.0014431658501399</v>
      </c>
      <c r="AF53" s="111">
        <v>1.45</v>
      </c>
      <c r="AG53" s="111">
        <v>0.44</v>
      </c>
      <c r="AH53" s="111">
        <v>16.02</v>
      </c>
      <c r="AI53" s="111">
        <v>-1.03</v>
      </c>
      <c r="AJ53" s="111">
        <v>42.3</v>
      </c>
      <c r="AK53" s="111">
        <v>1.74</v>
      </c>
      <c r="AL53" s="111">
        <v>14.61</v>
      </c>
      <c r="AM53" s="111">
        <v>42.3</v>
      </c>
      <c r="AN53" s="111">
        <v>1.45</v>
      </c>
      <c r="AO53" s="111">
        <v>2.1800000000000002</v>
      </c>
      <c r="AP53" s="111">
        <v>16.02</v>
      </c>
      <c r="AQ53" s="111">
        <v>20.283889769999998</v>
      </c>
      <c r="AR53" s="111">
        <v>44057.31394</v>
      </c>
      <c r="AS53" s="111">
        <v>0.93700000000000006</v>
      </c>
      <c r="AT53" s="111">
        <v>82.451300000000003</v>
      </c>
      <c r="AU53" s="111">
        <v>12.94468975</v>
      </c>
      <c r="AV53" s="111">
        <v>1.4</v>
      </c>
      <c r="AW53" s="111">
        <v>82.720400773953997</v>
      </c>
      <c r="AX53" s="111">
        <v>5430069198.4085026</v>
      </c>
      <c r="AY53" s="111">
        <v>-4.9266214303030298E-2</v>
      </c>
      <c r="AZ53" s="111">
        <v>0.32575958974500618</v>
      </c>
      <c r="BA53" s="111">
        <v>82355.15151515152</v>
      </c>
      <c r="BB53" s="111">
        <v>-3.5714285714285721</v>
      </c>
      <c r="BC53" s="111">
        <v>1</v>
      </c>
      <c r="BD53" s="438">
        <f>VLOOKUP($A53,'NZ targets'!$G$13:$BG$238,33,FALSE)</f>
        <v>-3.436555348823582E-2</v>
      </c>
      <c r="BE53" s="439">
        <f>VLOOKUP($A53,'NZ targets'!$G$13:$BG$238,18,FALSE)</f>
        <v>-23.259701512739905</v>
      </c>
      <c r="BF53" s="440">
        <f>VLOOKUP($A53,'NZ targets'!$G$13:$BG$238,25,FALSE)</f>
        <v>-21.812681512739907</v>
      </c>
      <c r="BG53" s="442">
        <f>VLOOKUP($A53,'NZ targets'!$G$13:$BG$238,3,FALSE)</f>
        <v>4</v>
      </c>
    </row>
    <row r="54" spans="1:59" hidden="1" x14ac:dyDescent="0.25">
      <c r="A54" t="s">
        <v>350</v>
      </c>
      <c r="B54" s="438" t="str">
        <f>VLOOKUP($A54,'NZ targets'!$G$13:$BG$238,2,FALSE)</f>
        <v>Oman</v>
      </c>
      <c r="C54" s="111">
        <v>100</v>
      </c>
      <c r="D54" s="111">
        <v>41.085873617455</v>
      </c>
      <c r="E54" s="111">
        <v>4576298</v>
      </c>
      <c r="F54" s="111">
        <v>5.2399512380361599E-2</v>
      </c>
      <c r="G54" s="111">
        <v>2.2041289135813699E-2</v>
      </c>
      <c r="H54" s="111">
        <v>0.52991139888763406</v>
      </c>
      <c r="I54" s="111">
        <v>0.432644993066788</v>
      </c>
      <c r="J54" s="111">
        <v>0.50048118829727195</v>
      </c>
      <c r="K54" s="111">
        <v>-1.147820353508</v>
      </c>
      <c r="L54" s="111">
        <v>0</v>
      </c>
      <c r="M54" s="111">
        <v>0</v>
      </c>
      <c r="N54" s="111">
        <v>0</v>
      </c>
      <c r="O54" s="111">
        <v>0</v>
      </c>
      <c r="P54" s="111">
        <v>32758</v>
      </c>
      <c r="Q54" s="111">
        <v>753718.83102000004</v>
      </c>
      <c r="R54" s="111">
        <v>15.636201002817501</v>
      </c>
      <c r="S54" s="111">
        <v>0</v>
      </c>
      <c r="T54" s="111">
        <v>7.8620355411954009E-3</v>
      </c>
      <c r="U54" s="111">
        <v>4.36652890270038</v>
      </c>
      <c r="V54" s="111">
        <v>-164408</v>
      </c>
      <c r="W54" s="111">
        <v>0.22712312698048301</v>
      </c>
      <c r="X54" s="111">
        <v>14.605722132471699</v>
      </c>
      <c r="Y54" s="111">
        <v>0</v>
      </c>
      <c r="Z54" s="111">
        <v>0</v>
      </c>
      <c r="AA54" s="111">
        <v>80394695532.953506</v>
      </c>
      <c r="AB54" s="111">
        <v>15743.2242944462</v>
      </c>
      <c r="AC54" s="111">
        <v>1.5969310177929299</v>
      </c>
      <c r="AD54" s="111">
        <v>19.366174984889</v>
      </c>
      <c r="AE54" s="111">
        <v>0.24122778675282699</v>
      </c>
      <c r="AF54" s="111">
        <v>15.05</v>
      </c>
      <c r="AG54" s="111">
        <v>1.71</v>
      </c>
      <c r="AH54" s="111">
        <v>12.24</v>
      </c>
      <c r="AI54" s="111">
        <v>4.8499999999999996</v>
      </c>
      <c r="AJ54" s="111">
        <v>1.75</v>
      </c>
      <c r="AK54" s="111">
        <v>2.68</v>
      </c>
      <c r="AL54" s="111">
        <v>17.04</v>
      </c>
      <c r="AM54" s="111">
        <v>1.75</v>
      </c>
      <c r="AN54" s="111">
        <v>15.05</v>
      </c>
      <c r="AO54" s="111">
        <v>4.4000000000000004</v>
      </c>
      <c r="AP54" s="111">
        <v>12.24</v>
      </c>
      <c r="AQ54" s="111">
        <v>14.573490140000001</v>
      </c>
      <c r="AR54" s="111">
        <v>27054.325049999999</v>
      </c>
      <c r="AS54" s="111">
        <v>0.81599999999999995</v>
      </c>
      <c r="AT54" s="111">
        <v>72.540599999999998</v>
      </c>
      <c r="AU54" s="111">
        <v>11.65404034</v>
      </c>
      <c r="AV54" s="111">
        <v>2.5</v>
      </c>
      <c r="AW54" s="111">
        <v>137.24372581917001</v>
      </c>
      <c r="AX54" s="111">
        <v>1874653251.371115</v>
      </c>
      <c r="AY54" s="111">
        <v>0.37155535049090899</v>
      </c>
      <c r="AZ54" s="111">
        <v>0.358163078278745</v>
      </c>
      <c r="BA54" s="111">
        <v>77857.58787878789</v>
      </c>
      <c r="BB54" s="111">
        <v>-2.3255813953488369</v>
      </c>
      <c r="BC54" s="111">
        <v>1</v>
      </c>
      <c r="BD54" s="438">
        <f>VLOOKUP($A54,'NZ targets'!$G$13:$BG$238,33,FALSE)</f>
        <v>-2.8571428571428571E-2</v>
      </c>
      <c r="BE54" s="439" t="str">
        <f>VLOOKUP($A54,'NZ targets'!$G$13:$BG$238,18,FALSE)</f>
        <v/>
      </c>
      <c r="BF54" s="440">
        <f>VLOOKUP($A54,'NZ targets'!$G$13:$BG$238,25,FALSE)</f>
        <v>0</v>
      </c>
      <c r="BG54" s="442">
        <f>VLOOKUP($A54,'NZ targets'!$G$13:$BG$238,3,FALSE)</f>
        <v>3</v>
      </c>
    </row>
    <row r="55" spans="1:59" x14ac:dyDescent="0.25">
      <c r="A55" t="s">
        <v>352</v>
      </c>
      <c r="B55" s="438" t="str">
        <f>VLOOKUP($A55,'NZ targets'!$G$13:$BG$238,2,FALSE)</f>
        <v>Pakistan</v>
      </c>
      <c r="C55" s="111">
        <v>94.922859191894503</v>
      </c>
      <c r="D55" s="111">
        <v>1.92084606074688</v>
      </c>
      <c r="E55" s="111">
        <v>235824862</v>
      </c>
      <c r="F55" s="111">
        <v>-0.804032683372498</v>
      </c>
      <c r="G55" s="111">
        <v>-0.62364071607589699</v>
      </c>
      <c r="H55" s="111">
        <v>-1.90026199817657</v>
      </c>
      <c r="I55" s="111">
        <v>-0.88641262054443404</v>
      </c>
      <c r="J55" s="111">
        <v>-0.67249220609664895</v>
      </c>
      <c r="K55" s="111">
        <v>-0.86223775148391701</v>
      </c>
      <c r="L55" s="111">
        <v>34844</v>
      </c>
      <c r="M55" s="111">
        <v>31.430349717213399</v>
      </c>
      <c r="N55" s="111">
        <v>1446248</v>
      </c>
      <c r="O55" s="111">
        <v>46.4763249199424</v>
      </c>
      <c r="P55" s="111">
        <v>110861</v>
      </c>
      <c r="Q55" s="111">
        <v>3111795.0967319999</v>
      </c>
      <c r="R55" s="111">
        <v>0.81036021551031001</v>
      </c>
      <c r="S55" s="111">
        <v>0.13710863152957301</v>
      </c>
      <c r="T55" s="111">
        <v>4.7796803652967998</v>
      </c>
      <c r="U55" s="111">
        <v>0.74573356974341498</v>
      </c>
      <c r="V55" s="111">
        <v>-588736</v>
      </c>
      <c r="W55" s="111">
        <v>0.30357721350413203</v>
      </c>
      <c r="X55" s="111">
        <v>300.17916796388499</v>
      </c>
      <c r="Y55" s="111">
        <v>2.3903378059632301</v>
      </c>
      <c r="Z55" s="111">
        <v>5.1178045702969098E-2</v>
      </c>
      <c r="AA55" s="111">
        <v>320098871692.13397</v>
      </c>
      <c r="AB55" s="111">
        <v>1449.1171795916</v>
      </c>
      <c r="AC55" s="111">
        <v>0.31462693487055299</v>
      </c>
      <c r="AD55" s="111">
        <v>0.29506881431127902</v>
      </c>
      <c r="AE55" s="111">
        <v>40.122976338729799</v>
      </c>
      <c r="AF55" s="111">
        <v>20.82</v>
      </c>
      <c r="AG55" s="111">
        <v>14.14</v>
      </c>
      <c r="AH55" s="111">
        <v>56.98</v>
      </c>
      <c r="AI55" s="111">
        <v>3.94</v>
      </c>
      <c r="AJ55" s="111">
        <v>186.22</v>
      </c>
      <c r="AK55" s="111">
        <v>10.89</v>
      </c>
      <c r="AL55" s="111">
        <v>2.0699999999999998</v>
      </c>
      <c r="AM55" s="111">
        <v>186.22</v>
      </c>
      <c r="AN55" s="111">
        <v>20.82</v>
      </c>
      <c r="AO55" s="111">
        <v>25.03</v>
      </c>
      <c r="AP55" s="111">
        <v>56.98</v>
      </c>
      <c r="AQ55" s="111">
        <v>8.6583499909999997</v>
      </c>
      <c r="AR55" s="111">
        <v>4623.70543</v>
      </c>
      <c r="AS55" s="111">
        <v>0.54400000000000004</v>
      </c>
      <c r="AT55" s="111">
        <v>66.097899999999996</v>
      </c>
      <c r="AU55" s="111">
        <v>4.5363302230000002</v>
      </c>
      <c r="AV55" s="111">
        <v>6.1</v>
      </c>
      <c r="AW55" s="111">
        <v>546.09930691679006</v>
      </c>
      <c r="AX55" s="111">
        <v>11663028318.265739</v>
      </c>
      <c r="AY55" s="111">
        <v>-5.8656595672727269E-2</v>
      </c>
      <c r="AZ55" s="111">
        <v>4.0892280133212493</v>
      </c>
      <c r="BA55" s="111">
        <v>3334748.375757576</v>
      </c>
      <c r="BB55" s="111">
        <v>-3.5714285714285721</v>
      </c>
      <c r="BC55" s="111">
        <v>0</v>
      </c>
      <c r="BD55" s="438" t="str">
        <f>VLOOKUP($A55,'NZ targets'!$G$13:$BG$238,33,FALSE)</f>
        <v/>
      </c>
      <c r="BE55" s="439">
        <f>VLOOKUP($A55,'NZ targets'!$G$13:$BG$238,18,FALSE)</f>
        <v>3.2563532763532734</v>
      </c>
      <c r="BF55" s="440">
        <f>VLOOKUP($A55,'NZ targets'!$G$13:$BG$238,25,FALSE)</f>
        <v>3.0232238829664757</v>
      </c>
      <c r="BG55" s="442">
        <f>VLOOKUP($A55,'NZ targets'!$G$13:$BG$238,3,FALSE)</f>
        <v>1</v>
      </c>
    </row>
    <row r="56" spans="1:59" hidden="1" x14ac:dyDescent="0.25">
      <c r="A56" t="s">
        <v>356</v>
      </c>
      <c r="B56" s="438" t="str">
        <f>VLOOKUP($A56,'NZ targets'!$G$13:$BG$238,2,FALSE)</f>
        <v>Panama</v>
      </c>
      <c r="C56" s="111">
        <v>95.251082548875999</v>
      </c>
      <c r="D56" s="111">
        <v>4.7010275273908499</v>
      </c>
      <c r="E56" s="111">
        <v>4408581</v>
      </c>
      <c r="F56" s="111">
        <v>-0.63460725545883201</v>
      </c>
      <c r="G56" s="111">
        <v>-0.12745080888271301</v>
      </c>
      <c r="H56" s="111">
        <v>0.297832071781158</v>
      </c>
      <c r="I56" s="111">
        <v>0.127132147550583</v>
      </c>
      <c r="J56" s="111">
        <v>-0.36002513766288802</v>
      </c>
      <c r="K56" s="111">
        <v>0.53858304023742698</v>
      </c>
      <c r="L56" s="111">
        <v>6726</v>
      </c>
      <c r="M56" s="111">
        <v>65.326340326340301</v>
      </c>
      <c r="N56" s="111">
        <v>30721.63</v>
      </c>
      <c r="O56" s="111">
        <v>21.2341523445028</v>
      </c>
      <c r="P56" s="111">
        <v>10296</v>
      </c>
      <c r="Q56" s="111">
        <v>144680.27497200001</v>
      </c>
      <c r="R56" s="111">
        <v>2.2314430248165298</v>
      </c>
      <c r="S56" s="111">
        <v>6.9153069153069104</v>
      </c>
      <c r="T56" s="111">
        <v>56.651702615260199</v>
      </c>
      <c r="U56" s="111">
        <v>1.1753318718162</v>
      </c>
      <c r="V56" s="111">
        <v>5473</v>
      </c>
      <c r="W56" s="111">
        <v>0.29192954632036699</v>
      </c>
      <c r="X56" s="111">
        <v>58.6582232407657</v>
      </c>
      <c r="Y56" s="111">
        <v>0.35093336660411001</v>
      </c>
      <c r="Z56" s="111">
        <v>0</v>
      </c>
      <c r="AA56" s="111">
        <v>52520697170.315697</v>
      </c>
      <c r="AB56" s="111">
        <v>12172.310810295199</v>
      </c>
      <c r="AC56" s="111">
        <v>0</v>
      </c>
      <c r="AD56" s="111">
        <v>0</v>
      </c>
      <c r="AE56" s="111">
        <v>7.6166082502022103</v>
      </c>
      <c r="AF56" s="111">
        <v>0.62</v>
      </c>
      <c r="AG56" s="111">
        <v>0.85</v>
      </c>
      <c r="AH56" s="111">
        <v>4.8099999999999996</v>
      </c>
      <c r="AI56" s="111">
        <v>0.54</v>
      </c>
      <c r="AJ56" s="111">
        <v>3.54</v>
      </c>
      <c r="AK56" s="111">
        <v>1.18</v>
      </c>
      <c r="AL56" s="111">
        <v>5.37</v>
      </c>
      <c r="AM56" s="111">
        <v>3.54</v>
      </c>
      <c r="AN56" s="111">
        <v>0.62</v>
      </c>
      <c r="AO56" s="111">
        <v>2.0299999999999998</v>
      </c>
      <c r="AP56" s="111">
        <v>4.8099999999999996</v>
      </c>
      <c r="AQ56" s="111">
        <v>13.05787868</v>
      </c>
      <c r="AR56" s="111">
        <v>26956.837070000001</v>
      </c>
      <c r="AS56" s="111">
        <v>0.80500000000000005</v>
      </c>
      <c r="AT56" s="111">
        <v>76.223299999999995</v>
      </c>
      <c r="AU56" s="111">
        <v>10.540590290000001</v>
      </c>
      <c r="AV56" s="111">
        <v>3.6</v>
      </c>
      <c r="AW56" s="111">
        <v>18.477644325859998</v>
      </c>
      <c r="AX56" s="111">
        <v>1968721075.2426419</v>
      </c>
      <c r="AY56" s="111">
        <v>0.1191838587636365</v>
      </c>
      <c r="AZ56" s="111">
        <v>0.91468176788906452</v>
      </c>
      <c r="BA56" s="111">
        <v>66029.139393939404</v>
      </c>
      <c r="BB56" s="111">
        <v>-3.5714285714285721</v>
      </c>
      <c r="BC56" s="111">
        <v>0</v>
      </c>
      <c r="BD56" s="438">
        <f>VLOOKUP($A56,'NZ targets'!$G$13:$BG$238,33,FALSE)</f>
        <v>1.7076663239028528E-2</v>
      </c>
      <c r="BE56" s="439">
        <f>VLOOKUP($A56,'NZ targets'!$G$13:$BG$238,18,FALSE)</f>
        <v>-29.862697586206878</v>
      </c>
      <c r="BF56" s="440">
        <f>VLOOKUP($A56,'NZ targets'!$G$13:$BG$238,25,FALSE)</f>
        <v>-41.970480518077842</v>
      </c>
      <c r="BG56" s="442">
        <f>VLOOKUP($A56,'NZ targets'!$G$13:$BG$238,3,FALSE)</f>
        <v>3</v>
      </c>
    </row>
    <row r="57" spans="1:59" hidden="1" x14ac:dyDescent="0.25">
      <c r="A57" t="s">
        <v>362</v>
      </c>
      <c r="B57" s="438" t="str">
        <f>VLOOKUP($A57,'NZ targets'!$G$13:$BG$238,2,FALSE)</f>
        <v>Peru</v>
      </c>
      <c r="C57" s="111">
        <v>95.6</v>
      </c>
      <c r="D57" s="111">
        <v>0.28964514080047399</v>
      </c>
      <c r="E57" s="111">
        <v>34049588</v>
      </c>
      <c r="F57" s="111">
        <v>-0.80757743120193504</v>
      </c>
      <c r="G57" s="111">
        <v>-0.39776611328125</v>
      </c>
      <c r="H57" s="111">
        <v>-0.44633838534355202</v>
      </c>
      <c r="I57" s="111">
        <v>0.20857498049736001</v>
      </c>
      <c r="J57" s="111">
        <v>-0.55139106512069702</v>
      </c>
      <c r="K57" s="111">
        <v>5.1325444132089601E-2</v>
      </c>
      <c r="L57" s="111">
        <v>25443</v>
      </c>
      <c r="M57" s="111">
        <v>52.730513357236099</v>
      </c>
      <c r="N57" s="111">
        <v>188380.4</v>
      </c>
      <c r="O57" s="111">
        <v>25.503905515847901</v>
      </c>
      <c r="P57" s="111">
        <v>48251</v>
      </c>
      <c r="Q57" s="111">
        <v>738633.53941199998</v>
      </c>
      <c r="R57" s="111">
        <v>1.39856601861908</v>
      </c>
      <c r="S57" s="111">
        <v>0.83936084226233698</v>
      </c>
      <c r="T57" s="111">
        <v>56.373072890624996</v>
      </c>
      <c r="U57" s="111">
        <v>0.95120984072064696</v>
      </c>
      <c r="V57" s="111">
        <v>79456</v>
      </c>
      <c r="W57" s="111">
        <v>0.30627827569131599</v>
      </c>
      <c r="X57" s="111">
        <v>26.340211718749998</v>
      </c>
      <c r="Y57" s="111">
        <v>0.19291714770450599</v>
      </c>
      <c r="Z57" s="111">
        <v>2.4332527011896002E-3</v>
      </c>
      <c r="AA57" s="111">
        <v>191469666109.311</v>
      </c>
      <c r="AB57" s="111">
        <v>5807.0654008668798</v>
      </c>
      <c r="AC57" s="111">
        <v>0.14629556775632899</v>
      </c>
      <c r="AD57" s="111">
        <v>0.17791947150721099</v>
      </c>
      <c r="AE57" s="111">
        <v>2.7970515625000001</v>
      </c>
      <c r="AF57" s="111">
        <v>4.0599999999999996</v>
      </c>
      <c r="AG57" s="111">
        <v>3.98</v>
      </c>
      <c r="AH57" s="111">
        <v>24.18</v>
      </c>
      <c r="AI57" s="111">
        <v>0.17</v>
      </c>
      <c r="AJ57" s="111">
        <v>26.18</v>
      </c>
      <c r="AK57" s="111">
        <v>1.25</v>
      </c>
      <c r="AL57" s="111">
        <v>5.82</v>
      </c>
      <c r="AM57" s="111">
        <v>26.17</v>
      </c>
      <c r="AN57" s="111">
        <v>4.0599999999999996</v>
      </c>
      <c r="AO57" s="111">
        <v>5.23</v>
      </c>
      <c r="AP57" s="111">
        <v>24.18</v>
      </c>
      <c r="AQ57" s="111">
        <v>15.387733539999999</v>
      </c>
      <c r="AR57" s="111">
        <v>12245.89366</v>
      </c>
      <c r="AS57" s="111">
        <v>0.76200000000000001</v>
      </c>
      <c r="AT57" s="111">
        <v>72.376900000000006</v>
      </c>
      <c r="AU57" s="111">
        <v>9.8855188629999997</v>
      </c>
      <c r="AV57" s="111">
        <v>4.7</v>
      </c>
      <c r="AW57" s="111">
        <v>105.13935928255999</v>
      </c>
      <c r="AX57" s="111">
        <v>4965862403.9669275</v>
      </c>
      <c r="AY57" s="111">
        <v>0.1112108425515151</v>
      </c>
      <c r="AZ57" s="111">
        <v>0.35917645359848482</v>
      </c>
      <c r="BA57" s="111">
        <v>474344.36363636359</v>
      </c>
      <c r="BB57" s="111">
        <v>-3.5714285714285721</v>
      </c>
      <c r="BC57" s="111">
        <v>0</v>
      </c>
      <c r="BD57" s="438">
        <f>VLOOKUP($A57,'NZ targets'!$G$13:$BG$238,33,FALSE)</f>
        <v>-5.0040390947987949E-2</v>
      </c>
      <c r="BE57" s="439">
        <f>VLOOKUP($A57,'NZ targets'!$G$13:$BG$238,18,FALSE)</f>
        <v>90.240688415579143</v>
      </c>
      <c r="BF57" s="440">
        <f>VLOOKUP($A57,'NZ targets'!$G$13:$BG$238,25,FALSE)</f>
        <v>66.907486577999691</v>
      </c>
      <c r="BG57" s="442">
        <f>VLOOKUP($A57,'NZ targets'!$G$13:$BG$238,3,FALSE)</f>
        <v>3</v>
      </c>
    </row>
    <row r="58" spans="1:59" hidden="1" x14ac:dyDescent="0.25">
      <c r="A58" t="s">
        <v>378</v>
      </c>
      <c r="B58" s="438" t="str">
        <f>VLOOKUP($A58,'NZ targets'!$G$13:$BG$238,2,FALSE)</f>
        <v>Romania</v>
      </c>
      <c r="C58" s="111">
        <v>100</v>
      </c>
      <c r="D58" s="111">
        <v>1.16313480315329</v>
      </c>
      <c r="E58" s="111">
        <v>19047009</v>
      </c>
      <c r="F58" s="111">
        <v>1.6672393307089799E-2</v>
      </c>
      <c r="G58" s="111">
        <v>4.7058962081791799E-5</v>
      </c>
      <c r="H58" s="111">
        <v>0.488021969795227</v>
      </c>
      <c r="I58" s="111">
        <v>0.36453306674957298</v>
      </c>
      <c r="J58" s="111">
        <v>0.40415573120117199</v>
      </c>
      <c r="K58" s="111">
        <v>0.56336796283721902</v>
      </c>
      <c r="L58" s="111">
        <v>26202</v>
      </c>
      <c r="M58" s="111">
        <v>39.746973696186402</v>
      </c>
      <c r="N58" s="111">
        <v>211769.1</v>
      </c>
      <c r="O58" s="111">
        <v>23.6977940316245</v>
      </c>
      <c r="P58" s="111">
        <v>65922</v>
      </c>
      <c r="Q58" s="111">
        <v>893623.68377999996</v>
      </c>
      <c r="R58" s="111">
        <v>3.56413750145988</v>
      </c>
      <c r="S58" s="111">
        <v>27.638724553259902</v>
      </c>
      <c r="T58" s="111">
        <v>30.115829276773301</v>
      </c>
      <c r="U58" s="111">
        <v>0.85433416280608898</v>
      </c>
      <c r="V58" s="111">
        <v>-12724</v>
      </c>
      <c r="W58" s="111">
        <v>0.475044769624064</v>
      </c>
      <c r="X58" s="111">
        <v>83.110478963838702</v>
      </c>
      <c r="Y58" s="111">
        <v>-0.50046064068357099</v>
      </c>
      <c r="Z58" s="111">
        <v>1.6839427184293002E-2</v>
      </c>
      <c r="AA58" s="111">
        <v>209235671297.327</v>
      </c>
      <c r="AB58" s="111">
        <v>10865.1410616386</v>
      </c>
      <c r="AC58" s="111">
        <v>0.18584458193818601</v>
      </c>
      <c r="AD58" s="111">
        <v>0.246720226511633</v>
      </c>
      <c r="AE58" s="111">
        <v>38.747392211404701</v>
      </c>
      <c r="AF58" s="111">
        <v>9.0299999999999994</v>
      </c>
      <c r="AG58" s="111">
        <v>3.31</v>
      </c>
      <c r="AH58" s="111">
        <v>18.11</v>
      </c>
      <c r="AI58" s="111">
        <v>0.5</v>
      </c>
      <c r="AJ58" s="111">
        <v>15.59</v>
      </c>
      <c r="AK58" s="111">
        <v>2.0699999999999998</v>
      </c>
      <c r="AL58" s="111">
        <v>4.42</v>
      </c>
      <c r="AM58" s="111">
        <v>15.59</v>
      </c>
      <c r="AN58" s="111">
        <v>9.0299999999999994</v>
      </c>
      <c r="AO58" s="111">
        <v>5.38</v>
      </c>
      <c r="AP58" s="111">
        <v>18.11</v>
      </c>
      <c r="AQ58" s="111">
        <v>14.22990036</v>
      </c>
      <c r="AR58" s="111">
        <v>30027.291310000001</v>
      </c>
      <c r="AS58" s="111">
        <v>0.82099999999999995</v>
      </c>
      <c r="AT58" s="111">
        <v>74.184700000000007</v>
      </c>
      <c r="AU58" s="111">
        <v>11.275119780000001</v>
      </c>
      <c r="AV58" s="111">
        <v>2.6</v>
      </c>
      <c r="AW58" s="111">
        <v>117.06097006426</v>
      </c>
      <c r="AX58" s="111">
        <v>7057119287.6950684</v>
      </c>
      <c r="AY58" s="111">
        <v>4.5358082727272812E-2</v>
      </c>
      <c r="AZ58" s="111">
        <v>-0.4571670640190113</v>
      </c>
      <c r="BA58" s="111">
        <v>-107860.7757575758</v>
      </c>
      <c r="BB58" s="111">
        <v>-3.5714285714285721</v>
      </c>
      <c r="BC58" s="111">
        <v>1</v>
      </c>
      <c r="BD58" s="438">
        <f>VLOOKUP($A58,'NZ targets'!$G$13:$BG$238,33,FALSE)</f>
        <v>-2.2128247652072806E-2</v>
      </c>
      <c r="BE58" s="439">
        <f>VLOOKUP($A58,'NZ targets'!$G$13:$BG$238,18,FALSE)</f>
        <v>-50.406757052158191</v>
      </c>
      <c r="BF58" s="440">
        <f>VLOOKUP($A58,'NZ targets'!$G$13:$BG$238,25,FALSE)</f>
        <v>-57.21424063188644</v>
      </c>
      <c r="BG58" s="442">
        <f>VLOOKUP($A58,'NZ targets'!$G$13:$BG$238,3,FALSE)</f>
        <v>3</v>
      </c>
    </row>
    <row r="59" spans="1:59" hidden="1" x14ac:dyDescent="0.25">
      <c r="A59" t="s">
        <v>390</v>
      </c>
      <c r="B59" s="438" t="str">
        <f>VLOOKUP($A59,'NZ targets'!$G$13:$BG$238,2,FALSE)</f>
        <v>Saudi Arabia</v>
      </c>
      <c r="C59" s="111">
        <v>100</v>
      </c>
      <c r="D59" s="111">
        <v>32.294942494654201</v>
      </c>
      <c r="E59" s="111">
        <v>36408820</v>
      </c>
      <c r="F59" s="111">
        <v>0.35694831609726002</v>
      </c>
      <c r="G59" s="111">
        <v>0.58305078744888295</v>
      </c>
      <c r="H59" s="111">
        <v>-0.36298900842666598</v>
      </c>
      <c r="I59" s="111">
        <v>0.41858547925949102</v>
      </c>
      <c r="J59" s="111">
        <v>0.29062327742576599</v>
      </c>
      <c r="K59" s="111">
        <v>-1.4899606704711901</v>
      </c>
      <c r="L59" s="111">
        <v>1</v>
      </c>
      <c r="M59" s="111">
        <v>2.9556417289319998E-4</v>
      </c>
      <c r="N59" s="111">
        <v>285.30599999999998</v>
      </c>
      <c r="O59" s="111">
        <v>5.9765421632379002E-3</v>
      </c>
      <c r="P59" s="111">
        <v>338336</v>
      </c>
      <c r="Q59" s="111">
        <v>4773763.6949159997</v>
      </c>
      <c r="R59" s="111">
        <v>14.266585367540801</v>
      </c>
      <c r="S59" s="111">
        <v>0</v>
      </c>
      <c r="T59" s="111">
        <v>0.45448413492177903</v>
      </c>
      <c r="U59" s="111">
        <v>2.8510766795787199</v>
      </c>
      <c r="V59" s="111">
        <v>-1025295</v>
      </c>
      <c r="W59" s="111">
        <v>0.22916283828031001</v>
      </c>
      <c r="X59" s="111">
        <v>16.723525717661602</v>
      </c>
      <c r="Y59" s="111">
        <v>0</v>
      </c>
      <c r="Z59" s="111">
        <v>0</v>
      </c>
      <c r="AA59" s="111">
        <v>651027175187.61401</v>
      </c>
      <c r="AB59" s="111">
        <v>18700.225837813799</v>
      </c>
      <c r="AC59" s="111">
        <v>0.44767992287210601</v>
      </c>
      <c r="AD59" s="111">
        <v>17.6953434542833</v>
      </c>
      <c r="AE59" s="111">
        <v>1.5957728323618801</v>
      </c>
      <c r="AF59" s="111">
        <v>5.08</v>
      </c>
      <c r="AG59" s="111">
        <v>22.87</v>
      </c>
      <c r="AH59" s="111">
        <v>136.02000000000001</v>
      </c>
      <c r="AI59" s="111">
        <v>-2.74</v>
      </c>
      <c r="AJ59" s="111">
        <v>6.31</v>
      </c>
      <c r="AK59" s="111">
        <v>73.88</v>
      </c>
      <c r="AL59" s="111">
        <v>18.940000000000001</v>
      </c>
      <c r="AM59" s="111">
        <v>6.31</v>
      </c>
      <c r="AN59" s="111">
        <v>5.08</v>
      </c>
      <c r="AO59" s="111">
        <v>96.75</v>
      </c>
      <c r="AP59" s="111">
        <v>136.02000000000001</v>
      </c>
      <c r="AQ59" s="111">
        <v>16.13549042</v>
      </c>
      <c r="AR59" s="111">
        <v>46111.551350000002</v>
      </c>
      <c r="AS59" s="111">
        <v>0.875</v>
      </c>
      <c r="AT59" s="111">
        <v>76.936000000000007</v>
      </c>
      <c r="AU59" s="111">
        <v>11.310529710000001</v>
      </c>
      <c r="AV59" s="111">
        <v>3.6</v>
      </c>
      <c r="AW59" s="111">
        <v>810.51160690664994</v>
      </c>
      <c r="AX59" s="111">
        <v>11508563590.54463</v>
      </c>
      <c r="AY59" s="111">
        <v>0.22001648829696979</v>
      </c>
      <c r="AZ59" s="111">
        <v>0.2927910169429655</v>
      </c>
      <c r="BA59" s="111">
        <v>578213.96363636362</v>
      </c>
      <c r="BB59" s="111">
        <v>-2.6315789473684208</v>
      </c>
      <c r="BC59" s="111">
        <v>1</v>
      </c>
      <c r="BD59" s="438">
        <f>VLOOKUP($A59,'NZ targets'!$G$13:$BG$238,33,FALSE)</f>
        <v>-3.3063264526261578E-2</v>
      </c>
      <c r="BE59" s="439">
        <f>VLOOKUP($A59,'NZ targets'!$G$13:$BG$238,18,FALSE)</f>
        <v>-6.350043610013131</v>
      </c>
      <c r="BF59" s="440">
        <f>VLOOKUP($A59,'NZ targets'!$G$13:$BG$238,25,FALSE)</f>
        <v>-9.7072576559999995</v>
      </c>
      <c r="BG59" s="442">
        <f>VLOOKUP($A59,'NZ targets'!$G$13:$BG$238,3,FALSE)</f>
        <v>3</v>
      </c>
    </row>
    <row r="60" spans="1:59" x14ac:dyDescent="0.25">
      <c r="A60" t="s">
        <v>392</v>
      </c>
      <c r="B60" s="438" t="str">
        <f>VLOOKUP($A60,'NZ targets'!$G$13:$BG$238,2,FALSE)</f>
        <v>Senegal</v>
      </c>
      <c r="C60" s="111">
        <v>67.975341796875</v>
      </c>
      <c r="D60" s="111">
        <v>1.73995141736156</v>
      </c>
      <c r="E60" s="111">
        <v>17316449</v>
      </c>
      <c r="F60" s="111">
        <v>-2.8728108853101699E-2</v>
      </c>
      <c r="G60" s="111">
        <v>-1.2492777314037E-3</v>
      </c>
      <c r="H60" s="111">
        <v>-0.15329946577549</v>
      </c>
      <c r="I60" s="111">
        <v>-0.296521306037903</v>
      </c>
      <c r="J60" s="111">
        <v>-0.26250022649764998</v>
      </c>
      <c r="K60" s="111">
        <v>0.16492365300655401</v>
      </c>
      <c r="L60" s="111">
        <v>412</v>
      </c>
      <c r="M60" s="111">
        <v>10.417193426042999</v>
      </c>
      <c r="N60" s="111">
        <v>48778.32</v>
      </c>
      <c r="O60" s="111">
        <v>42.711751628413197</v>
      </c>
      <c r="P60" s="111">
        <v>3955</v>
      </c>
      <c r="Q60" s="111">
        <v>114203.51107199999</v>
      </c>
      <c r="R60" s="111">
        <v>0.649800561203009</v>
      </c>
      <c r="S60" s="111">
        <v>0</v>
      </c>
      <c r="T60" s="111">
        <v>41.698228847452299</v>
      </c>
      <c r="U60" s="111">
        <v>0.71566607264974902</v>
      </c>
      <c r="V60" s="111">
        <v>-10090</v>
      </c>
      <c r="W60" s="111">
        <v>0.36646453335702101</v>
      </c>
      <c r="X60" s="111">
        <v>87.657611800758303</v>
      </c>
      <c r="Y60" s="111">
        <v>0.48435209501566601</v>
      </c>
      <c r="Z60" s="111">
        <v>0</v>
      </c>
      <c r="AA60" s="111">
        <v>22859676610.5224</v>
      </c>
      <c r="AB60" s="111">
        <v>1365.25156343358</v>
      </c>
      <c r="AC60" s="111">
        <v>7.4826281368897997E-3</v>
      </c>
      <c r="AD60" s="111">
        <v>0</v>
      </c>
      <c r="AE60" s="111">
        <v>16.620786370955202</v>
      </c>
      <c r="AF60" s="111">
        <v>0.52</v>
      </c>
      <c r="AG60" s="111">
        <v>1.78</v>
      </c>
      <c r="AH60" s="111">
        <v>2.4900000000000002</v>
      </c>
      <c r="AI60" s="111">
        <v>0.74</v>
      </c>
      <c r="AJ60" s="111">
        <v>11.01</v>
      </c>
      <c r="AK60" s="111">
        <v>1.56</v>
      </c>
      <c r="AL60" s="111">
        <v>2.17</v>
      </c>
      <c r="AM60" s="111">
        <v>11.01</v>
      </c>
      <c r="AN60" s="111">
        <v>0.52</v>
      </c>
      <c r="AO60" s="111">
        <v>3.34</v>
      </c>
      <c r="AP60" s="111">
        <v>2.4900000000000002</v>
      </c>
      <c r="AQ60" s="111">
        <v>8.9637498860000004</v>
      </c>
      <c r="AR60" s="111">
        <v>3344.3118250000002</v>
      </c>
      <c r="AS60" s="111">
        <v>0.51100000000000001</v>
      </c>
      <c r="AT60" s="111">
        <v>67.092600000000004</v>
      </c>
      <c r="AU60" s="111">
        <v>2.937938258</v>
      </c>
      <c r="AV60" s="111">
        <v>4.0999999999999996</v>
      </c>
      <c r="AW60" s="111">
        <v>30.614531083023</v>
      </c>
      <c r="AX60" s="111">
        <v>995698809.92467642</v>
      </c>
      <c r="AY60" s="111">
        <v>3.1698485351515149E-2</v>
      </c>
      <c r="AZ60" s="111">
        <v>2.1060188022645812</v>
      </c>
      <c r="BA60" s="111">
        <v>414532.83030303032</v>
      </c>
      <c r="BB60" s="111">
        <v>-3.5714285714285721</v>
      </c>
      <c r="BC60" s="111">
        <v>1</v>
      </c>
      <c r="BD60" s="438" t="str">
        <f>VLOOKUP($A60,'NZ targets'!$G$13:$BG$238,33,FALSE)</f>
        <v/>
      </c>
      <c r="BE60" s="439">
        <f>VLOOKUP($A60,'NZ targets'!$G$13:$BG$238,18,FALSE)</f>
        <v>-11.762541176470592</v>
      </c>
      <c r="BF60" s="440">
        <f>VLOOKUP($A60,'NZ targets'!$G$13:$BG$238,25,FALSE)</f>
        <v>-15.264209726896144</v>
      </c>
      <c r="BG60" s="442">
        <f>VLOOKUP($A60,'NZ targets'!$G$13:$BG$238,3,FALSE)</f>
        <v>1</v>
      </c>
    </row>
    <row r="61" spans="1:59" hidden="1" x14ac:dyDescent="0.25">
      <c r="A61" t="s">
        <v>168</v>
      </c>
      <c r="B61" s="438" t="str">
        <f>VLOOKUP($A61,'NZ targets'!$G$13:$BG$238,2,FALSE)</f>
        <v>El Salvador</v>
      </c>
      <c r="C61" s="111">
        <v>97.89</v>
      </c>
      <c r="D61" s="111">
        <v>0.68627161339363196</v>
      </c>
      <c r="E61" s="111">
        <v>6336392</v>
      </c>
      <c r="F61" s="111">
        <v>-0.64208120107650801</v>
      </c>
      <c r="G61" s="111">
        <v>-0.32033282518386802</v>
      </c>
      <c r="H61" s="111">
        <v>-0.15312449634075201</v>
      </c>
      <c r="I61" s="111">
        <v>-0.462724059820175</v>
      </c>
      <c r="J61" s="111">
        <v>-0.74135392904281605</v>
      </c>
      <c r="K61" s="111">
        <v>-0.37187305092811601</v>
      </c>
      <c r="L61" s="111">
        <v>3463</v>
      </c>
      <c r="M61" s="111">
        <v>57.822674903990603</v>
      </c>
      <c r="N61" s="111">
        <v>25172.23</v>
      </c>
      <c r="O61" s="111">
        <v>24.400769994085</v>
      </c>
      <c r="P61" s="111">
        <v>5989</v>
      </c>
      <c r="Q61" s="111">
        <v>103161.621564</v>
      </c>
      <c r="R61" s="111">
        <v>1.0132802435063599</v>
      </c>
      <c r="S61" s="111">
        <v>0</v>
      </c>
      <c r="T61" s="111">
        <v>27.962355212355199</v>
      </c>
      <c r="U61" s="111">
        <v>0.51956702201317695</v>
      </c>
      <c r="V61" s="111">
        <v>-25214</v>
      </c>
      <c r="W61" s="111">
        <v>0.16141587571437599</v>
      </c>
      <c r="X61" s="111">
        <v>304.73778957528998</v>
      </c>
      <c r="Y61" s="111">
        <v>1.49146674468038</v>
      </c>
      <c r="Z61" s="111">
        <v>0</v>
      </c>
      <c r="AA61" s="111">
        <v>23560825996.9743</v>
      </c>
      <c r="AB61" s="111">
        <v>3632.4538812433202</v>
      </c>
      <c r="AC61" s="111">
        <v>0</v>
      </c>
      <c r="AD61" s="111">
        <v>0</v>
      </c>
      <c r="AE61" s="111">
        <v>34.797297297297298</v>
      </c>
      <c r="AF61" s="111">
        <v>0.64</v>
      </c>
      <c r="AG61" s="111">
        <v>0.39</v>
      </c>
      <c r="AH61" s="111">
        <v>3.48</v>
      </c>
      <c r="AI61" s="111">
        <v>3.05</v>
      </c>
      <c r="AJ61" s="111">
        <v>2.4300000000000002</v>
      </c>
      <c r="AK61" s="111">
        <v>0.35</v>
      </c>
      <c r="AL61" s="111">
        <v>2.09</v>
      </c>
      <c r="AM61" s="111">
        <v>2.4300000000000002</v>
      </c>
      <c r="AN61" s="111">
        <v>0.64</v>
      </c>
      <c r="AO61" s="111">
        <v>0.74</v>
      </c>
      <c r="AP61" s="111">
        <v>3.48</v>
      </c>
      <c r="AQ61" s="111">
        <v>12.671347669999999</v>
      </c>
      <c r="AR61" s="111">
        <v>8295.6658889999999</v>
      </c>
      <c r="AS61" s="111">
        <v>0.67500000000000004</v>
      </c>
      <c r="AT61" s="111">
        <v>70.747900000000001</v>
      </c>
      <c r="AU61" s="111">
        <v>7.150929928</v>
      </c>
      <c r="AV61" s="111">
        <v>4</v>
      </c>
      <c r="AW61" s="111">
        <v>13.073881103725</v>
      </c>
      <c r="AX61" s="111">
        <v>391949767.93655211</v>
      </c>
      <c r="AY61" s="111">
        <v>9.7805446563636392E-2</v>
      </c>
      <c r="AZ61" s="111">
        <v>0.76955422955423403</v>
      </c>
      <c r="BA61" s="111">
        <v>15129.52121212121</v>
      </c>
      <c r="BB61" s="111">
        <v>-12.5</v>
      </c>
      <c r="BC61" s="111">
        <v>0</v>
      </c>
      <c r="BD61" s="438" t="str">
        <f>VLOOKUP($A61,'NZ targets'!$G$13:$BG$238,33,FALSE)</f>
        <v/>
      </c>
      <c r="BE61" s="439">
        <f>VLOOKUP($A61,'NZ targets'!$G$13:$BG$238,18,FALSE)</f>
        <v>10.562610576923078</v>
      </c>
      <c r="BF61" s="440">
        <f>VLOOKUP($A61,'NZ targets'!$G$13:$BG$238,25,FALSE)</f>
        <v>6.280017027225167</v>
      </c>
      <c r="BG61" s="442">
        <f>VLOOKUP($A61,'NZ targets'!$G$13:$BG$238,3,FALSE)</f>
        <v>0</v>
      </c>
    </row>
    <row r="62" spans="1:59" hidden="1" x14ac:dyDescent="0.25">
      <c r="A62" t="s">
        <v>402</v>
      </c>
      <c r="B62" s="438" t="str">
        <f>VLOOKUP($A62,'NZ targets'!$G$13:$BG$238,2,FALSE)</f>
        <v>Slovakia</v>
      </c>
      <c r="C62" s="111">
        <v>100</v>
      </c>
      <c r="D62" s="111">
        <v>3.2654178994069198</v>
      </c>
      <c r="E62" s="111">
        <v>5431752</v>
      </c>
      <c r="F62" s="111">
        <v>0.21360386908054399</v>
      </c>
      <c r="G62" s="111">
        <v>0.37862148880958602</v>
      </c>
      <c r="H62" s="111">
        <v>0.44343426823616</v>
      </c>
      <c r="I62" s="111">
        <v>0.850252985954285</v>
      </c>
      <c r="J62" s="111">
        <v>0.62253785133361805</v>
      </c>
      <c r="K62" s="111">
        <v>0.88633179664611805</v>
      </c>
      <c r="L62" s="111">
        <v>6040</v>
      </c>
      <c r="M62" s="111">
        <v>22.6794833283268</v>
      </c>
      <c r="N62" s="111">
        <v>50516.66</v>
      </c>
      <c r="O62" s="111">
        <v>13.4091682209694</v>
      </c>
      <c r="P62" s="111">
        <v>26632</v>
      </c>
      <c r="Q62" s="111">
        <v>376732.24145999999</v>
      </c>
      <c r="R62" s="111">
        <v>5.31905480792852</v>
      </c>
      <c r="S62" s="111">
        <v>12.511264644037199</v>
      </c>
      <c r="T62" s="111">
        <v>40.056156405990002</v>
      </c>
      <c r="U62" s="111">
        <v>0.80792116621391397</v>
      </c>
      <c r="V62" s="111">
        <v>1746</v>
      </c>
      <c r="W62" s="111">
        <v>0.37218488642340197</v>
      </c>
      <c r="X62" s="111">
        <v>113.29548668885199</v>
      </c>
      <c r="Y62" s="111">
        <v>-6.5635459239004504E-2</v>
      </c>
      <c r="Z62" s="111">
        <v>3.6143524765987001E-3</v>
      </c>
      <c r="AA62" s="111">
        <v>94769118999.610901</v>
      </c>
      <c r="AB62" s="111">
        <v>17360.711193011</v>
      </c>
      <c r="AC62" s="111">
        <v>3.5773286681563001E-3</v>
      </c>
      <c r="AD62" s="111">
        <v>6.935506060581E-4</v>
      </c>
      <c r="AE62" s="111">
        <v>27.995008319467601</v>
      </c>
      <c r="AF62" s="111">
        <v>4.28</v>
      </c>
      <c r="AG62" s="111">
        <v>1.37</v>
      </c>
      <c r="AH62" s="111">
        <v>7.73</v>
      </c>
      <c r="AI62" s="111">
        <v>-1.4</v>
      </c>
      <c r="AJ62" s="111">
        <v>2.5499999999999998</v>
      </c>
      <c r="AK62" s="111">
        <v>0.79</v>
      </c>
      <c r="AL62" s="111">
        <v>7.13</v>
      </c>
      <c r="AM62" s="111">
        <v>2.54</v>
      </c>
      <c r="AN62" s="111">
        <v>4.28</v>
      </c>
      <c r="AO62" s="111">
        <v>2.16</v>
      </c>
      <c r="AP62" s="111">
        <v>7.73</v>
      </c>
      <c r="AQ62" s="111">
        <v>14.51303959</v>
      </c>
      <c r="AR62" s="111">
        <v>30690.485519999998</v>
      </c>
      <c r="AS62" s="111">
        <v>0.84799999999999998</v>
      </c>
      <c r="AT62" s="111">
        <v>74.9101</v>
      </c>
      <c r="AU62" s="111">
        <v>12.91141987</v>
      </c>
      <c r="AV62" s="111">
        <v>2.1</v>
      </c>
      <c r="AW62" s="111">
        <v>45.564182290787997</v>
      </c>
      <c r="AX62" s="111">
        <v>2143530449.233618</v>
      </c>
      <c r="AY62" s="111">
        <v>6.7695929999999946E-2</v>
      </c>
      <c r="AZ62" s="111">
        <v>0.1191147848879332</v>
      </c>
      <c r="BA62" s="111">
        <v>3746.2606060606058</v>
      </c>
      <c r="BB62" s="111">
        <v>-2.3255813953488369</v>
      </c>
      <c r="BC62" s="111">
        <v>1</v>
      </c>
      <c r="BD62" s="438">
        <f>VLOOKUP($A62,'NZ targets'!$G$13:$BG$238,33,FALSE)</f>
        <v>-2.0063861989463132E-2</v>
      </c>
      <c r="BE62" s="439">
        <f>VLOOKUP($A62,'NZ targets'!$G$13:$BG$238,18,FALSE)</f>
        <v>-7.6997680271585107</v>
      </c>
      <c r="BF62" s="440">
        <f>VLOOKUP($A62,'NZ targets'!$G$13:$BG$238,25,FALSE)</f>
        <v>-8.7396294956985479</v>
      </c>
      <c r="BG62" s="442">
        <f>VLOOKUP($A62,'NZ targets'!$G$13:$BG$238,3,FALSE)</f>
        <v>3</v>
      </c>
    </row>
    <row r="63" spans="1:59" hidden="1" x14ac:dyDescent="0.25">
      <c r="A63" t="s">
        <v>404</v>
      </c>
      <c r="B63" s="438" t="str">
        <f>VLOOKUP($A63,'NZ targets'!$G$13:$BG$238,2,FALSE)</f>
        <v>Slovenia</v>
      </c>
      <c r="C63" s="111">
        <v>100</v>
      </c>
      <c r="D63" s="111">
        <v>11.412964093317299</v>
      </c>
      <c r="E63" s="111">
        <v>2111986</v>
      </c>
      <c r="F63" s="111">
        <v>0.76738029718399003</v>
      </c>
      <c r="G63" s="111">
        <v>1.0690666437148999</v>
      </c>
      <c r="H63" s="111">
        <v>0.70663964748382602</v>
      </c>
      <c r="I63" s="111">
        <v>0.69494402408599898</v>
      </c>
      <c r="J63" s="111">
        <v>0.97265654802322399</v>
      </c>
      <c r="K63" s="111">
        <v>0.97244566679000899</v>
      </c>
      <c r="L63" s="111">
        <v>4355</v>
      </c>
      <c r="M63" s="111">
        <v>29.391914692582802</v>
      </c>
      <c r="N63" s="111">
        <v>40762.94</v>
      </c>
      <c r="O63" s="111">
        <v>20.877396143265798</v>
      </c>
      <c r="P63" s="111">
        <v>14817</v>
      </c>
      <c r="Q63" s="111">
        <v>195249.15712799999</v>
      </c>
      <c r="R63" s="111">
        <v>5.9347351788582596</v>
      </c>
      <c r="S63" s="111">
        <v>29.5943848282378</v>
      </c>
      <c r="T63" s="111">
        <v>61.3711140025029</v>
      </c>
      <c r="U63" s="111">
        <v>0.80723262109027705</v>
      </c>
      <c r="V63" s="111">
        <v>7681</v>
      </c>
      <c r="W63" s="111">
        <v>0.38426747570298803</v>
      </c>
      <c r="X63" s="111">
        <v>104.689964442502</v>
      </c>
      <c r="Y63" s="111">
        <v>-8.0646139959995394E-2</v>
      </c>
      <c r="Z63" s="111">
        <v>1.7542771051180898E-2</v>
      </c>
      <c r="AA63" s="111">
        <v>48144051030.286301</v>
      </c>
      <c r="AB63" s="111">
        <v>22899.360703212002</v>
      </c>
      <c r="AC63" s="111">
        <v>5.620573214417E-4</v>
      </c>
      <c r="AD63" s="111">
        <v>1.2887747702625E-3</v>
      </c>
      <c r="AE63" s="111">
        <v>8.9901869251703399</v>
      </c>
      <c r="AF63" s="111">
        <v>0.88</v>
      </c>
      <c r="AG63" s="111">
        <v>0.41</v>
      </c>
      <c r="AH63" s="111">
        <v>5.72</v>
      </c>
      <c r="AI63" s="111">
        <v>-0.79</v>
      </c>
      <c r="AJ63" s="111">
        <v>1.62</v>
      </c>
      <c r="AK63" s="111">
        <v>0.39</v>
      </c>
      <c r="AL63" s="111">
        <v>8.4499999999999993</v>
      </c>
      <c r="AM63" s="111">
        <v>1.62</v>
      </c>
      <c r="AN63" s="111">
        <v>0.88</v>
      </c>
      <c r="AO63" s="111">
        <v>0.8</v>
      </c>
      <c r="AP63" s="111">
        <v>5.72</v>
      </c>
      <c r="AQ63" s="111">
        <v>17.654920579999999</v>
      </c>
      <c r="AR63" s="111">
        <v>39746.019869999996</v>
      </c>
      <c r="AS63" s="111">
        <v>0.91800000000000004</v>
      </c>
      <c r="AT63" s="111">
        <v>80.690399999999997</v>
      </c>
      <c r="AU63" s="111">
        <v>12.803680419999999</v>
      </c>
      <c r="AV63" s="111">
        <v>1.6</v>
      </c>
      <c r="AW63" s="111">
        <v>18.275811537835001</v>
      </c>
      <c r="AX63" s="111">
        <v>997443313.43355858</v>
      </c>
      <c r="AY63" s="111">
        <v>6.1457347939393822E-2</v>
      </c>
      <c r="AZ63" s="111">
        <v>0.28149671380023622</v>
      </c>
      <c r="BA63" s="111">
        <v>6442.212121212121</v>
      </c>
      <c r="BB63" s="111">
        <v>-3.5714285714285721</v>
      </c>
      <c r="BC63" s="111">
        <v>1</v>
      </c>
      <c r="BD63" s="438">
        <f>VLOOKUP($A63,'NZ targets'!$G$13:$BG$238,33,FALSE)</f>
        <v>-3.4512817203970501E-2</v>
      </c>
      <c r="BE63" s="439">
        <f>VLOOKUP($A63,'NZ targets'!$G$13:$BG$238,18,FALSE)</f>
        <v>-3.1498048902233622</v>
      </c>
      <c r="BF63" s="440">
        <f>VLOOKUP($A63,'NZ targets'!$G$13:$BG$238,25,FALSE)</f>
        <v>-3.5751892300124899</v>
      </c>
      <c r="BG63" s="442">
        <f>VLOOKUP($A63,'NZ targets'!$G$13:$BG$238,3,FALSE)</f>
        <v>3</v>
      </c>
    </row>
    <row r="64" spans="1:59" hidden="1" x14ac:dyDescent="0.25">
      <c r="A64" t="s">
        <v>432</v>
      </c>
      <c r="B64" s="438" t="str">
        <f>VLOOKUP($A64,'NZ targets'!$G$13:$BG$238,2,FALSE)</f>
        <v>Sweden</v>
      </c>
      <c r="C64" s="111">
        <v>100</v>
      </c>
      <c r="D64" s="111">
        <v>16.767558750380601</v>
      </c>
      <c r="E64" s="111">
        <v>10486941</v>
      </c>
      <c r="F64" s="111">
        <v>2.0616581439971902</v>
      </c>
      <c r="G64" s="111">
        <v>1.57297706604004</v>
      </c>
      <c r="H64" s="111">
        <v>0.90262305736541704</v>
      </c>
      <c r="I64" s="111">
        <v>1.6815769672393801</v>
      </c>
      <c r="J64" s="111">
        <v>1.69006848335266</v>
      </c>
      <c r="K64" s="111">
        <v>1.52103972434998</v>
      </c>
      <c r="L64" s="111">
        <v>102442</v>
      </c>
      <c r="M64" s="111">
        <v>63.262747713532299</v>
      </c>
      <c r="N64" s="111">
        <v>679811.9</v>
      </c>
      <c r="O64" s="111">
        <v>53.247769798437602</v>
      </c>
      <c r="P64" s="111">
        <v>161931</v>
      </c>
      <c r="Q64" s="111">
        <v>1276695.535932</v>
      </c>
      <c r="R64" s="111">
        <v>3.24298914312747</v>
      </c>
      <c r="S64" s="111">
        <v>0.66695073827741402</v>
      </c>
      <c r="T64" s="111">
        <v>68.699068958200499</v>
      </c>
      <c r="U64" s="111">
        <v>0.46285028302664999</v>
      </c>
      <c r="V64" s="111">
        <v>81066</v>
      </c>
      <c r="W64" s="111">
        <v>0.61632376691732105</v>
      </c>
      <c r="X64" s="111">
        <v>25.573856974431099</v>
      </c>
      <c r="Y64" s="111">
        <v>2.1336385972219301E-2</v>
      </c>
      <c r="Z64" s="111">
        <v>0</v>
      </c>
      <c r="AA64" s="111">
        <v>533633543173.953</v>
      </c>
      <c r="AB64" s="111">
        <v>51541.655728979102</v>
      </c>
      <c r="AC64" s="111">
        <v>0</v>
      </c>
      <c r="AD64" s="111">
        <v>0</v>
      </c>
      <c r="AE64" s="111">
        <v>6.2328815199923202</v>
      </c>
      <c r="AF64" s="111">
        <v>1.52</v>
      </c>
      <c r="AG64" s="111">
        <v>1.48</v>
      </c>
      <c r="AH64" s="111">
        <v>16.489999999999998</v>
      </c>
      <c r="AI64" s="111">
        <v>-7.54</v>
      </c>
      <c r="AJ64" s="111">
        <v>7.24</v>
      </c>
      <c r="AK64" s="111">
        <v>0.99</v>
      </c>
      <c r="AL64" s="111">
        <v>2.95</v>
      </c>
      <c r="AM64" s="111">
        <v>7.24</v>
      </c>
      <c r="AN64" s="111">
        <v>1.52</v>
      </c>
      <c r="AO64" s="111">
        <v>2.48</v>
      </c>
      <c r="AP64" s="111">
        <v>16.489999999999998</v>
      </c>
      <c r="AQ64" s="111">
        <v>19.418529509999999</v>
      </c>
      <c r="AR64" s="111">
        <v>54489.37401</v>
      </c>
      <c r="AS64" s="111">
        <v>0.94699999999999995</v>
      </c>
      <c r="AT64" s="111">
        <v>82.9833</v>
      </c>
      <c r="AU64" s="111">
        <v>12.609720230000001</v>
      </c>
      <c r="AV64" s="111">
        <v>1.9</v>
      </c>
      <c r="AW64" s="111">
        <v>60.636813405056003</v>
      </c>
      <c r="AX64" s="111">
        <v>10113306102.424299</v>
      </c>
      <c r="AY64" s="111">
        <v>4.4086727696969842E-2</v>
      </c>
      <c r="AZ64" s="111">
        <v>0.261058966547146</v>
      </c>
      <c r="BA64" s="111">
        <v>102867.6787878788</v>
      </c>
      <c r="BB64" s="111">
        <v>-4.3478260869565224</v>
      </c>
      <c r="BC64" s="111">
        <v>1</v>
      </c>
      <c r="BD64" s="438">
        <f>VLOOKUP($A64,'NZ targets'!$G$13:$BG$238,33,FALSE)</f>
        <v>-1.4615343652309872E-2</v>
      </c>
      <c r="BE64" s="439">
        <f>VLOOKUP($A64,'NZ targets'!$G$13:$BG$238,18,FALSE)</f>
        <v>-42.2</v>
      </c>
      <c r="BF64" s="440">
        <f>VLOOKUP($A64,'NZ targets'!$G$13:$BG$238,25,FALSE)</f>
        <v>-50.484959561696236</v>
      </c>
      <c r="BG64" s="442">
        <f>VLOOKUP($A64,'NZ targets'!$G$13:$BG$238,3,FALSE)</f>
        <v>4</v>
      </c>
    </row>
    <row r="65" spans="1:59" x14ac:dyDescent="0.25">
      <c r="A65" t="s">
        <v>448</v>
      </c>
      <c r="B65" s="438" t="str">
        <f>VLOOKUP($A65,'NZ targets'!$G$13:$BG$238,2,FALSE)</f>
        <v>Togo</v>
      </c>
      <c r="C65" s="111">
        <v>55.740116119384801</v>
      </c>
      <c r="D65" s="111">
        <v>3.7900067601441201</v>
      </c>
      <c r="E65" s="111">
        <v>8848699</v>
      </c>
      <c r="F65" s="111">
        <v>-0.64967155456543002</v>
      </c>
      <c r="G65" s="111">
        <v>-0.64258873462677002</v>
      </c>
      <c r="H65" s="111">
        <v>-0.71105015277862504</v>
      </c>
      <c r="I65" s="111">
        <v>-0.56286799907684304</v>
      </c>
      <c r="J65" s="111">
        <v>-0.55883401632309004</v>
      </c>
      <c r="K65" s="111">
        <v>-0.76209747791290305</v>
      </c>
      <c r="L65" s="111">
        <v>61</v>
      </c>
      <c r="M65" s="111">
        <v>75.308641975308603</v>
      </c>
      <c r="N65" s="111">
        <v>65965.75</v>
      </c>
      <c r="O65" s="111">
        <v>71.264667141240906</v>
      </c>
      <c r="P65" s="111">
        <v>81</v>
      </c>
      <c r="Q65" s="111">
        <v>92564.453951999996</v>
      </c>
      <c r="R65" s="111">
        <v>0.28606184365442799</v>
      </c>
      <c r="S65" s="111">
        <v>0</v>
      </c>
      <c r="T65" s="111">
        <v>22.178893178893201</v>
      </c>
      <c r="U65" s="111">
        <v>0.36006551468863801</v>
      </c>
      <c r="V65" s="111">
        <v>-995</v>
      </c>
      <c r="W65" s="111">
        <v>0.23022043818358801</v>
      </c>
      <c r="X65" s="111">
        <v>158.94151498437199</v>
      </c>
      <c r="Y65" s="111">
        <v>6.1354853927700104</v>
      </c>
      <c r="Z65" s="111">
        <v>0</v>
      </c>
      <c r="AA65" s="111">
        <v>5187639195.4238997</v>
      </c>
      <c r="AB65" s="111">
        <v>626.622055444436</v>
      </c>
      <c r="AC65" s="111">
        <v>0</v>
      </c>
      <c r="AD65" s="111">
        <v>0</v>
      </c>
      <c r="AE65" s="111">
        <v>48.7221915793344</v>
      </c>
      <c r="AF65" s="111">
        <v>0.11</v>
      </c>
      <c r="AG65" s="111">
        <v>0.81</v>
      </c>
      <c r="AH65" s="111">
        <v>1.01</v>
      </c>
      <c r="AI65" s="111">
        <v>4.57</v>
      </c>
      <c r="AJ65" s="111">
        <v>2.95</v>
      </c>
      <c r="AK65" s="111">
        <v>0.85</v>
      </c>
      <c r="AL65" s="111">
        <v>1.17</v>
      </c>
      <c r="AM65" s="111">
        <v>2.95</v>
      </c>
      <c r="AN65" s="111">
        <v>0.11</v>
      </c>
      <c r="AO65" s="111">
        <v>1.66</v>
      </c>
      <c r="AP65" s="111">
        <v>1.01</v>
      </c>
      <c r="AQ65" s="111">
        <v>12.95049378</v>
      </c>
      <c r="AR65" s="111">
        <v>2166.6190620000002</v>
      </c>
      <c r="AS65" s="111">
        <v>0.53900000000000003</v>
      </c>
      <c r="AT65" s="111">
        <v>61.619399999999999</v>
      </c>
      <c r="AU65" s="111">
        <v>5.0168073670000002</v>
      </c>
      <c r="AV65" s="111">
        <v>4.3</v>
      </c>
      <c r="AW65" s="111">
        <v>11.087648765806</v>
      </c>
      <c r="AX65" s="111">
        <v>216549865.06051081</v>
      </c>
      <c r="AY65" s="111">
        <v>0.1325730071636364</v>
      </c>
      <c r="AZ65" s="111">
        <v>3.5103989703989389</v>
      </c>
      <c r="BA65" s="111">
        <v>193716.4303030303</v>
      </c>
      <c r="BB65" s="111">
        <v>-3.5714285714285721</v>
      </c>
      <c r="BC65" s="111">
        <v>0</v>
      </c>
      <c r="BD65" s="438" t="str">
        <f>VLOOKUP($A65,'NZ targets'!$G$13:$BG$238,33,FALSE)</f>
        <v/>
      </c>
      <c r="BE65" s="439">
        <f>VLOOKUP($A65,'NZ targets'!$G$13:$BG$238,18,FALSE)</f>
        <v>20.142915497536933</v>
      </c>
      <c r="BF65" s="440">
        <f>VLOOKUP($A65,'NZ targets'!$G$13:$BG$238,25,FALSE)</f>
        <v>14.146437980187354</v>
      </c>
      <c r="BG65" s="442">
        <f>VLOOKUP($A65,'NZ targets'!$G$13:$BG$238,3,FALSE)</f>
        <v>1</v>
      </c>
    </row>
    <row r="66" spans="1:59" hidden="1" x14ac:dyDescent="0.25">
      <c r="A66" t="s">
        <v>444</v>
      </c>
      <c r="B66" s="438" t="str">
        <f>VLOOKUP($A66,'NZ targets'!$G$13:$BG$238,2,FALSE)</f>
        <v>Thailand</v>
      </c>
      <c r="C66" s="111">
        <v>100</v>
      </c>
      <c r="D66" s="111">
        <v>5.7582326519589504</v>
      </c>
      <c r="E66" s="111">
        <v>71697030</v>
      </c>
      <c r="F66" s="111">
        <v>-0.45219403505325301</v>
      </c>
      <c r="G66" s="111">
        <v>0.12828506529331199</v>
      </c>
      <c r="H66" s="111">
        <v>-0.38309931755065901</v>
      </c>
      <c r="I66" s="111">
        <v>0.16501940786838501</v>
      </c>
      <c r="J66" s="111">
        <v>6.7307785153389005E-2</v>
      </c>
      <c r="K66" s="111">
        <v>-0.62260770797729503</v>
      </c>
      <c r="L66" s="111">
        <v>15178</v>
      </c>
      <c r="M66" s="111">
        <v>8.5384788478847895</v>
      </c>
      <c r="N66" s="111">
        <v>722010.9</v>
      </c>
      <c r="O66" s="111">
        <v>22.863070128075599</v>
      </c>
      <c r="P66" s="111">
        <v>177760</v>
      </c>
      <c r="Q66" s="111">
        <v>3157978.7664359999</v>
      </c>
      <c r="R66" s="111">
        <v>3.71425580600412</v>
      </c>
      <c r="S66" s="111">
        <v>19.4543204320432</v>
      </c>
      <c r="T66" s="111">
        <v>38.828319207657202</v>
      </c>
      <c r="U66" s="111">
        <v>1.0617988810848999</v>
      </c>
      <c r="V66" s="111">
        <v>35526</v>
      </c>
      <c r="W66" s="111">
        <v>0.29285181512969199</v>
      </c>
      <c r="X66" s="111">
        <v>140.149744563409</v>
      </c>
      <c r="Y66" s="111">
        <v>0.24396748950789501</v>
      </c>
      <c r="Z66" s="111">
        <v>1.6887075514204201E-2</v>
      </c>
      <c r="AA66" s="111">
        <v>431857370046.30603</v>
      </c>
      <c r="AB66" s="111">
        <v>6187.0702888517499</v>
      </c>
      <c r="AC66" s="111">
        <v>0.533870977532103</v>
      </c>
      <c r="AD66" s="111">
        <v>0.38707561711760702</v>
      </c>
      <c r="AE66" s="111">
        <v>32.903364716475203</v>
      </c>
      <c r="AF66" s="111">
        <v>6.73</v>
      </c>
      <c r="AG66" s="111">
        <v>16.739999999999998</v>
      </c>
      <c r="AH66" s="111">
        <v>75.88</v>
      </c>
      <c r="AI66" s="111">
        <v>0.53</v>
      </c>
      <c r="AJ66" s="111">
        <v>68.819999999999993</v>
      </c>
      <c r="AK66" s="111">
        <v>55.16</v>
      </c>
      <c r="AL66" s="111">
        <v>6.21</v>
      </c>
      <c r="AM66" s="111">
        <v>68.819999999999993</v>
      </c>
      <c r="AN66" s="111">
        <v>6.73</v>
      </c>
      <c r="AO66" s="111">
        <v>71.900000000000006</v>
      </c>
      <c r="AP66" s="111">
        <v>75.88</v>
      </c>
      <c r="AQ66" s="111">
        <v>15.882219129999999</v>
      </c>
      <c r="AR66" s="111">
        <v>17030.15352</v>
      </c>
      <c r="AS66" s="111">
        <v>0.8</v>
      </c>
      <c r="AT66" s="111">
        <v>78.715400000000002</v>
      </c>
      <c r="AU66" s="111">
        <v>8.6971197129999993</v>
      </c>
      <c r="AV66" s="111">
        <v>4.4000000000000004</v>
      </c>
      <c r="AW66" s="111">
        <v>463.87468831680002</v>
      </c>
      <c r="AX66" s="111">
        <v>10936229947.417669</v>
      </c>
      <c r="AY66" s="111">
        <v>0.105264601090909</v>
      </c>
      <c r="AZ66" s="111">
        <v>0.53147459246698803</v>
      </c>
      <c r="BA66" s="111">
        <v>235061.12121212119</v>
      </c>
      <c r="BB66" s="111">
        <v>-2.3255813953488369</v>
      </c>
      <c r="BC66" s="111">
        <v>1</v>
      </c>
      <c r="BD66" s="438">
        <f>VLOOKUP($A66,'NZ targets'!$G$13:$BG$238,33,FALSE)</f>
        <v>-2.007919215650578E-2</v>
      </c>
      <c r="BE66" s="439">
        <f>VLOOKUP($A66,'NZ targets'!$G$13:$BG$238,18,FALSE)</f>
        <v>-120</v>
      </c>
      <c r="BF66" s="440">
        <f>VLOOKUP($A66,'NZ targets'!$G$13:$BG$238,25,FALSE)</f>
        <v>-97.457002000000003</v>
      </c>
      <c r="BG66" s="442">
        <f>VLOOKUP($A66,'NZ targets'!$G$13:$BG$238,3,FALSE)</f>
        <v>3</v>
      </c>
    </row>
    <row r="67" spans="1:59" x14ac:dyDescent="0.25">
      <c r="A67" t="s">
        <v>454</v>
      </c>
      <c r="B67" s="438" t="str">
        <f>VLOOKUP($A67,'NZ targets'!$G$13:$BG$238,2,FALSE)</f>
        <v>Trinidad and Tobago</v>
      </c>
      <c r="C67" s="111">
        <v>100</v>
      </c>
      <c r="D67" s="111">
        <v>3.6676303298021899</v>
      </c>
      <c r="E67" s="111">
        <v>1531044</v>
      </c>
      <c r="F67" s="111">
        <v>-0.37968635559081998</v>
      </c>
      <c r="G67" s="111">
        <v>-2.51202769577503E-2</v>
      </c>
      <c r="H67" s="111">
        <v>0.35797464847564697</v>
      </c>
      <c r="I67" s="111">
        <v>-7.4092186987400097E-2</v>
      </c>
      <c r="J67" s="111">
        <v>-0.16787469387054399</v>
      </c>
      <c r="K67" s="111">
        <v>0.64661628007888805</v>
      </c>
      <c r="L67" s="111">
        <v>0</v>
      </c>
      <c r="M67" s="111">
        <v>0</v>
      </c>
      <c r="N67" s="111">
        <v>488.51580000000001</v>
      </c>
      <c r="O67" s="111">
        <v>0.28420576388145602</v>
      </c>
      <c r="P67" s="111">
        <v>10300</v>
      </c>
      <c r="Q67" s="111">
        <v>171888.06916799999</v>
      </c>
      <c r="R67" s="111">
        <v>10.157119172254101</v>
      </c>
      <c r="S67" s="111">
        <v>0</v>
      </c>
      <c r="T67" s="111">
        <v>44.399610136452203</v>
      </c>
      <c r="U67" s="111">
        <v>4.3917554591222103</v>
      </c>
      <c r="V67" s="111">
        <v>2370</v>
      </c>
      <c r="W67" s="111">
        <v>0.27174928251348501</v>
      </c>
      <c r="X67" s="111">
        <v>297.40019493177402</v>
      </c>
      <c r="Y67" s="111">
        <v>-2.5070111684470899E-2</v>
      </c>
      <c r="Z67" s="111">
        <v>0</v>
      </c>
      <c r="AA67" s="111">
        <v>21087122855.303398</v>
      </c>
      <c r="AB67" s="111">
        <v>15067.7087993444</v>
      </c>
      <c r="AC67" s="111">
        <v>3.3362817116460799</v>
      </c>
      <c r="AD67" s="111">
        <v>2.3694684380984299</v>
      </c>
      <c r="AE67" s="111">
        <v>4.8732943469785601</v>
      </c>
      <c r="AF67" s="111">
        <v>0.38</v>
      </c>
      <c r="AG67" s="111">
        <v>0.28000000000000003</v>
      </c>
      <c r="AH67" s="111">
        <v>2.5</v>
      </c>
      <c r="AI67" s="111">
        <v>-0.74</v>
      </c>
      <c r="AJ67" s="111">
        <v>0.3</v>
      </c>
      <c r="AK67" s="111">
        <v>3.49</v>
      </c>
      <c r="AL67" s="111">
        <v>16.57</v>
      </c>
      <c r="AM67" s="111">
        <v>0.3</v>
      </c>
      <c r="AN67" s="111">
        <v>0.38</v>
      </c>
      <c r="AO67" s="111">
        <v>3.77</v>
      </c>
      <c r="AP67" s="111">
        <v>2.5</v>
      </c>
      <c r="AQ67" s="111">
        <v>14.535452920000001</v>
      </c>
      <c r="AR67" s="111">
        <v>23392.020840000001</v>
      </c>
      <c r="AS67" s="111">
        <v>0.81</v>
      </c>
      <c r="AT67" s="111">
        <v>72.9709</v>
      </c>
      <c r="AU67" s="111">
        <v>11.610624189999999</v>
      </c>
      <c r="AV67" s="111">
        <v>2.8</v>
      </c>
      <c r="AW67" s="111">
        <v>45.910924603033997</v>
      </c>
      <c r="AX67" s="111">
        <v>-340777333.80423492</v>
      </c>
      <c r="AY67" s="111">
        <v>0.1039356228484848</v>
      </c>
      <c r="AZ67" s="111">
        <v>2.231487979207285</v>
      </c>
      <c r="BA67" s="111">
        <v>10943.49090909091</v>
      </c>
      <c r="BB67" s="111">
        <v>-2.3255813953488369</v>
      </c>
      <c r="BC67" s="111">
        <v>0</v>
      </c>
      <c r="BD67" s="438" t="str">
        <f>VLOOKUP($A67,'NZ targets'!$G$13:$BG$238,33,FALSE)</f>
        <v/>
      </c>
      <c r="BE67" s="439">
        <f>VLOOKUP($A67,'NZ targets'!$G$13:$BG$238,18,FALSE)</f>
        <v>-2.7949034285714305</v>
      </c>
      <c r="BF67" s="440">
        <f>VLOOKUP($A67,'NZ targets'!$G$13:$BG$238,25,FALSE)</f>
        <v>-3.9280925495808807</v>
      </c>
      <c r="BG67" s="442">
        <f>VLOOKUP($A67,'NZ targets'!$G$13:$BG$238,3,FALSE)</f>
        <v>1</v>
      </c>
    </row>
    <row r="68" spans="1:59" hidden="1" x14ac:dyDescent="0.25">
      <c r="A68" t="s">
        <v>456</v>
      </c>
      <c r="B68" s="438" t="str">
        <f>VLOOKUP($A68,'NZ targets'!$G$13:$BG$238,2,FALSE)</f>
        <v>Tunisia</v>
      </c>
      <c r="C68" s="111">
        <v>99.9</v>
      </c>
      <c r="D68" s="111">
        <v>0.50384971716490601</v>
      </c>
      <c r="E68" s="111">
        <v>12356117</v>
      </c>
      <c r="F68" s="111">
        <v>-0.25135031342506398</v>
      </c>
      <c r="G68" s="111">
        <v>-0.29940810799598699</v>
      </c>
      <c r="H68" s="111">
        <v>-0.59629517793655396</v>
      </c>
      <c r="I68" s="111">
        <v>-0.41417589783668501</v>
      </c>
      <c r="J68" s="111">
        <v>-8.5312277078628498E-2</v>
      </c>
      <c r="K68" s="111">
        <v>-0.18377113342285201</v>
      </c>
      <c r="L68" s="111">
        <v>558</v>
      </c>
      <c r="M68" s="111">
        <v>2.8359422646879402</v>
      </c>
      <c r="N68" s="111">
        <v>39988.559999999998</v>
      </c>
      <c r="O68" s="111">
        <v>12.5623503533853</v>
      </c>
      <c r="P68" s="111">
        <v>19676</v>
      </c>
      <c r="Q68" s="111">
        <v>318320.68741200003</v>
      </c>
      <c r="R68" s="111">
        <v>2.4086225282388001</v>
      </c>
      <c r="S68" s="111">
        <v>0</v>
      </c>
      <c r="T68" s="111">
        <v>4.5330844490216302</v>
      </c>
      <c r="U68" s="111">
        <v>0.54711157169095204</v>
      </c>
      <c r="V68" s="111">
        <v>-9189</v>
      </c>
      <c r="W68" s="111">
        <v>0.271180928064222</v>
      </c>
      <c r="X68" s="111">
        <v>78.932453656024705</v>
      </c>
      <c r="Y68" s="111">
        <v>-1.4647099222133</v>
      </c>
      <c r="Z68" s="111">
        <v>0</v>
      </c>
      <c r="AA68" s="111">
        <v>44913489642.972603</v>
      </c>
      <c r="AB68" s="111">
        <v>3800.2319427679799</v>
      </c>
      <c r="AC68" s="111">
        <v>0.13567675949372701</v>
      </c>
      <c r="AD68" s="111">
        <v>0.98705318195855596</v>
      </c>
      <c r="AE68" s="111">
        <v>16.7031410916581</v>
      </c>
      <c r="AF68" s="111">
        <v>2.88</v>
      </c>
      <c r="AG68" s="111">
        <v>3.59</v>
      </c>
      <c r="AH68" s="111">
        <v>7.63</v>
      </c>
      <c r="AI68" s="111">
        <v>0.97</v>
      </c>
      <c r="AJ68" s="111">
        <v>4.57</v>
      </c>
      <c r="AK68" s="111">
        <v>1.55</v>
      </c>
      <c r="AL68" s="111">
        <v>3.23</v>
      </c>
      <c r="AM68" s="111">
        <v>4.57</v>
      </c>
      <c r="AN68" s="111">
        <v>2.88</v>
      </c>
      <c r="AO68" s="111">
        <v>5.14</v>
      </c>
      <c r="AP68" s="111">
        <v>7.63</v>
      </c>
      <c r="AQ68" s="111">
        <v>15.425382239999999</v>
      </c>
      <c r="AR68" s="111">
        <v>10257.54477</v>
      </c>
      <c r="AS68" s="111">
        <v>0.73099999999999998</v>
      </c>
      <c r="AT68" s="111">
        <v>73.771900000000002</v>
      </c>
      <c r="AU68" s="111">
        <v>7.4315986140000003</v>
      </c>
      <c r="AV68" s="111">
        <v>3</v>
      </c>
      <c r="AW68" s="111">
        <v>49.820073004149997</v>
      </c>
      <c r="AX68" s="111">
        <v>646854283.83306694</v>
      </c>
      <c r="AY68" s="111">
        <v>8.1484232854545466E-2</v>
      </c>
      <c r="AZ68" s="111">
        <v>0.78724417189401152</v>
      </c>
      <c r="BA68" s="111">
        <v>118622.6787878788</v>
      </c>
      <c r="BB68" s="111">
        <v>-2.3255813953488369</v>
      </c>
      <c r="BC68" s="111">
        <v>1</v>
      </c>
      <c r="BD68" s="438">
        <f>VLOOKUP($A68,'NZ targets'!$G$13:$BG$238,33,FALSE)</f>
        <v>-6.2374373414549105E-3</v>
      </c>
      <c r="BE68" s="439">
        <f>VLOOKUP($A68,'NZ targets'!$G$13:$BG$238,18,FALSE)</f>
        <v>-33.799999999999997</v>
      </c>
      <c r="BF68" s="440">
        <f>VLOOKUP($A68,'NZ targets'!$G$13:$BG$238,25,FALSE)</f>
        <v>-21.836497174860551</v>
      </c>
      <c r="BG68" s="442">
        <f>VLOOKUP($A68,'NZ targets'!$G$13:$BG$238,3,FALSE)</f>
        <v>3</v>
      </c>
    </row>
    <row r="69" spans="1:59" hidden="1" x14ac:dyDescent="0.25">
      <c r="A69" t="s">
        <v>458</v>
      </c>
      <c r="B69" s="438" t="str">
        <f>VLOOKUP($A69,'NZ targets'!$G$13:$BG$238,2,FALSE)</f>
        <v>Turkey</v>
      </c>
      <c r="C69" s="111">
        <v>100</v>
      </c>
      <c r="D69" s="111">
        <v>3.76900110251173</v>
      </c>
      <c r="E69" s="111">
        <v>84979913</v>
      </c>
      <c r="F69" s="111">
        <v>-0.46764531731605502</v>
      </c>
      <c r="G69" s="111">
        <v>-0.19902965426444999</v>
      </c>
      <c r="H69" s="111">
        <v>-1.0398650169372601</v>
      </c>
      <c r="I69" s="111">
        <v>-0.24463890492916099</v>
      </c>
      <c r="J69" s="111">
        <v>-0.458115965127945</v>
      </c>
      <c r="K69" s="111">
        <v>-0.92660778760910001</v>
      </c>
      <c r="L69" s="111">
        <v>83657</v>
      </c>
      <c r="M69" s="111">
        <v>31.956620559776599</v>
      </c>
      <c r="N69" s="111">
        <v>485424.7</v>
      </c>
      <c r="O69" s="111">
        <v>13.3742300375217</v>
      </c>
      <c r="P69" s="111">
        <v>261783</v>
      </c>
      <c r="Q69" s="111">
        <v>3629552.4948959998</v>
      </c>
      <c r="R69" s="111">
        <v>4.8858639260833003</v>
      </c>
      <c r="S69" s="111">
        <v>29.095090208302299</v>
      </c>
      <c r="T69" s="111">
        <v>29.0741785013578</v>
      </c>
      <c r="U69" s="111">
        <v>0.60496444250910397</v>
      </c>
      <c r="V69" s="111">
        <v>-80952</v>
      </c>
      <c r="W69" s="111">
        <v>0.45730310363966098</v>
      </c>
      <c r="X69" s="111">
        <v>109.334768655068</v>
      </c>
      <c r="Y69" s="111">
        <v>-0.93871460397107898</v>
      </c>
      <c r="Z69" s="111">
        <v>2.8014875886524002E-2</v>
      </c>
      <c r="AA69" s="111">
        <v>1015326662715.27</v>
      </c>
      <c r="AB69" s="111">
        <v>12038.6281095007</v>
      </c>
      <c r="AC69" s="111">
        <v>2.6179609842049002E-3</v>
      </c>
      <c r="AD69" s="111">
        <v>7.7670934311806106E-2</v>
      </c>
      <c r="AE69" s="111">
        <v>25.448592180658199</v>
      </c>
      <c r="AF69" s="111">
        <v>50.1</v>
      </c>
      <c r="AG69" s="111">
        <v>38.840000000000003</v>
      </c>
      <c r="AH69" s="111">
        <v>83.37</v>
      </c>
      <c r="AI69" s="111">
        <v>-0.03</v>
      </c>
      <c r="AJ69" s="111">
        <v>49.59</v>
      </c>
      <c r="AK69" s="111">
        <v>9.07</v>
      </c>
      <c r="AL69" s="111">
        <v>5.76</v>
      </c>
      <c r="AM69" s="111">
        <v>49.59</v>
      </c>
      <c r="AN69" s="111">
        <v>50.1</v>
      </c>
      <c r="AO69" s="111">
        <v>47.91</v>
      </c>
      <c r="AP69" s="111">
        <v>83.37</v>
      </c>
      <c r="AQ69" s="111">
        <v>18.3382206</v>
      </c>
      <c r="AR69" s="111">
        <v>31032.801060000002</v>
      </c>
      <c r="AS69" s="111">
        <v>0.83799999999999997</v>
      </c>
      <c r="AT69" s="111">
        <v>76.032399999999996</v>
      </c>
      <c r="AU69" s="111">
        <v>8.6331396100000006</v>
      </c>
      <c r="AV69" s="111">
        <v>4.8</v>
      </c>
      <c r="AW69" s="111">
        <v>687.52630948844001</v>
      </c>
      <c r="AX69" s="111">
        <v>39330776334.337769</v>
      </c>
      <c r="AY69" s="111">
        <v>0.14034675821818191</v>
      </c>
      <c r="AZ69" s="111">
        <v>1.330757534415411</v>
      </c>
      <c r="BA69" s="111">
        <v>1000476.266666667</v>
      </c>
      <c r="BB69" s="111">
        <v>-3.225806451612903</v>
      </c>
      <c r="BC69" s="111">
        <v>1</v>
      </c>
      <c r="BD69" s="438">
        <f>VLOOKUP($A69,'NZ targets'!$G$13:$BG$238,33,FALSE)</f>
        <v>-3.9295925454902146E-2</v>
      </c>
      <c r="BE69" s="439">
        <f>VLOOKUP($A69,'NZ targets'!$G$13:$BG$238,18,FALSE)</f>
        <v>-57.02557700163154</v>
      </c>
      <c r="BF69" s="440">
        <f>VLOOKUP($A69,'NZ targets'!$G$13:$BG$238,25,FALSE)</f>
        <v>-44.406157350000001</v>
      </c>
      <c r="BG69" s="442">
        <f>VLOOKUP($A69,'NZ targets'!$G$13:$BG$238,3,FALSE)</f>
        <v>3</v>
      </c>
    </row>
    <row r="70" spans="1:59" x14ac:dyDescent="0.25">
      <c r="A70" t="s">
        <v>442</v>
      </c>
      <c r="B70" s="438" t="str">
        <f>VLOOKUP($A70,'NZ targets'!$G$13:$BG$238,2,FALSE)</f>
        <v>Tanzania</v>
      </c>
      <c r="C70" s="111">
        <v>42.743362426757798</v>
      </c>
      <c r="D70" s="111">
        <v>0.48853553048582798</v>
      </c>
      <c r="E70" s="111">
        <v>65497748</v>
      </c>
      <c r="F70" s="111">
        <v>-0.34109985828399703</v>
      </c>
      <c r="G70" s="111">
        <v>-0.42673471570014998</v>
      </c>
      <c r="H70" s="111">
        <v>-0.26585996150970498</v>
      </c>
      <c r="I70" s="111">
        <v>-0.56353336572647095</v>
      </c>
      <c r="J70" s="111">
        <v>-0.44315850734710699</v>
      </c>
      <c r="K70" s="111">
        <v>-0.65902853012085005</v>
      </c>
      <c r="L70" s="111">
        <v>2150</v>
      </c>
      <c r="M70" s="111">
        <v>34.154090548054</v>
      </c>
      <c r="N70" s="111">
        <v>804531.9</v>
      </c>
      <c r="O70" s="111">
        <v>85.713041938434301</v>
      </c>
      <c r="P70" s="111">
        <v>6295</v>
      </c>
      <c r="Q70" s="111">
        <v>938634.17025600001</v>
      </c>
      <c r="R70" s="111">
        <v>0.23394559212017499</v>
      </c>
      <c r="S70" s="111">
        <v>0</v>
      </c>
      <c r="T70" s="111">
        <v>51.113118085346599</v>
      </c>
      <c r="U70" s="111">
        <v>0.75338676270026095</v>
      </c>
      <c r="V70" s="111">
        <v>-15795</v>
      </c>
      <c r="W70" s="111">
        <v>0.44232083751144402</v>
      </c>
      <c r="X70" s="111">
        <v>71.786333258071807</v>
      </c>
      <c r="Y70" s="111">
        <v>0.79521581613188597</v>
      </c>
      <c r="Z70" s="111">
        <v>1.0184107795716E-2</v>
      </c>
      <c r="AA70" s="111">
        <v>61522709091.988998</v>
      </c>
      <c r="AB70" s="111">
        <v>1061.17028808594</v>
      </c>
      <c r="AC70" s="111">
        <v>0.226595865045463</v>
      </c>
      <c r="AD70" s="111">
        <v>0</v>
      </c>
      <c r="AE70" s="111">
        <v>15.2432829081057</v>
      </c>
      <c r="AF70" s="111">
        <v>0.41</v>
      </c>
      <c r="AG70" s="111">
        <v>1.24</v>
      </c>
      <c r="AH70" s="111">
        <v>5.62</v>
      </c>
      <c r="AI70" s="111">
        <v>0.04</v>
      </c>
      <c r="AJ70" s="111">
        <v>58.23</v>
      </c>
      <c r="AK70" s="111">
        <v>0.8</v>
      </c>
      <c r="AL70" s="111">
        <v>3.12</v>
      </c>
      <c r="AM70" s="111">
        <v>58.23</v>
      </c>
      <c r="AN70" s="111">
        <v>0.41</v>
      </c>
      <c r="AO70" s="111">
        <v>2.04</v>
      </c>
      <c r="AP70" s="111">
        <v>5.62</v>
      </c>
      <c r="AQ70" s="111">
        <v>9.2214899060000004</v>
      </c>
      <c r="AR70" s="111">
        <v>2664.3290959999999</v>
      </c>
      <c r="AS70" s="111">
        <v>0.54900000000000004</v>
      </c>
      <c r="AT70" s="111">
        <v>66.200699999999998</v>
      </c>
      <c r="AU70" s="111">
        <v>6.3728987100000003</v>
      </c>
      <c r="AV70" s="111">
        <v>5.0999999999999996</v>
      </c>
      <c r="AW70" s="111">
        <v>89.378410029072</v>
      </c>
      <c r="AX70" s="111">
        <v>2861418006.692008</v>
      </c>
      <c r="AY70" s="111">
        <v>0.1129221745454546</v>
      </c>
      <c r="AZ70" s="111">
        <v>2.0058849251147759</v>
      </c>
      <c r="BA70" s="111">
        <v>1816106.884848485</v>
      </c>
      <c r="BB70" s="111">
        <v>-2.3255813953488369</v>
      </c>
      <c r="BC70" s="111">
        <v>0</v>
      </c>
      <c r="BD70" s="438" t="str">
        <f>VLOOKUP($A70,'NZ targets'!$G$13:$BG$238,33,FALSE)</f>
        <v/>
      </c>
      <c r="BE70" s="439">
        <f>VLOOKUP($A70,'NZ targets'!$G$13:$BG$238,18,FALSE)</f>
        <v>190.06168681318707</v>
      </c>
      <c r="BF70" s="440">
        <f>VLOOKUP($A70,'NZ targets'!$G$13:$BG$238,25,FALSE)</f>
        <v>145.29138204407053</v>
      </c>
      <c r="BG70" s="442">
        <f>VLOOKUP($A70,'NZ targets'!$G$13:$BG$238,3,FALSE)</f>
        <v>1</v>
      </c>
    </row>
    <row r="71" spans="1:59" hidden="1" x14ac:dyDescent="0.25">
      <c r="A71" t="s">
        <v>468</v>
      </c>
      <c r="B71" s="438" t="str">
        <f>VLOOKUP($A71,'NZ targets'!$G$13:$BG$238,2,FALSE)</f>
        <v>Ukraine</v>
      </c>
      <c r="C71" s="111">
        <v>100</v>
      </c>
      <c r="D71" s="111">
        <v>10.7864611551484</v>
      </c>
      <c r="E71" s="111">
        <v>38000000</v>
      </c>
      <c r="F71" s="111">
        <v>-0.63356620073318504</v>
      </c>
      <c r="G71" s="111">
        <v>-0.49629417061805697</v>
      </c>
      <c r="H71" s="111">
        <v>-1.9976049661636399</v>
      </c>
      <c r="I71" s="111">
        <v>-0.33159732818603499</v>
      </c>
      <c r="J71" s="111">
        <v>-0.91878020763397195</v>
      </c>
      <c r="K71" s="111">
        <v>-2.4807706475257901E-2</v>
      </c>
      <c r="L71" s="111">
        <v>7103</v>
      </c>
      <c r="M71" s="111">
        <v>4.3816468033656601</v>
      </c>
      <c r="N71" s="111">
        <v>82440.89</v>
      </c>
      <c r="O71" s="111">
        <v>4.1443180393723704</v>
      </c>
      <c r="P71" s="111">
        <v>162108</v>
      </c>
      <c r="Q71" s="111">
        <v>1989251.0472599999</v>
      </c>
      <c r="R71" s="111">
        <v>3.75381618922792</v>
      </c>
      <c r="S71" s="111">
        <v>34.578182446270397</v>
      </c>
      <c r="T71" s="111">
        <v>16.734552985847401</v>
      </c>
      <c r="U71" s="111">
        <v>0.73229944501330502</v>
      </c>
      <c r="V71" s="111">
        <v>-2173</v>
      </c>
      <c r="W71" s="111">
        <v>0.64353571686644295</v>
      </c>
      <c r="X71" s="111">
        <v>75.634968933379398</v>
      </c>
      <c r="Y71" s="111">
        <v>-0.102313400669701</v>
      </c>
      <c r="Z71" s="111">
        <v>0.221956623426769</v>
      </c>
      <c r="AA71" s="111">
        <v>98118346734.067703</v>
      </c>
      <c r="AB71" s="111">
        <v>2350.39990234375</v>
      </c>
      <c r="AC71" s="111">
        <v>0.642085316646263</v>
      </c>
      <c r="AD71" s="111">
        <v>0.19697948899526499</v>
      </c>
      <c r="AE71" s="111">
        <v>56.8243010010356</v>
      </c>
      <c r="AF71" s="111">
        <v>26.11</v>
      </c>
      <c r="AG71" s="111">
        <v>3.54</v>
      </c>
      <c r="AH71" s="111">
        <v>25.21</v>
      </c>
      <c r="AI71" s="111">
        <v>4.1500000000000004</v>
      </c>
      <c r="AJ71" s="111">
        <v>30.18</v>
      </c>
      <c r="AK71" s="111">
        <v>5.44</v>
      </c>
      <c r="AL71" s="111">
        <v>5.88</v>
      </c>
      <c r="AM71" s="111">
        <v>30.19</v>
      </c>
      <c r="AN71" s="111">
        <v>26.11</v>
      </c>
      <c r="AO71" s="111">
        <v>8.98</v>
      </c>
      <c r="AP71" s="111">
        <v>25.21</v>
      </c>
      <c r="AQ71" s="111">
        <v>14.956568539999999</v>
      </c>
      <c r="AR71" s="111">
        <v>13255.509770000001</v>
      </c>
      <c r="AS71" s="111">
        <v>0.77300000000000002</v>
      </c>
      <c r="AT71" s="111">
        <v>71.623999999999995</v>
      </c>
      <c r="AU71" s="111">
        <v>11.13142043</v>
      </c>
      <c r="AV71" s="111">
        <v>5.0999999999999996</v>
      </c>
      <c r="AW71" s="111">
        <v>208.60694283631</v>
      </c>
      <c r="AX71" s="111">
        <v>-1680832012.19366</v>
      </c>
      <c r="AY71" s="111">
        <v>-2.3865521212121162E-2</v>
      </c>
      <c r="AZ71" s="111">
        <v>-0.33268652347406452</v>
      </c>
      <c r="BA71" s="111">
        <v>-513488.31515151518</v>
      </c>
      <c r="BB71" s="111">
        <v>-2.6315789473684208</v>
      </c>
      <c r="BC71" s="111">
        <v>0</v>
      </c>
      <c r="BD71" s="438">
        <f>VLOOKUP($A71,'NZ targets'!$G$13:$BG$238,33,FALSE)</f>
        <v>-3.3299783922938281E-2</v>
      </c>
      <c r="BE71" s="439">
        <f>VLOOKUP($A71,'NZ targets'!$G$13:$BG$238,18,FALSE)</f>
        <v>-0.40317473119244235</v>
      </c>
      <c r="BF71" s="440">
        <f>VLOOKUP($A71,'NZ targets'!$G$13:$BG$238,25,FALSE)</f>
        <v>-1.2244007311924423</v>
      </c>
      <c r="BG71" s="442">
        <f>VLOOKUP($A71,'NZ targets'!$G$13:$BG$238,3,FALSE)</f>
        <v>3</v>
      </c>
    </row>
    <row r="72" spans="1:59" hidden="1" x14ac:dyDescent="0.25">
      <c r="A72" t="s">
        <v>476</v>
      </c>
      <c r="B72" s="438" t="str">
        <f>VLOOKUP($A72,'NZ targets'!$G$13:$BG$238,2,FALSE)</f>
        <v>Uruguay</v>
      </c>
      <c r="C72" s="111">
        <v>100</v>
      </c>
      <c r="D72" s="111">
        <v>2.09231674852946</v>
      </c>
      <c r="E72" s="111">
        <v>3422794</v>
      </c>
      <c r="F72" s="111">
        <v>1.61052799224854</v>
      </c>
      <c r="G72" s="111">
        <v>0.84996271133422896</v>
      </c>
      <c r="H72" s="111">
        <v>1.09546458721161</v>
      </c>
      <c r="I72" s="111">
        <v>0.71357941627502397</v>
      </c>
      <c r="J72" s="111">
        <v>0.76768893003463701</v>
      </c>
      <c r="K72" s="111">
        <v>1.2803338766098</v>
      </c>
      <c r="L72" s="111">
        <v>12168</v>
      </c>
      <c r="M72" s="111">
        <v>88.558951965065503</v>
      </c>
      <c r="N72" s="111">
        <v>107022.2</v>
      </c>
      <c r="O72" s="111">
        <v>58.022041177852799</v>
      </c>
      <c r="P72" s="111">
        <v>13740</v>
      </c>
      <c r="Q72" s="111">
        <v>184450.93938</v>
      </c>
      <c r="R72" s="111">
        <v>1.8997190504991699</v>
      </c>
      <c r="S72" s="111">
        <v>0</v>
      </c>
      <c r="T72" s="111">
        <v>11.7243743572163</v>
      </c>
      <c r="U72" s="111">
        <v>5.9472405562298496</v>
      </c>
      <c r="V72" s="111">
        <v>-1486</v>
      </c>
      <c r="W72" s="111">
        <v>2.3235585158844101</v>
      </c>
      <c r="X72" s="111">
        <v>19.5763912695692</v>
      </c>
      <c r="Y72" s="111">
        <v>-2.0057674490299302</v>
      </c>
      <c r="Z72" s="111">
        <v>0</v>
      </c>
      <c r="AA72" s="111">
        <v>52115108174.716499</v>
      </c>
      <c r="AB72" s="111">
        <v>15002.649366146699</v>
      </c>
      <c r="AC72" s="111">
        <v>0</v>
      </c>
      <c r="AD72" s="111">
        <v>0</v>
      </c>
      <c r="AE72" s="111">
        <v>11.566678093932101</v>
      </c>
      <c r="AF72" s="111">
        <v>0.48</v>
      </c>
      <c r="AG72" s="111">
        <v>0.28999999999999998</v>
      </c>
      <c r="AH72" s="111">
        <v>3.63</v>
      </c>
      <c r="AI72" s="111">
        <v>0.15</v>
      </c>
      <c r="AJ72" s="111">
        <v>26.34</v>
      </c>
      <c r="AK72" s="111">
        <v>0.98</v>
      </c>
      <c r="AL72" s="111">
        <v>9.9700000000000006</v>
      </c>
      <c r="AM72" s="111">
        <v>26.34</v>
      </c>
      <c r="AN72" s="111">
        <v>0.48</v>
      </c>
      <c r="AO72" s="111">
        <v>1.27</v>
      </c>
      <c r="AP72" s="111">
        <v>3.63</v>
      </c>
      <c r="AQ72" s="111">
        <v>16.832599640000002</v>
      </c>
      <c r="AR72" s="111">
        <v>21268.881219999999</v>
      </c>
      <c r="AS72" s="111">
        <v>0.80900000000000005</v>
      </c>
      <c r="AT72" s="111">
        <v>75.435599999999994</v>
      </c>
      <c r="AU72" s="111">
        <v>8.9825496670000007</v>
      </c>
      <c r="AV72" s="111">
        <v>2.1</v>
      </c>
      <c r="AW72" s="111">
        <v>41.907754457997001</v>
      </c>
      <c r="AX72" s="111">
        <v>684680772.37912822</v>
      </c>
      <c r="AY72" s="111">
        <v>6.3192500466666759E-2</v>
      </c>
      <c r="AZ72" s="111">
        <v>3.7963661295852699E-2</v>
      </c>
      <c r="BA72" s="111">
        <v>4829.2303030303028</v>
      </c>
      <c r="BB72" s="111">
        <v>-3.5714285714285721</v>
      </c>
      <c r="BC72" s="111">
        <v>1</v>
      </c>
      <c r="BD72" s="438">
        <f>VLOOKUP($A72,'NZ targets'!$G$13:$BG$238,33,FALSE)</f>
        <v>-4.0154680508811186E-2</v>
      </c>
      <c r="BE72" s="439">
        <f>VLOOKUP($A72,'NZ targets'!$G$13:$BG$238,18,FALSE)</f>
        <v>-7.3469999999999995</v>
      </c>
      <c r="BF72" s="440">
        <f>VLOOKUP($A72,'NZ targets'!$G$13:$BG$238,25,FALSE)</f>
        <v>-12.171972356271871</v>
      </c>
      <c r="BG72" s="442">
        <f>VLOOKUP($A72,'NZ targets'!$G$13:$BG$238,3,FALSE)</f>
        <v>3</v>
      </c>
    </row>
    <row r="73" spans="1:59" hidden="1" x14ac:dyDescent="0.25">
      <c r="A73" t="s">
        <v>474</v>
      </c>
      <c r="B73" s="438" t="str">
        <f>VLOOKUP($A73,'NZ targets'!$G$13:$BG$238,2,FALSE)</f>
        <v>United States</v>
      </c>
      <c r="C73" s="111">
        <v>100</v>
      </c>
      <c r="D73" s="111">
        <v>14.4906535240608</v>
      </c>
      <c r="E73" s="111">
        <v>333287557</v>
      </c>
      <c r="F73" s="111">
        <v>1.10425877571106</v>
      </c>
      <c r="G73" s="111">
        <v>1.25599312782288</v>
      </c>
      <c r="H73" s="111">
        <v>-3.6005027592182201E-2</v>
      </c>
      <c r="I73" s="111">
        <v>1.4244399070739699</v>
      </c>
      <c r="J73" s="111">
        <v>1.37168848514557</v>
      </c>
      <c r="K73" s="111">
        <v>0.84512186050414995</v>
      </c>
      <c r="L73" s="111">
        <v>568439</v>
      </c>
      <c r="M73" s="111">
        <v>13.228593210967199</v>
      </c>
      <c r="N73" s="111">
        <v>5097931</v>
      </c>
      <c r="O73" s="111">
        <v>8.7169358670581403</v>
      </c>
      <c r="P73" s="111">
        <v>4297048</v>
      </c>
      <c r="Q73" s="111">
        <v>58483061.912447996</v>
      </c>
      <c r="R73" s="111">
        <v>13.0328279519898</v>
      </c>
      <c r="S73" s="111">
        <v>34.232733727898797</v>
      </c>
      <c r="T73" s="111">
        <v>33.8669264120375</v>
      </c>
      <c r="U73" s="111">
        <v>2.2570600893642601</v>
      </c>
      <c r="V73" s="111">
        <v>675560</v>
      </c>
      <c r="W73" s="111">
        <v>0.77826062341991897</v>
      </c>
      <c r="X73" s="111">
        <v>36.297836329806699</v>
      </c>
      <c r="Y73" s="111">
        <v>-0.142624829506246</v>
      </c>
      <c r="Z73" s="111">
        <v>0.113551170304363</v>
      </c>
      <c r="AA73" s="111">
        <v>19247056779000</v>
      </c>
      <c r="AB73" s="111">
        <v>58060.313948298397</v>
      </c>
      <c r="AC73" s="111">
        <v>1.7560831453658301E-2</v>
      </c>
      <c r="AD73" s="111">
        <v>0.230912624466627</v>
      </c>
      <c r="AE73" s="111">
        <v>17.2438567377468</v>
      </c>
      <c r="AF73" s="111">
        <v>550.67999999999995</v>
      </c>
      <c r="AG73" s="111">
        <v>41.21</v>
      </c>
      <c r="AH73" s="111">
        <v>1762.24</v>
      </c>
      <c r="AI73" s="111">
        <v>3.22</v>
      </c>
      <c r="AJ73" s="111">
        <v>385.25</v>
      </c>
      <c r="AK73" s="111">
        <v>192.7</v>
      </c>
      <c r="AL73" s="111">
        <v>17.739999999999998</v>
      </c>
      <c r="AM73" s="111">
        <v>385.25</v>
      </c>
      <c r="AN73" s="111">
        <v>550.67999999999995</v>
      </c>
      <c r="AO73" s="111">
        <v>233.91</v>
      </c>
      <c r="AP73" s="111">
        <v>1762.24</v>
      </c>
      <c r="AQ73" s="111">
        <v>16.280979160000001</v>
      </c>
      <c r="AR73" s="111">
        <v>64765.215089999998</v>
      </c>
      <c r="AS73" s="111">
        <v>0.92100000000000004</v>
      </c>
      <c r="AT73" s="111">
        <v>77.1982</v>
      </c>
      <c r="AU73" s="111">
        <v>13.683429719999999</v>
      </c>
      <c r="AV73" s="111">
        <v>3.2</v>
      </c>
      <c r="AW73" s="111">
        <v>6017.4429831846001</v>
      </c>
      <c r="AX73" s="111">
        <v>354600486642.42432</v>
      </c>
      <c r="AY73" s="111">
        <v>6.6240255757575681E-2</v>
      </c>
      <c r="AZ73" s="111">
        <v>0.22633445376849051</v>
      </c>
      <c r="BA73" s="111">
        <v>1951020.1212121211</v>
      </c>
      <c r="BB73" s="111">
        <v>-3.5714285714285721</v>
      </c>
      <c r="BC73" s="111">
        <v>1</v>
      </c>
      <c r="BD73" s="438">
        <f>VLOOKUP($A73,'NZ targets'!$G$13:$BG$238,33,FALSE)</f>
        <v>-3.9010390823182341E-2</v>
      </c>
      <c r="BE73" s="439">
        <f>VLOOKUP($A73,'NZ targets'!$G$13:$BG$238,18,FALSE)</f>
        <v>-950</v>
      </c>
      <c r="BF73" s="440">
        <f>VLOOKUP($A73,'NZ targets'!$G$13:$BG$238,25,FALSE)</f>
        <v>-786.87001350000003</v>
      </c>
      <c r="BG73" s="442">
        <f>VLOOKUP($A73,'NZ targets'!$G$13:$BG$238,3,FALSE)</f>
        <v>4</v>
      </c>
    </row>
    <row r="74" spans="1:59" hidden="1" x14ac:dyDescent="0.25">
      <c r="A74" t="s">
        <v>478</v>
      </c>
      <c r="B74" s="438" t="str">
        <f>VLOOKUP($A74,'NZ targets'!$G$13:$BG$238,2,FALSE)</f>
        <v>Uzbekistan</v>
      </c>
      <c r="C74" s="111">
        <v>99.9</v>
      </c>
      <c r="D74" s="111">
        <v>3.9169032399297099</v>
      </c>
      <c r="E74" s="111">
        <v>35648100</v>
      </c>
      <c r="F74" s="111">
        <v>-0.75762343406677202</v>
      </c>
      <c r="G74" s="111">
        <v>-0.32951590418815602</v>
      </c>
      <c r="H74" s="111">
        <v>-0.196214869618416</v>
      </c>
      <c r="I74" s="111">
        <v>-0.55031543970107999</v>
      </c>
      <c r="J74" s="111">
        <v>-0.85410720109939597</v>
      </c>
      <c r="K74" s="111">
        <v>-1.3302520513534499</v>
      </c>
      <c r="L74" s="111">
        <v>11830</v>
      </c>
      <c r="M74" s="111">
        <v>20.652932960893899</v>
      </c>
      <c r="N74" s="111">
        <v>34727.39</v>
      </c>
      <c r="O74" s="111">
        <v>2.9701786996609498</v>
      </c>
      <c r="P74" s="111">
        <v>57280</v>
      </c>
      <c r="Q74" s="111">
        <v>1169202.0417480001</v>
      </c>
      <c r="R74" s="111">
        <v>3.3763037854875799</v>
      </c>
      <c r="S74" s="111">
        <v>4.08519553072626</v>
      </c>
      <c r="T74" s="111">
        <v>8.4318046172385106</v>
      </c>
      <c r="U74" s="111">
        <v>1.5658408739762899</v>
      </c>
      <c r="V74" s="111">
        <v>-39203</v>
      </c>
      <c r="W74" s="111">
        <v>0.49629845013664098</v>
      </c>
      <c r="X74" s="111">
        <v>79.234908193067994</v>
      </c>
      <c r="Y74" s="111">
        <v>-1.6378054983249499E-2</v>
      </c>
      <c r="Z74" s="111">
        <v>2.70077321896048E-2</v>
      </c>
      <c r="AA74" s="111">
        <v>108163900036.80701</v>
      </c>
      <c r="AB74" s="111">
        <v>3159.7260472804701</v>
      </c>
      <c r="AC74" s="111">
        <v>4.17507063785889</v>
      </c>
      <c r="AD74" s="111">
        <v>0.70923463503720596</v>
      </c>
      <c r="AE74" s="111">
        <v>9.1296947690911097</v>
      </c>
      <c r="AF74" s="111">
        <v>26.93</v>
      </c>
      <c r="AG74" s="111">
        <v>3.41</v>
      </c>
      <c r="AH74" s="111">
        <v>15.02</v>
      </c>
      <c r="AI74" s="111">
        <v>0.26</v>
      </c>
      <c r="AJ74" s="111">
        <v>35.99</v>
      </c>
      <c r="AK74" s="111">
        <v>3.28</v>
      </c>
      <c r="AL74" s="111">
        <v>7.04</v>
      </c>
      <c r="AM74" s="111">
        <v>35.99</v>
      </c>
      <c r="AN74" s="111">
        <v>26.93</v>
      </c>
      <c r="AO74" s="111">
        <v>6.69</v>
      </c>
      <c r="AP74" s="111">
        <v>15.02</v>
      </c>
      <c r="AQ74" s="111">
        <v>12.47714043</v>
      </c>
      <c r="AR74" s="111">
        <v>7916.7857249999997</v>
      </c>
      <c r="AS74" s="111">
        <v>0.72699999999999998</v>
      </c>
      <c r="AT74" s="111">
        <v>70.861599999999996</v>
      </c>
      <c r="AU74" s="111">
        <v>11.89558983</v>
      </c>
      <c r="AV74" s="111">
        <v>3.2</v>
      </c>
      <c r="AW74" s="111">
        <v>227.20674617779</v>
      </c>
      <c r="AX74" s="111">
        <v>4925251785.6918526</v>
      </c>
      <c r="AY74" s="111">
        <v>9.0824854969696986E-2</v>
      </c>
      <c r="AZ74" s="111">
        <v>1.1937137975375709</v>
      </c>
      <c r="BA74" s="111">
        <v>595009.09090909094</v>
      </c>
      <c r="BB74" s="111">
        <v>-12.5</v>
      </c>
      <c r="BC74" s="111">
        <v>0</v>
      </c>
      <c r="BD74" s="438" t="str">
        <f>VLOOKUP($A74,'NZ targets'!$G$13:$BG$238,33,FALSE)</f>
        <v/>
      </c>
      <c r="BE74" s="439">
        <f>VLOOKUP($A74,'NZ targets'!$G$13:$BG$238,18,FALSE)</f>
        <v>-11.170087575260006</v>
      </c>
      <c r="BF74" s="440">
        <f>VLOOKUP($A74,'NZ targets'!$G$13:$BG$238,25,FALSE)</f>
        <v>-14.879776300106549</v>
      </c>
      <c r="BG74" s="442">
        <f>VLOOKUP($A74,'NZ targets'!$G$13:$BG$238,3,FALSE)</f>
        <v>0</v>
      </c>
    </row>
    <row r="75" spans="1:59" hidden="1" x14ac:dyDescent="0.25">
      <c r="A75" t="s">
        <v>486</v>
      </c>
      <c r="B75" s="438" t="str">
        <f>VLOOKUP($A75,'NZ targets'!$G$13:$BG$238,2,FALSE)</f>
        <v>Vietnam</v>
      </c>
      <c r="C75" s="111">
        <v>100</v>
      </c>
      <c r="D75" s="111">
        <v>7.7897130820940005E-2</v>
      </c>
      <c r="E75" s="111">
        <v>98186856</v>
      </c>
      <c r="F75" s="111">
        <v>-0.287282675504684</v>
      </c>
      <c r="G75" s="111">
        <v>0.17549079656600999</v>
      </c>
      <c r="H75" s="111">
        <v>-3.0564662069082298E-2</v>
      </c>
      <c r="I75" s="111">
        <v>-0.42995631694793701</v>
      </c>
      <c r="J75" s="111">
        <v>-0.15844340622425099</v>
      </c>
      <c r="K75" s="111">
        <v>-1.2887034416198699</v>
      </c>
      <c r="L75" s="111">
        <v>56304</v>
      </c>
      <c r="M75" s="111">
        <v>36.732057697200602</v>
      </c>
      <c r="N75" s="111">
        <v>800189.5</v>
      </c>
      <c r="O75" s="111">
        <v>34.998569838208503</v>
      </c>
      <c r="P75" s="111">
        <v>153283</v>
      </c>
      <c r="Q75" s="111">
        <v>2286349.1385479998</v>
      </c>
      <c r="R75" s="111">
        <v>3.6764400881398398</v>
      </c>
      <c r="S75" s="111">
        <v>29.571446279104698</v>
      </c>
      <c r="T75" s="111">
        <v>46.961161858028397</v>
      </c>
      <c r="U75" s="111">
        <v>0.82380053106775297</v>
      </c>
      <c r="V75" s="111">
        <v>-2016</v>
      </c>
      <c r="W75" s="111">
        <v>0.277629588855761</v>
      </c>
      <c r="X75" s="111">
        <v>310.97323157716698</v>
      </c>
      <c r="Y75" s="111">
        <v>-1.55129161783027</v>
      </c>
      <c r="Z75" s="111">
        <v>0.22186234292262899</v>
      </c>
      <c r="AA75" s="111">
        <v>322775155095.008</v>
      </c>
      <c r="AB75" s="111">
        <v>3316.0042518289802</v>
      </c>
      <c r="AC75" s="111">
        <v>0.26344237876038601</v>
      </c>
      <c r="AD75" s="111">
        <v>0.67756960293246205</v>
      </c>
      <c r="AE75" s="111">
        <v>21.654026908805498</v>
      </c>
      <c r="AF75" s="111">
        <v>15.79</v>
      </c>
      <c r="AG75" s="111">
        <v>30.29</v>
      </c>
      <c r="AH75" s="111">
        <v>36.32</v>
      </c>
      <c r="AI75" s="111">
        <v>10.99</v>
      </c>
      <c r="AJ75" s="111">
        <v>70.989999999999995</v>
      </c>
      <c r="AK75" s="111">
        <v>6.84</v>
      </c>
      <c r="AL75" s="111">
        <v>3.81</v>
      </c>
      <c r="AM75" s="111">
        <v>70.989999999999995</v>
      </c>
      <c r="AN75" s="111">
        <v>15.79</v>
      </c>
      <c r="AO75" s="111">
        <v>37.130000000000003</v>
      </c>
      <c r="AP75" s="111">
        <v>36.32</v>
      </c>
      <c r="AQ75" s="111">
        <v>12.9519325</v>
      </c>
      <c r="AR75" s="111">
        <v>7867.3713449999996</v>
      </c>
      <c r="AS75" s="111">
        <v>0.70299999999999996</v>
      </c>
      <c r="AT75" s="111">
        <v>73.618099999999998</v>
      </c>
      <c r="AU75" s="111">
        <v>8.370280266</v>
      </c>
      <c r="AV75" s="111">
        <v>3.7</v>
      </c>
      <c r="AW75" s="111">
        <v>489.15923532046003</v>
      </c>
      <c r="AX75" s="111">
        <v>15663425700.916321</v>
      </c>
      <c r="AY75" s="111">
        <v>7.002972110303031E-2</v>
      </c>
      <c r="AZ75" s="111">
        <v>2.881889447174721</v>
      </c>
      <c r="BA75" s="111">
        <v>884957.61212121218</v>
      </c>
      <c r="BB75" s="111">
        <v>-3.5714285714285721</v>
      </c>
      <c r="BC75" s="111">
        <v>0</v>
      </c>
      <c r="BD75" s="438">
        <f>VLOOKUP($A75,'NZ targets'!$G$13:$BG$238,33,FALSE)</f>
        <v>-4.6997135125877623E-2</v>
      </c>
      <c r="BE75" s="439">
        <f>VLOOKUP($A75,'NZ targets'!$G$13:$BG$238,18,FALSE)</f>
        <v>-38.758915643874388</v>
      </c>
      <c r="BF75" s="440">
        <f>VLOOKUP($A75,'NZ targets'!$G$13:$BG$238,25,FALSE)</f>
        <v>-48.784640000000003</v>
      </c>
      <c r="BG75" s="442">
        <f>VLOOKUP($A75,'NZ targets'!$G$13:$BG$238,3,FALSE)</f>
        <v>3</v>
      </c>
    </row>
    <row r="76" spans="1:59" hidden="1" x14ac:dyDescent="0.25">
      <c r="A76" t="s">
        <v>410</v>
      </c>
      <c r="B76" s="438" t="str">
        <f>VLOOKUP($A76,'NZ targets'!$G$13:$BG$238,2,FALSE)</f>
        <v>South Africa</v>
      </c>
      <c r="C76" s="111">
        <v>89.3</v>
      </c>
      <c r="D76" s="111">
        <v>5.7670904489131498</v>
      </c>
      <c r="E76" s="111">
        <v>59893885</v>
      </c>
      <c r="F76" s="111">
        <v>-0.31976521015167197</v>
      </c>
      <c r="G76" s="111">
        <v>-0.12531796097755399</v>
      </c>
      <c r="H76" s="111">
        <v>-0.722118079662323</v>
      </c>
      <c r="I76" s="111">
        <v>-0.185125753283501</v>
      </c>
      <c r="J76" s="111">
        <v>1.973732188344E-2</v>
      </c>
      <c r="K76" s="111">
        <v>0.70701420307159402</v>
      </c>
      <c r="L76" s="111">
        <v>5564</v>
      </c>
      <c r="M76" s="111">
        <v>2.2550418260813201</v>
      </c>
      <c r="N76" s="111">
        <v>504710.1</v>
      </c>
      <c r="O76" s="111">
        <v>17.1501412476598</v>
      </c>
      <c r="P76" s="111">
        <v>246736</v>
      </c>
      <c r="Q76" s="111">
        <v>2942891.7972840001</v>
      </c>
      <c r="R76" s="111">
        <v>6.6875631473778103</v>
      </c>
      <c r="S76" s="111">
        <v>92.7112379223137</v>
      </c>
      <c r="T76" s="111">
        <v>14.0250847010527</v>
      </c>
      <c r="U76" s="111">
        <v>1.2280756571123901</v>
      </c>
      <c r="V76" s="111">
        <v>30852</v>
      </c>
      <c r="W76" s="111">
        <v>0.30599315461209298</v>
      </c>
      <c r="X76" s="111">
        <v>48.959479511000801</v>
      </c>
      <c r="Y76" s="111">
        <v>0</v>
      </c>
      <c r="Z76" s="111">
        <v>1.62403711487131</v>
      </c>
      <c r="AA76" s="111">
        <v>335640150576.12201</v>
      </c>
      <c r="AB76" s="111">
        <v>5659.2069488657098</v>
      </c>
      <c r="AC76" s="111">
        <v>9.5444426130648994E-3</v>
      </c>
      <c r="AD76" s="111">
        <v>3.217371897764E-3</v>
      </c>
      <c r="AE76" s="111">
        <v>9.8920937440750496</v>
      </c>
      <c r="AF76" s="111">
        <v>33.840000000000003</v>
      </c>
      <c r="AG76" s="111">
        <v>5.21</v>
      </c>
      <c r="AH76" s="111">
        <v>56.86</v>
      </c>
      <c r="AI76" s="111">
        <v>-0.16</v>
      </c>
      <c r="AJ76" s="111">
        <v>30.02</v>
      </c>
      <c r="AK76" s="111">
        <v>17.27</v>
      </c>
      <c r="AL76" s="111">
        <v>9.01</v>
      </c>
      <c r="AM76" s="111">
        <v>30.03</v>
      </c>
      <c r="AN76" s="111">
        <v>33.840000000000003</v>
      </c>
      <c r="AO76" s="111">
        <v>22.48</v>
      </c>
      <c r="AP76" s="111">
        <v>56.86</v>
      </c>
      <c r="AQ76" s="111">
        <v>13.64371014</v>
      </c>
      <c r="AR76" s="111">
        <v>12948.373250000001</v>
      </c>
      <c r="AS76" s="111">
        <v>0.71299999999999997</v>
      </c>
      <c r="AT76" s="111">
        <v>62.341000000000001</v>
      </c>
      <c r="AU76" s="111">
        <v>11.37316036</v>
      </c>
      <c r="AV76" s="111">
        <v>4.5</v>
      </c>
      <c r="AW76" s="111">
        <v>534.53165154451995</v>
      </c>
      <c r="AX76" s="111">
        <v>2865010231.564229</v>
      </c>
      <c r="AY76" s="111">
        <v>0.1814697320606061</v>
      </c>
      <c r="AZ76" s="111">
        <v>0.5601474171768176</v>
      </c>
      <c r="BA76" s="111">
        <v>649340.80606060615</v>
      </c>
      <c r="BB76" s="111">
        <v>-2.3255813953488369</v>
      </c>
      <c r="BC76" s="111">
        <v>1</v>
      </c>
      <c r="BD76" s="438">
        <f>VLOOKUP($A76,'NZ targets'!$G$13:$BG$238,33,FALSE)</f>
        <v>-2.6975257300752366E-2</v>
      </c>
      <c r="BE76" s="439">
        <f>VLOOKUP($A76,'NZ targets'!$G$13:$BG$238,18,FALSE)</f>
        <v>-26.686599999999999</v>
      </c>
      <c r="BF76" s="440">
        <f>VLOOKUP($A76,'NZ targets'!$G$13:$BG$238,25,FALSE)</f>
        <v>-42.486194521586</v>
      </c>
      <c r="BG76" s="442">
        <f>VLOOKUP($A76,'NZ targets'!$G$13:$BG$238,3,FALSE)</f>
        <v>2</v>
      </c>
    </row>
    <row r="77" spans="1:59" x14ac:dyDescent="0.25">
      <c r="A77" t="s">
        <v>498</v>
      </c>
      <c r="B77" s="438" t="str">
        <f>VLOOKUP($A77,'NZ targets'!$G$13:$BG$238,2,FALSE)</f>
        <v>Zambia</v>
      </c>
      <c r="C77" s="111">
        <v>46.685115814208999</v>
      </c>
      <c r="D77" s="111">
        <v>0.78902565031930205</v>
      </c>
      <c r="E77" s="111">
        <v>20017675</v>
      </c>
      <c r="F77" s="111">
        <v>-0.529199838638306</v>
      </c>
      <c r="G77" s="111">
        <v>-0.65823274850845304</v>
      </c>
      <c r="H77" s="111">
        <v>0.102313563227654</v>
      </c>
      <c r="I77" s="111">
        <v>-0.52905791997909501</v>
      </c>
      <c r="J77" s="111">
        <v>-0.519154012203217</v>
      </c>
      <c r="K77" s="111">
        <v>-8.9141272008418995E-2</v>
      </c>
      <c r="L77" s="111">
        <v>13035</v>
      </c>
      <c r="M77" s="111">
        <v>96.993823945233999</v>
      </c>
      <c r="N77" s="111">
        <v>301679.8</v>
      </c>
      <c r="O77" s="111">
        <v>87.985452358535298</v>
      </c>
      <c r="P77" s="111">
        <v>13439</v>
      </c>
      <c r="Q77" s="111">
        <v>342874.63656000001</v>
      </c>
      <c r="R77" s="111">
        <v>0.40190271250386</v>
      </c>
      <c r="S77" s="111">
        <v>0</v>
      </c>
      <c r="T77" s="111">
        <v>60.030150123084802</v>
      </c>
      <c r="U77" s="111">
        <v>0.81619742953652896</v>
      </c>
      <c r="V77" s="111">
        <v>9015</v>
      </c>
      <c r="W77" s="111">
        <v>0.65319530857264096</v>
      </c>
      <c r="X77" s="111">
        <v>26.1950322172749</v>
      </c>
      <c r="Y77" s="111">
        <v>0.33348404706356399</v>
      </c>
      <c r="Z77" s="111">
        <v>0.14289321943306499</v>
      </c>
      <c r="AA77" s="111">
        <v>23418945736.8993</v>
      </c>
      <c r="AB77" s="111">
        <v>1273.8795576370601</v>
      </c>
      <c r="AC77" s="111">
        <v>0</v>
      </c>
      <c r="AD77" s="111">
        <v>0</v>
      </c>
      <c r="AE77" s="111">
        <v>5.1117179407847804</v>
      </c>
      <c r="AF77" s="111">
        <v>0.13</v>
      </c>
      <c r="AG77" s="111">
        <v>1.05</v>
      </c>
      <c r="AH77" s="111">
        <v>2.0299999999999998</v>
      </c>
      <c r="AI77" s="111">
        <v>-0.68</v>
      </c>
      <c r="AJ77" s="111">
        <v>24.45</v>
      </c>
      <c r="AK77" s="111">
        <v>0.59</v>
      </c>
      <c r="AL77" s="111">
        <v>5.37</v>
      </c>
      <c r="AM77" s="111">
        <v>24.46</v>
      </c>
      <c r="AN77" s="111">
        <v>0.13</v>
      </c>
      <c r="AO77" s="111">
        <v>1.64</v>
      </c>
      <c r="AP77" s="111">
        <v>2.0299999999999998</v>
      </c>
      <c r="AQ77" s="111">
        <v>10.92876021</v>
      </c>
      <c r="AR77" s="111">
        <v>3217.7677389999999</v>
      </c>
      <c r="AS77" s="111">
        <v>0.56499999999999995</v>
      </c>
      <c r="AT77" s="111">
        <v>61.223399999999998</v>
      </c>
      <c r="AU77" s="111">
        <v>7.1870914939999997</v>
      </c>
      <c r="AV77" s="111">
        <v>3.9</v>
      </c>
      <c r="AW77" s="111">
        <v>30.330585039869</v>
      </c>
      <c r="AX77" s="111">
        <v>717815193.25547707</v>
      </c>
      <c r="AY77" s="111">
        <v>9.2849731509090885E-2</v>
      </c>
      <c r="AZ77" s="111">
        <v>0.70856463857015095</v>
      </c>
      <c r="BA77" s="111">
        <v>533121.37575757585</v>
      </c>
      <c r="BB77" s="111">
        <v>-3.5714285714285721</v>
      </c>
      <c r="BC77" s="111">
        <v>1</v>
      </c>
      <c r="BD77" s="438" t="str">
        <f>VLOOKUP($A77,'NZ targets'!$G$13:$BG$238,33,FALSE)</f>
        <v/>
      </c>
      <c r="BE77" s="439">
        <f>VLOOKUP($A77,'NZ targets'!$G$13:$BG$238,18,FALSE)</f>
        <v>-23.398434371184067</v>
      </c>
      <c r="BF77" s="440">
        <f>VLOOKUP($A77,'NZ targets'!$G$13:$BG$238,25,FALSE)</f>
        <v>-28.03748812769043</v>
      </c>
      <c r="BG77" s="442">
        <f>VLOOKUP($A77,'NZ targets'!$G$13:$BG$238,3,FALSE)</f>
        <v>1</v>
      </c>
    </row>
  </sheetData>
  <autoFilter ref="A1:BG77" xr:uid="{6BEF9B36-A97C-4D3D-BF42-2050FAB77F3A}">
    <filterColumn colId="58">
      <filters>
        <filter val="1"/>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6B87F-D7E0-4092-BB76-3696F942B01A}">
  <sheetPr>
    <tabColor rgb="FF92D050"/>
  </sheetPr>
  <dimension ref="A1:BT297"/>
  <sheetViews>
    <sheetView tabSelected="1" topLeftCell="N1" zoomScaleNormal="100" workbookViewId="0">
      <selection activeCell="AF14" sqref="AF14"/>
    </sheetView>
  </sheetViews>
  <sheetFormatPr defaultColWidth="7.42578125" defaultRowHeight="13.5" x14ac:dyDescent="0.25"/>
  <cols>
    <col min="1" max="7" width="7.42578125" style="1"/>
    <col min="8" max="8" width="14" style="1" customWidth="1"/>
    <col min="9" max="9" width="14.28515625" style="1" customWidth="1"/>
    <col min="10" max="10" width="12.5703125" style="1" customWidth="1"/>
    <col min="11" max="11" width="14.7109375" style="1" customWidth="1"/>
    <col min="12" max="12" width="23.28515625" style="1" customWidth="1"/>
    <col min="13" max="13" width="13.5703125" style="1" customWidth="1"/>
    <col min="14" max="15" width="9.28515625" style="1" customWidth="1"/>
    <col min="16" max="16" width="14.28515625" style="1" hidden="1" customWidth="1"/>
    <col min="17" max="17" width="15.7109375" style="1" hidden="1" customWidth="1"/>
    <col min="18" max="18" width="13.28515625" style="1" hidden="1" customWidth="1"/>
    <col min="19" max="19" width="15.7109375" style="50" hidden="1" customWidth="1"/>
    <col min="20" max="20" width="8.7109375" style="50" customWidth="1"/>
    <col min="21" max="21" width="7.5703125" style="1" customWidth="1"/>
    <col min="22" max="22" width="9.42578125" style="1" customWidth="1"/>
    <col min="23" max="26" width="13.85546875" style="1" customWidth="1"/>
    <col min="27" max="27" width="11.7109375" style="1" customWidth="1"/>
    <col min="28" max="28" width="11.5703125" style="1" customWidth="1"/>
    <col min="29" max="29" width="13.140625" style="1" customWidth="1"/>
    <col min="30" max="30" width="15.5703125" style="1" customWidth="1"/>
    <col min="31" max="31" width="11.7109375" style="1" customWidth="1"/>
    <col min="32" max="32" width="16.28515625" style="1" customWidth="1"/>
    <col min="33" max="33" width="9.28515625" style="1" customWidth="1"/>
    <col min="34" max="34" width="10.5703125" style="1" customWidth="1"/>
    <col min="35" max="35" width="7.7109375" style="1" customWidth="1"/>
    <col min="36" max="37" width="11" style="1" customWidth="1"/>
    <col min="38" max="38" width="13.7109375" style="1" customWidth="1"/>
    <col min="39" max="39" width="12.85546875" style="1" customWidth="1"/>
    <col min="40" max="40" width="14.28515625" style="1" customWidth="1"/>
    <col min="41" max="41" width="14.7109375" style="1" customWidth="1"/>
    <col min="42" max="42" width="9.28515625" style="1" customWidth="1"/>
    <col min="43" max="43" width="8.5703125" style="1" customWidth="1"/>
    <col min="44" max="44" width="15.28515625" style="1" customWidth="1"/>
    <col min="45" max="52" width="7.42578125" style="1" customWidth="1"/>
    <col min="53" max="53" width="11.85546875" style="1" customWidth="1"/>
    <col min="54" max="56" width="9.28515625" style="1" customWidth="1"/>
    <col min="57" max="57" width="9.85546875" style="1" customWidth="1"/>
    <col min="58" max="58" width="15.42578125" style="1" customWidth="1"/>
    <col min="59" max="61" width="10.140625" style="1" customWidth="1"/>
    <col min="62" max="62" width="11.85546875" style="1" customWidth="1"/>
    <col min="63" max="64" width="10.7109375" style="1" customWidth="1"/>
    <col min="65" max="65" width="9.28515625" style="1" customWidth="1"/>
    <col min="66" max="66" width="12.28515625" style="1" customWidth="1"/>
    <col min="67" max="67" width="11.5703125" style="1" customWidth="1"/>
    <col min="68" max="68" width="9.7109375" style="1" customWidth="1"/>
    <col min="69" max="69" width="9.85546875" style="1" customWidth="1"/>
    <col min="70" max="70" width="12.85546875" style="1" customWidth="1"/>
    <col min="71" max="16384" width="7.42578125" style="1"/>
  </cols>
  <sheetData>
    <row r="1" spans="1:72" ht="25.9" customHeight="1" x14ac:dyDescent="0.25">
      <c r="F1" s="2" t="s">
        <v>0</v>
      </c>
      <c r="G1" s="1" t="s">
        <v>2480</v>
      </c>
      <c r="H1" s="2" t="s">
        <v>1</v>
      </c>
      <c r="I1" s="2" t="s">
        <v>2</v>
      </c>
      <c r="J1" s="2" t="s">
        <v>3</v>
      </c>
      <c r="K1" s="3" t="s">
        <v>4</v>
      </c>
      <c r="L1" s="4" t="s">
        <v>0</v>
      </c>
      <c r="M1" s="5" t="s">
        <v>2</v>
      </c>
      <c r="N1" s="5" t="s">
        <v>3</v>
      </c>
      <c r="S1" s="1"/>
      <c r="T1" s="1"/>
      <c r="AN1" s="72" t="s">
        <v>2410</v>
      </c>
      <c r="AO1" s="72"/>
      <c r="AP1" s="72"/>
    </row>
    <row r="2" spans="1:72" x14ac:dyDescent="0.25">
      <c r="F2" s="349" t="s">
        <v>5</v>
      </c>
      <c r="H2" s="7">
        <v>5</v>
      </c>
      <c r="I2" s="8">
        <f t="shared" ref="I2:I8" si="0">COUNTIF(I$13:I$239,$H2)</f>
        <v>6</v>
      </c>
      <c r="J2" s="352">
        <f>SUMIF($I$13:$I$236,5,$J$13:$J$236)/$J$261</f>
        <v>5.7882977338734646E-4</v>
      </c>
      <c r="L2" s="10" t="s">
        <v>6</v>
      </c>
      <c r="M2" s="11">
        <f>SUM(I2:I5)</f>
        <v>96</v>
      </c>
      <c r="N2" s="12">
        <f>SUM(J2:J5)</f>
        <v>0.84592131567492557</v>
      </c>
      <c r="S2" s="1"/>
      <c r="T2" s="1"/>
      <c r="W2" s="1" t="s">
        <v>2411</v>
      </c>
      <c r="AN2" s="1" t="s">
        <v>2413</v>
      </c>
    </row>
    <row r="3" spans="1:72" x14ac:dyDescent="0.25">
      <c r="F3" s="351" t="s">
        <v>7</v>
      </c>
      <c r="G3" s="26"/>
      <c r="H3" s="348">
        <v>4</v>
      </c>
      <c r="I3" s="8">
        <f t="shared" si="0"/>
        <v>27</v>
      </c>
      <c r="J3" s="353">
        <f>(SUMIF($I$13:$I$236,4,$J$13:$J$236))/$J$261</f>
        <v>0.23567346508729103</v>
      </c>
      <c r="L3" s="6"/>
      <c r="M3" s="13"/>
      <c r="N3" s="14"/>
      <c r="P3" s="15">
        <f>N2+N3</f>
        <v>0.84592131567492557</v>
      </c>
      <c r="Q3" s="15"/>
      <c r="R3" s="15"/>
      <c r="S3" s="1"/>
      <c r="T3" s="1"/>
      <c r="W3" s="1" t="s">
        <v>2412</v>
      </c>
      <c r="AN3" s="1" t="s">
        <v>2414</v>
      </c>
    </row>
    <row r="4" spans="1:72" x14ac:dyDescent="0.25">
      <c r="F4" s="350" t="s">
        <v>8</v>
      </c>
      <c r="H4" s="7">
        <v>3</v>
      </c>
      <c r="I4" s="8">
        <f t="shared" si="0"/>
        <v>51</v>
      </c>
      <c r="J4" s="352">
        <f>SUMIF($I$13:$I$236,3,$J$13:$J$236)/$J$261</f>
        <v>0.48575043699152776</v>
      </c>
      <c r="L4" s="16" t="s">
        <v>9</v>
      </c>
      <c r="M4" s="11">
        <f>I6-M3</f>
        <v>55</v>
      </c>
      <c r="N4" s="17">
        <f>J6-N3</f>
        <v>6.0457599625363997E-2</v>
      </c>
      <c r="S4" s="1"/>
      <c r="T4" s="1"/>
      <c r="W4" s="1" t="s">
        <v>30</v>
      </c>
      <c r="AG4" s="18" t="s">
        <v>2731</v>
      </c>
      <c r="AN4" s="1" t="s">
        <v>2415</v>
      </c>
    </row>
    <row r="5" spans="1:72" x14ac:dyDescent="0.25">
      <c r="F5" s="6" t="s">
        <v>10</v>
      </c>
      <c r="H5" s="7">
        <v>2</v>
      </c>
      <c r="I5" s="8">
        <f t="shared" si="0"/>
        <v>12</v>
      </c>
      <c r="J5" s="353">
        <f>(SUMIF($I$13:$I$236,2,$J$13:$J$236)+J238)/$J$261</f>
        <v>0.12391858382271935</v>
      </c>
      <c r="L5" s="6" t="s">
        <v>11</v>
      </c>
      <c r="M5" s="13">
        <f>I7</f>
        <v>0</v>
      </c>
      <c r="N5" s="19">
        <f>J7</f>
        <v>0</v>
      </c>
      <c r="S5" s="1"/>
      <c r="T5" s="1"/>
      <c r="AG5" s="557">
        <f>1000000000*(W20-AC20)/(2050-2022)/BA20</f>
        <v>-219.55180882569638</v>
      </c>
      <c r="AN5" s="1" t="s">
        <v>2416</v>
      </c>
    </row>
    <row r="6" spans="1:72" x14ac:dyDescent="0.25">
      <c r="F6" s="6" t="s">
        <v>12</v>
      </c>
      <c r="H6" s="7">
        <v>1</v>
      </c>
      <c r="I6" s="8">
        <f t="shared" si="0"/>
        <v>55</v>
      </c>
      <c r="J6" s="352">
        <f>SUMIF($I$13:$I$236,1,$J$13:$J$236)/$J$261</f>
        <v>6.0457599625363997E-2</v>
      </c>
      <c r="L6" s="16" t="s">
        <v>13</v>
      </c>
      <c r="M6" s="11">
        <f>I8</f>
        <v>74</v>
      </c>
      <c r="N6" s="17">
        <f>J8</f>
        <v>9.0564902150340035E-2</v>
      </c>
      <c r="Q6" s="1" t="s">
        <v>14</v>
      </c>
      <c r="S6" s="1"/>
      <c r="T6" s="1"/>
      <c r="W6" s="1" t="s">
        <v>2417</v>
      </c>
      <c r="AN6" s="1" t="s">
        <v>2418</v>
      </c>
    </row>
    <row r="7" spans="1:72" ht="15" x14ac:dyDescent="0.25">
      <c r="F7" s="349" t="s">
        <v>11</v>
      </c>
      <c r="H7" s="7">
        <v>-1</v>
      </c>
      <c r="I7" s="8">
        <f t="shared" si="0"/>
        <v>0</v>
      </c>
      <c r="J7" s="353">
        <f>SUMIF($I$13:$I$236,-1,$J$13:$J$236)/$J$261</f>
        <v>0</v>
      </c>
      <c r="L7" s="6" t="s">
        <v>15</v>
      </c>
      <c r="M7" s="13"/>
      <c r="N7" s="20">
        <f>(J243+J244)/J261</f>
        <v>3.0561825493701116E-3</v>
      </c>
      <c r="Q7" s="8" t="s">
        <v>16</v>
      </c>
      <c r="S7" s="1"/>
      <c r="T7" s="1"/>
      <c r="AG7"/>
      <c r="AH7"/>
      <c r="AI7" s="583" t="s">
        <v>2983</v>
      </c>
      <c r="AJ7"/>
      <c r="AK7"/>
      <c r="AL7" s="556"/>
    </row>
    <row r="8" spans="1:72" x14ac:dyDescent="0.25">
      <c r="F8" s="351" t="s">
        <v>17</v>
      </c>
      <c r="G8" s="26"/>
      <c r="H8" s="348">
        <v>0</v>
      </c>
      <c r="I8" s="8">
        <f t="shared" si="0"/>
        <v>74</v>
      </c>
      <c r="J8" s="352">
        <f>SUMIF($I$13:$I$236,0,$J$13:$J$236)/$J$261</f>
        <v>9.0564902150340035E-2</v>
      </c>
      <c r="L8" s="16" t="s">
        <v>18</v>
      </c>
      <c r="M8" s="16">
        <f>SUM(M2:M7)</f>
        <v>225</v>
      </c>
      <c r="N8" s="21">
        <f>SUM(N2:N7)</f>
        <v>0.99999999999999978</v>
      </c>
      <c r="S8" s="1"/>
      <c r="T8" s="1"/>
      <c r="AI8" s="582">
        <v>7</v>
      </c>
    </row>
    <row r="9" spans="1:72" ht="14.45" customHeight="1" x14ac:dyDescent="0.25">
      <c r="F9" s="1" t="s">
        <v>19</v>
      </c>
      <c r="H9" s="18" t="s">
        <v>20</v>
      </c>
      <c r="I9" s="8">
        <f>SUM(I2:I8)</f>
        <v>225</v>
      </c>
      <c r="J9" s="354">
        <f>SUM(J2:J8)</f>
        <v>0.99694381745062965</v>
      </c>
      <c r="L9" s="16" t="s">
        <v>21</v>
      </c>
      <c r="M9" s="16">
        <f>M8+27</f>
        <v>252</v>
      </c>
      <c r="N9" s="23"/>
      <c r="S9" s="1"/>
      <c r="T9" s="389" t="s">
        <v>2522</v>
      </c>
      <c r="W9" s="72" t="s">
        <v>2213</v>
      </c>
      <c r="X9" s="72"/>
      <c r="Y9" s="72"/>
      <c r="Z9" s="72"/>
      <c r="AA9" s="72"/>
      <c r="AB9" s="72"/>
      <c r="AC9" s="72"/>
      <c r="AD9" s="72"/>
      <c r="AE9" s="72"/>
      <c r="AF9" s="72" t="s">
        <v>2717</v>
      </c>
      <c r="AG9" s="72"/>
      <c r="AH9" s="72"/>
      <c r="AI9" s="583" t="s">
        <v>2982</v>
      </c>
      <c r="AJ9" s="72"/>
      <c r="AK9" s="72"/>
      <c r="AL9" s="72"/>
      <c r="AM9" s="72"/>
      <c r="AW9" s="1" t="s">
        <v>2991</v>
      </c>
      <c r="BA9" s="387" t="s">
        <v>2521</v>
      </c>
      <c r="BE9" s="386" t="s">
        <v>2520</v>
      </c>
    </row>
    <row r="10" spans="1:72" x14ac:dyDescent="0.25">
      <c r="G10" s="1">
        <f>1</f>
        <v>1</v>
      </c>
      <c r="H10" s="1">
        <f>G10+1</f>
        <v>2</v>
      </c>
      <c r="I10" s="1">
        <f t="shared" ref="I10:W10" si="1">H10+1</f>
        <v>3</v>
      </c>
      <c r="J10" s="1">
        <f t="shared" si="1"/>
        <v>4</v>
      </c>
      <c r="K10" s="1">
        <f t="shared" si="1"/>
        <v>5</v>
      </c>
      <c r="L10" s="1">
        <f t="shared" si="1"/>
        <v>6</v>
      </c>
      <c r="M10" s="1">
        <f t="shared" si="1"/>
        <v>7</v>
      </c>
      <c r="N10" s="1">
        <f t="shared" si="1"/>
        <v>8</v>
      </c>
      <c r="O10" s="1">
        <f t="shared" si="1"/>
        <v>9</v>
      </c>
      <c r="P10" s="1">
        <f t="shared" si="1"/>
        <v>10</v>
      </c>
      <c r="Q10" s="1">
        <f t="shared" si="1"/>
        <v>11</v>
      </c>
      <c r="R10" s="1">
        <f t="shared" si="1"/>
        <v>12</v>
      </c>
      <c r="S10" s="1">
        <f t="shared" si="1"/>
        <v>13</v>
      </c>
      <c r="T10" s="1">
        <f t="shared" si="1"/>
        <v>14</v>
      </c>
      <c r="U10" s="1">
        <f t="shared" si="1"/>
        <v>15</v>
      </c>
      <c r="V10" s="1">
        <f t="shared" si="1"/>
        <v>16</v>
      </c>
      <c r="W10" s="1">
        <f t="shared" si="1"/>
        <v>17</v>
      </c>
      <c r="AF10" s="72" t="s">
        <v>2718</v>
      </c>
      <c r="AG10" s="72"/>
      <c r="AH10" s="72"/>
      <c r="AI10" s="584">
        <v>-10</v>
      </c>
      <c r="AJ10" s="72"/>
      <c r="AK10" s="72"/>
      <c r="AL10" s="1">
        <f>W10+1</f>
        <v>18</v>
      </c>
      <c r="AN10" s="1">
        <f>AL10+1</f>
        <v>19</v>
      </c>
      <c r="AQ10" s="1">
        <f>AN10+1</f>
        <v>20</v>
      </c>
      <c r="AR10" s="1">
        <f t="shared" ref="AR10" si="2">AQ10+1</f>
        <v>21</v>
      </c>
      <c r="AS10" s="1">
        <f t="shared" ref="AS10" si="3">AR10+1</f>
        <v>22</v>
      </c>
      <c r="AT10" s="1">
        <f t="shared" ref="AT10" si="4">AS10+1</f>
        <v>23</v>
      </c>
      <c r="AU10" s="1">
        <f t="shared" ref="AU10" si="5">AT10+1</f>
        <v>24</v>
      </c>
      <c r="AV10" s="1">
        <f t="shared" ref="AV10" si="6">AU10+1</f>
        <v>25</v>
      </c>
      <c r="BA10" s="1">
        <f t="shared" ref="BA10" si="7">AV10+1</f>
        <v>26</v>
      </c>
      <c r="BB10" s="1">
        <f t="shared" ref="BB10" si="8">BA10+1</f>
        <v>27</v>
      </c>
      <c r="BC10" s="1">
        <f t="shared" ref="BC10" si="9">BB10+1</f>
        <v>28</v>
      </c>
      <c r="BD10" s="1">
        <f t="shared" ref="BD10" si="10">BC10+1</f>
        <v>29</v>
      </c>
      <c r="BE10" s="1">
        <f t="shared" ref="BE10" si="11">BD10+1</f>
        <v>30</v>
      </c>
      <c r="BF10" s="1">
        <f t="shared" ref="BF10" si="12">BE10+1</f>
        <v>31</v>
      </c>
      <c r="BG10" s="1">
        <f t="shared" ref="BG10" si="13">BF10+1</f>
        <v>32</v>
      </c>
      <c r="BH10" s="1" t="s">
        <v>2732</v>
      </c>
      <c r="BI10" s="1" t="s">
        <v>2734</v>
      </c>
      <c r="BN10" s="1" t="s">
        <v>2735</v>
      </c>
    </row>
    <row r="11" spans="1:72" ht="30.4" customHeight="1" x14ac:dyDescent="0.25">
      <c r="A11" s="315" t="s">
        <v>2517</v>
      </c>
      <c r="B11" s="316" t="s">
        <v>23</v>
      </c>
      <c r="C11" s="316" t="s">
        <v>24</v>
      </c>
      <c r="D11" s="316" t="s">
        <v>25</v>
      </c>
      <c r="E11" s="316" t="s">
        <v>26</v>
      </c>
      <c r="F11" s="316" t="s">
        <v>27</v>
      </c>
      <c r="G11" s="316" t="s">
        <v>24</v>
      </c>
      <c r="H11" s="317" t="s">
        <v>28</v>
      </c>
      <c r="I11" s="318" t="s">
        <v>2419</v>
      </c>
      <c r="J11" s="318" t="s">
        <v>30</v>
      </c>
      <c r="K11" s="318" t="s">
        <v>31</v>
      </c>
      <c r="L11" s="355" t="s">
        <v>32</v>
      </c>
      <c r="M11" s="355" t="s">
        <v>33</v>
      </c>
      <c r="N11" s="355" t="s">
        <v>34</v>
      </c>
      <c r="O11" s="355" t="s">
        <v>35</v>
      </c>
      <c r="P11" s="318" t="s">
        <v>36</v>
      </c>
      <c r="Q11" s="318" t="s">
        <v>37</v>
      </c>
      <c r="R11" s="318" t="s">
        <v>38</v>
      </c>
      <c r="S11" s="318" t="s">
        <v>39</v>
      </c>
      <c r="T11" s="319" t="s">
        <v>40</v>
      </c>
      <c r="U11" s="546" t="s">
        <v>41</v>
      </c>
      <c r="V11" s="546" t="s">
        <v>42</v>
      </c>
      <c r="W11" s="587" t="s">
        <v>2481</v>
      </c>
      <c r="X11" s="587" t="s">
        <v>2993</v>
      </c>
      <c r="Y11" s="586" t="s">
        <v>2994</v>
      </c>
      <c r="Z11" s="586" t="s">
        <v>2995</v>
      </c>
      <c r="AA11" s="547" t="s">
        <v>2721</v>
      </c>
      <c r="AB11" s="547" t="s">
        <v>2992</v>
      </c>
      <c r="AC11" s="547" t="s">
        <v>2722</v>
      </c>
      <c r="AD11" s="320" t="s">
        <v>2719</v>
      </c>
      <c r="AE11" s="320" t="s">
        <v>2649</v>
      </c>
      <c r="AF11" s="320" t="s">
        <v>2720</v>
      </c>
      <c r="AG11" s="555" t="s">
        <v>2976</v>
      </c>
      <c r="AH11" s="555" t="s">
        <v>2985</v>
      </c>
      <c r="AI11" s="555" t="s">
        <v>2984</v>
      </c>
      <c r="AJ11" s="555" t="s">
        <v>2977</v>
      </c>
      <c r="AK11" s="555" t="s">
        <v>2986</v>
      </c>
      <c r="AL11" s="383" t="s">
        <v>2409</v>
      </c>
      <c r="AM11" s="549" t="s">
        <v>2724</v>
      </c>
      <c r="AN11" s="549" t="s">
        <v>2723</v>
      </c>
      <c r="AO11" s="549" t="s">
        <v>2725</v>
      </c>
      <c r="AP11" s="559" t="s">
        <v>2978</v>
      </c>
      <c r="AQ11" s="559" t="s">
        <v>2980</v>
      </c>
      <c r="AR11" s="551" t="s">
        <v>2479</v>
      </c>
      <c r="AS11" s="321" t="s">
        <v>43</v>
      </c>
      <c r="AT11" s="321" t="s">
        <v>44</v>
      </c>
      <c r="AU11" s="322" t="s">
        <v>45</v>
      </c>
      <c r="AV11" s="322" t="s">
        <v>46</v>
      </c>
      <c r="AW11" s="585" t="s">
        <v>2987</v>
      </c>
      <c r="AX11" s="585" t="s">
        <v>2988</v>
      </c>
      <c r="AY11" s="585" t="s">
        <v>2989</v>
      </c>
      <c r="AZ11" s="585" t="s">
        <v>2990</v>
      </c>
      <c r="BA11" s="388" t="s">
        <v>2484</v>
      </c>
      <c r="BB11" s="388" t="s">
        <v>2513</v>
      </c>
      <c r="BC11" s="388" t="s">
        <v>2514</v>
      </c>
      <c r="BD11" s="388" t="s">
        <v>2515</v>
      </c>
      <c r="BE11" s="384" t="s">
        <v>2516</v>
      </c>
      <c r="BF11" s="384" t="s">
        <v>2518</v>
      </c>
      <c r="BG11" s="384" t="s">
        <v>2519</v>
      </c>
      <c r="BH11" s="384" t="s">
        <v>2581</v>
      </c>
      <c r="BI11" s="384" t="s">
        <v>2733</v>
      </c>
      <c r="BJ11" s="383" t="s">
        <v>2726</v>
      </c>
      <c r="BK11" s="549" t="s">
        <v>2727</v>
      </c>
      <c r="BL11" s="549" t="s">
        <v>2728</v>
      </c>
      <c r="BM11" s="549" t="s">
        <v>2729</v>
      </c>
      <c r="BN11" s="547" t="s">
        <v>2971</v>
      </c>
      <c r="BO11" s="547" t="s">
        <v>2972</v>
      </c>
      <c r="BP11" s="547" t="s">
        <v>2973</v>
      </c>
      <c r="BQ11" s="547" t="s">
        <v>2974</v>
      </c>
      <c r="BR11" s="317" t="s">
        <v>2975</v>
      </c>
      <c r="BT11" s="1" t="s">
        <v>529</v>
      </c>
    </row>
    <row r="12" spans="1:72" ht="57" x14ac:dyDescent="0.25">
      <c r="A12" s="1" t="s">
        <v>47</v>
      </c>
      <c r="B12" s="1" t="s">
        <v>47</v>
      </c>
      <c r="C12" s="1" t="s">
        <v>47</v>
      </c>
      <c r="D12" s="1" t="s">
        <v>47</v>
      </c>
      <c r="E12" s="1" t="s">
        <v>47</v>
      </c>
      <c r="F12" s="1" t="s">
        <v>48</v>
      </c>
      <c r="G12" s="25" t="s">
        <v>49</v>
      </c>
      <c r="H12" s="26" t="s">
        <v>50</v>
      </c>
      <c r="I12" s="27" t="s">
        <v>51</v>
      </c>
      <c r="J12" s="24">
        <v>2021</v>
      </c>
      <c r="K12" s="28">
        <v>2050</v>
      </c>
      <c r="L12" s="28">
        <v>2050</v>
      </c>
      <c r="M12" s="28" t="s">
        <v>52</v>
      </c>
      <c r="N12" s="28">
        <v>2050</v>
      </c>
      <c r="O12" s="28">
        <v>2050</v>
      </c>
      <c r="P12" s="28">
        <v>2050</v>
      </c>
      <c r="Q12" s="28">
        <v>2050</v>
      </c>
      <c r="R12" s="28">
        <v>2050</v>
      </c>
      <c r="S12" s="28" t="s">
        <v>53</v>
      </c>
      <c r="T12" s="29" t="str">
        <f>Table12[[#This Row],[(Mt CO2 equivalent)]]</f>
        <v>Country name</v>
      </c>
      <c r="U12" s="358" t="s">
        <v>41</v>
      </c>
      <c r="V12" s="356" t="s">
        <v>42</v>
      </c>
      <c r="W12" s="587" t="s">
        <v>2481</v>
      </c>
      <c r="X12" s="588" t="s">
        <v>3000</v>
      </c>
      <c r="Y12" s="588" t="s">
        <v>2996</v>
      </c>
      <c r="Z12" s="588" t="s">
        <v>2997</v>
      </c>
      <c r="AA12" s="547" t="s">
        <v>3001</v>
      </c>
      <c r="AB12" s="589" t="s">
        <v>2999</v>
      </c>
      <c r="AC12" s="547" t="s">
        <v>2998</v>
      </c>
      <c r="AD12" s="320" t="s">
        <v>2719</v>
      </c>
      <c r="AE12" s="360" t="s">
        <v>2313</v>
      </c>
      <c r="AF12" s="320" t="s">
        <v>2720</v>
      </c>
      <c r="AG12" s="360" t="s">
        <v>2981</v>
      </c>
      <c r="AH12" s="360" t="s">
        <v>2981</v>
      </c>
      <c r="AI12" s="360" t="s">
        <v>2981</v>
      </c>
      <c r="AJ12" s="360" t="s">
        <v>2981</v>
      </c>
      <c r="AK12" s="360" t="s">
        <v>2981</v>
      </c>
      <c r="AL12" s="383" t="s">
        <v>2409</v>
      </c>
      <c r="AM12" s="549" t="s">
        <v>2724</v>
      </c>
      <c r="AN12" s="549" t="s">
        <v>2723</v>
      </c>
      <c r="AO12" s="549" t="s">
        <v>2725</v>
      </c>
      <c r="AP12" s="580" t="s">
        <v>2979</v>
      </c>
      <c r="AQ12" s="359" t="str">
        <f>IF(Table12[[#This Row],[Current Policies 2030 incl LULUCF]]&gt;Table12[[#This Row],[Maximum inventory data]],"No","Yes")</f>
        <v>Yes</v>
      </c>
      <c r="AR12" s="357" t="s">
        <v>2482</v>
      </c>
      <c r="AS12" s="73" t="str">
        <f>'input site'!BE12</f>
        <v>Low</v>
      </c>
      <c r="AT12" s="73" t="str">
        <f>'input site'!BF12</f>
        <v>High</v>
      </c>
      <c r="AU12" s="73" t="str">
        <f>'input site'!BG12</f>
        <v>Low</v>
      </c>
      <c r="AV12" s="590" t="s">
        <v>3002</v>
      </c>
      <c r="AW12" s="585" t="s">
        <v>2987</v>
      </c>
      <c r="AX12" s="585" t="s">
        <v>2988</v>
      </c>
      <c r="AY12" s="585" t="s">
        <v>2989</v>
      </c>
      <c r="AZ12" s="585" t="s">
        <v>2990</v>
      </c>
      <c r="BA12" s="8">
        <v>2022</v>
      </c>
      <c r="BB12" s="8">
        <v>2022</v>
      </c>
      <c r="BC12" s="8">
        <v>2022</v>
      </c>
      <c r="BD12" s="8">
        <v>2022</v>
      </c>
      <c r="BE12" s="23"/>
      <c r="BF12" s="23"/>
      <c r="BG12" s="23"/>
      <c r="BH12" s="23"/>
      <c r="BI12" s="23"/>
      <c r="BJ12" s="23" t="s">
        <v>2483</v>
      </c>
      <c r="BK12" s="23" t="s">
        <v>2483</v>
      </c>
      <c r="BL12" s="23" t="s">
        <v>2483</v>
      </c>
      <c r="BM12" s="23" t="s">
        <v>2483</v>
      </c>
      <c r="BN12" s="23"/>
      <c r="BO12" s="23"/>
      <c r="BP12" s="23"/>
      <c r="BQ12" s="23"/>
      <c r="BR12" s="50" t="s">
        <v>50</v>
      </c>
    </row>
    <row r="13" spans="1:72" ht="15" x14ac:dyDescent="0.25">
      <c r="A13">
        <v>0</v>
      </c>
      <c r="B13">
        <v>0</v>
      </c>
      <c r="C13">
        <v>4</v>
      </c>
      <c r="D13">
        <v>1</v>
      </c>
      <c r="E13">
        <v>25</v>
      </c>
      <c r="F13" t="str">
        <f>'input site'!M13</f>
        <v>excl</v>
      </c>
      <c r="G13" s="31" t="s">
        <v>54</v>
      </c>
      <c r="H13" s="1" t="s">
        <v>55</v>
      </c>
      <c r="I13" s="8">
        <f>VLOOKUP($G13,'NZT data'!$B$3:$C$200,2,FALSE)</f>
        <v>1</v>
      </c>
      <c r="J13" s="32">
        <f>'input site'!AS13</f>
        <v>48.204461000000002</v>
      </c>
      <c r="K13" s="32">
        <f>'input site'!BS13</f>
        <v>58.637319637611739</v>
      </c>
      <c r="L13" s="32">
        <f t="shared" ref="L13:L76" si="14">IF(I13&gt;=1,O13,K13)</f>
        <v>0</v>
      </c>
      <c r="M13" s="32">
        <f t="shared" ref="M13:M76" si="15">IF(I13&gt;=1,O13,N13)</f>
        <v>0</v>
      </c>
      <c r="N13" s="32">
        <f>'input site'!EV13</f>
        <v>28.988982631864324</v>
      </c>
      <c r="O13" s="8"/>
      <c r="P13" s="8"/>
      <c r="Q13" s="32">
        <f>IF(I13&gt;=1,O13,R13)</f>
        <v>0</v>
      </c>
      <c r="R13" s="32">
        <f>'[5]input site'!CN13</f>
        <v>9.252294071507988</v>
      </c>
      <c r="S13" s="33">
        <v>2050</v>
      </c>
      <c r="T13" s="33" t="str">
        <f>Table12[[#This Row],[(Mt CO2 equivalent)]]</f>
        <v>Afghanistan</v>
      </c>
      <c r="U13" s="32">
        <f>VLOOKUP($G13,'NZT data'!$B$3:$F$200,4,FALSE)</f>
        <v>2110</v>
      </c>
      <c r="V13" s="32">
        <f>VLOOKUP($G13,'NZT data'!$B$3:$F$200,5,FALSE)</f>
        <v>2125</v>
      </c>
      <c r="W13" s="32">
        <f>-IF('LUC NGHGI'!EC3="",MIN('LUC NGHGI'!DW3,0.1),MIN('LUC NGHGI'!EC3,0.1))</f>
        <v>-0.1</v>
      </c>
      <c r="X13" s="32">
        <f>'LUC NGHGI'!EC3</f>
        <v>0</v>
      </c>
      <c r="Y13" s="32">
        <f>'LUC NGHGI'!DY3</f>
        <v>0</v>
      </c>
      <c r="Z13" s="32">
        <f>'LUC NGHGI'!DZ3</f>
        <v>0</v>
      </c>
      <c r="AA13" s="32">
        <f>Table12[[#This Row],[2021 emissions]]</f>
        <v>48.204461000000002</v>
      </c>
      <c r="AB13" s="32">
        <f>'LUC NGHGI'!DW3</f>
        <v>9.4310700000000001</v>
      </c>
      <c r="AC13" s="32">
        <f>IF(F13="incl",Table12[[#This Row],[GHG emissions incl LULUCF]]-Table12[[#This Row],[LULUCF emis-sions in 20213]],Table12[[#This Row],[GHG emissions incl LULUCF]])</f>
        <v>48.204461000000002</v>
      </c>
      <c r="AD13" s="32">
        <f>'input site'!BS13</f>
        <v>58.637319637611739</v>
      </c>
      <c r="AE13" s="32">
        <f>'LUC NGHGI'!EH3</f>
        <v>0</v>
      </c>
      <c r="AF13" s="32">
        <f>IF(F13="incl",Table12[[#This Row],[Current Policies 2030 incl LULUCF]]-Table12[[#This Row],[LULUCF CurPol 2030]],Table12[[#This Row],[Current Policies 2030 incl LULUCF]])</f>
        <v>58.637319637611739</v>
      </c>
      <c r="AG13" s="32" t="str">
        <f>IF(Table12[[#This Row],[Net-zero target status]]&lt;=1,"",IF(Table12[[#This Row],[NZ GHG year]]="","",1000000000*(Table12[[#This Row],[residual LULUCF emissions in 2050]]-Table12[[#This Row],[GHG emissions excl LULUCF]])/(Table12[[#This Row],[NZ GHG year]]-2021)/Table12[[#This Row],[Population]]))</f>
        <v/>
      </c>
      <c r="AH13" s="32" t="str">
        <f>IF(Table12[[#This Row],[Peak revised]]="Yes",IF(Table12[[#This Row],[Net-zero target status]]&lt;=1,"",IF(Table12[[#This Row],[NZ GHG year]]="","",1000000000*(Table12[[#This Row],[residual LULUCF emissions in 2050]]-Table12[[#This Row],[GHG emissions excl LULUCF]])/(Table12[[#This Row],[NZ GHG year]]-2021)/Table12[[#This Row],[Population]])),"")</f>
        <v/>
      </c>
      <c r="AI13" s="32">
        <f>MAX(0,(1000000*(Table12[[#This Row],[Current Policies 2030 excl LULUCF]]/2+Table12[[#This Row],[GHG emissions excl LULUCF]]/2)/Table12[[#This Row],[Population]]-$AI$8)*10)*$AI$10</f>
        <v>0</v>
      </c>
      <c r="AJ1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 s="32" t="str">
        <f>IF(Table12[[#This Row],[Formule no Peak (2)]]="","",Table12[[#This Row],[Penalty (1)]]+Table12[[#This Row],[Formule no Peak (2)]])</f>
        <v/>
      </c>
      <c r="AL13" s="313">
        <f>(Table12[[#This Row],[Current Policies 2030 excl LULUCF]]-Table12[[#This Row],[GHG emissions excl LULUCF]])/(2030-2021)/Table12[[#This Row],[GHG emissions excl LULUCF]]</f>
        <v>2.404770204338957E-2</v>
      </c>
      <c r="AM13" s="313" t="str">
        <f>IF(Table12[[#This Row],[Net-zero target status]]&lt;=1,"",IF(Table12[[#This Row],[NZ GHG year]]="","",(Table12[[#This Row],[residual LULUCF emissions in 2050]]-Table12[[#This Row],[Current Policies 2030 excl LULUCF]])/(Table12[[#This Row],[NZ GHG year]]-2030)/Table12[[#This Row],[Current Policies 2030 excl LULUCF]]))</f>
        <v/>
      </c>
      <c r="AN13" s="34" t="str">
        <f>IF(Table12[[#This Row],[Net-zero target status]]&lt;=1,"",IF(Table12[[#This Row],[NZ GHG year]]="","",(Table12[[#This Row],[residual LULUCF emissions in 2050]]-Table12[[#This Row],[GHG emissions excl LULUCF]])/(Table12[[#This Row],[NZ GHG year]]-2021)/Table12[[#This Row],[GHG emissions excl LULUCF]]))</f>
        <v/>
      </c>
      <c r="AO13" s="34" t="str">
        <f>IF(Table12[[#This Row],[Net-zero target status]]&lt;=1,"",IF(Table12[[#This Row],[NZ GHG year]]="","",(Table12[[#This Row],[residual LULUCF emissions in 2050]]-Table12[[#This Row],[2030 conditional NDCs]])/(Table12[[#This Row],[NZ GHG year]]-2030)/Table12[[#This Row],[2030 conditional NDCs]]))</f>
        <v/>
      </c>
      <c r="AP13" s="96">
        <f>MAX('input site'!AH13:AS13)</f>
        <v>48.204461000000002</v>
      </c>
      <c r="AQ13" s="95" t="str">
        <f>IF(Table12[[#This Row],[Current Policies 2030 incl LULUCF]]&gt;Table12[[#This Row],[Maximum inventory data]],"No","Yes")</f>
        <v>No</v>
      </c>
      <c r="AR13" s="34" t="str">
        <f>IF(Table12[[#This Row],[Net-zero target status]]&gt;=1.5,Table12[[#This Row],[residual LULUCF emissions in 2050]]/Table12[[#This Row],[GHG emissions excl LULUCF]],"")</f>
        <v/>
      </c>
      <c r="AS13" s="74"/>
      <c r="AT13" s="74"/>
      <c r="AU13" s="74">
        <f>'input site'!BG13</f>
        <v>42.28376256</v>
      </c>
      <c r="AV13" s="74">
        <f>'input site'!BH13</f>
        <v>42.28376256</v>
      </c>
      <c r="AW13" s="74" t="str">
        <f>IF(Table12[[#This Row],[2030 unconditional NDCs]]="","",IF(F13="incl",Table12[[#This Row],[2030 unconditional NDCs]]-Table12[[#This Row],[LULUCF NDC uncond]],Table12[[#This Row],[2030 unconditional NDCs]]))</f>
        <v/>
      </c>
      <c r="AX13" s="74" t="str">
        <f>IF(Table12[[#This Row],[2030 unconditional NDCs2]]="","",IF(F13="incl",Table12[[#This Row],[2030 unconditional NDCs2]]-Table12[[#This Row],[LULUCF NDC uncond]],Table12[[#This Row],[2030 unconditional NDCs2]]))</f>
        <v/>
      </c>
      <c r="AY13" s="74">
        <f>IF(Table12[[#This Row],[2030 conditional NDCs]]="","",IF(F13="incl",Table12[[#This Row],[2030 conditional NDCs]]-Table12[[#This Row],[LULUCF NDC cond]],Table12[[#This Row],[2030 conditional NDCs]]))</f>
        <v>42.28376256</v>
      </c>
      <c r="AZ13" s="74">
        <f>IF(Table12[[#This Row],[2030 conditional NDCs2]]="","",IF(F13="incl",Table12[[#This Row],[2030 conditional NDCs2]]-Table12[[#This Row],[LULUCF NDC cond]],Table12[[#This Row],[2030 conditional NDCs2]]))</f>
        <v>42.28376256</v>
      </c>
      <c r="BA13" s="8">
        <f>VLOOKUP($G13,'Population90 20'!$C$6:$AU$231,37,FALSE)</f>
        <v>40754388</v>
      </c>
      <c r="BB13" s="8">
        <f>VLOOKUP($G13,'Overview GDP (PPP)'!$C$6:$AI$231,33,FALSE)</f>
        <v>64483800.919856407</v>
      </c>
      <c r="BC13" s="36">
        <f>Table12[[#This Row],[Income]]/Table12[[#This Row],[Population]]</f>
        <v>1.5822541837668229</v>
      </c>
      <c r="BD13" s="36">
        <f>Table12[[#This Row],[GHG emissions excl LULUCF]]*1000000/Table12[[#This Row],[Population]]</f>
        <v>1.1828041927656967</v>
      </c>
      <c r="BE13" s="23" t="e">
        <f>VLOOKUP($G13,EGR2023_MASTER!$B$4:$S$38,14,FALSE)</f>
        <v>#N/A</v>
      </c>
      <c r="BF13" s="23" t="e">
        <f>VLOOKUP($G13,EGR2023_MASTER!$B$4:$S$38,15,FALSE)</f>
        <v>#N/A</v>
      </c>
      <c r="BG13" s="23" t="e">
        <f>VLOOKUP($G13,EGR2023_MASTER!$B$4:$S$38,16,FALSE)</f>
        <v>#N/A</v>
      </c>
      <c r="BH13" s="23" t="e">
        <f t="shared" ref="BH13:BH75" si="16">IF(AND(BE13="Y",AND(BF13="credible",BG13="Y")),"higher",IF(BG13="Y","lower",IF(AND(BG13="N",OR(BE13="Y",BF13="credible")),"lower","much lower")))</f>
        <v>#N/A</v>
      </c>
      <c r="BI13" s="23" t="e">
        <f t="shared" ref="BI13:BI75" si="17">IF(AND($BF13="credible",BG13="Y"),"stronger","weak")</f>
        <v>#N/A</v>
      </c>
      <c r="BJ13" s="552">
        <f>(Table12[[#This Row],[Current Policies 2030 excl LULUCF]]/Table12[[#This Row],[GHG emissions excl LULUCF]])^(1/(2030-2021))-1</f>
        <v>2.2007534789434846E-2</v>
      </c>
      <c r="BK13" s="552" t="str">
        <f>IF(Table12[[#This Row],[Net-zero target status]]&lt;=1,"",IF(Table12[[#This Row],[NZ GHG year]]="","",((MAX(Table12[[#This Row],[residual LULUCF emissions in 2050]],0.1)/Table12[[#This Row],[Current Policies 2030 excl LULUCF]])^(1/(Table12[[#This Row],[NZ GHG year]]-2021))-1)))</f>
        <v/>
      </c>
      <c r="BL13" s="552" t="str">
        <f>IF(Table12[[#This Row],[Net-zero target status]]&lt;=1,"",IF(Table12[[#This Row],[NZ GHG year]]="","",((MAX(Table12[[#This Row],[residual LULUCF emissions in 2050]],0.1)/Table12[[#This Row],[GHG emissions excl LULUCF]])^(1/(Table12[[#This Row],[NZ GHG year]]-2021))-1)))</f>
        <v/>
      </c>
      <c r="BM13" s="552" t="str">
        <f>IF(Table12[[#This Row],[Net-zero target status]]&lt;=1,"",IF(Table12[[#This Row],[NZ GHG year]]="","",((MAX(Table12[[#This Row],[residual LULUCF emissions in 2050]],0.1)/AVERAGE(Table12[[#This Row],[2030 conditional NDCs]:[2030 conditional NDCs2]]))^(1/(Table12[[#This Row],[NZ GHG year]]-2021))-1)))</f>
        <v/>
      </c>
      <c r="BN13" s="23"/>
      <c r="BO13" s="23"/>
      <c r="BP13" s="23"/>
      <c r="BQ13" s="23"/>
      <c r="BR13" s="50" t="s">
        <v>55</v>
      </c>
      <c r="BT13" s="30" t="str">
        <f>IF(Table12[[#This Row],[Reduction rate 2021 to NZ target2]]="","",J13*(1+AN13)^(Table12[[#This Row],[NZ GHG year]]-2021))</f>
        <v/>
      </c>
    </row>
    <row r="14" spans="1:72" ht="15" x14ac:dyDescent="0.25">
      <c r="A14">
        <v>0</v>
      </c>
      <c r="B14">
        <v>0</v>
      </c>
      <c r="C14">
        <v>8</v>
      </c>
      <c r="D14">
        <v>2</v>
      </c>
      <c r="E14">
        <v>12</v>
      </c>
      <c r="F14" t="str">
        <f>'input site'!M14</f>
        <v>excl</v>
      </c>
      <c r="G14" s="31" t="s">
        <v>56</v>
      </c>
      <c r="H14" s="1" t="s">
        <v>57</v>
      </c>
      <c r="I14" s="8">
        <v>0</v>
      </c>
      <c r="J14" s="32">
        <f>'input site'!AS14</f>
        <v>10.422791</v>
      </c>
      <c r="K14" s="32">
        <f>'input site'!BS14</f>
        <v>5.3405671990007342</v>
      </c>
      <c r="L14" s="32">
        <f t="shared" si="14"/>
        <v>5.3405671990007342</v>
      </c>
      <c r="M14" s="32">
        <f t="shared" si="15"/>
        <v>2.4059559972047468</v>
      </c>
      <c r="N14" s="32">
        <f>'input site'!EV14</f>
        <v>2.4059559972047468</v>
      </c>
      <c r="O14" s="8"/>
      <c r="P14" s="8"/>
      <c r="Q14" s="32">
        <f t="shared" ref="Q14:Q77" si="18">IF(I14&gt;=1,O14,R14)</f>
        <v>0.98976221613828919</v>
      </c>
      <c r="R14" s="32">
        <f>'[5]input site'!CN14</f>
        <v>0.98976221613828919</v>
      </c>
      <c r="S14" s="33"/>
      <c r="T14" s="33" t="str">
        <f>Table12[[#This Row],[(Mt CO2 equivalent)]]</f>
        <v>Albania</v>
      </c>
      <c r="U14" s="8">
        <f>VLOOKUP($G14,'NZT data'!$B$3:$F$200,4,FALSE)</f>
        <v>2110</v>
      </c>
      <c r="V14" s="32" t="str">
        <f>VLOOKUP($G14,'NZT data'!$B$3:$F$200,5,FALSE)</f>
        <v/>
      </c>
      <c r="W14" s="32">
        <f>-IF('LUC NGHGI'!EC4="",MIN('LUC NGHGI'!DW4,0.1),MIN('LUC NGHGI'!EC4,0.1))</f>
        <v>-0.1</v>
      </c>
      <c r="X14" s="32">
        <f>'LUC NGHGI'!EC4</f>
        <v>1.9532669816091968</v>
      </c>
      <c r="Y14" s="32">
        <f>'LUC NGHGI'!DY4</f>
        <v>1.9532669816091968</v>
      </c>
      <c r="Z14" s="32">
        <f>'LUC NGHGI'!DZ4</f>
        <v>1.9532669816091968</v>
      </c>
      <c r="AA14" s="32">
        <f>Table12[[#This Row],[2021 emissions]]</f>
        <v>10.422791</v>
      </c>
      <c r="AB14" s="32">
        <f>'LUC NGHGI'!DW4</f>
        <v>1.9695025311753795</v>
      </c>
      <c r="AC14" s="32">
        <f>IF(F14="incl",Table12[[#This Row],[GHG emissions incl LULUCF]]-Table12[[#This Row],[LULUCF emis-sions in 20213]],Table12[[#This Row],[GHG emissions incl LULUCF]])</f>
        <v>10.422791</v>
      </c>
      <c r="AD14" s="32">
        <f>'input site'!BS14</f>
        <v>5.3405671990007342</v>
      </c>
      <c r="AE14" s="32">
        <f>'LUC NGHGI'!EH4</f>
        <v>2.1375887929383</v>
      </c>
      <c r="AF14" s="32">
        <f>IF(F14="incl",Table12[[#This Row],[Current Policies 2030 incl LULUCF]]-Table12[[#This Row],[LULUCF CurPol 2030]],Table12[[#This Row],[Current Policies 2030 incl LULUCF]])</f>
        <v>5.3405671990007342</v>
      </c>
      <c r="AG14" s="32" t="str">
        <f>IF(Table12[[#This Row],[Net-zero target status]]&lt;=1,"",IF(Table12[[#This Row],[NZ GHG year]]="","",1000000000*(Table12[[#This Row],[residual LULUCF emissions in 2050]]-Table12[[#This Row],[GHG emissions excl LULUCF]])/(Table12[[#This Row],[NZ GHG year]]-2021)/Table12[[#This Row],[Population]]))</f>
        <v/>
      </c>
      <c r="AH14" s="32" t="str">
        <f>IF(Table12[[#This Row],[Peak revised]]="Yes",IF(Table12[[#This Row],[Net-zero target status]]&lt;=1,"",IF(Table12[[#This Row],[NZ GHG year]]="","",1000000000*(Table12[[#This Row],[residual LULUCF emissions in 2050]]-Table12[[#This Row],[GHG emissions excl LULUCF]])/(Table12[[#This Row],[NZ GHG year]]-2021)/Table12[[#This Row],[Population]])),"")</f>
        <v/>
      </c>
      <c r="AI14" s="32">
        <f>MAX(0,(1000000*(Table12[[#This Row],[Current Policies 2030 excl LULUCF]]/2+Table12[[#This Row],[GHG emissions excl LULUCF]]/2)/Table12[[#This Row],[Population]]-$AI$8)*10)*$AI$10</f>
        <v>0</v>
      </c>
      <c r="AJ1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 s="32" t="str">
        <f>IF(Table12[[#This Row],[Formule no Peak (2)]]="","",Table12[[#This Row],[Penalty (1)]]+Table12[[#This Row],[Formule no Peak (2)]])</f>
        <v/>
      </c>
      <c r="AL14" s="313">
        <f>(Table12[[#This Row],[Current Policies 2030 excl LULUCF]]-Table12[[#This Row],[GHG emissions excl LULUCF]])/(2030-2021)/Table12[[#This Row],[GHG emissions excl LULUCF]]</f>
        <v>-5.4178533700269232E-2</v>
      </c>
      <c r="AM14" s="313" t="str">
        <f>IF(Table12[[#This Row],[Net-zero target status]]&lt;=1,"",IF(Table12[[#This Row],[NZ GHG year]]="","",(Table12[[#This Row],[residual LULUCF emissions in 2050]]-Table12[[#This Row],[Current Policies 2030 excl LULUCF]])/(Table12[[#This Row],[NZ GHG year]]-2030)/Table12[[#This Row],[Current Policies 2030 excl LULUCF]]))</f>
        <v/>
      </c>
      <c r="AN14" s="34" t="str">
        <f>IF(Table12[[#This Row],[Net-zero target status]]&lt;=1,"",IF(Table12[[#This Row],[NZ GHG year]]="","",(Table12[[#This Row],[residual LULUCF emissions in 2050]]-Table12[[#This Row],[GHG emissions excl LULUCF]])/(Table12[[#This Row],[NZ GHG year]]-2021)/Table12[[#This Row],[GHG emissions excl LULUCF]]))</f>
        <v/>
      </c>
      <c r="AO14" s="34" t="str">
        <f>IF(Table12[[#This Row],[Net-zero target status]]&lt;=1,"",IF(Table12[[#This Row],[NZ GHG year]]="","",(Table12[[#This Row],[residual LULUCF emissions in 2050]]-Table12[[#This Row],[2030 conditional NDCs]])/(Table12[[#This Row],[NZ GHG year]]-2030)/Table12[[#This Row],[2030 conditional NDCs]]))</f>
        <v/>
      </c>
      <c r="AP14" s="96">
        <f>MAX('input site'!AH14:AS14)</f>
        <v>10.670696</v>
      </c>
      <c r="AQ14" s="95" t="str">
        <f>IF(Table12[[#This Row],[Current Policies 2030 incl LULUCF]]&gt;Table12[[#This Row],[Maximum inventory data]],"No","Yes")</f>
        <v>Yes</v>
      </c>
      <c r="AR14" s="34" t="str">
        <f>IF(Table12[[#This Row],[Net-zero target status]]&gt;=1.5,Table12[[#This Row],[residual LULUCF emissions in 2050]]/Table12[[#This Row],[GHG emissions excl LULUCF]],"")</f>
        <v/>
      </c>
      <c r="AS14" s="74"/>
      <c r="AT14" s="74"/>
      <c r="AU14" s="74">
        <f>'input site'!BG14</f>
        <v>11.978</v>
      </c>
      <c r="AV14" s="74">
        <f>'input site'!BH14</f>
        <v>11.978</v>
      </c>
      <c r="AW14" s="74" t="str">
        <f>IF(Table12[[#This Row],[2030 unconditional NDCs]]="","",IF(F14="incl",Table12[[#This Row],[2030 unconditional NDCs]]-Table12[[#This Row],[LULUCF NDC uncond]],Table12[[#This Row],[2030 unconditional NDCs]]))</f>
        <v/>
      </c>
      <c r="AX14" s="74" t="str">
        <f>IF(Table12[[#This Row],[2030 unconditional NDCs2]]="","",IF(F14="incl",Table12[[#This Row],[2030 unconditional NDCs2]]-Table12[[#This Row],[LULUCF NDC uncond]],Table12[[#This Row],[2030 unconditional NDCs2]]))</f>
        <v/>
      </c>
      <c r="AY14" s="74">
        <f>IF(Table12[[#This Row],[2030 conditional NDCs]]="","",IF(F14="incl",Table12[[#This Row],[2030 conditional NDCs]]-Table12[[#This Row],[LULUCF NDC cond]],Table12[[#This Row],[2030 conditional NDCs]]))</f>
        <v>11.978</v>
      </c>
      <c r="AZ14" s="74">
        <f>IF(Table12[[#This Row],[2030 conditional NDCs2]]="","",IF(F14="incl",Table12[[#This Row],[2030 conditional NDCs2]]-Table12[[#This Row],[LULUCF NDC cond]],Table12[[#This Row],[2030 conditional NDCs2]]))</f>
        <v>11.978</v>
      </c>
      <c r="BA14" s="8">
        <f>VLOOKUP($G14,'Population90 20'!$C$6:$AU$231,37,FALSE)</f>
        <v>2866374</v>
      </c>
      <c r="BB14" s="8">
        <f>VLOOKUP($G14,'Overview GDP (PPP)'!$C$6:$AI$231,33,FALSE)</f>
        <v>35274374.648180902</v>
      </c>
      <c r="BC14" s="36">
        <f>Table12[[#This Row],[Income]]/Table12[[#This Row],[Population]]</f>
        <v>12.306270796546753</v>
      </c>
      <c r="BD14" s="36">
        <f>Table12[[#This Row],[GHG emissions excl LULUCF]]*1000000/Table12[[#This Row],[Population]]</f>
        <v>3.6362285591482477</v>
      </c>
      <c r="BE14" s="23" t="e">
        <f>VLOOKUP($G14,EGR2023_MASTER!$B$4:$S$38,14,FALSE)</f>
        <v>#N/A</v>
      </c>
      <c r="BF14" s="23" t="e">
        <f>VLOOKUP($G14,EGR2023_MASTER!$B$4:$S$38,15,FALSE)</f>
        <v>#N/A</v>
      </c>
      <c r="BG14" s="23" t="e">
        <f>VLOOKUP($G14,EGR2023_MASTER!$B$4:$S$38,16,FALSE)</f>
        <v>#N/A</v>
      </c>
      <c r="BH14" s="23" t="e">
        <f t="shared" si="16"/>
        <v>#N/A</v>
      </c>
      <c r="BI14" s="23" t="e">
        <f t="shared" si="17"/>
        <v>#N/A</v>
      </c>
      <c r="BJ14" s="552">
        <f>(Table12[[#This Row],[Current Policies 2030 excl LULUCF]]/Table12[[#This Row],[GHG emissions excl LULUCF]])^(1/(2030-2021))-1</f>
        <v>-7.1603047740136261E-2</v>
      </c>
      <c r="BK14" s="552" t="str">
        <f>IF(Table12[[#This Row],[Net-zero target status]]&lt;=1,"",IF(Table12[[#This Row],[NZ GHG year]]="","",((MAX(Table12[[#This Row],[residual LULUCF emissions in 2050]],0.1)/Table12[[#This Row],[Current Policies 2030 excl LULUCF]])^(1/(Table12[[#This Row],[NZ GHG year]]-2021))-1)))</f>
        <v/>
      </c>
      <c r="BL14" s="552" t="str">
        <f>IF(Table12[[#This Row],[Net-zero target status]]&lt;=1,"",IF(Table12[[#This Row],[NZ GHG year]]="","",((MAX(Table12[[#This Row],[residual LULUCF emissions in 2050]],0.1)/Table12[[#This Row],[GHG emissions excl LULUCF]])^(1/(Table12[[#This Row],[NZ GHG year]]-2021))-1)))</f>
        <v/>
      </c>
      <c r="BM14" s="552" t="str">
        <f>IF(Table12[[#This Row],[Net-zero target status]]&lt;=1,"",IF(Table12[[#This Row],[NZ GHG year]]="","",((MAX(Table12[[#This Row],[residual LULUCF emissions in 2050]],0.1)/AVERAGE(Table12[[#This Row],[2030 conditional NDCs]:[2030 conditional NDCs2]]))^(1/(Table12[[#This Row],[NZ GHG year]]-2021))-1)))</f>
        <v/>
      </c>
      <c r="BN14" s="23"/>
      <c r="BO14" s="23"/>
      <c r="BP14" s="23"/>
      <c r="BQ14" s="23"/>
      <c r="BR14" s="50" t="s">
        <v>57</v>
      </c>
      <c r="BT14" s="30" t="str">
        <f>IF(Table12[[#This Row],[Reduction rate 2021 to NZ target2]]="","",J14*(1+AN14)^(Table12[[#This Row],[NZ GHG year]]-2021))</f>
        <v/>
      </c>
    </row>
    <row r="15" spans="1:72" ht="15" x14ac:dyDescent="0.25">
      <c r="A15">
        <v>0</v>
      </c>
      <c r="B15">
        <v>0</v>
      </c>
      <c r="C15">
        <v>12</v>
      </c>
      <c r="D15">
        <v>3</v>
      </c>
      <c r="E15">
        <v>7</v>
      </c>
      <c r="F15" t="str">
        <f>'input site'!M15</f>
        <v>incl</v>
      </c>
      <c r="G15" s="31" t="s">
        <v>58</v>
      </c>
      <c r="H15" s="1" t="s">
        <v>59</v>
      </c>
      <c r="I15" s="8">
        <f>VLOOKUP($G15,'NZT data'!$B$3:$C$200,2,FALSE)</f>
        <v>0</v>
      </c>
      <c r="J15" s="32">
        <f>'input site'!AS15</f>
        <v>259.62369193548398</v>
      </c>
      <c r="K15" s="32">
        <f>'input site'!BS15</f>
        <v>258.88164904627786</v>
      </c>
      <c r="L15" s="32">
        <f t="shared" si="14"/>
        <v>258.88164904627786</v>
      </c>
      <c r="M15" s="32">
        <f t="shared" si="15"/>
        <v>122.83157131627596</v>
      </c>
      <c r="N15" s="32">
        <f>'input site'!EV15</f>
        <v>122.83157131627596</v>
      </c>
      <c r="O15" s="8"/>
      <c r="P15" s="8"/>
      <c r="Q15" s="32">
        <f t="shared" si="18"/>
        <v>35.930254503441162</v>
      </c>
      <c r="R15" s="32">
        <f>'[5]input site'!CN15</f>
        <v>35.930254503441162</v>
      </c>
      <c r="S15" s="33"/>
      <c r="T15" s="33" t="str">
        <f>Table12[[#This Row],[(Mt CO2 equivalent)]]</f>
        <v>Algeria</v>
      </c>
      <c r="U15" s="8">
        <f>VLOOKUP($G15,'NZT data'!$B$3:$F$200,4,FALSE)</f>
        <v>2110</v>
      </c>
      <c r="V15" s="32" t="str">
        <f>VLOOKUP($G15,'NZT data'!$B$3:$F$200,5,FALSE)</f>
        <v/>
      </c>
      <c r="W15" s="32">
        <f>-IF('LUC NGHGI'!EC5="",MIN('LUC NGHGI'!DW5,0.1),MIN('LUC NGHGI'!EC5,0.1))</f>
        <v>8.9334100000000003</v>
      </c>
      <c r="X15" s="32">
        <f>'LUC NGHGI'!EC5</f>
        <v>-8.9334100000000003</v>
      </c>
      <c r="Y15" s="32">
        <f>'LUC NGHGI'!DY5</f>
        <v>-16</v>
      </c>
      <c r="Z15" s="32">
        <f>'LUC NGHGI'!DZ5</f>
        <v>-8</v>
      </c>
      <c r="AA15" s="32">
        <f>Table12[[#This Row],[2021 emissions]]</f>
        <v>259.62369193548398</v>
      </c>
      <c r="AB15" s="32">
        <f>'LUC NGHGI'!DW5</f>
        <v>-10.657188064516049</v>
      </c>
      <c r="AC15" s="32">
        <f>IF(F15="incl",Table12[[#This Row],[GHG emissions incl LULUCF]]-Table12[[#This Row],[LULUCF emis-sions in 20213]],Table12[[#This Row],[GHG emissions incl LULUCF]])</f>
        <v>270.28088000000002</v>
      </c>
      <c r="AD15" s="32">
        <f>'input site'!BS15</f>
        <v>258.88164904627786</v>
      </c>
      <c r="AE15" s="32">
        <f>'LUC NGHGI'!EH5</f>
        <v>-11.303417674520281</v>
      </c>
      <c r="AF15" s="32">
        <f>IF(F15="incl",Table12[[#This Row],[Current Policies 2030 incl LULUCF]]-Table12[[#This Row],[LULUCF CurPol 2030]],Table12[[#This Row],[Current Policies 2030 incl LULUCF]])</f>
        <v>270.18506672079815</v>
      </c>
      <c r="AG15" s="32" t="str">
        <f>IF(Table12[[#This Row],[Net-zero target status]]&lt;=1,"",IF(Table12[[#This Row],[NZ GHG year]]="","",1000000000*(Table12[[#This Row],[residual LULUCF emissions in 2050]]-Table12[[#This Row],[GHG emissions excl LULUCF]])/(Table12[[#This Row],[NZ GHG year]]-2021)/Table12[[#This Row],[Population]]))</f>
        <v/>
      </c>
      <c r="AH15" s="32" t="str">
        <f>IF(Table12[[#This Row],[Peak revised]]="Yes",IF(Table12[[#This Row],[Net-zero target status]]&lt;=1,"",IF(Table12[[#This Row],[NZ GHG year]]="","",1000000000*(Table12[[#This Row],[residual LULUCF emissions in 2050]]-Table12[[#This Row],[GHG emissions excl LULUCF]])/(Table12[[#This Row],[NZ GHG year]]-2021)/Table12[[#This Row],[Population]])),"")</f>
        <v/>
      </c>
      <c r="AI15" s="32">
        <f>MAX(0,(1000000*(Table12[[#This Row],[Current Policies 2030 excl LULUCF]]/2+Table12[[#This Row],[GHG emissions excl LULUCF]]/2)/Table12[[#This Row],[Population]]-$AI$8)*10)*$AI$10</f>
        <v>0</v>
      </c>
      <c r="AJ1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 s="32" t="str">
        <f>IF(Table12[[#This Row],[Formule no Peak (2)]]="","",Table12[[#This Row],[Penalty (1)]]+Table12[[#This Row],[Formule no Peak (2)]])</f>
        <v/>
      </c>
      <c r="AL15" s="313">
        <f>(Table12[[#This Row],[Current Policies 2030 excl LULUCF]]-Table12[[#This Row],[GHG emissions excl LULUCF]])/(2030-2021)/Table12[[#This Row],[GHG emissions excl LULUCF]]</f>
        <v>-3.9388357442523134E-5</v>
      </c>
      <c r="AM15" s="313" t="str">
        <f>IF(Table12[[#This Row],[Net-zero target status]]&lt;=1,"",IF(Table12[[#This Row],[NZ GHG year]]="","",(Table12[[#This Row],[residual LULUCF emissions in 2050]]-Table12[[#This Row],[Current Policies 2030 excl LULUCF]])/(Table12[[#This Row],[NZ GHG year]]-2030)/Table12[[#This Row],[Current Policies 2030 excl LULUCF]]))</f>
        <v/>
      </c>
      <c r="AN15" s="34" t="str">
        <f>IF(Table12[[#This Row],[Net-zero target status]]&lt;=1,"",IF(Table12[[#This Row],[NZ GHG year]]="","",(Table12[[#This Row],[residual LULUCF emissions in 2050]]-Table12[[#This Row],[GHG emissions excl LULUCF]])/(Table12[[#This Row],[NZ GHG year]]-2021)/Table12[[#This Row],[GHG emissions excl LULUCF]]))</f>
        <v/>
      </c>
      <c r="AO15" s="34" t="str">
        <f>IF(Table12[[#This Row],[Net-zero target status]]&lt;=1,"",IF(Table12[[#This Row],[NZ GHG year]]="","",(Table12[[#This Row],[residual LULUCF emissions in 2050]]-Table12[[#This Row],[2030 conditional NDCs]])/(Table12[[#This Row],[NZ GHG year]]-2030)/Table12[[#This Row],[2030 conditional NDCs]]))</f>
        <v/>
      </c>
      <c r="AP15" s="96">
        <f>MAX('input site'!AH15:AS15)</f>
        <v>267.17547000000002</v>
      </c>
      <c r="AQ15" s="95" t="str">
        <f>IF(Table12[[#This Row],[Current Policies 2030 incl LULUCF]]&gt;Table12[[#This Row],[Maximum inventory data]],"No","Yes")</f>
        <v>Yes</v>
      </c>
      <c r="AR15" s="34" t="str">
        <f>IF(Table12[[#This Row],[Net-zero target status]]&gt;=1.5,Table12[[#This Row],[residual LULUCF emissions in 2050]]/Table12[[#This Row],[GHG emissions excl LULUCF]],"")</f>
        <v/>
      </c>
      <c r="AS15" s="74">
        <f>'input site'!BE15</f>
        <v>233.734296</v>
      </c>
      <c r="AT15" s="74">
        <f>'input site'!BF15</f>
        <v>233.734296</v>
      </c>
      <c r="AU15" s="74">
        <f>'input site'!BG15</f>
        <v>196.03521600000002</v>
      </c>
      <c r="AV15" s="74">
        <f>'input site'!BH15</f>
        <v>196.03521600000002</v>
      </c>
      <c r="AW15" s="74">
        <f>IF(Table12[[#This Row],[2030 unconditional NDCs]]="","",IF(F15="incl",Table12[[#This Row],[2030 unconditional NDCs]]-Table12[[#This Row],[LULUCF NDC uncond]],Table12[[#This Row],[2030 unconditional NDCs]]))</f>
        <v>249.734296</v>
      </c>
      <c r="AX15" s="74">
        <f>IF(Table12[[#This Row],[2030 unconditional NDCs2]]="","",IF(F15="incl",Table12[[#This Row],[2030 unconditional NDCs2]]-Table12[[#This Row],[LULUCF NDC uncond]],Table12[[#This Row],[2030 unconditional NDCs2]]))</f>
        <v>249.734296</v>
      </c>
      <c r="AY15" s="74">
        <f>IF(Table12[[#This Row],[2030 conditional NDCs]]="","",IF(F15="incl",Table12[[#This Row],[2030 conditional NDCs]]-Table12[[#This Row],[LULUCF NDC cond]],Table12[[#This Row],[2030 conditional NDCs]]))</f>
        <v>204.03521600000002</v>
      </c>
      <c r="AZ15" s="74">
        <f>IF(Table12[[#This Row],[2030 conditional NDCs2]]="","",IF(F15="incl",Table12[[#This Row],[2030 conditional NDCs2]]-Table12[[#This Row],[LULUCF NDC cond]],Table12[[#This Row],[2030 conditional NDCs2]]))</f>
        <v>204.03521600000002</v>
      </c>
      <c r="BA15" s="8">
        <f>VLOOKUP($G15,'Population90 20'!$C$6:$AU$231,37,FALSE)</f>
        <v>45350148</v>
      </c>
      <c r="BB15" s="8">
        <f>VLOOKUP($G15,'Overview GDP (PPP)'!$C$6:$AI$231,33,FALSE)</f>
        <v>586389609.26343942</v>
      </c>
      <c r="BC15" s="36">
        <f>Table12[[#This Row],[Income]]/Table12[[#This Row],[Population]]</f>
        <v>12.930268921359186</v>
      </c>
      <c r="BD15" s="36">
        <f>Table12[[#This Row],[GHG emissions excl LULUCF]]*1000000/Table12[[#This Row],[Population]]</f>
        <v>5.9598676502665437</v>
      </c>
      <c r="BE15" s="23" t="e">
        <f>VLOOKUP($G15,EGR2023_MASTER!$B$4:$S$38,14,FALSE)</f>
        <v>#N/A</v>
      </c>
      <c r="BF15" s="23" t="e">
        <f>VLOOKUP($G15,EGR2023_MASTER!$B$4:$S$38,15,FALSE)</f>
        <v>#N/A</v>
      </c>
      <c r="BG15" s="23" t="e">
        <f>VLOOKUP($G15,EGR2023_MASTER!$B$4:$S$38,16,FALSE)</f>
        <v>#N/A</v>
      </c>
      <c r="BH15" s="23" t="e">
        <f t="shared" si="16"/>
        <v>#N/A</v>
      </c>
      <c r="BI15" s="23" t="e">
        <f t="shared" si="17"/>
        <v>#N/A</v>
      </c>
      <c r="BJ15" s="552">
        <f>(Table12[[#This Row],[Current Policies 2030 excl LULUCF]]/Table12[[#This Row],[GHG emissions excl LULUCF]])^(1/(2030-2021))-1</f>
        <v>-3.9394564598782544E-5</v>
      </c>
      <c r="BK15" s="552" t="str">
        <f>IF(Table12[[#This Row],[Net-zero target status]]&lt;=1,"",IF(Table12[[#This Row],[NZ GHG year]]="","",((MAX(Table12[[#This Row],[residual LULUCF emissions in 2050]],0.1)/Table12[[#This Row],[Current Policies 2030 excl LULUCF]])^(1/(Table12[[#This Row],[NZ GHG year]]-2021))-1)))</f>
        <v/>
      </c>
      <c r="BL15" s="552" t="str">
        <f>IF(Table12[[#This Row],[Net-zero target status]]&lt;=1,"",IF(Table12[[#This Row],[NZ GHG year]]="","",((MAX(Table12[[#This Row],[residual LULUCF emissions in 2050]],0.1)/Table12[[#This Row],[GHG emissions excl LULUCF]])^(1/(Table12[[#This Row],[NZ GHG year]]-2021))-1)))</f>
        <v/>
      </c>
      <c r="BM15" s="552" t="str">
        <f>IF(Table12[[#This Row],[Net-zero target status]]&lt;=1,"",IF(Table12[[#This Row],[NZ GHG year]]="","",((MAX(Table12[[#This Row],[residual LULUCF emissions in 2050]],0.1)/AVERAGE(Table12[[#This Row],[2030 conditional NDCs]:[2030 conditional NDCs2]]))^(1/(Table12[[#This Row],[NZ GHG year]]-2021))-1)))</f>
        <v/>
      </c>
      <c r="BN15" s="23"/>
      <c r="BO15" s="23"/>
      <c r="BP15" s="23"/>
      <c r="BQ15" s="23"/>
      <c r="BR15" s="50" t="s">
        <v>59</v>
      </c>
      <c r="BT15" s="30" t="str">
        <f>IF(Table12[[#This Row],[Reduction rate 2021 to NZ target2]]="","",J15*(1+AN15)^(Table12[[#This Row],[NZ GHG year]]-2021))</f>
        <v/>
      </c>
    </row>
    <row r="16" spans="1:72" ht="15" x14ac:dyDescent="0.25">
      <c r="A16">
        <v>0</v>
      </c>
      <c r="B16">
        <v>0</v>
      </c>
      <c r="C16">
        <v>16</v>
      </c>
      <c r="D16">
        <v>4</v>
      </c>
      <c r="E16">
        <v>24</v>
      </c>
      <c r="F16" t="str">
        <f>'input site'!M16</f>
        <v>excl</v>
      </c>
      <c r="G16" s="31" t="s">
        <v>60</v>
      </c>
      <c r="H16" s="1" t="s">
        <v>61</v>
      </c>
      <c r="I16" s="8">
        <v>0</v>
      </c>
      <c r="J16" s="32">
        <f>'input site'!AS16</f>
        <v>0</v>
      </c>
      <c r="K16" s="32">
        <f>'input site'!BS16</f>
        <v>0</v>
      </c>
      <c r="L16" s="32">
        <f t="shared" si="14"/>
        <v>0</v>
      </c>
      <c r="M16" s="32">
        <f t="shared" si="15"/>
        <v>0</v>
      </c>
      <c r="N16" s="32">
        <f>'input site'!EV16</f>
        <v>0</v>
      </c>
      <c r="O16" s="8"/>
      <c r="P16" s="8"/>
      <c r="Q16" s="32">
        <f t="shared" si="18"/>
        <v>6.233493172584318E-3</v>
      </c>
      <c r="R16" s="32">
        <f>'[5]input site'!CN16</f>
        <v>6.233493172584318E-3</v>
      </c>
      <c r="S16" s="33"/>
      <c r="T16" s="33" t="str">
        <f>Table12[[#This Row],[(Mt CO2 equivalent)]]</f>
        <v>American Samoa</v>
      </c>
      <c r="U16" s="35">
        <v>2100</v>
      </c>
      <c r="V16" s="35">
        <v>2100</v>
      </c>
      <c r="W16" s="32">
        <f>-IF('LUC NGHGI'!EC6="",MIN('LUC NGHGI'!DW6,0.1),MIN('LUC NGHGI'!EC6,0.1))</f>
        <v>0.75700000000000001</v>
      </c>
      <c r="X16" s="32">
        <f>'LUC NGHGI'!EC6</f>
        <v>-0.75700000000000001</v>
      </c>
      <c r="Y16" s="32">
        <f>'LUC NGHGI'!DY6</f>
        <v>-0.75700000000000001</v>
      </c>
      <c r="Z16" s="32">
        <f>'LUC NGHGI'!DZ6</f>
        <v>-0.75700000000000001</v>
      </c>
      <c r="AA16" s="32">
        <f>Table12[[#This Row],[2021 emissions]]</f>
        <v>0</v>
      </c>
      <c r="AB16" s="32">
        <f>'LUC NGHGI'!DW6</f>
        <v>-0.63783225806452037</v>
      </c>
      <c r="AC16" s="32">
        <f>IF(F16="incl",Table12[[#This Row],[GHG emissions incl LULUCF]]-Table12[[#This Row],[LULUCF emis-sions in 20213]],Table12[[#This Row],[GHG emissions incl LULUCF]])</f>
        <v>0</v>
      </c>
      <c r="AD16" s="32">
        <f>'input site'!BS16</f>
        <v>0</v>
      </c>
      <c r="AE16" s="32">
        <f>'LUC NGHGI'!EH6</f>
        <v>-0.70635243102693901</v>
      </c>
      <c r="AF16" s="32">
        <f>IF(F16="incl",Table12[[#This Row],[Current Policies 2030 incl LULUCF]]-Table12[[#This Row],[LULUCF CurPol 2030]],Table12[[#This Row],[Current Policies 2030 incl LULUCF]])</f>
        <v>0</v>
      </c>
      <c r="AG16" s="32" t="str">
        <f>IF(Table12[[#This Row],[Net-zero target status]]&lt;=1,"",IF(Table12[[#This Row],[NZ GHG year]]="","",1000000000*(Table12[[#This Row],[residual LULUCF emissions in 2050]]-Table12[[#This Row],[GHG emissions excl LULUCF]])/(Table12[[#This Row],[NZ GHG year]]-2021)/Table12[[#This Row],[Population]]))</f>
        <v/>
      </c>
      <c r="AH16" s="32" t="str">
        <f>IF(Table12[[#This Row],[Peak revised]]="Yes",IF(Table12[[#This Row],[Net-zero target status]]&lt;=1,"",IF(Table12[[#This Row],[NZ GHG year]]="","",1000000000*(Table12[[#This Row],[residual LULUCF emissions in 2050]]-Table12[[#This Row],[GHG emissions excl LULUCF]])/(Table12[[#This Row],[NZ GHG year]]-2021)/Table12[[#This Row],[Population]])),"")</f>
        <v/>
      </c>
      <c r="AI16" s="32">
        <f>MAX(0,(1000000*(Table12[[#This Row],[Current Policies 2030 excl LULUCF]]/2+Table12[[#This Row],[GHG emissions excl LULUCF]]/2)/Table12[[#This Row],[Population]]-$AI$8)*10)*$AI$10</f>
        <v>0</v>
      </c>
      <c r="AJ1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 s="32" t="str">
        <f>IF(Table12[[#This Row],[Formule no Peak (2)]]="","",Table12[[#This Row],[Penalty (1)]]+Table12[[#This Row],[Formule no Peak (2)]])</f>
        <v/>
      </c>
      <c r="AL16" s="313" t="e">
        <f>(Table12[[#This Row],[Current Policies 2030 excl LULUCF]]-Table12[[#This Row],[GHG emissions excl LULUCF]])/(2030-2021)/Table12[[#This Row],[GHG emissions excl LULUCF]]</f>
        <v>#DIV/0!</v>
      </c>
      <c r="AM16" s="313" t="str">
        <f>IF(Table12[[#This Row],[Net-zero target status]]&lt;=1,"",IF(Table12[[#This Row],[NZ GHG year]]="","",(Table12[[#This Row],[residual LULUCF emissions in 2050]]-Table12[[#This Row],[Current Policies 2030 excl LULUCF]])/(Table12[[#This Row],[NZ GHG year]]-2030)/Table12[[#This Row],[Current Policies 2030 excl LULUCF]]))</f>
        <v/>
      </c>
      <c r="AN16" s="34" t="str">
        <f>IF(Table12[[#This Row],[Net-zero target status]]&lt;=1,"",IF(Table12[[#This Row],[NZ GHG year]]="","",(Table12[[#This Row],[residual LULUCF emissions in 2050]]-Table12[[#This Row],[GHG emissions excl LULUCF]])/(Table12[[#This Row],[NZ GHG year]]-2021)/Table12[[#This Row],[GHG emissions excl LULUCF]]))</f>
        <v/>
      </c>
      <c r="AO16" s="34" t="str">
        <f>IF(Table12[[#This Row],[Net-zero target status]]&lt;=1,"",IF(Table12[[#This Row],[NZ GHG year]]="","",(Table12[[#This Row],[residual LULUCF emissions in 2050]]-Table12[[#This Row],[2030 conditional NDCs]])/(Table12[[#This Row],[NZ GHG year]]-2030)/Table12[[#This Row],[2030 conditional NDCs]]))</f>
        <v/>
      </c>
      <c r="AP16" s="96">
        <f>MAX('input site'!AH16:AS16)</f>
        <v>0</v>
      </c>
      <c r="AQ16" s="95" t="str">
        <f>IF(Table12[[#This Row],[Current Policies 2030 incl LULUCF]]&gt;Table12[[#This Row],[Maximum inventory data]],"No","Yes")</f>
        <v>Yes</v>
      </c>
      <c r="AR16" s="34" t="str">
        <f>IF(Table12[[#This Row],[Net-zero target status]]&gt;=1.5,Table12[[#This Row],[residual LULUCF emissions in 2050]]/Table12[[#This Row],[GHG emissions excl LULUCF]],"")</f>
        <v/>
      </c>
      <c r="AS16" s="74"/>
      <c r="AT16" s="74"/>
      <c r="AU16" s="74"/>
      <c r="AV16" s="75"/>
      <c r="AW16" s="74" t="str">
        <f>IF(Table12[[#This Row],[2030 unconditional NDCs]]="","",IF(F16="incl",Table12[[#This Row],[2030 unconditional NDCs]]-Table12[[#This Row],[LULUCF NDC uncond]],Table12[[#This Row],[2030 unconditional NDCs]]))</f>
        <v/>
      </c>
      <c r="AX16" s="74" t="str">
        <f>IF(Table12[[#This Row],[2030 unconditional NDCs2]]="","",IF(F16="incl",Table12[[#This Row],[2030 unconditional NDCs2]]-Table12[[#This Row],[LULUCF NDC uncond]],Table12[[#This Row],[2030 unconditional NDCs2]]))</f>
        <v/>
      </c>
      <c r="AY16" s="74" t="str">
        <f>IF(Table12[[#This Row],[2030 conditional NDCs]]="","",IF(F16="incl",Table12[[#This Row],[2030 conditional NDCs]]-Table12[[#This Row],[LULUCF NDC cond]],Table12[[#This Row],[2030 conditional NDCs]]))</f>
        <v/>
      </c>
      <c r="AZ16" s="74" t="str">
        <f>IF(Table12[[#This Row],[2030 conditional NDCs2]]="","",IF(F16="incl",Table12[[#This Row],[2030 conditional NDCs2]]-Table12[[#This Row],[LULUCF NDC cond]],Table12[[#This Row],[2030 conditional NDCs2]]))</f>
        <v/>
      </c>
      <c r="BA16" s="8">
        <f>VLOOKUP($G16,'Population90 20'!$C$6:$AU$231,37,FALSE)</f>
        <v>55030</v>
      </c>
      <c r="BB16" s="8">
        <f>VLOOKUP($G16,'Overview GDP (PPP)'!$C$6:$AI$231,33,FALSE)</f>
        <v>486064.71913340845</v>
      </c>
      <c r="BC16" s="36">
        <f>Table12[[#This Row],[Income]]/Table12[[#This Row],[Population]]</f>
        <v>8.8327224992442019</v>
      </c>
      <c r="BD16" s="36">
        <f>Table12[[#This Row],[GHG emissions excl LULUCF]]*1000000/Table12[[#This Row],[Population]]</f>
        <v>0</v>
      </c>
      <c r="BE16" s="23" t="e">
        <f>VLOOKUP($G16,EGR2023_MASTER!$B$4:$S$38,14,FALSE)</f>
        <v>#N/A</v>
      </c>
      <c r="BF16" s="23" t="e">
        <f>VLOOKUP($G16,EGR2023_MASTER!$B$4:$S$38,15,FALSE)</f>
        <v>#N/A</v>
      </c>
      <c r="BG16" s="23" t="e">
        <f>VLOOKUP($G16,EGR2023_MASTER!$B$4:$S$38,16,FALSE)</f>
        <v>#N/A</v>
      </c>
      <c r="BH16" s="23" t="e">
        <f t="shared" si="16"/>
        <v>#N/A</v>
      </c>
      <c r="BI16" s="23" t="e">
        <f t="shared" si="17"/>
        <v>#N/A</v>
      </c>
      <c r="BJ16" s="552" t="e">
        <f>(Table12[[#This Row],[Current Policies 2030 excl LULUCF]]/Table12[[#This Row],[GHG emissions excl LULUCF]])^(1/(2030-2021))-1</f>
        <v>#DIV/0!</v>
      </c>
      <c r="BK16" s="552" t="str">
        <f>IF(Table12[[#This Row],[Net-zero target status]]&lt;=1,"",IF(Table12[[#This Row],[NZ GHG year]]="","",((MAX(Table12[[#This Row],[residual LULUCF emissions in 2050]],0.1)/Table12[[#This Row],[Current Policies 2030 excl LULUCF]])^(1/(Table12[[#This Row],[NZ GHG year]]-2021))-1)))</f>
        <v/>
      </c>
      <c r="BL16" s="552" t="str">
        <f>IF(Table12[[#This Row],[Net-zero target status]]&lt;=1,"",IF(Table12[[#This Row],[NZ GHG year]]="","",((MAX(Table12[[#This Row],[residual LULUCF emissions in 2050]],0.1)/Table12[[#This Row],[GHG emissions excl LULUCF]])^(1/(Table12[[#This Row],[NZ GHG year]]-2021))-1)))</f>
        <v/>
      </c>
      <c r="BM16" s="552" t="str">
        <f>IF(Table12[[#This Row],[Net-zero target status]]&lt;=1,"",IF(Table12[[#This Row],[NZ GHG year]]="","",((MAX(Table12[[#This Row],[residual LULUCF emissions in 2050]],0.1)/AVERAGE(Table12[[#This Row],[2030 conditional NDCs]:[2030 conditional NDCs2]]))^(1/(Table12[[#This Row],[NZ GHG year]]-2021))-1)))</f>
        <v/>
      </c>
      <c r="BN16" s="23"/>
      <c r="BO16" s="23"/>
      <c r="BP16" s="23"/>
      <c r="BQ16" s="23"/>
      <c r="BR16" s="50" t="s">
        <v>61</v>
      </c>
      <c r="BT16" s="30" t="str">
        <f>IF(Table12[[#This Row],[Reduction rate 2021 to NZ target2]]="","",J16*(1+AN16)^(Table12[[#This Row],[NZ GHG year]]-2021))</f>
        <v/>
      </c>
    </row>
    <row r="17" spans="1:72" ht="15" x14ac:dyDescent="0.25">
      <c r="A17">
        <v>0</v>
      </c>
      <c r="B17">
        <v>0</v>
      </c>
      <c r="C17">
        <v>20</v>
      </c>
      <c r="D17">
        <v>5</v>
      </c>
      <c r="E17">
        <v>11</v>
      </c>
      <c r="F17" t="str">
        <f>'input site'!M17</f>
        <v>excl</v>
      </c>
      <c r="G17" s="31" t="s">
        <v>62</v>
      </c>
      <c r="H17" s="1" t="s">
        <v>63</v>
      </c>
      <c r="I17" s="8">
        <f>VLOOKUP($G17,'NZT data'!$B$3:$C$200,2,FALSE)</f>
        <v>3</v>
      </c>
      <c r="J17" s="36">
        <f>'input site'!AS17</f>
        <v>0.49976677000000003</v>
      </c>
      <c r="K17" s="32">
        <f>'input site'!BS17</f>
        <v>0.27884462343578759</v>
      </c>
      <c r="L17" s="32">
        <f t="shared" si="14"/>
        <v>0</v>
      </c>
      <c r="M17" s="32">
        <f t="shared" si="15"/>
        <v>0</v>
      </c>
      <c r="N17" s="32">
        <f>'input site'!EV17</f>
        <v>0.10690787550048576</v>
      </c>
      <c r="O17" s="8"/>
      <c r="P17" s="8"/>
      <c r="Q17" s="32">
        <f t="shared" si="18"/>
        <v>0</v>
      </c>
      <c r="R17" s="32">
        <f>'[5]input site'!CN17</f>
        <v>0</v>
      </c>
      <c r="S17" s="33"/>
      <c r="T17" s="33" t="str">
        <f>Table12[[#This Row],[(Mt CO2 equivalent)]]</f>
        <v>Andorra</v>
      </c>
      <c r="U17" s="8">
        <f>VLOOKUP($G17,'NZT data'!$B$3:$F$200,4,FALSE)</f>
        <v>2050</v>
      </c>
      <c r="V17" s="32">
        <f>VLOOKUP($G17,'NZT data'!$B$3:$F$200,5,FALSE)</f>
        <v>2050</v>
      </c>
      <c r="W17" s="32">
        <f>-IF('LUC NGHGI'!EC7="",MIN('LUC NGHGI'!DW7,0.1),MIN('LUC NGHGI'!EC7,0.1))</f>
        <v>-0.1</v>
      </c>
      <c r="X17" s="32">
        <f>'LUC NGHGI'!EC7</f>
        <v>0.14000000000000001</v>
      </c>
      <c r="Y17" s="32">
        <f>'LUC NGHGI'!DY7</f>
        <v>-0.14005073563218395</v>
      </c>
      <c r="Z17" s="32">
        <f>'LUC NGHGI'!DZ7</f>
        <v>-0.14005073563218395</v>
      </c>
      <c r="AA17" s="32">
        <f>Table12[[#This Row],[2021 emissions]]</f>
        <v>0.49976677000000003</v>
      </c>
      <c r="AB17" s="32">
        <f>'LUC NGHGI'!DW7</f>
        <v>-0.14024415943641083</v>
      </c>
      <c r="AC17" s="32">
        <f>IF(F17="incl",Table12[[#This Row],[GHG emissions incl LULUCF]]-Table12[[#This Row],[LULUCF emis-sions in 20213]],Table12[[#This Row],[GHG emissions incl LULUCF]])</f>
        <v>0.49976677000000003</v>
      </c>
      <c r="AD17" s="32">
        <f>'input site'!BS17</f>
        <v>0.27884462343578759</v>
      </c>
      <c r="AE17" s="32">
        <f>'LUC NGHGI'!EH7</f>
        <v>-0.14502096718698307</v>
      </c>
      <c r="AF17" s="32">
        <f>IF(F17="incl",Table12[[#This Row],[Current Policies 2030 incl LULUCF]]-Table12[[#This Row],[LULUCF CurPol 2030]],Table12[[#This Row],[Current Policies 2030 incl LULUCF]])</f>
        <v>0.27884462343578759</v>
      </c>
      <c r="AG17" s="32"/>
      <c r="AH17" s="32" t="e">
        <f>IF(Table12[[#This Row],[Peak revised]]="Yes",IF(Table12[[#This Row],[Net-zero target status]]&lt;=1,"",IF(Table12[[#This Row],[NZ GHG year]]="","",1000000000*(Table12[[#This Row],[residual LULUCF emissions in 2050]]-Table12[[#This Row],[GHG emissions excl LULUCF]])/(Table12[[#This Row],[NZ GHG year]]-2021)/Table12[[#This Row],[Population]])),"")</f>
        <v>#DIV/0!</v>
      </c>
      <c r="AI17" s="32" t="e">
        <f>MAX(0,(1000000*(Table12[[#This Row],[Current Policies 2030 excl LULUCF]]/2+Table12[[#This Row],[GHG emissions excl LULUCF]]/2)/Table12[[#This Row],[Population]]-$AI$8)*10)*$AI$10</f>
        <v>#DIV/0!</v>
      </c>
      <c r="AJ1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 s="32" t="str">
        <f>IF(Table12[[#This Row],[Formule no Peak (2)]]="","",Table12[[#This Row],[Penalty (1)]]+Table12[[#This Row],[Formule no Peak (2)]])</f>
        <v/>
      </c>
      <c r="AL17" s="313">
        <f>(Table12[[#This Row],[Current Policies 2030 excl LULUCF]]-Table12[[#This Row],[GHG emissions excl LULUCF]])/(2030-2021)/Table12[[#This Row],[GHG emissions excl LULUCF]]</f>
        <v>-4.9116721333435961E-2</v>
      </c>
      <c r="AM17" s="313">
        <f>IF(Table12[[#This Row],[Net-zero target status]]&lt;=1,"",IF(Table12[[#This Row],[NZ GHG year]]="","",(Table12[[#This Row],[residual LULUCF emissions in 2050]]-Table12[[#This Row],[Current Policies 2030 excl LULUCF]])/(Table12[[#This Row],[NZ GHG year]]-2030)/Table12[[#This Row],[Current Policies 2030 excl LULUCF]]))</f>
        <v>-6.7931132895418384E-2</v>
      </c>
      <c r="AN17" s="34">
        <f>IF(Table12[[#This Row],[Net-zero target status]]&lt;=1,"",IF(Table12[[#This Row],[NZ GHG year]]="","",(Table12[[#This Row],[residual LULUCF emissions in 2050]]-Table12[[#This Row],[GHG emissions excl LULUCF]])/(Table12[[#This Row],[NZ GHG year]]-2021)/Table12[[#This Row],[GHG emissions excl LULUCF]]))</f>
        <v>-4.1382528811630848E-2</v>
      </c>
      <c r="AO17" s="34">
        <f>IF(Table12[[#This Row],[Net-zero target status]]&lt;=1,"",IF(Table12[[#This Row],[NZ GHG year]]="","",(Table12[[#This Row],[residual LULUCF emissions in 2050]]-Table12[[#This Row],[2030 conditional NDCs]])/(Table12[[#This Row],[NZ GHG year]]-2030)/Table12[[#This Row],[2030 conditional NDCs]]))</f>
        <v>-6.4844724185024655E-2</v>
      </c>
      <c r="AP17" s="96">
        <f>MAX('input site'!AH17:AS17)</f>
        <v>0.53152264999999999</v>
      </c>
      <c r="AQ17" s="95" t="str">
        <f>IF(Table12[[#This Row],[Current Policies 2030 incl LULUCF]]&gt;Table12[[#This Row],[Maximum inventory data]],"No","Yes")</f>
        <v>Yes</v>
      </c>
      <c r="AR17" s="34">
        <f>IF(Table12[[#This Row],[Net-zero target status]]&gt;=1.5,Table12[[#This Row],[residual LULUCF emissions in 2050]]/Table12[[#This Row],[GHG emissions excl LULUCF]],"")</f>
        <v>-0.20009333553729472</v>
      </c>
      <c r="AS17" s="76">
        <f>'input site'!BE17</f>
        <v>0.33681999999999995</v>
      </c>
      <c r="AT17" s="76">
        <f>'input site'!BF17</f>
        <v>0.33681999999999995</v>
      </c>
      <c r="AU17" s="76">
        <f>'input site'!BG17</f>
        <v>0.33681999999999995</v>
      </c>
      <c r="AV17" s="77">
        <f>'input site'!BH17</f>
        <v>0.33681999999999995</v>
      </c>
      <c r="AW17" s="74">
        <f>IF(Table12[[#This Row],[2030 unconditional NDCs]]="","",IF(F17="incl",Table12[[#This Row],[2030 unconditional NDCs]]-Table12[[#This Row],[LULUCF NDC uncond]],Table12[[#This Row],[2030 unconditional NDCs]]))</f>
        <v>0.33681999999999995</v>
      </c>
      <c r="AX17" s="74">
        <f>IF(Table12[[#This Row],[2030 unconditional NDCs2]]="","",IF(F17="incl",Table12[[#This Row],[2030 unconditional NDCs2]]-Table12[[#This Row],[LULUCF NDC uncond]],Table12[[#This Row],[2030 unconditional NDCs2]]))</f>
        <v>0.33681999999999995</v>
      </c>
      <c r="AY17" s="74">
        <f>IF(Table12[[#This Row],[2030 conditional NDCs]]="","",IF(F17="incl",Table12[[#This Row],[2030 conditional NDCs]]-Table12[[#This Row],[LULUCF NDC cond]],Table12[[#This Row],[2030 conditional NDCs]]))</f>
        <v>0.33681999999999995</v>
      </c>
      <c r="AZ17" s="74">
        <f>IF(Table12[[#This Row],[2030 conditional NDCs2]]="","",IF(F17="incl",Table12[[#This Row],[2030 conditional NDCs2]]-Table12[[#This Row],[LULUCF NDC cond]],Table12[[#This Row],[2030 conditional NDCs2]]))</f>
        <v>0.33681999999999995</v>
      </c>
      <c r="BA17" s="8"/>
      <c r="BB17" s="8">
        <f>VLOOKUP($G17,'Overview GDP (PPP)'!$C$6:$AI$231,33,FALSE)</f>
        <v>0</v>
      </c>
      <c r="BC17" s="36"/>
      <c r="BD17" s="36" t="e">
        <f>Table12[[#This Row],[GHG emissions excl LULUCF]]*1000000/Table12[[#This Row],[Population]]</f>
        <v>#DIV/0!</v>
      </c>
      <c r="BE17" s="23" t="e">
        <f>VLOOKUP($G17,EGR2023_MASTER!$B$4:$S$38,14,FALSE)</f>
        <v>#N/A</v>
      </c>
      <c r="BF17" s="23" t="e">
        <f>VLOOKUP($G17,EGR2023_MASTER!$B$4:$S$38,15,FALSE)</f>
        <v>#N/A</v>
      </c>
      <c r="BG17" s="23" t="e">
        <f>VLOOKUP($G17,EGR2023_MASTER!$B$4:$S$38,16,FALSE)</f>
        <v>#N/A</v>
      </c>
      <c r="BH17" s="23" t="e">
        <f t="shared" si="16"/>
        <v>#N/A</v>
      </c>
      <c r="BI17" s="23" t="e">
        <f t="shared" si="17"/>
        <v>#N/A</v>
      </c>
      <c r="BJ17" s="552">
        <f>(Table12[[#This Row],[Current Policies 2030 excl LULUCF]]/Table12[[#This Row],[GHG emissions excl LULUCF]])^(1/(2030-2021))-1</f>
        <v>-6.2774971949692504E-2</v>
      </c>
      <c r="BK17" s="552">
        <f>IF(Table12[[#This Row],[Net-zero target status]]&lt;=1,"",IF(Table12[[#This Row],[NZ GHG year]]="","",((MAX(Table12[[#This Row],[residual LULUCF emissions in 2050]],0.1)/Table12[[#This Row],[Current Policies 2030 excl LULUCF]])^(1/(Table12[[#This Row],[NZ GHG year]]-2021))-1)))</f>
        <v>-3.4743621479110143E-2</v>
      </c>
      <c r="BL17" s="552">
        <f>IF(Table12[[#This Row],[Net-zero target status]]&lt;=1,"",IF(Table12[[#This Row],[NZ GHG year]]="","",((MAX(Table12[[#This Row],[residual LULUCF emissions in 2050]],0.1)/Table12[[#This Row],[GHG emissions excl LULUCF]])^(1/(Table12[[#This Row],[NZ GHG year]]-2021))-1)))</f>
        <v>-5.3970730817086698E-2</v>
      </c>
      <c r="BM17" s="552">
        <f>IF(Table12[[#This Row],[Net-zero target status]]&lt;=1,"",IF(Table12[[#This Row],[NZ GHG year]]="","",((MAX(Table12[[#This Row],[residual LULUCF emissions in 2050]],0.1)/AVERAGE(Table12[[#This Row],[2030 conditional NDCs]:[2030 conditional NDCs2]]))^(1/(Table12[[#This Row],[NZ GHG year]]-2021))-1)))</f>
        <v>-4.1010468194323191E-2</v>
      </c>
      <c r="BN17" s="23"/>
      <c r="BO17" s="23"/>
      <c r="BP17" s="23"/>
      <c r="BQ17" s="23"/>
      <c r="BR17" s="50" t="s">
        <v>63</v>
      </c>
      <c r="BT17" s="30">
        <f>IF(Table12[[#This Row],[Reduction rate 2021 to NZ target2]]="","",J17*(1+AN17)^(Table12[[#This Row],[NZ GHG year]]-2021))</f>
        <v>0.14671760659204824</v>
      </c>
    </row>
    <row r="18" spans="1:72" ht="15" x14ac:dyDescent="0.25">
      <c r="A18">
        <v>0</v>
      </c>
      <c r="B18">
        <v>0</v>
      </c>
      <c r="C18">
        <v>24</v>
      </c>
      <c r="D18">
        <v>6</v>
      </c>
      <c r="E18">
        <v>26</v>
      </c>
      <c r="F18" t="str">
        <f>'input site'!M18</f>
        <v>incl</v>
      </c>
      <c r="G18" s="31" t="s">
        <v>64</v>
      </c>
      <c r="H18" s="1" t="s">
        <v>65</v>
      </c>
      <c r="I18" s="8">
        <f>VLOOKUP($G18,'NZT data'!$B$3:$C$200,2,FALSE)</f>
        <v>1</v>
      </c>
      <c r="J18" s="32">
        <f>'input site'!AS18</f>
        <v>157.57325001674883</v>
      </c>
      <c r="K18" s="32">
        <f>'input site'!BS18</f>
        <v>187.01658343200677</v>
      </c>
      <c r="L18" s="32">
        <f t="shared" si="14"/>
        <v>0</v>
      </c>
      <c r="M18" s="32">
        <f t="shared" si="15"/>
        <v>0</v>
      </c>
      <c r="N18" s="32">
        <f>'input site'!EV18</f>
        <v>117.79555948575096</v>
      </c>
      <c r="O18" s="8"/>
      <c r="P18" s="36"/>
      <c r="Q18" s="32">
        <f t="shared" si="18"/>
        <v>0</v>
      </c>
      <c r="R18" s="32">
        <f>'[5]input site'!CN18</f>
        <v>159.46107741165795</v>
      </c>
      <c r="S18" s="33">
        <v>2050</v>
      </c>
      <c r="T18" s="33" t="str">
        <f>Table12[[#This Row],[(Mt CO2 equivalent)]]</f>
        <v>Angola</v>
      </c>
      <c r="U18" s="8">
        <f>VLOOKUP($G18,'NZT data'!$B$3:$F$200,4,FALSE)</f>
        <v>2110</v>
      </c>
      <c r="V18" s="32">
        <f>VLOOKUP($G18,'NZT data'!$B$3:$F$200,5,FALSE)</f>
        <v>2125</v>
      </c>
      <c r="W18" s="32">
        <f>-IF('LUC NGHGI'!EC8="",MIN('LUC NGHGI'!DW8,0.1),MIN('LUC NGHGI'!EC8,0.1))</f>
        <v>-0.1</v>
      </c>
      <c r="X18" s="32">
        <f>'LUC NGHGI'!EC8</f>
        <v>68.557627636453162</v>
      </c>
      <c r="Y18" s="32">
        <f>'LUC NGHGI'!DY8</f>
        <v>68.557627636453162</v>
      </c>
      <c r="Z18" s="32">
        <f>'LUC NGHGI'!DZ8</f>
        <v>68.557627636453162</v>
      </c>
      <c r="AA18" s="32">
        <f>Table12[[#This Row],[2021 emissions]]</f>
        <v>157.57325001674883</v>
      </c>
      <c r="AB18" s="32">
        <f>'LUC NGHGI'!DW8</f>
        <v>69.814562016748823</v>
      </c>
      <c r="AC18" s="32">
        <f>IF(F18="incl",Table12[[#This Row],[GHG emissions incl LULUCF]]-Table12[[#This Row],[LULUCF emis-sions in 20213]],Table12[[#This Row],[GHG emissions incl LULUCF]])</f>
        <v>87.758688000000006</v>
      </c>
      <c r="AD18" s="32">
        <f>'input site'!BS18</f>
        <v>187.01658343200677</v>
      </c>
      <c r="AE18" s="32">
        <f>'LUC NGHGI'!EH8</f>
        <v>54.965157517352708</v>
      </c>
      <c r="AF18" s="32">
        <f>IF(F18="incl",Table12[[#This Row],[Current Policies 2030 incl LULUCF]]-Table12[[#This Row],[LULUCF CurPol 2030]],Table12[[#This Row],[Current Policies 2030 incl LULUCF]])</f>
        <v>132.05142591465406</v>
      </c>
      <c r="AG18" s="32" t="str">
        <f>IF(Table12[[#This Row],[Net-zero target status]]&lt;=1,"",IF(Table12[[#This Row],[NZ GHG year]]="","",1000000000*(Table12[[#This Row],[residual LULUCF emissions in 2050]]-Table12[[#This Row],[GHG emissions excl LULUCF]])/(Table12[[#This Row],[NZ GHG year]]-2021)/Table12[[#This Row],[Population]]))</f>
        <v/>
      </c>
      <c r="AH18" s="32" t="str">
        <f>IF(Table12[[#This Row],[Peak revised]]="Yes",IF(Table12[[#This Row],[Net-zero target status]]&lt;=1,"",IF(Table12[[#This Row],[NZ GHG year]]="","",1000000000*(Table12[[#This Row],[residual LULUCF emissions in 2050]]-Table12[[#This Row],[GHG emissions excl LULUCF]])/(Table12[[#This Row],[NZ GHG year]]-2021)/Table12[[#This Row],[Population]])),"")</f>
        <v/>
      </c>
      <c r="AI18" s="32">
        <f>MAX(0,(1000000*(Table12[[#This Row],[Current Policies 2030 excl LULUCF]]/2+Table12[[#This Row],[GHG emissions excl LULUCF]]/2)/Table12[[#This Row],[Population]]-$AI$8)*10)*$AI$10</f>
        <v>0</v>
      </c>
      <c r="AJ1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 s="32" t="str">
        <f>IF(Table12[[#This Row],[Formule no Peak (2)]]="","",Table12[[#This Row],[Penalty (1)]]+Table12[[#This Row],[Formule no Peak (2)]])</f>
        <v/>
      </c>
      <c r="AL18" s="313">
        <f>(Table12[[#This Row],[Current Policies 2030 excl LULUCF]]-Table12[[#This Row],[GHG emissions excl LULUCF]])/(2030-2021)/Table12[[#This Row],[GHG emissions excl LULUCF]]</f>
        <v>5.6078952819468425E-2</v>
      </c>
      <c r="AM18" s="313" t="str">
        <f>IF(Table12[[#This Row],[Net-zero target status]]&lt;=1,"",IF(Table12[[#This Row],[NZ GHG year]]="","",(Table12[[#This Row],[residual LULUCF emissions in 2050]]-Table12[[#This Row],[Current Policies 2030 excl LULUCF]])/(Table12[[#This Row],[NZ GHG year]]-2030)/Table12[[#This Row],[Current Policies 2030 excl LULUCF]]))</f>
        <v/>
      </c>
      <c r="AN18" s="34" t="str">
        <f>IF(Table12[[#This Row],[Net-zero target status]]&lt;=1,"",IF(Table12[[#This Row],[NZ GHG year]]="","",(Table12[[#This Row],[residual LULUCF emissions in 2050]]-Table12[[#This Row],[GHG emissions excl LULUCF]])/(Table12[[#This Row],[NZ GHG year]]-2021)/Table12[[#This Row],[GHG emissions excl LULUCF]]))</f>
        <v/>
      </c>
      <c r="AO18" s="34" t="str">
        <f>IF(Table12[[#This Row],[Net-zero target status]]&lt;=1,"",IF(Table12[[#This Row],[NZ GHG year]]="","",(Table12[[#This Row],[residual LULUCF emissions in 2050]]-Table12[[#This Row],[2030 conditional NDCs]])/(Table12[[#This Row],[NZ GHG year]]-2030)/Table12[[#This Row],[2030 conditional NDCs]]))</f>
        <v/>
      </c>
      <c r="AP18" s="96">
        <f>MAX('input site'!AH18:AS18)</f>
        <v>179.952349</v>
      </c>
      <c r="AQ18" s="95" t="str">
        <f>IF(Table12[[#This Row],[Current Policies 2030 incl LULUCF]]&gt;Table12[[#This Row],[Maximum inventory data]],"No","Yes")</f>
        <v>No</v>
      </c>
      <c r="AR18" s="34" t="str">
        <f>IF(Table12[[#This Row],[Net-zero target status]]&gt;=1.5,Table12[[#This Row],[residual LULUCF emissions in 2050]]/Table12[[#This Row],[GHG emissions excl LULUCF]],"")</f>
        <v/>
      </c>
      <c r="AS18" s="76">
        <f>'input site'!BE18</f>
        <v>93.284199999999998</v>
      </c>
      <c r="AT18" s="76">
        <f>'input site'!BF18</f>
        <v>93.284199999999998</v>
      </c>
      <c r="AU18" s="76">
        <f>'input site'!BG18</f>
        <v>82.437200000000004</v>
      </c>
      <c r="AV18" s="77">
        <f>'input site'!BH18</f>
        <v>82.437200000000004</v>
      </c>
      <c r="AW18" s="74">
        <f>IF(Table12[[#This Row],[2030 unconditional NDCs]]="","",IF(F18="incl",Table12[[#This Row],[2030 unconditional NDCs]]-Table12[[#This Row],[LULUCF NDC uncond]],Table12[[#This Row],[2030 unconditional NDCs]]))</f>
        <v>24.726572363546836</v>
      </c>
      <c r="AX18" s="74">
        <f>IF(Table12[[#This Row],[2030 unconditional NDCs2]]="","",IF(F18="incl",Table12[[#This Row],[2030 unconditional NDCs2]]-Table12[[#This Row],[LULUCF NDC uncond]],Table12[[#This Row],[2030 unconditional NDCs2]]))</f>
        <v>24.726572363546836</v>
      </c>
      <c r="AY18" s="74">
        <f>IF(Table12[[#This Row],[2030 conditional NDCs]]="","",IF(F18="incl",Table12[[#This Row],[2030 conditional NDCs]]-Table12[[#This Row],[LULUCF NDC cond]],Table12[[#This Row],[2030 conditional NDCs]]))</f>
        <v>13.879572363546842</v>
      </c>
      <c r="AZ18" s="74">
        <f>IF(Table12[[#This Row],[2030 conditional NDCs2]]="","",IF(F18="incl",Table12[[#This Row],[2030 conditional NDCs2]]-Table12[[#This Row],[LULUCF NDC cond]],Table12[[#This Row],[2030 conditional NDCs2]]))</f>
        <v>13.879572363546842</v>
      </c>
      <c r="BA18" s="8">
        <f>VLOOKUP($G18,'Population90 20'!$C$6:$AU$231,37,FALSE)</f>
        <v>35027343</v>
      </c>
      <c r="BB18" s="8">
        <f>VLOOKUP($G18,'Overview GDP (PPP)'!$C$6:$AI$231,33,FALSE)</f>
        <v>176395969.56704584</v>
      </c>
      <c r="BC18" s="36">
        <f>Table12[[#This Row],[Income]]/Table12[[#This Row],[Population]]</f>
        <v>5.0359506162670069</v>
      </c>
      <c r="BD18" s="36">
        <f>Table12[[#This Row],[GHG emissions excl LULUCF]]*1000000/Table12[[#This Row],[Population]]</f>
        <v>2.50543376926991</v>
      </c>
      <c r="BE18" s="23" t="e">
        <f>VLOOKUP($G18,EGR2023_MASTER!$B$4:$S$38,14,FALSE)</f>
        <v>#N/A</v>
      </c>
      <c r="BF18" s="23" t="e">
        <f>VLOOKUP($G18,EGR2023_MASTER!$B$4:$S$38,15,FALSE)</f>
        <v>#N/A</v>
      </c>
      <c r="BG18" s="23" t="e">
        <f>VLOOKUP($G18,EGR2023_MASTER!$B$4:$S$38,16,FALSE)</f>
        <v>#N/A</v>
      </c>
      <c r="BH18" s="23" t="e">
        <f t="shared" si="16"/>
        <v>#N/A</v>
      </c>
      <c r="BI18" s="23" t="e">
        <f t="shared" si="17"/>
        <v>#N/A</v>
      </c>
      <c r="BJ18" s="552">
        <f>(Table12[[#This Row],[Current Policies 2030 excl LULUCF]]/Table12[[#This Row],[GHG emissions excl LULUCF]])^(1/(2030-2021))-1</f>
        <v>4.644642113569164E-2</v>
      </c>
      <c r="BK18" s="552" t="str">
        <f>IF(Table12[[#This Row],[Net-zero target status]]&lt;=1,"",IF(Table12[[#This Row],[NZ GHG year]]="","",((MAX(Table12[[#This Row],[residual LULUCF emissions in 2050]],0.1)/Table12[[#This Row],[Current Policies 2030 excl LULUCF]])^(1/(Table12[[#This Row],[NZ GHG year]]-2021))-1)))</f>
        <v/>
      </c>
      <c r="BL18" s="552" t="str">
        <f>IF(Table12[[#This Row],[Net-zero target status]]&lt;=1,"",IF(Table12[[#This Row],[NZ GHG year]]="","",((MAX(Table12[[#This Row],[residual LULUCF emissions in 2050]],0.1)/Table12[[#This Row],[GHG emissions excl LULUCF]])^(1/(Table12[[#This Row],[NZ GHG year]]-2021))-1)))</f>
        <v/>
      </c>
      <c r="BM18" s="552" t="str">
        <f>IF(Table12[[#This Row],[Net-zero target status]]&lt;=1,"",IF(Table12[[#This Row],[NZ GHG year]]="","",((MAX(Table12[[#This Row],[residual LULUCF emissions in 2050]],0.1)/AVERAGE(Table12[[#This Row],[2030 conditional NDCs]:[2030 conditional NDCs2]]))^(1/(Table12[[#This Row],[NZ GHG year]]-2021))-1)))</f>
        <v/>
      </c>
      <c r="BN18" s="23"/>
      <c r="BO18" s="23"/>
      <c r="BP18" s="23"/>
      <c r="BQ18" s="23"/>
      <c r="BR18" s="50" t="s">
        <v>65</v>
      </c>
      <c r="BT18" s="30" t="str">
        <f>IF(Table12[[#This Row],[Reduction rate 2021 to NZ target2]]="","",J18*(1+AN18)^(Table12[[#This Row],[NZ GHG year]]-2021))</f>
        <v/>
      </c>
    </row>
    <row r="19" spans="1:72" ht="15" x14ac:dyDescent="0.25">
      <c r="A19">
        <v>0</v>
      </c>
      <c r="B19">
        <v>0</v>
      </c>
      <c r="C19">
        <v>660</v>
      </c>
      <c r="D19">
        <v>171</v>
      </c>
      <c r="E19">
        <v>4</v>
      </c>
      <c r="F19" t="str">
        <f>'input site'!M19</f>
        <v>excl</v>
      </c>
      <c r="G19" s="31" t="s">
        <v>66</v>
      </c>
      <c r="H19" s="1" t="s">
        <v>67</v>
      </c>
      <c r="I19" s="8">
        <v>0</v>
      </c>
      <c r="J19" s="32">
        <f>'input site'!AS19</f>
        <v>0.14020384999999999</v>
      </c>
      <c r="K19" s="32">
        <f>'input site'!BS19</f>
        <v>0.17288104759560013</v>
      </c>
      <c r="L19" s="32">
        <f t="shared" si="14"/>
        <v>0.17288104759560013</v>
      </c>
      <c r="M19" s="32">
        <f t="shared" si="15"/>
        <v>7.9466082710639818E-2</v>
      </c>
      <c r="N19" s="32">
        <f>'input site'!EV19</f>
        <v>7.9466082710639818E-2</v>
      </c>
      <c r="O19" s="8"/>
      <c r="P19" s="8"/>
      <c r="Q19" s="32">
        <f t="shared" si="18"/>
        <v>3.652707586047581E-3</v>
      </c>
      <c r="R19" s="32">
        <f>'[5]input site'!CN19</f>
        <v>3.652707586047581E-3</v>
      </c>
      <c r="S19" s="33"/>
      <c r="T19" s="33" t="str">
        <f>Table12[[#This Row],[(Mt CO2 equivalent)]]</f>
        <v>Anguilla</v>
      </c>
      <c r="U19" s="35">
        <v>2100</v>
      </c>
      <c r="V19" s="35">
        <v>2100</v>
      </c>
      <c r="W19" s="32">
        <f>-IF('LUC NGHGI'!EC9="",MIN('LUC NGHGI'!DW9,0.1),MIN('LUC NGHGI'!EC9,0.1))</f>
        <v>0</v>
      </c>
      <c r="X19" s="32" t="str">
        <f>'LUC NGHGI'!EC9</f>
        <v/>
      </c>
      <c r="Y19" s="32" t="str">
        <f>'LUC NGHGI'!DY9</f>
        <v/>
      </c>
      <c r="Z19" s="32" t="str">
        <f>'LUC NGHGI'!DZ9</f>
        <v/>
      </c>
      <c r="AA19" s="32">
        <f>Table12[[#This Row],[2021 emissions]]</f>
        <v>0.14020384999999999</v>
      </c>
      <c r="AB19" s="32">
        <f>'LUC NGHGI'!DW9</f>
        <v>0</v>
      </c>
      <c r="AC19" s="32">
        <f>IF(F19="incl",Table12[[#This Row],[GHG emissions incl LULUCF]]-Table12[[#This Row],[LULUCF emis-sions in 20213]],Table12[[#This Row],[GHG emissions incl LULUCF]])</f>
        <v>0.14020384999999999</v>
      </c>
      <c r="AD19" s="32">
        <f>'input site'!BS19</f>
        <v>0.17288104759560013</v>
      </c>
      <c r="AE19" s="32" t="str">
        <f>'LUC NGHGI'!EH9</f>
        <v/>
      </c>
      <c r="AF19" s="32">
        <f>IF(F19="incl",Table12[[#This Row],[Current Policies 2030 incl LULUCF]]-Table12[[#This Row],[LULUCF CurPol 2030]],Table12[[#This Row],[Current Policies 2030 incl LULUCF]])</f>
        <v>0.17288104759560013</v>
      </c>
      <c r="AG19" s="32" t="str">
        <f>IF(Table12[[#This Row],[Net-zero target status]]&lt;=1,"",IF(Table12[[#This Row],[NZ GHG year]]="","",1000000000*(Table12[[#This Row],[residual LULUCF emissions in 2050]]-Table12[[#This Row],[GHG emissions excl LULUCF]])/(Table12[[#This Row],[NZ GHG year]]-2021)/Table12[[#This Row],[Population]]))</f>
        <v/>
      </c>
      <c r="AH19" s="32" t="str">
        <f>IF(Table12[[#This Row],[Peak revised]]="Yes",IF(Table12[[#This Row],[Net-zero target status]]&lt;=1,"",IF(Table12[[#This Row],[NZ GHG year]]="","",1000000000*(Table12[[#This Row],[residual LULUCF emissions in 2050]]-Table12[[#This Row],[GHG emissions excl LULUCF]])/(Table12[[#This Row],[NZ GHG year]]-2021)/Table12[[#This Row],[Population]])),"")</f>
        <v/>
      </c>
      <c r="AI19" s="32">
        <f>MAX(0,(1000000*(Table12[[#This Row],[Current Policies 2030 excl LULUCF]]/2+Table12[[#This Row],[GHG emissions excl LULUCF]]/2)/Table12[[#This Row],[Population]]-$AI$8)*10)*$AI$10</f>
        <v>-327.85586866579149</v>
      </c>
      <c r="AJ1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 s="32" t="str">
        <f>IF(Table12[[#This Row],[Formule no Peak (2)]]="","",Table12[[#This Row],[Penalty (1)]]+Table12[[#This Row],[Formule no Peak (2)]])</f>
        <v/>
      </c>
      <c r="AL19" s="313">
        <f>(Table12[[#This Row],[Current Policies 2030 excl LULUCF]]-Table12[[#This Row],[GHG emissions excl LULUCF]])/(2030-2021)/Table12[[#This Row],[GHG emissions excl LULUCF]]</f>
        <v>2.5896576540832942E-2</v>
      </c>
      <c r="AM19" s="313" t="str">
        <f>IF(Table12[[#This Row],[Net-zero target status]]&lt;=1,"",IF(Table12[[#This Row],[NZ GHG year]]="","",(Table12[[#This Row],[residual LULUCF emissions in 2050]]-Table12[[#This Row],[Current Policies 2030 excl LULUCF]])/(Table12[[#This Row],[NZ GHG year]]-2030)/Table12[[#This Row],[Current Policies 2030 excl LULUCF]]))</f>
        <v/>
      </c>
      <c r="AN19" s="34" t="str">
        <f>IF(Table12[[#This Row],[Net-zero target status]]&lt;=1,"",IF(Table12[[#This Row],[NZ GHG year]]="","",(Table12[[#This Row],[residual LULUCF emissions in 2050]]-Table12[[#This Row],[GHG emissions excl LULUCF]])/(Table12[[#This Row],[NZ GHG year]]-2021)/Table12[[#This Row],[GHG emissions excl LULUCF]]))</f>
        <v/>
      </c>
      <c r="AO19" s="34" t="str">
        <f>IF(Table12[[#This Row],[Net-zero target status]]&lt;=1,"",IF(Table12[[#This Row],[NZ GHG year]]="","",(Table12[[#This Row],[residual LULUCF emissions in 2050]]-Table12[[#This Row],[2030 conditional NDCs]])/(Table12[[#This Row],[NZ GHG year]]-2030)/Table12[[#This Row],[2030 conditional NDCs]]))</f>
        <v/>
      </c>
      <c r="AP19" s="96">
        <f>MAX('input site'!AH19:AS19)</f>
        <v>0.15875563000000001</v>
      </c>
      <c r="AQ19" s="95" t="str">
        <f>IF(Table12[[#This Row],[Current Policies 2030 incl LULUCF]]&gt;Table12[[#This Row],[Maximum inventory data]],"No","Yes")</f>
        <v>No</v>
      </c>
      <c r="AR19" s="34" t="str">
        <f>IF(Table12[[#This Row],[Net-zero target status]]&gt;=1.5,Table12[[#This Row],[residual LULUCF emissions in 2050]]/Table12[[#This Row],[GHG emissions excl LULUCF]],"")</f>
        <v/>
      </c>
      <c r="AS19" s="74"/>
      <c r="AT19" s="74"/>
      <c r="AU19" s="74"/>
      <c r="AV19" s="75"/>
      <c r="AW19" s="74" t="str">
        <f>IF(Table12[[#This Row],[2030 unconditional NDCs]]="","",IF(F19="incl",Table12[[#This Row],[2030 unconditional NDCs]]-Table12[[#This Row],[LULUCF NDC uncond]],Table12[[#This Row],[2030 unconditional NDCs]]))</f>
        <v/>
      </c>
      <c r="AX19" s="74" t="str">
        <f>IF(Table12[[#This Row],[2030 unconditional NDCs2]]="","",IF(F19="incl",Table12[[#This Row],[2030 unconditional NDCs2]]-Table12[[#This Row],[LULUCF NDC uncond]],Table12[[#This Row],[2030 unconditional NDCs2]]))</f>
        <v/>
      </c>
      <c r="AY19" s="74" t="str">
        <f>IF(Table12[[#This Row],[2030 conditional NDCs]]="","",IF(F19="incl",Table12[[#This Row],[2030 conditional NDCs]]-Table12[[#This Row],[LULUCF NDC cond]],Table12[[#This Row],[2030 conditional NDCs]]))</f>
        <v/>
      </c>
      <c r="AZ19" s="74" t="str">
        <f>IF(Table12[[#This Row],[2030 conditional NDCs2]]="","",IF(F19="incl",Table12[[#This Row],[2030 conditional NDCs2]]-Table12[[#This Row],[LULUCF NDC cond]],Table12[[#This Row],[2030 conditional NDCs2]]))</f>
        <v/>
      </c>
      <c r="BA19" s="8">
        <f>VLOOKUP($G19,'Population90 20'!$C$6:$AU$231,37,FALSE)</f>
        <v>15230</v>
      </c>
      <c r="BB19" s="8">
        <f>VLOOKUP($G19,'Overview GDP (PPP)'!$C$6:$AI$231,33,FALSE)</f>
        <v>338269.13163411251</v>
      </c>
      <c r="BC19" s="36">
        <f>Table12[[#This Row],[Income]]/Table12[[#This Row],[Population]]</f>
        <v>22.210711203815659</v>
      </c>
      <c r="BD19" s="36">
        <f>Table12[[#This Row],[GHG emissions excl LULUCF]]*1000000/Table12[[#This Row],[Population]]</f>
        <v>9.2057682206172018</v>
      </c>
      <c r="BE19" s="23" t="e">
        <f>VLOOKUP($G19,EGR2023_MASTER!$B$4:$S$38,14,FALSE)</f>
        <v>#N/A</v>
      </c>
      <c r="BF19" s="23" t="e">
        <f>VLOOKUP($G19,EGR2023_MASTER!$B$4:$S$38,15,FALSE)</f>
        <v>#N/A</v>
      </c>
      <c r="BG19" s="23" t="e">
        <f>VLOOKUP($G19,EGR2023_MASTER!$B$4:$S$38,16,FALSE)</f>
        <v>#N/A</v>
      </c>
      <c r="BH19" s="23" t="e">
        <f t="shared" si="16"/>
        <v>#N/A</v>
      </c>
      <c r="BI19" s="23" t="e">
        <f t="shared" si="17"/>
        <v>#N/A</v>
      </c>
      <c r="BJ19" s="552">
        <f>(Table12[[#This Row],[Current Policies 2030 excl LULUCF]]/Table12[[#This Row],[GHG emissions excl LULUCF]])^(1/(2030-2021))-1</f>
        <v>2.3551540411518301E-2</v>
      </c>
      <c r="BK19" s="552" t="str">
        <f>IF(Table12[[#This Row],[Net-zero target status]]&lt;=1,"",IF(Table12[[#This Row],[NZ GHG year]]="","",((MAX(Table12[[#This Row],[residual LULUCF emissions in 2050]],0.1)/Table12[[#This Row],[Current Policies 2030 excl LULUCF]])^(1/(Table12[[#This Row],[NZ GHG year]]-2021))-1)))</f>
        <v/>
      </c>
      <c r="BL19" s="552" t="str">
        <f>IF(Table12[[#This Row],[Net-zero target status]]&lt;=1,"",IF(Table12[[#This Row],[NZ GHG year]]="","",((MAX(Table12[[#This Row],[residual LULUCF emissions in 2050]],0.1)/Table12[[#This Row],[GHG emissions excl LULUCF]])^(1/(Table12[[#This Row],[NZ GHG year]]-2021))-1)))</f>
        <v/>
      </c>
      <c r="BM19" s="552" t="str">
        <f>IF(Table12[[#This Row],[Net-zero target status]]&lt;=1,"",IF(Table12[[#This Row],[NZ GHG year]]="","",((MAX(Table12[[#This Row],[residual LULUCF emissions in 2050]],0.1)/AVERAGE(Table12[[#This Row],[2030 conditional NDCs]:[2030 conditional NDCs2]]))^(1/(Table12[[#This Row],[NZ GHG year]]-2021))-1)))</f>
        <v/>
      </c>
      <c r="BN19" s="23"/>
      <c r="BO19" s="23"/>
      <c r="BP19" s="23"/>
      <c r="BQ19" s="23"/>
      <c r="BR19" s="50" t="s">
        <v>67</v>
      </c>
      <c r="BT19" s="30" t="str">
        <f>IF(Table12[[#This Row],[Reduction rate 2021 to NZ target2]]="","",J19*(1+AN19)^(Table12[[#This Row],[NZ GHG year]]-2021))</f>
        <v/>
      </c>
    </row>
    <row r="20" spans="1:72" ht="15" x14ac:dyDescent="0.25">
      <c r="A20">
        <v>1</v>
      </c>
      <c r="B20">
        <v>1</v>
      </c>
      <c r="C20">
        <v>32</v>
      </c>
      <c r="D20">
        <v>8</v>
      </c>
      <c r="E20">
        <v>6</v>
      </c>
      <c r="F20" t="str">
        <f>'input site'!M20</f>
        <v>incl</v>
      </c>
      <c r="G20" s="31" t="s">
        <v>68</v>
      </c>
      <c r="H20" s="1" t="s">
        <v>69</v>
      </c>
      <c r="I20" s="8">
        <f>VLOOKUP($G20,'NZT data'!$B$3:$C$200,2,FALSE)</f>
        <v>3</v>
      </c>
      <c r="J20" s="32">
        <f>'input site'!AS20</f>
        <v>365.87595709999999</v>
      </c>
      <c r="K20" s="32">
        <f>'input site'!BS20</f>
        <v>376.10160839999998</v>
      </c>
      <c r="L20" s="32">
        <f t="shared" si="14"/>
        <v>0</v>
      </c>
      <c r="M20" s="32">
        <f t="shared" si="15"/>
        <v>0</v>
      </c>
      <c r="N20" s="32">
        <f>'input site'!EV20</f>
        <v>239.92365001114101</v>
      </c>
      <c r="O20" s="8">
        <v>0</v>
      </c>
      <c r="P20" s="36">
        <f>O20-N20</f>
        <v>-239.92365001114101</v>
      </c>
      <c r="Q20" s="32">
        <f t="shared" si="18"/>
        <v>0</v>
      </c>
      <c r="R20" s="32">
        <f>'input site'!EZ20</f>
        <v>141.94513510780868</v>
      </c>
      <c r="S20" s="33" t="str">
        <f>'input site'!FA20</f>
        <v>2050, same value as Climate Resource</v>
      </c>
      <c r="T20" s="33" t="str">
        <f>Table12[[#This Row],[(Mt CO2 equivalent)]]</f>
        <v>Argentina</v>
      </c>
      <c r="U20" s="8">
        <f>VLOOKUP($G20,'NZT data'!$B$3:$F$200,4,FALSE)</f>
        <v>2050</v>
      </c>
      <c r="V20" s="32">
        <f>VLOOKUP($G20,'NZT data'!$B$3:$F$200,5,FALSE)</f>
        <v>2050</v>
      </c>
      <c r="W20" s="32">
        <f>-IF('LUC NGHGI'!EC10="",MIN('LUC NGHGI'!DW10,0.1),MIN('LUC NGHGI'!EC10,0.1))</f>
        <v>26.650089999999992</v>
      </c>
      <c r="X20" s="32">
        <f>'LUC NGHGI'!EC10</f>
        <v>-26.650089999999992</v>
      </c>
      <c r="Y20" s="32">
        <f>'LUC NGHGI'!DY10</f>
        <v>-26.650089999999992</v>
      </c>
      <c r="Z20" s="32">
        <f>'LUC NGHGI'!DZ10</f>
        <v>-42.56</v>
      </c>
      <c r="AA20" s="32">
        <f>Table12[[#This Row],[2021 emissions]]</f>
        <v>365.87595709999999</v>
      </c>
      <c r="AB20" s="32">
        <f>'LUC NGHGI'!DW10</f>
        <v>56.380224322580489</v>
      </c>
      <c r="AC20" s="32">
        <f>IF(F20="incl",Table12[[#This Row],[GHG emissions incl LULUCF]]-Table12[[#This Row],[LULUCF emis-sions in 20213]],Table12[[#This Row],[GHG emissions incl LULUCF]])</f>
        <v>309.49573277741951</v>
      </c>
      <c r="AD20" s="32">
        <f>'input site'!BS20</f>
        <v>376.10160839999998</v>
      </c>
      <c r="AE20" s="32">
        <f>'LUC NGHGI'!EH10</f>
        <v>-17.89451</v>
      </c>
      <c r="AF20" s="32">
        <f>IF(F20="incl",Table12[[#This Row],[Current Policies 2030 incl LULUCF]]-Table12[[#This Row],[LULUCF CurPol 2030]],Table12[[#This Row],[Current Policies 2030 incl LULUCF]])</f>
        <v>393.9961184</v>
      </c>
      <c r="AG20" s="32">
        <f>IF(Table12[[#This Row],[Net-zero target status]]&lt;=1,"",IF(Table12[[#This Row],[NZ GHG year]]="","",1000000000*(Table12[[#This Row],[residual LULUCF emissions in 2050]]-Table12[[#This Row],[GHG emissions excl LULUCF]])/(Table12[[#This Row],[NZ GHG year]]-2021)/Table12[[#This Row],[Population]]))</f>
        <v>-211.98105679722411</v>
      </c>
      <c r="AH20" s="32">
        <f>IF(Table12[[#This Row],[Peak revised]]="Yes",IF(Table12[[#This Row],[Net-zero target status]]&lt;=1,"",IF(Table12[[#This Row],[NZ GHG year]]="","",1000000000*(Table12[[#This Row],[residual LULUCF emissions in 2050]]-Table12[[#This Row],[GHG emissions excl LULUCF]])/(Table12[[#This Row],[NZ GHG year]]-2021)/Table12[[#This Row],[Population]])),"")</f>
        <v>-211.98105679722411</v>
      </c>
      <c r="AI20" s="32">
        <f>MAX(0,(1000000*(Table12[[#This Row],[Current Policies 2030 excl LULUCF]]/2+Table12[[#This Row],[GHG emissions excl LULUCF]]/2)/Table12[[#This Row],[Population]]-$AI$8)*10)*$AI$10</f>
        <v>-64.494972115789921</v>
      </c>
      <c r="AJ2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 s="32" t="str">
        <f>IF(Table12[[#This Row],[Formule no Peak (2)]]="","",Table12[[#This Row],[Penalty (1)]]+Table12[[#This Row],[Formule no Peak (2)]])</f>
        <v/>
      </c>
      <c r="AL20" s="313">
        <f>(Table12[[#This Row],[Current Policies 2030 excl LULUCF]]-Table12[[#This Row],[GHG emissions excl LULUCF]])/(2030-2021)/Table12[[#This Row],[GHG emissions excl LULUCF]]</f>
        <v>3.033622354526784E-2</v>
      </c>
      <c r="AM20" s="313">
        <f>IF(Table12[[#This Row],[Net-zero target status]]&lt;=1,"",IF(Table12[[#This Row],[NZ GHG year]]="","",(Table12[[#This Row],[residual LULUCF emissions in 2050]]-Table12[[#This Row],[Current Policies 2030 excl LULUCF]])/(Table12[[#This Row],[NZ GHG year]]-2030)/Table12[[#This Row],[Current Policies 2030 excl LULUCF]]))</f>
        <v>-4.661797556429937E-2</v>
      </c>
      <c r="AN20" s="313">
        <f>IF(Table12[[#This Row],[Net-zero target status]]&lt;=1,"",IF(Table12[[#This Row],[NZ GHG year]]="","",(Table12[[#This Row],[residual LULUCF emissions in 2050]]-Table12[[#This Row],[GHG emissions excl LULUCF]])/(Table12[[#This Row],[NZ GHG year]]-2021)/Table12[[#This Row],[GHG emissions excl LULUCF]]))</f>
        <v>-3.1513513738239046E-2</v>
      </c>
      <c r="AO20" s="313">
        <f>IF(Table12[[#This Row],[Net-zero target status]]&lt;=1,"",IF(Table12[[#This Row],[NZ GHG year]]="","",(Table12[[#This Row],[residual LULUCF emissions in 2050]]-Table12[[#This Row],[2030 conditional NDCs]])/(Table12[[#This Row],[NZ GHG year]]-2030)/Table12[[#This Row],[2030 conditional NDCs]]))</f>
        <v>-4.6181935530085962E-2</v>
      </c>
      <c r="AP20" s="96">
        <f>MAX('input site'!AH20:AS20)</f>
        <v>418.05176180000001</v>
      </c>
      <c r="AQ20" s="95" t="str">
        <f>IF(Table12[[#This Row],[Current Policies 2030 incl LULUCF]]&gt;Table12[[#This Row],[Maximum inventory data]],"No","Yes")</f>
        <v>Yes</v>
      </c>
      <c r="AR20" s="34">
        <f>IF(Table12[[#This Row],[Net-zero target status]]&gt;=1.5,Table12[[#This Row],[residual LULUCF emissions in 2050]]/Table12[[#This Row],[GHG emissions excl LULUCF]],"")</f>
        <v>8.6108101591067743E-2</v>
      </c>
      <c r="AS20" s="78">
        <f>'input site'!BE20</f>
        <v>349</v>
      </c>
      <c r="AT20" s="78">
        <f>'input site'!BF20</f>
        <v>349</v>
      </c>
      <c r="AU20" s="78">
        <f>'input site'!BG20</f>
        <v>349</v>
      </c>
      <c r="AV20" s="79">
        <f>'input site'!BH20</f>
        <v>349</v>
      </c>
      <c r="AW20" s="74">
        <f>IF(Table12[[#This Row],[2030 unconditional NDCs]]="","",IF(F20="incl",Table12[[#This Row],[2030 unconditional NDCs]]-Table12[[#This Row],[LULUCF NDC uncond]],Table12[[#This Row],[2030 unconditional NDCs]]))</f>
        <v>375.65008999999998</v>
      </c>
      <c r="AX20" s="74">
        <f>IF(Table12[[#This Row],[2030 unconditional NDCs2]]="","",IF(F20="incl",Table12[[#This Row],[2030 unconditional NDCs2]]-Table12[[#This Row],[LULUCF NDC uncond]],Table12[[#This Row],[2030 unconditional NDCs2]]))</f>
        <v>375.65008999999998</v>
      </c>
      <c r="AY20" s="74">
        <f>IF(Table12[[#This Row],[2030 conditional NDCs]]="","",IF(F20="incl",Table12[[#This Row],[2030 conditional NDCs]]-Table12[[#This Row],[LULUCF NDC cond]],Table12[[#This Row],[2030 conditional NDCs]]))</f>
        <v>391.56</v>
      </c>
      <c r="AZ20" s="74">
        <f>IF(Table12[[#This Row],[2030 conditional NDCs2]]="","",IF(F20="incl",Table12[[#This Row],[2030 conditional NDCs2]]-Table12[[#This Row],[LULUCF NDC cond]],Table12[[#This Row],[2030 conditional NDCs2]]))</f>
        <v>391.56</v>
      </c>
      <c r="BA20" s="8">
        <f>VLOOKUP($G20,'Population90 20'!$C$6:$AU$231,37,FALSE)</f>
        <v>46010234</v>
      </c>
      <c r="BB20" s="8">
        <f>VLOOKUP($G20,'Overview GDP (PPP)'!$C$6:$AI$231,33,FALSE)</f>
        <v>813452664.82909727</v>
      </c>
      <c r="BC20" s="36">
        <f>Table12[[#This Row],[Income]]/Table12[[#This Row],[Population]]</f>
        <v>17.679820207588975</v>
      </c>
      <c r="BD20" s="36">
        <f>Table12[[#This Row],[GHG emissions excl LULUCF]]*1000000/Table12[[#This Row],[Population]]</f>
        <v>6.7266715656655762</v>
      </c>
      <c r="BE20" s="23" t="str">
        <f>VLOOKUP($G20,EGR2023_MASTER!$B$4:$S$38,14,FALSE)</f>
        <v>N</v>
      </c>
      <c r="BF20" s="23" t="str">
        <f>VLOOKUP($G20,EGR2023_MASTER!$B$4:$S$38,15,FALSE)</f>
        <v>Weaker</v>
      </c>
      <c r="BG20" s="23" t="str">
        <f>VLOOKUP($G20,EGR2023_MASTER!$B$4:$S$38,16,FALSE)</f>
        <v>n</v>
      </c>
      <c r="BH20" s="558" t="str">
        <f t="shared" si="16"/>
        <v>much lower</v>
      </c>
      <c r="BI20" s="558" t="str">
        <f t="shared" si="17"/>
        <v>weak</v>
      </c>
      <c r="BJ20" s="552">
        <f>(Table12[[#This Row],[Current Policies 2030 excl LULUCF]]/Table12[[#This Row],[GHG emissions excl LULUCF]])^(1/(2030-2021))-1</f>
        <v>2.718480523733624E-2</v>
      </c>
      <c r="BK20" s="552">
        <f>IF(Table12[[#This Row],[Net-zero target status]]&lt;=1,"",IF(Table12[[#This Row],[NZ GHG year]]="","",((MAX(Table12[[#This Row],[residual LULUCF emissions in 2050]],0.1)/Table12[[#This Row],[Current Policies 2030 excl LULUCF]])^(1/(Table12[[#This Row],[NZ GHG year]]-2021))-1)))</f>
        <v>-8.8698046448316026E-2</v>
      </c>
      <c r="BL20" s="552">
        <f>IF(Table12[[#This Row],[Net-zero target status]]&lt;=1,"",IF(Table12[[#This Row],[NZ GHG year]]="","",((MAX(Table12[[#This Row],[residual LULUCF emissions in 2050]],0.1)/Table12[[#This Row],[GHG emissions excl LULUCF]])^(1/(Table12[[#This Row],[NZ GHG year]]-2021))-1)))</f>
        <v>-8.108068575659344E-2</v>
      </c>
      <c r="BM20" s="552">
        <f>IF(Table12[[#This Row],[Net-zero target status]]&lt;=1,"",IF(Table12[[#This Row],[NZ GHG year]]="","",((MAX(Table12[[#This Row],[residual LULUCF emissions in 2050]],0.1)/AVERAGE(Table12[[#This Row],[2030 conditional NDCs]:[2030 conditional NDCs2]]))^(1/(Table12[[#This Row],[NZ GHG year]]-2021))-1)))</f>
        <v>-8.487928135625733E-2</v>
      </c>
      <c r="BN20" s="23"/>
      <c r="BO20" s="23"/>
      <c r="BP20" s="23"/>
      <c r="BQ20" s="23"/>
      <c r="BR20" s="50" t="s">
        <v>69</v>
      </c>
      <c r="BT20" s="30">
        <f>IF(Table12[[#This Row],[Reduction rate 2021 to NZ target2]]="","",J20*(1+AN20)^(Table12[[#This Row],[NZ GHG year]]-2021))</f>
        <v>144.55970787160626</v>
      </c>
    </row>
    <row r="21" spans="1:72" ht="15" x14ac:dyDescent="0.25">
      <c r="A21">
        <v>0</v>
      </c>
      <c r="B21">
        <v>0</v>
      </c>
      <c r="C21">
        <v>51</v>
      </c>
      <c r="D21">
        <v>14</v>
      </c>
      <c r="E21">
        <v>16</v>
      </c>
      <c r="F21" t="str">
        <f>'input site'!M21</f>
        <v>excl</v>
      </c>
      <c r="G21" s="31" t="s">
        <v>70</v>
      </c>
      <c r="H21" s="1" t="s">
        <v>71</v>
      </c>
      <c r="I21" s="8">
        <f>VLOOKUP($G21,'NZT data'!$B$3:$C$200,2,FALSE)</f>
        <v>1</v>
      </c>
      <c r="J21" s="32">
        <f>'input site'!AS21</f>
        <v>12.227112</v>
      </c>
      <c r="K21" s="32">
        <f>'input site'!BS21</f>
        <v>11.53779332782992</v>
      </c>
      <c r="L21" s="32">
        <f t="shared" si="14"/>
        <v>0</v>
      </c>
      <c r="M21" s="32">
        <f t="shared" si="15"/>
        <v>0</v>
      </c>
      <c r="N21" s="32">
        <f>'input site'!EV21</f>
        <v>1.9630305509142374</v>
      </c>
      <c r="O21" s="8">
        <v>0</v>
      </c>
      <c r="P21" s="36">
        <f>O21-N21</f>
        <v>-1.9630305509142374</v>
      </c>
      <c r="Q21" s="32">
        <f t="shared" si="18"/>
        <v>0</v>
      </c>
      <c r="R21" s="32">
        <f>'input site'!EZ21</f>
        <v>1.8656997561937811</v>
      </c>
      <c r="S21" s="33">
        <f>'input site'!FA21</f>
        <v>2050</v>
      </c>
      <c r="T21" s="33" t="str">
        <f>Table12[[#This Row],[(Mt CO2 equivalent)]]</f>
        <v>Armenia</v>
      </c>
      <c r="U21" s="8">
        <f>VLOOKUP($G21,'NZT data'!$B$3:$F$200,4,FALSE)</f>
        <v>2110</v>
      </c>
      <c r="V21" s="32">
        <f>VLOOKUP($G21,'NZT data'!$B$3:$F$200,5,FALSE)</f>
        <v>2110</v>
      </c>
      <c r="W21" s="32">
        <f>-IF('LUC NGHGI'!EC11="",MIN('LUC NGHGI'!DW11,0.1),MIN('LUC NGHGI'!EC11,0.1))</f>
        <v>0.50971338259441712</v>
      </c>
      <c r="X21" s="32">
        <f>'LUC NGHGI'!EC11</f>
        <v>-0.50971338259441712</v>
      </c>
      <c r="Y21" s="32">
        <f>'LUC NGHGI'!DY11</f>
        <v>-1.5097133825944171</v>
      </c>
      <c r="Z21" s="32">
        <f>'LUC NGHGI'!DZ11</f>
        <v>-1.5097133825944171</v>
      </c>
      <c r="AA21" s="32">
        <f>Table12[[#This Row],[2021 emissions]]</f>
        <v>12.227112</v>
      </c>
      <c r="AB21" s="32">
        <f>'LUC NGHGI'!DW11</f>
        <v>-0.50839666119321292</v>
      </c>
      <c r="AC21" s="32">
        <f>IF(F21="incl",Table12[[#This Row],[GHG emissions incl LULUCF]]-Table12[[#This Row],[LULUCF emis-sions in 20213]],Table12[[#This Row],[GHG emissions incl LULUCF]])</f>
        <v>12.227112</v>
      </c>
      <c r="AD21" s="32">
        <f>'input site'!BS21</f>
        <v>11.53779332782992</v>
      </c>
      <c r="AE21" s="32">
        <f>'LUC NGHGI'!EH11</f>
        <v>-0.67899388067232835</v>
      </c>
      <c r="AF21" s="32">
        <f>IF(F21="incl",Table12[[#This Row],[Current Policies 2030 incl LULUCF]]-Table12[[#This Row],[LULUCF CurPol 2030]],Table12[[#This Row],[Current Policies 2030 incl LULUCF]])</f>
        <v>11.53779332782992</v>
      </c>
      <c r="AG21" s="32" t="str">
        <f>IF(Table12[[#This Row],[Net-zero target status]]&lt;=1,"",IF(Table12[[#This Row],[NZ GHG year]]="","",1000000000*(Table12[[#This Row],[residual LULUCF emissions in 2050]]-Table12[[#This Row],[GHG emissions excl LULUCF]])/(Table12[[#This Row],[NZ GHG year]]-2021)/Table12[[#This Row],[Population]]))</f>
        <v/>
      </c>
      <c r="AH21" s="32" t="str">
        <f>IF(Table12[[#This Row],[Peak revised]]="Yes",IF(Table12[[#This Row],[Net-zero target status]]&lt;=1,"",IF(Table12[[#This Row],[NZ GHG year]]="","",1000000000*(Table12[[#This Row],[residual LULUCF emissions in 2050]]-Table12[[#This Row],[GHG emissions excl LULUCF]])/(Table12[[#This Row],[NZ GHG year]]-2021)/Table12[[#This Row],[Population]])),"")</f>
        <v/>
      </c>
      <c r="AI21" s="32">
        <f>MAX(0,(1000000*(Table12[[#This Row],[Current Policies 2030 excl LULUCF]]/2+Table12[[#This Row],[GHG emissions excl LULUCF]]/2)/Table12[[#This Row],[Population]]-$AI$8)*10)*$AI$10</f>
        <v>0</v>
      </c>
      <c r="AJ2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 s="32" t="str">
        <f>IF(Table12[[#This Row],[Formule no Peak (2)]]="","",Table12[[#This Row],[Penalty (1)]]+Table12[[#This Row],[Formule no Peak (2)]])</f>
        <v/>
      </c>
      <c r="AL21" s="313">
        <f>(Table12[[#This Row],[Current Policies 2030 excl LULUCF]]-Table12[[#This Row],[GHG emissions excl LULUCF]])/(2030-2021)/Table12[[#This Row],[GHG emissions excl LULUCF]]</f>
        <v>-6.2640273168719889E-3</v>
      </c>
      <c r="AM21" s="313" t="str">
        <f>IF(Table12[[#This Row],[Net-zero target status]]&lt;=1,"",IF(Table12[[#This Row],[NZ GHG year]]="","",(Table12[[#This Row],[residual LULUCF emissions in 2050]]-Table12[[#This Row],[Current Policies 2030 excl LULUCF]])/(Table12[[#This Row],[NZ GHG year]]-2030)/Table12[[#This Row],[Current Policies 2030 excl LULUCF]]))</f>
        <v/>
      </c>
      <c r="AN21" s="313" t="str">
        <f>IF(Table12[[#This Row],[Net-zero target status]]&lt;=1,"",IF(Table12[[#This Row],[NZ GHG year]]="","",(Table12[[#This Row],[residual LULUCF emissions in 2050]]-Table12[[#This Row],[GHG emissions excl LULUCF]])/(Table12[[#This Row],[NZ GHG year]]-2021)/Table12[[#This Row],[GHG emissions excl LULUCF]]))</f>
        <v/>
      </c>
      <c r="AO21" s="313" t="str">
        <f>IF(Table12[[#This Row],[Net-zero target status]]&lt;=1,"",IF(Table12[[#This Row],[NZ GHG year]]="","",(Table12[[#This Row],[residual LULUCF emissions in 2050]]-Table12[[#This Row],[2030 conditional NDCs]])/(Table12[[#This Row],[NZ GHG year]]-2030)/Table12[[#This Row],[2030 conditional NDCs]]))</f>
        <v/>
      </c>
      <c r="AP21" s="96">
        <f>MAX('input site'!AH21:AS21)</f>
        <v>12.227112</v>
      </c>
      <c r="AQ21" s="95" t="str">
        <f>IF(Table12[[#This Row],[Current Policies 2030 incl LULUCF]]&gt;Table12[[#This Row],[Maximum inventory data]],"No","Yes")</f>
        <v>Yes</v>
      </c>
      <c r="AR21" s="34" t="str">
        <f>IF(Table12[[#This Row],[Net-zero target status]]&gt;=1.5,Table12[[#This Row],[residual LULUCF emissions in 2050]]/Table12[[#This Row],[GHG emissions excl LULUCF]],"")</f>
        <v/>
      </c>
      <c r="AS21" s="74"/>
      <c r="AT21" s="74"/>
      <c r="AU21" s="74"/>
      <c r="AV21" s="75"/>
      <c r="AW21" s="74" t="str">
        <f>IF(Table12[[#This Row],[2030 unconditional NDCs]]="","",IF(F21="incl",Table12[[#This Row],[2030 unconditional NDCs]]-Table12[[#This Row],[LULUCF NDC uncond]],Table12[[#This Row],[2030 unconditional NDCs]]))</f>
        <v/>
      </c>
      <c r="AX21" s="74" t="str">
        <f>IF(Table12[[#This Row],[2030 unconditional NDCs2]]="","",IF(F21="incl",Table12[[#This Row],[2030 unconditional NDCs2]]-Table12[[#This Row],[LULUCF NDC uncond]],Table12[[#This Row],[2030 unconditional NDCs2]]))</f>
        <v/>
      </c>
      <c r="AY21" s="74" t="str">
        <f>IF(Table12[[#This Row],[2030 conditional NDCs]]="","",IF(F21="incl",Table12[[#This Row],[2030 conditional NDCs]]-Table12[[#This Row],[LULUCF NDC cond]],Table12[[#This Row],[2030 conditional NDCs]]))</f>
        <v/>
      </c>
      <c r="AZ21" s="74" t="str">
        <f>IF(Table12[[#This Row],[2030 conditional NDCs2]]="","",IF(F21="incl",Table12[[#This Row],[2030 conditional NDCs2]]-Table12[[#This Row],[LULUCF NDC cond]],Table12[[#This Row],[2030 conditional NDCs2]]))</f>
        <v/>
      </c>
      <c r="BA21" s="8">
        <f>VLOOKUP($G21,'Population90 20'!$C$6:$AU$231,37,FALSE)</f>
        <v>2971966</v>
      </c>
      <c r="BB21" s="8">
        <f>VLOOKUP($G21,'Overview GDP (PPP)'!$C$6:$AI$231,33,FALSE)</f>
        <v>27090644.942991573</v>
      </c>
      <c r="BC21" s="36">
        <f>Table12[[#This Row],[Income]]/Table12[[#This Row],[Population]]</f>
        <v>9.1153953117201123</v>
      </c>
      <c r="BD21" s="36">
        <f>Table12[[#This Row],[GHG emissions excl LULUCF]]*1000000/Table12[[#This Row],[Population]]</f>
        <v>4.1141493543331249</v>
      </c>
      <c r="BE21" s="23" t="e">
        <f>VLOOKUP($G21,EGR2023_MASTER!$B$4:$S$38,14,FALSE)</f>
        <v>#N/A</v>
      </c>
      <c r="BF21" s="23" t="e">
        <f>VLOOKUP($G21,EGR2023_MASTER!$B$4:$S$38,15,FALSE)</f>
        <v>#N/A</v>
      </c>
      <c r="BG21" s="23" t="e">
        <f>VLOOKUP($G21,EGR2023_MASTER!$B$4:$S$38,16,FALSE)</f>
        <v>#N/A</v>
      </c>
      <c r="BH21" s="23" t="e">
        <f t="shared" si="16"/>
        <v>#N/A</v>
      </c>
      <c r="BI21" s="23" t="e">
        <f t="shared" si="17"/>
        <v>#N/A</v>
      </c>
      <c r="BJ21" s="552">
        <f>(Table12[[#This Row],[Current Policies 2030 excl LULUCF]]/Table12[[#This Row],[GHG emissions excl LULUCF]])^(1/(2030-2021))-1</f>
        <v>-6.4267879316852738E-3</v>
      </c>
      <c r="BK21" s="552" t="str">
        <f>IF(Table12[[#This Row],[Net-zero target status]]&lt;=1,"",IF(Table12[[#This Row],[NZ GHG year]]="","",((MAX(Table12[[#This Row],[residual LULUCF emissions in 2050]],0.1)/Table12[[#This Row],[Current Policies 2030 excl LULUCF]])^(1/(Table12[[#This Row],[NZ GHG year]]-2021))-1)))</f>
        <v/>
      </c>
      <c r="BL21" s="552" t="str">
        <f>IF(Table12[[#This Row],[Net-zero target status]]&lt;=1,"",IF(Table12[[#This Row],[NZ GHG year]]="","",((MAX(Table12[[#This Row],[residual LULUCF emissions in 2050]],0.1)/Table12[[#This Row],[GHG emissions excl LULUCF]])^(1/(Table12[[#This Row],[NZ GHG year]]-2021))-1)))</f>
        <v/>
      </c>
      <c r="BM21" s="552" t="str">
        <f>IF(Table12[[#This Row],[Net-zero target status]]&lt;=1,"",IF(Table12[[#This Row],[NZ GHG year]]="","",((MAX(Table12[[#This Row],[residual LULUCF emissions in 2050]],0.1)/AVERAGE(Table12[[#This Row],[2030 conditional NDCs]:[2030 conditional NDCs2]]))^(1/(Table12[[#This Row],[NZ GHG year]]-2021))-1)))</f>
        <v/>
      </c>
      <c r="BN21" s="23"/>
      <c r="BO21" s="23"/>
      <c r="BP21" s="23"/>
      <c r="BQ21" s="23"/>
      <c r="BR21" s="50" t="s">
        <v>71</v>
      </c>
      <c r="BT21" s="30" t="str">
        <f>IF(Table12[[#This Row],[Reduction rate 2021 to NZ target2]]="","",J21*(1+AN21)^(Table12[[#This Row],[NZ GHG year]]-2021))</f>
        <v/>
      </c>
    </row>
    <row r="22" spans="1:72" ht="15" x14ac:dyDescent="0.25">
      <c r="A22">
        <v>0</v>
      </c>
      <c r="B22">
        <v>0</v>
      </c>
      <c r="C22">
        <v>533</v>
      </c>
      <c r="D22">
        <v>139</v>
      </c>
      <c r="E22">
        <v>4</v>
      </c>
      <c r="F22" t="str">
        <f>'input site'!M22</f>
        <v>excl</v>
      </c>
      <c r="G22" s="31" t="s">
        <v>72</v>
      </c>
      <c r="H22" s="1" t="s">
        <v>73</v>
      </c>
      <c r="I22" s="8">
        <v>0</v>
      </c>
      <c r="J22" s="32">
        <f>'input site'!AS22</f>
        <v>0.94354414999999991</v>
      </c>
      <c r="K22" s="32">
        <f>'input site'!BS22</f>
        <v>1.1634552197011714</v>
      </c>
      <c r="L22" s="32">
        <f t="shared" si="14"/>
        <v>1.1634552197011714</v>
      </c>
      <c r="M22" s="32">
        <f t="shared" si="15"/>
        <v>0.53389806412437824</v>
      </c>
      <c r="N22" s="32">
        <f>'input site'!EV22</f>
        <v>0.53389806412437824</v>
      </c>
      <c r="O22" s="8"/>
      <c r="P22" s="8"/>
      <c r="Q22" s="32">
        <f t="shared" si="18"/>
        <v>0.10858440344864778</v>
      </c>
      <c r="R22" s="32">
        <f>'input site'!EZ22</f>
        <v>0.10858440344864778</v>
      </c>
      <c r="S22" s="33">
        <f>'input site'!FA22</f>
        <v>0</v>
      </c>
      <c r="T22" s="33" t="str">
        <f>Table12[[#This Row],[(Mt CO2 equivalent)]]</f>
        <v>Aruba</v>
      </c>
      <c r="U22" s="35">
        <v>2100</v>
      </c>
      <c r="V22" s="35">
        <v>2100</v>
      </c>
      <c r="W22" s="32">
        <f>-IF('LUC NGHGI'!EC12="",MIN('LUC NGHGI'!DW12,0.1),MIN('LUC NGHGI'!EC12,0.1))</f>
        <v>0</v>
      </c>
      <c r="X22" s="32" t="str">
        <f>'LUC NGHGI'!EC12</f>
        <v/>
      </c>
      <c r="Y22" s="32" t="str">
        <f>'LUC NGHGI'!DY12</f>
        <v/>
      </c>
      <c r="Z22" s="32" t="str">
        <f>'LUC NGHGI'!DZ12</f>
        <v/>
      </c>
      <c r="AA22" s="32">
        <f>Table12[[#This Row],[2021 emissions]]</f>
        <v>0.94354414999999991</v>
      </c>
      <c r="AB22" s="32">
        <f>'LUC NGHGI'!DW12</f>
        <v>0</v>
      </c>
      <c r="AC22" s="32">
        <f>IF(F22="incl",Table12[[#This Row],[GHG emissions incl LULUCF]]-Table12[[#This Row],[LULUCF emis-sions in 20213]],Table12[[#This Row],[GHG emissions incl LULUCF]])</f>
        <v>0.94354414999999991</v>
      </c>
      <c r="AD22" s="32">
        <f>'input site'!BS22</f>
        <v>1.1634552197011714</v>
      </c>
      <c r="AE22" s="32">
        <f>'LUC NGHGI'!EH12</f>
        <v>0</v>
      </c>
      <c r="AF22" s="32">
        <f>IF(F22="incl",Table12[[#This Row],[Current Policies 2030 incl LULUCF]]-Table12[[#This Row],[LULUCF CurPol 2030]],Table12[[#This Row],[Current Policies 2030 incl LULUCF]])</f>
        <v>1.1634552197011714</v>
      </c>
      <c r="AG22" s="32" t="str">
        <f>IF(Table12[[#This Row],[Net-zero target status]]&lt;=1,"",IF(Table12[[#This Row],[NZ GHG year]]="","",1000000000*(Table12[[#This Row],[residual LULUCF emissions in 2050]]-Table12[[#This Row],[GHG emissions excl LULUCF]])/(Table12[[#This Row],[NZ GHG year]]-2021)/Table12[[#This Row],[Population]]))</f>
        <v/>
      </c>
      <c r="AH22" s="32" t="str">
        <f>IF(Table12[[#This Row],[Peak revised]]="Yes",IF(Table12[[#This Row],[Net-zero target status]]&lt;=1,"",IF(Table12[[#This Row],[NZ GHG year]]="","",1000000000*(Table12[[#This Row],[residual LULUCF emissions in 2050]]-Table12[[#This Row],[GHG emissions excl LULUCF]])/(Table12[[#This Row],[NZ GHG year]]-2021)/Table12[[#This Row],[Population]])),"")</f>
        <v/>
      </c>
      <c r="AI22" s="32">
        <f>MAX(0,(1000000*(Table12[[#This Row],[Current Policies 2030 excl LULUCF]]/2+Table12[[#This Row],[GHG emissions excl LULUCF]]/2)/Table12[[#This Row],[Population]]-$AI$8)*10)*$AI$10</f>
        <v>-279.0070392351808</v>
      </c>
      <c r="AJ2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 s="32" t="str">
        <f>IF(Table12[[#This Row],[Formule no Peak (2)]]="","",Table12[[#This Row],[Penalty (1)]]+Table12[[#This Row],[Formule no Peak (2)]])</f>
        <v/>
      </c>
      <c r="AL22" s="313">
        <f>(Table12[[#This Row],[Current Policies 2030 excl LULUCF]]-Table12[[#This Row],[GHG emissions excl LULUCF]])/(2030-2021)/Table12[[#This Row],[GHG emissions excl LULUCF]]</f>
        <v>2.5896576540832949E-2</v>
      </c>
      <c r="AM22" s="313" t="str">
        <f>IF(Table12[[#This Row],[Net-zero target status]]&lt;=1,"",IF(Table12[[#This Row],[NZ GHG year]]="","",(Table12[[#This Row],[residual LULUCF emissions in 2050]]-Table12[[#This Row],[Current Policies 2030 excl LULUCF]])/(Table12[[#This Row],[NZ GHG year]]-2030)/Table12[[#This Row],[Current Policies 2030 excl LULUCF]]))</f>
        <v/>
      </c>
      <c r="AN22" s="313" t="str">
        <f>IF(Table12[[#This Row],[Net-zero target status]]&lt;=1,"",IF(Table12[[#This Row],[NZ GHG year]]="","",(Table12[[#This Row],[residual LULUCF emissions in 2050]]-Table12[[#This Row],[GHG emissions excl LULUCF]])/(Table12[[#This Row],[NZ GHG year]]-2021)/Table12[[#This Row],[GHG emissions excl LULUCF]]))</f>
        <v/>
      </c>
      <c r="AO22" s="313" t="str">
        <f>IF(Table12[[#This Row],[Net-zero target status]]&lt;=1,"",IF(Table12[[#This Row],[NZ GHG year]]="","",(Table12[[#This Row],[residual LULUCF emissions in 2050]]-Table12[[#This Row],[2030 conditional NDCs]])/(Table12[[#This Row],[NZ GHG year]]-2030)/Table12[[#This Row],[2030 conditional NDCs]]))</f>
        <v/>
      </c>
      <c r="AP22" s="96">
        <f>MAX('input site'!AH22:AS22)</f>
        <v>2.5753925</v>
      </c>
      <c r="AQ22" s="95" t="str">
        <f>IF(Table12[[#This Row],[Current Policies 2030 incl LULUCF]]&gt;Table12[[#This Row],[Maximum inventory data]],"No","Yes")</f>
        <v>Yes</v>
      </c>
      <c r="AR22" s="34" t="str">
        <f>IF(Table12[[#This Row],[Net-zero target status]]&gt;=1.5,Table12[[#This Row],[residual LULUCF emissions in 2050]]/Table12[[#This Row],[GHG emissions excl LULUCF]],"")</f>
        <v/>
      </c>
      <c r="AS22" s="74"/>
      <c r="AT22" s="74"/>
      <c r="AU22" s="74"/>
      <c r="AV22" s="75"/>
      <c r="AW22" s="74" t="str">
        <f>IF(Table12[[#This Row],[2030 unconditional NDCs]]="","",IF(F22="incl",Table12[[#This Row],[2030 unconditional NDCs]]-Table12[[#This Row],[LULUCF NDC uncond]],Table12[[#This Row],[2030 unconditional NDCs]]))</f>
        <v/>
      </c>
      <c r="AX22" s="74" t="str">
        <f>IF(Table12[[#This Row],[2030 unconditional NDCs2]]="","",IF(F22="incl",Table12[[#This Row],[2030 unconditional NDCs2]]-Table12[[#This Row],[LULUCF NDC uncond]],Table12[[#This Row],[2030 unconditional NDCs2]]))</f>
        <v/>
      </c>
      <c r="AY22" s="74" t="str">
        <f>IF(Table12[[#This Row],[2030 conditional NDCs]]="","",IF(F22="incl",Table12[[#This Row],[2030 conditional NDCs]]-Table12[[#This Row],[LULUCF NDC cond]],Table12[[#This Row],[2030 conditional NDCs]]))</f>
        <v/>
      </c>
      <c r="AZ22" s="74" t="str">
        <f>IF(Table12[[#This Row],[2030 conditional NDCs2]]="","",IF(F22="incl",Table12[[#This Row],[2030 conditional NDCs2]]-Table12[[#This Row],[LULUCF NDC cond]],Table12[[#This Row],[2030 conditional NDCs2]]))</f>
        <v/>
      </c>
      <c r="BA22" s="8">
        <f>VLOOKUP($G22,'Population90 20'!$C$6:$AU$231,37,FALSE)</f>
        <v>107609</v>
      </c>
      <c r="BB22" s="8">
        <f>VLOOKUP($G22,'Overview GDP (PPP)'!$C$6:$AI$231,33,FALSE)</f>
        <v>3823960.7900769389</v>
      </c>
      <c r="BC22" s="36">
        <f>Table12[[#This Row],[Income]]/Table12[[#This Row],[Population]]</f>
        <v>35.535696736118162</v>
      </c>
      <c r="BD22" s="36">
        <f>Table12[[#This Row],[GHG emissions excl LULUCF]]*1000000/Table12[[#This Row],[Population]]</f>
        <v>8.7682642715757968</v>
      </c>
      <c r="BE22" s="23" t="e">
        <f>VLOOKUP($G22,EGR2023_MASTER!$B$4:$S$38,14,FALSE)</f>
        <v>#N/A</v>
      </c>
      <c r="BF22" s="23" t="e">
        <f>VLOOKUP($G22,EGR2023_MASTER!$B$4:$S$38,15,FALSE)</f>
        <v>#N/A</v>
      </c>
      <c r="BG22" s="23" t="e">
        <f>VLOOKUP($G22,EGR2023_MASTER!$B$4:$S$38,16,FALSE)</f>
        <v>#N/A</v>
      </c>
      <c r="BH22" s="23" t="e">
        <f t="shared" si="16"/>
        <v>#N/A</v>
      </c>
      <c r="BI22" s="23" t="e">
        <f t="shared" si="17"/>
        <v>#N/A</v>
      </c>
      <c r="BJ22" s="552">
        <f>(Table12[[#This Row],[Current Policies 2030 excl LULUCF]]/Table12[[#This Row],[GHG emissions excl LULUCF]])^(1/(2030-2021))-1</f>
        <v>2.3551540411518301E-2</v>
      </c>
      <c r="BK22" s="552" t="str">
        <f>IF(Table12[[#This Row],[Net-zero target status]]&lt;=1,"",IF(Table12[[#This Row],[NZ GHG year]]="","",((MAX(Table12[[#This Row],[residual LULUCF emissions in 2050]],0.1)/Table12[[#This Row],[Current Policies 2030 excl LULUCF]])^(1/(Table12[[#This Row],[NZ GHG year]]-2021))-1)))</f>
        <v/>
      </c>
      <c r="BL22" s="552" t="str">
        <f>IF(Table12[[#This Row],[Net-zero target status]]&lt;=1,"",IF(Table12[[#This Row],[NZ GHG year]]="","",((MAX(Table12[[#This Row],[residual LULUCF emissions in 2050]],0.1)/Table12[[#This Row],[GHG emissions excl LULUCF]])^(1/(Table12[[#This Row],[NZ GHG year]]-2021))-1)))</f>
        <v/>
      </c>
      <c r="BM22" s="552" t="str">
        <f>IF(Table12[[#This Row],[Net-zero target status]]&lt;=1,"",IF(Table12[[#This Row],[NZ GHG year]]="","",((MAX(Table12[[#This Row],[residual LULUCF emissions in 2050]],0.1)/AVERAGE(Table12[[#This Row],[2030 conditional NDCs]:[2030 conditional NDCs2]]))^(1/(Table12[[#This Row],[NZ GHG year]]-2021))-1)))</f>
        <v/>
      </c>
      <c r="BN22" s="23"/>
      <c r="BO22" s="23"/>
      <c r="BP22" s="23"/>
      <c r="BQ22" s="23"/>
      <c r="BR22" s="50" t="s">
        <v>73</v>
      </c>
      <c r="BT22" s="30" t="str">
        <f>IF(Table12[[#This Row],[Reduction rate 2021 to NZ target2]]="","",J22*(1+AN22)^(Table12[[#This Row],[NZ GHG year]]-2021))</f>
        <v/>
      </c>
    </row>
    <row r="23" spans="1:72" ht="15" x14ac:dyDescent="0.25">
      <c r="A23">
        <v>1</v>
      </c>
      <c r="B23">
        <v>1</v>
      </c>
      <c r="C23">
        <v>36</v>
      </c>
      <c r="D23">
        <v>9</v>
      </c>
      <c r="E23">
        <v>24</v>
      </c>
      <c r="F23" t="str">
        <f>'input site'!M23</f>
        <v>incl</v>
      </c>
      <c r="G23" s="31" t="s">
        <v>74</v>
      </c>
      <c r="H23" s="1" t="s">
        <v>75</v>
      </c>
      <c r="I23" s="8">
        <f>VLOOKUP($G23,'NZT data'!$B$3:$C$200,2,FALSE)</f>
        <v>4</v>
      </c>
      <c r="J23" s="32">
        <f>'input site'!AS23</f>
        <v>458.659999999999</v>
      </c>
      <c r="K23" s="32">
        <f>'input site'!BS23</f>
        <v>429.31306869077298</v>
      </c>
      <c r="L23" s="32">
        <f t="shared" si="14"/>
        <v>0</v>
      </c>
      <c r="M23" s="32">
        <f t="shared" si="15"/>
        <v>0</v>
      </c>
      <c r="N23" s="32">
        <f>'input site'!EV23</f>
        <v>201.08307608923707</v>
      </c>
      <c r="O23" s="8">
        <v>0</v>
      </c>
      <c r="P23" s="8"/>
      <c r="Q23" s="32">
        <f t="shared" si="18"/>
        <v>0</v>
      </c>
      <c r="R23" s="32">
        <f>'input site'!EZ23</f>
        <v>86.981235493546407</v>
      </c>
      <c r="S23" s="33" t="str">
        <f>'input site'!FA23</f>
        <v>States have net zero targets</v>
      </c>
      <c r="T23" s="33" t="str">
        <f>Table12[[#This Row],[(Mt CO2 equivalent)]]</f>
        <v>Australia</v>
      </c>
      <c r="U23" s="8">
        <f>VLOOKUP($G23,'NZT data'!$B$3:$F$200,4,FALSE)</f>
        <v>2050</v>
      </c>
      <c r="V23" s="32">
        <f>VLOOKUP($G23,'NZT data'!$B$3:$F$200,5,FALSE)</f>
        <v>2050</v>
      </c>
      <c r="W23" s="32">
        <f>-IF('LUC NGHGI'!EC13="",MIN('LUC NGHGI'!DW13,0.1),MIN('LUC NGHGI'!EC13,0.1))</f>
        <v>60</v>
      </c>
      <c r="X23" s="32">
        <f>'LUC NGHGI'!EC13</f>
        <v>-60</v>
      </c>
      <c r="Y23" s="32">
        <f>'LUC NGHGI'!DY13</f>
        <v>-42</v>
      </c>
      <c r="Z23" s="32">
        <f>'LUC NGHGI'!DZ13</f>
        <v>-42</v>
      </c>
      <c r="AA23" s="32">
        <f>Table12[[#This Row],[2021 emissions]]</f>
        <v>458.659999999999</v>
      </c>
      <c r="AB23" s="32">
        <f>'LUC NGHGI'!DW13</f>
        <v>-63.860982206518798</v>
      </c>
      <c r="AC23" s="32">
        <f>IF(F23="incl",Table12[[#This Row],[GHG emissions incl LULUCF]]-Table12[[#This Row],[LULUCF emis-sions in 20213]],Table12[[#This Row],[GHG emissions incl LULUCF]])</f>
        <v>522.52098220651783</v>
      </c>
      <c r="AD23" s="32">
        <f>'input site'!BS23</f>
        <v>429.31306869077298</v>
      </c>
      <c r="AE23" s="347">
        <f>Table12[[#This Row],[LULUCF emis-sions in 20213]]</f>
        <v>-63.860982206518798</v>
      </c>
      <c r="AF23" s="32">
        <f>IF(F23="incl",Table12[[#This Row],[Current Policies 2030 incl LULUCF]]-Table12[[#This Row],[LULUCF CurPol 2030]],Table12[[#This Row],[Current Policies 2030 incl LULUCF]])</f>
        <v>493.17405089729175</v>
      </c>
      <c r="AG23" s="32">
        <f>IF(Table12[[#This Row],[Net-zero target status]]&lt;=1,"",IF(Table12[[#This Row],[NZ GHG year]]="","",1000000000*(Table12[[#This Row],[residual LULUCF emissions in 2050]]-Table12[[#This Row],[GHG emissions excl LULUCF]])/(Table12[[#This Row],[NZ GHG year]]-2021)/Table12[[#This Row],[Population]]))</f>
        <v>-611.80431323521429</v>
      </c>
      <c r="AH23" s="32">
        <f>IF(Table12[[#This Row],[Peak revised]]="Yes",IF(Table12[[#This Row],[Net-zero target status]]&lt;=1,"",IF(Table12[[#This Row],[NZ GHG year]]="","",1000000000*(Table12[[#This Row],[residual LULUCF emissions in 2050]]-Table12[[#This Row],[GHG emissions excl LULUCF]])/(Table12[[#This Row],[NZ GHG year]]-2021)/Table12[[#This Row],[Population]])),"")</f>
        <v>-611.80431323521429</v>
      </c>
      <c r="AI23" s="32">
        <f>MAX(0,(1000000*(Table12[[#This Row],[Current Policies 2030 excl LULUCF]]/2+Table12[[#This Row],[GHG emissions excl LULUCF]]/2)/Table12[[#This Row],[Population]]-$AI$8)*10)*$AI$10</f>
        <v>-1248.1052921512621</v>
      </c>
      <c r="AJ2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 s="32" t="str">
        <f>IF(Table12[[#This Row],[Formule no Peak (2)]]="","",Table12[[#This Row],[Penalty (1)]]+Table12[[#This Row],[Formule no Peak (2)]])</f>
        <v/>
      </c>
      <c r="AL23" s="313">
        <f>(Table12[[#This Row],[Current Policies 2030 excl LULUCF]]-Table12[[#This Row],[GHG emissions excl LULUCF]])/(2030-2021)/Table12[[#This Row],[GHG emissions excl LULUCF]]</f>
        <v>-6.2404578122392E-3</v>
      </c>
      <c r="AM23" s="313">
        <f>IF(Table12[[#This Row],[Net-zero target status]]&lt;=1,"",IF(Table12[[#This Row],[NZ GHG year]]="","",(Table12[[#This Row],[residual LULUCF emissions in 2050]]-Table12[[#This Row],[Current Policies 2030 excl LULUCF]])/(Table12[[#This Row],[NZ GHG year]]-2030)/Table12[[#This Row],[Current Policies 2030 excl LULUCF]]))</f>
        <v>-4.3916954887343054E-2</v>
      </c>
      <c r="AN23" s="313">
        <f>IF(Table12[[#This Row],[Net-zero target status]]&lt;=1,"",IF(Table12[[#This Row],[NZ GHG year]]="","",(Table12[[#This Row],[residual LULUCF emissions in 2050]]-Table12[[#This Row],[GHG emissions excl LULUCF]])/(Table12[[#This Row],[NZ GHG year]]-2021)/Table12[[#This Row],[GHG emissions excl LULUCF]]))</f>
        <v>-3.0523175010277522E-2</v>
      </c>
      <c r="AO23" s="313">
        <f>IF(Table12[[#This Row],[Net-zero target status]]&lt;=1,"",IF(Table12[[#This Row],[NZ GHG year]]="","",(Table12[[#This Row],[residual LULUCF emissions in 2050]]-Table12[[#This Row],[2030 conditional NDCs]])/(Table12[[#This Row],[NZ GHG year]]-2030)/Table12[[#This Row],[2030 conditional NDCs]]))</f>
        <v>-4.1346194618890726E-2</v>
      </c>
      <c r="AP23" s="96">
        <f>MAX('input site'!AH23:AS23)</f>
        <v>605.27</v>
      </c>
      <c r="AQ23" s="95" t="str">
        <f>IF(Table12[[#This Row],[Current Policies 2030 incl LULUCF]]&gt;Table12[[#This Row],[Maximum inventory data]],"No","Yes")</f>
        <v>Yes</v>
      </c>
      <c r="AR23" s="34">
        <f>IF(Table12[[#This Row],[Net-zero target status]]&gt;=1.5,Table12[[#This Row],[residual LULUCF emissions in 2050]]/Table12[[#This Row],[GHG emissions excl LULUCF]],"")</f>
        <v>0.11482792470195194</v>
      </c>
      <c r="AS23" s="78">
        <f>'input site'!BE23</f>
        <v>346.66829999999948</v>
      </c>
      <c r="AT23" s="78">
        <f>'input site'!BF23</f>
        <v>346.66829999999948</v>
      </c>
      <c r="AU23" s="78">
        <f>'input site'!BG23</f>
        <v>346.66829999999948</v>
      </c>
      <c r="AV23" s="79">
        <f>'input site'!BH23</f>
        <v>346.66829999999948</v>
      </c>
      <c r="AW23" s="74">
        <f>IF(Table12[[#This Row],[2030 unconditional NDCs]]="","",IF(F23="incl",Table12[[#This Row],[2030 unconditional NDCs]]-Table12[[#This Row],[LULUCF NDC uncond]],Table12[[#This Row],[2030 unconditional NDCs]]))</f>
        <v>388.66829999999948</v>
      </c>
      <c r="AX23" s="74">
        <f>IF(Table12[[#This Row],[2030 unconditional NDCs2]]="","",IF(F23="incl",Table12[[#This Row],[2030 unconditional NDCs2]]-Table12[[#This Row],[LULUCF NDC uncond]],Table12[[#This Row],[2030 unconditional NDCs2]]))</f>
        <v>388.66829999999948</v>
      </c>
      <c r="AY23" s="74">
        <f>IF(Table12[[#This Row],[2030 conditional NDCs]]="","",IF(F23="incl",Table12[[#This Row],[2030 conditional NDCs]]-Table12[[#This Row],[LULUCF NDC cond]],Table12[[#This Row],[2030 conditional NDCs]]))</f>
        <v>388.66829999999948</v>
      </c>
      <c r="AZ23" s="74">
        <f>IF(Table12[[#This Row],[2030 conditional NDCs2]]="","",IF(F23="incl",Table12[[#This Row],[2030 conditional NDCs2]]-Table12[[#This Row],[LULUCF NDC cond]],Table12[[#This Row],[2030 conditional NDCs2]]))</f>
        <v>388.66829999999948</v>
      </c>
      <c r="BA23" s="8">
        <f>VLOOKUP($G23,'Population90 20'!$C$6:$AU$231,37,FALSE)</f>
        <v>26068792</v>
      </c>
      <c r="BB23" s="8">
        <f>VLOOKUP($G23,'Overview GDP (PPP)'!$C$6:$AI$231,33,FALSE)</f>
        <v>1135635931.721628</v>
      </c>
      <c r="BC23" s="36">
        <f>Table12[[#This Row],[Income]]/Table12[[#This Row],[Population]]</f>
        <v>43.563043953921145</v>
      </c>
      <c r="BD23" s="36">
        <f>Table12[[#This Row],[GHG emissions excl LULUCF]]*1000000/Table12[[#This Row],[Population]]</f>
        <v>20.043927705070409</v>
      </c>
      <c r="BE23" s="23" t="str">
        <f>VLOOKUP($G23,EGR2023_MASTER!$B$4:$S$38,14,FALSE)</f>
        <v>Y</v>
      </c>
      <c r="BF23" s="23" t="str">
        <f>VLOOKUP($G23,EGR2023_MASTER!$B$4:$S$38,15,FALSE)</f>
        <v>Weaker</v>
      </c>
      <c r="BG23" s="23" t="str">
        <f>VLOOKUP($G23,EGR2023_MASTER!$B$4:$S$38,16,FALSE)</f>
        <v>n</v>
      </c>
      <c r="BH23" s="23" t="str">
        <f t="shared" si="16"/>
        <v>lower</v>
      </c>
      <c r="BI23" s="558" t="str">
        <f t="shared" si="17"/>
        <v>weak</v>
      </c>
      <c r="BJ23" s="552">
        <f>(Table12[[#This Row],[Current Policies 2030 excl LULUCF]]/Table12[[#This Row],[GHG emissions excl LULUCF]])^(1/(2030-2021))-1</f>
        <v>-6.4019732860770562E-3</v>
      </c>
      <c r="BK23" s="552">
        <f>IF(Table12[[#This Row],[Net-zero target status]]&lt;=1,"",IF(Table12[[#This Row],[NZ GHG year]]="","",((MAX(Table12[[#This Row],[residual LULUCF emissions in 2050]],0.1)/Table12[[#This Row],[Current Policies 2030 excl LULUCF]])^(1/(Table12[[#This Row],[NZ GHG year]]-2021))-1)))</f>
        <v>-7.0063093604540772E-2</v>
      </c>
      <c r="BL23" s="552">
        <f>IF(Table12[[#This Row],[Net-zero target status]]&lt;=1,"",IF(Table12[[#This Row],[NZ GHG year]]="","",((MAX(Table12[[#This Row],[residual LULUCF emissions in 2050]],0.1)/Table12[[#This Row],[GHG emissions excl LULUCF]])^(1/(Table12[[#This Row],[NZ GHG year]]-2021))-1)))</f>
        <v>-7.1914803720227294E-2</v>
      </c>
      <c r="BM23" s="552">
        <f>IF(Table12[[#This Row],[Net-zero target status]]&lt;=1,"",IF(Table12[[#This Row],[NZ GHG year]]="","",((MAX(Table12[[#This Row],[residual LULUCF emissions in 2050]],0.1)/AVERAGE(Table12[[#This Row],[2030 conditional NDCs]:[2030 conditional NDCs2]]))^(1/(Table12[[#This Row],[NZ GHG year]]-2021))-1)))</f>
        <v>-5.8690775874775114E-2</v>
      </c>
      <c r="BN23" s="23">
        <f>'Supplementary Data 2'!AC25</f>
        <v>63</v>
      </c>
      <c r="BO23" s="23">
        <f>'Supplementary Data 2'!AC27</f>
        <v>204</v>
      </c>
      <c r="BP23" s="23">
        <f>'Supplementary Data 2'!AB25</f>
        <v>43</v>
      </c>
      <c r="BQ23" s="23">
        <f>'Supplementary Data 2'!AB28+'Supplementary Data 2'!AA28</f>
        <v>216</v>
      </c>
      <c r="BR23" s="50" t="s">
        <v>75</v>
      </c>
      <c r="BT23" s="30">
        <f>IF(Table12[[#This Row],[Reduction rate 2021 to NZ target2]]="","",J23*(1+AN23)^(Table12[[#This Row],[NZ GHG year]]-2021))</f>
        <v>186.67080107011603</v>
      </c>
    </row>
    <row r="24" spans="1:72" ht="15" x14ac:dyDescent="0.25">
      <c r="A24">
        <v>0</v>
      </c>
      <c r="B24">
        <v>0</v>
      </c>
      <c r="C24">
        <v>40</v>
      </c>
      <c r="D24">
        <v>10</v>
      </c>
      <c r="E24">
        <v>11</v>
      </c>
      <c r="F24" t="str">
        <f>'input site'!M24</f>
        <v>incl</v>
      </c>
      <c r="G24" s="31" t="s">
        <v>76</v>
      </c>
      <c r="H24" s="1" t="s">
        <v>77</v>
      </c>
      <c r="I24" s="8">
        <f>VLOOKUP($G24,'NZT data'!$B$3:$C$200,2,FALSE)</f>
        <v>4</v>
      </c>
      <c r="J24" s="32">
        <f>'input site'!AS24</f>
        <v>66.913131722469103</v>
      </c>
      <c r="K24" s="32">
        <f>'input site'!BS24</f>
        <v>37.33414892322903</v>
      </c>
      <c r="L24" s="32">
        <f t="shared" si="14"/>
        <v>0</v>
      </c>
      <c r="M24" s="32">
        <f t="shared" si="15"/>
        <v>0</v>
      </c>
      <c r="N24" s="32">
        <f>'input site'!EV24</f>
        <v>17.052423497757736</v>
      </c>
      <c r="O24" s="8"/>
      <c r="P24" s="8"/>
      <c r="Q24" s="32">
        <f t="shared" si="18"/>
        <v>0</v>
      </c>
      <c r="R24" s="32">
        <f>'input site'!EZ24</f>
        <v>9.4321030485529729</v>
      </c>
      <c r="S24" s="37" t="str">
        <f>'input site'!FA24</f>
        <v>2040 (part of the EU)</v>
      </c>
      <c r="T24" s="37" t="str">
        <f>Table12[[#This Row],[(Mt CO2 equivalent)]]</f>
        <v>Austria</v>
      </c>
      <c r="U24" s="8">
        <f>VLOOKUP($G24,'NZT data'!$B$3:$F$200,4,FALSE)</f>
        <v>2040</v>
      </c>
      <c r="V24" s="32">
        <f>VLOOKUP($G24,'NZT data'!$B$3:$F$200,5,FALSE)</f>
        <v>2040</v>
      </c>
      <c r="W24" s="32">
        <f>-IF('LUC NGHGI'!EC14="",MIN('LUC NGHGI'!DW14,0.1),MIN('LUC NGHGI'!EC14,0.1))</f>
        <v>5.2338985189962326</v>
      </c>
      <c r="X24" s="32">
        <f>'LUC NGHGI'!EC14</f>
        <v>-5.2338985189962326</v>
      </c>
      <c r="Y24" s="32">
        <f>'LUC NGHGI'!DY14</f>
        <v>-5.2338985189962326</v>
      </c>
      <c r="Z24" s="32">
        <f>'LUC NGHGI'!DZ14</f>
        <v>-5.2338985189962326</v>
      </c>
      <c r="AA24" s="32">
        <f>Table12[[#This Row],[2021 emissions]]</f>
        <v>66.913131722469103</v>
      </c>
      <c r="AB24" s="32">
        <f>'LUC NGHGI'!DW14</f>
        <v>-10.413110277530894</v>
      </c>
      <c r="AC24" s="32">
        <f>IF(F24="incl",Table12[[#This Row],[GHG emissions incl LULUCF]]-Table12[[#This Row],[LULUCF emis-sions in 20213]],Table12[[#This Row],[GHG emissions incl LULUCF]])</f>
        <v>77.326241999999993</v>
      </c>
      <c r="AD24" s="32">
        <f>'input site'!BS24</f>
        <v>37.33414892322903</v>
      </c>
      <c r="AE24" s="32">
        <f>'LUC NGHGI'!EH14</f>
        <v>-9.0584389885547711</v>
      </c>
      <c r="AF24" s="32">
        <f>IF(F24="incl",Table12[[#This Row],[Current Policies 2030 incl LULUCF]]-Table12[[#This Row],[LULUCF CurPol 2030]],Table12[[#This Row],[Current Policies 2030 incl LULUCF]])</f>
        <v>46.392587911783799</v>
      </c>
      <c r="AG24" s="32">
        <f>IF(Table12[[#This Row],[Net-zero target status]]&lt;=1,"",IF(Table12[[#This Row],[NZ GHG year]]="","",1000000000*(Table12[[#This Row],[residual LULUCF emissions in 2050]]-Table12[[#This Row],[GHG emissions excl LULUCF]])/(Table12[[#This Row],[NZ GHG year]]-2021)/Table12[[#This Row],[Population]]))</f>
        <v>-418.49070582617628</v>
      </c>
      <c r="AH24" s="32">
        <f>IF(Table12[[#This Row],[Peak revised]]="Yes",IF(Table12[[#This Row],[Net-zero target status]]&lt;=1,"",IF(Table12[[#This Row],[NZ GHG year]]="","",1000000000*(Table12[[#This Row],[residual LULUCF emissions in 2050]]-Table12[[#This Row],[GHG emissions excl LULUCF]])/(Table12[[#This Row],[NZ GHG year]]-2021)/Table12[[#This Row],[Population]])),"")</f>
        <v>-418.49070582617628</v>
      </c>
      <c r="AI24" s="32">
        <f>MAX(0,(1000000*(Table12[[#This Row],[Current Policies 2030 excl LULUCF]]/2+Table12[[#This Row],[GHG emissions excl LULUCF]]/2)/Table12[[#This Row],[Population]]-$AI$8)*10)*$AI$10</f>
        <v>0</v>
      </c>
      <c r="AJ2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4" s="32" t="str">
        <f>IF(Table12[[#This Row],[Formule no Peak (2)]]="","",Table12[[#This Row],[Penalty (1)]]+Table12[[#This Row],[Formule no Peak (2)]])</f>
        <v/>
      </c>
      <c r="AL24" s="313">
        <f>(Table12[[#This Row],[Current Policies 2030 excl LULUCF]]-Table12[[#This Row],[GHG emissions excl LULUCF]])/(2030-2021)/Table12[[#This Row],[GHG emissions excl LULUCF]]</f>
        <v>-4.4448981194100526E-2</v>
      </c>
      <c r="AM24" s="313">
        <f>IF(Table12[[#This Row],[Net-zero target status]]&lt;=1,"",IF(Table12[[#This Row],[NZ GHG year]]="","",(Table12[[#This Row],[residual LULUCF emissions in 2050]]-Table12[[#This Row],[Current Policies 2030 excl LULUCF]])/(Table12[[#This Row],[NZ GHG year]]-2030)/Table12[[#This Row],[Current Policies 2030 excl LULUCF]]))</f>
        <v>-8.8718244110570929E-2</v>
      </c>
      <c r="AN24" s="313">
        <f>IF(Table12[[#This Row],[Net-zero target status]]&lt;=1,"",IF(Table12[[#This Row],[NZ GHG year]]="","",(Table12[[#This Row],[residual LULUCF emissions in 2050]]-Table12[[#This Row],[GHG emissions excl LULUCF]])/(Table12[[#This Row],[NZ GHG year]]-2021)/Table12[[#This Row],[GHG emissions excl LULUCF]]))</f>
        <v>-4.9069161636243114E-2</v>
      </c>
      <c r="AO24" s="313" t="e">
        <f>IF(Table12[[#This Row],[Net-zero target status]]&lt;=1,"",IF(Table12[[#This Row],[NZ GHG year]]="","",(Table12[[#This Row],[residual LULUCF emissions in 2050]]-Table12[[#This Row],[2030 conditional NDCs]])/(Table12[[#This Row],[NZ GHG year]]-2030)/Table12[[#This Row],[2030 conditional NDCs]]))</f>
        <v>#DIV/0!</v>
      </c>
      <c r="AP24" s="96">
        <f>MAX('input site'!AH24:AS24)</f>
        <v>83.523725061463296</v>
      </c>
      <c r="AQ24" s="95" t="str">
        <f>IF(Table12[[#This Row],[Current Policies 2030 incl LULUCF]]&gt;Table12[[#This Row],[Maximum inventory data]],"No","Yes")</f>
        <v>Yes</v>
      </c>
      <c r="AR24" s="34">
        <f>IF(Table12[[#This Row],[Net-zero target status]]&gt;=1.5,Table12[[#This Row],[residual LULUCF emissions in 2050]]/Table12[[#This Row],[GHG emissions excl LULUCF]],"")</f>
        <v>6.7685928911380866E-2</v>
      </c>
      <c r="AS24" s="74" t="str">
        <f>'input site'!BE24</f>
        <v/>
      </c>
      <c r="AT24" s="74"/>
      <c r="AU24" s="74"/>
      <c r="AV24" s="75"/>
      <c r="AW24" s="74" t="str">
        <f>IF(Table12[[#This Row],[2030 unconditional NDCs]]="","",IF(F24="incl",Table12[[#This Row],[2030 unconditional NDCs]]-Table12[[#This Row],[LULUCF NDC uncond]],Table12[[#This Row],[2030 unconditional NDCs]]))</f>
        <v/>
      </c>
      <c r="AX24" s="74" t="str">
        <f>IF(Table12[[#This Row],[2030 unconditional NDCs2]]="","",IF(F24="incl",Table12[[#This Row],[2030 unconditional NDCs2]]-Table12[[#This Row],[LULUCF NDC uncond]],Table12[[#This Row],[2030 unconditional NDCs2]]))</f>
        <v/>
      </c>
      <c r="AY24" s="74" t="str">
        <f>IF(Table12[[#This Row],[2030 conditional NDCs]]="","",IF(F24="incl",Table12[[#This Row],[2030 conditional NDCs]]-Table12[[#This Row],[LULUCF NDC cond]],Table12[[#This Row],[2030 conditional NDCs]]))</f>
        <v/>
      </c>
      <c r="AZ24" s="74" t="str">
        <f>IF(Table12[[#This Row],[2030 conditional NDCs2]]="","",IF(F24="incl",Table12[[#This Row],[2030 conditional NDCs2]]-Table12[[#This Row],[LULUCF NDC cond]],Table12[[#This Row],[2030 conditional NDCs2]]))</f>
        <v/>
      </c>
      <c r="BA24" s="8">
        <f>VLOOKUP($G24,'Population90 20'!$C$6:$AU$231,37,FALSE)</f>
        <v>9066710</v>
      </c>
      <c r="BB24" s="8">
        <f>VLOOKUP($G24,'Overview GDP (PPP)'!$C$6:$AI$231,33,FALSE)</f>
        <v>411150625.56289297</v>
      </c>
      <c r="BC24" s="36">
        <f>Table12[[#This Row],[Income]]/Table12[[#This Row],[Population]]</f>
        <v>45.347278733178072</v>
      </c>
      <c r="BD24" s="36">
        <f>Table12[[#This Row],[GHG emissions excl LULUCF]]*1000000/Table12[[#This Row],[Population]]</f>
        <v>8.5285888707149553</v>
      </c>
      <c r="BE24" s="23" t="e">
        <f>VLOOKUP($G24,EGR2023_MASTER!$B$4:$S$38,14,FALSE)</f>
        <v>#N/A</v>
      </c>
      <c r="BF24" s="23" t="e">
        <f>VLOOKUP($G24,EGR2023_MASTER!$B$4:$S$38,15,FALSE)</f>
        <v>#N/A</v>
      </c>
      <c r="BG24" s="23" t="e">
        <f>VLOOKUP($G24,EGR2023_MASTER!$B$4:$S$38,16,FALSE)</f>
        <v>#N/A</v>
      </c>
      <c r="BH24" s="23" t="e">
        <f t="shared" si="16"/>
        <v>#N/A</v>
      </c>
      <c r="BI24" s="23" t="e">
        <f t="shared" si="17"/>
        <v>#N/A</v>
      </c>
      <c r="BJ24" s="552">
        <f>(Table12[[#This Row],[Current Policies 2030 excl LULUCF]]/Table12[[#This Row],[GHG emissions excl LULUCF]])^(1/(2030-2021))-1</f>
        <v>-5.5184835884033001E-2</v>
      </c>
      <c r="BK24" s="552">
        <f>IF(Table12[[#This Row],[Net-zero target status]]&lt;=1,"",IF(Table12[[#This Row],[NZ GHG year]]="","",((MAX(Table12[[#This Row],[residual LULUCF emissions in 2050]],0.1)/Table12[[#This Row],[Current Policies 2030 excl LULUCF]])^(1/(Table12[[#This Row],[NZ GHG year]]-2021))-1)))</f>
        <v>-0.10849231881117605</v>
      </c>
      <c r="BL24" s="552">
        <f>IF(Table12[[#This Row],[Net-zero target status]]&lt;=1,"",IF(Table12[[#This Row],[NZ GHG year]]="","",((MAX(Table12[[#This Row],[residual LULUCF emissions in 2050]],0.1)/Table12[[#This Row],[GHG emissions excl LULUCF]])^(1/(Table12[[#This Row],[NZ GHG year]]-2021))-1)))</f>
        <v>-0.13214477230309252</v>
      </c>
      <c r="BM24" s="552" t="e">
        <f>IF(Table12[[#This Row],[Net-zero target status]]&lt;=1,"",IF(Table12[[#This Row],[NZ GHG year]]="","",((MAX(Table12[[#This Row],[residual LULUCF emissions in 2050]],0.1)/AVERAGE(Table12[[#This Row],[2030 conditional NDCs]:[2030 conditional NDCs2]]))^(1/(Table12[[#This Row],[NZ GHG year]]-2021))-1)))</f>
        <v>#DIV/0!</v>
      </c>
      <c r="BN24" s="23"/>
      <c r="BO24" s="23"/>
      <c r="BP24" s="23"/>
      <c r="BQ24" s="23"/>
      <c r="BR24" s="50" t="s">
        <v>77</v>
      </c>
      <c r="BT24" s="30">
        <f>IF(Table12[[#This Row],[Reduction rate 2021 to NZ target2]]="","",J24*(1+AN24)^(Table12[[#This Row],[NZ GHG year]]-2021))</f>
        <v>25.724151454572024</v>
      </c>
    </row>
    <row r="25" spans="1:72" ht="15" x14ac:dyDescent="0.25">
      <c r="A25">
        <v>0</v>
      </c>
      <c r="B25">
        <v>0</v>
      </c>
      <c r="C25">
        <v>31</v>
      </c>
      <c r="D25">
        <v>7</v>
      </c>
      <c r="E25">
        <v>16</v>
      </c>
      <c r="F25" t="str">
        <f>'input site'!M25</f>
        <v>excl</v>
      </c>
      <c r="G25" s="31" t="s">
        <v>78</v>
      </c>
      <c r="H25" s="1" t="s">
        <v>79</v>
      </c>
      <c r="I25" s="8">
        <f>VLOOKUP($G25,'NZT data'!$B$3:$C$200,2,FALSE)</f>
        <v>0</v>
      </c>
      <c r="J25" s="32">
        <f>'input site'!AS25</f>
        <v>66.491821999999999</v>
      </c>
      <c r="K25" s="32">
        <f>'input site'!BS25</f>
        <v>62.74326269579069</v>
      </c>
      <c r="L25" s="32">
        <f t="shared" si="14"/>
        <v>62.74326269579069</v>
      </c>
      <c r="M25" s="32">
        <f t="shared" si="15"/>
        <v>11.010685140609837</v>
      </c>
      <c r="N25" s="32">
        <f>'input site'!EV25</f>
        <v>11.010685140609837</v>
      </c>
      <c r="O25" s="8"/>
      <c r="P25" s="8"/>
      <c r="Q25" s="32">
        <f t="shared" si="18"/>
        <v>10.464754393554902</v>
      </c>
      <c r="R25" s="32">
        <f>'input site'!EZ25</f>
        <v>10.464754393554902</v>
      </c>
      <c r="S25" s="37">
        <f>'input site'!FA25</f>
        <v>0</v>
      </c>
      <c r="T25" s="37" t="str">
        <f>Table12[[#This Row],[(Mt CO2 equivalent)]]</f>
        <v>Azerbaijan</v>
      </c>
      <c r="U25" s="8">
        <f>VLOOKUP($G25,'NZT data'!$B$3:$F$200,4,FALSE)</f>
        <v>2110</v>
      </c>
      <c r="V25" s="32" t="str">
        <f>VLOOKUP($G25,'NZT data'!$B$3:$F$200,5,FALSE)</f>
        <v/>
      </c>
      <c r="W25" s="32">
        <f>-IF('LUC NGHGI'!EC15="",MIN('LUC NGHGI'!DW15,0.1),MIN('LUC NGHGI'!EC15,0.1))</f>
        <v>7.5860358160358032</v>
      </c>
      <c r="X25" s="32">
        <f>'LUC NGHGI'!EC15</f>
        <v>-7.5860358160358032</v>
      </c>
      <c r="Y25" s="32">
        <f>'LUC NGHGI'!DY15</f>
        <v>-7.5860358160358032</v>
      </c>
      <c r="Z25" s="32">
        <f>'LUC NGHGI'!DZ15</f>
        <v>-7.5860358160358032</v>
      </c>
      <c r="AA25" s="32">
        <f>Table12[[#This Row],[2021 emissions]]</f>
        <v>66.491821999999999</v>
      </c>
      <c r="AB25" s="32">
        <f>'LUC NGHGI'!DW15</f>
        <v>-7.7484997964998001</v>
      </c>
      <c r="AC25" s="32">
        <f>IF(F25="incl",Table12[[#This Row],[GHG emissions incl LULUCF]]-Table12[[#This Row],[LULUCF emis-sions in 20213]],Table12[[#This Row],[GHG emissions incl LULUCF]])</f>
        <v>66.491821999999999</v>
      </c>
      <c r="AD25" s="32">
        <f>'input site'!BS25</f>
        <v>62.74326269579069</v>
      </c>
      <c r="AE25" s="32">
        <f>'LUC NGHGI'!EH15</f>
        <v>-10.105428018059341</v>
      </c>
      <c r="AF25" s="32">
        <f>IF(F25="incl",Table12[[#This Row],[Current Policies 2030 incl LULUCF]]-Table12[[#This Row],[LULUCF CurPol 2030]],Table12[[#This Row],[Current Policies 2030 incl LULUCF]])</f>
        <v>62.74326269579069</v>
      </c>
      <c r="AG25" s="32" t="str">
        <f>IF(Table12[[#This Row],[Net-zero target status]]&lt;=1,"",IF(Table12[[#This Row],[NZ GHG year]]="","",1000000000*(Table12[[#This Row],[residual LULUCF emissions in 2050]]-Table12[[#This Row],[GHG emissions excl LULUCF]])/(Table12[[#This Row],[NZ GHG year]]-2021)/Table12[[#This Row],[Population]]))</f>
        <v/>
      </c>
      <c r="AH25" s="32" t="str">
        <f>IF(Table12[[#This Row],[Peak revised]]="Yes",IF(Table12[[#This Row],[Net-zero target status]]&lt;=1,"",IF(Table12[[#This Row],[NZ GHG year]]="","",1000000000*(Table12[[#This Row],[residual LULUCF emissions in 2050]]-Table12[[#This Row],[GHG emissions excl LULUCF]])/(Table12[[#This Row],[NZ GHG year]]-2021)/Table12[[#This Row],[Population]])),"")</f>
        <v/>
      </c>
      <c r="AI25" s="32">
        <f>MAX(0,(1000000*(Table12[[#This Row],[Current Policies 2030 excl LULUCF]]/2+Table12[[#This Row],[GHG emissions excl LULUCF]]/2)/Table12[[#This Row],[Population]]-$AI$8)*10)*$AI$10</f>
        <v>0</v>
      </c>
      <c r="AJ2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5" s="32" t="str">
        <f>IF(Table12[[#This Row],[Formule no Peak (2)]]="","",Table12[[#This Row],[Penalty (1)]]+Table12[[#This Row],[Formule no Peak (2)]])</f>
        <v/>
      </c>
      <c r="AL25" s="313">
        <f>(Table12[[#This Row],[Current Policies 2030 excl LULUCF]]-Table12[[#This Row],[GHG emissions excl LULUCF]])/(2030-2021)/Table12[[#This Row],[GHG emissions excl LULUCF]]</f>
        <v>-6.2640273168719889E-3</v>
      </c>
      <c r="AM25" s="313" t="str">
        <f>IF(Table12[[#This Row],[Net-zero target status]]&lt;=1,"",IF(Table12[[#This Row],[NZ GHG year]]="","",(Table12[[#This Row],[residual LULUCF emissions in 2050]]-Table12[[#This Row],[Current Policies 2030 excl LULUCF]])/(Table12[[#This Row],[NZ GHG year]]-2030)/Table12[[#This Row],[Current Policies 2030 excl LULUCF]]))</f>
        <v/>
      </c>
      <c r="AN25" s="313" t="str">
        <f>IF(Table12[[#This Row],[Net-zero target status]]&lt;=1,"",IF(Table12[[#This Row],[NZ GHG year]]="","",(Table12[[#This Row],[residual LULUCF emissions in 2050]]-Table12[[#This Row],[GHG emissions excl LULUCF]])/(Table12[[#This Row],[NZ GHG year]]-2021)/Table12[[#This Row],[GHG emissions excl LULUCF]]))</f>
        <v/>
      </c>
      <c r="AO25" s="313" t="str">
        <f>IF(Table12[[#This Row],[Net-zero target status]]&lt;=1,"",IF(Table12[[#This Row],[NZ GHG year]]="","",(Table12[[#This Row],[residual LULUCF emissions in 2050]]-Table12[[#This Row],[2030 conditional NDCs]])/(Table12[[#This Row],[NZ GHG year]]-2030)/Table12[[#This Row],[2030 conditional NDCs]]))</f>
        <v/>
      </c>
      <c r="AP25" s="96">
        <f>MAX('input site'!AH25:AS25)</f>
        <v>70.862791000000001</v>
      </c>
      <c r="AQ25" s="95" t="str">
        <f>IF(Table12[[#This Row],[Current Policies 2030 incl LULUCF]]&gt;Table12[[#This Row],[Maximum inventory data]],"No","Yes")</f>
        <v>Yes</v>
      </c>
      <c r="AR25" s="34" t="str">
        <f>IF(Table12[[#This Row],[Net-zero target status]]&gt;=1.5,Table12[[#This Row],[residual LULUCF emissions in 2050]]/Table12[[#This Row],[GHG emissions excl LULUCF]],"")</f>
        <v/>
      </c>
      <c r="AS25" s="74">
        <f>'input site'!BE25</f>
        <v>47.665150000000004</v>
      </c>
      <c r="AT25" s="74">
        <f>'input site'!BF25</f>
        <v>47.665150000000004</v>
      </c>
      <c r="AU25" s="74">
        <f>'input site'!BG25</f>
        <v>47.665150000000004</v>
      </c>
      <c r="AV25" s="75">
        <f>'input site'!BH25</f>
        <v>47.665150000000004</v>
      </c>
      <c r="AW25" s="74">
        <f>IF(Table12[[#This Row],[2030 unconditional NDCs]]="","",IF(F25="incl",Table12[[#This Row],[2030 unconditional NDCs]]-Table12[[#This Row],[LULUCF NDC uncond]],Table12[[#This Row],[2030 unconditional NDCs]]))</f>
        <v>47.665150000000004</v>
      </c>
      <c r="AX25" s="74">
        <f>IF(Table12[[#This Row],[2030 unconditional NDCs2]]="","",IF(F25="incl",Table12[[#This Row],[2030 unconditional NDCs2]]-Table12[[#This Row],[LULUCF NDC uncond]],Table12[[#This Row],[2030 unconditional NDCs2]]))</f>
        <v>47.665150000000004</v>
      </c>
      <c r="AY25" s="74">
        <f>IF(Table12[[#This Row],[2030 conditional NDCs]]="","",IF(F25="incl",Table12[[#This Row],[2030 conditional NDCs]]-Table12[[#This Row],[LULUCF NDC cond]],Table12[[#This Row],[2030 conditional NDCs]]))</f>
        <v>47.665150000000004</v>
      </c>
      <c r="AZ25" s="74">
        <f>IF(Table12[[#This Row],[2030 conditional NDCs2]]="","",IF(F25="incl",Table12[[#This Row],[2030 conditional NDCs2]]-Table12[[#This Row],[LULUCF NDC cond]],Table12[[#This Row],[2030 conditional NDCs2]]))</f>
        <v>47.665150000000004</v>
      </c>
      <c r="BA25" s="8">
        <f>VLOOKUP($G25,'Population90 20'!$C$6:$AU$231,37,FALSE)</f>
        <v>10300205</v>
      </c>
      <c r="BB25" s="8">
        <f>VLOOKUP($G25,'Overview GDP (PPP)'!$C$6:$AI$231,33,FALSE)</f>
        <v>159186600.66939139</v>
      </c>
      <c r="BC25" s="36">
        <f>Table12[[#This Row],[Income]]/Table12[[#This Row],[Population]]</f>
        <v>15.45470218014024</v>
      </c>
      <c r="BD25" s="36">
        <f>Table12[[#This Row],[GHG emissions excl LULUCF]]*1000000/Table12[[#This Row],[Population]]</f>
        <v>6.4553882180014863</v>
      </c>
      <c r="BE25" s="23" t="e">
        <f>VLOOKUP($G25,EGR2023_MASTER!$B$4:$S$38,14,FALSE)</f>
        <v>#N/A</v>
      </c>
      <c r="BF25" s="23" t="e">
        <f>VLOOKUP($G25,EGR2023_MASTER!$B$4:$S$38,15,FALSE)</f>
        <v>#N/A</v>
      </c>
      <c r="BG25" s="23" t="e">
        <f>VLOOKUP($G25,EGR2023_MASTER!$B$4:$S$38,16,FALSE)</f>
        <v>#N/A</v>
      </c>
      <c r="BH25" s="23" t="e">
        <f t="shared" si="16"/>
        <v>#N/A</v>
      </c>
      <c r="BI25" s="23" t="e">
        <f t="shared" si="17"/>
        <v>#N/A</v>
      </c>
      <c r="BJ25" s="552">
        <f>(Table12[[#This Row],[Current Policies 2030 excl LULUCF]]/Table12[[#This Row],[GHG emissions excl LULUCF]])^(1/(2030-2021))-1</f>
        <v>-6.4267879316852738E-3</v>
      </c>
      <c r="BK25" s="552" t="str">
        <f>IF(Table12[[#This Row],[Net-zero target status]]&lt;=1,"",IF(Table12[[#This Row],[NZ GHG year]]="","",((MAX(Table12[[#This Row],[residual LULUCF emissions in 2050]],0.1)/Table12[[#This Row],[Current Policies 2030 excl LULUCF]])^(1/(Table12[[#This Row],[NZ GHG year]]-2021))-1)))</f>
        <v/>
      </c>
      <c r="BL25" s="552" t="str">
        <f>IF(Table12[[#This Row],[Net-zero target status]]&lt;=1,"",IF(Table12[[#This Row],[NZ GHG year]]="","",((MAX(Table12[[#This Row],[residual LULUCF emissions in 2050]],0.1)/Table12[[#This Row],[GHG emissions excl LULUCF]])^(1/(Table12[[#This Row],[NZ GHG year]]-2021))-1)))</f>
        <v/>
      </c>
      <c r="BM25" s="552" t="str">
        <f>IF(Table12[[#This Row],[Net-zero target status]]&lt;=1,"",IF(Table12[[#This Row],[NZ GHG year]]="","",((MAX(Table12[[#This Row],[residual LULUCF emissions in 2050]],0.1)/AVERAGE(Table12[[#This Row],[2030 conditional NDCs]:[2030 conditional NDCs2]]))^(1/(Table12[[#This Row],[NZ GHG year]]-2021))-1)))</f>
        <v/>
      </c>
      <c r="BN25" s="23"/>
      <c r="BO25" s="23"/>
      <c r="BP25" s="23"/>
      <c r="BQ25" s="23"/>
      <c r="BR25" s="50" t="s">
        <v>79</v>
      </c>
      <c r="BT25" s="30" t="str">
        <f>IF(Table12[[#This Row],[Reduction rate 2021 to NZ target2]]="","",J25*(1+AN25)^(Table12[[#This Row],[NZ GHG year]]-2021))</f>
        <v/>
      </c>
    </row>
    <row r="26" spans="1:72" ht="15" x14ac:dyDescent="0.25">
      <c r="A26">
        <v>0</v>
      </c>
      <c r="B26">
        <v>0</v>
      </c>
      <c r="C26">
        <v>44</v>
      </c>
      <c r="D26">
        <v>11</v>
      </c>
      <c r="E26">
        <v>4</v>
      </c>
      <c r="F26" t="str">
        <f>'input site'!M26</f>
        <v>excl</v>
      </c>
      <c r="G26" s="31" t="s">
        <v>80</v>
      </c>
      <c r="H26" s="1" t="s">
        <v>81</v>
      </c>
      <c r="I26" s="8">
        <f>VLOOKUP($G26,'NZT data'!$B$3:$C$200,2,FALSE)</f>
        <v>1</v>
      </c>
      <c r="J26" s="32">
        <f>'input site'!AS26</f>
        <v>3.1079639999999999</v>
      </c>
      <c r="K26" s="32">
        <f>'input site'!BS26</f>
        <v>3.8323346485093799</v>
      </c>
      <c r="L26" s="32">
        <f t="shared" si="14"/>
        <v>0</v>
      </c>
      <c r="M26" s="32">
        <f t="shared" si="15"/>
        <v>0</v>
      </c>
      <c r="N26" s="32">
        <f>'input site'!EV26</f>
        <v>1.7381267933666029</v>
      </c>
      <c r="O26" s="8">
        <v>0</v>
      </c>
      <c r="P26" s="36">
        <f>O26-N26</f>
        <v>-1.7381267933666029</v>
      </c>
      <c r="Q26" s="32">
        <f t="shared" si="18"/>
        <v>0</v>
      </c>
      <c r="R26" s="32">
        <f>'input site'!EZ26</f>
        <v>0.35350092771989494</v>
      </c>
      <c r="S26" s="37">
        <f>'input site'!FA26</f>
        <v>2050</v>
      </c>
      <c r="T26" s="37" t="str">
        <f>Table12[[#This Row],[(Mt CO2 equivalent)]]</f>
        <v>Bahamas</v>
      </c>
      <c r="U26" s="8">
        <f>VLOOKUP($G26,'NZT data'!$B$3:$F$200,4,FALSE)</f>
        <v>2110</v>
      </c>
      <c r="V26" s="32">
        <f>VLOOKUP($G26,'NZT data'!$B$3:$F$200,5,FALSE)</f>
        <v>2110</v>
      </c>
      <c r="W26" s="32">
        <f>-IF('LUC NGHGI'!EC16="",MIN('LUC NGHGI'!DW16,0.1),MIN('LUC NGHGI'!EC16,0.1))</f>
        <v>-0.1</v>
      </c>
      <c r="X26" s="32">
        <f>'LUC NGHGI'!EC16</f>
        <v>2.6087596059113309</v>
      </c>
      <c r="Y26" s="32">
        <f>'LUC NGHGI'!DY16</f>
        <v>2.6087596059113309</v>
      </c>
      <c r="Z26" s="32">
        <f>'LUC NGHGI'!DZ16</f>
        <v>2.6087596059113309</v>
      </c>
      <c r="AA26" s="32">
        <f>Table12[[#This Row],[2021 emissions]]</f>
        <v>3.1079639999999999</v>
      </c>
      <c r="AB26" s="32">
        <f>'LUC NGHGI'!DW16</f>
        <v>2.6261759605911408</v>
      </c>
      <c r="AC26" s="32">
        <f>IF(F26="incl",Table12[[#This Row],[GHG emissions incl LULUCF]]-Table12[[#This Row],[LULUCF emis-sions in 20213]],Table12[[#This Row],[GHG emissions incl LULUCF]])</f>
        <v>3.1079639999999999</v>
      </c>
      <c r="AD26" s="32">
        <f>'input site'!BS26</f>
        <v>3.8323346485093799</v>
      </c>
      <c r="AE26" s="32">
        <f>'LUC NGHGI'!EH16</f>
        <v>1.5510421998188266</v>
      </c>
      <c r="AF26" s="32">
        <f>IF(F26="incl",Table12[[#This Row],[Current Policies 2030 incl LULUCF]]-Table12[[#This Row],[LULUCF CurPol 2030]],Table12[[#This Row],[Current Policies 2030 incl LULUCF]])</f>
        <v>3.8323346485093799</v>
      </c>
      <c r="AG26" s="32" t="str">
        <f>IF(Table12[[#This Row],[Net-zero target status]]&lt;=1,"",IF(Table12[[#This Row],[NZ GHG year]]="","",1000000000*(Table12[[#This Row],[residual LULUCF emissions in 2050]]-Table12[[#This Row],[GHG emissions excl LULUCF]])/(Table12[[#This Row],[NZ GHG year]]-2021)/Table12[[#This Row],[Population]]))</f>
        <v/>
      </c>
      <c r="AH26" s="32" t="str">
        <f>IF(Table12[[#This Row],[Peak revised]]="Yes",IF(Table12[[#This Row],[Net-zero target status]]&lt;=1,"",IF(Table12[[#This Row],[NZ GHG year]]="","",1000000000*(Table12[[#This Row],[residual LULUCF emissions in 2050]]-Table12[[#This Row],[GHG emissions excl LULUCF]])/(Table12[[#This Row],[NZ GHG year]]-2021)/Table12[[#This Row],[Population]])),"")</f>
        <v/>
      </c>
      <c r="AI26" s="32">
        <f>MAX(0,(1000000*(Table12[[#This Row],[Current Policies 2030 excl LULUCF]]/2+Table12[[#This Row],[GHG emissions excl LULUCF]]/2)/Table12[[#This Row],[Population]]-$AI$8)*10)*$AI$10</f>
        <v>-166.41964971553946</v>
      </c>
      <c r="AJ2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6" s="32" t="str">
        <f>IF(Table12[[#This Row],[Formule no Peak (2)]]="","",Table12[[#This Row],[Penalty (1)]]+Table12[[#This Row],[Formule no Peak (2)]])</f>
        <v/>
      </c>
      <c r="AL26" s="313">
        <f>(Table12[[#This Row],[Current Policies 2030 excl LULUCF]]-Table12[[#This Row],[GHG emissions excl LULUCF]])/(2030-2021)/Table12[[#This Row],[GHG emissions excl LULUCF]]</f>
        <v>2.5896576540832949E-2</v>
      </c>
      <c r="AM26" s="313" t="str">
        <f>IF(Table12[[#This Row],[Net-zero target status]]&lt;=1,"",IF(Table12[[#This Row],[NZ GHG year]]="","",(Table12[[#This Row],[residual LULUCF emissions in 2050]]-Table12[[#This Row],[Current Policies 2030 excl LULUCF]])/(Table12[[#This Row],[NZ GHG year]]-2030)/Table12[[#This Row],[Current Policies 2030 excl LULUCF]]))</f>
        <v/>
      </c>
      <c r="AN26" s="313" t="str">
        <f>IF(Table12[[#This Row],[Net-zero target status]]&lt;=1,"",IF(Table12[[#This Row],[NZ GHG year]]="","",(Table12[[#This Row],[residual LULUCF emissions in 2050]]-Table12[[#This Row],[GHG emissions excl LULUCF]])/(Table12[[#This Row],[NZ GHG year]]-2021)/Table12[[#This Row],[GHG emissions excl LULUCF]]))</f>
        <v/>
      </c>
      <c r="AO26" s="313" t="str">
        <f>IF(Table12[[#This Row],[Net-zero target status]]&lt;=1,"",IF(Table12[[#This Row],[NZ GHG year]]="","",(Table12[[#This Row],[residual LULUCF emissions in 2050]]-Table12[[#This Row],[2030 conditional NDCs]])/(Table12[[#This Row],[NZ GHG year]]-2030)/Table12[[#This Row],[2030 conditional NDCs]]))</f>
        <v/>
      </c>
      <c r="AP26" s="96">
        <f>MAX('input site'!AH26:AS26)</f>
        <v>3.3862139999999998</v>
      </c>
      <c r="AQ26" s="95" t="str">
        <f>IF(Table12[[#This Row],[Current Policies 2030 incl LULUCF]]&gt;Table12[[#This Row],[Maximum inventory data]],"No","Yes")</f>
        <v>No</v>
      </c>
      <c r="AR26" s="34" t="str">
        <f>IF(Table12[[#This Row],[Net-zero target status]]&gt;=1.5,Table12[[#This Row],[residual LULUCF emissions in 2050]]/Table12[[#This Row],[GHG emissions excl LULUCF]],"")</f>
        <v/>
      </c>
      <c r="AS26" s="74" t="str">
        <f>'input site'!BE26</f>
        <v/>
      </c>
      <c r="AT26" s="74"/>
      <c r="AU26" s="74">
        <f>'input site'!BG26</f>
        <v>3.7531781</v>
      </c>
      <c r="AV26" s="75">
        <f>'input site'!BH26</f>
        <v>3.7531781</v>
      </c>
      <c r="AW26" s="74" t="str">
        <f>IF(Table12[[#This Row],[2030 unconditional NDCs]]="","",IF(F26="incl",Table12[[#This Row],[2030 unconditional NDCs]]-Table12[[#This Row],[LULUCF NDC uncond]],Table12[[#This Row],[2030 unconditional NDCs]]))</f>
        <v/>
      </c>
      <c r="AX26" s="74" t="str">
        <f>IF(Table12[[#This Row],[2030 unconditional NDCs2]]="","",IF(F26="incl",Table12[[#This Row],[2030 unconditional NDCs2]]-Table12[[#This Row],[LULUCF NDC uncond]],Table12[[#This Row],[2030 unconditional NDCs2]]))</f>
        <v/>
      </c>
      <c r="AY26" s="74">
        <f>IF(Table12[[#This Row],[2030 conditional NDCs]]="","",IF(F26="incl",Table12[[#This Row],[2030 conditional NDCs]]-Table12[[#This Row],[LULUCF NDC cond]],Table12[[#This Row],[2030 conditional NDCs]]))</f>
        <v>3.7531781</v>
      </c>
      <c r="AZ26" s="74">
        <f>IF(Table12[[#This Row],[2030 conditional NDCs2]]="","",IF(F26="incl",Table12[[#This Row],[2030 conditional NDCs2]]-Table12[[#This Row],[LULUCF NDC cond]],Table12[[#This Row],[2030 conditional NDCs2]]))</f>
        <v>3.7531781</v>
      </c>
      <c r="BA26" s="8">
        <f>VLOOKUP($G26,'Population90 20'!$C$6:$AU$231,37,FALSE)</f>
        <v>400516</v>
      </c>
      <c r="BB26" s="8">
        <f>VLOOKUP($G26,'Overview GDP (PPP)'!$C$6:$AI$231,33,FALSE)</f>
        <v>11210602.609379254</v>
      </c>
      <c r="BC26" s="36">
        <f>Table12[[#This Row],[Income]]/Table12[[#This Row],[Population]]</f>
        <v>27.990398908855713</v>
      </c>
      <c r="BD26" s="36">
        <f>Table12[[#This Row],[GHG emissions excl LULUCF]]*1000000/Table12[[#This Row],[Population]]</f>
        <v>7.7598997293491392</v>
      </c>
      <c r="BE26" s="23" t="e">
        <f>VLOOKUP($G26,EGR2023_MASTER!$B$4:$S$38,14,FALSE)</f>
        <v>#N/A</v>
      </c>
      <c r="BF26" s="23" t="e">
        <f>VLOOKUP($G26,EGR2023_MASTER!$B$4:$S$38,15,FALSE)</f>
        <v>#N/A</v>
      </c>
      <c r="BG26" s="23" t="e">
        <f>VLOOKUP($G26,EGR2023_MASTER!$B$4:$S$38,16,FALSE)</f>
        <v>#N/A</v>
      </c>
      <c r="BH26" s="23" t="e">
        <f t="shared" si="16"/>
        <v>#N/A</v>
      </c>
      <c r="BI26" s="23" t="e">
        <f t="shared" si="17"/>
        <v>#N/A</v>
      </c>
      <c r="BJ26" s="552">
        <f>(Table12[[#This Row],[Current Policies 2030 excl LULUCF]]/Table12[[#This Row],[GHG emissions excl LULUCF]])^(1/(2030-2021))-1</f>
        <v>2.3551540411518301E-2</v>
      </c>
      <c r="BK26" s="552" t="str">
        <f>IF(Table12[[#This Row],[Net-zero target status]]&lt;=1,"",IF(Table12[[#This Row],[NZ GHG year]]="","",((MAX(Table12[[#This Row],[residual LULUCF emissions in 2050]],0.1)/Table12[[#This Row],[Current Policies 2030 excl LULUCF]])^(1/(Table12[[#This Row],[NZ GHG year]]-2021))-1)))</f>
        <v/>
      </c>
      <c r="BL26" s="552" t="str">
        <f>IF(Table12[[#This Row],[Net-zero target status]]&lt;=1,"",IF(Table12[[#This Row],[NZ GHG year]]="","",((MAX(Table12[[#This Row],[residual LULUCF emissions in 2050]],0.1)/Table12[[#This Row],[GHG emissions excl LULUCF]])^(1/(Table12[[#This Row],[NZ GHG year]]-2021))-1)))</f>
        <v/>
      </c>
      <c r="BM26" s="552" t="str">
        <f>IF(Table12[[#This Row],[Net-zero target status]]&lt;=1,"",IF(Table12[[#This Row],[NZ GHG year]]="","",((MAX(Table12[[#This Row],[residual LULUCF emissions in 2050]],0.1)/AVERAGE(Table12[[#This Row],[2030 conditional NDCs]:[2030 conditional NDCs2]]))^(1/(Table12[[#This Row],[NZ GHG year]]-2021))-1)))</f>
        <v/>
      </c>
      <c r="BN26" s="23"/>
      <c r="BO26" s="23"/>
      <c r="BP26" s="23"/>
      <c r="BQ26" s="23"/>
      <c r="BR26" s="50" t="s">
        <v>81</v>
      </c>
      <c r="BT26" s="30" t="str">
        <f>IF(Table12[[#This Row],[Reduction rate 2021 to NZ target2]]="","",J26*(1+AN26)^(Table12[[#This Row],[NZ GHG year]]-2021))</f>
        <v/>
      </c>
    </row>
    <row r="27" spans="1:72" ht="15" x14ac:dyDescent="0.25">
      <c r="A27">
        <v>0</v>
      </c>
      <c r="B27">
        <v>0</v>
      </c>
      <c r="C27">
        <v>48</v>
      </c>
      <c r="D27">
        <v>12</v>
      </c>
      <c r="E27">
        <v>17</v>
      </c>
      <c r="F27" t="str">
        <f>'input site'!M27</f>
        <v>excl</v>
      </c>
      <c r="G27" s="31" t="s">
        <v>82</v>
      </c>
      <c r="H27" s="1" t="s">
        <v>83</v>
      </c>
      <c r="I27" s="8">
        <f>VLOOKUP($G27,'NZT data'!$B$3:$C$200,2,FALSE)</f>
        <v>2</v>
      </c>
      <c r="J27" s="32">
        <f>'input site'!AS27</f>
        <v>30.391856000000001</v>
      </c>
      <c r="K27" s="32">
        <f>'input site'!BS27</f>
        <v>30.178257102290758</v>
      </c>
      <c r="L27" s="32">
        <f t="shared" si="14"/>
        <v>0</v>
      </c>
      <c r="M27" s="32">
        <f t="shared" si="15"/>
        <v>0</v>
      </c>
      <c r="N27" s="32">
        <f>'input site'!EV27</f>
        <v>15.716036543031489</v>
      </c>
      <c r="O27" s="8"/>
      <c r="P27" s="8"/>
      <c r="Q27" s="32">
        <f t="shared" si="18"/>
        <v>0</v>
      </c>
      <c r="R27" s="32">
        <f>'input site'!EZ27</f>
        <v>2.7375605423400238</v>
      </c>
      <c r="S27" s="37">
        <f>'input site'!FA27</f>
        <v>0</v>
      </c>
      <c r="T27" s="37" t="str">
        <f>Table12[[#This Row],[(Mt CO2 equivalent)]]</f>
        <v>Bahrain</v>
      </c>
      <c r="U27" s="8">
        <f>VLOOKUP($G27,'NZT data'!$B$3:$F$200,4,FALSE)</f>
        <v>2060</v>
      </c>
      <c r="V27" s="32">
        <f>VLOOKUP($G27,'NZT data'!$B$3:$F$200,5,FALSE)</f>
        <v>2075</v>
      </c>
      <c r="W27" s="32">
        <f>-IF('LUC NGHGI'!EC17="",MIN('LUC NGHGI'!DW17,0.1),MIN('LUC NGHGI'!EC17,0.1))</f>
        <v>2.4799999999999964E-2</v>
      </c>
      <c r="X27" s="32">
        <f>'LUC NGHGI'!EC17</f>
        <v>-2.4799999999999964E-2</v>
      </c>
      <c r="Y27" s="32">
        <f>'LUC NGHGI'!DY17</f>
        <v>-2.4799999999999964E-2</v>
      </c>
      <c r="Z27" s="32">
        <f>'LUC NGHGI'!DZ17</f>
        <v>-2.4799999999999964E-2</v>
      </c>
      <c r="AA27" s="32">
        <f>Table12[[#This Row],[2021 emissions]]</f>
        <v>30.391856000000001</v>
      </c>
      <c r="AB27" s="32">
        <f>'LUC NGHGI'!DW17</f>
        <v>-2.4799999999999957E-2</v>
      </c>
      <c r="AC27" s="32">
        <f>IF(F27="incl",Table12[[#This Row],[GHG emissions incl LULUCF]]-Table12[[#This Row],[LULUCF emis-sions in 20213]],Table12[[#This Row],[GHG emissions incl LULUCF]])</f>
        <v>30.391856000000001</v>
      </c>
      <c r="AD27" s="32">
        <f>'input site'!BS27</f>
        <v>30.178257102290758</v>
      </c>
      <c r="AE27" s="32">
        <f>'LUC NGHGI'!EH17</f>
        <v>-3.1253048894261989E-2</v>
      </c>
      <c r="AF27" s="32">
        <f>IF(F27="incl",Table12[[#This Row],[Current Policies 2030 incl LULUCF]]-Table12[[#This Row],[LULUCF CurPol 2030]],Table12[[#This Row],[Current Policies 2030 incl LULUCF]])</f>
        <v>30.178257102290758</v>
      </c>
      <c r="AG27" s="32">
        <f>IF(Table12[[#This Row],[Net-zero target status]]&lt;=1,"",IF(Table12[[#This Row],[NZ GHG year]]="","",1000000000*(Table12[[#This Row],[residual LULUCF emissions in 2050]]-Table12[[#This Row],[GHG emissions excl LULUCF]])/(Table12[[#This Row],[NZ GHG year]]-2021)/Table12[[#This Row],[Population]]))</f>
        <v>-315.22323300664237</v>
      </c>
      <c r="AH27" s="32">
        <f>IF(Table12[[#This Row],[Peak revised]]="Yes",IF(Table12[[#This Row],[Net-zero target status]]&lt;=1,"",IF(Table12[[#This Row],[NZ GHG year]]="","",1000000000*(Table12[[#This Row],[residual LULUCF emissions in 2050]]-Table12[[#This Row],[GHG emissions excl LULUCF]])/(Table12[[#This Row],[NZ GHG year]]-2021)/Table12[[#This Row],[Population]])),"")</f>
        <v>-315.22323300664237</v>
      </c>
      <c r="AI27" s="32">
        <f>MAX(0,(1000000*(Table12[[#This Row],[Current Policies 2030 excl LULUCF]]/2+Table12[[#This Row],[GHG emissions excl LULUCF]]/2)/Table12[[#This Row],[Population]]-$AI$8)*10)*$AI$10</f>
        <v>-997.60903277359603</v>
      </c>
      <c r="AJ2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7" s="32" t="str">
        <f>IF(Table12[[#This Row],[Formule no Peak (2)]]="","",Table12[[#This Row],[Penalty (1)]]+Table12[[#This Row],[Formule no Peak (2)]])</f>
        <v/>
      </c>
      <c r="AL27" s="313">
        <f>(Table12[[#This Row],[Current Policies 2030 excl LULUCF]]-Table12[[#This Row],[GHG emissions excl LULUCF]])/(2030-2021)/Table12[[#This Row],[GHG emissions excl LULUCF]]</f>
        <v>-7.809069264010256E-4</v>
      </c>
      <c r="AM27" s="313">
        <f>IF(Table12[[#This Row],[Net-zero target status]]&lt;=1,"",IF(Table12[[#This Row],[NZ GHG year]]="","",(Table12[[#This Row],[residual LULUCF emissions in 2050]]-Table12[[#This Row],[Current Policies 2030 excl LULUCF]])/(Table12[[#This Row],[NZ GHG year]]-2030)/Table12[[#This Row],[Current Policies 2030 excl LULUCF]]))</f>
        <v>-2.2203960362061011E-2</v>
      </c>
      <c r="AN27" s="313">
        <f>IF(Table12[[#This Row],[Net-zero target status]]&lt;=1,"",IF(Table12[[#This Row],[NZ GHG year]]="","",(Table12[[#This Row],[residual LULUCF emissions in 2050]]-Table12[[#This Row],[GHG emissions excl LULUCF]])/(Table12[[#This Row],[NZ GHG year]]-2021)/Table12[[#This Row],[GHG emissions excl LULUCF]]))</f>
        <v>-1.8503407257815675E-2</v>
      </c>
      <c r="AO27" s="313" t="e">
        <f>IF(Table12[[#This Row],[Net-zero target status]]&lt;=1,"",IF(Table12[[#This Row],[NZ GHG year]]="","",(Table12[[#This Row],[residual LULUCF emissions in 2050]]-Table12[[#This Row],[2030 conditional NDCs]])/(Table12[[#This Row],[NZ GHG year]]-2030)/Table12[[#This Row],[2030 conditional NDCs]]))</f>
        <v>#VALUE!</v>
      </c>
      <c r="AP27" s="96">
        <f>MAX('input site'!AH27:AS27)</f>
        <v>37.885545</v>
      </c>
      <c r="AQ27" s="95" t="str">
        <f>IF(Table12[[#This Row],[Current Policies 2030 incl LULUCF]]&gt;Table12[[#This Row],[Maximum inventory data]],"No","Yes")</f>
        <v>Yes</v>
      </c>
      <c r="AR27" s="34">
        <f>IF(Table12[[#This Row],[Net-zero target status]]&gt;=1.5,Table12[[#This Row],[residual LULUCF emissions in 2050]]/Table12[[#This Row],[GHG emissions excl LULUCF]],"")</f>
        <v>8.1600807795351377E-4</v>
      </c>
      <c r="AS27" s="74" t="str">
        <f>'input site'!BE27</f>
        <v/>
      </c>
      <c r="AT27" s="74"/>
      <c r="AU27" s="74" t="str">
        <f>'input site'!BG27</f>
        <v/>
      </c>
      <c r="AV27" s="75"/>
      <c r="AW27" s="74" t="str">
        <f>IF(Table12[[#This Row],[2030 unconditional NDCs]]="","",IF(F27="incl",Table12[[#This Row],[2030 unconditional NDCs]]-Table12[[#This Row],[LULUCF NDC uncond]],Table12[[#This Row],[2030 unconditional NDCs]]))</f>
        <v/>
      </c>
      <c r="AX27" s="74" t="str">
        <f>IF(Table12[[#This Row],[2030 unconditional NDCs2]]="","",IF(F27="incl",Table12[[#This Row],[2030 unconditional NDCs2]]-Table12[[#This Row],[LULUCF NDC uncond]],Table12[[#This Row],[2030 unconditional NDCs2]]))</f>
        <v/>
      </c>
      <c r="AY27" s="74" t="str">
        <f>IF(Table12[[#This Row],[2030 conditional NDCs]]="","",IF(F27="incl",Table12[[#This Row],[2030 conditional NDCs]]-Table12[[#This Row],[LULUCF NDC cond]],Table12[[#This Row],[2030 conditional NDCs]]))</f>
        <v/>
      </c>
      <c r="AZ27" s="74" t="str">
        <f>IF(Table12[[#This Row],[2030 conditional NDCs2]]="","",IF(F27="incl",Table12[[#This Row],[2030 conditional NDCs2]]-Table12[[#This Row],[LULUCF NDC cond]],Table12[[#This Row],[2030 conditional NDCs2]]))</f>
        <v/>
      </c>
      <c r="BA27" s="8">
        <f>VLOOKUP($G27,'Population90 20'!$C$6:$AU$231,37,FALSE)</f>
        <v>1783983</v>
      </c>
      <c r="BB27" s="8">
        <f>VLOOKUP($G27,'Overview GDP (PPP)'!$C$6:$AI$231,33,FALSE)</f>
        <v>65874537.111198179</v>
      </c>
      <c r="BC27" s="36">
        <f>Table12[[#This Row],[Income]]/Table12[[#This Row],[Population]]</f>
        <v>36.925540832619021</v>
      </c>
      <c r="BD27" s="36">
        <f>Table12[[#This Row],[GHG emissions excl LULUCF]]*1000000/Table12[[#This Row],[Population]]</f>
        <v>17.035956060119407</v>
      </c>
      <c r="BE27" s="23" t="e">
        <f>VLOOKUP($G27,EGR2023_MASTER!$B$4:$S$38,14,FALSE)</f>
        <v>#N/A</v>
      </c>
      <c r="BF27" s="23" t="e">
        <f>VLOOKUP($G27,EGR2023_MASTER!$B$4:$S$38,15,FALSE)</f>
        <v>#N/A</v>
      </c>
      <c r="BG27" s="23" t="e">
        <f>VLOOKUP($G27,EGR2023_MASTER!$B$4:$S$38,16,FALSE)</f>
        <v>#N/A</v>
      </c>
      <c r="BH27" s="23" t="e">
        <f t="shared" si="16"/>
        <v>#N/A</v>
      </c>
      <c r="BI27" s="23" t="e">
        <f t="shared" si="17"/>
        <v>#N/A</v>
      </c>
      <c r="BJ27" s="552">
        <f>(Table12[[#This Row],[Current Policies 2030 excl LULUCF]]/Table12[[#This Row],[GHG emissions excl LULUCF]])^(1/(2030-2021))-1</f>
        <v>-7.8335703807896895E-4</v>
      </c>
      <c r="BK27" s="552">
        <f>IF(Table12[[#This Row],[Net-zero target status]]&lt;=1,"",IF(Table12[[#This Row],[NZ GHG year]]="","",((MAX(Table12[[#This Row],[residual LULUCF emissions in 2050]],0.1)/Table12[[#This Row],[Current Policies 2030 excl LULUCF]])^(1/(Table12[[#This Row],[NZ GHG year]]-2021))-1)))</f>
        <v>-0.10033725261325865</v>
      </c>
      <c r="BL27" s="552">
        <f>IF(Table12[[#This Row],[Net-zero target status]]&lt;=1,"",IF(Table12[[#This Row],[NZ GHG year]]="","",((MAX(Table12[[#This Row],[residual LULUCF emissions in 2050]],0.1)/Table12[[#This Row],[GHG emissions excl LULUCF]])^(1/(Table12[[#This Row],[NZ GHG year]]-2021))-1)))</f>
        <v>-0.10045475049444319</v>
      </c>
      <c r="BM27" s="552" t="e">
        <f>IF(Table12[[#This Row],[Net-zero target status]]&lt;=1,"",IF(Table12[[#This Row],[NZ GHG year]]="","",((MAX(Table12[[#This Row],[residual LULUCF emissions in 2050]],0.1)/AVERAGE(Table12[[#This Row],[2030 conditional NDCs]:[2030 conditional NDCs2]]))^(1/(Table12[[#This Row],[NZ GHG year]]-2021))-1)))</f>
        <v>#DIV/0!</v>
      </c>
      <c r="BN27" s="23"/>
      <c r="BO27" s="23"/>
      <c r="BP27" s="23"/>
      <c r="BQ27" s="23"/>
      <c r="BR27" s="50" t="s">
        <v>83</v>
      </c>
      <c r="BT27" s="30">
        <f>IF(Table12[[#This Row],[Reduction rate 2021 to NZ target2]]="","",J27*(1+AN27)^(Table12[[#This Row],[NZ GHG year]]-2021))</f>
        <v>11.085421793573287</v>
      </c>
    </row>
    <row r="28" spans="1:72" ht="15" x14ac:dyDescent="0.25">
      <c r="A28">
        <v>0</v>
      </c>
      <c r="B28">
        <v>0</v>
      </c>
      <c r="C28">
        <v>50</v>
      </c>
      <c r="D28">
        <v>13</v>
      </c>
      <c r="E28">
        <v>25</v>
      </c>
      <c r="F28" t="str">
        <f>'input site'!M28</f>
        <v>excl</v>
      </c>
      <c r="G28" s="31" t="s">
        <v>84</v>
      </c>
      <c r="H28" s="1" t="s">
        <v>85</v>
      </c>
      <c r="I28" s="8">
        <f>VLOOKUP($G28,'NZT data'!$B$3:$C$200,2,FALSE)</f>
        <v>1</v>
      </c>
      <c r="J28" s="32">
        <f>'input site'!AS28</f>
        <v>203.90574000000001</v>
      </c>
      <c r="K28" s="32">
        <f>'input site'!BS28</f>
        <v>248.03692032411178</v>
      </c>
      <c r="L28" s="32">
        <f t="shared" si="14"/>
        <v>0</v>
      </c>
      <c r="M28" s="32">
        <f t="shared" si="15"/>
        <v>0</v>
      </c>
      <c r="N28" s="32">
        <f>'input site'!EV28</f>
        <v>122.00197750497139</v>
      </c>
      <c r="O28" s="8"/>
      <c r="P28" s="36"/>
      <c r="Q28" s="32">
        <f t="shared" si="18"/>
        <v>0</v>
      </c>
      <c r="R28" s="32">
        <f>'input site'!EZ28</f>
        <v>51.129985592897597</v>
      </c>
      <c r="S28" s="37">
        <f>'input site'!FA28</f>
        <v>2050</v>
      </c>
      <c r="T28" s="37" t="str">
        <f>Table12[[#This Row],[(Mt CO2 equivalent)]]</f>
        <v>Bangladesh</v>
      </c>
      <c r="U28" s="8">
        <f>VLOOKUP($G28,'NZT data'!$B$3:$F$200,4,FALSE)</f>
        <v>2110</v>
      </c>
      <c r="V28" s="32">
        <f>VLOOKUP($G28,'NZT data'!$B$3:$F$200,5,FALSE)</f>
        <v>2110</v>
      </c>
      <c r="W28" s="32">
        <f>-IF('LUC NGHGI'!EC18="",MIN('LUC NGHGI'!DW18,0.1),MIN('LUC NGHGI'!EC18,0.1))</f>
        <v>-0.1</v>
      </c>
      <c r="X28" s="32">
        <f>'LUC NGHGI'!EC18</f>
        <v>8.2258265747126416</v>
      </c>
      <c r="Y28" s="32">
        <f>'LUC NGHGI'!DY18</f>
        <v>8.2258265747126416</v>
      </c>
      <c r="Z28" s="32">
        <f>'LUC NGHGI'!DZ18</f>
        <v>8.2258265747126416</v>
      </c>
      <c r="AA28" s="32">
        <f>Table12[[#This Row],[2021 emissions]]</f>
        <v>203.90574000000001</v>
      </c>
      <c r="AB28" s="32">
        <f>'LUC NGHGI'!DW18</f>
        <v>8.3191934289951917</v>
      </c>
      <c r="AC28" s="32">
        <f>IF(F28="incl",Table12[[#This Row],[GHG emissions incl LULUCF]]-Table12[[#This Row],[LULUCF emis-sions in 20213]],Table12[[#This Row],[GHG emissions incl LULUCF]])</f>
        <v>203.90574000000001</v>
      </c>
      <c r="AD28" s="32">
        <f>'input site'!BS28</f>
        <v>248.03692032411178</v>
      </c>
      <c r="AE28" s="32">
        <f>'LUC NGHGI'!EH18</f>
        <v>7.636921810173293</v>
      </c>
      <c r="AF28" s="32">
        <f>IF(F28="incl",Table12[[#This Row],[Current Policies 2030 incl LULUCF]]-Table12[[#This Row],[LULUCF CurPol 2030]],Table12[[#This Row],[Current Policies 2030 incl LULUCF]])</f>
        <v>248.03692032411178</v>
      </c>
      <c r="AG28" s="32" t="str">
        <f>IF(Table12[[#This Row],[Net-zero target status]]&lt;=1,"",IF(Table12[[#This Row],[NZ GHG year]]="","",1000000000*(Table12[[#This Row],[residual LULUCF emissions in 2050]]-Table12[[#This Row],[GHG emissions excl LULUCF]])/(Table12[[#This Row],[NZ GHG year]]-2021)/Table12[[#This Row],[Population]]))</f>
        <v/>
      </c>
      <c r="AH28" s="32" t="str">
        <f>IF(Table12[[#This Row],[Peak revised]]="Yes",IF(Table12[[#This Row],[Net-zero target status]]&lt;=1,"",IF(Table12[[#This Row],[NZ GHG year]]="","",1000000000*(Table12[[#This Row],[residual LULUCF emissions in 2050]]-Table12[[#This Row],[GHG emissions excl LULUCF]])/(Table12[[#This Row],[NZ GHG year]]-2021)/Table12[[#This Row],[Population]])),"")</f>
        <v/>
      </c>
      <c r="AI28" s="32">
        <f>MAX(0,(1000000*(Table12[[#This Row],[Current Policies 2030 excl LULUCF]]/2+Table12[[#This Row],[GHG emissions excl LULUCF]]/2)/Table12[[#This Row],[Population]]-$AI$8)*10)*$AI$10</f>
        <v>0</v>
      </c>
      <c r="AJ2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8" s="32" t="str">
        <f>IF(Table12[[#This Row],[Formule no Peak (2)]]="","",Table12[[#This Row],[Penalty (1)]]+Table12[[#This Row],[Formule no Peak (2)]])</f>
        <v/>
      </c>
      <c r="AL28" s="313">
        <f>(Table12[[#This Row],[Current Policies 2030 excl LULUCF]]-Table12[[#This Row],[GHG emissions excl LULUCF]])/(2030-2021)/Table12[[#This Row],[GHG emissions excl LULUCF]]</f>
        <v>2.4047702043389574E-2</v>
      </c>
      <c r="AM28" s="313" t="str">
        <f>IF(Table12[[#This Row],[Net-zero target status]]&lt;=1,"",IF(Table12[[#This Row],[NZ GHG year]]="","",(Table12[[#This Row],[residual LULUCF emissions in 2050]]-Table12[[#This Row],[Current Policies 2030 excl LULUCF]])/(Table12[[#This Row],[NZ GHG year]]-2030)/Table12[[#This Row],[Current Policies 2030 excl LULUCF]]))</f>
        <v/>
      </c>
      <c r="AN28" s="313" t="str">
        <f>IF(Table12[[#This Row],[Net-zero target status]]&lt;=1,"",IF(Table12[[#This Row],[NZ GHG year]]="","",(Table12[[#This Row],[residual LULUCF emissions in 2050]]-Table12[[#This Row],[GHG emissions excl LULUCF]])/(Table12[[#This Row],[NZ GHG year]]-2021)/Table12[[#This Row],[GHG emissions excl LULUCF]]))</f>
        <v/>
      </c>
      <c r="AO28" s="313" t="str">
        <f>IF(Table12[[#This Row],[Net-zero target status]]&lt;=1,"",IF(Table12[[#This Row],[NZ GHG year]]="","",(Table12[[#This Row],[residual LULUCF emissions in 2050]]-Table12[[#This Row],[2030 conditional NDCs]])/(Table12[[#This Row],[NZ GHG year]]-2030)/Table12[[#This Row],[2030 conditional NDCs]]))</f>
        <v/>
      </c>
      <c r="AP28" s="96">
        <f>MAX('input site'!AH28:AS28)</f>
        <v>203.90574000000001</v>
      </c>
      <c r="AQ28" s="95" t="str">
        <f>IF(Table12[[#This Row],[Current Policies 2030 incl LULUCF]]&gt;Table12[[#This Row],[Maximum inventory data]],"No","Yes")</f>
        <v>No</v>
      </c>
      <c r="AR28" s="34" t="str">
        <f>IF(Table12[[#This Row],[Net-zero target status]]&gt;=1.5,Table12[[#This Row],[residual LULUCF emissions in 2050]]/Table12[[#This Row],[GHG emissions excl LULUCF]],"")</f>
        <v/>
      </c>
      <c r="AS28" s="76">
        <f>'input site'!BE28</f>
        <v>381.85670700000003</v>
      </c>
      <c r="AT28" s="76">
        <f>'input site'!BF28</f>
        <v>381.85670700000003</v>
      </c>
      <c r="AU28" s="76">
        <f>'input site'!BG28</f>
        <v>347.50720800000005</v>
      </c>
      <c r="AV28" s="77">
        <f>'input site'!BH28</f>
        <v>347.50720800000005</v>
      </c>
      <c r="AW28" s="74">
        <f>IF(Table12[[#This Row],[2030 unconditional NDCs]]="","",IF(F28="incl",Table12[[#This Row],[2030 unconditional NDCs]]-Table12[[#This Row],[LULUCF NDC uncond]],Table12[[#This Row],[2030 unconditional NDCs]]))</f>
        <v>381.85670700000003</v>
      </c>
      <c r="AX28" s="74">
        <f>IF(Table12[[#This Row],[2030 unconditional NDCs2]]="","",IF(F28="incl",Table12[[#This Row],[2030 unconditional NDCs2]]-Table12[[#This Row],[LULUCF NDC uncond]],Table12[[#This Row],[2030 unconditional NDCs2]]))</f>
        <v>381.85670700000003</v>
      </c>
      <c r="AY28" s="74">
        <f>IF(Table12[[#This Row],[2030 conditional NDCs]]="","",IF(F28="incl",Table12[[#This Row],[2030 conditional NDCs]]-Table12[[#This Row],[LULUCF NDC cond]],Table12[[#This Row],[2030 conditional NDCs]]))</f>
        <v>347.50720800000005</v>
      </c>
      <c r="AZ28" s="74">
        <f>IF(Table12[[#This Row],[2030 conditional NDCs2]]="","",IF(F28="incl",Table12[[#This Row],[2030 conditional NDCs2]]-Table12[[#This Row],[LULUCF NDC cond]],Table12[[#This Row],[2030 conditional NDCs2]]))</f>
        <v>347.50720800000005</v>
      </c>
      <c r="BA28" s="8">
        <f>VLOOKUP($G28,'Population90 20'!$C$6:$AU$231,37,FALSE)</f>
        <v>167885689</v>
      </c>
      <c r="BB28" s="8">
        <f>VLOOKUP($G28,'Overview GDP (PPP)'!$C$6:$AI$231,33,FALSE)</f>
        <v>625926138.17108393</v>
      </c>
      <c r="BC28" s="36">
        <f>Table12[[#This Row],[Income]]/Table12[[#This Row],[Population]]</f>
        <v>3.7282876336832018</v>
      </c>
      <c r="BD28" s="36">
        <f>Table12[[#This Row],[GHG emissions excl LULUCF]]*1000000/Table12[[#This Row],[Population]]</f>
        <v>1.2145510508641388</v>
      </c>
      <c r="BE28" s="23" t="e">
        <f>VLOOKUP($G28,EGR2023_MASTER!$B$4:$S$38,14,FALSE)</f>
        <v>#N/A</v>
      </c>
      <c r="BF28" s="23" t="e">
        <f>VLOOKUP($G28,EGR2023_MASTER!$B$4:$S$38,15,FALSE)</f>
        <v>#N/A</v>
      </c>
      <c r="BG28" s="23" t="e">
        <f>VLOOKUP($G28,EGR2023_MASTER!$B$4:$S$38,16,FALSE)</f>
        <v>#N/A</v>
      </c>
      <c r="BH28" s="23" t="e">
        <f t="shared" si="16"/>
        <v>#N/A</v>
      </c>
      <c r="BI28" s="23" t="e">
        <f t="shared" si="17"/>
        <v>#N/A</v>
      </c>
      <c r="BJ28" s="552">
        <f>(Table12[[#This Row],[Current Policies 2030 excl LULUCF]]/Table12[[#This Row],[GHG emissions excl LULUCF]])^(1/(2030-2021))-1</f>
        <v>2.2007534789434846E-2</v>
      </c>
      <c r="BK28" s="552" t="str">
        <f>IF(Table12[[#This Row],[Net-zero target status]]&lt;=1,"",IF(Table12[[#This Row],[NZ GHG year]]="","",((MAX(Table12[[#This Row],[residual LULUCF emissions in 2050]],0.1)/Table12[[#This Row],[Current Policies 2030 excl LULUCF]])^(1/(Table12[[#This Row],[NZ GHG year]]-2021))-1)))</f>
        <v/>
      </c>
      <c r="BL28" s="552" t="str">
        <f>IF(Table12[[#This Row],[Net-zero target status]]&lt;=1,"",IF(Table12[[#This Row],[NZ GHG year]]="","",((MAX(Table12[[#This Row],[residual LULUCF emissions in 2050]],0.1)/Table12[[#This Row],[GHG emissions excl LULUCF]])^(1/(Table12[[#This Row],[NZ GHG year]]-2021))-1)))</f>
        <v/>
      </c>
      <c r="BM28" s="552" t="str">
        <f>IF(Table12[[#This Row],[Net-zero target status]]&lt;=1,"",IF(Table12[[#This Row],[NZ GHG year]]="","",((MAX(Table12[[#This Row],[residual LULUCF emissions in 2050]],0.1)/AVERAGE(Table12[[#This Row],[2030 conditional NDCs]:[2030 conditional NDCs2]]))^(1/(Table12[[#This Row],[NZ GHG year]]-2021))-1)))</f>
        <v/>
      </c>
      <c r="BN28" s="23"/>
      <c r="BO28" s="23"/>
      <c r="BP28" s="23"/>
      <c r="BQ28" s="23"/>
      <c r="BR28" s="50" t="s">
        <v>85</v>
      </c>
      <c r="BT28" s="30" t="str">
        <f>IF(Table12[[#This Row],[Reduction rate 2021 to NZ target2]]="","",J28*(1+AN28)^(Table12[[#This Row],[NZ GHG year]]-2021))</f>
        <v/>
      </c>
    </row>
    <row r="29" spans="1:72" ht="15" x14ac:dyDescent="0.25">
      <c r="A29">
        <v>0</v>
      </c>
      <c r="B29">
        <v>0</v>
      </c>
      <c r="C29">
        <v>52</v>
      </c>
      <c r="D29">
        <v>15</v>
      </c>
      <c r="E29">
        <v>4</v>
      </c>
      <c r="F29" t="str">
        <f>'input site'!M29</f>
        <v>incl</v>
      </c>
      <c r="G29" s="31" t="s">
        <v>86</v>
      </c>
      <c r="H29" s="1" t="s">
        <v>87</v>
      </c>
      <c r="I29" s="8">
        <f>VLOOKUP($G29,'NZT data'!$B$3:$C$200,2,FALSE)</f>
        <v>3</v>
      </c>
      <c r="J29" s="32">
        <f>'input site'!AS29</f>
        <v>4.966267405627705</v>
      </c>
      <c r="K29" s="32">
        <f>'input site'!BS29</f>
        <v>6.1237513215564405</v>
      </c>
      <c r="L29" s="32">
        <f t="shared" si="14"/>
        <v>0</v>
      </c>
      <c r="M29" s="32">
        <f t="shared" si="15"/>
        <v>0</v>
      </c>
      <c r="N29" s="32">
        <f>'input site'!EV29</f>
        <v>2.7320571878156827</v>
      </c>
      <c r="O29" s="8"/>
      <c r="P29" s="8"/>
      <c r="Q29" s="32">
        <f t="shared" si="18"/>
        <v>0</v>
      </c>
      <c r="R29" s="32">
        <f>'input site'!EZ29</f>
        <v>0.55564689190827599</v>
      </c>
      <c r="S29" s="37">
        <f>'input site'!FA29</f>
        <v>0</v>
      </c>
      <c r="T29" s="37" t="str">
        <f>Table12[[#This Row],[(Mt CO2 equivalent)]]</f>
        <v>Barbados</v>
      </c>
      <c r="U29" s="8">
        <f>VLOOKUP($G29,'NZT data'!$B$3:$F$200,4,FALSE)</f>
        <v>2030</v>
      </c>
      <c r="V29" s="32">
        <f>VLOOKUP($G29,'NZT data'!$B$3:$F$200,5,FALSE)</f>
        <v>2030</v>
      </c>
      <c r="W29" s="32">
        <f>-IF('LUC NGHGI'!EC19="",MIN('LUC NGHGI'!DW19,0.1),MIN('LUC NGHGI'!EC19,0.1))</f>
        <v>8.7220779220778866E-2</v>
      </c>
      <c r="X29" s="32">
        <f>'LUC NGHGI'!EC19</f>
        <v>-8.7220779220778866E-2</v>
      </c>
      <c r="Y29" s="32">
        <f>'LUC NGHGI'!DY19</f>
        <v>-8.7220779220778866E-2</v>
      </c>
      <c r="Z29" s="32">
        <f>'LUC NGHGI'!DZ19</f>
        <v>-8.7220779220778866E-2</v>
      </c>
      <c r="AA29" s="32">
        <f>Table12[[#This Row],[2021 emissions]]</f>
        <v>4.966267405627705</v>
      </c>
      <c r="AB29" s="32">
        <f>'LUC NGHGI'!DW19</f>
        <v>-8.9972294372294925E-2</v>
      </c>
      <c r="AC29" s="32">
        <f>IF(F29="incl",Table12[[#This Row],[GHG emissions incl LULUCF]]-Table12[[#This Row],[LULUCF emis-sions in 20213]],Table12[[#This Row],[GHG emissions incl LULUCF]])</f>
        <v>5.0562396999999999</v>
      </c>
      <c r="AD29" s="32">
        <f>'input site'!BS29</f>
        <v>6.1237513215564405</v>
      </c>
      <c r="AE29" s="32">
        <f>'LUC NGHGI'!EH19</f>
        <v>-0.12258430453208917</v>
      </c>
      <c r="AF29" s="32">
        <f>IF(F29="incl",Table12[[#This Row],[Current Policies 2030 incl LULUCF]]-Table12[[#This Row],[LULUCF CurPol 2030]],Table12[[#This Row],[Current Policies 2030 incl LULUCF]])</f>
        <v>6.2463356260885297</v>
      </c>
      <c r="AG29" s="32">
        <f>IF(Table12[[#This Row],[Net-zero target status]]&lt;=1,"",IF(Table12[[#This Row],[NZ GHG year]]="","",1000000000*(Table12[[#This Row],[residual LULUCF emissions in 2050]]-Table12[[#This Row],[GHG emissions excl LULUCF]])/(Table12[[#This Row],[NZ GHG year]]-2021)/Table12[[#This Row],[Population]]))</f>
        <v>-1916.9066825215814</v>
      </c>
      <c r="AH29" s="32" t="str">
        <f>IF(Table12[[#This Row],[Peak revised]]="Yes",IF(Table12[[#This Row],[Net-zero target status]]&lt;=1,"",IF(Table12[[#This Row],[NZ GHG year]]="","",1000000000*(Table12[[#This Row],[residual LULUCF emissions in 2050]]-Table12[[#This Row],[GHG emissions excl LULUCF]])/(Table12[[#This Row],[NZ GHG year]]-2021)/Table12[[#This Row],[Population]])),"")</f>
        <v/>
      </c>
      <c r="AI29" s="32">
        <f>MAX(0,(1000000*(Table12[[#This Row],[Current Policies 2030 excl LULUCF]]/2+Table12[[#This Row],[GHG emissions excl LULUCF]]/2)/Table12[[#This Row],[Population]]-$AI$8)*10)*$AI$10</f>
        <v>-1262.0959656153377</v>
      </c>
      <c r="AJ29" s="32">
        <f>IF(Table12[[#This Row],[Peak revised]]="No",IF(Table12[[#This Row],[Net-zero target status]]&lt;=1,"",IF(Table12[[#This Row],[NZ GHG year]]="","",1000000000*(Table12[[#This Row],[residual LULUCF emissions in 2050]]-Table12[[#This Row],[Current Policies 2030 excl LULUCF]])/(Table12[[#This Row],[NZ GHG year]]-2021)/Table12[[#This Row],[Population]])),"")</f>
        <v>-2376.0119646570474</v>
      </c>
      <c r="AK29" s="32">
        <f>IF(Table12[[#This Row],[Formule no Peak (2)]]="","",Table12[[#This Row],[Penalty (1)]]+Table12[[#This Row],[Formule no Peak (2)]])</f>
        <v>-3638.1079302723851</v>
      </c>
      <c r="AL29" s="313">
        <f>(Table12[[#This Row],[Current Policies 2030 excl LULUCF]]-Table12[[#This Row],[GHG emissions excl LULUCF]])/(2030-2021)/Table12[[#This Row],[GHG emissions excl LULUCF]]</f>
        <v>2.6152415336737952E-2</v>
      </c>
      <c r="AM29" s="313" t="e">
        <f>IF(Table12[[#This Row],[Net-zero target status]]&lt;=1,"",IF(Table12[[#This Row],[NZ GHG year]]="","",(Table12[[#This Row],[residual LULUCF emissions in 2050]]-Table12[[#This Row],[Current Policies 2030 excl LULUCF]])/(Table12[[#This Row],[NZ GHG year]]-2030)/Table12[[#This Row],[Current Policies 2030 excl LULUCF]]))</f>
        <v>#DIV/0!</v>
      </c>
      <c r="AN29" s="313">
        <f>IF(Table12[[#This Row],[Net-zero target status]]&lt;=1,"",IF(Table12[[#This Row],[NZ GHG year]]="","",(Table12[[#This Row],[residual LULUCF emissions in 2050]]-Table12[[#This Row],[GHG emissions excl LULUCF]])/(Table12[[#This Row],[NZ GHG year]]-2021)/Table12[[#This Row],[GHG emissions excl LULUCF]]))</f>
        <v>-0.10919443028381615</v>
      </c>
      <c r="AO29" s="313" t="e">
        <f>IF(Table12[[#This Row],[Net-zero target status]]&lt;=1,"",IF(Table12[[#This Row],[NZ GHG year]]="","",(Table12[[#This Row],[residual LULUCF emissions in 2050]]-Table12[[#This Row],[2030 conditional NDCs]])/(Table12[[#This Row],[NZ GHG year]]-2030)/Table12[[#This Row],[2030 conditional NDCs]]))</f>
        <v>#DIV/0!</v>
      </c>
      <c r="AP29" s="96">
        <f>MAX('input site'!AH29:AS29)</f>
        <v>5.9503259571428568</v>
      </c>
      <c r="AQ29" s="95" t="str">
        <f>IF(Table12[[#This Row],[Current Policies 2030 incl LULUCF]]&gt;Table12[[#This Row],[Maximum inventory data]],"No","Yes")</f>
        <v>No</v>
      </c>
      <c r="AR29" s="34">
        <f>IF(Table12[[#This Row],[Net-zero target status]]&gt;=1.5,Table12[[#This Row],[residual LULUCF emissions in 2050]]/Table12[[#This Row],[GHG emissions excl LULUCF]],"")</f>
        <v>1.7250127445654698E-2</v>
      </c>
      <c r="AS29" s="74" t="str">
        <f>'input site'!BE29</f>
        <v/>
      </c>
      <c r="AT29" s="74"/>
      <c r="AU29" s="74">
        <f>'input site'!BG29</f>
        <v>1.4013999999999998</v>
      </c>
      <c r="AV29" s="74">
        <f>'input site'!BH29</f>
        <v>1.4013999999999998</v>
      </c>
      <c r="AW29" s="74" t="str">
        <f>IF(Table12[[#This Row],[2030 unconditional NDCs]]="","",IF(F29="incl",Table12[[#This Row],[2030 unconditional NDCs]]-Table12[[#This Row],[LULUCF NDC uncond]],Table12[[#This Row],[2030 unconditional NDCs]]))</f>
        <v/>
      </c>
      <c r="AX29" s="74" t="str">
        <f>IF(Table12[[#This Row],[2030 unconditional NDCs2]]="","",IF(F29="incl",Table12[[#This Row],[2030 unconditional NDCs2]]-Table12[[#This Row],[LULUCF NDC uncond]],Table12[[#This Row],[2030 unconditional NDCs2]]))</f>
        <v/>
      </c>
      <c r="AY29" s="74">
        <f>IF(Table12[[#This Row],[2030 conditional NDCs]]="","",IF(F29="incl",Table12[[#This Row],[2030 conditional NDCs]]-Table12[[#This Row],[LULUCF NDC cond]],Table12[[#This Row],[2030 conditional NDCs]]))</f>
        <v>1.4886207792207786</v>
      </c>
      <c r="AZ29" s="74">
        <f>IF(Table12[[#This Row],[2030 conditional NDCs2]]="","",IF(F29="incl",Table12[[#This Row],[2030 conditional NDCs2]]-Table12[[#This Row],[LULUCF NDC cond]],Table12[[#This Row],[2030 conditional NDCs2]]))</f>
        <v>1.4886207792207786</v>
      </c>
      <c r="BA29" s="8">
        <f>VLOOKUP($G29,'Population90 20'!$C$6:$AU$231,37,FALSE)</f>
        <v>288023</v>
      </c>
      <c r="BB29" s="8">
        <f>VLOOKUP($G29,'Overview GDP (PPP)'!$C$6:$AI$231,33,FALSE)</f>
        <v>4795778.2655026922</v>
      </c>
      <c r="BC29" s="36">
        <f>Table12[[#This Row],[Income]]/Table12[[#This Row],[Population]]</f>
        <v>16.650678124673004</v>
      </c>
      <c r="BD29" s="36">
        <f>Table12[[#This Row],[GHG emissions excl LULUCF]]*1000000/Table12[[#This Row],[Population]]</f>
        <v>17.554985886543783</v>
      </c>
      <c r="BE29" s="23" t="e">
        <f>VLOOKUP($G29,EGR2023_MASTER!$B$4:$S$38,14,FALSE)</f>
        <v>#N/A</v>
      </c>
      <c r="BF29" s="23" t="e">
        <f>VLOOKUP($G29,EGR2023_MASTER!$B$4:$S$38,15,FALSE)</f>
        <v>#N/A</v>
      </c>
      <c r="BG29" s="23" t="e">
        <f>VLOOKUP($G29,EGR2023_MASTER!$B$4:$S$38,16,FALSE)</f>
        <v>#N/A</v>
      </c>
      <c r="BH29" s="23" t="e">
        <f t="shared" si="16"/>
        <v>#N/A</v>
      </c>
      <c r="BI29" s="23" t="e">
        <f t="shared" si="17"/>
        <v>#N/A</v>
      </c>
      <c r="BJ29" s="552">
        <f>(Table12[[#This Row],[Current Policies 2030 excl LULUCF]]/Table12[[#This Row],[GHG emissions excl LULUCF]])^(1/(2030-2021))-1</f>
        <v>2.3763732171308005E-2</v>
      </c>
      <c r="BK29" s="552">
        <f>IF(Table12[[#This Row],[Net-zero target status]]&lt;=1,"",IF(Table12[[#This Row],[NZ GHG year]]="","",((MAX(Table12[[#This Row],[residual LULUCF emissions in 2050]],0.1)/Table12[[#This Row],[Current Policies 2030 excl LULUCF]])^(1/(Table12[[#This Row],[NZ GHG year]]-2021))-1)))</f>
        <v>-0.36833607291991488</v>
      </c>
      <c r="BL29" s="552">
        <f>IF(Table12[[#This Row],[Net-zero target status]]&lt;=1,"",IF(Table12[[#This Row],[NZ GHG year]]="","",((MAX(Table12[[#This Row],[residual LULUCF emissions in 2050]],0.1)/Table12[[#This Row],[GHG emissions excl LULUCF]])^(1/(Table12[[#This Row],[NZ GHG year]]-2021))-1)))</f>
        <v>-0.35332538053450713</v>
      </c>
      <c r="BM29" s="552">
        <f>IF(Table12[[#This Row],[Net-zero target status]]&lt;=1,"",IF(Table12[[#This Row],[NZ GHG year]]="","",((MAX(Table12[[#This Row],[residual LULUCF emissions in 2050]],0.1)/AVERAGE(Table12[[#This Row],[2030 conditional NDCs]:[2030 conditional NDCs2]]))^(1/(Table12[[#This Row],[NZ GHG year]]-2021))-1)))</f>
        <v>-0.25423120103484442</v>
      </c>
      <c r="BN29" s="23"/>
      <c r="BO29" s="23"/>
      <c r="BP29" s="23"/>
      <c r="BQ29" s="23"/>
      <c r="BR29" s="50" t="s">
        <v>87</v>
      </c>
      <c r="BT29" s="30">
        <f>IF(Table12[[#This Row],[Reduction rate 2021 to NZ target2]]="","",J29*(1+AN29)^(Table12[[#This Row],[NZ GHG year]]-2021))</f>
        <v>1.7541891243668166</v>
      </c>
    </row>
    <row r="30" spans="1:72" ht="15" x14ac:dyDescent="0.25">
      <c r="A30">
        <v>0</v>
      </c>
      <c r="B30">
        <v>0</v>
      </c>
      <c r="C30">
        <v>112</v>
      </c>
      <c r="D30">
        <v>30</v>
      </c>
      <c r="E30">
        <v>14</v>
      </c>
      <c r="F30" t="str">
        <f>'input site'!M30</f>
        <v>incl</v>
      </c>
      <c r="G30" s="31" t="s">
        <v>88</v>
      </c>
      <c r="H30" s="1" t="s">
        <v>89</v>
      </c>
      <c r="I30" s="8">
        <f>VLOOKUP($G30,'NZT data'!$B$3:$C$200,2,FALSE)</f>
        <v>0</v>
      </c>
      <c r="J30" s="32">
        <f>'input site'!AS30</f>
        <v>48.914917813317956</v>
      </c>
      <c r="K30" s="32">
        <f>'input site'!BS30</f>
        <v>56.397629211695509</v>
      </c>
      <c r="L30" s="32">
        <f t="shared" si="14"/>
        <v>56.397629211695509</v>
      </c>
      <c r="M30" s="32">
        <f t="shared" si="15"/>
        <v>7.6933523515420346</v>
      </c>
      <c r="N30" s="32">
        <f>'input site'!EV30</f>
        <v>7.6933523515420346</v>
      </c>
      <c r="O30" s="8"/>
      <c r="P30" s="8"/>
      <c r="Q30" s="32">
        <f t="shared" si="18"/>
        <v>-9.2227666235318626</v>
      </c>
      <c r="R30" s="32">
        <f>'input site'!EZ30</f>
        <v>-9.2227666235318626</v>
      </c>
      <c r="S30" s="37">
        <f>'input site'!FA30</f>
        <v>0</v>
      </c>
      <c r="T30" s="37" t="str">
        <f>Table12[[#This Row],[(Mt CO2 equivalent)]]</f>
        <v>Belarus</v>
      </c>
      <c r="U30" s="8">
        <f>VLOOKUP($G30,'NZT data'!$B$3:$F$200,4,FALSE)</f>
        <v>2110</v>
      </c>
      <c r="V30" s="32" t="str">
        <f>VLOOKUP($G30,'NZT data'!$B$3:$F$200,5,FALSE)</f>
        <v/>
      </c>
      <c r="W30" s="32">
        <f>-IF('LUC NGHGI'!EC20="",MIN('LUC NGHGI'!DW20,0.1),MIN('LUC NGHGI'!EC20,0.1))</f>
        <v>37.448417533237354</v>
      </c>
      <c r="X30" s="32">
        <f>'LUC NGHGI'!EC20</f>
        <v>-37.448417533237354</v>
      </c>
      <c r="Y30" s="32">
        <f>'LUC NGHGI'!DY20</f>
        <v>-29.22</v>
      </c>
      <c r="Z30" s="32">
        <f>'LUC NGHGI'!DZ20</f>
        <v>-29.22</v>
      </c>
      <c r="AA30" s="32">
        <f>Table12[[#This Row],[2021 emissions]]</f>
        <v>48.914917813317956</v>
      </c>
      <c r="AB30" s="32">
        <f>'LUC NGHGI'!DW20</f>
        <v>-43.073284186682045</v>
      </c>
      <c r="AC30" s="32">
        <f>IF(F30="incl",Table12[[#This Row],[GHG emissions incl LULUCF]]-Table12[[#This Row],[LULUCF emis-sions in 20213]],Table12[[#This Row],[GHG emissions incl LULUCF]])</f>
        <v>91.988202000000001</v>
      </c>
      <c r="AD30" s="32">
        <f>'input site'!BS30</f>
        <v>56.397629211695509</v>
      </c>
      <c r="AE30" s="32">
        <f>'LUC NGHGI'!EH20</f>
        <v>-49.885381106744745</v>
      </c>
      <c r="AF30" s="32">
        <f>IF(F30="incl",Table12[[#This Row],[Current Policies 2030 incl LULUCF]]-Table12[[#This Row],[LULUCF CurPol 2030]],Table12[[#This Row],[Current Policies 2030 incl LULUCF]])</f>
        <v>106.28301031844026</v>
      </c>
      <c r="AG30" s="32" t="str">
        <f>IF(Table12[[#This Row],[Net-zero target status]]&lt;=1,"",IF(Table12[[#This Row],[NZ GHG year]]="","",1000000000*(Table12[[#This Row],[residual LULUCF emissions in 2050]]-Table12[[#This Row],[GHG emissions excl LULUCF]])/(Table12[[#This Row],[NZ GHG year]]-2021)/Table12[[#This Row],[Population]]))</f>
        <v/>
      </c>
      <c r="AH30" s="32" t="str">
        <f>IF(Table12[[#This Row],[Peak revised]]="Yes",IF(Table12[[#This Row],[Net-zero target status]]&lt;=1,"",IF(Table12[[#This Row],[NZ GHG year]]="","",1000000000*(Table12[[#This Row],[residual LULUCF emissions in 2050]]-Table12[[#This Row],[GHG emissions excl LULUCF]])/(Table12[[#This Row],[NZ GHG year]]-2021)/Table12[[#This Row],[Population]])),"")</f>
        <v/>
      </c>
      <c r="AI30" s="32">
        <f>MAX(0,(1000000*(Table12[[#This Row],[Current Policies 2030 excl LULUCF]]/2+Table12[[#This Row],[GHG emissions excl LULUCF]]/2)/Table12[[#This Row],[Population]]-$AI$8)*10)*$AI$10</f>
        <v>-350.96690441035673</v>
      </c>
      <c r="AJ3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30" s="32" t="str">
        <f>IF(Table12[[#This Row],[Formule no Peak (2)]]="","",Table12[[#This Row],[Penalty (1)]]+Table12[[#This Row],[Formule no Peak (2)]])</f>
        <v/>
      </c>
      <c r="AL30" s="313">
        <f>(Table12[[#This Row],[Current Policies 2030 excl LULUCF]]-Table12[[#This Row],[GHG emissions excl LULUCF]])/(2030-2021)/Table12[[#This Row],[GHG emissions excl LULUCF]]</f>
        <v>1.7266475491957665E-2</v>
      </c>
      <c r="AM30" s="313" t="str">
        <f>IF(Table12[[#This Row],[Net-zero target status]]&lt;=1,"",IF(Table12[[#This Row],[NZ GHG year]]="","",(Table12[[#This Row],[residual LULUCF emissions in 2050]]-Table12[[#This Row],[Current Policies 2030 excl LULUCF]])/(Table12[[#This Row],[NZ GHG year]]-2030)/Table12[[#This Row],[Current Policies 2030 excl LULUCF]]))</f>
        <v/>
      </c>
      <c r="AN30" s="313" t="str">
        <f>IF(Table12[[#This Row],[Net-zero target status]]&lt;=1,"",IF(Table12[[#This Row],[NZ GHG year]]="","",(Table12[[#This Row],[residual LULUCF emissions in 2050]]-Table12[[#This Row],[GHG emissions excl LULUCF]])/(Table12[[#This Row],[NZ GHG year]]-2021)/Table12[[#This Row],[GHG emissions excl LULUCF]]))</f>
        <v/>
      </c>
      <c r="AO30" s="313" t="str">
        <f>IF(Table12[[#This Row],[Net-zero target status]]&lt;=1,"",IF(Table12[[#This Row],[NZ GHG year]]="","",(Table12[[#This Row],[residual LULUCF emissions in 2050]]-Table12[[#This Row],[2030 conditional NDCs]])/(Table12[[#This Row],[NZ GHG year]]-2030)/Table12[[#This Row],[2030 conditional NDCs]]))</f>
        <v/>
      </c>
      <c r="AP30" s="96">
        <f>MAX('input site'!AH30:AS30)</f>
        <v>56.661426140655195</v>
      </c>
      <c r="AQ30" s="95" t="str">
        <f>IF(Table12[[#This Row],[Current Policies 2030 incl LULUCF]]&gt;Table12[[#This Row],[Maximum inventory data]],"No","Yes")</f>
        <v>Yes</v>
      </c>
      <c r="AR30" s="34" t="str">
        <f>IF(Table12[[#This Row],[Net-zero target status]]&gt;=1.5,Table12[[#This Row],[residual LULUCF emissions in 2050]]/Table12[[#This Row],[GHG emissions excl LULUCF]],"")</f>
        <v/>
      </c>
      <c r="AS30" s="76">
        <f>'input site'!BE30</f>
        <v>76.180000000000007</v>
      </c>
      <c r="AT30" s="76">
        <f>'input site'!BF30</f>
        <v>76.180000000000007</v>
      </c>
      <c r="AU30" s="76">
        <f>'input site'!BG30</f>
        <v>70.319999999999993</v>
      </c>
      <c r="AV30" s="77">
        <f>'input site'!BH30</f>
        <v>70.319999999999993</v>
      </c>
      <c r="AW30" s="74">
        <f>IF(Table12[[#This Row],[2030 unconditional NDCs]]="","",IF(F30="incl",Table12[[#This Row],[2030 unconditional NDCs]]-Table12[[#This Row],[LULUCF NDC uncond]],Table12[[#This Row],[2030 unconditional NDCs]]))</f>
        <v>105.4</v>
      </c>
      <c r="AX30" s="74">
        <f>IF(Table12[[#This Row],[2030 unconditional NDCs2]]="","",IF(F30="incl",Table12[[#This Row],[2030 unconditional NDCs2]]-Table12[[#This Row],[LULUCF NDC uncond]],Table12[[#This Row],[2030 unconditional NDCs2]]))</f>
        <v>105.4</v>
      </c>
      <c r="AY30" s="74">
        <f>IF(Table12[[#This Row],[2030 conditional NDCs]]="","",IF(F30="incl",Table12[[#This Row],[2030 conditional NDCs]]-Table12[[#This Row],[LULUCF NDC cond]],Table12[[#This Row],[2030 conditional NDCs]]))</f>
        <v>99.539999999999992</v>
      </c>
      <c r="AZ30" s="74">
        <f>IF(Table12[[#This Row],[2030 conditional NDCs2]]="","",IF(F30="incl",Table12[[#This Row],[2030 conditional NDCs2]]-Table12[[#This Row],[LULUCF NDC cond]],Table12[[#This Row],[2030 conditional NDCs2]]))</f>
        <v>99.539999999999992</v>
      </c>
      <c r="BA30" s="8">
        <f>VLOOKUP($G30,'Population90 20'!$C$6:$AU$231,37,FALSE)</f>
        <v>9432800</v>
      </c>
      <c r="BB30" s="8">
        <f>VLOOKUP($G30,'Overview GDP (PPP)'!$C$6:$AI$231,33,FALSE)</f>
        <v>168288411.61643577</v>
      </c>
      <c r="BC30" s="36">
        <f>Table12[[#This Row],[Income]]/Table12[[#This Row],[Population]]</f>
        <v>17.840769614158656</v>
      </c>
      <c r="BD30" s="36">
        <f>Table12[[#This Row],[GHG emissions excl LULUCF]]*1000000/Table12[[#This Row],[Population]]</f>
        <v>9.7519508523450096</v>
      </c>
      <c r="BE30" s="23" t="e">
        <f>VLOOKUP($G30,EGR2023_MASTER!$B$4:$S$38,14,FALSE)</f>
        <v>#N/A</v>
      </c>
      <c r="BF30" s="23" t="e">
        <f>VLOOKUP($G30,EGR2023_MASTER!$B$4:$S$38,15,FALSE)</f>
        <v>#N/A</v>
      </c>
      <c r="BG30" s="23" t="e">
        <f>VLOOKUP($G30,EGR2023_MASTER!$B$4:$S$38,16,FALSE)</f>
        <v>#N/A</v>
      </c>
      <c r="BH30" s="23" t="e">
        <f t="shared" si="16"/>
        <v>#N/A</v>
      </c>
      <c r="BI30" s="23" t="e">
        <f t="shared" si="17"/>
        <v>#N/A</v>
      </c>
      <c r="BJ30" s="552">
        <f>(Table12[[#This Row],[Current Policies 2030 excl LULUCF]]/Table12[[#This Row],[GHG emissions excl LULUCF]])^(1/(2030-2021))-1</f>
        <v>1.6178941574375383E-2</v>
      </c>
      <c r="BK30" s="552" t="str">
        <f>IF(Table12[[#This Row],[Net-zero target status]]&lt;=1,"",IF(Table12[[#This Row],[NZ GHG year]]="","",((MAX(Table12[[#This Row],[residual LULUCF emissions in 2050]],0.1)/Table12[[#This Row],[Current Policies 2030 excl LULUCF]])^(1/(Table12[[#This Row],[NZ GHG year]]-2021))-1)))</f>
        <v/>
      </c>
      <c r="BL30" s="552" t="str">
        <f>IF(Table12[[#This Row],[Net-zero target status]]&lt;=1,"",IF(Table12[[#This Row],[NZ GHG year]]="","",((MAX(Table12[[#This Row],[residual LULUCF emissions in 2050]],0.1)/Table12[[#This Row],[GHG emissions excl LULUCF]])^(1/(Table12[[#This Row],[NZ GHG year]]-2021))-1)))</f>
        <v/>
      </c>
      <c r="BM30" s="552" t="str">
        <f>IF(Table12[[#This Row],[Net-zero target status]]&lt;=1,"",IF(Table12[[#This Row],[NZ GHG year]]="","",((MAX(Table12[[#This Row],[residual LULUCF emissions in 2050]],0.1)/AVERAGE(Table12[[#This Row],[2030 conditional NDCs]:[2030 conditional NDCs2]]))^(1/(Table12[[#This Row],[NZ GHG year]]-2021))-1)))</f>
        <v/>
      </c>
      <c r="BN30" s="23"/>
      <c r="BO30" s="23"/>
      <c r="BP30" s="23"/>
      <c r="BQ30" s="23"/>
      <c r="BR30" s="50" t="s">
        <v>89</v>
      </c>
      <c r="BT30" s="30" t="str">
        <f>IF(Table12[[#This Row],[Reduction rate 2021 to NZ target2]]="","",J30*(1+AN30)^(Table12[[#This Row],[NZ GHG year]]-2021))</f>
        <v/>
      </c>
    </row>
    <row r="31" spans="1:72" ht="15" x14ac:dyDescent="0.25">
      <c r="A31">
        <v>0</v>
      </c>
      <c r="B31">
        <v>0</v>
      </c>
      <c r="C31">
        <v>56</v>
      </c>
      <c r="D31">
        <v>16</v>
      </c>
      <c r="E31">
        <v>11</v>
      </c>
      <c r="F31" t="str">
        <f>'input site'!M31</f>
        <v>incl</v>
      </c>
      <c r="G31" s="31" t="s">
        <v>90</v>
      </c>
      <c r="H31" s="1" t="s">
        <v>91</v>
      </c>
      <c r="I31" s="8">
        <f>VLOOKUP($G31,'NZT data'!$B$3:$C$200,2,FALSE)</f>
        <v>3</v>
      </c>
      <c r="J31" s="32">
        <f>'input site'!AS31</f>
        <v>110.50610545664158</v>
      </c>
      <c r="K31" s="32">
        <f>'input site'!BS31</f>
        <v>61.656827170427221</v>
      </c>
      <c r="L31" s="32">
        <f t="shared" si="14"/>
        <v>0</v>
      </c>
      <c r="M31" s="32">
        <f t="shared" si="15"/>
        <v>0</v>
      </c>
      <c r="N31" s="32">
        <f>'input site'!EV31</f>
        <v>23.906789418071902</v>
      </c>
      <c r="O31" s="8"/>
      <c r="P31" s="8"/>
      <c r="Q31" s="32">
        <f t="shared" si="18"/>
        <v>0</v>
      </c>
      <c r="R31" s="32">
        <f>'input site'!EZ31</f>
        <v>13.223416682148455</v>
      </c>
      <c r="S31" s="37" t="str">
        <f>'input site'!FA31</f>
        <v>2050 (part of the EU)</v>
      </c>
      <c r="T31" s="37" t="str">
        <f>Table12[[#This Row],[(Mt CO2 equivalent)]]</f>
        <v>Belgium</v>
      </c>
      <c r="U31" s="8">
        <f>VLOOKUP($G31,'NZT data'!$B$3:$F$200,4,FALSE)</f>
        <v>2050</v>
      </c>
      <c r="V31" s="32">
        <f>VLOOKUP($G31,'NZT data'!$B$3:$F$200,5,FALSE)</f>
        <v>2050</v>
      </c>
      <c r="W31" s="32">
        <f>-IF('LUC NGHGI'!EC21="",MIN('LUC NGHGI'!DW21,0.1),MIN('LUC NGHGI'!EC21,0.1))</f>
        <v>0.35387688274222762</v>
      </c>
      <c r="X31" s="32">
        <f>'LUC NGHGI'!EC21</f>
        <v>-0.35387688274222762</v>
      </c>
      <c r="Y31" s="32">
        <f>'LUC NGHGI'!DY21</f>
        <v>-0.35387688274222762</v>
      </c>
      <c r="Z31" s="32">
        <f>'LUC NGHGI'!DZ21</f>
        <v>-0.35387688274222762</v>
      </c>
      <c r="AA31" s="32">
        <f>Table12[[#This Row],[2021 emissions]]</f>
        <v>110.50610545664158</v>
      </c>
      <c r="AB31" s="32">
        <f>'LUC NGHGI'!DW21</f>
        <v>-0.34309454335841871</v>
      </c>
      <c r="AC31" s="32">
        <f>IF(F31="incl",Table12[[#This Row],[GHG emissions incl LULUCF]]-Table12[[#This Row],[LULUCF emis-sions in 20213]],Table12[[#This Row],[GHG emissions incl LULUCF]])</f>
        <v>110.8492</v>
      </c>
      <c r="AD31" s="32">
        <f>'input site'!BS31</f>
        <v>61.656827170427221</v>
      </c>
      <c r="AE31" s="32">
        <f>'LUC NGHGI'!EH21</f>
        <v>-0.61246356614403574</v>
      </c>
      <c r="AF31" s="32">
        <f>IF(F31="incl",Table12[[#This Row],[Current Policies 2030 incl LULUCF]]-Table12[[#This Row],[LULUCF CurPol 2030]],Table12[[#This Row],[Current Policies 2030 incl LULUCF]])</f>
        <v>62.269290736571257</v>
      </c>
      <c r="AG31" s="32">
        <f>IF(Table12[[#This Row],[Net-zero target status]]&lt;=1,"",IF(Table12[[#This Row],[NZ GHG year]]="","",1000000000*(Table12[[#This Row],[residual LULUCF emissions in 2050]]-Table12[[#This Row],[GHG emissions excl LULUCF]])/(Table12[[#This Row],[NZ GHG year]]-2021)/Table12[[#This Row],[Population]]))</f>
        <v>-326.54206179930827</v>
      </c>
      <c r="AH31" s="32">
        <f>IF(Table12[[#This Row],[Peak revised]]="Yes",IF(Table12[[#This Row],[Net-zero target status]]&lt;=1,"",IF(Table12[[#This Row],[NZ GHG year]]="","",1000000000*(Table12[[#This Row],[residual LULUCF emissions in 2050]]-Table12[[#This Row],[GHG emissions excl LULUCF]])/(Table12[[#This Row],[NZ GHG year]]-2021)/Table12[[#This Row],[Population]])),"")</f>
        <v>-326.54206179930827</v>
      </c>
      <c r="AI31" s="32">
        <f>MAX(0,(1000000*(Table12[[#This Row],[Current Policies 2030 excl LULUCF]]/2+Table12[[#This Row],[GHG emissions excl LULUCF]]/2)/Table12[[#This Row],[Population]]-$AI$8)*10)*$AI$10</f>
        <v>-41.833931007519887</v>
      </c>
      <c r="AJ3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31" s="32" t="str">
        <f>IF(Table12[[#This Row],[Formule no Peak (2)]]="","",Table12[[#This Row],[Penalty (1)]]+Table12[[#This Row],[Formule no Peak (2)]])</f>
        <v/>
      </c>
      <c r="AL31" s="313">
        <f>(Table12[[#This Row],[Current Policies 2030 excl LULUCF]]-Table12[[#This Row],[GHG emissions excl LULUCF]])/(2030-2021)/Table12[[#This Row],[GHG emissions excl LULUCF]]</f>
        <v>-4.8694692392335953E-2</v>
      </c>
      <c r="AM31" s="313">
        <f>IF(Table12[[#This Row],[Net-zero target status]]&lt;=1,"",IF(Table12[[#This Row],[NZ GHG year]]="","",(Table12[[#This Row],[residual LULUCF emissions in 2050]]-Table12[[#This Row],[Current Policies 2030 excl LULUCF]])/(Table12[[#This Row],[NZ GHG year]]-2030)/Table12[[#This Row],[Current Policies 2030 excl LULUCF]]))</f>
        <v>-4.9715849595718627E-2</v>
      </c>
      <c r="AN31" s="313">
        <f>IF(Table12[[#This Row],[Net-zero target status]]&lt;=1,"",IF(Table12[[#This Row],[NZ GHG year]]="","",(Table12[[#This Row],[residual LULUCF emissions in 2050]]-Table12[[#This Row],[GHG emissions excl LULUCF]])/(Table12[[#This Row],[NZ GHG year]]-2021)/Table12[[#This Row],[GHG emissions excl LULUCF]]))</f>
        <v>-3.4372675272058881E-2</v>
      </c>
      <c r="AO31" s="313" t="e">
        <f>IF(Table12[[#This Row],[Net-zero target status]]&lt;=1,"",IF(Table12[[#This Row],[NZ GHG year]]="","",(Table12[[#This Row],[residual LULUCF emissions in 2050]]-Table12[[#This Row],[2030 conditional NDCs]])/(Table12[[#This Row],[NZ GHG year]]-2030)/Table12[[#This Row],[2030 conditional NDCs]]))</f>
        <v>#DIV/0!</v>
      </c>
      <c r="AP31" s="96">
        <f>MAX('input site'!AH31:AS31)</f>
        <v>133.31338605138291</v>
      </c>
      <c r="AQ31" s="95" t="str">
        <f>IF(Table12[[#This Row],[Current Policies 2030 incl LULUCF]]&gt;Table12[[#This Row],[Maximum inventory data]],"No","Yes")</f>
        <v>Yes</v>
      </c>
      <c r="AR31" s="34">
        <f>IF(Table12[[#This Row],[Net-zero target status]]&gt;=1.5,Table12[[#This Row],[residual LULUCF emissions in 2050]]/Table12[[#This Row],[GHG emissions excl LULUCF]],"")</f>
        <v>3.19241711029243E-3</v>
      </c>
      <c r="AS31" s="74" t="str">
        <f>'input site'!BE31</f>
        <v/>
      </c>
      <c r="AT31" s="74"/>
      <c r="AU31" s="74"/>
      <c r="AV31" s="75"/>
      <c r="AW31" s="74" t="str">
        <f>IF(Table12[[#This Row],[2030 unconditional NDCs]]="","",IF(F31="incl",Table12[[#This Row],[2030 unconditional NDCs]]-Table12[[#This Row],[LULUCF NDC uncond]],Table12[[#This Row],[2030 unconditional NDCs]]))</f>
        <v/>
      </c>
      <c r="AX31" s="74" t="str">
        <f>IF(Table12[[#This Row],[2030 unconditional NDCs2]]="","",IF(F31="incl",Table12[[#This Row],[2030 unconditional NDCs2]]-Table12[[#This Row],[LULUCF NDC uncond]],Table12[[#This Row],[2030 unconditional NDCs2]]))</f>
        <v/>
      </c>
      <c r="AY31" s="74" t="str">
        <f>IF(Table12[[#This Row],[2030 conditional NDCs]]="","",IF(F31="incl",Table12[[#This Row],[2030 conditional NDCs]]-Table12[[#This Row],[LULUCF NDC cond]],Table12[[#This Row],[2030 conditional NDCs]]))</f>
        <v/>
      </c>
      <c r="AZ31" s="74" t="str">
        <f>IF(Table12[[#This Row],[2030 conditional NDCs2]]="","",IF(F31="incl",Table12[[#This Row],[2030 conditional NDCs2]]-Table12[[#This Row],[LULUCF NDC cond]],Table12[[#This Row],[2030 conditional NDCs2]]))</f>
        <v/>
      </c>
      <c r="BA31" s="8">
        <f>VLOOKUP($G31,'Population90 20'!$C$6:$AU$231,37,FALSE)</f>
        <v>11668278</v>
      </c>
      <c r="BB31" s="8">
        <f>VLOOKUP($G31,'Overview GDP (PPP)'!$C$6:$AI$231,33,FALSE)</f>
        <v>493638389.30350173</v>
      </c>
      <c r="BC31" s="36">
        <f>Table12[[#This Row],[Income]]/Table12[[#This Row],[Population]]</f>
        <v>42.30601887472185</v>
      </c>
      <c r="BD31" s="36">
        <f>Table12[[#This Row],[GHG emissions excl LULUCF]]*1000000/Table12[[#This Row],[Population]]</f>
        <v>9.5000479076689803</v>
      </c>
      <c r="BE31" s="23" t="e">
        <f>VLOOKUP($G31,EGR2023_MASTER!$B$4:$S$38,14,FALSE)</f>
        <v>#N/A</v>
      </c>
      <c r="BF31" s="23" t="e">
        <f>VLOOKUP($G31,EGR2023_MASTER!$B$4:$S$38,15,FALSE)</f>
        <v>#N/A</v>
      </c>
      <c r="BG31" s="23" t="e">
        <f>VLOOKUP($G31,EGR2023_MASTER!$B$4:$S$38,16,FALSE)</f>
        <v>#N/A</v>
      </c>
      <c r="BH31" s="23" t="e">
        <f t="shared" si="16"/>
        <v>#N/A</v>
      </c>
      <c r="BI31" s="23" t="e">
        <f t="shared" si="17"/>
        <v>#N/A</v>
      </c>
      <c r="BJ31" s="552">
        <f>(Table12[[#This Row],[Current Policies 2030 excl LULUCF]]/Table12[[#This Row],[GHG emissions excl LULUCF]])^(1/(2030-2021))-1</f>
        <v>-6.2068197479256848E-2</v>
      </c>
      <c r="BK31" s="552">
        <f>IF(Table12[[#This Row],[Net-zero target status]]&lt;=1,"",IF(Table12[[#This Row],[NZ GHG year]]="","",((MAX(Table12[[#This Row],[residual LULUCF emissions in 2050]],0.1)/Table12[[#This Row],[Current Policies 2030 excl LULUCF]])^(1/(Table12[[#This Row],[NZ GHG year]]-2021))-1)))</f>
        <v>-0.16329634791645797</v>
      </c>
      <c r="BL31" s="552">
        <f>IF(Table12[[#This Row],[Net-zero target status]]&lt;=1,"",IF(Table12[[#This Row],[NZ GHG year]]="","",((MAX(Table12[[#This Row],[residual LULUCF emissions in 2050]],0.1)/Table12[[#This Row],[GHG emissions excl LULUCF]])^(1/(Table12[[#This Row],[NZ GHG year]]-2021))-1)))</f>
        <v>-0.17977092536260308</v>
      </c>
      <c r="BM31" s="552" t="e">
        <f>IF(Table12[[#This Row],[Net-zero target status]]&lt;=1,"",IF(Table12[[#This Row],[NZ GHG year]]="","",((MAX(Table12[[#This Row],[residual LULUCF emissions in 2050]],0.1)/AVERAGE(Table12[[#This Row],[2030 conditional NDCs]:[2030 conditional NDCs2]]))^(1/(Table12[[#This Row],[NZ GHG year]]-2021))-1)))</f>
        <v>#DIV/0!</v>
      </c>
      <c r="BN31" s="23"/>
      <c r="BO31" s="23"/>
      <c r="BP31" s="23"/>
      <c r="BQ31" s="23"/>
      <c r="BR31" s="50" t="s">
        <v>91</v>
      </c>
      <c r="BT31" s="30">
        <f>IF(Table12[[#This Row],[Reduction rate 2021 to NZ target2]]="","",J31*(1+AN31)^(Table12[[#This Row],[NZ GHG year]]-2021))</f>
        <v>40.074039932337186</v>
      </c>
    </row>
    <row r="32" spans="1:72" ht="15" x14ac:dyDescent="0.25">
      <c r="A32">
        <v>0</v>
      </c>
      <c r="B32">
        <v>0</v>
      </c>
      <c r="C32">
        <v>84</v>
      </c>
      <c r="D32">
        <v>23</v>
      </c>
      <c r="E32">
        <v>4</v>
      </c>
      <c r="F32" t="str">
        <f>'input site'!M32</f>
        <v>excl</v>
      </c>
      <c r="G32" s="31" t="s">
        <v>92</v>
      </c>
      <c r="H32" s="1" t="s">
        <v>93</v>
      </c>
      <c r="I32" s="8">
        <f>VLOOKUP($G32,'NZT data'!$B$3:$C$200,2,FALSE)</f>
        <v>3</v>
      </c>
      <c r="J32" s="32">
        <f>'input site'!AS32</f>
        <v>1.8645148</v>
      </c>
      <c r="K32" s="32">
        <f>'input site'!BS32</f>
        <v>2.2990757520674423</v>
      </c>
      <c r="L32" s="32">
        <f t="shared" si="14"/>
        <v>0</v>
      </c>
      <c r="M32" s="32">
        <f t="shared" si="15"/>
        <v>0</v>
      </c>
      <c r="N32" s="32">
        <f>'input site'!EV32</f>
        <v>0.88293438084878395</v>
      </c>
      <c r="O32" s="8">
        <v>0</v>
      </c>
      <c r="P32" s="36">
        <f>O32-N32</f>
        <v>-0.88293438084878395</v>
      </c>
      <c r="Q32" s="32">
        <f t="shared" si="18"/>
        <v>0</v>
      </c>
      <c r="R32" s="32">
        <f>'input site'!EZ32</f>
        <v>0.17957155020968871</v>
      </c>
      <c r="S32" s="37">
        <f>'input site'!FA32</f>
        <v>2050</v>
      </c>
      <c r="T32" s="37" t="str">
        <f>Table12[[#This Row],[(Mt CO2 equivalent)]]</f>
        <v>Belize</v>
      </c>
      <c r="U32" s="8">
        <f>VLOOKUP($G32,'NZT data'!$B$3:$F$200,4,FALSE)</f>
        <v>2050</v>
      </c>
      <c r="V32" s="32">
        <f>VLOOKUP($G32,'NZT data'!$B$3:$F$200,5,FALSE)</f>
        <v>2050</v>
      </c>
      <c r="W32" s="32">
        <f>-IF('LUC NGHGI'!EC22="",MIN('LUC NGHGI'!DW22,0.1),MIN('LUC NGHGI'!EC22,0.1))</f>
        <v>9.5999999999999979</v>
      </c>
      <c r="X32" s="32">
        <f>'LUC NGHGI'!EC22</f>
        <v>-9.5999999999999979</v>
      </c>
      <c r="Y32" s="32">
        <f>'LUC NGHGI'!DY22</f>
        <v>-6.7078298091954593</v>
      </c>
      <c r="Z32" s="32">
        <f>'LUC NGHGI'!DZ22</f>
        <v>-6.7078298091954593</v>
      </c>
      <c r="AA32" s="32">
        <f>Table12[[#This Row],[2021 emissions]]</f>
        <v>1.8645148</v>
      </c>
      <c r="AB32" s="32">
        <f>'LUC NGHGI'!DW22</f>
        <v>-6.4080854291436253</v>
      </c>
      <c r="AC32" s="32">
        <f>IF(F32="incl",Table12[[#This Row],[GHG emissions incl LULUCF]]-Table12[[#This Row],[LULUCF emis-sions in 20213]],Table12[[#This Row],[GHG emissions incl LULUCF]])</f>
        <v>1.8645148</v>
      </c>
      <c r="AD32" s="32">
        <f>'input site'!BS32</f>
        <v>2.2990757520674423</v>
      </c>
      <c r="AE32" s="32">
        <f>'LUC NGHGI'!EH22</f>
        <v>-9.427508667383572</v>
      </c>
      <c r="AF32" s="32">
        <f>IF(F32="incl",Table12[[#This Row],[Current Policies 2030 incl LULUCF]]-Table12[[#This Row],[LULUCF CurPol 2030]],Table12[[#This Row],[Current Policies 2030 incl LULUCF]])</f>
        <v>2.2990757520674423</v>
      </c>
      <c r="AG32" s="32">
        <f>IF(Table12[[#This Row],[Net-zero target status]]&lt;=1,"",IF(Table12[[#This Row],[NZ GHG year]]="","",1000000000*(Table12[[#This Row],[residual LULUCF emissions in 2050]]-Table12[[#This Row],[GHG emissions excl LULUCF]])/(Table12[[#This Row],[NZ GHG year]]-2021)/Table12[[#This Row],[Population]]))</f>
        <v>647.13085947140189</v>
      </c>
      <c r="AH32" s="32" t="str">
        <f>IF(Table12[[#This Row],[Peak revised]]="Yes",IF(Table12[[#This Row],[Net-zero target status]]&lt;=1,"",IF(Table12[[#This Row],[NZ GHG year]]="","",1000000000*(Table12[[#This Row],[residual LULUCF emissions in 2050]]-Table12[[#This Row],[GHG emissions excl LULUCF]])/(Table12[[#This Row],[NZ GHG year]]-2021)/Table12[[#This Row],[Population]])),"")</f>
        <v/>
      </c>
      <c r="AI32" s="32">
        <f>MAX(0,(1000000*(Table12[[#This Row],[Current Policies 2030 excl LULUCF]]/2+Table12[[#This Row],[GHG emissions excl LULUCF]]/2)/Table12[[#This Row],[Population]]-$AI$8)*10)*$AI$10</f>
        <v>0</v>
      </c>
      <c r="AJ32" s="32">
        <f>IF(Table12[[#This Row],[Peak revised]]="No",IF(Table12[[#This Row],[Net-zero target status]]&lt;=1,"",IF(Table12[[#This Row],[NZ GHG year]]="","",1000000000*(Table12[[#This Row],[residual LULUCF emissions in 2050]]-Table12[[#This Row],[Current Policies 2030 excl LULUCF]])/(Table12[[#This Row],[NZ GHG year]]-2021)/Table12[[#This Row],[Population]])),"")</f>
        <v>610.77660435575456</v>
      </c>
      <c r="AK32" s="32">
        <f>IF(Table12[[#This Row],[Formule no Peak (2)]]="","",Table12[[#This Row],[Penalty (1)]]+Table12[[#This Row],[Formule no Peak (2)]])</f>
        <v>610.77660435575456</v>
      </c>
      <c r="AL32" s="313">
        <f>(Table12[[#This Row],[Current Policies 2030 excl LULUCF]]-Table12[[#This Row],[GHG emissions excl LULUCF]])/(2030-2021)/Table12[[#This Row],[GHG emissions excl LULUCF]]</f>
        <v>2.5896576540832935E-2</v>
      </c>
      <c r="AM32" s="313">
        <f>IF(Table12[[#This Row],[Net-zero target status]]&lt;=1,"",IF(Table12[[#This Row],[NZ GHG year]]="","",(Table12[[#This Row],[residual LULUCF emissions in 2050]]-Table12[[#This Row],[Current Policies 2030 excl LULUCF]])/(Table12[[#This Row],[NZ GHG year]]-2030)/Table12[[#This Row],[Current Policies 2030 excl LULUCF]]))</f>
        <v>0.15877954959437948</v>
      </c>
      <c r="AN32" s="313">
        <f>IF(Table12[[#This Row],[Net-zero target status]]&lt;=1,"",IF(Table12[[#This Row],[NZ GHG year]]="","",(Table12[[#This Row],[residual LULUCF emissions in 2050]]-Table12[[#This Row],[GHG emissions excl LULUCF]])/(Table12[[#This Row],[NZ GHG year]]-2021)/Table12[[#This Row],[GHG emissions excl LULUCF]]))</f>
        <v>0.14306181370376742</v>
      </c>
      <c r="AO32" s="313" t="e">
        <f>IF(Table12[[#This Row],[Net-zero target status]]&lt;=1,"",IF(Table12[[#This Row],[NZ GHG year]]="","",(Table12[[#This Row],[residual LULUCF emissions in 2050]]-Table12[[#This Row],[2030 conditional NDCs]])/(Table12[[#This Row],[NZ GHG year]]-2030)/Table12[[#This Row],[2030 conditional NDCs]]))</f>
        <v>#DIV/0!</v>
      </c>
      <c r="AP32" s="96">
        <f>MAX('input site'!AH32:AS32)</f>
        <v>1.8645148</v>
      </c>
      <c r="AQ32" s="95" t="str">
        <f>IF(Table12[[#This Row],[Current Policies 2030 incl LULUCF]]&gt;Table12[[#This Row],[Maximum inventory data]],"No","Yes")</f>
        <v>No</v>
      </c>
      <c r="AR32" s="443">
        <f>IF(Table12[[#This Row],[Net-zero target status]]&gt;=1.5,Table12[[#This Row],[residual LULUCF emissions in 2050]]/Table12[[#This Row],[GHG emissions excl LULUCF]],"")</f>
        <v>5.1487925974092548</v>
      </c>
      <c r="AS32" s="74" t="str">
        <f>'input site'!BE32</f>
        <v/>
      </c>
      <c r="AT32" s="74"/>
      <c r="AU32" s="74"/>
      <c r="AV32" s="75"/>
      <c r="AW32" s="74" t="str">
        <f>IF(Table12[[#This Row],[2030 unconditional NDCs]]="","",IF(F32="incl",Table12[[#This Row],[2030 unconditional NDCs]]-Table12[[#This Row],[LULUCF NDC uncond]],Table12[[#This Row],[2030 unconditional NDCs]]))</f>
        <v/>
      </c>
      <c r="AX32" s="74" t="str">
        <f>IF(Table12[[#This Row],[2030 unconditional NDCs2]]="","",IF(F32="incl",Table12[[#This Row],[2030 unconditional NDCs2]]-Table12[[#This Row],[LULUCF NDC uncond]],Table12[[#This Row],[2030 unconditional NDCs2]]))</f>
        <v/>
      </c>
      <c r="AY32" s="74" t="str">
        <f>IF(Table12[[#This Row],[2030 conditional NDCs]]="","",IF(F32="incl",Table12[[#This Row],[2030 conditional NDCs]]-Table12[[#This Row],[LULUCF NDC cond]],Table12[[#This Row],[2030 conditional NDCs]]))</f>
        <v/>
      </c>
      <c r="AZ32" s="74" t="str">
        <f>IF(Table12[[#This Row],[2030 conditional NDCs2]]="","",IF(F32="incl",Table12[[#This Row],[2030 conditional NDCs2]]-Table12[[#This Row],[LULUCF NDC cond]],Table12[[#This Row],[2030 conditional NDCs2]]))</f>
        <v/>
      </c>
      <c r="BA32" s="8">
        <f>VLOOKUP($G32,'Population90 20'!$C$6:$AU$231,37,FALSE)</f>
        <v>412190</v>
      </c>
      <c r="BB32" s="8">
        <f>VLOOKUP($G32,'Overview GDP (PPP)'!$C$6:$AI$231,33,FALSE)</f>
        <v>2991875.7040027943</v>
      </c>
      <c r="BC32" s="36">
        <f>Table12[[#This Row],[Income]]/Table12[[#This Row],[Population]]</f>
        <v>7.2584868725655509</v>
      </c>
      <c r="BD32" s="36">
        <f>Table12[[#This Row],[GHG emissions excl LULUCF]]*1000000/Table12[[#This Row],[Population]]</f>
        <v>4.5234353089594608</v>
      </c>
      <c r="BE32" s="23" t="e">
        <f>VLOOKUP($G32,EGR2023_MASTER!$B$4:$S$38,14,FALSE)</f>
        <v>#N/A</v>
      </c>
      <c r="BF32" s="23" t="e">
        <f>VLOOKUP($G32,EGR2023_MASTER!$B$4:$S$38,15,FALSE)</f>
        <v>#N/A</v>
      </c>
      <c r="BG32" s="23" t="e">
        <f>VLOOKUP($G32,EGR2023_MASTER!$B$4:$S$38,16,FALSE)</f>
        <v>#N/A</v>
      </c>
      <c r="BH32" s="23" t="e">
        <f t="shared" si="16"/>
        <v>#N/A</v>
      </c>
      <c r="BI32" s="23" t="e">
        <f t="shared" si="17"/>
        <v>#N/A</v>
      </c>
      <c r="BJ32" s="552">
        <f>(Table12[[#This Row],[Current Policies 2030 excl LULUCF]]/Table12[[#This Row],[GHG emissions excl LULUCF]])^(1/(2030-2021))-1</f>
        <v>2.3551540411518301E-2</v>
      </c>
      <c r="BK32" s="552">
        <f>IF(Table12[[#This Row],[Net-zero target status]]&lt;=1,"",IF(Table12[[#This Row],[NZ GHG year]]="","",((MAX(Table12[[#This Row],[residual LULUCF emissions in 2050]],0.1)/Table12[[#This Row],[Current Policies 2030 excl LULUCF]])^(1/(Table12[[#This Row],[NZ GHG year]]-2021))-1)))</f>
        <v>5.0519376667261806E-2</v>
      </c>
      <c r="BL32" s="552">
        <f>IF(Table12[[#This Row],[Net-zero target status]]&lt;=1,"",IF(Table12[[#This Row],[NZ GHG year]]="","",((MAX(Table12[[#This Row],[residual LULUCF emissions in 2050]],0.1)/Table12[[#This Row],[GHG emissions excl LULUCF]])^(1/(Table12[[#This Row],[NZ GHG year]]-2021))-1)))</f>
        <v>5.8136183230107497E-2</v>
      </c>
      <c r="BM32" s="552" t="e">
        <f>IF(Table12[[#This Row],[Net-zero target status]]&lt;=1,"",IF(Table12[[#This Row],[NZ GHG year]]="","",((MAX(Table12[[#This Row],[residual LULUCF emissions in 2050]],0.1)/AVERAGE(Table12[[#This Row],[2030 conditional NDCs]:[2030 conditional NDCs2]]))^(1/(Table12[[#This Row],[NZ GHG year]]-2021))-1)))</f>
        <v>#DIV/0!</v>
      </c>
      <c r="BN32" s="23"/>
      <c r="BO32" s="23"/>
      <c r="BP32" s="23"/>
      <c r="BQ32" s="23"/>
      <c r="BR32" s="50" t="s">
        <v>93</v>
      </c>
      <c r="BT32" s="30">
        <f>IF(Table12[[#This Row],[Reduction rate 2021 to NZ target2]]="","",J32*(1+AN32)^(Table12[[#This Row],[NZ GHG year]]-2021))</f>
        <v>90.071545294536222</v>
      </c>
    </row>
    <row r="33" spans="1:72" ht="15" x14ac:dyDescent="0.25">
      <c r="A33">
        <v>0</v>
      </c>
      <c r="B33">
        <v>0</v>
      </c>
      <c r="C33">
        <v>204</v>
      </c>
      <c r="D33">
        <v>52</v>
      </c>
      <c r="E33">
        <v>8</v>
      </c>
      <c r="F33" t="str">
        <f>'input site'!M33</f>
        <v>excl</v>
      </c>
      <c r="G33" s="31" t="s">
        <v>94</v>
      </c>
      <c r="H33" s="1" t="s">
        <v>95</v>
      </c>
      <c r="I33" s="8">
        <f>VLOOKUP($G33,'NZT data'!$B$3:$C$200,2,FALSE)</f>
        <v>5</v>
      </c>
      <c r="J33" s="32">
        <f>'input site'!AS33</f>
        <v>19.316179999999999</v>
      </c>
      <c r="K33" s="32">
        <f>'input site'!BS33</f>
        <v>23.00531083461394</v>
      </c>
      <c r="L33" s="32">
        <f t="shared" si="14"/>
        <v>0</v>
      </c>
      <c r="M33" s="32">
        <f t="shared" si="15"/>
        <v>0</v>
      </c>
      <c r="N33" s="32">
        <f>'input site'!EV33</f>
        <v>16.752042728747949</v>
      </c>
      <c r="O33" s="8">
        <v>0</v>
      </c>
      <c r="P33" s="36">
        <f>O33-N33</f>
        <v>-16.752042728747949</v>
      </c>
      <c r="Q33" s="32">
        <f t="shared" si="18"/>
        <v>0</v>
      </c>
      <c r="R33" s="32">
        <f>'input site'!EZ33</f>
        <v>9.5419683117485228</v>
      </c>
      <c r="S33" s="37">
        <f>'input site'!FA33</f>
        <v>2050</v>
      </c>
      <c r="T33" s="37" t="str">
        <f>Table12[[#This Row],[(Mt CO2 equivalent)]]</f>
        <v>Benin</v>
      </c>
      <c r="U33" s="8">
        <f>VLOOKUP($G33,'NZT data'!$B$3:$F$200,4,FALSE)</f>
        <v>2000</v>
      </c>
      <c r="V33" s="32">
        <f>VLOOKUP($G33,'NZT data'!$B$3:$F$200,5,FALSE)</f>
        <v>2000</v>
      </c>
      <c r="W33" s="32">
        <f>-IF('LUC NGHGI'!EC23="",MIN('LUC NGHGI'!DW23,0.1),MIN('LUC NGHGI'!EC23,0.1))</f>
        <v>163</v>
      </c>
      <c r="X33" s="32">
        <f>'LUC NGHGI'!EC23</f>
        <v>-163</v>
      </c>
      <c r="Y33" s="32">
        <f>'LUC NGHGI'!DY23</f>
        <v>-10</v>
      </c>
      <c r="Z33" s="32">
        <f>'LUC NGHGI'!DZ23</f>
        <v>-10</v>
      </c>
      <c r="AA33" s="32">
        <f>Table12[[#This Row],[2021 emissions]]</f>
        <v>19.316179999999999</v>
      </c>
      <c r="AB33" s="32">
        <f>'LUC NGHGI'!DW23</f>
        <v>-3.7346580307692339</v>
      </c>
      <c r="AC33" s="32">
        <f>IF(F33="incl",Table12[[#This Row],[GHG emissions incl LULUCF]]-Table12[[#This Row],[LULUCF emis-sions in 20213]],Table12[[#This Row],[GHG emissions incl LULUCF]])</f>
        <v>19.316179999999999</v>
      </c>
      <c r="AD33" s="32">
        <f>'input site'!BS33</f>
        <v>23.00531083461394</v>
      </c>
      <c r="AE33" s="32">
        <f>'LUC NGHGI'!EH23</f>
        <v>-4.8500274552030085</v>
      </c>
      <c r="AF33" s="32">
        <f>IF(F33="incl",Table12[[#This Row],[Current Policies 2030 incl LULUCF]]-Table12[[#This Row],[LULUCF CurPol 2030]],Table12[[#This Row],[Current Policies 2030 incl LULUCF]])</f>
        <v>23.00531083461394</v>
      </c>
      <c r="AG33" s="32">
        <f>IF(Table12[[#This Row],[Net-zero target status]]&lt;=1,"",IF(Table12[[#This Row],[NZ GHG year]]="","",1000000000*(Table12[[#This Row],[residual LULUCF emissions in 2050]]-Table12[[#This Row],[GHG emissions excl LULUCF]])/(Table12[[#This Row],[NZ GHG year]]-2021)/Table12[[#This Row],[Population]]))</f>
        <v>-535.17663707979875</v>
      </c>
      <c r="AH33" s="32" t="str">
        <f>IF(Table12[[#This Row],[Peak revised]]="Yes",IF(Table12[[#This Row],[Net-zero target status]]&lt;=1,"",IF(Table12[[#This Row],[NZ GHG year]]="","",1000000000*(Table12[[#This Row],[residual LULUCF emissions in 2050]]-Table12[[#This Row],[GHG emissions excl LULUCF]])/(Table12[[#This Row],[NZ GHG year]]-2021)/Table12[[#This Row],[Population]])),"")</f>
        <v/>
      </c>
      <c r="AI33" s="32">
        <f>MAX(0,(1000000*(Table12[[#This Row],[Current Policies 2030 excl LULUCF]]/2+Table12[[#This Row],[GHG emissions excl LULUCF]]/2)/Table12[[#This Row],[Population]]-$AI$8)*10)*$AI$10</f>
        <v>0</v>
      </c>
      <c r="AJ33" s="32">
        <f>IF(Table12[[#This Row],[Peak revised]]="No",IF(Table12[[#This Row],[Net-zero target status]]&lt;=1,"",IF(Table12[[#This Row],[NZ GHG year]]="","",1000000000*(Table12[[#This Row],[residual LULUCF emissions in 2050]]-Table12[[#This Row],[Current Policies 2030 excl LULUCF]])/(Table12[[#This Row],[NZ GHG year]]-2021)/Table12[[#This Row],[Population]])),"")</f>
        <v>-521.43579532172134</v>
      </c>
      <c r="AK33" s="32">
        <f>IF(Table12[[#This Row],[Formule no Peak (2)]]="","",Table12[[#This Row],[Penalty (1)]]+Table12[[#This Row],[Formule no Peak (2)]])</f>
        <v>-521.43579532172134</v>
      </c>
      <c r="AL33" s="313">
        <f>(Table12[[#This Row],[Current Policies 2030 excl LULUCF]]-Table12[[#This Row],[GHG emissions excl LULUCF]])/(2030-2021)/Table12[[#This Row],[GHG emissions excl LULUCF]]</f>
        <v>2.1220729257452338E-2</v>
      </c>
      <c r="AM33" s="313">
        <f>IF(Table12[[#This Row],[Net-zero target status]]&lt;=1,"",IF(Table12[[#This Row],[NZ GHG year]]="","",(Table12[[#This Row],[residual LULUCF emissions in 2050]]-Table12[[#This Row],[Current Policies 2030 excl LULUCF]])/(Table12[[#This Row],[NZ GHG year]]-2030)/Table12[[#This Row],[Current Policies 2030 excl LULUCF]]))</f>
        <v>-0.2028440159923843</v>
      </c>
      <c r="AN33" s="313">
        <f>IF(Table12[[#This Row],[Net-zero target status]]&lt;=1,"",IF(Table12[[#This Row],[NZ GHG year]]="","",(Table12[[#This Row],[residual LULUCF emissions in 2050]]-Table12[[#This Row],[GHG emissions excl LULUCF]])/(Table12[[#This Row],[NZ GHG year]]-2021)/Table12[[#This Row],[GHG emissions excl LULUCF]]))</f>
        <v>-0.354215308962055</v>
      </c>
      <c r="AO33" s="313">
        <f>IF(Table12[[#This Row],[Net-zero target status]]&lt;=1,"",IF(Table12[[#This Row],[NZ GHG year]]="","",(Table12[[#This Row],[residual LULUCF emissions in 2050]]-Table12[[#This Row],[2030 conditional NDCs]])/(Table12[[#This Row],[NZ GHG year]]-2030)/Table12[[#This Row],[2030 conditional NDCs]]))</f>
        <v>-0.27389501460748278</v>
      </c>
      <c r="AP33" s="96">
        <f>MAX('input site'!AH33:AS33)</f>
        <v>19.316179999999999</v>
      </c>
      <c r="AQ33" s="95" t="str">
        <f>IF(Table12[[#This Row],[Current Policies 2030 incl LULUCF]]&gt;Table12[[#This Row],[Maximum inventory data]],"No","Yes")</f>
        <v>No</v>
      </c>
      <c r="AR33" s="443">
        <f>IF(Table12[[#This Row],[Net-zero target status]]&gt;=1.5,Table12[[#This Row],[residual LULUCF emissions in 2050]]/Table12[[#This Row],[GHG emissions excl LULUCF]],"")</f>
        <v>8.4385214882031541</v>
      </c>
      <c r="AS33" s="74" t="str">
        <f>'input site'!BE33</f>
        <v/>
      </c>
      <c r="AT33" s="74"/>
      <c r="AU33" s="74">
        <f>'input site'!BG33</f>
        <v>17.685000000000002</v>
      </c>
      <c r="AV33" s="75">
        <f>'input site'!BH33</f>
        <v>17.685000000000002</v>
      </c>
      <c r="AW33" s="74" t="str">
        <f>IF(Table12[[#This Row],[2030 unconditional NDCs]]="","",IF(F33="incl",Table12[[#This Row],[2030 unconditional NDCs]]-Table12[[#This Row],[LULUCF NDC uncond]],Table12[[#This Row],[2030 unconditional NDCs]]))</f>
        <v/>
      </c>
      <c r="AX33" s="74" t="str">
        <f>IF(Table12[[#This Row],[2030 unconditional NDCs2]]="","",IF(F33="incl",Table12[[#This Row],[2030 unconditional NDCs2]]-Table12[[#This Row],[LULUCF NDC uncond]],Table12[[#This Row],[2030 unconditional NDCs2]]))</f>
        <v/>
      </c>
      <c r="AY33" s="74">
        <f>IF(Table12[[#This Row],[2030 conditional NDCs]]="","",IF(F33="incl",Table12[[#This Row],[2030 conditional NDCs]]-Table12[[#This Row],[LULUCF NDC cond]],Table12[[#This Row],[2030 conditional NDCs]]))</f>
        <v>17.685000000000002</v>
      </c>
      <c r="AZ33" s="74">
        <f>IF(Table12[[#This Row],[2030 conditional NDCs2]]="","",IF(F33="incl",Table12[[#This Row],[2030 conditional NDCs2]]-Table12[[#This Row],[LULUCF NDC cond]],Table12[[#This Row],[2030 conditional NDCs2]]))</f>
        <v>17.685000000000002</v>
      </c>
      <c r="BA33" s="8">
        <f>VLOOKUP($G33,'Population90 20'!$C$6:$AU$231,37,FALSE)</f>
        <v>12784726</v>
      </c>
      <c r="BB33" s="8">
        <f>VLOOKUP($G33,'Overview GDP (PPP)'!$C$6:$AI$231,33,FALSE)</f>
        <v>24710576.57591952</v>
      </c>
      <c r="BC33" s="36">
        <f>Table12[[#This Row],[Income]]/Table12[[#This Row],[Population]]</f>
        <v>1.932820193089748</v>
      </c>
      <c r="BD33" s="36">
        <f>Table12[[#This Row],[GHG emissions excl LULUCF]]*1000000/Table12[[#This Row],[Population]]</f>
        <v>1.5108794666385499</v>
      </c>
      <c r="BE33" s="23" t="e">
        <f>VLOOKUP($G33,EGR2023_MASTER!$B$4:$S$38,14,FALSE)</f>
        <v>#N/A</v>
      </c>
      <c r="BF33" s="23" t="e">
        <f>VLOOKUP($G33,EGR2023_MASTER!$B$4:$S$38,15,FALSE)</f>
        <v>#N/A</v>
      </c>
      <c r="BG33" s="23" t="e">
        <f>VLOOKUP($G33,EGR2023_MASTER!$B$4:$S$38,16,FALSE)</f>
        <v>#N/A</v>
      </c>
      <c r="BH33" s="23" t="e">
        <f t="shared" si="16"/>
        <v>#N/A</v>
      </c>
      <c r="BI33" s="23" t="e">
        <f t="shared" si="17"/>
        <v>#N/A</v>
      </c>
      <c r="BJ33" s="552">
        <f>(Table12[[#This Row],[Current Policies 2030 excl LULUCF]]/Table12[[#This Row],[GHG emissions excl LULUCF]])^(1/(2030-2021))-1</f>
        <v>1.9610022352633871E-2</v>
      </c>
      <c r="BK33" s="552">
        <f>IF(Table12[[#This Row],[Net-zero target status]]&lt;=1,"",IF(Table12[[#This Row],[NZ GHG year]]="","",((MAX(Table12[[#This Row],[residual LULUCF emissions in 2050]],0.1)/Table12[[#This Row],[Current Policies 2030 excl LULUCF]])^(1/(Table12[[#This Row],[NZ GHG year]]-2021))-1)))</f>
        <v>-8.9024513791463589E-2</v>
      </c>
      <c r="BL33" s="552">
        <f>IF(Table12[[#This Row],[Net-zero target status]]&lt;=1,"",IF(Table12[[#This Row],[NZ GHG year]]="","",((MAX(Table12[[#This Row],[residual LULUCF emissions in 2050]],0.1)/Table12[[#This Row],[GHG emissions excl LULUCF]])^(1/(Table12[[#This Row],[NZ GHG year]]-2021))-1)))</f>
        <v>-9.6575054765949964E-2</v>
      </c>
      <c r="BM33" s="552">
        <f>IF(Table12[[#This Row],[Net-zero target status]]&lt;=1,"",IF(Table12[[#This Row],[NZ GHG year]]="","",((MAX(Table12[[#This Row],[residual LULUCF emissions in 2050]],0.1)/AVERAGE(Table12[[#This Row],[2030 conditional NDCs]:[2030 conditional NDCs2]]))^(1/(Table12[[#This Row],[NZ GHG year]]-2021))-1)))</f>
        <v>-0.10036260761933269</v>
      </c>
      <c r="BN33" s="23"/>
      <c r="BO33" s="23"/>
      <c r="BP33" s="23"/>
      <c r="BQ33" s="23"/>
      <c r="BR33" s="50" t="s">
        <v>95</v>
      </c>
      <c r="BT33" s="30">
        <f>IF(Table12[[#This Row],[Reduction rate 2021 to NZ target2]]="","",J33*(1+AN33)^(Table12[[#This Row],[NZ GHG year]]-2021))</f>
        <v>187965.69283966528</v>
      </c>
    </row>
    <row r="34" spans="1:72" ht="15" x14ac:dyDescent="0.25">
      <c r="A34">
        <v>0</v>
      </c>
      <c r="B34">
        <v>0</v>
      </c>
      <c r="C34">
        <v>60</v>
      </c>
      <c r="D34">
        <v>17</v>
      </c>
      <c r="E34">
        <v>4</v>
      </c>
      <c r="F34" t="str">
        <f>'input site'!M34</f>
        <v>excl</v>
      </c>
      <c r="G34" s="31" t="s">
        <v>96</v>
      </c>
      <c r="H34" s="1" t="s">
        <v>97</v>
      </c>
      <c r="I34" s="8">
        <f>VLOOKUP($G34,'NZT data'!$B$3:$C$200,2,FALSE)</f>
        <v>0</v>
      </c>
      <c r="J34" s="32">
        <f>'input site'!AS34</f>
        <v>0</v>
      </c>
      <c r="K34" s="32">
        <f>'input site'!BS34</f>
        <v>0</v>
      </c>
      <c r="L34" s="32">
        <f t="shared" si="14"/>
        <v>0</v>
      </c>
      <c r="M34" s="32">
        <f t="shared" si="15"/>
        <v>0</v>
      </c>
      <c r="N34" s="32">
        <f>'input site'!EV34</f>
        <v>0</v>
      </c>
      <c r="O34" s="8"/>
      <c r="P34" s="8"/>
      <c r="Q34" s="32">
        <f t="shared" si="18"/>
        <v>0</v>
      </c>
      <c r="R34" s="32">
        <f>'input site'!EZ34</f>
        <v>0</v>
      </c>
      <c r="S34" s="37">
        <f>'input site'!FA34</f>
        <v>0</v>
      </c>
      <c r="T34" s="37" t="str">
        <f>Table12[[#This Row],[(Mt CO2 equivalent)]]</f>
        <v>Bermuda</v>
      </c>
      <c r="U34" s="8">
        <f>VLOOKUP($G34,'NZT data'!$B$3:$F$200,4,FALSE)</f>
        <v>2110</v>
      </c>
      <c r="V34" s="32" t="str">
        <f>VLOOKUP($G34,'NZT data'!$B$3:$F$200,5,FALSE)</f>
        <v/>
      </c>
      <c r="W34" s="32">
        <f>-IF('LUC NGHGI'!EC24="",MIN('LUC NGHGI'!DW24,0.1),MIN('LUC NGHGI'!EC24,0.1))</f>
        <v>0</v>
      </c>
      <c r="X34" s="32" t="str">
        <f>'LUC NGHGI'!EC24</f>
        <v/>
      </c>
      <c r="Y34" s="32" t="str">
        <f>'LUC NGHGI'!DY24</f>
        <v/>
      </c>
      <c r="Z34" s="32" t="str">
        <f>'LUC NGHGI'!DZ24</f>
        <v/>
      </c>
      <c r="AA34" s="32">
        <f>Table12[[#This Row],[2021 emissions]]</f>
        <v>0</v>
      </c>
      <c r="AB34" s="32">
        <f>'LUC NGHGI'!DW24</f>
        <v>0</v>
      </c>
      <c r="AC34" s="32">
        <f>IF(F34="incl",Table12[[#This Row],[GHG emissions incl LULUCF]]-Table12[[#This Row],[LULUCF emis-sions in 20213]],Table12[[#This Row],[GHG emissions incl LULUCF]])</f>
        <v>0</v>
      </c>
      <c r="AD34" s="32">
        <f>'input site'!BS34</f>
        <v>0</v>
      </c>
      <c r="AE34" s="32">
        <f>'LUC NGHGI'!EH24</f>
        <v>0</v>
      </c>
      <c r="AF34" s="32">
        <f>IF(F34="incl",Table12[[#This Row],[Current Policies 2030 incl LULUCF]]-Table12[[#This Row],[LULUCF CurPol 2030]],Table12[[#This Row],[Current Policies 2030 incl LULUCF]])</f>
        <v>0</v>
      </c>
      <c r="AG34" s="32" t="str">
        <f>IF(Table12[[#This Row],[Net-zero target status]]&lt;=1,"",IF(Table12[[#This Row],[NZ GHG year]]="","",1000000000*(Table12[[#This Row],[residual LULUCF emissions in 2050]]-Table12[[#This Row],[GHG emissions excl LULUCF]])/(Table12[[#This Row],[NZ GHG year]]-2021)/Table12[[#This Row],[Population]]))</f>
        <v/>
      </c>
      <c r="AH34" s="32" t="str">
        <f>IF(Table12[[#This Row],[Peak revised]]="Yes",IF(Table12[[#This Row],[Net-zero target status]]&lt;=1,"",IF(Table12[[#This Row],[NZ GHG year]]="","",1000000000*(Table12[[#This Row],[residual LULUCF emissions in 2050]]-Table12[[#This Row],[GHG emissions excl LULUCF]])/(Table12[[#This Row],[NZ GHG year]]-2021)/Table12[[#This Row],[Population]])),"")</f>
        <v/>
      </c>
      <c r="AI34" s="32">
        <f>MAX(0,(1000000*(Table12[[#This Row],[Current Policies 2030 excl LULUCF]]/2+Table12[[#This Row],[GHG emissions excl LULUCF]]/2)/Table12[[#This Row],[Population]]-$AI$8)*10)*$AI$10</f>
        <v>0</v>
      </c>
      <c r="AJ3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34" s="32" t="str">
        <f>IF(Table12[[#This Row],[Formule no Peak (2)]]="","",Table12[[#This Row],[Penalty (1)]]+Table12[[#This Row],[Formule no Peak (2)]])</f>
        <v/>
      </c>
      <c r="AL34" s="313" t="e">
        <f>(Table12[[#This Row],[Current Policies 2030 excl LULUCF]]-Table12[[#This Row],[GHG emissions excl LULUCF]])/(2030-2021)/Table12[[#This Row],[GHG emissions excl LULUCF]]</f>
        <v>#DIV/0!</v>
      </c>
      <c r="AM34" s="313" t="str">
        <f>IF(Table12[[#This Row],[Net-zero target status]]&lt;=1,"",IF(Table12[[#This Row],[NZ GHG year]]="","",(Table12[[#This Row],[residual LULUCF emissions in 2050]]-Table12[[#This Row],[Current Policies 2030 excl LULUCF]])/(Table12[[#This Row],[NZ GHG year]]-2030)/Table12[[#This Row],[Current Policies 2030 excl LULUCF]]))</f>
        <v/>
      </c>
      <c r="AN34" s="313" t="str">
        <f>IF(Table12[[#This Row],[Net-zero target status]]&lt;=1,"",IF(Table12[[#This Row],[NZ GHG year]]="","",(Table12[[#This Row],[residual LULUCF emissions in 2050]]-Table12[[#This Row],[GHG emissions excl LULUCF]])/(Table12[[#This Row],[NZ GHG year]]-2021)/Table12[[#This Row],[GHG emissions excl LULUCF]]))</f>
        <v/>
      </c>
      <c r="AO34" s="313" t="str">
        <f>IF(Table12[[#This Row],[Net-zero target status]]&lt;=1,"",IF(Table12[[#This Row],[NZ GHG year]]="","",(Table12[[#This Row],[residual LULUCF emissions in 2050]]-Table12[[#This Row],[2030 conditional NDCs]])/(Table12[[#This Row],[NZ GHG year]]-2030)/Table12[[#This Row],[2030 conditional NDCs]]))</f>
        <v/>
      </c>
      <c r="AP34" s="96">
        <f>MAX('input site'!AH34:AS34)</f>
        <v>0</v>
      </c>
      <c r="AQ34" s="95" t="str">
        <f>IF(Table12[[#This Row],[Current Policies 2030 incl LULUCF]]&gt;Table12[[#This Row],[Maximum inventory data]],"No","Yes")</f>
        <v>Yes</v>
      </c>
      <c r="AR34" s="34" t="str">
        <f>IF(Table12[[#This Row],[Net-zero target status]]&gt;=1.5,Table12[[#This Row],[residual LULUCF emissions in 2050]]/Table12[[#This Row],[GHG emissions excl LULUCF]],"")</f>
        <v/>
      </c>
      <c r="AS34" s="74" t="str">
        <f>'input site'!BE34</f>
        <v/>
      </c>
      <c r="AT34" s="74"/>
      <c r="AU34" s="74" t="str">
        <f>'input site'!BG34</f>
        <v/>
      </c>
      <c r="AV34" s="75"/>
      <c r="AW34" s="74" t="str">
        <f>IF(Table12[[#This Row],[2030 unconditional NDCs]]="","",IF(F34="incl",Table12[[#This Row],[2030 unconditional NDCs]]-Table12[[#This Row],[LULUCF NDC uncond]],Table12[[#This Row],[2030 unconditional NDCs]]))</f>
        <v/>
      </c>
      <c r="AX34" s="74" t="str">
        <f>IF(Table12[[#This Row],[2030 unconditional NDCs2]]="","",IF(F34="incl",Table12[[#This Row],[2030 unconditional NDCs2]]-Table12[[#This Row],[LULUCF NDC uncond]],Table12[[#This Row],[2030 unconditional NDCs2]]))</f>
        <v/>
      </c>
      <c r="AY34" s="74" t="str">
        <f>IF(Table12[[#This Row],[2030 conditional NDCs]]="","",IF(F34="incl",Table12[[#This Row],[2030 conditional NDCs]]-Table12[[#This Row],[LULUCF NDC cond]],Table12[[#This Row],[2030 conditional NDCs]]))</f>
        <v/>
      </c>
      <c r="AZ34" s="74" t="str">
        <f>IF(Table12[[#This Row],[2030 conditional NDCs2]]="","",IF(F34="incl",Table12[[#This Row],[2030 conditional NDCs2]]-Table12[[#This Row],[LULUCF NDC cond]],Table12[[#This Row],[2030 conditional NDCs2]]))</f>
        <v/>
      </c>
      <c r="BA34" s="8">
        <f>VLOOKUP($G34,'Population90 20'!$C$6:$AU$231,37,FALSE)</f>
        <v>61939</v>
      </c>
      <c r="BB34" s="8">
        <f>VLOOKUP($G34,'Overview GDP (PPP)'!$C$6:$AI$231,33,FALSE)</f>
        <v>3331135.6209824849</v>
      </c>
      <c r="BC34" s="36">
        <f>Table12[[#This Row],[Income]]/Table12[[#This Row],[Population]]</f>
        <v>53.780907360184777</v>
      </c>
      <c r="BD34" s="36">
        <f>Table12[[#This Row],[GHG emissions excl LULUCF]]*1000000/Table12[[#This Row],[Population]]</f>
        <v>0</v>
      </c>
      <c r="BE34" s="23" t="e">
        <f>VLOOKUP($G34,EGR2023_MASTER!$B$4:$S$38,14,FALSE)</f>
        <v>#N/A</v>
      </c>
      <c r="BF34" s="23" t="e">
        <f>VLOOKUP($G34,EGR2023_MASTER!$B$4:$S$38,15,FALSE)</f>
        <v>#N/A</v>
      </c>
      <c r="BG34" s="23" t="e">
        <f>VLOOKUP($G34,EGR2023_MASTER!$B$4:$S$38,16,FALSE)</f>
        <v>#N/A</v>
      </c>
      <c r="BH34" s="23" t="e">
        <f t="shared" si="16"/>
        <v>#N/A</v>
      </c>
      <c r="BI34" s="23" t="e">
        <f t="shared" si="17"/>
        <v>#N/A</v>
      </c>
      <c r="BJ34" s="552" t="e">
        <f>(Table12[[#This Row],[Current Policies 2030 excl LULUCF]]/Table12[[#This Row],[GHG emissions excl LULUCF]])^(1/(2030-2021))-1</f>
        <v>#DIV/0!</v>
      </c>
      <c r="BK34" s="552" t="str">
        <f>IF(Table12[[#This Row],[Net-zero target status]]&lt;=1,"",IF(Table12[[#This Row],[NZ GHG year]]="","",((MAX(Table12[[#This Row],[residual LULUCF emissions in 2050]],0.1)/Table12[[#This Row],[Current Policies 2030 excl LULUCF]])^(1/(Table12[[#This Row],[NZ GHG year]]-2021))-1)))</f>
        <v/>
      </c>
      <c r="BL34" s="552" t="str">
        <f>IF(Table12[[#This Row],[Net-zero target status]]&lt;=1,"",IF(Table12[[#This Row],[NZ GHG year]]="","",((MAX(Table12[[#This Row],[residual LULUCF emissions in 2050]],0.1)/Table12[[#This Row],[GHG emissions excl LULUCF]])^(1/(Table12[[#This Row],[NZ GHG year]]-2021))-1)))</f>
        <v/>
      </c>
      <c r="BM34" s="552" t="str">
        <f>IF(Table12[[#This Row],[Net-zero target status]]&lt;=1,"",IF(Table12[[#This Row],[NZ GHG year]]="","",((MAX(Table12[[#This Row],[residual LULUCF emissions in 2050]],0.1)/AVERAGE(Table12[[#This Row],[2030 conditional NDCs]:[2030 conditional NDCs2]]))^(1/(Table12[[#This Row],[NZ GHG year]]-2021))-1)))</f>
        <v/>
      </c>
      <c r="BN34" s="23"/>
      <c r="BO34" s="23"/>
      <c r="BP34" s="23"/>
      <c r="BQ34" s="23"/>
      <c r="BR34" s="50" t="s">
        <v>97</v>
      </c>
      <c r="BT34" s="30" t="str">
        <f>IF(Table12[[#This Row],[Reduction rate 2021 to NZ target2]]="","",J34*(1+AN34)^(Table12[[#This Row],[NZ GHG year]]-2021))</f>
        <v/>
      </c>
    </row>
    <row r="35" spans="1:72" ht="15" x14ac:dyDescent="0.25">
      <c r="A35">
        <v>0</v>
      </c>
      <c r="B35">
        <v>0</v>
      </c>
      <c r="C35">
        <v>64</v>
      </c>
      <c r="D35">
        <v>18</v>
      </c>
      <c r="E35">
        <v>25</v>
      </c>
      <c r="F35" t="str">
        <f>'input site'!M35</f>
        <v>excl</v>
      </c>
      <c r="G35" s="31" t="s">
        <v>98</v>
      </c>
      <c r="H35" s="1" t="s">
        <v>99</v>
      </c>
      <c r="I35" s="8">
        <f>VLOOKUP($G35,'NZT data'!$B$3:$C$200,2,FALSE)</f>
        <v>5</v>
      </c>
      <c r="J35" s="32">
        <f>'input site'!AS35</f>
        <v>2.4534623</v>
      </c>
      <c r="K35" s="32">
        <f>'input site'!BS35</f>
        <v>2.9844634732858037</v>
      </c>
      <c r="L35" s="32">
        <f t="shared" si="14"/>
        <v>0</v>
      </c>
      <c r="M35" s="32">
        <f t="shared" si="15"/>
        <v>0</v>
      </c>
      <c r="N35" s="32">
        <f>'input site'!EV35</f>
        <v>1.8418009792056442</v>
      </c>
      <c r="O35" s="8">
        <v>0</v>
      </c>
      <c r="P35" s="36">
        <f>O35-N35</f>
        <v>-1.8418009792056442</v>
      </c>
      <c r="Q35" s="32">
        <f t="shared" si="18"/>
        <v>0</v>
      </c>
      <c r="R35" s="32">
        <f>'input site'!EZ35</f>
        <v>0.7718830420427566</v>
      </c>
      <c r="S35" s="37">
        <f>'input site'!FA35</f>
        <v>0</v>
      </c>
      <c r="T35" s="37" t="str">
        <f>Table12[[#This Row],[(Mt CO2 equivalent)]]</f>
        <v>Bhutan</v>
      </c>
      <c r="U35" s="8">
        <f>VLOOKUP($G35,'NZT data'!$B$3:$F$200,4,FALSE)</f>
        <v>2030</v>
      </c>
      <c r="V35" s="32">
        <f>VLOOKUP($G35,'NZT data'!$B$3:$F$200,5,FALSE)</f>
        <v>2030</v>
      </c>
      <c r="W35" s="32">
        <f>-IF('LUC NGHGI'!EC25="",MIN('LUC NGHGI'!DW25,0.1),MIN('LUC NGHGI'!EC25,0.1))</f>
        <v>7.2549999999999999</v>
      </c>
      <c r="X35" s="32">
        <f>'LUC NGHGI'!EC25</f>
        <v>-7.2549999999999999</v>
      </c>
      <c r="Y35" s="32">
        <f>'LUC NGHGI'!DY25</f>
        <v>-9.3776938924216324</v>
      </c>
      <c r="Z35" s="32">
        <f>'LUC NGHGI'!DZ25</f>
        <v>-9.3776938924216324</v>
      </c>
      <c r="AA35" s="32">
        <f>Table12[[#This Row],[2021 emissions]]</f>
        <v>2.4534623</v>
      </c>
      <c r="AB35" s="32">
        <f>'LUC NGHGI'!DW25</f>
        <v>-9.5715552212193415</v>
      </c>
      <c r="AC35" s="32">
        <f>IF(F35="incl",Table12[[#This Row],[GHG emissions incl LULUCF]]-Table12[[#This Row],[LULUCF emis-sions in 20213]],Table12[[#This Row],[GHG emissions incl LULUCF]])</f>
        <v>2.4534623</v>
      </c>
      <c r="AD35" s="32">
        <f>'input site'!BS35</f>
        <v>2.9844634732858037</v>
      </c>
      <c r="AE35" s="32">
        <f>'LUC NGHGI'!EH25</f>
        <v>-10.049063336389221</v>
      </c>
      <c r="AF35" s="32">
        <f>IF(F35="incl",Table12[[#This Row],[Current Policies 2030 incl LULUCF]]-Table12[[#This Row],[LULUCF CurPol 2030]],Table12[[#This Row],[Current Policies 2030 incl LULUCF]])</f>
        <v>2.9844634732858037</v>
      </c>
      <c r="AG35" s="32">
        <f>IF(Table12[[#This Row],[Net-zero target status]]&lt;=1,"",IF(Table12[[#This Row],[NZ GHG year]]="","",1000000000*(Table12[[#This Row],[residual LULUCF emissions in 2050]]-Table12[[#This Row],[GHG emissions excl LULUCF]])/(Table12[[#This Row],[NZ GHG year]]-2021)/Table12[[#This Row],[Population]]))</f>
        <v>677.08646826207655</v>
      </c>
      <c r="AH35" s="32" t="str">
        <f>IF(Table12[[#This Row],[Peak revised]]="Yes",IF(Table12[[#This Row],[Net-zero target status]]&lt;=1,"",IF(Table12[[#This Row],[NZ GHG year]]="","",1000000000*(Table12[[#This Row],[residual LULUCF emissions in 2050]]-Table12[[#This Row],[GHG emissions excl LULUCF]])/(Table12[[#This Row],[NZ GHG year]]-2021)/Table12[[#This Row],[Population]])),"")</f>
        <v/>
      </c>
      <c r="AI35" s="32">
        <f>MAX(0,(1000000*(Table12[[#This Row],[Current Policies 2030 excl LULUCF]]/2+Table12[[#This Row],[GHG emissions excl LULUCF]]/2)/Table12[[#This Row],[Population]]-$AI$8)*10)*$AI$10</f>
        <v>0</v>
      </c>
      <c r="AJ35" s="32">
        <f>IF(Table12[[#This Row],[Peak revised]]="No",IF(Table12[[#This Row],[Net-zero target status]]&lt;=1,"",IF(Table12[[#This Row],[NZ GHG year]]="","",1000000000*(Table12[[#This Row],[residual LULUCF emissions in 2050]]-Table12[[#This Row],[Current Policies 2030 excl LULUCF]])/(Table12[[#This Row],[NZ GHG year]]-2021)/Table12[[#This Row],[Population]])),"")</f>
        <v>602.20759996471759</v>
      </c>
      <c r="AK35" s="32">
        <f>IF(Table12[[#This Row],[Formule no Peak (2)]]="","",Table12[[#This Row],[Penalty (1)]]+Table12[[#This Row],[Formule no Peak (2)]])</f>
        <v>602.20759996471759</v>
      </c>
      <c r="AL35" s="313">
        <f>(Table12[[#This Row],[Current Policies 2030 excl LULUCF]]-Table12[[#This Row],[GHG emissions excl LULUCF]])/(2030-2021)/Table12[[#This Row],[GHG emissions excl LULUCF]]</f>
        <v>2.4047702043389581E-2</v>
      </c>
      <c r="AM35" s="313" t="e">
        <f>IF(Table12[[#This Row],[Net-zero target status]]&lt;=1,"",IF(Table12[[#This Row],[NZ GHG year]]="","",(Table12[[#This Row],[residual LULUCF emissions in 2050]]-Table12[[#This Row],[Current Policies 2030 excl LULUCF]])/(Table12[[#This Row],[NZ GHG year]]-2030)/Table12[[#This Row],[Current Policies 2030 excl LULUCF]]))</f>
        <v>#DIV/0!</v>
      </c>
      <c r="AN35" s="313">
        <f>IF(Table12[[#This Row],[Net-zero target status]]&lt;=1,"",IF(Table12[[#This Row],[NZ GHG year]]="","",(Table12[[#This Row],[residual LULUCF emissions in 2050]]-Table12[[#This Row],[GHG emissions excl LULUCF]])/(Table12[[#This Row],[NZ GHG year]]-2021)/Table12[[#This Row],[GHG emissions excl LULUCF]]))</f>
        <v>0.2174495156860119</v>
      </c>
      <c r="AO35" s="313" t="e">
        <f>IF(Table12[[#This Row],[Net-zero target status]]&lt;=1,"",IF(Table12[[#This Row],[NZ GHG year]]="","",(Table12[[#This Row],[residual LULUCF emissions in 2050]]-Table12[[#This Row],[2030 conditional NDCs]])/(Table12[[#This Row],[NZ GHG year]]-2030)/Table12[[#This Row],[2030 conditional NDCs]]))</f>
        <v>#VALUE!</v>
      </c>
      <c r="AP35" s="96">
        <f>MAX('input site'!AH35:AS35)</f>
        <v>2.8309242000000001</v>
      </c>
      <c r="AQ35" s="95" t="str">
        <f>IF(Table12[[#This Row],[Current Policies 2030 incl LULUCF]]&gt;Table12[[#This Row],[Maximum inventory data]],"No","Yes")</f>
        <v>No</v>
      </c>
      <c r="AR35" s="443">
        <f>IF(Table12[[#This Row],[Net-zero target status]]&gt;=1.5,Table12[[#This Row],[residual LULUCF emissions in 2050]]/Table12[[#This Row],[GHG emissions excl LULUCF]],"")</f>
        <v>2.9570456411741071</v>
      </c>
      <c r="AS35" s="74" t="str">
        <f>'input site'!BE35</f>
        <v/>
      </c>
      <c r="AT35" s="74"/>
      <c r="AU35" s="74" t="str">
        <f>'input site'!BG35</f>
        <v/>
      </c>
      <c r="AV35" s="75"/>
      <c r="AW35" s="74" t="str">
        <f>IF(Table12[[#This Row],[2030 unconditional NDCs]]="","",IF(F35="incl",Table12[[#This Row],[2030 unconditional NDCs]]-Table12[[#This Row],[LULUCF NDC uncond]],Table12[[#This Row],[2030 unconditional NDCs]]))</f>
        <v/>
      </c>
      <c r="AX35" s="74" t="str">
        <f>IF(Table12[[#This Row],[2030 unconditional NDCs2]]="","",IF(F35="incl",Table12[[#This Row],[2030 unconditional NDCs2]]-Table12[[#This Row],[LULUCF NDC uncond]],Table12[[#This Row],[2030 unconditional NDCs2]]))</f>
        <v/>
      </c>
      <c r="AY35" s="74" t="str">
        <f>IF(Table12[[#This Row],[2030 conditional NDCs]]="","",IF(F35="incl",Table12[[#This Row],[2030 conditional NDCs]]-Table12[[#This Row],[LULUCF NDC cond]],Table12[[#This Row],[2030 conditional NDCs]]))</f>
        <v/>
      </c>
      <c r="AZ35" s="74" t="str">
        <f>IF(Table12[[#This Row],[2030 conditional NDCs2]]="","",IF(F35="incl",Table12[[#This Row],[2030 conditional NDCs2]]-Table12[[#This Row],[LULUCF NDC cond]],Table12[[#This Row],[2030 conditional NDCs2]]))</f>
        <v/>
      </c>
      <c r="BA35" s="8">
        <f>VLOOKUP($G35,'Population90 20'!$C$6:$AU$231,37,FALSE)</f>
        <v>787941</v>
      </c>
      <c r="BB35" s="8">
        <f>VLOOKUP($G35,'Overview GDP (PPP)'!$C$6:$AI$231,33,FALSE)</f>
        <v>7051944.1898842352</v>
      </c>
      <c r="BC35" s="36">
        <f>Table12[[#This Row],[Income]]/Table12[[#This Row],[Population]]</f>
        <v>8.9498378557331524</v>
      </c>
      <c r="BD35" s="36">
        <f>Table12[[#This Row],[GHG emissions excl LULUCF]]*1000000/Table12[[#This Row],[Population]]</f>
        <v>3.1137639747138426</v>
      </c>
      <c r="BE35" s="23" t="e">
        <f>VLOOKUP($G35,EGR2023_MASTER!$B$4:$S$38,14,FALSE)</f>
        <v>#N/A</v>
      </c>
      <c r="BF35" s="23" t="e">
        <f>VLOOKUP($G35,EGR2023_MASTER!$B$4:$S$38,15,FALSE)</f>
        <v>#N/A</v>
      </c>
      <c r="BG35" s="23" t="e">
        <f>VLOOKUP($G35,EGR2023_MASTER!$B$4:$S$38,16,FALSE)</f>
        <v>#N/A</v>
      </c>
      <c r="BH35" s="23" t="e">
        <f t="shared" si="16"/>
        <v>#N/A</v>
      </c>
      <c r="BI35" s="23" t="e">
        <f t="shared" si="17"/>
        <v>#N/A</v>
      </c>
      <c r="BJ35" s="552">
        <f>(Table12[[#This Row],[Current Policies 2030 excl LULUCF]]/Table12[[#This Row],[GHG emissions excl LULUCF]])^(1/(2030-2021))-1</f>
        <v>2.2007534789434846E-2</v>
      </c>
      <c r="BK35" s="552">
        <f>IF(Table12[[#This Row],[Net-zero target status]]&lt;=1,"",IF(Table12[[#This Row],[NZ GHG year]]="","",((MAX(Table12[[#This Row],[residual LULUCF emissions in 2050]],0.1)/Table12[[#This Row],[Current Policies 2030 excl LULUCF]])^(1/(Table12[[#This Row],[NZ GHG year]]-2021))-1)))</f>
        <v>0.1037315601909865</v>
      </c>
      <c r="BL35" s="552">
        <f>IF(Table12[[#This Row],[Net-zero target status]]&lt;=1,"",IF(Table12[[#This Row],[NZ GHG year]]="","",((MAX(Table12[[#This Row],[residual LULUCF emissions in 2050]],0.1)/Table12[[#This Row],[GHG emissions excl LULUCF]])^(1/(Table12[[#This Row],[NZ GHG year]]-2021))-1)))</f>
        <v>0.12802197090008671</v>
      </c>
      <c r="BM35" s="552" t="e">
        <f>IF(Table12[[#This Row],[Net-zero target status]]&lt;=1,"",IF(Table12[[#This Row],[NZ GHG year]]="","",((MAX(Table12[[#This Row],[residual LULUCF emissions in 2050]],0.1)/AVERAGE(Table12[[#This Row],[2030 conditional NDCs]:[2030 conditional NDCs2]]))^(1/(Table12[[#This Row],[NZ GHG year]]-2021))-1)))</f>
        <v>#DIV/0!</v>
      </c>
      <c r="BN35" s="23"/>
      <c r="BO35" s="23"/>
      <c r="BP35" s="23"/>
      <c r="BQ35" s="23"/>
      <c r="BR35" s="50" t="s">
        <v>99</v>
      </c>
      <c r="BT35" s="30">
        <f>IF(Table12[[#This Row],[Reduction rate 2021 to NZ target2]]="","",J35*(1+AN35)^(Table12[[#This Row],[NZ GHG year]]-2021))</f>
        <v>14.415776493085806</v>
      </c>
    </row>
    <row r="36" spans="1:72" ht="15" x14ac:dyDescent="0.25">
      <c r="A36">
        <v>0</v>
      </c>
      <c r="B36">
        <v>0</v>
      </c>
      <c r="C36">
        <v>68</v>
      </c>
      <c r="D36">
        <v>19</v>
      </c>
      <c r="E36">
        <v>6</v>
      </c>
      <c r="F36" t="str">
        <f>'input site'!M36</f>
        <v>excl</v>
      </c>
      <c r="G36" s="31" t="s">
        <v>100</v>
      </c>
      <c r="H36" s="1" t="s">
        <v>101</v>
      </c>
      <c r="I36" s="8">
        <f>VLOOKUP($G36,'NZT data'!$B$3:$C$200,2,FALSE)</f>
        <v>0</v>
      </c>
      <c r="J36" s="32">
        <f>'input site'!AS36</f>
        <v>92.235589000000004</v>
      </c>
      <c r="K36" s="32">
        <f>'input site'!BS36</f>
        <v>102.51496597022611</v>
      </c>
      <c r="L36" s="32">
        <f t="shared" si="14"/>
        <v>102.51496597022611</v>
      </c>
      <c r="M36" s="32">
        <f t="shared" si="15"/>
        <v>52.582733311003757</v>
      </c>
      <c r="N36" s="32">
        <f>'input site'!EV36</f>
        <v>52.582733311003757</v>
      </c>
      <c r="O36" s="8"/>
      <c r="P36" s="8"/>
      <c r="Q36" s="32">
        <f t="shared" si="18"/>
        <v>31.109326587110981</v>
      </c>
      <c r="R36" s="32">
        <f>'input site'!EZ36</f>
        <v>31.109326587110981</v>
      </c>
      <c r="S36" s="37">
        <f>'input site'!FA36</f>
        <v>0</v>
      </c>
      <c r="T36" s="37" t="str">
        <f>Table12[[#This Row],[(Mt CO2 equivalent)]]</f>
        <v>Bolivia</v>
      </c>
      <c r="U36" s="35">
        <v>2100</v>
      </c>
      <c r="V36" s="35">
        <v>2100</v>
      </c>
      <c r="W36" s="32">
        <f>-IF('LUC NGHGI'!EC26="",MIN('LUC NGHGI'!DW26,0.1),MIN('LUC NGHGI'!EC26,0.1))</f>
        <v>16.428555999999958</v>
      </c>
      <c r="X36" s="32">
        <f>'LUC NGHGI'!EC26</f>
        <v>-16.428555999999958</v>
      </c>
      <c r="Y36" s="32">
        <f>'LUC NGHGI'!DY26</f>
        <v>-55.428555999999958</v>
      </c>
      <c r="Z36" s="32">
        <f>'LUC NGHGI'!DZ26</f>
        <v>-55.428555999999958</v>
      </c>
      <c r="AA36" s="32">
        <f>Table12[[#This Row],[2021 emissions]]</f>
        <v>92.235589000000004</v>
      </c>
      <c r="AB36" s="32">
        <f>'LUC NGHGI'!DW26</f>
        <v>-16.614330333333328</v>
      </c>
      <c r="AC36" s="32">
        <f>IF(F36="incl",Table12[[#This Row],[GHG emissions incl LULUCF]]-Table12[[#This Row],[LULUCF emis-sions in 20213]],Table12[[#This Row],[GHG emissions incl LULUCF]])</f>
        <v>92.235589000000004</v>
      </c>
      <c r="AD36" s="32">
        <f>'input site'!BS36</f>
        <v>102.51496597022611</v>
      </c>
      <c r="AE36" s="32">
        <f>'LUC NGHGI'!EH26</f>
        <v>-20.676427107572291</v>
      </c>
      <c r="AF36" s="32">
        <f>IF(F36="incl",Table12[[#This Row],[Current Policies 2030 incl LULUCF]]-Table12[[#This Row],[LULUCF CurPol 2030]],Table12[[#This Row],[Current Policies 2030 incl LULUCF]])</f>
        <v>102.51496597022611</v>
      </c>
      <c r="AG36" s="32" t="str">
        <f>IF(Table12[[#This Row],[Net-zero target status]]&lt;=1,"",IF(Table12[[#This Row],[NZ GHG year]]="","",1000000000*(Table12[[#This Row],[residual LULUCF emissions in 2050]]-Table12[[#This Row],[GHG emissions excl LULUCF]])/(Table12[[#This Row],[NZ GHG year]]-2021)/Table12[[#This Row],[Population]]))</f>
        <v/>
      </c>
      <c r="AH36" s="32" t="str">
        <f>IF(Table12[[#This Row],[Peak revised]]="Yes",IF(Table12[[#This Row],[Net-zero target status]]&lt;=1,"",IF(Table12[[#This Row],[NZ GHG year]]="","",1000000000*(Table12[[#This Row],[residual LULUCF emissions in 2050]]-Table12[[#This Row],[GHG emissions excl LULUCF]])/(Table12[[#This Row],[NZ GHG year]]-2021)/Table12[[#This Row],[Population]])),"")</f>
        <v/>
      </c>
      <c r="AI36" s="32">
        <f>MAX(0,(1000000*(Table12[[#This Row],[Current Policies 2030 excl LULUCF]]/2+Table12[[#This Row],[GHG emissions excl LULUCF]]/2)/Table12[[#This Row],[Population]]-$AI$8)*10)*$AI$10</f>
        <v>-111.9575637382832</v>
      </c>
      <c r="AJ3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36" s="32" t="str">
        <f>IF(Table12[[#This Row],[Formule no Peak (2)]]="","",Table12[[#This Row],[Penalty (1)]]+Table12[[#This Row],[Formule no Peak (2)]])</f>
        <v/>
      </c>
      <c r="AL36" s="313">
        <f>(Table12[[#This Row],[Current Policies 2030 excl LULUCF]]-Table12[[#This Row],[GHG emissions excl LULUCF]])/(2030-2021)/Table12[[#This Row],[GHG emissions excl LULUCF]]</f>
        <v>1.2382996726911887E-2</v>
      </c>
      <c r="AM36" s="313" t="str">
        <f>IF(Table12[[#This Row],[Net-zero target status]]&lt;=1,"",IF(Table12[[#This Row],[NZ GHG year]]="","",(Table12[[#This Row],[residual LULUCF emissions in 2050]]-Table12[[#This Row],[Current Policies 2030 excl LULUCF]])/(Table12[[#This Row],[NZ GHG year]]-2030)/Table12[[#This Row],[Current Policies 2030 excl LULUCF]]))</f>
        <v/>
      </c>
      <c r="AN36" s="313" t="str">
        <f>IF(Table12[[#This Row],[Net-zero target status]]&lt;=1,"",IF(Table12[[#This Row],[NZ GHG year]]="","",(Table12[[#This Row],[residual LULUCF emissions in 2050]]-Table12[[#This Row],[GHG emissions excl LULUCF]])/(Table12[[#This Row],[NZ GHG year]]-2021)/Table12[[#This Row],[GHG emissions excl LULUCF]]))</f>
        <v/>
      </c>
      <c r="AO36" s="313" t="str">
        <f>IF(Table12[[#This Row],[Net-zero target status]]&lt;=1,"",IF(Table12[[#This Row],[NZ GHG year]]="","",(Table12[[#This Row],[residual LULUCF emissions in 2050]]-Table12[[#This Row],[2030 conditional NDCs]])/(Table12[[#This Row],[NZ GHG year]]-2030)/Table12[[#This Row],[2030 conditional NDCs]]))</f>
        <v/>
      </c>
      <c r="AP36" s="96">
        <f>MAX('input site'!AH36:AS36)</f>
        <v>92.235589000000004</v>
      </c>
      <c r="AQ36" s="95" t="str">
        <f>IF(Table12[[#This Row],[Current Policies 2030 incl LULUCF]]&gt;Table12[[#This Row],[Maximum inventory data]],"No","Yes")</f>
        <v>No</v>
      </c>
      <c r="AR36" s="443" t="str">
        <f>IF(Table12[[#This Row],[Net-zero target status]]&gt;=1.5,Table12[[#This Row],[residual LULUCF emissions in 2050]]/Table12[[#This Row],[GHG emissions excl LULUCF]],"")</f>
        <v/>
      </c>
      <c r="AS36" s="74" t="str">
        <f>'input site'!BE36</f>
        <v/>
      </c>
      <c r="AT36" s="74"/>
      <c r="AU36" s="74" t="str">
        <f>'input site'!BG36</f>
        <v/>
      </c>
      <c r="AV36" s="75"/>
      <c r="AW36" s="74" t="str">
        <f>IF(Table12[[#This Row],[2030 unconditional NDCs]]="","",IF(F36="incl",Table12[[#This Row],[2030 unconditional NDCs]]-Table12[[#This Row],[LULUCF NDC uncond]],Table12[[#This Row],[2030 unconditional NDCs]]))</f>
        <v/>
      </c>
      <c r="AX36" s="74" t="str">
        <f>IF(Table12[[#This Row],[2030 unconditional NDCs2]]="","",IF(F36="incl",Table12[[#This Row],[2030 unconditional NDCs2]]-Table12[[#This Row],[LULUCF NDC uncond]],Table12[[#This Row],[2030 unconditional NDCs2]]))</f>
        <v/>
      </c>
      <c r="AY36" s="74" t="str">
        <f>IF(Table12[[#This Row],[2030 conditional NDCs]]="","",IF(F36="incl",Table12[[#This Row],[2030 conditional NDCs]]-Table12[[#This Row],[LULUCF NDC cond]],Table12[[#This Row],[2030 conditional NDCs]]))</f>
        <v/>
      </c>
      <c r="AZ36" s="74" t="str">
        <f>IF(Table12[[#This Row],[2030 conditional NDCs2]]="","",IF(F36="incl",Table12[[#This Row],[2030 conditional NDCs2]]-Table12[[#This Row],[LULUCF NDC cond]],Table12[[#This Row],[2030 conditional NDCs2]]))</f>
        <v/>
      </c>
      <c r="BA36" s="8">
        <f>VLOOKUP($G36,'Population90 20'!$C$6:$AU$231,37,FALSE)</f>
        <v>11992656</v>
      </c>
      <c r="BB36" s="8">
        <f>VLOOKUP($G36,'Overview GDP (PPP)'!$C$6:$AI$231,33,FALSE)</f>
        <v>79313577.790875897</v>
      </c>
      <c r="BC36" s="36">
        <f>Table12[[#This Row],[Income]]/Table12[[#This Row],[Population]]</f>
        <v>6.6135122854250046</v>
      </c>
      <c r="BD36" s="36">
        <f>Table12[[#This Row],[GHG emissions excl LULUCF]]*1000000/Table12[[#This Row],[Population]]</f>
        <v>7.691005978992477</v>
      </c>
      <c r="BE36" s="23" t="e">
        <f>VLOOKUP($G36,EGR2023_MASTER!$B$4:$S$38,14,FALSE)</f>
        <v>#N/A</v>
      </c>
      <c r="BF36" s="23" t="e">
        <f>VLOOKUP($G36,EGR2023_MASTER!$B$4:$S$38,15,FALSE)</f>
        <v>#N/A</v>
      </c>
      <c r="BG36" s="23" t="e">
        <f>VLOOKUP($G36,EGR2023_MASTER!$B$4:$S$38,16,FALSE)</f>
        <v>#N/A</v>
      </c>
      <c r="BH36" s="23" t="e">
        <f t="shared" si="16"/>
        <v>#N/A</v>
      </c>
      <c r="BI36" s="23" t="e">
        <f t="shared" si="17"/>
        <v>#N/A</v>
      </c>
      <c r="BJ36" s="552">
        <f>(Table12[[#This Row],[Current Policies 2030 excl LULUCF]]/Table12[[#This Row],[GHG emissions excl LULUCF]])^(1/(2030-2021))-1</f>
        <v>1.1809492705935565E-2</v>
      </c>
      <c r="BK36" s="552" t="str">
        <f>IF(Table12[[#This Row],[Net-zero target status]]&lt;=1,"",IF(Table12[[#This Row],[NZ GHG year]]="","",((MAX(Table12[[#This Row],[residual LULUCF emissions in 2050]],0.1)/Table12[[#This Row],[Current Policies 2030 excl LULUCF]])^(1/(Table12[[#This Row],[NZ GHG year]]-2021))-1)))</f>
        <v/>
      </c>
      <c r="BL36" s="552" t="str">
        <f>IF(Table12[[#This Row],[Net-zero target status]]&lt;=1,"",IF(Table12[[#This Row],[NZ GHG year]]="","",((MAX(Table12[[#This Row],[residual LULUCF emissions in 2050]],0.1)/Table12[[#This Row],[GHG emissions excl LULUCF]])^(1/(Table12[[#This Row],[NZ GHG year]]-2021))-1)))</f>
        <v/>
      </c>
      <c r="BM36" s="552" t="str">
        <f>IF(Table12[[#This Row],[Net-zero target status]]&lt;=1,"",IF(Table12[[#This Row],[NZ GHG year]]="","",((MAX(Table12[[#This Row],[residual LULUCF emissions in 2050]],0.1)/AVERAGE(Table12[[#This Row],[2030 conditional NDCs]:[2030 conditional NDCs2]]))^(1/(Table12[[#This Row],[NZ GHG year]]-2021))-1)))</f>
        <v/>
      </c>
      <c r="BN36" s="23"/>
      <c r="BO36" s="23"/>
      <c r="BP36" s="23"/>
      <c r="BQ36" s="23"/>
      <c r="BR36" s="50" t="s">
        <v>101</v>
      </c>
      <c r="BT36" s="30" t="str">
        <f>IF(Table12[[#This Row],[Reduction rate 2021 to NZ target2]]="","",J36*(1+AN36)^(Table12[[#This Row],[NZ GHG year]]-2021))</f>
        <v/>
      </c>
    </row>
    <row r="37" spans="1:72" ht="15" x14ac:dyDescent="0.25">
      <c r="A37">
        <v>0</v>
      </c>
      <c r="B37">
        <v>0</v>
      </c>
      <c r="C37">
        <v>70</v>
      </c>
      <c r="D37">
        <v>20</v>
      </c>
      <c r="E37">
        <v>12</v>
      </c>
      <c r="F37" t="str">
        <f>'input site'!M37</f>
        <v>incl</v>
      </c>
      <c r="G37" s="31" t="s">
        <v>102</v>
      </c>
      <c r="H37" s="1" t="s">
        <v>103</v>
      </c>
      <c r="I37" s="8">
        <f>VLOOKUP($G37,'NZT data'!$B$3:$C$200,2,FALSE)</f>
        <v>0</v>
      </c>
      <c r="J37" s="32">
        <f>'input site'!AS37</f>
        <v>23.52061997515527</v>
      </c>
      <c r="K37" s="32">
        <f>'input site'!BS37</f>
        <v>12.05180565737869</v>
      </c>
      <c r="L37" s="32">
        <f t="shared" si="14"/>
        <v>12.05180565737869</v>
      </c>
      <c r="M37" s="32">
        <f t="shared" si="15"/>
        <v>5.5637582640906835</v>
      </c>
      <c r="N37" s="32">
        <f>'input site'!EV37</f>
        <v>5.5637582640906835</v>
      </c>
      <c r="O37" s="8"/>
      <c r="P37" s="8"/>
      <c r="Q37" s="32">
        <f t="shared" si="18"/>
        <v>2.7142479722755786</v>
      </c>
      <c r="R37" s="32">
        <f>'input site'!EZ37</f>
        <v>2.7142479722755786</v>
      </c>
      <c r="S37" s="37">
        <f>'input site'!FA37</f>
        <v>0</v>
      </c>
      <c r="T37" s="37" t="str">
        <f>Table12[[#This Row],[(Mt CO2 equivalent)]]</f>
        <v>Bosnia and Herzegovina</v>
      </c>
      <c r="U37" s="8">
        <f>VLOOKUP($G37,'NZT data'!$B$3:$F$200,4,FALSE)</f>
        <v>2110</v>
      </c>
      <c r="V37" s="32" t="str">
        <f>VLOOKUP($G37,'NZT data'!$B$3:$F$200,5,FALSE)</f>
        <v/>
      </c>
      <c r="W37" s="32">
        <f>-IF('LUC NGHGI'!EC27="",MIN('LUC NGHGI'!DW27,0.1),MIN('LUC NGHGI'!EC27,0.1))</f>
        <v>6.4285526472477983</v>
      </c>
      <c r="X37" s="32">
        <f>'LUC NGHGI'!EC27</f>
        <v>-6.4285526472477983</v>
      </c>
      <c r="Y37" s="32">
        <f>'LUC NGHGI'!DY27</f>
        <v>-9.2999999999999999E-2</v>
      </c>
      <c r="Z37" s="32">
        <f>'LUC NGHGI'!DZ27</f>
        <v>-9.2999999999999999E-2</v>
      </c>
      <c r="AA37" s="32">
        <f>Table12[[#This Row],[2021 emissions]]</f>
        <v>23.52061997515527</v>
      </c>
      <c r="AB37" s="32">
        <f>'LUC NGHGI'!DW27</f>
        <v>-6.3813410248447298</v>
      </c>
      <c r="AC37" s="32">
        <f>IF(F37="incl",Table12[[#This Row],[GHG emissions incl LULUCF]]-Table12[[#This Row],[LULUCF emis-sions in 20213]],Table12[[#This Row],[GHG emissions incl LULUCF]])</f>
        <v>29.901961</v>
      </c>
      <c r="AD37" s="32">
        <f>'input site'!BS37</f>
        <v>12.05180565737869</v>
      </c>
      <c r="AE37" s="32">
        <f>'LUC NGHGI'!EH27</f>
        <v>-5.8219164427136807</v>
      </c>
      <c r="AF37" s="32">
        <f>IF(F37="incl",Table12[[#This Row],[Current Policies 2030 incl LULUCF]]-Table12[[#This Row],[LULUCF CurPol 2030]],Table12[[#This Row],[Current Policies 2030 incl LULUCF]])</f>
        <v>17.873722100092373</v>
      </c>
      <c r="AG37" s="32" t="str">
        <f>IF(Table12[[#This Row],[Net-zero target status]]&lt;=1,"",IF(Table12[[#This Row],[NZ GHG year]]="","",1000000000*(Table12[[#This Row],[residual LULUCF emissions in 2050]]-Table12[[#This Row],[GHG emissions excl LULUCF]])/(Table12[[#This Row],[NZ GHG year]]-2021)/Table12[[#This Row],[Population]]))</f>
        <v/>
      </c>
      <c r="AH37" s="32" t="str">
        <f>IF(Table12[[#This Row],[Peak revised]]="Yes",IF(Table12[[#This Row],[Net-zero target status]]&lt;=1,"",IF(Table12[[#This Row],[NZ GHG year]]="","",1000000000*(Table12[[#This Row],[residual LULUCF emissions in 2050]]-Table12[[#This Row],[GHG emissions excl LULUCF]])/(Table12[[#This Row],[NZ GHG year]]-2021)/Table12[[#This Row],[Population]])),"")</f>
        <v/>
      </c>
      <c r="AI37" s="32">
        <f>MAX(0,(1000000*(Table12[[#This Row],[Current Policies 2030 excl LULUCF]]/2+Table12[[#This Row],[GHG emissions excl LULUCF]]/2)/Table12[[#This Row],[Population]]-$AI$8)*10)*$AI$10</f>
        <v>-35.16500698596623</v>
      </c>
      <c r="AJ3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37" s="32" t="str">
        <f>IF(Table12[[#This Row],[Formule no Peak (2)]]="","",Table12[[#This Row],[Penalty (1)]]+Table12[[#This Row],[Formule no Peak (2)]])</f>
        <v/>
      </c>
      <c r="AL37" s="313">
        <f>(Table12[[#This Row],[Current Policies 2030 excl LULUCF]]-Table12[[#This Row],[GHG emissions excl LULUCF]])/(2030-2021)/Table12[[#This Row],[GHG emissions excl LULUCF]]</f>
        <v>-4.4695095043386125E-2</v>
      </c>
      <c r="AM37" s="313" t="str">
        <f>IF(Table12[[#This Row],[Net-zero target status]]&lt;=1,"",IF(Table12[[#This Row],[NZ GHG year]]="","",(Table12[[#This Row],[residual LULUCF emissions in 2050]]-Table12[[#This Row],[Current Policies 2030 excl LULUCF]])/(Table12[[#This Row],[NZ GHG year]]-2030)/Table12[[#This Row],[Current Policies 2030 excl LULUCF]]))</f>
        <v/>
      </c>
      <c r="AN37" s="313" t="str">
        <f>IF(Table12[[#This Row],[Net-zero target status]]&lt;=1,"",IF(Table12[[#This Row],[NZ GHG year]]="","",(Table12[[#This Row],[residual LULUCF emissions in 2050]]-Table12[[#This Row],[GHG emissions excl LULUCF]])/(Table12[[#This Row],[NZ GHG year]]-2021)/Table12[[#This Row],[GHG emissions excl LULUCF]]))</f>
        <v/>
      </c>
      <c r="AO37" s="313" t="str">
        <f>IF(Table12[[#This Row],[Net-zero target status]]&lt;=1,"",IF(Table12[[#This Row],[NZ GHG year]]="","",(Table12[[#This Row],[residual LULUCF emissions in 2050]]-Table12[[#This Row],[2030 conditional NDCs]])/(Table12[[#This Row],[NZ GHG year]]-2030)/Table12[[#This Row],[2030 conditional NDCs]]))</f>
        <v/>
      </c>
      <c r="AP37" s="96">
        <f>MAX('input site'!AH37:AS37)</f>
        <v>24.444485999999998</v>
      </c>
      <c r="AQ37" s="95" t="str">
        <f>IF(Table12[[#This Row],[Current Policies 2030 incl LULUCF]]&gt;Table12[[#This Row],[Maximum inventory data]],"No","Yes")</f>
        <v>Yes</v>
      </c>
      <c r="AR37" s="34" t="str">
        <f>IF(Table12[[#This Row],[Net-zero target status]]&gt;=1.5,Table12[[#This Row],[residual LULUCF emissions in 2050]]/Table12[[#This Row],[GHG emissions excl LULUCF]],"")</f>
        <v/>
      </c>
      <c r="AS37" s="76">
        <f>'input site'!BE37</f>
        <v>22.741051319999997</v>
      </c>
      <c r="AT37" s="76">
        <f>'input site'!BF37</f>
        <v>22.741051319999997</v>
      </c>
      <c r="AU37" s="76">
        <f>'input site'!BG37</f>
        <v>21.515485679999998</v>
      </c>
      <c r="AV37" s="77">
        <f>'input site'!BH37</f>
        <v>21.515485679999998</v>
      </c>
      <c r="AW37" s="74">
        <f>IF(Table12[[#This Row],[2030 unconditional NDCs]]="","",IF(F37="incl",Table12[[#This Row],[2030 unconditional NDCs]]-Table12[[#This Row],[LULUCF NDC uncond]],Table12[[#This Row],[2030 unconditional NDCs]]))</f>
        <v>22.834051319999997</v>
      </c>
      <c r="AX37" s="74">
        <f>IF(Table12[[#This Row],[2030 unconditional NDCs2]]="","",IF(F37="incl",Table12[[#This Row],[2030 unconditional NDCs2]]-Table12[[#This Row],[LULUCF NDC uncond]],Table12[[#This Row],[2030 unconditional NDCs2]]))</f>
        <v>22.834051319999997</v>
      </c>
      <c r="AY37" s="74">
        <f>IF(Table12[[#This Row],[2030 conditional NDCs]]="","",IF(F37="incl",Table12[[#This Row],[2030 conditional NDCs]]-Table12[[#This Row],[LULUCF NDC cond]],Table12[[#This Row],[2030 conditional NDCs]]))</f>
        <v>21.608485679999998</v>
      </c>
      <c r="AZ37" s="74">
        <f>IF(Table12[[#This Row],[2030 conditional NDCs2]]="","",IF(F37="incl",Table12[[#This Row],[2030 conditional NDCs2]]-Table12[[#This Row],[LULUCF NDC cond]],Table12[[#This Row],[2030 conditional NDCs2]]))</f>
        <v>21.608485679999998</v>
      </c>
      <c r="BA37" s="8">
        <f>VLOOKUP($G37,'Population90 20'!$C$6:$AU$231,37,FALSE)</f>
        <v>3249317</v>
      </c>
      <c r="BB37" s="8">
        <f>VLOOKUP($G37,'Overview GDP (PPP)'!$C$6:$AI$231,33,FALSE)</f>
        <v>42400037.880911618</v>
      </c>
      <c r="BC37" s="36">
        <f>Table12[[#This Row],[Income]]/Table12[[#This Row],[Population]]</f>
        <v>13.048907779977029</v>
      </c>
      <c r="BD37" s="36">
        <f>Table12[[#This Row],[GHG emissions excl LULUCF]]*1000000/Table12[[#This Row],[Population]]</f>
        <v>9.2025373332303371</v>
      </c>
      <c r="BE37" s="23" t="e">
        <f>VLOOKUP($G37,EGR2023_MASTER!$B$4:$S$38,14,FALSE)</f>
        <v>#N/A</v>
      </c>
      <c r="BF37" s="23" t="e">
        <f>VLOOKUP($G37,EGR2023_MASTER!$B$4:$S$38,15,FALSE)</f>
        <v>#N/A</v>
      </c>
      <c r="BG37" s="23" t="e">
        <f>VLOOKUP($G37,EGR2023_MASTER!$B$4:$S$38,16,FALSE)</f>
        <v>#N/A</v>
      </c>
      <c r="BH37" s="23" t="e">
        <f t="shared" si="16"/>
        <v>#N/A</v>
      </c>
      <c r="BI37" s="23" t="e">
        <f t="shared" si="17"/>
        <v>#N/A</v>
      </c>
      <c r="BJ37" s="552">
        <f>(Table12[[#This Row],[Current Policies 2030 excl LULUCF]]/Table12[[#This Row],[GHG emissions excl LULUCF]])^(1/(2030-2021))-1</f>
        <v>-5.5573053204906686E-2</v>
      </c>
      <c r="BK37" s="552" t="str">
        <f>IF(Table12[[#This Row],[Net-zero target status]]&lt;=1,"",IF(Table12[[#This Row],[NZ GHG year]]="","",((MAX(Table12[[#This Row],[residual LULUCF emissions in 2050]],0.1)/Table12[[#This Row],[Current Policies 2030 excl LULUCF]])^(1/(Table12[[#This Row],[NZ GHG year]]-2021))-1)))</f>
        <v/>
      </c>
      <c r="BL37" s="552" t="str">
        <f>IF(Table12[[#This Row],[Net-zero target status]]&lt;=1,"",IF(Table12[[#This Row],[NZ GHG year]]="","",((MAX(Table12[[#This Row],[residual LULUCF emissions in 2050]],0.1)/Table12[[#This Row],[GHG emissions excl LULUCF]])^(1/(Table12[[#This Row],[NZ GHG year]]-2021))-1)))</f>
        <v/>
      </c>
      <c r="BM37" s="552" t="str">
        <f>IF(Table12[[#This Row],[Net-zero target status]]&lt;=1,"",IF(Table12[[#This Row],[NZ GHG year]]="","",((MAX(Table12[[#This Row],[residual LULUCF emissions in 2050]],0.1)/AVERAGE(Table12[[#This Row],[2030 conditional NDCs]:[2030 conditional NDCs2]]))^(1/(Table12[[#This Row],[NZ GHG year]]-2021))-1)))</f>
        <v/>
      </c>
      <c r="BN37" s="23"/>
      <c r="BO37" s="23"/>
      <c r="BP37" s="23"/>
      <c r="BQ37" s="23"/>
      <c r="BR37" s="50" t="s">
        <v>103</v>
      </c>
      <c r="BT37" s="30" t="str">
        <f>IF(Table12[[#This Row],[Reduction rate 2021 to NZ target2]]="","",J37*(1+AN37)^(Table12[[#This Row],[NZ GHG year]]-2021))</f>
        <v/>
      </c>
    </row>
    <row r="38" spans="1:72" ht="15" x14ac:dyDescent="0.25">
      <c r="A38">
        <v>0</v>
      </c>
      <c r="B38">
        <v>0</v>
      </c>
      <c r="C38">
        <v>72</v>
      </c>
      <c r="D38">
        <v>21</v>
      </c>
      <c r="E38">
        <v>26</v>
      </c>
      <c r="F38" t="str">
        <f>'input site'!M38</f>
        <v>excl</v>
      </c>
      <c r="G38" s="31" t="s">
        <v>104</v>
      </c>
      <c r="H38" s="1" t="s">
        <v>105</v>
      </c>
      <c r="I38" s="8">
        <f>VLOOKUP($G38,'NZT data'!$B$3:$C$200,2,FALSE)</f>
        <v>0</v>
      </c>
      <c r="J38" s="32">
        <f>'input site'!AS38</f>
        <v>16.086017000000002</v>
      </c>
      <c r="K38" s="32">
        <f>'input site'!BS38</f>
        <v>19.577311603713262</v>
      </c>
      <c r="L38" s="32">
        <f t="shared" si="14"/>
        <v>19.577311603713262</v>
      </c>
      <c r="M38" s="32">
        <f t="shared" si="15"/>
        <v>11.11524025532033</v>
      </c>
      <c r="N38" s="32">
        <f>'input site'!EV38</f>
        <v>11.11524025532033</v>
      </c>
      <c r="O38" s="8"/>
      <c r="P38" s="8"/>
      <c r="Q38" s="32">
        <f t="shared" si="18"/>
        <v>10.364846177857668</v>
      </c>
      <c r="R38" s="32">
        <f>'input site'!EZ38</f>
        <v>10.364846177857668</v>
      </c>
      <c r="S38" s="37">
        <f>'input site'!FA38</f>
        <v>0</v>
      </c>
      <c r="T38" s="37" t="str">
        <f>Table12[[#This Row],[(Mt CO2 equivalent)]]</f>
        <v>Botswana</v>
      </c>
      <c r="U38" s="8">
        <f>VLOOKUP($G38,'NZT data'!$B$3:$F$200,4,FALSE)</f>
        <v>2110</v>
      </c>
      <c r="V38" s="32" t="str">
        <f>VLOOKUP($G38,'NZT data'!$B$3:$F$200,5,FALSE)</f>
        <v/>
      </c>
      <c r="W38" s="32">
        <f>-IF('LUC NGHGI'!EC28="",MIN('LUC NGHGI'!DW28,0.1),MIN('LUC NGHGI'!EC28,0.1))</f>
        <v>28.838634750468373</v>
      </c>
      <c r="X38" s="32">
        <f>'LUC NGHGI'!EC28</f>
        <v>-28.838634750468373</v>
      </c>
      <c r="Y38" s="32">
        <f>'LUC NGHGI'!DY28</f>
        <v>-28.838634750468373</v>
      </c>
      <c r="Z38" s="32">
        <f>'LUC NGHGI'!DZ28</f>
        <v>-28.838634750468373</v>
      </c>
      <c r="AA38" s="32">
        <f>Table12[[#This Row],[2021 emissions]]</f>
        <v>16.086017000000002</v>
      </c>
      <c r="AB38" s="32">
        <f>'LUC NGHGI'!DW28</f>
        <v>-28.373267804350121</v>
      </c>
      <c r="AC38" s="32">
        <f>IF(F38="incl",Table12[[#This Row],[GHG emissions incl LULUCF]]-Table12[[#This Row],[LULUCF emis-sions in 20213]],Table12[[#This Row],[GHG emissions incl LULUCF]])</f>
        <v>16.086017000000002</v>
      </c>
      <c r="AD38" s="32">
        <f>'input site'!BS38</f>
        <v>19.577311603713262</v>
      </c>
      <c r="AE38" s="32">
        <f>'LUC NGHGI'!EH28</f>
        <v>-34.556281271144755</v>
      </c>
      <c r="AF38" s="32">
        <f>IF(F38="incl",Table12[[#This Row],[Current Policies 2030 incl LULUCF]]-Table12[[#This Row],[LULUCF CurPol 2030]],Table12[[#This Row],[Current Policies 2030 incl LULUCF]])</f>
        <v>19.577311603713262</v>
      </c>
      <c r="AG38" s="32" t="str">
        <f>IF(Table12[[#This Row],[Net-zero target status]]&lt;=1,"",IF(Table12[[#This Row],[NZ GHG year]]="","",1000000000*(Table12[[#This Row],[residual LULUCF emissions in 2050]]-Table12[[#This Row],[GHG emissions excl LULUCF]])/(Table12[[#This Row],[NZ GHG year]]-2021)/Table12[[#This Row],[Population]]))</f>
        <v/>
      </c>
      <c r="AH38" s="32" t="str">
        <f>IF(Table12[[#This Row],[Peak revised]]="Yes",IF(Table12[[#This Row],[Net-zero target status]]&lt;=1,"",IF(Table12[[#This Row],[NZ GHG year]]="","",1000000000*(Table12[[#This Row],[residual LULUCF emissions in 2050]]-Table12[[#This Row],[GHG emissions excl LULUCF]])/(Table12[[#This Row],[NZ GHG year]]-2021)/Table12[[#This Row],[Population]])),"")</f>
        <v/>
      </c>
      <c r="AI38" s="32">
        <f>MAX(0,(1000000*(Table12[[#This Row],[Current Policies 2030 excl LULUCF]]/2+Table12[[#This Row],[GHG emissions excl LULUCF]]/2)/Table12[[#This Row],[Population]]-$AI$8)*10)*$AI$10</f>
        <v>-30.458048333401599</v>
      </c>
      <c r="AJ3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38" s="32" t="str">
        <f>IF(Table12[[#This Row],[Formule no Peak (2)]]="","",Table12[[#This Row],[Penalty (1)]]+Table12[[#This Row],[Formule no Peak (2)]])</f>
        <v/>
      </c>
      <c r="AL38" s="313">
        <f>(Table12[[#This Row],[Current Policies 2030 excl LULUCF]]-Table12[[#This Row],[GHG emissions excl LULUCF]])/(2030-2021)/Table12[[#This Row],[GHG emissions excl LULUCF]]</f>
        <v>2.4115455220195696E-2</v>
      </c>
      <c r="AM38" s="313" t="str">
        <f>IF(Table12[[#This Row],[Net-zero target status]]&lt;=1,"",IF(Table12[[#This Row],[NZ GHG year]]="","",(Table12[[#This Row],[residual LULUCF emissions in 2050]]-Table12[[#This Row],[Current Policies 2030 excl LULUCF]])/(Table12[[#This Row],[NZ GHG year]]-2030)/Table12[[#This Row],[Current Policies 2030 excl LULUCF]]))</f>
        <v/>
      </c>
      <c r="AN38" s="313" t="str">
        <f>IF(Table12[[#This Row],[Net-zero target status]]&lt;=1,"",IF(Table12[[#This Row],[NZ GHG year]]="","",(Table12[[#This Row],[residual LULUCF emissions in 2050]]-Table12[[#This Row],[GHG emissions excl LULUCF]])/(Table12[[#This Row],[NZ GHG year]]-2021)/Table12[[#This Row],[GHG emissions excl LULUCF]]))</f>
        <v/>
      </c>
      <c r="AO38" s="313" t="str">
        <f>IF(Table12[[#This Row],[Net-zero target status]]&lt;=1,"",IF(Table12[[#This Row],[NZ GHG year]]="","",(Table12[[#This Row],[residual LULUCF emissions in 2050]]-Table12[[#This Row],[2030 conditional NDCs]])/(Table12[[#This Row],[NZ GHG year]]-2030)/Table12[[#This Row],[2030 conditional NDCs]]))</f>
        <v/>
      </c>
      <c r="AP38" s="96">
        <f>MAX('input site'!AH38:AS38)</f>
        <v>26.645084000000001</v>
      </c>
      <c r="AQ38" s="95" t="str">
        <f>IF(Table12[[#This Row],[Current Policies 2030 incl LULUCF]]&gt;Table12[[#This Row],[Maximum inventory data]],"No","Yes")</f>
        <v>Yes</v>
      </c>
      <c r="AR38" s="443" t="str">
        <f>IF(Table12[[#This Row],[Net-zero target status]]&gt;=1.5,Table12[[#This Row],[residual LULUCF emissions in 2050]]/Table12[[#This Row],[GHG emissions excl LULUCF]],"")</f>
        <v/>
      </c>
      <c r="AS38" s="74"/>
      <c r="AT38" s="74"/>
      <c r="AU38" s="74">
        <f>'input site'!BG38</f>
        <v>19.396126200000001</v>
      </c>
      <c r="AV38" s="75">
        <f>'input site'!BH38</f>
        <v>19.396126200000001</v>
      </c>
      <c r="AW38" s="74" t="str">
        <f>IF(Table12[[#This Row],[2030 unconditional NDCs]]="","",IF(F38="incl",Table12[[#This Row],[2030 unconditional NDCs]]-Table12[[#This Row],[LULUCF NDC uncond]],Table12[[#This Row],[2030 unconditional NDCs]]))</f>
        <v/>
      </c>
      <c r="AX38" s="74" t="str">
        <f>IF(Table12[[#This Row],[2030 unconditional NDCs2]]="","",IF(F38="incl",Table12[[#This Row],[2030 unconditional NDCs2]]-Table12[[#This Row],[LULUCF NDC uncond]],Table12[[#This Row],[2030 unconditional NDCs2]]))</f>
        <v/>
      </c>
      <c r="AY38" s="74">
        <f>IF(Table12[[#This Row],[2030 conditional NDCs]]="","",IF(F38="incl",Table12[[#This Row],[2030 conditional NDCs]]-Table12[[#This Row],[LULUCF NDC cond]],Table12[[#This Row],[2030 conditional NDCs]]))</f>
        <v>19.396126200000001</v>
      </c>
      <c r="AZ38" s="74">
        <f>IF(Table12[[#This Row],[2030 conditional NDCs2]]="","",IF(F38="incl",Table12[[#This Row],[2030 conditional NDCs2]]-Table12[[#This Row],[LULUCF NDC cond]],Table12[[#This Row],[2030 conditional NDCs2]]))</f>
        <v>19.396126200000001</v>
      </c>
      <c r="BA38" s="8">
        <f>VLOOKUP($G38,'Population90 20'!$C$6:$AU$231,37,FALSE)</f>
        <v>2441162</v>
      </c>
      <c r="BB38" s="8">
        <f>VLOOKUP($G38,'Overview GDP (PPP)'!$C$6:$AI$231,33,FALSE)</f>
        <v>37234184.680430576</v>
      </c>
      <c r="BC38" s="36">
        <f>Table12[[#This Row],[Income]]/Table12[[#This Row],[Population]]</f>
        <v>15.252647993222316</v>
      </c>
      <c r="BD38" s="36">
        <f>Table12[[#This Row],[GHG emissions excl LULUCF]]*1000000/Table12[[#This Row],[Population]]</f>
        <v>6.5894918075899929</v>
      </c>
      <c r="BE38" s="23" t="e">
        <f>VLOOKUP($G38,EGR2023_MASTER!$B$4:$S$38,14,FALSE)</f>
        <v>#N/A</v>
      </c>
      <c r="BF38" s="23" t="e">
        <f>VLOOKUP($G38,EGR2023_MASTER!$B$4:$S$38,15,FALSE)</f>
        <v>#N/A</v>
      </c>
      <c r="BG38" s="23" t="e">
        <f>VLOOKUP($G38,EGR2023_MASTER!$B$4:$S$38,16,FALSE)</f>
        <v>#N/A</v>
      </c>
      <c r="BH38" s="23" t="e">
        <f t="shared" si="16"/>
        <v>#N/A</v>
      </c>
      <c r="BI38" s="23" t="e">
        <f t="shared" si="17"/>
        <v>#N/A</v>
      </c>
      <c r="BJ38" s="552">
        <f>(Table12[[#This Row],[Current Policies 2030 excl LULUCF]]/Table12[[#This Row],[GHG emissions excl LULUCF]])^(1/(2030-2021))-1</f>
        <v>2.2064446304015162E-2</v>
      </c>
      <c r="BK38" s="552" t="str">
        <f>IF(Table12[[#This Row],[Net-zero target status]]&lt;=1,"",IF(Table12[[#This Row],[NZ GHG year]]="","",((MAX(Table12[[#This Row],[residual LULUCF emissions in 2050]],0.1)/Table12[[#This Row],[Current Policies 2030 excl LULUCF]])^(1/(Table12[[#This Row],[NZ GHG year]]-2021))-1)))</f>
        <v/>
      </c>
      <c r="BL38" s="552" t="str">
        <f>IF(Table12[[#This Row],[Net-zero target status]]&lt;=1,"",IF(Table12[[#This Row],[NZ GHG year]]="","",((MAX(Table12[[#This Row],[residual LULUCF emissions in 2050]],0.1)/Table12[[#This Row],[GHG emissions excl LULUCF]])^(1/(Table12[[#This Row],[NZ GHG year]]-2021))-1)))</f>
        <v/>
      </c>
      <c r="BM38" s="552" t="str">
        <f>IF(Table12[[#This Row],[Net-zero target status]]&lt;=1,"",IF(Table12[[#This Row],[NZ GHG year]]="","",((MAX(Table12[[#This Row],[residual LULUCF emissions in 2050]],0.1)/AVERAGE(Table12[[#This Row],[2030 conditional NDCs]:[2030 conditional NDCs2]]))^(1/(Table12[[#This Row],[NZ GHG year]]-2021))-1)))</f>
        <v/>
      </c>
      <c r="BN38" s="23"/>
      <c r="BO38" s="23"/>
      <c r="BP38" s="23"/>
      <c r="BQ38" s="23"/>
      <c r="BR38" s="50" t="s">
        <v>105</v>
      </c>
      <c r="BT38" s="30" t="str">
        <f>IF(Table12[[#This Row],[Reduction rate 2021 to NZ target2]]="","",J38*(1+AN38)^(Table12[[#This Row],[NZ GHG year]]-2021))</f>
        <v/>
      </c>
    </row>
    <row r="39" spans="1:72" ht="15" x14ac:dyDescent="0.25">
      <c r="A39">
        <v>1</v>
      </c>
      <c r="B39">
        <v>1</v>
      </c>
      <c r="C39">
        <v>76</v>
      </c>
      <c r="D39">
        <v>22</v>
      </c>
      <c r="E39">
        <v>5</v>
      </c>
      <c r="F39" t="str">
        <f>'input site'!M39</f>
        <v>incl</v>
      </c>
      <c r="G39" s="31" t="s">
        <v>106</v>
      </c>
      <c r="H39" s="1" t="s">
        <v>107</v>
      </c>
      <c r="I39" s="8">
        <f>VLOOKUP($G39,'NZT data'!$B$3:$C$200,2,FALSE)</f>
        <v>3</v>
      </c>
      <c r="J39" s="32">
        <f>'input site'!AS39</f>
        <v>1794.4940636753599</v>
      </c>
      <c r="K39" s="32">
        <f>'input site'!BS39</f>
        <v>1817.56104851689</v>
      </c>
      <c r="L39" s="32">
        <f t="shared" si="14"/>
        <v>0</v>
      </c>
      <c r="M39" s="32">
        <f t="shared" si="15"/>
        <v>0</v>
      </c>
      <c r="N39" s="32">
        <f>'input site'!EV39</f>
        <v>1118.3693344242929</v>
      </c>
      <c r="O39" s="8">
        <v>0</v>
      </c>
      <c r="P39" s="8"/>
      <c r="Q39" s="32">
        <f t="shared" si="18"/>
        <v>0</v>
      </c>
      <c r="R39" s="32">
        <f>'input site'!EZ39</f>
        <v>963.33534610334891</v>
      </c>
      <c r="S39" s="37">
        <f>'input site'!FA39</f>
        <v>0</v>
      </c>
      <c r="T39" s="37" t="str">
        <f>Table12[[#This Row],[(Mt CO2 equivalent)]]</f>
        <v>Brazil</v>
      </c>
      <c r="U39" s="8">
        <f>VLOOKUP($G39,'NZT data'!$B$3:$F$200,4,FALSE)</f>
        <v>2050</v>
      </c>
      <c r="V39" s="32">
        <f>VLOOKUP($G39,'NZT data'!$B$3:$F$200,5,FALSE)</f>
        <v>2050</v>
      </c>
      <c r="W39" s="32">
        <f>-IF('LUC NGHGI'!EC29="",MIN('LUC NGHGI'!DW29,0.1),MIN('LUC NGHGI'!EC29,0.1))</f>
        <v>15</v>
      </c>
      <c r="X39" s="32">
        <f>'LUC NGHGI'!EC29</f>
        <v>-15</v>
      </c>
      <c r="Y39" s="32">
        <f>'LUC NGHGI'!DY29</f>
        <v>-15</v>
      </c>
      <c r="Z39" s="32">
        <f>'LUC NGHGI'!DZ29</f>
        <v>-15</v>
      </c>
      <c r="AA39" s="32">
        <f>Table12[[#This Row],[2021 emissions]]</f>
        <v>1794.4940636753599</v>
      </c>
      <c r="AB39" s="32">
        <f>'LUC NGHGI'!DW29</f>
        <v>308.10169538055197</v>
      </c>
      <c r="AC39" s="32">
        <f>IF(F39="incl",Table12[[#This Row],[GHG emissions incl LULUCF]]-Table12[[#This Row],[LULUCF emis-sions in 20213]],Table12[[#This Row],[GHG emissions incl LULUCF]])</f>
        <v>1486.392368294808</v>
      </c>
      <c r="AD39" s="32">
        <f>'input site'!BS39</f>
        <v>1817.56104851689</v>
      </c>
      <c r="AE39" s="32">
        <f>'LUC NGHGI'!EH29</f>
        <v>596.41523221459602</v>
      </c>
      <c r="AF39" s="32">
        <f>IF(F39="incl",Table12[[#This Row],[Current Policies 2030 incl LULUCF]]-Table12[[#This Row],[LULUCF CurPol 2030]],Table12[[#This Row],[Current Policies 2030 incl LULUCF]])</f>
        <v>1221.145816302294</v>
      </c>
      <c r="AG39" s="32">
        <f>IF(Table12[[#This Row],[Net-zero target status]]&lt;=1,"",IF(Table12[[#This Row],[NZ GHG year]]="","",1000000000*(Table12[[#This Row],[residual LULUCF emissions in 2050]]-Table12[[#This Row],[GHG emissions excl LULUCF]])/(Table12[[#This Row],[NZ GHG year]]-2021)/Table12[[#This Row],[Population]]))</f>
        <v>-235.60167799120379</v>
      </c>
      <c r="AH39" s="32" t="str">
        <f>IF(Table12[[#This Row],[Peak revised]]="Yes",IF(Table12[[#This Row],[Net-zero target status]]&lt;=1,"",IF(Table12[[#This Row],[NZ GHG year]]="","",1000000000*(Table12[[#This Row],[residual LULUCF emissions in 2050]]-Table12[[#This Row],[GHG emissions excl LULUCF]])/(Table12[[#This Row],[NZ GHG year]]-2021)/Table12[[#This Row],[Population]])),"")</f>
        <v/>
      </c>
      <c r="AI39" s="32">
        <f>MAX(0,(1000000*(Table12[[#This Row],[Current Policies 2030 excl LULUCF]]/2+Table12[[#This Row],[GHG emissions excl LULUCF]]/2)/Table12[[#This Row],[Population]]-$AI$8)*10)*$AI$10</f>
        <v>0</v>
      </c>
      <c r="AJ39" s="32">
        <f>IF(Table12[[#This Row],[Peak revised]]="No",IF(Table12[[#This Row],[Net-zero target status]]&lt;=1,"",IF(Table12[[#This Row],[NZ GHG year]]="","",1000000000*(Table12[[#This Row],[residual LULUCF emissions in 2050]]-Table12[[#This Row],[Current Policies 2030 excl LULUCF]])/(Table12[[#This Row],[NZ GHG year]]-2021)/Table12[[#This Row],[Population]])),"")</f>
        <v>-193.12997970229679</v>
      </c>
      <c r="AK39" s="32">
        <f>IF(Table12[[#This Row],[Formule no Peak (2)]]="","",Table12[[#This Row],[Penalty (1)]]+Table12[[#This Row],[Formule no Peak (2)]])</f>
        <v>-193.12997970229679</v>
      </c>
      <c r="AL39" s="313">
        <f>(Table12[[#This Row],[Current Policies 2030 excl LULUCF]]-Table12[[#This Row],[GHG emissions excl LULUCF]])/(2030-2021)/Table12[[#This Row],[GHG emissions excl LULUCF]]</f>
        <v>-1.9827765359216341E-2</v>
      </c>
      <c r="AM39" s="313">
        <f>IF(Table12[[#This Row],[Net-zero target status]]&lt;=1,"",IF(Table12[[#This Row],[NZ GHG year]]="","",(Table12[[#This Row],[residual LULUCF emissions in 2050]]-Table12[[#This Row],[Current Policies 2030 excl LULUCF]])/(Table12[[#This Row],[NZ GHG year]]-2030)/Table12[[#This Row],[Current Policies 2030 excl LULUCF]]))</f>
        <v>-4.9385822733053253E-2</v>
      </c>
      <c r="AN39" s="313">
        <f>IF(Table12[[#This Row],[Net-zero target status]]&lt;=1,"",IF(Table12[[#This Row],[NZ GHG year]]="","",(Table12[[#This Row],[residual LULUCF emissions in 2050]]-Table12[[#This Row],[GHG emissions excl LULUCF]])/(Table12[[#This Row],[NZ GHG year]]-2021)/Table12[[#This Row],[GHG emissions excl LULUCF]]))</f>
        <v>-3.4134774205306979E-2</v>
      </c>
      <c r="AO39" s="313">
        <f>IF(Table12[[#This Row],[Net-zero target status]]&lt;=1,"",IF(Table12[[#This Row],[NZ GHG year]]="","",(Table12[[#This Row],[residual LULUCF emissions in 2050]]-Table12[[#This Row],[2030 conditional NDCs]])/(Table12[[#This Row],[NZ GHG year]]-2030)/Table12[[#This Row],[2030 conditional NDCs]]))</f>
        <v>-4.938725897606383E-2</v>
      </c>
      <c r="AP39" s="96">
        <f>MAX('input site'!AH39:AS39)</f>
        <v>1794.4940636753599</v>
      </c>
      <c r="AQ39" s="95" t="str">
        <f>IF(Table12[[#This Row],[Current Policies 2030 incl LULUCF]]&gt;Table12[[#This Row],[Maximum inventory data]],"No","Yes")</f>
        <v>No</v>
      </c>
      <c r="AR39" s="34">
        <f>IF(Table12[[#This Row],[Net-zero target status]]&gt;=1.5,Table12[[#This Row],[residual LULUCF emissions in 2050]]/Table12[[#This Row],[GHG emissions excl LULUCF]],"")</f>
        <v>1.0091548046097699E-2</v>
      </c>
      <c r="AS39" s="78">
        <f>'input site'!BE39</f>
        <v>1224.0081383519837</v>
      </c>
      <c r="AT39" s="78">
        <f>'input site'!BF39</f>
        <v>1224.0081383519837</v>
      </c>
      <c r="AU39" s="78">
        <f>'input site'!BG39</f>
        <v>1224.0081383519837</v>
      </c>
      <c r="AV39" s="79">
        <f>'input site'!BH39</f>
        <v>1224.0081383519837</v>
      </c>
      <c r="AW39" s="74">
        <f>IF(Table12[[#This Row],[2030 unconditional NDCs]]="","",IF(F39="incl",Table12[[#This Row],[2030 unconditional NDCs]]-Table12[[#This Row],[LULUCF NDC uncond]],Table12[[#This Row],[2030 unconditional NDCs]]))</f>
        <v>1239.0081383519837</v>
      </c>
      <c r="AX39" s="74">
        <f>IF(Table12[[#This Row],[2030 unconditional NDCs2]]="","",IF(F39="incl",Table12[[#This Row],[2030 unconditional NDCs2]]-Table12[[#This Row],[LULUCF NDC uncond]],Table12[[#This Row],[2030 unconditional NDCs2]]))</f>
        <v>1239.0081383519837</v>
      </c>
      <c r="AY39" s="74">
        <f>IF(Table12[[#This Row],[2030 conditional NDCs]]="","",IF(F39="incl",Table12[[#This Row],[2030 conditional NDCs]]-Table12[[#This Row],[LULUCF NDC cond]],Table12[[#This Row],[2030 conditional NDCs]]))</f>
        <v>1239.0081383519837</v>
      </c>
      <c r="AZ39" s="74">
        <f>IF(Table12[[#This Row],[2030 conditional NDCs2]]="","",IF(F39="incl",Table12[[#This Row],[2030 conditional NDCs2]]-Table12[[#This Row],[LULUCF NDC cond]],Table12[[#This Row],[2030 conditional NDCs2]]))</f>
        <v>1239.0081383519837</v>
      </c>
      <c r="BA39" s="8">
        <f>VLOOKUP($G39,'Population90 20'!$C$6:$AU$231,37,FALSE)</f>
        <v>215353593</v>
      </c>
      <c r="BB39" s="8">
        <f>VLOOKUP($G39,'Overview GDP (PPP)'!$C$6:$AI$231,33,FALSE)</f>
        <v>2991792213.5994296</v>
      </c>
      <c r="BC39" s="36">
        <f>Table12[[#This Row],[Income]]/Table12[[#This Row],[Population]]</f>
        <v>13.892464815293003</v>
      </c>
      <c r="BD39" s="36">
        <f>Table12[[#This Row],[GHG emissions excl LULUCF]]*1000000/Table12[[#This Row],[Population]]</f>
        <v>6.9021015511675623</v>
      </c>
      <c r="BE39" s="23" t="str">
        <f>VLOOKUP($G39,EGR2023_MASTER!$B$4:$S$38,14,FALSE)</f>
        <v>N</v>
      </c>
      <c r="BF39" s="23" t="str">
        <f>VLOOKUP($G39,EGR2023_MASTER!$B$4:$S$38,15,FALSE)</f>
        <v>None</v>
      </c>
      <c r="BG39" s="23" t="str">
        <f>VLOOKUP($G39,EGR2023_MASTER!$B$4:$S$38,16,FALSE)</f>
        <v>n</v>
      </c>
      <c r="BH39" s="23" t="str">
        <f t="shared" si="16"/>
        <v>much lower</v>
      </c>
      <c r="BI39" s="23" t="str">
        <f t="shared" si="17"/>
        <v>weak</v>
      </c>
      <c r="BJ39" s="552">
        <f>(Table12[[#This Row],[Current Policies 2030 excl LULUCF]]/Table12[[#This Row],[GHG emissions excl LULUCF]])^(1/(2030-2021))-1</f>
        <v>-2.1603488702665041E-2</v>
      </c>
      <c r="BK39" s="552">
        <f>IF(Table12[[#This Row],[Net-zero target status]]&lt;=1,"",IF(Table12[[#This Row],[NZ GHG year]]="","",((MAX(Table12[[#This Row],[residual LULUCF emissions in 2050]],0.1)/Table12[[#This Row],[Current Policies 2030 excl LULUCF]])^(1/(Table12[[#This Row],[NZ GHG year]]-2021))-1)))</f>
        <v>-0.14075975258727547</v>
      </c>
      <c r="BL39" s="552">
        <f>IF(Table12[[#This Row],[Net-zero target status]]&lt;=1,"",IF(Table12[[#This Row],[NZ GHG year]]="","",((MAX(Table12[[#This Row],[residual LULUCF emissions in 2050]],0.1)/Table12[[#This Row],[GHG emissions excl LULUCF]])^(1/(Table12[[#This Row],[NZ GHG year]]-2021))-1)))</f>
        <v>-0.14656400029707328</v>
      </c>
      <c r="BM39" s="552">
        <f>IF(Table12[[#This Row],[Net-zero target status]]&lt;=1,"",IF(Table12[[#This Row],[NZ GHG year]]="","",((MAX(Table12[[#This Row],[residual LULUCF emissions in 2050]],0.1)/AVERAGE(Table12[[#This Row],[2030 conditional NDCs]:[2030 conditional NDCs2]]))^(1/(Table12[[#This Row],[NZ GHG year]]-2021))-1)))</f>
        <v>-0.1408291177747395</v>
      </c>
      <c r="BN39" s="23"/>
      <c r="BO39" s="23"/>
      <c r="BP39" s="23"/>
      <c r="BQ39" s="23"/>
      <c r="BR39" s="50" t="s">
        <v>107</v>
      </c>
      <c r="BT39" s="30">
        <f>IF(Table12[[#This Row],[Reduction rate 2021 to NZ target2]]="","",J39*(1+AN39)^(Table12[[#This Row],[NZ GHG year]]-2021))</f>
        <v>655.42259146701429</v>
      </c>
    </row>
    <row r="40" spans="1:72" ht="15" x14ac:dyDescent="0.25">
      <c r="A40">
        <v>0</v>
      </c>
      <c r="B40">
        <v>0</v>
      </c>
      <c r="C40">
        <v>96</v>
      </c>
      <c r="D40">
        <v>26</v>
      </c>
      <c r="E40">
        <v>21</v>
      </c>
      <c r="F40" t="str">
        <f>'input site'!M40</f>
        <v>excl</v>
      </c>
      <c r="G40" s="31" t="s">
        <v>108</v>
      </c>
      <c r="H40" s="1" t="s">
        <v>109</v>
      </c>
      <c r="I40" s="8">
        <f>VLOOKUP($G40,'NZT data'!$B$3:$C$200,2,FALSE)</f>
        <v>0</v>
      </c>
      <c r="J40" s="32">
        <f>'input site'!AS40</f>
        <v>14.418844999999999</v>
      </c>
      <c r="K40" s="32">
        <f>'input site'!BS40</f>
        <v>16.654616760206668</v>
      </c>
      <c r="L40" s="32">
        <f t="shared" si="14"/>
        <v>16.654616760206668</v>
      </c>
      <c r="M40" s="32">
        <f t="shared" si="15"/>
        <v>4.8862957162772265</v>
      </c>
      <c r="N40" s="32">
        <f>'input site'!EV40</f>
        <v>4.8862957162772265</v>
      </c>
      <c r="O40" s="8"/>
      <c r="P40" s="8"/>
      <c r="Q40" s="32">
        <f t="shared" si="18"/>
        <v>0.32808906211164024</v>
      </c>
      <c r="R40" s="32">
        <f>'input site'!EZ40</f>
        <v>0.32808906211164024</v>
      </c>
      <c r="S40" s="37">
        <f>'input site'!FA40</f>
        <v>0</v>
      </c>
      <c r="T40" s="37" t="str">
        <f>Table12[[#This Row],[(Mt CO2 equivalent)]]</f>
        <v>Brunei</v>
      </c>
      <c r="U40" s="8">
        <f>VLOOKUP($G40,'NZT data'!$B$3:$F$200,4,FALSE)</f>
        <v>2110</v>
      </c>
      <c r="V40" s="32" t="str">
        <f>VLOOKUP($G40,'NZT data'!$B$3:$F$200,5,FALSE)</f>
        <v/>
      </c>
      <c r="W40" s="32">
        <f>-IF('LUC NGHGI'!EC30="",MIN('LUC NGHGI'!DW30,0.1),MIN('LUC NGHGI'!EC30,0.1))</f>
        <v>2.7931394461538481</v>
      </c>
      <c r="X40" s="32">
        <f>'LUC NGHGI'!EC30</f>
        <v>-2.7931394461538481</v>
      </c>
      <c r="Y40" s="32">
        <f>'LUC NGHGI'!DY30</f>
        <v>-2.7931394461538481</v>
      </c>
      <c r="Z40" s="32">
        <f>'LUC NGHGI'!DZ30</f>
        <v>-2.7931394461538481</v>
      </c>
      <c r="AA40" s="32">
        <f>Table12[[#This Row],[2021 emissions]]</f>
        <v>14.418844999999999</v>
      </c>
      <c r="AB40" s="32">
        <f>'LUC NGHGI'!DW30</f>
        <v>-2.795626615384617</v>
      </c>
      <c r="AC40" s="32">
        <f>IF(F40="incl",Table12[[#This Row],[GHG emissions incl LULUCF]]-Table12[[#This Row],[LULUCF emis-sions in 20213]],Table12[[#This Row],[GHG emissions incl LULUCF]])</f>
        <v>14.418844999999999</v>
      </c>
      <c r="AD40" s="32">
        <f>'input site'!BS40</f>
        <v>16.654616760206668</v>
      </c>
      <c r="AE40" s="32">
        <f>'LUC NGHGI'!EH30</f>
        <v>-3.1048108845401643</v>
      </c>
      <c r="AF40" s="32">
        <f>IF(F40="incl",Table12[[#This Row],[Current Policies 2030 incl LULUCF]]-Table12[[#This Row],[LULUCF CurPol 2030]],Table12[[#This Row],[Current Policies 2030 incl LULUCF]])</f>
        <v>16.654616760206668</v>
      </c>
      <c r="AG40" s="32" t="str">
        <f>IF(Table12[[#This Row],[Net-zero target status]]&lt;=1,"",IF(Table12[[#This Row],[NZ GHG year]]="","",1000000000*(Table12[[#This Row],[residual LULUCF emissions in 2050]]-Table12[[#This Row],[GHG emissions excl LULUCF]])/(Table12[[#This Row],[NZ GHG year]]-2021)/Table12[[#This Row],[Population]]))</f>
        <v/>
      </c>
      <c r="AH40" s="32" t="str">
        <f>IF(Table12[[#This Row],[Peak revised]]="Yes",IF(Table12[[#This Row],[Net-zero target status]]&lt;=1,"",IF(Table12[[#This Row],[NZ GHG year]]="","",1000000000*(Table12[[#This Row],[residual LULUCF emissions in 2050]]-Table12[[#This Row],[GHG emissions excl LULUCF]])/(Table12[[#This Row],[NZ GHG year]]-2021)/Table12[[#This Row],[Population]])),"")</f>
        <v/>
      </c>
      <c r="AI40" s="32">
        <f>MAX(0,(1000000*(Table12[[#This Row],[Current Policies 2030 excl LULUCF]]/2+Table12[[#This Row],[GHG emissions excl LULUCF]]/2)/Table12[[#This Row],[Population]]-$AI$8)*10)*$AI$10</f>
        <v>-2788.0219113854528</v>
      </c>
      <c r="AJ4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0" s="32" t="str">
        <f>IF(Table12[[#This Row],[Formule no Peak (2)]]="","",Table12[[#This Row],[Penalty (1)]]+Table12[[#This Row],[Formule no Peak (2)]])</f>
        <v/>
      </c>
      <c r="AL40" s="313">
        <f>(Table12[[#This Row],[Current Policies 2030 excl LULUCF]]-Table12[[#This Row],[GHG emissions excl LULUCF]])/(2030-2021)/Table12[[#This Row],[GHG emissions excl LULUCF]]</f>
        <v>1.7228778343023152E-2</v>
      </c>
      <c r="AM40" s="313" t="str">
        <f>IF(Table12[[#This Row],[Net-zero target status]]&lt;=1,"",IF(Table12[[#This Row],[NZ GHG year]]="","",(Table12[[#This Row],[residual LULUCF emissions in 2050]]-Table12[[#This Row],[Current Policies 2030 excl LULUCF]])/(Table12[[#This Row],[NZ GHG year]]-2030)/Table12[[#This Row],[Current Policies 2030 excl LULUCF]]))</f>
        <v/>
      </c>
      <c r="AN40" s="313" t="str">
        <f>IF(Table12[[#This Row],[Net-zero target status]]&lt;=1,"",IF(Table12[[#This Row],[NZ GHG year]]="","",(Table12[[#This Row],[residual LULUCF emissions in 2050]]-Table12[[#This Row],[GHG emissions excl LULUCF]])/(Table12[[#This Row],[NZ GHG year]]-2021)/Table12[[#This Row],[GHG emissions excl LULUCF]]))</f>
        <v/>
      </c>
      <c r="AO40" s="313" t="str">
        <f>IF(Table12[[#This Row],[Net-zero target status]]&lt;=1,"",IF(Table12[[#This Row],[NZ GHG year]]="","",(Table12[[#This Row],[residual LULUCF emissions in 2050]]-Table12[[#This Row],[2030 conditional NDCs]])/(Table12[[#This Row],[NZ GHG year]]-2030)/Table12[[#This Row],[2030 conditional NDCs]]))</f>
        <v/>
      </c>
      <c r="AP40" s="96">
        <f>MAX('input site'!AH40:AS40)</f>
        <v>15.644644000000001</v>
      </c>
      <c r="AQ40" s="95" t="str">
        <f>IF(Table12[[#This Row],[Current Policies 2030 incl LULUCF]]&gt;Table12[[#This Row],[Maximum inventory data]],"No","Yes")</f>
        <v>No</v>
      </c>
      <c r="AR40" s="34" t="str">
        <f>IF(Table12[[#This Row],[Net-zero target status]]&gt;=1.5,Table12[[#This Row],[residual LULUCF emissions in 2050]]/Table12[[#This Row],[GHG emissions excl LULUCF]],"")</f>
        <v/>
      </c>
      <c r="AS40" s="74" t="str">
        <f>'input site'!BE40</f>
        <v/>
      </c>
      <c r="AT40" s="74"/>
      <c r="AU40" s="74"/>
      <c r="AV40" s="75"/>
      <c r="AW40" s="74" t="str">
        <f>IF(Table12[[#This Row],[2030 unconditional NDCs]]="","",IF(F40="incl",Table12[[#This Row],[2030 unconditional NDCs]]-Table12[[#This Row],[LULUCF NDC uncond]],Table12[[#This Row],[2030 unconditional NDCs]]))</f>
        <v/>
      </c>
      <c r="AX40" s="74" t="str">
        <f>IF(Table12[[#This Row],[2030 unconditional NDCs2]]="","",IF(F40="incl",Table12[[#This Row],[2030 unconditional NDCs2]]-Table12[[#This Row],[LULUCF NDC uncond]],Table12[[#This Row],[2030 unconditional NDCs2]]))</f>
        <v/>
      </c>
      <c r="AY40" s="74" t="str">
        <f>IF(Table12[[#This Row],[2030 conditional NDCs]]="","",IF(F40="incl",Table12[[#This Row],[2030 conditional NDCs]]-Table12[[#This Row],[LULUCF NDC cond]],Table12[[#This Row],[2030 conditional NDCs]]))</f>
        <v/>
      </c>
      <c r="AZ40" s="74" t="str">
        <f>IF(Table12[[#This Row],[2030 conditional NDCs2]]="","",IF(F40="incl",Table12[[#This Row],[2030 conditional NDCs2]]-Table12[[#This Row],[LULUCF NDC cond]],Table12[[#This Row],[2030 conditional NDCs2]]))</f>
        <v/>
      </c>
      <c r="BA40" s="8">
        <f>VLOOKUP($G40,'Population90 20'!$C$6:$AU$231,37,FALSE)</f>
        <v>445431</v>
      </c>
      <c r="BB40" s="8">
        <f>VLOOKUP($G40,'Overview GDP (PPP)'!$C$6:$AI$231,33,FALSE)</f>
        <v>30800524.851760764</v>
      </c>
      <c r="BC40" s="36">
        <f>Table12[[#This Row],[Income]]/Table12[[#This Row],[Population]]</f>
        <v>69.147690330849812</v>
      </c>
      <c r="BD40" s="36">
        <f>Table12[[#This Row],[GHG emissions excl LULUCF]]*1000000/Table12[[#This Row],[Population]]</f>
        <v>32.370546728898525</v>
      </c>
      <c r="BE40" s="23" t="e">
        <f>VLOOKUP($G40,EGR2023_MASTER!$B$4:$S$38,14,FALSE)</f>
        <v>#N/A</v>
      </c>
      <c r="BF40" s="23" t="e">
        <f>VLOOKUP($G40,EGR2023_MASTER!$B$4:$S$38,15,FALSE)</f>
        <v>#N/A</v>
      </c>
      <c r="BG40" s="23" t="e">
        <f>VLOOKUP($G40,EGR2023_MASTER!$B$4:$S$38,16,FALSE)</f>
        <v>#N/A</v>
      </c>
      <c r="BH40" s="23" t="e">
        <f t="shared" si="16"/>
        <v>#N/A</v>
      </c>
      <c r="BI40" s="23" t="e">
        <f t="shared" si="17"/>
        <v>#N/A</v>
      </c>
      <c r="BJ40" s="552">
        <f>(Table12[[#This Row],[Current Policies 2030 excl LULUCF]]/Table12[[#This Row],[GHG emissions excl LULUCF]])^(1/(2030-2021))-1</f>
        <v>1.6145782403305331E-2</v>
      </c>
      <c r="BK40" s="552" t="str">
        <f>IF(Table12[[#This Row],[Net-zero target status]]&lt;=1,"",IF(Table12[[#This Row],[NZ GHG year]]="","",((MAX(Table12[[#This Row],[residual LULUCF emissions in 2050]],0.1)/Table12[[#This Row],[Current Policies 2030 excl LULUCF]])^(1/(Table12[[#This Row],[NZ GHG year]]-2021))-1)))</f>
        <v/>
      </c>
      <c r="BL40" s="552" t="str">
        <f>IF(Table12[[#This Row],[Net-zero target status]]&lt;=1,"",IF(Table12[[#This Row],[NZ GHG year]]="","",((MAX(Table12[[#This Row],[residual LULUCF emissions in 2050]],0.1)/Table12[[#This Row],[GHG emissions excl LULUCF]])^(1/(Table12[[#This Row],[NZ GHG year]]-2021))-1)))</f>
        <v/>
      </c>
      <c r="BM40" s="552" t="str">
        <f>IF(Table12[[#This Row],[Net-zero target status]]&lt;=1,"",IF(Table12[[#This Row],[NZ GHG year]]="","",((MAX(Table12[[#This Row],[residual LULUCF emissions in 2050]],0.1)/AVERAGE(Table12[[#This Row],[2030 conditional NDCs]:[2030 conditional NDCs2]]))^(1/(Table12[[#This Row],[NZ GHG year]]-2021))-1)))</f>
        <v/>
      </c>
      <c r="BN40" s="23"/>
      <c r="BO40" s="23"/>
      <c r="BP40" s="23"/>
      <c r="BQ40" s="23"/>
      <c r="BR40" s="50" t="s">
        <v>109</v>
      </c>
      <c r="BT40" s="30" t="str">
        <f>IF(Table12[[#This Row],[Reduction rate 2021 to NZ target2]]="","",J40*(1+AN40)^(Table12[[#This Row],[NZ GHG year]]-2021))</f>
        <v/>
      </c>
    </row>
    <row r="41" spans="1:72" ht="15" x14ac:dyDescent="0.25">
      <c r="A41">
        <v>0</v>
      </c>
      <c r="B41">
        <v>0</v>
      </c>
      <c r="C41">
        <v>100</v>
      </c>
      <c r="D41">
        <v>27</v>
      </c>
      <c r="E41">
        <v>12</v>
      </c>
      <c r="F41" t="str">
        <f>'input site'!M41</f>
        <v>incl</v>
      </c>
      <c r="G41" s="31" t="s">
        <v>110</v>
      </c>
      <c r="H41" s="1" t="s">
        <v>111</v>
      </c>
      <c r="I41" s="8">
        <f>VLOOKUP($G41,'NZT data'!$B$3:$C$200,2,FALSE)</f>
        <v>1</v>
      </c>
      <c r="J41" s="32">
        <f>'input site'!AS41</f>
        <v>44.614425086377835</v>
      </c>
      <c r="K41" s="32">
        <f>'input site'!BS41</f>
        <v>22.860127888833706</v>
      </c>
      <c r="L41" s="32">
        <f t="shared" si="14"/>
        <v>0</v>
      </c>
      <c r="M41" s="32">
        <f t="shared" si="15"/>
        <v>0</v>
      </c>
      <c r="N41" s="32">
        <f>'input site'!EV41</f>
        <v>10.382482791044628</v>
      </c>
      <c r="O41" s="8"/>
      <c r="P41" s="36"/>
      <c r="Q41" s="32">
        <f t="shared" si="18"/>
        <v>0</v>
      </c>
      <c r="R41" s="32">
        <f>'input site'!EZ41</f>
        <v>5.0650354535819675</v>
      </c>
      <c r="S41" s="37" t="str">
        <f>'input site'!FA41</f>
        <v>2050 (part of the EU)</v>
      </c>
      <c r="T41" s="37" t="str">
        <f>Table12[[#This Row],[(Mt CO2 equivalent)]]</f>
        <v>Bulgaria</v>
      </c>
      <c r="U41" s="8">
        <f>VLOOKUP($G41,'NZT data'!$B$3:$F$200,4,FALSE)</f>
        <v>2110</v>
      </c>
      <c r="V41" s="32">
        <f>VLOOKUP($G41,'NZT data'!$B$3:$F$200,5,FALSE)</f>
        <v>2125</v>
      </c>
      <c r="W41" s="32">
        <f>-IF('LUC NGHGI'!EC31="",MIN('LUC NGHGI'!DW31,0.1),MIN('LUC NGHGI'!EC31,0.1))</f>
        <v>9.4482010814052639</v>
      </c>
      <c r="X41" s="32">
        <f>'LUC NGHGI'!EC31</f>
        <v>-9.4482010814052639</v>
      </c>
      <c r="Y41" s="32">
        <f>'LUC NGHGI'!DY31</f>
        <v>-9.4482010814052639</v>
      </c>
      <c r="Z41" s="32">
        <f>'LUC NGHGI'!DZ31</f>
        <v>-9.4482010814052639</v>
      </c>
      <c r="AA41" s="32">
        <f>Table12[[#This Row],[2021 emissions]]</f>
        <v>44.614425086377835</v>
      </c>
      <c r="AB41" s="32">
        <f>'LUC NGHGI'!DW31</f>
        <v>-9.1867509136221646</v>
      </c>
      <c r="AC41" s="32">
        <f>IF(F41="incl",Table12[[#This Row],[GHG emissions incl LULUCF]]-Table12[[#This Row],[LULUCF emis-sions in 20213]],Table12[[#This Row],[GHG emissions incl LULUCF]])</f>
        <v>53.801175999999998</v>
      </c>
      <c r="AD41" s="32">
        <f>'input site'!BS41</f>
        <v>22.860127888833706</v>
      </c>
      <c r="AE41" s="32">
        <f>'LUC NGHGI'!EH31</f>
        <v>-10.724190204313601</v>
      </c>
      <c r="AF41" s="32">
        <f>IF(F41="incl",Table12[[#This Row],[Current Policies 2030 incl LULUCF]]-Table12[[#This Row],[LULUCF CurPol 2030]],Table12[[#This Row],[Current Policies 2030 incl LULUCF]])</f>
        <v>33.584318093147303</v>
      </c>
      <c r="AG41" s="32" t="str">
        <f>IF(Table12[[#This Row],[Net-zero target status]]&lt;=1,"",IF(Table12[[#This Row],[NZ GHG year]]="","",1000000000*(Table12[[#This Row],[residual LULUCF emissions in 2050]]-Table12[[#This Row],[GHG emissions excl LULUCF]])/(Table12[[#This Row],[NZ GHG year]]-2021)/Table12[[#This Row],[Population]]))</f>
        <v/>
      </c>
      <c r="AH41" s="32" t="str">
        <f>IF(Table12[[#This Row],[Peak revised]]="Yes",IF(Table12[[#This Row],[Net-zero target status]]&lt;=1,"",IF(Table12[[#This Row],[NZ GHG year]]="","",1000000000*(Table12[[#This Row],[residual LULUCF emissions in 2050]]-Table12[[#This Row],[GHG emissions excl LULUCF]])/(Table12[[#This Row],[NZ GHG year]]-2021)/Table12[[#This Row],[Population]])),"")</f>
        <v/>
      </c>
      <c r="AI41" s="32">
        <f>MAX(0,(1000000*(Table12[[#This Row],[Current Policies 2030 excl LULUCF]]/2+Table12[[#This Row],[GHG emissions excl LULUCF]]/2)/Table12[[#This Row],[Population]]-$AI$8)*10)*$AI$10</f>
        <v>0</v>
      </c>
      <c r="AJ4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1" s="32" t="str">
        <f>IF(Table12[[#This Row],[Formule no Peak (2)]]="","",Table12[[#This Row],[Penalty (1)]]+Table12[[#This Row],[Formule no Peak (2)]])</f>
        <v/>
      </c>
      <c r="AL41" s="313">
        <f>(Table12[[#This Row],[Current Policies 2030 excl LULUCF]]-Table12[[#This Row],[GHG emissions excl LULUCF]])/(2030-2021)/Table12[[#This Row],[GHG emissions excl LULUCF]]</f>
        <v>-4.1752201572803078E-2</v>
      </c>
      <c r="AM41" s="313" t="str">
        <f>IF(Table12[[#This Row],[Net-zero target status]]&lt;=1,"",IF(Table12[[#This Row],[NZ GHG year]]="","",(Table12[[#This Row],[residual LULUCF emissions in 2050]]-Table12[[#This Row],[Current Policies 2030 excl LULUCF]])/(Table12[[#This Row],[NZ GHG year]]-2030)/Table12[[#This Row],[Current Policies 2030 excl LULUCF]]))</f>
        <v/>
      </c>
      <c r="AN41" s="313" t="str">
        <f>IF(Table12[[#This Row],[Net-zero target status]]&lt;=1,"",IF(Table12[[#This Row],[NZ GHG year]]="","",(Table12[[#This Row],[residual LULUCF emissions in 2050]]-Table12[[#This Row],[GHG emissions excl LULUCF]])/(Table12[[#This Row],[NZ GHG year]]-2021)/Table12[[#This Row],[GHG emissions excl LULUCF]]))</f>
        <v/>
      </c>
      <c r="AO41" s="313" t="str">
        <f>IF(Table12[[#This Row],[Net-zero target status]]&lt;=1,"",IF(Table12[[#This Row],[NZ GHG year]]="","",(Table12[[#This Row],[residual LULUCF emissions in 2050]]-Table12[[#This Row],[2030 conditional NDCs]])/(Table12[[#This Row],[NZ GHG year]]-2030)/Table12[[#This Row],[2030 conditional NDCs]]))</f>
        <v/>
      </c>
      <c r="AP41" s="96">
        <f>MAX('input site'!AH41:AS41)</f>
        <v>55.762043492437193</v>
      </c>
      <c r="AQ41" s="95" t="str">
        <f>IF(Table12[[#This Row],[Current Policies 2030 incl LULUCF]]&gt;Table12[[#This Row],[Maximum inventory data]],"No","Yes")</f>
        <v>Yes</v>
      </c>
      <c r="AR41" s="34" t="str">
        <f>IF(Table12[[#This Row],[Net-zero target status]]&gt;=1.5,Table12[[#This Row],[residual LULUCF emissions in 2050]]/Table12[[#This Row],[GHG emissions excl LULUCF]],"")</f>
        <v/>
      </c>
      <c r="AS41" s="74" t="str">
        <f>'input site'!BE41</f>
        <v/>
      </c>
      <c r="AT41" s="74"/>
      <c r="AU41" s="74"/>
      <c r="AV41" s="75"/>
      <c r="AW41" s="74" t="str">
        <f>IF(Table12[[#This Row],[2030 unconditional NDCs]]="","",IF(F41="incl",Table12[[#This Row],[2030 unconditional NDCs]]-Table12[[#This Row],[LULUCF NDC uncond]],Table12[[#This Row],[2030 unconditional NDCs]]))</f>
        <v/>
      </c>
      <c r="AX41" s="74" t="str">
        <f>IF(Table12[[#This Row],[2030 unconditional NDCs2]]="","",IF(F41="incl",Table12[[#This Row],[2030 unconditional NDCs2]]-Table12[[#This Row],[LULUCF NDC uncond]],Table12[[#This Row],[2030 unconditional NDCs2]]))</f>
        <v/>
      </c>
      <c r="AY41" s="74" t="str">
        <f>IF(Table12[[#This Row],[2030 conditional NDCs]]="","",IF(F41="incl",Table12[[#This Row],[2030 conditional NDCs]]-Table12[[#This Row],[LULUCF NDC cond]],Table12[[#This Row],[2030 conditional NDCs]]))</f>
        <v/>
      </c>
      <c r="AZ41" s="74" t="str">
        <f>IF(Table12[[#This Row],[2030 conditional NDCs2]]="","",IF(F41="incl",Table12[[#This Row],[2030 conditional NDCs2]]-Table12[[#This Row],[LULUCF NDC cond]],Table12[[#This Row],[2030 conditional NDCs2]]))</f>
        <v/>
      </c>
      <c r="BA41" s="8">
        <f>VLOOKUP($G41,'Population90 20'!$C$6:$AU$231,37,FALSE)</f>
        <v>6844597</v>
      </c>
      <c r="BB41" s="8">
        <f>VLOOKUP($G41,'Overview GDP (PPP)'!$C$6:$AI$231,33,FALSE)</f>
        <v>135713174.45916775</v>
      </c>
      <c r="BC41" s="36">
        <f>Table12[[#This Row],[Income]]/Table12[[#This Row],[Population]]</f>
        <v>19.82778160046059</v>
      </c>
      <c r="BD41" s="36">
        <f>Table12[[#This Row],[GHG emissions excl LULUCF]]*1000000/Table12[[#This Row],[Population]]</f>
        <v>7.8603862287290251</v>
      </c>
      <c r="BE41" s="23" t="e">
        <f>VLOOKUP($G41,EGR2023_MASTER!$B$4:$S$38,14,FALSE)</f>
        <v>#N/A</v>
      </c>
      <c r="BF41" s="23" t="e">
        <f>VLOOKUP($G41,EGR2023_MASTER!$B$4:$S$38,15,FALSE)</f>
        <v>#N/A</v>
      </c>
      <c r="BG41" s="23" t="e">
        <f>VLOOKUP($G41,EGR2023_MASTER!$B$4:$S$38,16,FALSE)</f>
        <v>#N/A</v>
      </c>
      <c r="BH41" s="23" t="e">
        <f t="shared" si="16"/>
        <v>#N/A</v>
      </c>
      <c r="BI41" s="23" t="e">
        <f t="shared" si="17"/>
        <v>#N/A</v>
      </c>
      <c r="BJ41" s="552">
        <f>(Table12[[#This Row],[Current Policies 2030 excl LULUCF]]/Table12[[#This Row],[GHG emissions excl LULUCF]])^(1/(2030-2021))-1</f>
        <v>-5.1012417869863658E-2</v>
      </c>
      <c r="BK41" s="552" t="str">
        <f>IF(Table12[[#This Row],[Net-zero target status]]&lt;=1,"",IF(Table12[[#This Row],[NZ GHG year]]="","",((MAX(Table12[[#This Row],[residual LULUCF emissions in 2050]],0.1)/Table12[[#This Row],[Current Policies 2030 excl LULUCF]])^(1/(Table12[[#This Row],[NZ GHG year]]-2021))-1)))</f>
        <v/>
      </c>
      <c r="BL41" s="552" t="str">
        <f>IF(Table12[[#This Row],[Net-zero target status]]&lt;=1,"",IF(Table12[[#This Row],[NZ GHG year]]="","",((MAX(Table12[[#This Row],[residual LULUCF emissions in 2050]],0.1)/Table12[[#This Row],[GHG emissions excl LULUCF]])^(1/(Table12[[#This Row],[NZ GHG year]]-2021))-1)))</f>
        <v/>
      </c>
      <c r="BM41" s="552" t="str">
        <f>IF(Table12[[#This Row],[Net-zero target status]]&lt;=1,"",IF(Table12[[#This Row],[NZ GHG year]]="","",((MAX(Table12[[#This Row],[residual LULUCF emissions in 2050]],0.1)/AVERAGE(Table12[[#This Row],[2030 conditional NDCs]:[2030 conditional NDCs2]]))^(1/(Table12[[#This Row],[NZ GHG year]]-2021))-1)))</f>
        <v/>
      </c>
      <c r="BN41" s="23"/>
      <c r="BO41" s="23"/>
      <c r="BP41" s="23"/>
      <c r="BQ41" s="23"/>
      <c r="BR41" s="50" t="s">
        <v>111</v>
      </c>
      <c r="BT41" s="30" t="str">
        <f>IF(Table12[[#This Row],[Reduction rate 2021 to NZ target2]]="","",J41*(1+AN41)^(Table12[[#This Row],[NZ GHG year]]-2021))</f>
        <v/>
      </c>
    </row>
    <row r="42" spans="1:72" ht="15" x14ac:dyDescent="0.25">
      <c r="A42">
        <v>0</v>
      </c>
      <c r="B42">
        <v>0</v>
      </c>
      <c r="C42">
        <v>854</v>
      </c>
      <c r="D42">
        <v>216</v>
      </c>
      <c r="E42">
        <v>8</v>
      </c>
      <c r="F42" t="str">
        <f>'input site'!M42</f>
        <v>incl</v>
      </c>
      <c r="G42" s="31" t="s">
        <v>112</v>
      </c>
      <c r="H42" s="1" t="s">
        <v>113</v>
      </c>
      <c r="I42" s="8">
        <f>VLOOKUP($G42,'NZT data'!$B$3:$C$200,2,FALSE)</f>
        <v>1</v>
      </c>
      <c r="J42" s="32">
        <f>'input site'!AS42</f>
        <v>90.39105110563807</v>
      </c>
      <c r="K42" s="32">
        <f>'input site'!BS42</f>
        <v>107.65452731092162</v>
      </c>
      <c r="L42" s="32">
        <f t="shared" si="14"/>
        <v>0</v>
      </c>
      <c r="M42" s="32">
        <f t="shared" si="15"/>
        <v>0</v>
      </c>
      <c r="N42" s="32">
        <f>'input site'!EV42</f>
        <v>79.069543008051753</v>
      </c>
      <c r="O42" s="8"/>
      <c r="P42" s="36"/>
      <c r="Q42" s="32">
        <f t="shared" si="18"/>
        <v>0</v>
      </c>
      <c r="R42" s="32">
        <f>'input site'!EZ42</f>
        <v>45.038034228059587</v>
      </c>
      <c r="S42" s="37">
        <f>'input site'!FA42</f>
        <v>2050</v>
      </c>
      <c r="T42" s="37" t="str">
        <f>Table12[[#This Row],[(Mt CO2 equivalent)]]</f>
        <v>Burkina Faso</v>
      </c>
      <c r="U42" s="8">
        <f>VLOOKUP($G42,'NZT data'!$B$3:$F$200,4,FALSE)</f>
        <v>2110</v>
      </c>
      <c r="V42" s="32">
        <f>VLOOKUP($G42,'NZT data'!$B$3:$F$200,5,FALSE)</f>
        <v>2125</v>
      </c>
      <c r="W42" s="32">
        <f>-IF('LUC NGHGI'!EC32="",MIN('LUC NGHGI'!DW32,0.1),MIN('LUC NGHGI'!EC32,0.1))</f>
        <v>-0.1</v>
      </c>
      <c r="X42" s="32">
        <f>'LUC NGHGI'!EC32</f>
        <v>57.613330287356803</v>
      </c>
      <c r="Y42" s="32">
        <f>'LUC NGHGI'!DY32</f>
        <v>52.097953351830661</v>
      </c>
      <c r="Z42" s="32">
        <f>'LUC NGHGI'!DZ32</f>
        <v>48.444447649167181</v>
      </c>
      <c r="AA42" s="32">
        <f>Table12[[#This Row],[2021 emissions]]</f>
        <v>90.39105110563807</v>
      </c>
      <c r="AB42" s="32">
        <f>'LUC NGHGI'!DW32</f>
        <v>59.359091105638072</v>
      </c>
      <c r="AC42" s="32">
        <f>IF(F42="incl",Table12[[#This Row],[GHG emissions incl LULUCF]]-Table12[[#This Row],[LULUCF emis-sions in 20213]],Table12[[#This Row],[GHG emissions incl LULUCF]])</f>
        <v>31.031959999999998</v>
      </c>
      <c r="AD42" s="32">
        <f>'input site'!BS42</f>
        <v>107.65452731092162</v>
      </c>
      <c r="AE42" s="32">
        <f>'LUC NGHGI'!EH32</f>
        <v>40.462037575533856</v>
      </c>
      <c r="AF42" s="32">
        <f>IF(F42="incl",Table12[[#This Row],[Current Policies 2030 incl LULUCF]]-Table12[[#This Row],[LULUCF CurPol 2030]],Table12[[#This Row],[Current Policies 2030 incl LULUCF]])</f>
        <v>67.192489735387767</v>
      </c>
      <c r="AG42" s="32" t="str">
        <f>IF(Table12[[#This Row],[Net-zero target status]]&lt;=1,"",IF(Table12[[#This Row],[NZ GHG year]]="","",1000000000*(Table12[[#This Row],[residual LULUCF emissions in 2050]]-Table12[[#This Row],[GHG emissions excl LULUCF]])/(Table12[[#This Row],[NZ GHG year]]-2021)/Table12[[#This Row],[Population]]))</f>
        <v/>
      </c>
      <c r="AH42" s="32" t="str">
        <f>IF(Table12[[#This Row],[Peak revised]]="Yes",IF(Table12[[#This Row],[Net-zero target status]]&lt;=1,"",IF(Table12[[#This Row],[NZ GHG year]]="","",1000000000*(Table12[[#This Row],[residual LULUCF emissions in 2050]]-Table12[[#This Row],[GHG emissions excl LULUCF]])/(Table12[[#This Row],[NZ GHG year]]-2021)/Table12[[#This Row],[Population]])),"")</f>
        <v/>
      </c>
      <c r="AI42" s="32">
        <f>MAX(0,(1000000*(Table12[[#This Row],[Current Policies 2030 excl LULUCF]]/2+Table12[[#This Row],[GHG emissions excl LULUCF]]/2)/Table12[[#This Row],[Population]]-$AI$8)*10)*$AI$10</f>
        <v>0</v>
      </c>
      <c r="AJ4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2" s="32" t="str">
        <f>IF(Table12[[#This Row],[Formule no Peak (2)]]="","",Table12[[#This Row],[Penalty (1)]]+Table12[[#This Row],[Formule no Peak (2)]])</f>
        <v/>
      </c>
      <c r="AL42" s="313">
        <f>(Table12[[#This Row],[Current Policies 2030 excl LULUCF]]-Table12[[#This Row],[GHG emissions excl LULUCF]])/(2030-2021)/Table12[[#This Row],[GHG emissions excl LULUCF]]</f>
        <v>0.12947414978832494</v>
      </c>
      <c r="AM42" s="313" t="str">
        <f>IF(Table12[[#This Row],[Net-zero target status]]&lt;=1,"",IF(Table12[[#This Row],[NZ GHG year]]="","",(Table12[[#This Row],[residual LULUCF emissions in 2050]]-Table12[[#This Row],[Current Policies 2030 excl LULUCF]])/(Table12[[#This Row],[NZ GHG year]]-2030)/Table12[[#This Row],[Current Policies 2030 excl LULUCF]]))</f>
        <v/>
      </c>
      <c r="AN42" s="313" t="str">
        <f>IF(Table12[[#This Row],[Net-zero target status]]&lt;=1,"",IF(Table12[[#This Row],[NZ GHG year]]="","",(Table12[[#This Row],[residual LULUCF emissions in 2050]]-Table12[[#This Row],[GHG emissions excl LULUCF]])/(Table12[[#This Row],[NZ GHG year]]-2021)/Table12[[#This Row],[GHG emissions excl LULUCF]]))</f>
        <v/>
      </c>
      <c r="AO42" s="313" t="str">
        <f>IF(Table12[[#This Row],[Net-zero target status]]&lt;=1,"",IF(Table12[[#This Row],[NZ GHG year]]="","",(Table12[[#This Row],[residual LULUCF emissions in 2050]]-Table12[[#This Row],[2030 conditional NDCs]])/(Table12[[#This Row],[NZ GHG year]]-2030)/Table12[[#This Row],[2030 conditional NDCs]]))</f>
        <v/>
      </c>
      <c r="AP42" s="96">
        <f>MAX('input site'!AH42:AS42)</f>
        <v>90.39105110563807</v>
      </c>
      <c r="AQ42" s="95" t="str">
        <f>IF(Table12[[#This Row],[Current Policies 2030 incl LULUCF]]&gt;Table12[[#This Row],[Maximum inventory data]],"No","Yes")</f>
        <v>No</v>
      </c>
      <c r="AR42" s="34" t="str">
        <f>IF(Table12[[#This Row],[Net-zero target status]]&gt;=1.5,Table12[[#This Row],[residual LULUCF emissions in 2050]]/Table12[[#This Row],[GHG emissions excl LULUCF]],"")</f>
        <v/>
      </c>
      <c r="AS42" s="80">
        <f>'input site'!BE42</f>
        <v>86.447688000000014</v>
      </c>
      <c r="AT42" s="80">
        <f>'input site'!BF42</f>
        <v>86.447688000000014</v>
      </c>
      <c r="AU42" s="80">
        <f>'input site'!BG42</f>
        <v>75.889027600000006</v>
      </c>
      <c r="AV42" s="81">
        <f>'input site'!BH42</f>
        <v>75.889027600000006</v>
      </c>
      <c r="AW42" s="74">
        <f>IF(Table12[[#This Row],[2030 unconditional NDCs]]="","",IF(F42="incl",Table12[[#This Row],[2030 unconditional NDCs]]-Table12[[#This Row],[LULUCF NDC uncond]],Table12[[#This Row],[2030 unconditional NDCs]]))</f>
        <v>34.349734648169353</v>
      </c>
      <c r="AX42" s="74">
        <f>IF(Table12[[#This Row],[2030 unconditional NDCs2]]="","",IF(F42="incl",Table12[[#This Row],[2030 unconditional NDCs2]]-Table12[[#This Row],[LULUCF NDC uncond]],Table12[[#This Row],[2030 unconditional NDCs2]]))</f>
        <v>34.349734648169353</v>
      </c>
      <c r="AY42" s="74">
        <f>IF(Table12[[#This Row],[2030 conditional NDCs]]="","",IF(F42="incl",Table12[[#This Row],[2030 conditional NDCs]]-Table12[[#This Row],[LULUCF NDC cond]],Table12[[#This Row],[2030 conditional NDCs]]))</f>
        <v>27.444579950832825</v>
      </c>
      <c r="AZ42" s="74">
        <f>IF(Table12[[#This Row],[2030 conditional NDCs2]]="","",IF(F42="incl",Table12[[#This Row],[2030 conditional NDCs2]]-Table12[[#This Row],[LULUCF NDC cond]],Table12[[#This Row],[2030 conditional NDCs2]]))</f>
        <v>27.444579950832825</v>
      </c>
      <c r="BA42" s="8">
        <f>VLOOKUP($G42,'Population90 20'!$C$6:$AU$231,37,FALSE)</f>
        <v>22102838</v>
      </c>
      <c r="BB42" s="8">
        <f>VLOOKUP($G42,'Overview GDP (PPP)'!$C$6:$AI$231,33,FALSE)</f>
        <v>34675654.773541838</v>
      </c>
      <c r="BC42" s="36">
        <f>Table12[[#This Row],[Income]]/Table12[[#This Row],[Population]]</f>
        <v>1.5688326889760418</v>
      </c>
      <c r="BD42" s="36">
        <f>Table12[[#This Row],[GHG emissions excl LULUCF]]*1000000/Table12[[#This Row],[Population]]</f>
        <v>1.4039807919688863</v>
      </c>
      <c r="BE42" s="23" t="e">
        <f>VLOOKUP($G42,EGR2023_MASTER!$B$4:$S$38,14,FALSE)</f>
        <v>#N/A</v>
      </c>
      <c r="BF42" s="23" t="e">
        <f>VLOOKUP($G42,EGR2023_MASTER!$B$4:$S$38,15,FALSE)</f>
        <v>#N/A</v>
      </c>
      <c r="BG42" s="23" t="e">
        <f>VLOOKUP($G42,EGR2023_MASTER!$B$4:$S$38,16,FALSE)</f>
        <v>#N/A</v>
      </c>
      <c r="BH42" s="23" t="e">
        <f t="shared" si="16"/>
        <v>#N/A</v>
      </c>
      <c r="BI42" s="23" t="e">
        <f t="shared" si="17"/>
        <v>#N/A</v>
      </c>
      <c r="BJ42" s="552">
        <f>(Table12[[#This Row],[Current Policies 2030 excl LULUCF]]/Table12[[#This Row],[GHG emissions excl LULUCF]])^(1/(2030-2021))-1</f>
        <v>8.9630016778489807E-2</v>
      </c>
      <c r="BK42" s="552" t="str">
        <f>IF(Table12[[#This Row],[Net-zero target status]]&lt;=1,"",IF(Table12[[#This Row],[NZ GHG year]]="","",((MAX(Table12[[#This Row],[residual LULUCF emissions in 2050]],0.1)/Table12[[#This Row],[Current Policies 2030 excl LULUCF]])^(1/(Table12[[#This Row],[NZ GHG year]]-2021))-1)))</f>
        <v/>
      </c>
      <c r="BL42" s="552" t="str">
        <f>IF(Table12[[#This Row],[Net-zero target status]]&lt;=1,"",IF(Table12[[#This Row],[NZ GHG year]]="","",((MAX(Table12[[#This Row],[residual LULUCF emissions in 2050]],0.1)/Table12[[#This Row],[GHG emissions excl LULUCF]])^(1/(Table12[[#This Row],[NZ GHG year]]-2021))-1)))</f>
        <v/>
      </c>
      <c r="BM42" s="552" t="str">
        <f>IF(Table12[[#This Row],[Net-zero target status]]&lt;=1,"",IF(Table12[[#This Row],[NZ GHG year]]="","",((MAX(Table12[[#This Row],[residual LULUCF emissions in 2050]],0.1)/AVERAGE(Table12[[#This Row],[2030 conditional NDCs]:[2030 conditional NDCs2]]))^(1/(Table12[[#This Row],[NZ GHG year]]-2021))-1)))</f>
        <v/>
      </c>
      <c r="BN42" s="23"/>
      <c r="BO42" s="23"/>
      <c r="BP42" s="23"/>
      <c r="BQ42" s="23"/>
      <c r="BR42" s="50" t="s">
        <v>113</v>
      </c>
      <c r="BT42" s="30" t="str">
        <f>IF(Table12[[#This Row],[Reduction rate 2021 to NZ target2]]="","",J42*(1+AN42)^(Table12[[#This Row],[NZ GHG year]]-2021))</f>
        <v/>
      </c>
    </row>
    <row r="43" spans="1:72" ht="15" x14ac:dyDescent="0.25">
      <c r="A43">
        <v>0</v>
      </c>
      <c r="B43">
        <v>0</v>
      </c>
      <c r="C43">
        <v>108</v>
      </c>
      <c r="D43">
        <v>29</v>
      </c>
      <c r="E43">
        <v>9</v>
      </c>
      <c r="F43" t="str">
        <f>'input site'!M43</f>
        <v>incl</v>
      </c>
      <c r="G43" s="31" t="s">
        <v>114</v>
      </c>
      <c r="H43" s="1" t="s">
        <v>115</v>
      </c>
      <c r="I43" s="8">
        <f>VLOOKUP($G43,'NZT data'!$B$3:$C$200,2,FALSE)</f>
        <v>1</v>
      </c>
      <c r="J43" s="32">
        <f>'input site'!AS43</f>
        <v>-10.894312059362131</v>
      </c>
      <c r="K43" s="32">
        <f>'input site'!BS43</f>
        <v>-9.6313953134884844</v>
      </c>
      <c r="L43" s="32">
        <f t="shared" si="14"/>
        <v>0</v>
      </c>
      <c r="M43" s="32">
        <f t="shared" si="15"/>
        <v>0</v>
      </c>
      <c r="N43" s="32">
        <f>'input site'!EV43</f>
        <v>-12.178734381337058</v>
      </c>
      <c r="O43" s="8"/>
      <c r="P43" s="36"/>
      <c r="Q43" s="32">
        <f t="shared" si="18"/>
        <v>0</v>
      </c>
      <c r="R43" s="32">
        <f>'input site'!EZ43</f>
        <v>-11.1273820948809</v>
      </c>
      <c r="S43" s="37">
        <f>'input site'!FA43</f>
        <v>2050</v>
      </c>
      <c r="T43" s="37" t="str">
        <f>Table12[[#This Row],[(Mt CO2 equivalent)]]</f>
        <v>Burundi</v>
      </c>
      <c r="U43" s="8">
        <f>VLOOKUP($G43,'NZT data'!$B$3:$F$200,4,FALSE)</f>
        <v>2110</v>
      </c>
      <c r="V43" s="32">
        <f>VLOOKUP($G43,'NZT data'!$B$3:$F$200,5,FALSE)</f>
        <v>2110</v>
      </c>
      <c r="W43" s="32">
        <f>-IF('LUC NGHGI'!EC33="",MIN('LUC NGHGI'!DW33,0.1),MIN('LUC NGHGI'!EC33,0.1))</f>
        <v>14.780629885057579</v>
      </c>
      <c r="X43" s="32">
        <f>'LUC NGHGI'!EC33</f>
        <v>-14.780629885057579</v>
      </c>
      <c r="Y43" s="32">
        <f>'LUC NGHGI'!DY33</f>
        <v>-15.780629885057579</v>
      </c>
      <c r="Z43" s="32">
        <f>'LUC NGHGI'!DZ33</f>
        <v>-15.780629885057579</v>
      </c>
      <c r="AA43" s="32">
        <f>Table12[[#This Row],[2021 emissions]]</f>
        <v>-10.894312059362131</v>
      </c>
      <c r="AB43" s="32">
        <f>'LUC NGHGI'!DW33</f>
        <v>-15.34861675936213</v>
      </c>
      <c r="AC43" s="32">
        <f>IF(F43="incl",Table12[[#This Row],[GHG emissions incl LULUCF]]-Table12[[#This Row],[LULUCF emis-sions in 20213]],Table12[[#This Row],[GHG emissions incl LULUCF]])</f>
        <v>4.4543046999999998</v>
      </c>
      <c r="AD43" s="32">
        <f>'input site'!BS43</f>
        <v>-9.6313953134884844</v>
      </c>
      <c r="AE43" s="32">
        <f>'LUC NGHGI'!EH33</f>
        <v>-18.262306364567948</v>
      </c>
      <c r="AF43" s="32">
        <f>IF(F43="incl",Table12[[#This Row],[Current Policies 2030 incl LULUCF]]-Table12[[#This Row],[LULUCF CurPol 2030]],Table12[[#This Row],[Current Policies 2030 incl LULUCF]])</f>
        <v>8.6309110510794635</v>
      </c>
      <c r="AG43" s="32" t="str">
        <f>IF(Table12[[#This Row],[Net-zero target status]]&lt;=1,"",IF(Table12[[#This Row],[NZ GHG year]]="","",1000000000*(Table12[[#This Row],[residual LULUCF emissions in 2050]]-Table12[[#This Row],[GHG emissions excl LULUCF]])/(Table12[[#This Row],[NZ GHG year]]-2021)/Table12[[#This Row],[Population]]))</f>
        <v/>
      </c>
      <c r="AH43" s="32" t="str">
        <f>IF(Table12[[#This Row],[Peak revised]]="Yes",IF(Table12[[#This Row],[Net-zero target status]]&lt;=1,"",IF(Table12[[#This Row],[NZ GHG year]]="","",1000000000*(Table12[[#This Row],[residual LULUCF emissions in 2050]]-Table12[[#This Row],[GHG emissions excl LULUCF]])/(Table12[[#This Row],[NZ GHG year]]-2021)/Table12[[#This Row],[Population]])),"")</f>
        <v/>
      </c>
      <c r="AI43" s="32">
        <f>MAX(0,(1000000*(Table12[[#This Row],[Current Policies 2030 excl LULUCF]]/2+Table12[[#This Row],[GHG emissions excl LULUCF]]/2)/Table12[[#This Row],[Population]]-$AI$8)*10)*$AI$10</f>
        <v>0</v>
      </c>
      <c r="AJ4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3" s="32" t="str">
        <f>IF(Table12[[#This Row],[Formule no Peak (2)]]="","",Table12[[#This Row],[Penalty (1)]]+Table12[[#This Row],[Formule no Peak (2)]])</f>
        <v/>
      </c>
      <c r="AL43" s="313">
        <f>(Table12[[#This Row],[Current Policies 2030 excl LULUCF]]-Table12[[#This Row],[GHG emissions excl LULUCF]])/(2030-2021)/Table12[[#This Row],[GHG emissions excl LULUCF]]</f>
        <v>0.10418402053684443</v>
      </c>
      <c r="AM43" s="313" t="str">
        <f>IF(Table12[[#This Row],[Net-zero target status]]&lt;=1,"",IF(Table12[[#This Row],[NZ GHG year]]="","",(Table12[[#This Row],[residual LULUCF emissions in 2050]]-Table12[[#This Row],[Current Policies 2030 excl LULUCF]])/(Table12[[#This Row],[NZ GHG year]]-2030)/Table12[[#This Row],[Current Policies 2030 excl LULUCF]]))</f>
        <v/>
      </c>
      <c r="AN43" s="313" t="str">
        <f>IF(Table12[[#This Row],[Net-zero target status]]&lt;=1,"",IF(Table12[[#This Row],[NZ GHG year]]="","",(Table12[[#This Row],[residual LULUCF emissions in 2050]]-Table12[[#This Row],[GHG emissions excl LULUCF]])/(Table12[[#This Row],[NZ GHG year]]-2021)/Table12[[#This Row],[GHG emissions excl LULUCF]]))</f>
        <v/>
      </c>
      <c r="AO43" s="313" t="str">
        <f>IF(Table12[[#This Row],[Net-zero target status]]&lt;=1,"",IF(Table12[[#This Row],[NZ GHG year]]="","",(Table12[[#This Row],[residual LULUCF emissions in 2050]]-Table12[[#This Row],[2030 conditional NDCs]])/(Table12[[#This Row],[NZ GHG year]]-2030)/Table12[[#This Row],[2030 conditional NDCs]]))</f>
        <v/>
      </c>
      <c r="AP43" s="96">
        <f>MAX('input site'!AH43:AS43)</f>
        <v>-6.6348153999999999</v>
      </c>
      <c r="AQ43" s="95" t="str">
        <f>IF(Table12[[#This Row],[Current Policies 2030 incl LULUCF]]&gt;Table12[[#This Row],[Maximum inventory data]],"No","Yes")</f>
        <v>Yes</v>
      </c>
      <c r="AR43" s="34" t="str">
        <f>IF(Table12[[#This Row],[Net-zero target status]]&gt;=1.5,Table12[[#This Row],[residual LULUCF emissions in 2050]]/Table12[[#This Row],[GHG emissions excl LULUCF]],"")</f>
        <v/>
      </c>
      <c r="AS43" s="74">
        <f>'input site'!BE43</f>
        <v>72.250450000000001</v>
      </c>
      <c r="AT43" s="74">
        <f>'input site'!BF43</f>
        <v>72.250450000000001</v>
      </c>
      <c r="AU43" s="74">
        <f>'input site'!BG43</f>
        <v>59.588000000000001</v>
      </c>
      <c r="AV43" s="75">
        <f>'input site'!BH43</f>
        <v>59.588000000000001</v>
      </c>
      <c r="AW43" s="74">
        <f>IF(Table12[[#This Row],[2030 unconditional NDCs]]="","",IF(F43="incl",Table12[[#This Row],[2030 unconditional NDCs]]-Table12[[#This Row],[LULUCF NDC uncond]],Table12[[#This Row],[2030 unconditional NDCs]]))</f>
        <v>88.031079885057579</v>
      </c>
      <c r="AX43" s="74">
        <f>IF(Table12[[#This Row],[2030 unconditional NDCs2]]="","",IF(F43="incl",Table12[[#This Row],[2030 unconditional NDCs2]]-Table12[[#This Row],[LULUCF NDC uncond]],Table12[[#This Row],[2030 unconditional NDCs2]]))</f>
        <v>88.031079885057579</v>
      </c>
      <c r="AY43" s="74">
        <f>IF(Table12[[#This Row],[2030 conditional NDCs]]="","",IF(F43="incl",Table12[[#This Row],[2030 conditional NDCs]]-Table12[[#This Row],[LULUCF NDC cond]],Table12[[#This Row],[2030 conditional NDCs]]))</f>
        <v>75.368629885057572</v>
      </c>
      <c r="AZ43" s="74">
        <f>IF(Table12[[#This Row],[2030 conditional NDCs2]]="","",IF(F43="incl",Table12[[#This Row],[2030 conditional NDCs2]]-Table12[[#This Row],[LULUCF NDC cond]],Table12[[#This Row],[2030 conditional NDCs2]]))</f>
        <v>75.368629885057572</v>
      </c>
      <c r="BA43" s="8">
        <f>VLOOKUP($G43,'Population90 20'!$C$6:$AU$231,37,FALSE)</f>
        <v>12624840</v>
      </c>
      <c r="BB43" s="8">
        <f>VLOOKUP($G43,'Overview GDP (PPP)'!$C$6:$AI$231,33,FALSE)</f>
        <v>7378718.0754031362</v>
      </c>
      <c r="BC43" s="36">
        <f>Table12[[#This Row],[Income]]/Table12[[#This Row],[Population]]</f>
        <v>0.58446032388554126</v>
      </c>
      <c r="BD43" s="36">
        <f>Table12[[#This Row],[GHG emissions excl LULUCF]]*1000000/Table12[[#This Row],[Population]]</f>
        <v>0.35282068525224874</v>
      </c>
      <c r="BE43" s="23" t="e">
        <f>VLOOKUP($G43,EGR2023_MASTER!$B$4:$S$38,14,FALSE)</f>
        <v>#N/A</v>
      </c>
      <c r="BF43" s="23" t="e">
        <f>VLOOKUP($G43,EGR2023_MASTER!$B$4:$S$38,15,FALSE)</f>
        <v>#N/A</v>
      </c>
      <c r="BG43" s="23" t="e">
        <f>VLOOKUP($G43,EGR2023_MASTER!$B$4:$S$38,16,FALSE)</f>
        <v>#N/A</v>
      </c>
      <c r="BH43" s="23" t="e">
        <f t="shared" si="16"/>
        <v>#N/A</v>
      </c>
      <c r="BI43" s="23" t="e">
        <f t="shared" si="17"/>
        <v>#N/A</v>
      </c>
      <c r="BJ43" s="552">
        <f>(Table12[[#This Row],[Current Policies 2030 excl LULUCF]]/Table12[[#This Row],[GHG emissions excl LULUCF]])^(1/(2030-2021))-1</f>
        <v>7.6266036206703136E-2</v>
      </c>
      <c r="BK43" s="552" t="str">
        <f>IF(Table12[[#This Row],[Net-zero target status]]&lt;=1,"",IF(Table12[[#This Row],[NZ GHG year]]="","",((MAX(Table12[[#This Row],[residual LULUCF emissions in 2050]],0.1)/Table12[[#This Row],[Current Policies 2030 excl LULUCF]])^(1/(Table12[[#This Row],[NZ GHG year]]-2021))-1)))</f>
        <v/>
      </c>
      <c r="BL43" s="552" t="str">
        <f>IF(Table12[[#This Row],[Net-zero target status]]&lt;=1,"",IF(Table12[[#This Row],[NZ GHG year]]="","",((MAX(Table12[[#This Row],[residual LULUCF emissions in 2050]],0.1)/Table12[[#This Row],[GHG emissions excl LULUCF]])^(1/(Table12[[#This Row],[NZ GHG year]]-2021))-1)))</f>
        <v/>
      </c>
      <c r="BM43" s="552" t="str">
        <f>IF(Table12[[#This Row],[Net-zero target status]]&lt;=1,"",IF(Table12[[#This Row],[NZ GHG year]]="","",((MAX(Table12[[#This Row],[residual LULUCF emissions in 2050]],0.1)/AVERAGE(Table12[[#This Row],[2030 conditional NDCs]:[2030 conditional NDCs2]]))^(1/(Table12[[#This Row],[NZ GHG year]]-2021))-1)))</f>
        <v/>
      </c>
      <c r="BN43" s="23"/>
      <c r="BO43" s="23"/>
      <c r="BP43" s="23"/>
      <c r="BQ43" s="23"/>
      <c r="BR43" s="50" t="s">
        <v>115</v>
      </c>
      <c r="BT43" s="30" t="str">
        <f>IF(Table12[[#This Row],[Reduction rate 2021 to NZ target2]]="","",J43*(1+AN43)^(Table12[[#This Row],[NZ GHG year]]-2021))</f>
        <v/>
      </c>
    </row>
    <row r="44" spans="1:72" ht="15" x14ac:dyDescent="0.25">
      <c r="A44">
        <v>1</v>
      </c>
      <c r="B44">
        <v>0</v>
      </c>
      <c r="C44">
        <v>116</v>
      </c>
      <c r="D44">
        <v>31</v>
      </c>
      <c r="E44">
        <v>21</v>
      </c>
      <c r="F44" t="str">
        <f>'input site'!M44</f>
        <v>incl</v>
      </c>
      <c r="G44" s="31" t="s">
        <v>116</v>
      </c>
      <c r="H44" s="1" t="s">
        <v>117</v>
      </c>
      <c r="I44" s="8">
        <f>VLOOKUP($G44,'NZT data'!$B$3:$C$200,2,FALSE)</f>
        <v>3</v>
      </c>
      <c r="J44" s="32">
        <f>'input site'!AS44</f>
        <v>56.618696138528144</v>
      </c>
      <c r="K44" s="32">
        <f>'input site'!BS44</f>
        <v>65.397934831103285</v>
      </c>
      <c r="L44" s="32">
        <f t="shared" si="14"/>
        <v>0</v>
      </c>
      <c r="M44" s="32">
        <f t="shared" si="15"/>
        <v>0</v>
      </c>
      <c r="N44" s="32">
        <f>'input site'!EV44</f>
        <v>17.969132013839683</v>
      </c>
      <c r="O44" s="8"/>
      <c r="P44" s="8"/>
      <c r="Q44" s="32">
        <f t="shared" si="18"/>
        <v>0</v>
      </c>
      <c r="R44" s="32">
        <f>'input site'!EZ44</f>
        <v>1.2065327216570019</v>
      </c>
      <c r="S44" s="37">
        <f>'input site'!FA44</f>
        <v>0</v>
      </c>
      <c r="T44" s="37" t="str">
        <f>Table12[[#This Row],[(Mt CO2 equivalent)]]</f>
        <v>Cambodia</v>
      </c>
      <c r="U44" s="8">
        <f>VLOOKUP($G44,'NZT data'!$B$3:$F$200,4,FALSE)</f>
        <v>2050</v>
      </c>
      <c r="V44" s="32">
        <f>VLOOKUP($G44,'NZT data'!$B$3:$F$200,5,FALSE)</f>
        <v>2050</v>
      </c>
      <c r="W44" s="32">
        <f>-IF('LUC NGHGI'!EC34="",MIN('LUC NGHGI'!DW34,0.1),MIN('LUC NGHGI'!EC34,0.1))</f>
        <v>-0.1</v>
      </c>
      <c r="X44" s="32">
        <f>'LUC NGHGI'!EC34</f>
        <v>14.965472943722943</v>
      </c>
      <c r="Y44" s="32">
        <f>'LUC NGHGI'!DY34</f>
        <v>76.3</v>
      </c>
      <c r="Z44" s="32">
        <f>'LUC NGHGI'!DZ34</f>
        <v>38.200000000000003</v>
      </c>
      <c r="AA44" s="32">
        <f>Table12[[#This Row],[2021 emissions]]</f>
        <v>56.618696138528144</v>
      </c>
      <c r="AB44" s="32">
        <f>'LUC NGHGI'!DW34</f>
        <v>14.497414138528143</v>
      </c>
      <c r="AC44" s="32">
        <f>IF(F44="incl",Table12[[#This Row],[GHG emissions incl LULUCF]]-Table12[[#This Row],[LULUCF emis-sions in 20213]],Table12[[#This Row],[GHG emissions incl LULUCF]])</f>
        <v>42.121282000000001</v>
      </c>
      <c r="AD44" s="32">
        <f>'input site'!BS44</f>
        <v>65.397934831103285</v>
      </c>
      <c r="AE44" s="32">
        <f>'LUC NGHGI'!EH34</f>
        <v>5.4908092785881166</v>
      </c>
      <c r="AF44" s="32">
        <f>IF(F44="incl",Table12[[#This Row],[Current Policies 2030 incl LULUCF]]-Table12[[#This Row],[LULUCF CurPol 2030]],Table12[[#This Row],[Current Policies 2030 incl LULUCF]])</f>
        <v>59.907125552515168</v>
      </c>
      <c r="AG44" s="32">
        <f>IF(Table12[[#This Row],[Net-zero target status]]&lt;=1,"",IF(Table12[[#This Row],[NZ GHG year]]="","",1000000000*(Table12[[#This Row],[residual LULUCF emissions in 2050]]-Table12[[#This Row],[GHG emissions excl LULUCF]])/(Table12[[#This Row],[NZ GHG year]]-2021)/Table12[[#This Row],[Population]]))</f>
        <v>-84.800331340304197</v>
      </c>
      <c r="AH44" s="32" t="str">
        <f>IF(Table12[[#This Row],[Peak revised]]="Yes",IF(Table12[[#This Row],[Net-zero target status]]&lt;=1,"",IF(Table12[[#This Row],[NZ GHG year]]="","",1000000000*(Table12[[#This Row],[residual LULUCF emissions in 2050]]-Table12[[#This Row],[GHG emissions excl LULUCF]])/(Table12[[#This Row],[NZ GHG year]]-2021)/Table12[[#This Row],[Population]])),"")</f>
        <v/>
      </c>
      <c r="AI44" s="32">
        <f>MAX(0,(1000000*(Table12[[#This Row],[Current Policies 2030 excl LULUCF]]/2+Table12[[#This Row],[GHG emissions excl LULUCF]]/2)/Table12[[#This Row],[Population]]-$AI$8)*10)*$AI$10</f>
        <v>0</v>
      </c>
      <c r="AJ44" s="32">
        <f>IF(Table12[[#This Row],[Peak revised]]="No",IF(Table12[[#This Row],[Net-zero target status]]&lt;=1,"",IF(Table12[[#This Row],[NZ GHG year]]="","",1000000000*(Table12[[#This Row],[residual LULUCF emissions in 2050]]-Table12[[#This Row],[Current Policies 2030 excl LULUCF]])/(Table12[[#This Row],[NZ GHG year]]-2021)/Table12[[#This Row],[Population]])),"")</f>
        <v>-120.52272902638344</v>
      </c>
      <c r="AK44" s="32">
        <f>IF(Table12[[#This Row],[Formule no Peak (2)]]="","",Table12[[#This Row],[Penalty (1)]]+Table12[[#This Row],[Formule no Peak (2)]])</f>
        <v>-120.52272902638344</v>
      </c>
      <c r="AL44" s="313">
        <f>(Table12[[#This Row],[Current Policies 2030 excl LULUCF]]-Table12[[#This Row],[GHG emissions excl LULUCF]])/(2030-2021)/Table12[[#This Row],[GHG emissions excl LULUCF]]</f>
        <v>4.6917015469005716E-2</v>
      </c>
      <c r="AM44" s="313">
        <f>IF(Table12[[#This Row],[Net-zero target status]]&lt;=1,"",IF(Table12[[#This Row],[NZ GHG year]]="","",(Table12[[#This Row],[residual LULUCF emissions in 2050]]-Table12[[#This Row],[Current Policies 2030 excl LULUCF]])/(Table12[[#This Row],[NZ GHG year]]-2030)/Table12[[#This Row],[Current Policies 2030 excl LULUCF]]))</f>
        <v>-5.0083462525599177E-2</v>
      </c>
      <c r="AN44" s="313">
        <f>IF(Table12[[#This Row],[Net-zero target status]]&lt;=1,"",IF(Table12[[#This Row],[NZ GHG year]]="","",(Table12[[#This Row],[residual LULUCF emissions in 2050]]-Table12[[#This Row],[GHG emissions excl LULUCF]])/(Table12[[#This Row],[NZ GHG year]]-2021)/Table12[[#This Row],[GHG emissions excl LULUCF]]))</f>
        <v>-3.4564624026924659E-2</v>
      </c>
      <c r="AO44" s="313">
        <f>IF(Table12[[#This Row],[Net-zero target status]]&lt;=1,"",IF(Table12[[#This Row],[NZ GHG year]]="","",(Table12[[#This Row],[residual LULUCF emissions in 2050]]-Table12[[#This Row],[2030 conditional NDCs]])/(Table12[[#This Row],[NZ GHG year]]-2030)/Table12[[#This Row],[2030 conditional NDCs]]))</f>
        <v>-5.0055617352614011E-2</v>
      </c>
      <c r="AP44" s="96">
        <f>MAX('input site'!AH44:AS44)</f>
        <v>56.618696138528144</v>
      </c>
      <c r="AQ44" s="95" t="str">
        <f>IF(Table12[[#This Row],[Current Policies 2030 incl LULUCF]]&gt;Table12[[#This Row],[Maximum inventory data]],"No","Yes")</f>
        <v>No</v>
      </c>
      <c r="AR44" s="34">
        <f>IF(Table12[[#This Row],[Net-zero target status]]&gt;=1.5,Table12[[#This Row],[residual LULUCF emissions in 2050]]/Table12[[#This Row],[GHG emissions excl LULUCF]],"")</f>
        <v>-2.3740967808149808E-3</v>
      </c>
      <c r="AS44" s="74" t="str">
        <f>'input site'!BE44</f>
        <v/>
      </c>
      <c r="AT44" s="74" t="str">
        <f>'input site'!BF44</f>
        <v/>
      </c>
      <c r="AU44" s="76">
        <f>'input site'!BG44</f>
        <v>89.9</v>
      </c>
      <c r="AV44" s="77">
        <f>'input site'!BH44</f>
        <v>89.9</v>
      </c>
      <c r="AW44" s="74" t="str">
        <f>IF(Table12[[#This Row],[2030 unconditional NDCs]]="","",IF(F44="incl",Table12[[#This Row],[2030 unconditional NDCs]]-Table12[[#This Row],[LULUCF NDC uncond]],Table12[[#This Row],[2030 unconditional NDCs]]))</f>
        <v/>
      </c>
      <c r="AX44" s="74" t="str">
        <f>IF(Table12[[#This Row],[2030 unconditional NDCs2]]="","",IF(F44="incl",Table12[[#This Row],[2030 unconditional NDCs2]]-Table12[[#This Row],[LULUCF NDC uncond]],Table12[[#This Row],[2030 unconditional NDCs2]]))</f>
        <v/>
      </c>
      <c r="AY44" s="74">
        <f>IF(Table12[[#This Row],[2030 conditional NDCs]]="","",IF(F44="incl",Table12[[#This Row],[2030 conditional NDCs]]-Table12[[#This Row],[LULUCF NDC cond]],Table12[[#This Row],[2030 conditional NDCs]]))</f>
        <v>51.7</v>
      </c>
      <c r="AZ44" s="74">
        <f>IF(Table12[[#This Row],[2030 conditional NDCs2]]="","",IF(F44="incl",Table12[[#This Row],[2030 conditional NDCs2]]-Table12[[#This Row],[LULUCF NDC cond]],Table12[[#This Row],[2030 conditional NDCs2]]))</f>
        <v>51.7</v>
      </c>
      <c r="BA44" s="8">
        <f>VLOOKUP($G44,'Population90 20'!$C$6:$AU$231,37,FALSE)</f>
        <v>17168639</v>
      </c>
      <c r="BB44" s="8">
        <f>VLOOKUP($G44,'Overview GDP (PPP)'!$C$6:$AI$231,33,FALSE)</f>
        <v>62891567.235522054</v>
      </c>
      <c r="BC44" s="36">
        <f>Table12[[#This Row],[Income]]/Table12[[#This Row],[Population]]</f>
        <v>3.6631655680757254</v>
      </c>
      <c r="BD44" s="36">
        <f>Table12[[#This Row],[GHG emissions excl LULUCF]]*1000000/Table12[[#This Row],[Population]]</f>
        <v>2.4533850353542874</v>
      </c>
      <c r="BE44" s="23" t="str">
        <f>VLOOKUP($G44,EGR2023_MASTER!$B$4:$S$38,14,FALSE)</f>
        <v>N</v>
      </c>
      <c r="BF44" s="23" t="str">
        <f>VLOOKUP($G44,EGR2023_MASTER!$B$4:$S$38,15,FALSE)</f>
        <v>Credible</v>
      </c>
      <c r="BG44" s="23" t="str">
        <f>VLOOKUP($G44,EGR2023_MASTER!$B$4:$S$38,16,FALSE)</f>
        <v>n</v>
      </c>
      <c r="BH44" s="23" t="str">
        <f t="shared" si="16"/>
        <v>lower</v>
      </c>
      <c r="BI44" s="23" t="str">
        <f t="shared" si="17"/>
        <v>weak</v>
      </c>
      <c r="BJ44" s="552">
        <f>(Table12[[#This Row],[Current Policies 2030 excl LULUCF]]/Table12[[#This Row],[GHG emissions excl LULUCF]])^(1/(2030-2021))-1</f>
        <v>3.9914020224057101E-2</v>
      </c>
      <c r="BK44" s="552">
        <f>IF(Table12[[#This Row],[Net-zero target status]]&lt;=1,"",IF(Table12[[#This Row],[NZ GHG year]]="","",((MAX(Table12[[#This Row],[residual LULUCF emissions in 2050]],0.1)/Table12[[#This Row],[Current Policies 2030 excl LULUCF]])^(1/(Table12[[#This Row],[NZ GHG year]]-2021))-1)))</f>
        <v>-0.19790671606147814</v>
      </c>
      <c r="BL44" s="552">
        <f>IF(Table12[[#This Row],[Net-zero target status]]&lt;=1,"",IF(Table12[[#This Row],[NZ GHG year]]="","",((MAX(Table12[[#This Row],[residual LULUCF emissions in 2050]],0.1)/Table12[[#This Row],[GHG emissions excl LULUCF]])^(1/(Table12[[#This Row],[NZ GHG year]]-2021))-1)))</f>
        <v>-0.18810485297343449</v>
      </c>
      <c r="BM44" s="552">
        <f>IF(Table12[[#This Row],[Net-zero target status]]&lt;=1,"",IF(Table12[[#This Row],[NZ GHG year]]="","",((MAX(Table12[[#This Row],[residual LULUCF emissions in 2050]],0.1)/AVERAGE(Table12[[#This Row],[2030 conditional NDCs]:[2030 conditional NDCs2]]))^(1/(Table12[[#This Row],[NZ GHG year]]-2021))-1)))</f>
        <v>-0.20905512284880967</v>
      </c>
      <c r="BN44" s="23"/>
      <c r="BO44" s="23"/>
      <c r="BP44" s="23"/>
      <c r="BQ44" s="23"/>
      <c r="BR44" s="50" t="s">
        <v>117</v>
      </c>
      <c r="BT44" s="30">
        <f>IF(Table12[[#This Row],[Reduction rate 2021 to NZ target2]]="","",J44*(1+AN44)^(Table12[[#This Row],[NZ GHG year]]-2021))</f>
        <v>20.414225502965412</v>
      </c>
    </row>
    <row r="45" spans="1:72" ht="15" x14ac:dyDescent="0.25">
      <c r="A45">
        <v>0</v>
      </c>
      <c r="B45">
        <v>0</v>
      </c>
      <c r="C45">
        <v>120</v>
      </c>
      <c r="D45">
        <v>32</v>
      </c>
      <c r="E45">
        <v>8</v>
      </c>
      <c r="F45" t="str">
        <f>'input site'!M45</f>
        <v>incl</v>
      </c>
      <c r="G45" s="31" t="s">
        <v>118</v>
      </c>
      <c r="H45" s="1" t="s">
        <v>119</v>
      </c>
      <c r="I45" s="8">
        <f>VLOOKUP($G45,'NZT data'!$B$3:$C$200,2,FALSE)</f>
        <v>0</v>
      </c>
      <c r="J45" s="32">
        <f>'input site'!AS45</f>
        <v>-240.24362328788317</v>
      </c>
      <c r="K45" s="32">
        <f>'input site'!BS45</f>
        <v>-286.12692725847705</v>
      </c>
      <c r="L45" s="32">
        <f t="shared" si="14"/>
        <v>-286.12692725847705</v>
      </c>
      <c r="M45" s="32">
        <f t="shared" si="15"/>
        <v>-199.31472251485988</v>
      </c>
      <c r="N45" s="32">
        <f>'input site'!EV45</f>
        <v>-199.31472251485988</v>
      </c>
      <c r="O45" s="8"/>
      <c r="P45" s="8"/>
      <c r="Q45" s="32">
        <f t="shared" si="18"/>
        <v>-113.52972273870793</v>
      </c>
      <c r="R45" s="32">
        <f>'input site'!EZ45</f>
        <v>-113.52972273870793</v>
      </c>
      <c r="S45" s="37">
        <f>'input site'!FA45</f>
        <v>0</v>
      </c>
      <c r="T45" s="37" t="str">
        <f>Table12[[#This Row],[(Mt CO2 equivalent)]]</f>
        <v>Cameroon</v>
      </c>
      <c r="U45" s="8">
        <f>VLOOKUP($G45,'NZT data'!$B$3:$F$200,4,FALSE)</f>
        <v>2110</v>
      </c>
      <c r="V45" s="32" t="str">
        <f>VLOOKUP($G45,'NZT data'!$B$3:$F$200,5,FALSE)</f>
        <v/>
      </c>
      <c r="W45" s="32">
        <f>-IF('LUC NGHGI'!EC35="",MIN('LUC NGHGI'!DW35,0.1),MIN('LUC NGHGI'!EC35,0.1))</f>
        <v>271.12278348485415</v>
      </c>
      <c r="X45" s="32">
        <f>'LUC NGHGI'!EC35</f>
        <v>-271.12278348485415</v>
      </c>
      <c r="Y45" s="32">
        <f>'LUC NGHGI'!DY35</f>
        <v>-288.43629228788319</v>
      </c>
      <c r="Z45" s="32">
        <f>'LUC NGHGI'!DZ35</f>
        <v>-300.9945322878832</v>
      </c>
      <c r="AA45" s="32">
        <f>Table12[[#This Row],[2021 emissions]]</f>
        <v>-240.24362328788317</v>
      </c>
      <c r="AB45" s="32">
        <f>'LUC NGHGI'!DW35</f>
        <v>-281.59811028788317</v>
      </c>
      <c r="AC45" s="32">
        <f>IF(F45="incl",Table12[[#This Row],[GHG emissions incl LULUCF]]-Table12[[#This Row],[LULUCF emis-sions in 20213]],Table12[[#This Row],[GHG emissions incl LULUCF]])</f>
        <v>41.354487000000006</v>
      </c>
      <c r="AD45" s="32">
        <f>'input site'!BS45</f>
        <v>-286.12692725847705</v>
      </c>
      <c r="AE45" s="32">
        <f>'LUC NGHGI'!EH35</f>
        <v>-314.62897054840988</v>
      </c>
      <c r="AF45" s="32">
        <f>IF(F45="incl",Table12[[#This Row],[Current Policies 2030 incl LULUCF]]-Table12[[#This Row],[LULUCF CurPol 2030]],Table12[[#This Row],[Current Policies 2030 incl LULUCF]])</f>
        <v>28.502043289932828</v>
      </c>
      <c r="AG45" s="32" t="str">
        <f>IF(Table12[[#This Row],[Net-zero target status]]&lt;=1,"",IF(Table12[[#This Row],[NZ GHG year]]="","",1000000000*(Table12[[#This Row],[residual LULUCF emissions in 2050]]-Table12[[#This Row],[GHG emissions excl LULUCF]])/(Table12[[#This Row],[NZ GHG year]]-2021)/Table12[[#This Row],[Population]]))</f>
        <v/>
      </c>
      <c r="AH45" s="32" t="str">
        <f>IF(Table12[[#This Row],[Peak revised]]="Yes",IF(Table12[[#This Row],[Net-zero target status]]&lt;=1,"",IF(Table12[[#This Row],[NZ GHG year]]="","",1000000000*(Table12[[#This Row],[residual LULUCF emissions in 2050]]-Table12[[#This Row],[GHG emissions excl LULUCF]])/(Table12[[#This Row],[NZ GHG year]]-2021)/Table12[[#This Row],[Population]])),"")</f>
        <v/>
      </c>
      <c r="AI45" s="32">
        <f>MAX(0,(1000000*(Table12[[#This Row],[Current Policies 2030 excl LULUCF]]/2+Table12[[#This Row],[GHG emissions excl LULUCF]]/2)/Table12[[#This Row],[Population]]-$AI$8)*10)*$AI$10</f>
        <v>0</v>
      </c>
      <c r="AJ4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5" s="32" t="str">
        <f>IF(Table12[[#This Row],[Formule no Peak (2)]]="","",Table12[[#This Row],[Penalty (1)]]+Table12[[#This Row],[Formule no Peak (2)]])</f>
        <v/>
      </c>
      <c r="AL45" s="313">
        <f>(Table12[[#This Row],[Current Policies 2030 excl LULUCF]]-Table12[[#This Row],[GHG emissions excl LULUCF]])/(2030-2021)/Table12[[#This Row],[GHG emissions excl LULUCF]]</f>
        <v>-3.4531907048407473E-2</v>
      </c>
      <c r="AM45" s="313" t="str">
        <f>IF(Table12[[#This Row],[Net-zero target status]]&lt;=1,"",IF(Table12[[#This Row],[NZ GHG year]]="","",(Table12[[#This Row],[residual LULUCF emissions in 2050]]-Table12[[#This Row],[Current Policies 2030 excl LULUCF]])/(Table12[[#This Row],[NZ GHG year]]-2030)/Table12[[#This Row],[Current Policies 2030 excl LULUCF]]))</f>
        <v/>
      </c>
      <c r="AN45" s="313" t="str">
        <f>IF(Table12[[#This Row],[Net-zero target status]]&lt;=1,"",IF(Table12[[#This Row],[NZ GHG year]]="","",(Table12[[#This Row],[residual LULUCF emissions in 2050]]-Table12[[#This Row],[GHG emissions excl LULUCF]])/(Table12[[#This Row],[NZ GHG year]]-2021)/Table12[[#This Row],[GHG emissions excl LULUCF]]))</f>
        <v/>
      </c>
      <c r="AO45" s="313" t="str">
        <f>IF(Table12[[#This Row],[Net-zero target status]]&lt;=1,"",IF(Table12[[#This Row],[NZ GHG year]]="","",(Table12[[#This Row],[residual LULUCF emissions in 2050]]-Table12[[#This Row],[2030 conditional NDCs]])/(Table12[[#This Row],[NZ GHG year]]-2030)/Table12[[#This Row],[2030 conditional NDCs]]))</f>
        <v/>
      </c>
      <c r="AP45" s="96">
        <f>MAX('input site'!AH45:AS45)</f>
        <v>-131.45845445454938</v>
      </c>
      <c r="AQ45" s="95" t="str">
        <f>IF(Table12[[#This Row],[Current Policies 2030 incl LULUCF]]&gt;Table12[[#This Row],[Maximum inventory data]],"No","Yes")</f>
        <v>Yes</v>
      </c>
      <c r="AR45" s="443" t="str">
        <f>IF(Table12[[#This Row],[Net-zero target status]]&gt;=1.5,Table12[[#This Row],[residual LULUCF emissions in 2050]]/Table12[[#This Row],[GHG emissions excl LULUCF]],"")</f>
        <v/>
      </c>
      <c r="AS45" s="76">
        <f>'input site'!BE45</f>
        <v>91.684560000000005</v>
      </c>
      <c r="AT45" s="76">
        <f>'input site'!BF45</f>
        <v>91.684560000000005</v>
      </c>
      <c r="AU45" s="76">
        <f>'input site'!BG45</f>
        <v>67.721550000000008</v>
      </c>
      <c r="AV45" s="77">
        <f>'input site'!BH45</f>
        <v>67.721550000000008</v>
      </c>
      <c r="AW45" s="74">
        <f>IF(Table12[[#This Row],[2030 unconditional NDCs]]="","",IF(F45="incl",Table12[[#This Row],[2030 unconditional NDCs]]-Table12[[#This Row],[LULUCF NDC uncond]],Table12[[#This Row],[2030 unconditional NDCs]]))</f>
        <v>380.12085228788317</v>
      </c>
      <c r="AX45" s="74">
        <f>IF(Table12[[#This Row],[2030 unconditional NDCs2]]="","",IF(F45="incl",Table12[[#This Row],[2030 unconditional NDCs2]]-Table12[[#This Row],[LULUCF NDC uncond]],Table12[[#This Row],[2030 unconditional NDCs2]]))</f>
        <v>380.12085228788317</v>
      </c>
      <c r="AY45" s="74">
        <f>IF(Table12[[#This Row],[2030 conditional NDCs]]="","",IF(F45="incl",Table12[[#This Row],[2030 conditional NDCs]]-Table12[[#This Row],[LULUCF NDC cond]],Table12[[#This Row],[2030 conditional NDCs]]))</f>
        <v>368.71608228788318</v>
      </c>
      <c r="AZ45" s="74">
        <f>IF(Table12[[#This Row],[2030 conditional NDCs2]]="","",IF(F45="incl",Table12[[#This Row],[2030 conditional NDCs2]]-Table12[[#This Row],[LULUCF NDC cond]],Table12[[#This Row],[2030 conditional NDCs2]]))</f>
        <v>368.71608228788318</v>
      </c>
      <c r="BA45" s="8">
        <f>VLOOKUP($G45,'Population90 20'!$C$6:$AU$231,37,FALSE)</f>
        <v>27911548</v>
      </c>
      <c r="BB45" s="8">
        <f>VLOOKUP($G45,'Overview GDP (PPP)'!$C$6:$AI$231,33,FALSE)</f>
        <v>84526213.645338118</v>
      </c>
      <c r="BC45" s="36">
        <f>Table12[[#This Row],[Income]]/Table12[[#This Row],[Population]]</f>
        <v>3.0283599335063078</v>
      </c>
      <c r="BD45" s="36">
        <f>Table12[[#This Row],[GHG emissions excl LULUCF]]*1000000/Table12[[#This Row],[Population]]</f>
        <v>1.4816264221532969</v>
      </c>
      <c r="BE45" s="23" t="e">
        <f>VLOOKUP($G45,EGR2023_MASTER!$B$4:$S$38,14,FALSE)</f>
        <v>#N/A</v>
      </c>
      <c r="BF45" s="23" t="e">
        <f>VLOOKUP($G45,EGR2023_MASTER!$B$4:$S$38,15,FALSE)</f>
        <v>#N/A</v>
      </c>
      <c r="BG45" s="23" t="e">
        <f>VLOOKUP($G45,EGR2023_MASTER!$B$4:$S$38,16,FALSE)</f>
        <v>#N/A</v>
      </c>
      <c r="BH45" s="23" t="e">
        <f t="shared" si="16"/>
        <v>#N/A</v>
      </c>
      <c r="BI45" s="23" t="e">
        <f t="shared" si="17"/>
        <v>#N/A</v>
      </c>
      <c r="BJ45" s="552">
        <f>(Table12[[#This Row],[Current Policies 2030 excl LULUCF]]/Table12[[#This Row],[GHG emissions excl LULUCF]])^(1/(2030-2021))-1</f>
        <v>-4.0512630922132753E-2</v>
      </c>
      <c r="BK45" s="552" t="str">
        <f>IF(Table12[[#This Row],[Net-zero target status]]&lt;=1,"",IF(Table12[[#This Row],[NZ GHG year]]="","",((MAX(Table12[[#This Row],[residual LULUCF emissions in 2050]],0.1)/Table12[[#This Row],[Current Policies 2030 excl LULUCF]])^(1/(Table12[[#This Row],[NZ GHG year]]-2021))-1)))</f>
        <v/>
      </c>
      <c r="BL45" s="552" t="str">
        <f>IF(Table12[[#This Row],[Net-zero target status]]&lt;=1,"",IF(Table12[[#This Row],[NZ GHG year]]="","",((MAX(Table12[[#This Row],[residual LULUCF emissions in 2050]],0.1)/Table12[[#This Row],[GHG emissions excl LULUCF]])^(1/(Table12[[#This Row],[NZ GHG year]]-2021))-1)))</f>
        <v/>
      </c>
      <c r="BM45" s="552" t="str">
        <f>IF(Table12[[#This Row],[Net-zero target status]]&lt;=1,"",IF(Table12[[#This Row],[NZ GHG year]]="","",((MAX(Table12[[#This Row],[residual LULUCF emissions in 2050]],0.1)/AVERAGE(Table12[[#This Row],[2030 conditional NDCs]:[2030 conditional NDCs2]]))^(1/(Table12[[#This Row],[NZ GHG year]]-2021))-1)))</f>
        <v/>
      </c>
      <c r="BN45" s="23"/>
      <c r="BO45" s="23"/>
      <c r="BP45" s="23"/>
      <c r="BQ45" s="23"/>
      <c r="BR45" s="50" t="s">
        <v>119</v>
      </c>
      <c r="BT45" s="30" t="str">
        <f>IF(Table12[[#This Row],[Reduction rate 2021 to NZ target2]]="","",J45*(1+AN45)^(Table12[[#This Row],[NZ GHG year]]-2021))</f>
        <v/>
      </c>
    </row>
    <row r="46" spans="1:72" ht="15" x14ac:dyDescent="0.25">
      <c r="A46">
        <v>1</v>
      </c>
      <c r="B46">
        <v>1</v>
      </c>
      <c r="C46">
        <v>124</v>
      </c>
      <c r="D46">
        <v>33</v>
      </c>
      <c r="E46">
        <v>1</v>
      </c>
      <c r="F46" t="str">
        <f>'input site'!M46</f>
        <v>excl</v>
      </c>
      <c r="G46" s="31" t="s">
        <v>120</v>
      </c>
      <c r="H46" s="1" t="s">
        <v>121</v>
      </c>
      <c r="I46" s="8">
        <f>VLOOKUP($G46,'NZT data'!$B$3:$C$200,2,FALSE)</f>
        <v>4</v>
      </c>
      <c r="J46" s="32">
        <f>'input site'!AS46</f>
        <v>670.42830449999997</v>
      </c>
      <c r="K46" s="32">
        <f>'input site'!BS46</f>
        <v>480.74523447307598</v>
      </c>
      <c r="L46" s="32">
        <f t="shared" si="14"/>
        <v>0</v>
      </c>
      <c r="M46" s="32">
        <f t="shared" si="15"/>
        <v>0</v>
      </c>
      <c r="N46" s="32">
        <f>'input site'!EV46</f>
        <v>245.20334817301148</v>
      </c>
      <c r="O46" s="8">
        <v>0</v>
      </c>
      <c r="P46" s="36">
        <f>O46-N46</f>
        <v>-245.20334817301148</v>
      </c>
      <c r="Q46" s="32">
        <f t="shared" si="18"/>
        <v>0</v>
      </c>
      <c r="R46" s="32">
        <f>'input site'!EZ46</f>
        <v>31.484763021561552</v>
      </c>
      <c r="S46" s="37" t="str">
        <f>'input site'!FA46</f>
        <v>2050. LTS target is 80%</v>
      </c>
      <c r="T46" s="37" t="str">
        <f>Table12[[#This Row],[(Mt CO2 equivalent)]]</f>
        <v>Canada</v>
      </c>
      <c r="U46" s="8">
        <f>VLOOKUP($G46,'NZT data'!$B$3:$F$200,4,FALSE)</f>
        <v>2050</v>
      </c>
      <c r="V46" s="32">
        <f>VLOOKUP($G46,'NZT data'!$B$3:$F$200,5,FALSE)</f>
        <v>2050</v>
      </c>
      <c r="W46" s="32">
        <f>-IF('LUC NGHGI'!EC36="",MIN('LUC NGHGI'!DW36,0.1),MIN('LUC NGHGI'!EC36,0.1))</f>
        <v>100</v>
      </c>
      <c r="X46" s="32">
        <f>'LUC NGHGI'!EC36</f>
        <v>-100</v>
      </c>
      <c r="Y46" s="32">
        <f>'LUC NGHGI'!DY36</f>
        <v>-32</v>
      </c>
      <c r="Z46" s="32">
        <f>'LUC NGHGI'!DZ36</f>
        <v>-32</v>
      </c>
      <c r="AA46" s="32">
        <f>Table12[[#This Row],[2021 emissions]]</f>
        <v>670.42830449999997</v>
      </c>
      <c r="AB46" s="32">
        <f>'LUC NGHGI'!DW36</f>
        <v>-17.302570733916816</v>
      </c>
      <c r="AC46" s="32">
        <f>IF(F46="incl",Table12[[#This Row],[GHG emissions incl LULUCF]]-Table12[[#This Row],[LULUCF emis-sions in 20213]],Table12[[#This Row],[GHG emissions incl LULUCF]])</f>
        <v>670.42830449999997</v>
      </c>
      <c r="AD46" s="32">
        <f>'input site'!BS46</f>
        <v>480.74523447307598</v>
      </c>
      <c r="AE46" s="32">
        <f>'LUC NGHGI'!EH36</f>
        <v>-28.496770730000001</v>
      </c>
      <c r="AF46" s="32">
        <f>IF(F46="incl",Table12[[#This Row],[Current Policies 2030 incl LULUCF]]-Table12[[#This Row],[LULUCF CurPol 2030]],Table12[[#This Row],[Current Policies 2030 incl LULUCF]])</f>
        <v>480.74523447307598</v>
      </c>
      <c r="AG46" s="32">
        <f>IF(Table12[[#This Row],[Net-zero target status]]&lt;=1,"",IF(Table12[[#This Row],[NZ GHG year]]="","",1000000000*(Table12[[#This Row],[residual LULUCF emissions in 2050]]-Table12[[#This Row],[GHG emissions excl LULUCF]])/(Table12[[#This Row],[NZ GHG year]]-2021)/Table12[[#This Row],[Population]]))</f>
        <v>-512.39259252856334</v>
      </c>
      <c r="AH46" s="32">
        <f>IF(Table12[[#This Row],[Peak revised]]="Yes",IF(Table12[[#This Row],[Net-zero target status]]&lt;=1,"",IF(Table12[[#This Row],[NZ GHG year]]="","",1000000000*(Table12[[#This Row],[residual LULUCF emissions in 2050]]-Table12[[#This Row],[GHG emissions excl LULUCF]])/(Table12[[#This Row],[NZ GHG year]]-2021)/Table12[[#This Row],[Population]])),"")</f>
        <v>-512.39259252856334</v>
      </c>
      <c r="AI46" s="32">
        <f>MAX(0,(1000000*(Table12[[#This Row],[Current Policies 2030 excl LULUCF]]/2+Table12[[#This Row],[GHG emissions excl LULUCF]]/2)/Table12[[#This Row],[Population]]-$AI$8)*10)*$AI$10</f>
        <v>-799.37607351461384</v>
      </c>
      <c r="AJ4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6" s="32" t="str">
        <f>IF(Table12[[#This Row],[Formule no Peak (2)]]="","",Table12[[#This Row],[Penalty (1)]]+Table12[[#This Row],[Formule no Peak (2)]])</f>
        <v/>
      </c>
      <c r="AL46" s="313">
        <f>(Table12[[#This Row],[Current Policies 2030 excl LULUCF]]-Table12[[#This Row],[GHG emissions excl LULUCF]])/(2030-2021)/Table12[[#This Row],[GHG emissions excl LULUCF]]</f>
        <v>-3.1436466104121985E-2</v>
      </c>
      <c r="AM46" s="313">
        <f>IF(Table12[[#This Row],[Net-zero target status]]&lt;=1,"",IF(Table12[[#This Row],[NZ GHG year]]="","",(Table12[[#This Row],[residual LULUCF emissions in 2050]]-Table12[[#This Row],[Current Policies 2030 excl LULUCF]])/(Table12[[#This Row],[NZ GHG year]]-2030)/Table12[[#This Row],[Current Policies 2030 excl LULUCF]]))</f>
        <v>-3.9599480886211416E-2</v>
      </c>
      <c r="AN46" s="313">
        <f>IF(Table12[[#This Row],[Net-zero target status]]&lt;=1,"",IF(Table12[[#This Row],[NZ GHG year]]="","",(Table12[[#This Row],[residual LULUCF emissions in 2050]]-Table12[[#This Row],[GHG emissions excl LULUCF]])/(Table12[[#This Row],[NZ GHG year]]-2021)/Table12[[#This Row],[GHG emissions excl LULUCF]]))</f>
        <v>-2.9339366196885795E-2</v>
      </c>
      <c r="AO46" s="313">
        <f>IF(Table12[[#This Row],[Net-zero target status]]&lt;=1,"",IF(Table12[[#This Row],[NZ GHG year]]="","",(Table12[[#This Row],[residual LULUCF emissions in 2050]]-Table12[[#This Row],[2030 conditional NDCs]])/(Table12[[#This Row],[NZ GHG year]]-2030)/Table12[[#This Row],[2030 conditional NDCs]]))</f>
        <v>-3.7693701143993542E-2</v>
      </c>
      <c r="AP46" s="96">
        <f>MAX('input site'!AH46:AS46)</f>
        <v>724.61577979999902</v>
      </c>
      <c r="AQ46" s="95" t="str">
        <f>IF(Table12[[#This Row],[Current Policies 2030 incl LULUCF]]&gt;Table12[[#This Row],[Maximum inventory data]],"No","Yes")</f>
        <v>Yes</v>
      </c>
      <c r="AR46" s="34">
        <f>IF(Table12[[#This Row],[Net-zero target status]]&gt;=1.5,Table12[[#This Row],[residual LULUCF emissions in 2050]]/Table12[[#This Row],[GHG emissions excl LULUCF]],"")</f>
        <v>0.14915838029031186</v>
      </c>
      <c r="AS46" s="82">
        <f>'input site'!BE46</f>
        <v>406.29600000000005</v>
      </c>
      <c r="AT46" s="82">
        <f>'input site'!BF46</f>
        <v>443.23200000000003</v>
      </c>
      <c r="AU46" s="82">
        <f>'input site'!BG46</f>
        <v>406.29600000000005</v>
      </c>
      <c r="AV46" s="83">
        <f>'input site'!BH46</f>
        <v>443.23200000000003</v>
      </c>
      <c r="AW46" s="74">
        <f>IF(Table12[[#This Row],[2030 unconditional NDCs]]="","",IF(F46="incl",Table12[[#This Row],[2030 unconditional NDCs]]-Table12[[#This Row],[LULUCF NDC uncond]],Table12[[#This Row],[2030 unconditional NDCs]]))</f>
        <v>406.29600000000005</v>
      </c>
      <c r="AX46" s="74">
        <f>IF(Table12[[#This Row],[2030 unconditional NDCs2]]="","",IF(F46="incl",Table12[[#This Row],[2030 unconditional NDCs2]]-Table12[[#This Row],[LULUCF NDC uncond]],Table12[[#This Row],[2030 unconditional NDCs2]]))</f>
        <v>443.23200000000003</v>
      </c>
      <c r="AY46" s="74">
        <f>IF(Table12[[#This Row],[2030 conditional NDCs]]="","",IF(F46="incl",Table12[[#This Row],[2030 conditional NDCs]]-Table12[[#This Row],[LULUCF NDC cond]],Table12[[#This Row],[2030 conditional NDCs]]))</f>
        <v>406.29600000000005</v>
      </c>
      <c r="AZ46" s="74">
        <f>IF(Table12[[#This Row],[2030 conditional NDCs2]]="","",IF(F46="incl",Table12[[#This Row],[2030 conditional NDCs2]]-Table12[[#This Row],[LULUCF NDC cond]],Table12[[#This Row],[2030 conditional NDCs2]]))</f>
        <v>443.23200000000003</v>
      </c>
      <c r="BA46" s="8">
        <f>VLOOKUP($G46,'Population90 20'!$C$6:$AU$231,37,FALSE)</f>
        <v>38388419</v>
      </c>
      <c r="BB46" s="8">
        <f>VLOOKUP($G46,'Overview GDP (PPP)'!$C$6:$AI$231,33,FALSE)</f>
        <v>1632481479.0513875</v>
      </c>
      <c r="BC46" s="36">
        <f>Table12[[#This Row],[Income]]/Table12[[#This Row],[Population]]</f>
        <v>42.525363679379126</v>
      </c>
      <c r="BD46" s="36">
        <f>Table12[[#This Row],[GHG emissions excl LULUCF]]*1000000/Table12[[#This Row],[Population]]</f>
        <v>17.464337473757386</v>
      </c>
      <c r="BE46" s="23" t="str">
        <f>VLOOKUP($G46,EGR2023_MASTER!$B$4:$S$38,14,FALSE)</f>
        <v>Y</v>
      </c>
      <c r="BF46" s="23" t="str">
        <f>VLOOKUP($G46,EGR2023_MASTER!$B$4:$S$38,15,FALSE)</f>
        <v>Credible</v>
      </c>
      <c r="BG46" s="23" t="str">
        <f>VLOOKUP($G46,EGR2023_MASTER!$B$4:$S$38,16,FALSE)</f>
        <v>n</v>
      </c>
      <c r="BH46" s="23" t="str">
        <f t="shared" si="16"/>
        <v>lower</v>
      </c>
      <c r="BI46" s="23" t="str">
        <f t="shared" si="17"/>
        <v>weak</v>
      </c>
      <c r="BJ46" s="552">
        <f>(Table12[[#This Row],[Current Policies 2030 excl LULUCF]]/Table12[[#This Row],[GHG emissions excl LULUCF]])^(1/(2030-2021))-1</f>
        <v>-3.6278816756890153E-2</v>
      </c>
      <c r="BK46" s="552">
        <f>IF(Table12[[#This Row],[Net-zero target status]]&lt;=1,"",IF(Table12[[#This Row],[NZ GHG year]]="","",((MAX(Table12[[#This Row],[residual LULUCF emissions in 2050]],0.1)/Table12[[#This Row],[Current Policies 2030 excl LULUCF]])^(1/(Table12[[#This Row],[NZ GHG year]]-2021))-1)))</f>
        <v>-5.2704029244449058E-2</v>
      </c>
      <c r="BL46" s="552">
        <f>IF(Table12[[#This Row],[Net-zero target status]]&lt;=1,"",IF(Table12[[#This Row],[NZ GHG year]]="","",((MAX(Table12[[#This Row],[residual LULUCF emissions in 2050]],0.1)/Table12[[#This Row],[GHG emissions excl LULUCF]])^(1/(Table12[[#This Row],[NZ GHG year]]-2021))-1)))</f>
        <v>-6.3505800687672753E-2</v>
      </c>
      <c r="BM46" s="552">
        <f>IF(Table12[[#This Row],[Net-zero target status]]&lt;=1,"",IF(Table12[[#This Row],[NZ GHG year]]="","",((MAX(Table12[[#This Row],[residual LULUCF emissions in 2050]],0.1)/AVERAGE(Table12[[#This Row],[2030 conditional NDCs]:[2030 conditional NDCs2]]))^(1/(Table12[[#This Row],[NZ GHG year]]-2021))-1)))</f>
        <v>-4.865128826512799E-2</v>
      </c>
      <c r="BN46" s="23">
        <f>'Supplementary Data 2'!AC16</f>
        <v>100</v>
      </c>
      <c r="BO46" s="23">
        <f>'Supplementary Data 2'!AC17</f>
        <v>100</v>
      </c>
      <c r="BP46" s="23">
        <f>'Supplementary Data 2'!AB17</f>
        <v>1</v>
      </c>
      <c r="BQ46" s="23">
        <f>'Supplementary Data 2'!AA22+'Supplementary Data 2'!AB22</f>
        <v>245</v>
      </c>
      <c r="BR46" s="50" t="s">
        <v>121</v>
      </c>
      <c r="BT46" s="30">
        <f>IF(Table12[[#This Row],[Reduction rate 2021 to NZ target2]]="","",J46*(1+AN46)^(Table12[[#This Row],[NZ GHG year]]-2021))</f>
        <v>282.68803400643827</v>
      </c>
    </row>
    <row r="47" spans="1:72" ht="15" x14ac:dyDescent="0.25">
      <c r="A47">
        <v>0</v>
      </c>
      <c r="B47">
        <v>0</v>
      </c>
      <c r="C47">
        <v>132</v>
      </c>
      <c r="D47">
        <v>34</v>
      </c>
      <c r="E47">
        <v>8</v>
      </c>
      <c r="F47" t="str">
        <f>'input site'!M47</f>
        <v>excl</v>
      </c>
      <c r="G47" s="31" t="s">
        <v>122</v>
      </c>
      <c r="H47" s="1" t="s">
        <v>123</v>
      </c>
      <c r="I47" s="8">
        <f>VLOOKUP($G47,'NZT data'!$B$3:$C$200,2,FALSE)</f>
        <v>3</v>
      </c>
      <c r="J47" s="32">
        <f>'input site'!AS47</f>
        <v>1.0185031</v>
      </c>
      <c r="K47" s="32">
        <f>'input site'!BS47</f>
        <v>1.2130235067967832</v>
      </c>
      <c r="L47" s="32">
        <f t="shared" si="14"/>
        <v>0</v>
      </c>
      <c r="M47" s="32">
        <f t="shared" si="15"/>
        <v>0</v>
      </c>
      <c r="N47" s="32">
        <f>'input site'!EV47</f>
        <v>0.88590281216754208</v>
      </c>
      <c r="O47" s="8"/>
      <c r="P47" s="36"/>
      <c r="Q47" s="32">
        <f t="shared" si="18"/>
        <v>0</v>
      </c>
      <c r="R47" s="32">
        <f>'input site'!EZ47</f>
        <v>0.50461049424647619</v>
      </c>
      <c r="S47" s="37">
        <f>'input site'!FA47</f>
        <v>2050</v>
      </c>
      <c r="T47" s="37" t="str">
        <f>Table12[[#This Row],[(Mt CO2 equivalent)]]</f>
        <v>Cape Verde</v>
      </c>
      <c r="U47" s="8">
        <f>VLOOKUP($G47,'NZT data'!$B$3:$F$200,4,FALSE)</f>
        <v>2050</v>
      </c>
      <c r="V47" s="32">
        <f>VLOOKUP($G47,'NZT data'!$B$3:$F$200,5,FALSE)</f>
        <v>2065</v>
      </c>
      <c r="W47" s="32">
        <f>-IF('LUC NGHGI'!EC37="",MIN('LUC NGHGI'!DW37,0.1),MIN('LUC NGHGI'!EC37,0.1))</f>
        <v>-0.1</v>
      </c>
      <c r="X47" s="32">
        <f>'LUC NGHGI'!EC37</f>
        <v>0.69753290043290406</v>
      </c>
      <c r="Y47" s="32">
        <f>'LUC NGHGI'!DY37</f>
        <v>0.69753290043290406</v>
      </c>
      <c r="Z47" s="32">
        <f>'LUC NGHGI'!DZ37</f>
        <v>0.69753290043290406</v>
      </c>
      <c r="AA47" s="32">
        <f>Table12[[#This Row],[2021 emissions]]</f>
        <v>1.0185031</v>
      </c>
      <c r="AB47" s="32">
        <f>'LUC NGHGI'!DW37</f>
        <v>0.75789021212121099</v>
      </c>
      <c r="AC47" s="32">
        <f>IF(F47="incl",Table12[[#This Row],[GHG emissions incl LULUCF]]-Table12[[#This Row],[LULUCF emis-sions in 20213]],Table12[[#This Row],[GHG emissions incl LULUCF]])</f>
        <v>1.0185031</v>
      </c>
      <c r="AD47" s="32">
        <f>'input site'!BS47</f>
        <v>1.2130235067967832</v>
      </c>
      <c r="AE47" s="32">
        <f>'LUC NGHGI'!EH37</f>
        <v>0.48987972552041359</v>
      </c>
      <c r="AF47" s="32">
        <f>IF(F47="incl",Table12[[#This Row],[Current Policies 2030 incl LULUCF]]-Table12[[#This Row],[LULUCF CurPol 2030]],Table12[[#This Row],[Current Policies 2030 incl LULUCF]])</f>
        <v>1.2130235067967832</v>
      </c>
      <c r="AG47" s="32">
        <f>IF(Table12[[#This Row],[Net-zero target status]]&lt;=1,"",IF(Table12[[#This Row],[NZ GHG year]]="","",1000000000*(Table12[[#This Row],[residual LULUCF emissions in 2050]]-Table12[[#This Row],[GHG emissions excl LULUCF]])/(Table12[[#This Row],[NZ GHG year]]-2021)/Table12[[#This Row],[Population]]))</f>
        <v>-44.779831171896745</v>
      </c>
      <c r="AH47" s="32" t="str">
        <f>IF(Table12[[#This Row],[Peak revised]]="Yes",IF(Table12[[#This Row],[Net-zero target status]]&lt;=1,"",IF(Table12[[#This Row],[NZ GHG year]]="","",1000000000*(Table12[[#This Row],[residual LULUCF emissions in 2050]]-Table12[[#This Row],[GHG emissions excl LULUCF]])/(Table12[[#This Row],[NZ GHG year]]-2021)/Table12[[#This Row],[Population]])),"")</f>
        <v/>
      </c>
      <c r="AI47" s="32">
        <f>MAX(0,(1000000*(Table12[[#This Row],[Current Policies 2030 excl LULUCF]]/2+Table12[[#This Row],[GHG emissions excl LULUCF]]/2)/Table12[[#This Row],[Population]]-$AI$8)*10)*$AI$10</f>
        <v>0</v>
      </c>
      <c r="AJ47" s="32">
        <f>IF(Table12[[#This Row],[Peak revised]]="No",IF(Table12[[#This Row],[Net-zero target status]]&lt;=1,"",IF(Table12[[#This Row],[NZ GHG year]]="","",1000000000*(Table12[[#This Row],[residual LULUCF emissions in 2050]]-Table12[[#This Row],[Current Policies 2030 excl LULUCF]])/(Table12[[#This Row],[NZ GHG year]]-2021)/Table12[[#This Row],[Population]])),"")</f>
        <v>-52.567552972443053</v>
      </c>
      <c r="AK47" s="32">
        <f>IF(Table12[[#This Row],[Formule no Peak (2)]]="","",Table12[[#This Row],[Penalty (1)]]+Table12[[#This Row],[Formule no Peak (2)]])</f>
        <v>-52.567552972443053</v>
      </c>
      <c r="AL47" s="313">
        <f>(Table12[[#This Row],[Current Policies 2030 excl LULUCF]]-Table12[[#This Row],[GHG emissions excl LULUCF]])/(2030-2021)/Table12[[#This Row],[GHG emissions excl LULUCF]]</f>
        <v>2.1220729257452341E-2</v>
      </c>
      <c r="AM47" s="313">
        <f>IF(Table12[[#This Row],[Net-zero target status]]&lt;=1,"",IF(Table12[[#This Row],[NZ GHG year]]="","",(Table12[[#This Row],[residual LULUCF emissions in 2050]]-Table12[[#This Row],[Current Policies 2030 excl LULUCF]])/(Table12[[#This Row],[NZ GHG year]]-2030)/Table12[[#This Row],[Current Policies 2030 excl LULUCF]]))</f>
        <v>-3.0926818092846572E-2</v>
      </c>
      <c r="AN47" s="313">
        <f>IF(Table12[[#This Row],[Net-zero target status]]&lt;=1,"",IF(Table12[[#This Row],[NZ GHG year]]="","",(Table12[[#This Row],[residual LULUCF emissions in 2050]]-Table12[[#This Row],[GHG emissions excl LULUCF]])/(Table12[[#This Row],[NZ GHG year]]-2021)/Table12[[#This Row],[GHG emissions excl LULUCF]]))</f>
        <v>-2.4958711465875756E-2</v>
      </c>
      <c r="AO47" s="313" t="e">
        <f>IF(Table12[[#This Row],[Net-zero target status]]&lt;=1,"",IF(Table12[[#This Row],[NZ GHG year]]="","",(Table12[[#This Row],[residual LULUCF emissions in 2050]]-Table12[[#This Row],[2030 conditional NDCs]])/(Table12[[#This Row],[NZ GHG year]]-2030)/Table12[[#This Row],[2030 conditional NDCs]]))</f>
        <v>#VALUE!</v>
      </c>
      <c r="AP47" s="96">
        <f>MAX('input site'!AH47:AS47)</f>
        <v>1.0185031</v>
      </c>
      <c r="AQ47" s="95" t="str">
        <f>IF(Table12[[#This Row],[Current Policies 2030 incl LULUCF]]&gt;Table12[[#This Row],[Maximum inventory data]],"No","Yes")</f>
        <v>No</v>
      </c>
      <c r="AR47" s="443">
        <f>IF(Table12[[#This Row],[Net-zero target status]]&gt;=1.5,Table12[[#This Row],[residual LULUCF emissions in 2050]]/Table12[[#This Row],[GHG emissions excl LULUCF]],"")</f>
        <v>-9.81833044985332E-2</v>
      </c>
      <c r="AS47" s="74" t="str">
        <f>'input site'!BE47</f>
        <v/>
      </c>
      <c r="AT47" s="74" t="str">
        <f>'input site'!BF47</f>
        <v/>
      </c>
      <c r="AU47" s="74" t="str">
        <f>'input site'!BG47</f>
        <v/>
      </c>
      <c r="AV47" s="75"/>
      <c r="AW47" s="74" t="str">
        <f>IF(Table12[[#This Row],[2030 unconditional NDCs]]="","",IF(F47="incl",Table12[[#This Row],[2030 unconditional NDCs]]-Table12[[#This Row],[LULUCF NDC uncond]],Table12[[#This Row],[2030 unconditional NDCs]]))</f>
        <v/>
      </c>
      <c r="AX47" s="74" t="str">
        <f>IF(Table12[[#This Row],[2030 unconditional NDCs2]]="","",IF(F47="incl",Table12[[#This Row],[2030 unconditional NDCs2]]-Table12[[#This Row],[LULUCF NDC uncond]],Table12[[#This Row],[2030 unconditional NDCs2]]))</f>
        <v/>
      </c>
      <c r="AY47" s="74" t="str">
        <f>IF(Table12[[#This Row],[2030 conditional NDCs]]="","",IF(F47="incl",Table12[[#This Row],[2030 conditional NDCs]]-Table12[[#This Row],[LULUCF NDC cond]],Table12[[#This Row],[2030 conditional NDCs]]))</f>
        <v/>
      </c>
      <c r="AZ47" s="74" t="str">
        <f>IF(Table12[[#This Row],[2030 conditional NDCs2]]="","",IF(F47="incl",Table12[[#This Row],[2030 conditional NDCs2]]-Table12[[#This Row],[LULUCF NDC cond]],Table12[[#This Row],[2030 conditional NDCs2]]))</f>
        <v/>
      </c>
      <c r="BA47" s="8">
        <f>VLOOKUP($G47,'Population90 20'!$C$6:$AU$231,37,FALSE)</f>
        <v>567678</v>
      </c>
      <c r="BB47" s="8">
        <f>VLOOKUP($G47,'Overview GDP (PPP)'!$C$6:$AI$231,33,FALSE)</f>
        <v>3622568.2314484655</v>
      </c>
      <c r="BC47" s="36">
        <f>Table12[[#This Row],[Income]]/Table12[[#This Row],[Population]]</f>
        <v>6.3813785833667422</v>
      </c>
      <c r="BD47" s="36">
        <f>Table12[[#This Row],[GHG emissions excl LULUCF]]*1000000/Table12[[#This Row],[Population]]</f>
        <v>1.7941563703367049</v>
      </c>
      <c r="BE47" s="23" t="e">
        <f>VLOOKUP($G47,EGR2023_MASTER!$B$4:$S$38,14,FALSE)</f>
        <v>#N/A</v>
      </c>
      <c r="BF47" s="23" t="e">
        <f>VLOOKUP($G47,EGR2023_MASTER!$B$4:$S$38,15,FALSE)</f>
        <v>#N/A</v>
      </c>
      <c r="BG47" s="23" t="e">
        <f>VLOOKUP($G47,EGR2023_MASTER!$B$4:$S$38,16,FALSE)</f>
        <v>#N/A</v>
      </c>
      <c r="BH47" s="23" t="e">
        <f t="shared" si="16"/>
        <v>#N/A</v>
      </c>
      <c r="BI47" s="23" t="e">
        <f t="shared" si="17"/>
        <v>#N/A</v>
      </c>
      <c r="BJ47" s="552">
        <f>(Table12[[#This Row],[Current Policies 2030 excl LULUCF]]/Table12[[#This Row],[GHG emissions excl LULUCF]])^(1/(2030-2021))-1</f>
        <v>1.9610022352633871E-2</v>
      </c>
      <c r="BK47" s="552">
        <f>IF(Table12[[#This Row],[Net-zero target status]]&lt;=1,"",IF(Table12[[#This Row],[NZ GHG year]]="","",((MAX(Table12[[#This Row],[residual LULUCF emissions in 2050]],0.1)/Table12[[#This Row],[Current Policies 2030 excl LULUCF]])^(1/(Table12[[#This Row],[NZ GHG year]]-2021))-1)))</f>
        <v>-5.5141860404250509E-2</v>
      </c>
      <c r="BL47" s="552">
        <f>IF(Table12[[#This Row],[Net-zero target status]]&lt;=1,"",IF(Table12[[#This Row],[NZ GHG year]]="","",((MAX(Table12[[#This Row],[residual LULUCF emissions in 2050]],0.1)/Table12[[#This Row],[GHG emissions excl LULUCF]])^(1/(Table12[[#This Row],[NZ GHG year]]-2021))-1)))</f>
        <v>-5.1381118568639694E-2</v>
      </c>
      <c r="BM47" s="552" t="e">
        <f>IF(Table12[[#This Row],[Net-zero target status]]&lt;=1,"",IF(Table12[[#This Row],[NZ GHG year]]="","",((MAX(Table12[[#This Row],[residual LULUCF emissions in 2050]],0.1)/AVERAGE(Table12[[#This Row],[2030 conditional NDCs]:[2030 conditional NDCs2]]))^(1/(Table12[[#This Row],[NZ GHG year]]-2021))-1)))</f>
        <v>#DIV/0!</v>
      </c>
      <c r="BN47" s="23"/>
      <c r="BO47" s="23"/>
      <c r="BP47" s="23"/>
      <c r="BQ47" s="23"/>
      <c r="BR47" s="50" t="s">
        <v>123</v>
      </c>
      <c r="BT47" s="30">
        <f>IF(Table12[[#This Row],[Reduction rate 2021 to NZ target2]]="","",J47*(1+AN47)^(Table12[[#This Row],[NZ GHG year]]-2021))</f>
        <v>0.33494587983121871</v>
      </c>
    </row>
    <row r="48" spans="1:72" ht="15" x14ac:dyDescent="0.25">
      <c r="A48">
        <v>0</v>
      </c>
      <c r="B48">
        <v>0</v>
      </c>
      <c r="C48">
        <v>136</v>
      </c>
      <c r="D48">
        <v>35</v>
      </c>
      <c r="E48">
        <v>4</v>
      </c>
      <c r="F48" t="str">
        <f>'input site'!M48</f>
        <v>excl</v>
      </c>
      <c r="G48" s="31" t="s">
        <v>124</v>
      </c>
      <c r="H48" s="1" t="s">
        <v>125</v>
      </c>
      <c r="I48" s="8">
        <f>VLOOKUP($G48,'NZT data'!$B$3:$C$200,2,FALSE)</f>
        <v>0</v>
      </c>
      <c r="J48" s="32">
        <f>'input site'!AS48</f>
        <v>0</v>
      </c>
      <c r="K48" s="32">
        <f>'input site'!BS48</f>
        <v>0</v>
      </c>
      <c r="L48" s="32">
        <f t="shared" si="14"/>
        <v>0</v>
      </c>
      <c r="M48" s="32">
        <f t="shared" si="15"/>
        <v>0</v>
      </c>
      <c r="N48" s="32">
        <f>'input site'!EV48</f>
        <v>0</v>
      </c>
      <c r="O48" s="8"/>
      <c r="P48" s="8"/>
      <c r="Q48" s="32">
        <f t="shared" si="18"/>
        <v>0</v>
      </c>
      <c r="R48" s="32">
        <f>'input site'!EZ48</f>
        <v>0</v>
      </c>
      <c r="S48" s="37">
        <f>'input site'!FA48</f>
        <v>0</v>
      </c>
      <c r="T48" s="37" t="str">
        <f>Table12[[#This Row],[(Mt CO2 equivalent)]]</f>
        <v>Cayman Islands</v>
      </c>
      <c r="U48" s="8">
        <f>VLOOKUP($G48,'NZT data'!$B$3:$F$200,4,FALSE)</f>
        <v>2110</v>
      </c>
      <c r="V48" s="32" t="str">
        <f>VLOOKUP($G48,'NZT data'!$B$3:$F$200,5,FALSE)</f>
        <v/>
      </c>
      <c r="W48" s="32">
        <f>-IF('LUC NGHGI'!EC38="",MIN('LUC NGHGI'!DW38,0.1),MIN('LUC NGHGI'!EC38,0.1))</f>
        <v>0</v>
      </c>
      <c r="X48" s="32" t="str">
        <f>'LUC NGHGI'!EC38</f>
        <v/>
      </c>
      <c r="Y48" s="32" t="str">
        <f>'LUC NGHGI'!DY38</f>
        <v/>
      </c>
      <c r="Z48" s="32" t="str">
        <f>'LUC NGHGI'!DZ38</f>
        <v/>
      </c>
      <c r="AA48" s="32">
        <f>Table12[[#This Row],[2021 emissions]]</f>
        <v>0</v>
      </c>
      <c r="AB48" s="32">
        <f>'LUC NGHGI'!DW38</f>
        <v>0</v>
      </c>
      <c r="AC48" s="32">
        <f>IF(F48="incl",Table12[[#This Row],[GHG emissions incl LULUCF]]-Table12[[#This Row],[LULUCF emis-sions in 20213]],Table12[[#This Row],[GHG emissions incl LULUCF]])</f>
        <v>0</v>
      </c>
      <c r="AD48" s="32">
        <f>'input site'!BS48</f>
        <v>0</v>
      </c>
      <c r="AE48" s="32">
        <f>'LUC NGHGI'!EH38</f>
        <v>0</v>
      </c>
      <c r="AF48" s="32">
        <f>IF(F48="incl",Table12[[#This Row],[Current Policies 2030 incl LULUCF]]-Table12[[#This Row],[LULUCF CurPol 2030]],Table12[[#This Row],[Current Policies 2030 incl LULUCF]])</f>
        <v>0</v>
      </c>
      <c r="AG48" s="32" t="str">
        <f>IF(Table12[[#This Row],[Net-zero target status]]&lt;=1,"",IF(Table12[[#This Row],[NZ GHG year]]="","",1000000000*(Table12[[#This Row],[residual LULUCF emissions in 2050]]-Table12[[#This Row],[GHG emissions excl LULUCF]])/(Table12[[#This Row],[NZ GHG year]]-2021)/Table12[[#This Row],[Population]]))</f>
        <v/>
      </c>
      <c r="AH48" s="32" t="str">
        <f>IF(Table12[[#This Row],[Peak revised]]="Yes",IF(Table12[[#This Row],[Net-zero target status]]&lt;=1,"",IF(Table12[[#This Row],[NZ GHG year]]="","",1000000000*(Table12[[#This Row],[residual LULUCF emissions in 2050]]-Table12[[#This Row],[GHG emissions excl LULUCF]])/(Table12[[#This Row],[NZ GHG year]]-2021)/Table12[[#This Row],[Population]])),"")</f>
        <v/>
      </c>
      <c r="AI48" s="32">
        <f>MAX(0,(1000000*(Table12[[#This Row],[Current Policies 2030 excl LULUCF]]/2+Table12[[#This Row],[GHG emissions excl LULUCF]]/2)/Table12[[#This Row],[Population]]-$AI$8)*10)*$AI$10</f>
        <v>0</v>
      </c>
      <c r="AJ4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8" s="32" t="str">
        <f>IF(Table12[[#This Row],[Formule no Peak (2)]]="","",Table12[[#This Row],[Penalty (1)]]+Table12[[#This Row],[Formule no Peak (2)]])</f>
        <v/>
      </c>
      <c r="AL48" s="313" t="e">
        <f>(Table12[[#This Row],[Current Policies 2030 excl LULUCF]]-Table12[[#This Row],[GHG emissions excl LULUCF]])/(2030-2021)/Table12[[#This Row],[GHG emissions excl LULUCF]]</f>
        <v>#DIV/0!</v>
      </c>
      <c r="AM48" s="313" t="str">
        <f>IF(Table12[[#This Row],[Net-zero target status]]&lt;=1,"",IF(Table12[[#This Row],[NZ GHG year]]="","",(Table12[[#This Row],[residual LULUCF emissions in 2050]]-Table12[[#This Row],[Current Policies 2030 excl LULUCF]])/(Table12[[#This Row],[NZ GHG year]]-2030)/Table12[[#This Row],[Current Policies 2030 excl LULUCF]]))</f>
        <v/>
      </c>
      <c r="AN48" s="313" t="str">
        <f>IF(Table12[[#This Row],[Net-zero target status]]&lt;=1,"",IF(Table12[[#This Row],[NZ GHG year]]="","",(Table12[[#This Row],[residual LULUCF emissions in 2050]]-Table12[[#This Row],[GHG emissions excl LULUCF]])/(Table12[[#This Row],[NZ GHG year]]-2021)/Table12[[#This Row],[GHG emissions excl LULUCF]]))</f>
        <v/>
      </c>
      <c r="AO48" s="313" t="str">
        <f>IF(Table12[[#This Row],[Net-zero target status]]&lt;=1,"",IF(Table12[[#This Row],[NZ GHG year]]="","",(Table12[[#This Row],[residual LULUCF emissions in 2050]]-Table12[[#This Row],[2030 conditional NDCs]])/(Table12[[#This Row],[NZ GHG year]]-2030)/Table12[[#This Row],[2030 conditional NDCs]]))</f>
        <v/>
      </c>
      <c r="AP48" s="96">
        <f>MAX('input site'!AH48:AS48)</f>
        <v>0</v>
      </c>
      <c r="AQ48" s="95" t="str">
        <f>IF(Table12[[#This Row],[Current Policies 2030 incl LULUCF]]&gt;Table12[[#This Row],[Maximum inventory data]],"No","Yes")</f>
        <v>Yes</v>
      </c>
      <c r="AR48" s="34" t="str">
        <f>IF(Table12[[#This Row],[Net-zero target status]]&gt;=1.5,Table12[[#This Row],[residual LULUCF emissions in 2050]]/Table12[[#This Row],[GHG emissions excl LULUCF]],"")</f>
        <v/>
      </c>
      <c r="AS48" s="74" t="str">
        <f>'input site'!BE48</f>
        <v/>
      </c>
      <c r="AT48" s="74" t="str">
        <f>'input site'!BF48</f>
        <v/>
      </c>
      <c r="AU48" s="74" t="str">
        <f>'input site'!BG48</f>
        <v/>
      </c>
      <c r="AV48" s="75"/>
      <c r="AW48" s="74" t="str">
        <f>IF(Table12[[#This Row],[2030 unconditional NDCs]]="","",IF(F48="incl",Table12[[#This Row],[2030 unconditional NDCs]]-Table12[[#This Row],[LULUCF NDC uncond]],Table12[[#This Row],[2030 unconditional NDCs]]))</f>
        <v/>
      </c>
      <c r="AX48" s="74" t="str">
        <f>IF(Table12[[#This Row],[2030 unconditional NDCs2]]="","",IF(F48="incl",Table12[[#This Row],[2030 unconditional NDCs2]]-Table12[[#This Row],[LULUCF NDC uncond]],Table12[[#This Row],[2030 unconditional NDCs2]]))</f>
        <v/>
      </c>
      <c r="AY48" s="74" t="str">
        <f>IF(Table12[[#This Row],[2030 conditional NDCs]]="","",IF(F48="incl",Table12[[#This Row],[2030 conditional NDCs]]-Table12[[#This Row],[LULUCF NDC cond]],Table12[[#This Row],[2030 conditional NDCs]]))</f>
        <v/>
      </c>
      <c r="AZ48" s="74" t="str">
        <f>IF(Table12[[#This Row],[2030 conditional NDCs2]]="","",IF(F48="incl",Table12[[#This Row],[2030 conditional NDCs2]]-Table12[[#This Row],[LULUCF NDC cond]],Table12[[#This Row],[2030 conditional NDCs2]]))</f>
        <v/>
      </c>
      <c r="BA48" s="8">
        <f>VLOOKUP($G48,'Population90 20'!$C$6:$AU$231,37,FALSE)</f>
        <v>67277</v>
      </c>
      <c r="BB48" s="8">
        <f>VLOOKUP($G48,'Overview GDP (PPP)'!$C$6:$AI$231,33,FALSE)</f>
        <v>4294631.0896269828</v>
      </c>
      <c r="BC48" s="36">
        <f>Table12[[#This Row],[Income]]/Table12[[#This Row],[Population]]</f>
        <v>63.835056403034955</v>
      </c>
      <c r="BD48" s="36">
        <f>Table12[[#This Row],[GHG emissions excl LULUCF]]*1000000/Table12[[#This Row],[Population]]</f>
        <v>0</v>
      </c>
      <c r="BE48" s="23" t="e">
        <f>VLOOKUP($G48,EGR2023_MASTER!$B$4:$S$38,14,FALSE)</f>
        <v>#N/A</v>
      </c>
      <c r="BF48" s="23" t="e">
        <f>VLOOKUP($G48,EGR2023_MASTER!$B$4:$S$38,15,FALSE)</f>
        <v>#N/A</v>
      </c>
      <c r="BG48" s="23" t="e">
        <f>VLOOKUP($G48,EGR2023_MASTER!$B$4:$S$38,16,FALSE)</f>
        <v>#N/A</v>
      </c>
      <c r="BH48" s="23" t="e">
        <f t="shared" si="16"/>
        <v>#N/A</v>
      </c>
      <c r="BI48" s="23" t="e">
        <f t="shared" si="17"/>
        <v>#N/A</v>
      </c>
      <c r="BJ48" s="552" t="e">
        <f>(Table12[[#This Row],[Current Policies 2030 excl LULUCF]]/Table12[[#This Row],[GHG emissions excl LULUCF]])^(1/(2030-2021))-1</f>
        <v>#DIV/0!</v>
      </c>
      <c r="BK48" s="552" t="str">
        <f>IF(Table12[[#This Row],[Net-zero target status]]&lt;=1,"",IF(Table12[[#This Row],[NZ GHG year]]="","",((MAX(Table12[[#This Row],[residual LULUCF emissions in 2050]],0.1)/Table12[[#This Row],[Current Policies 2030 excl LULUCF]])^(1/(Table12[[#This Row],[NZ GHG year]]-2021))-1)))</f>
        <v/>
      </c>
      <c r="BL48" s="552" t="str">
        <f>IF(Table12[[#This Row],[Net-zero target status]]&lt;=1,"",IF(Table12[[#This Row],[NZ GHG year]]="","",((MAX(Table12[[#This Row],[residual LULUCF emissions in 2050]],0.1)/Table12[[#This Row],[GHG emissions excl LULUCF]])^(1/(Table12[[#This Row],[NZ GHG year]]-2021))-1)))</f>
        <v/>
      </c>
      <c r="BM48" s="552" t="str">
        <f>IF(Table12[[#This Row],[Net-zero target status]]&lt;=1,"",IF(Table12[[#This Row],[NZ GHG year]]="","",((MAX(Table12[[#This Row],[residual LULUCF emissions in 2050]],0.1)/AVERAGE(Table12[[#This Row],[2030 conditional NDCs]:[2030 conditional NDCs2]]))^(1/(Table12[[#This Row],[NZ GHG year]]-2021))-1)))</f>
        <v/>
      </c>
      <c r="BN48" s="23"/>
      <c r="BO48" s="23"/>
      <c r="BP48" s="23"/>
      <c r="BQ48" s="23"/>
      <c r="BR48" s="50" t="s">
        <v>125</v>
      </c>
      <c r="BT48" s="30" t="str">
        <f>IF(Table12[[#This Row],[Reduction rate 2021 to NZ target2]]="","",J48*(1+AN48)^(Table12[[#This Row],[NZ GHG year]]-2021))</f>
        <v/>
      </c>
    </row>
    <row r="49" spans="1:72" ht="15" x14ac:dyDescent="0.25">
      <c r="A49">
        <v>0</v>
      </c>
      <c r="B49">
        <v>0</v>
      </c>
      <c r="C49">
        <v>140</v>
      </c>
      <c r="D49">
        <v>36</v>
      </c>
      <c r="E49">
        <v>8</v>
      </c>
      <c r="F49" t="str">
        <f>'input site'!M49</f>
        <v>excl</v>
      </c>
      <c r="G49" s="31" t="s">
        <v>126</v>
      </c>
      <c r="H49" s="1" t="s">
        <v>127</v>
      </c>
      <c r="I49" s="8">
        <f>VLOOKUP($G49,'NZT data'!$B$3:$C$200,2,FALSE)</f>
        <v>1</v>
      </c>
      <c r="J49" s="32">
        <f>'input site'!AS49</f>
        <v>19.623451000000003</v>
      </c>
      <c r="K49" s="32">
        <f>'input site'!BS49</f>
        <v>23.371266466910946</v>
      </c>
      <c r="L49" s="32">
        <f t="shared" si="14"/>
        <v>0</v>
      </c>
      <c r="M49" s="32">
        <f t="shared" si="15"/>
        <v>0</v>
      </c>
      <c r="N49" s="32">
        <f>'input site'!EV49</f>
        <v>19.267581805956912</v>
      </c>
      <c r="O49" s="8"/>
      <c r="P49" s="36"/>
      <c r="Q49" s="32">
        <f t="shared" si="18"/>
        <v>0</v>
      </c>
      <c r="R49" s="32">
        <f>'input site'!EZ49</f>
        <v>10.974820086923469</v>
      </c>
      <c r="S49" s="37">
        <f>'input site'!FA49</f>
        <v>2050</v>
      </c>
      <c r="T49" s="37" t="str">
        <f>Table12[[#This Row],[(Mt CO2 equivalent)]]</f>
        <v>Central African Republic</v>
      </c>
      <c r="U49" s="8">
        <f>VLOOKUP($G49,'NZT data'!$B$3:$F$200,4,FALSE)</f>
        <v>2110</v>
      </c>
      <c r="V49" s="32">
        <f>VLOOKUP($G49,'NZT data'!$B$3:$F$200,5,FALSE)</f>
        <v>2110</v>
      </c>
      <c r="W49" s="32">
        <f>-IF('LUC NGHGI'!EC39="",MIN('LUC NGHGI'!DW39,0.1),MIN('LUC NGHGI'!EC39,0.1))</f>
        <v>-0.1</v>
      </c>
      <c r="X49" s="32">
        <f>'LUC NGHGI'!EC39</f>
        <v>6.2170141871921274</v>
      </c>
      <c r="Y49" s="32">
        <f>'LUC NGHGI'!DY39</f>
        <v>6.936854824538683</v>
      </c>
      <c r="Z49" s="32">
        <f>'LUC NGHGI'!DZ39</f>
        <v>6.449775667498991</v>
      </c>
      <c r="AA49" s="32">
        <f>Table12[[#This Row],[2021 emissions]]</f>
        <v>19.623451000000003</v>
      </c>
      <c r="AB49" s="32">
        <f>'LUC NGHGI'!DW39</f>
        <v>6.1855340394088714</v>
      </c>
      <c r="AC49" s="32">
        <f>IF(F49="incl",Table12[[#This Row],[GHG emissions incl LULUCF]]-Table12[[#This Row],[LULUCF emis-sions in 20213]],Table12[[#This Row],[GHG emissions incl LULUCF]])</f>
        <v>19.623451000000003</v>
      </c>
      <c r="AD49" s="32">
        <f>'input site'!BS49</f>
        <v>23.371266466910946</v>
      </c>
      <c r="AE49" s="32">
        <f>'LUC NGHGI'!EH39</f>
        <v>5.2193902371566985</v>
      </c>
      <c r="AF49" s="32">
        <f>IF(F49="incl",Table12[[#This Row],[Current Policies 2030 incl LULUCF]]-Table12[[#This Row],[LULUCF CurPol 2030]],Table12[[#This Row],[Current Policies 2030 incl LULUCF]])</f>
        <v>23.371266466910946</v>
      </c>
      <c r="AG49" s="32" t="str">
        <f>IF(Table12[[#This Row],[Net-zero target status]]&lt;=1,"",IF(Table12[[#This Row],[NZ GHG year]]="","",1000000000*(Table12[[#This Row],[residual LULUCF emissions in 2050]]-Table12[[#This Row],[GHG emissions excl LULUCF]])/(Table12[[#This Row],[NZ GHG year]]-2021)/Table12[[#This Row],[Population]]))</f>
        <v/>
      </c>
      <c r="AH49" s="32" t="str">
        <f>IF(Table12[[#This Row],[Peak revised]]="Yes",IF(Table12[[#This Row],[Net-zero target status]]&lt;=1,"",IF(Table12[[#This Row],[NZ GHG year]]="","",1000000000*(Table12[[#This Row],[residual LULUCF emissions in 2050]]-Table12[[#This Row],[GHG emissions excl LULUCF]])/(Table12[[#This Row],[NZ GHG year]]-2021)/Table12[[#This Row],[Population]])),"")</f>
        <v/>
      </c>
      <c r="AI49" s="32">
        <f>MAX(0,(1000000*(Table12[[#This Row],[Current Policies 2030 excl LULUCF]]/2+Table12[[#This Row],[GHG emissions excl LULUCF]]/2)/Table12[[#This Row],[Population]]-$AI$8)*10)*$AI$10</f>
        <v>0</v>
      </c>
      <c r="AJ4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49" s="32" t="str">
        <f>IF(Table12[[#This Row],[Formule no Peak (2)]]="","",Table12[[#This Row],[Penalty (1)]]+Table12[[#This Row],[Formule no Peak (2)]])</f>
        <v/>
      </c>
      <c r="AL49" s="313">
        <f>(Table12[[#This Row],[Current Policies 2030 excl LULUCF]]-Table12[[#This Row],[GHG emissions excl LULUCF]])/(2030-2021)/Table12[[#This Row],[GHG emissions excl LULUCF]]</f>
        <v>2.1220729257452345E-2</v>
      </c>
      <c r="AM49" s="313" t="str">
        <f>IF(Table12[[#This Row],[Net-zero target status]]&lt;=1,"",IF(Table12[[#This Row],[NZ GHG year]]="","",(Table12[[#This Row],[residual LULUCF emissions in 2050]]-Table12[[#This Row],[Current Policies 2030 excl LULUCF]])/(Table12[[#This Row],[NZ GHG year]]-2030)/Table12[[#This Row],[Current Policies 2030 excl LULUCF]]))</f>
        <v/>
      </c>
      <c r="AN49" s="313" t="str">
        <f>IF(Table12[[#This Row],[Net-zero target status]]&lt;=1,"",IF(Table12[[#This Row],[NZ GHG year]]="","",(Table12[[#This Row],[residual LULUCF emissions in 2050]]-Table12[[#This Row],[GHG emissions excl LULUCF]])/(Table12[[#This Row],[NZ GHG year]]-2021)/Table12[[#This Row],[GHG emissions excl LULUCF]]))</f>
        <v/>
      </c>
      <c r="AO49" s="313" t="str">
        <f>IF(Table12[[#This Row],[Net-zero target status]]&lt;=1,"",IF(Table12[[#This Row],[NZ GHG year]]="","",(Table12[[#This Row],[residual LULUCF emissions in 2050]]-Table12[[#This Row],[2030 conditional NDCs]])/(Table12[[#This Row],[NZ GHG year]]-2030)/Table12[[#This Row],[2030 conditional NDCs]]))</f>
        <v/>
      </c>
      <c r="AP49" s="96">
        <f>MAX('input site'!AH49:AS49)</f>
        <v>21.373885999999999</v>
      </c>
      <c r="AQ49" s="95" t="str">
        <f>IF(Table12[[#This Row],[Current Policies 2030 incl LULUCF]]&gt;Table12[[#This Row],[Maximum inventory data]],"No","Yes")</f>
        <v>No</v>
      </c>
      <c r="AR49" s="34" t="str">
        <f>IF(Table12[[#This Row],[Net-zero target status]]&gt;=1.5,Table12[[#This Row],[residual LULUCF emissions in 2050]]/Table12[[#This Row],[GHG emissions excl LULUCF]],"")</f>
        <v/>
      </c>
      <c r="AS49" s="76">
        <f>'input site'!BE49</f>
        <v>15.558</v>
      </c>
      <c r="AT49" s="76">
        <f>'input site'!BF49</f>
        <v>15.558</v>
      </c>
      <c r="AU49" s="76">
        <f>'input site'!BG49</f>
        <v>13.359</v>
      </c>
      <c r="AV49" s="77">
        <f>'input site'!BH49</f>
        <v>13.359</v>
      </c>
      <c r="AW49" s="74">
        <f>IF(Table12[[#This Row],[2030 unconditional NDCs]]="","",IF(F49="incl",Table12[[#This Row],[2030 unconditional NDCs]]-Table12[[#This Row],[LULUCF NDC uncond]],Table12[[#This Row],[2030 unconditional NDCs]]))</f>
        <v>15.558</v>
      </c>
      <c r="AX49" s="74">
        <f>IF(Table12[[#This Row],[2030 unconditional NDCs2]]="","",IF(F49="incl",Table12[[#This Row],[2030 unconditional NDCs2]]-Table12[[#This Row],[LULUCF NDC uncond]],Table12[[#This Row],[2030 unconditional NDCs2]]))</f>
        <v>15.558</v>
      </c>
      <c r="AY49" s="74">
        <f>IF(Table12[[#This Row],[2030 conditional NDCs]]="","",IF(F49="incl",Table12[[#This Row],[2030 conditional NDCs]]-Table12[[#This Row],[LULUCF NDC cond]],Table12[[#This Row],[2030 conditional NDCs]]))</f>
        <v>13.359</v>
      </c>
      <c r="AZ49" s="74">
        <f>IF(Table12[[#This Row],[2030 conditional NDCs2]]="","",IF(F49="incl",Table12[[#This Row],[2030 conditional NDCs2]]-Table12[[#This Row],[LULUCF NDC cond]],Table12[[#This Row],[2030 conditional NDCs2]]))</f>
        <v>13.359</v>
      </c>
      <c r="BA49" s="8">
        <f>VLOOKUP($G49,'Population90 20'!$C$6:$AU$231,37,FALSE)</f>
        <v>5016678</v>
      </c>
      <c r="BB49" s="8">
        <f>VLOOKUP($G49,'Overview GDP (PPP)'!$C$6:$AI$231,33,FALSE)</f>
        <v>3614985.0361591056</v>
      </c>
      <c r="BC49" s="36">
        <f>Table12[[#This Row],[Income]]/Table12[[#This Row],[Population]]</f>
        <v>0.72059339590045557</v>
      </c>
      <c r="BD49" s="36">
        <f>Table12[[#This Row],[GHG emissions excl LULUCF]]*1000000/Table12[[#This Row],[Population]]</f>
        <v>3.911642525192967</v>
      </c>
      <c r="BE49" s="23" t="e">
        <f>VLOOKUP($G49,EGR2023_MASTER!$B$4:$S$38,14,FALSE)</f>
        <v>#N/A</v>
      </c>
      <c r="BF49" s="23" t="e">
        <f>VLOOKUP($G49,EGR2023_MASTER!$B$4:$S$38,15,FALSE)</f>
        <v>#N/A</v>
      </c>
      <c r="BG49" s="23" t="e">
        <f>VLOOKUP($G49,EGR2023_MASTER!$B$4:$S$38,16,FALSE)</f>
        <v>#N/A</v>
      </c>
      <c r="BH49" s="23" t="e">
        <f t="shared" si="16"/>
        <v>#N/A</v>
      </c>
      <c r="BI49" s="23" t="e">
        <f t="shared" si="17"/>
        <v>#N/A</v>
      </c>
      <c r="BJ49" s="552">
        <f>(Table12[[#This Row],[Current Policies 2030 excl LULUCF]]/Table12[[#This Row],[GHG emissions excl LULUCF]])^(1/(2030-2021))-1</f>
        <v>1.9610022352633871E-2</v>
      </c>
      <c r="BK49" s="552" t="str">
        <f>IF(Table12[[#This Row],[Net-zero target status]]&lt;=1,"",IF(Table12[[#This Row],[NZ GHG year]]="","",((MAX(Table12[[#This Row],[residual LULUCF emissions in 2050]],0.1)/Table12[[#This Row],[Current Policies 2030 excl LULUCF]])^(1/(Table12[[#This Row],[NZ GHG year]]-2021))-1)))</f>
        <v/>
      </c>
      <c r="BL49" s="552" t="str">
        <f>IF(Table12[[#This Row],[Net-zero target status]]&lt;=1,"",IF(Table12[[#This Row],[NZ GHG year]]="","",((MAX(Table12[[#This Row],[residual LULUCF emissions in 2050]],0.1)/Table12[[#This Row],[GHG emissions excl LULUCF]])^(1/(Table12[[#This Row],[NZ GHG year]]-2021))-1)))</f>
        <v/>
      </c>
      <c r="BM49" s="552" t="str">
        <f>IF(Table12[[#This Row],[Net-zero target status]]&lt;=1,"",IF(Table12[[#This Row],[NZ GHG year]]="","",((MAX(Table12[[#This Row],[residual LULUCF emissions in 2050]],0.1)/AVERAGE(Table12[[#This Row],[2030 conditional NDCs]:[2030 conditional NDCs2]]))^(1/(Table12[[#This Row],[NZ GHG year]]-2021))-1)))</f>
        <v/>
      </c>
      <c r="BN49" s="23"/>
      <c r="BO49" s="23"/>
      <c r="BP49" s="23"/>
      <c r="BQ49" s="23"/>
      <c r="BR49" s="50" t="s">
        <v>127</v>
      </c>
      <c r="BT49" s="30" t="str">
        <f>IF(Table12[[#This Row],[Reduction rate 2021 to NZ target2]]="","",J49*(1+AN49)^(Table12[[#This Row],[NZ GHG year]]-2021))</f>
        <v/>
      </c>
    </row>
    <row r="50" spans="1:72" ht="15" x14ac:dyDescent="0.25">
      <c r="A50">
        <v>0</v>
      </c>
      <c r="B50">
        <v>0</v>
      </c>
      <c r="C50">
        <v>148</v>
      </c>
      <c r="D50">
        <v>38</v>
      </c>
      <c r="E50">
        <v>8</v>
      </c>
      <c r="F50" t="str">
        <f>'input site'!M50</f>
        <v>incl</v>
      </c>
      <c r="G50" s="31" t="s">
        <v>128</v>
      </c>
      <c r="H50" s="1" t="s">
        <v>129</v>
      </c>
      <c r="I50" s="8">
        <f>VLOOKUP($G50,'NZT data'!$B$3:$C$200,2,FALSE)</f>
        <v>1</v>
      </c>
      <c r="J50" s="32">
        <f>'input site'!AS50</f>
        <v>57.374267863203677</v>
      </c>
      <c r="K50" s="32">
        <f>'input site'!BS50</f>
        <v>48.177794981265947</v>
      </c>
      <c r="L50" s="32">
        <f t="shared" si="14"/>
        <v>0</v>
      </c>
      <c r="M50" s="32">
        <f t="shared" si="15"/>
        <v>0</v>
      </c>
      <c r="N50" s="32">
        <f>'input site'!EV50</f>
        <v>42.812178485043752</v>
      </c>
      <c r="O50" s="8"/>
      <c r="P50" s="36"/>
      <c r="Q50" s="32">
        <f t="shared" si="18"/>
        <v>0</v>
      </c>
      <c r="R50" s="32">
        <f>'input site'!EZ50</f>
        <v>24.385829064306698</v>
      </c>
      <c r="S50" s="37">
        <f>'input site'!FA50</f>
        <v>2050</v>
      </c>
      <c r="T50" s="37" t="str">
        <f>Table12[[#This Row],[(Mt CO2 equivalent)]]</f>
        <v>Chad</v>
      </c>
      <c r="U50" s="8">
        <f>VLOOKUP($G50,'NZT data'!$B$3:$F$200,4,FALSE)</f>
        <v>2110</v>
      </c>
      <c r="V50" s="32">
        <f>VLOOKUP($G50,'NZT data'!$B$3:$F$200,5,FALSE)</f>
        <v>2110</v>
      </c>
      <c r="W50" s="32">
        <f>-IF('LUC NGHGI'!EC40="",MIN('LUC NGHGI'!DW40,0.1),MIN('LUC NGHGI'!EC40,0.1))</f>
        <v>-0.1</v>
      </c>
      <c r="X50" s="32">
        <f>'LUC NGHGI'!EC40</f>
        <v>5.9652121168833219</v>
      </c>
      <c r="Y50" s="32">
        <f>'LUC NGHGI'!DY40</f>
        <v>5.9652121168833219</v>
      </c>
      <c r="Z50" s="32">
        <f>'LUC NGHGI'!DZ40</f>
        <v>5.9652121168833219</v>
      </c>
      <c r="AA50" s="32">
        <f>Table12[[#This Row],[2021 emissions]]</f>
        <v>57.374267863203677</v>
      </c>
      <c r="AB50" s="32">
        <f>'LUC NGHGI'!DW40</f>
        <v>7.8772588632036786</v>
      </c>
      <c r="AC50" s="32">
        <f>IF(F50="incl",Table12[[#This Row],[GHG emissions incl LULUCF]]-Table12[[#This Row],[LULUCF emis-sions in 20213]],Table12[[#This Row],[GHG emissions incl LULUCF]])</f>
        <v>49.497008999999998</v>
      </c>
      <c r="AD50" s="32">
        <f>'input site'!BS50</f>
        <v>48.177794981265947</v>
      </c>
      <c r="AE50" s="32">
        <f>'LUC NGHGI'!EH40</f>
        <v>4.1893887337446643</v>
      </c>
      <c r="AF50" s="32">
        <f>IF(F50="incl",Table12[[#This Row],[Current Policies 2030 incl LULUCF]]-Table12[[#This Row],[LULUCF CurPol 2030]],Table12[[#This Row],[Current Policies 2030 incl LULUCF]])</f>
        <v>43.988406247521283</v>
      </c>
      <c r="AG50" s="32" t="str">
        <f>IF(Table12[[#This Row],[Net-zero target status]]&lt;=1,"",IF(Table12[[#This Row],[NZ GHG year]]="","",1000000000*(Table12[[#This Row],[residual LULUCF emissions in 2050]]-Table12[[#This Row],[GHG emissions excl LULUCF]])/(Table12[[#This Row],[NZ GHG year]]-2021)/Table12[[#This Row],[Population]]))</f>
        <v/>
      </c>
      <c r="AH50" s="32" t="str">
        <f>IF(Table12[[#This Row],[Peak revised]]="Yes",IF(Table12[[#This Row],[Net-zero target status]]&lt;=1,"",IF(Table12[[#This Row],[NZ GHG year]]="","",1000000000*(Table12[[#This Row],[residual LULUCF emissions in 2050]]-Table12[[#This Row],[GHG emissions excl LULUCF]])/(Table12[[#This Row],[NZ GHG year]]-2021)/Table12[[#This Row],[Population]])),"")</f>
        <v/>
      </c>
      <c r="AI50" s="32">
        <f>MAX(0,(1000000*(Table12[[#This Row],[Current Policies 2030 excl LULUCF]]/2+Table12[[#This Row],[GHG emissions excl LULUCF]]/2)/Table12[[#This Row],[Population]]-$AI$8)*10)*$AI$10</f>
        <v>0</v>
      </c>
      <c r="AJ5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50" s="32" t="str">
        <f>IF(Table12[[#This Row],[Formule no Peak (2)]]="","",Table12[[#This Row],[Penalty (1)]]+Table12[[#This Row],[Formule no Peak (2)]])</f>
        <v/>
      </c>
      <c r="AL50" s="313">
        <f>(Table12[[#This Row],[Current Policies 2030 excl LULUCF]]-Table12[[#This Row],[GHG emissions excl LULUCF]])/(2030-2021)/Table12[[#This Row],[GHG emissions excl LULUCF]]</f>
        <v>-1.2365736533648631E-2</v>
      </c>
      <c r="AM50" s="313" t="str">
        <f>IF(Table12[[#This Row],[Net-zero target status]]&lt;=1,"",IF(Table12[[#This Row],[NZ GHG year]]="","",(Table12[[#This Row],[residual LULUCF emissions in 2050]]-Table12[[#This Row],[Current Policies 2030 excl LULUCF]])/(Table12[[#This Row],[NZ GHG year]]-2030)/Table12[[#This Row],[Current Policies 2030 excl LULUCF]]))</f>
        <v/>
      </c>
      <c r="AN50" s="313" t="str">
        <f>IF(Table12[[#This Row],[Net-zero target status]]&lt;=1,"",IF(Table12[[#This Row],[NZ GHG year]]="","",(Table12[[#This Row],[residual LULUCF emissions in 2050]]-Table12[[#This Row],[GHG emissions excl LULUCF]])/(Table12[[#This Row],[NZ GHG year]]-2021)/Table12[[#This Row],[GHG emissions excl LULUCF]]))</f>
        <v/>
      </c>
      <c r="AO50" s="313" t="str">
        <f>IF(Table12[[#This Row],[Net-zero target status]]&lt;=1,"",IF(Table12[[#This Row],[NZ GHG year]]="","",(Table12[[#This Row],[residual LULUCF emissions in 2050]]-Table12[[#This Row],[2030 conditional NDCs]])/(Table12[[#This Row],[NZ GHG year]]-2030)/Table12[[#This Row],[2030 conditional NDCs]]))</f>
        <v/>
      </c>
      <c r="AP50" s="96">
        <f>MAX('input site'!AH50:AS50)</f>
        <v>57.374267863203677</v>
      </c>
      <c r="AQ50" s="95" t="str">
        <f>IF(Table12[[#This Row],[Current Policies 2030 incl LULUCF]]&gt;Table12[[#This Row],[Maximum inventory data]],"No","Yes")</f>
        <v>Yes</v>
      </c>
      <c r="AR50" s="34" t="str">
        <f>IF(Table12[[#This Row],[Net-zero target status]]&gt;=1.5,Table12[[#This Row],[residual LULUCF emissions in 2050]]/Table12[[#This Row],[GHG emissions excl LULUCF]],"")</f>
        <v/>
      </c>
      <c r="AS50" s="76">
        <f>'input site'!BE50</f>
        <v>84.535199999999989</v>
      </c>
      <c r="AT50" s="76">
        <f>'input site'!BF50</f>
        <v>84.535199999999989</v>
      </c>
      <c r="AU50" s="76">
        <f>'input site'!BG50</f>
        <v>68.562719999999985</v>
      </c>
      <c r="AV50" s="77">
        <f>'input site'!BH50</f>
        <v>68.562719999999985</v>
      </c>
      <c r="AW50" s="74">
        <f>IF(Table12[[#This Row],[2030 unconditional NDCs]]="","",IF(F50="incl",Table12[[#This Row],[2030 unconditional NDCs]]-Table12[[#This Row],[LULUCF NDC uncond]],Table12[[#This Row],[2030 unconditional NDCs]]))</f>
        <v>78.569987883116667</v>
      </c>
      <c r="AX50" s="74">
        <f>IF(Table12[[#This Row],[2030 unconditional NDCs2]]="","",IF(F50="incl",Table12[[#This Row],[2030 unconditional NDCs2]]-Table12[[#This Row],[LULUCF NDC uncond]],Table12[[#This Row],[2030 unconditional NDCs2]]))</f>
        <v>78.569987883116667</v>
      </c>
      <c r="AY50" s="74">
        <f>IF(Table12[[#This Row],[2030 conditional NDCs]]="","",IF(F50="incl",Table12[[#This Row],[2030 conditional NDCs]]-Table12[[#This Row],[LULUCF NDC cond]],Table12[[#This Row],[2030 conditional NDCs]]))</f>
        <v>62.597507883116663</v>
      </c>
      <c r="AZ50" s="74">
        <f>IF(Table12[[#This Row],[2030 conditional NDCs2]]="","",IF(F50="incl",Table12[[#This Row],[2030 conditional NDCs2]]-Table12[[#This Row],[LULUCF NDC cond]],Table12[[#This Row],[2030 conditional NDCs2]]))</f>
        <v>62.597507883116663</v>
      </c>
      <c r="BA50" s="8">
        <f>VLOOKUP($G50,'Population90 20'!$C$6:$AU$231,37,FALSE)</f>
        <v>17413580</v>
      </c>
      <c r="BB50" s="8">
        <f>VLOOKUP($G50,'Overview GDP (PPP)'!$C$6:$AI$231,33,FALSE)</f>
        <v>27031614.679402102</v>
      </c>
      <c r="BC50" s="36">
        <f>Table12[[#This Row],[Income]]/Table12[[#This Row],[Population]]</f>
        <v>1.5523295427707628</v>
      </c>
      <c r="BD50" s="36">
        <f>Table12[[#This Row],[GHG emissions excl LULUCF]]*1000000/Table12[[#This Row],[Population]]</f>
        <v>2.8424372817077246</v>
      </c>
      <c r="BE50" s="23" t="e">
        <f>VLOOKUP($G50,EGR2023_MASTER!$B$4:$S$38,14,FALSE)</f>
        <v>#N/A</v>
      </c>
      <c r="BF50" s="23" t="e">
        <f>VLOOKUP($G50,EGR2023_MASTER!$B$4:$S$38,15,FALSE)</f>
        <v>#N/A</v>
      </c>
      <c r="BG50" s="23" t="e">
        <f>VLOOKUP($G50,EGR2023_MASTER!$B$4:$S$38,16,FALSE)</f>
        <v>#N/A</v>
      </c>
      <c r="BH50" s="23" t="e">
        <f t="shared" si="16"/>
        <v>#N/A</v>
      </c>
      <c r="BI50" s="23" t="e">
        <f t="shared" si="17"/>
        <v>#N/A</v>
      </c>
      <c r="BJ50" s="552">
        <f>(Table12[[#This Row],[Current Policies 2030 excl LULUCF]]/Table12[[#This Row],[GHG emissions excl LULUCF]])^(1/(2030-2021))-1</f>
        <v>-1.3024014815619989E-2</v>
      </c>
      <c r="BK50" s="552" t="str">
        <f>IF(Table12[[#This Row],[Net-zero target status]]&lt;=1,"",IF(Table12[[#This Row],[NZ GHG year]]="","",((MAX(Table12[[#This Row],[residual LULUCF emissions in 2050]],0.1)/Table12[[#This Row],[Current Policies 2030 excl LULUCF]])^(1/(Table12[[#This Row],[NZ GHG year]]-2021))-1)))</f>
        <v/>
      </c>
      <c r="BL50" s="552" t="str">
        <f>IF(Table12[[#This Row],[Net-zero target status]]&lt;=1,"",IF(Table12[[#This Row],[NZ GHG year]]="","",((MAX(Table12[[#This Row],[residual LULUCF emissions in 2050]],0.1)/Table12[[#This Row],[GHG emissions excl LULUCF]])^(1/(Table12[[#This Row],[NZ GHG year]]-2021))-1)))</f>
        <v/>
      </c>
      <c r="BM50" s="552" t="str">
        <f>IF(Table12[[#This Row],[Net-zero target status]]&lt;=1,"",IF(Table12[[#This Row],[NZ GHG year]]="","",((MAX(Table12[[#This Row],[residual LULUCF emissions in 2050]],0.1)/AVERAGE(Table12[[#This Row],[2030 conditional NDCs]:[2030 conditional NDCs2]]))^(1/(Table12[[#This Row],[NZ GHG year]]-2021))-1)))</f>
        <v/>
      </c>
      <c r="BN50" s="23"/>
      <c r="BO50" s="23"/>
      <c r="BP50" s="23"/>
      <c r="BQ50" s="23"/>
      <c r="BR50" s="50" t="s">
        <v>129</v>
      </c>
      <c r="BT50" s="30" t="str">
        <f>IF(Table12[[#This Row],[Reduction rate 2021 to NZ target2]]="","",J50*(1+AN50)^(Table12[[#This Row],[NZ GHG year]]-2021))</f>
        <v/>
      </c>
    </row>
    <row r="51" spans="1:72" ht="15" x14ac:dyDescent="0.25">
      <c r="A51">
        <v>1</v>
      </c>
      <c r="B51">
        <v>0</v>
      </c>
      <c r="C51">
        <v>152</v>
      </c>
      <c r="D51">
        <v>39</v>
      </c>
      <c r="E51">
        <v>6</v>
      </c>
      <c r="F51" t="str">
        <f>'input site'!M51</f>
        <v>excl</v>
      </c>
      <c r="G51" s="31" t="s">
        <v>130</v>
      </c>
      <c r="H51" s="1" t="s">
        <v>131</v>
      </c>
      <c r="I51" s="8">
        <f>VLOOKUP($G51,'NZT data'!$B$3:$C$200,2,FALSE)</f>
        <v>4</v>
      </c>
      <c r="J51" s="32">
        <f>'input site'!AS51</f>
        <v>106.1575684</v>
      </c>
      <c r="K51" s="32">
        <f>'input site'!BS51</f>
        <v>124.02967914999951</v>
      </c>
      <c r="L51" s="32">
        <f t="shared" si="14"/>
        <v>65</v>
      </c>
      <c r="M51" s="32">
        <f t="shared" si="15"/>
        <v>65</v>
      </c>
      <c r="N51" s="32">
        <f>'input site'!EV51</f>
        <v>70.157454109293681</v>
      </c>
      <c r="O51" s="8">
        <v>65</v>
      </c>
      <c r="P51" s="36">
        <f>O51-N51</f>
        <v>-5.1574541092936812</v>
      </c>
      <c r="Q51" s="32">
        <f t="shared" si="18"/>
        <v>65</v>
      </c>
      <c r="R51" s="32">
        <f>'input site'!EZ51</f>
        <v>41.5069931701237</v>
      </c>
      <c r="S51" s="37" t="str">
        <f>'input site'!FA51</f>
        <v>2050. Source: CAT, heaily relies on negative emissions</v>
      </c>
      <c r="T51" s="37" t="str">
        <f>Table12[[#This Row],[(Mt CO2 equivalent)]]</f>
        <v>Chile</v>
      </c>
      <c r="U51" s="8">
        <f>VLOOKUP($G51,'NZT data'!$B$3:$F$200,4,FALSE)</f>
        <v>2050</v>
      </c>
      <c r="V51" s="32">
        <f>VLOOKUP($G51,'NZT data'!$B$3:$F$200,5,FALSE)</f>
        <v>2065</v>
      </c>
      <c r="W51" s="32">
        <f>-IF('LUC NGHGI'!EC41="",MIN('LUC NGHGI'!DW41,0.1),MIN('LUC NGHGI'!EC41,0.1))</f>
        <v>-0.1</v>
      </c>
      <c r="X51" s="32">
        <f>'LUC NGHGI'!EC41</f>
        <v>65</v>
      </c>
      <c r="Y51" s="32">
        <f>'LUC NGHGI'!DY41</f>
        <v>-7.4</v>
      </c>
      <c r="Z51" s="32">
        <f>'LUC NGHGI'!DZ41</f>
        <v>-7.4</v>
      </c>
      <c r="AA51" s="32">
        <f>Table12[[#This Row],[2021 emissions]]</f>
        <v>106.1575684</v>
      </c>
      <c r="AB51" s="32">
        <f>'LUC NGHGI'!DW41</f>
        <v>-49.796879354838779</v>
      </c>
      <c r="AC51" s="32">
        <f>IF(F51="incl",Table12[[#This Row],[GHG emissions incl LULUCF]]-Table12[[#This Row],[LULUCF emis-sions in 20213]],Table12[[#This Row],[GHG emissions incl LULUCF]])</f>
        <v>106.1575684</v>
      </c>
      <c r="AD51" s="32">
        <f>'input site'!BS51</f>
        <v>124.02967914999951</v>
      </c>
      <c r="AE51" s="32">
        <f>'LUC NGHGI'!EH41</f>
        <v>-62.585230336074154</v>
      </c>
      <c r="AF51" s="32">
        <f>IF(F51="incl",Table12[[#This Row],[Current Policies 2030 incl LULUCF]]-Table12[[#This Row],[LULUCF CurPol 2030]],Table12[[#This Row],[Current Policies 2030 incl LULUCF]])</f>
        <v>124.02967914999951</v>
      </c>
      <c r="AG51" s="32">
        <f>IF(Table12[[#This Row],[Net-zero target status]]&lt;=1,"",IF(Table12[[#This Row],[NZ GHG year]]="","",1000000000*(Table12[[#This Row],[residual LULUCF emissions in 2050]]-Table12[[#This Row],[GHG emissions excl LULUCF]])/(Table12[[#This Row],[NZ GHG year]]-2021)/Table12[[#This Row],[Population]]))</f>
        <v>-125.45040381999436</v>
      </c>
      <c r="AH51" s="32" t="str">
        <f>IF(Table12[[#This Row],[Peak revised]]="Yes",IF(Table12[[#This Row],[Net-zero target status]]&lt;=1,"",IF(Table12[[#This Row],[NZ GHG year]]="","",1000000000*(Table12[[#This Row],[residual LULUCF emissions in 2050]]-Table12[[#This Row],[GHG emissions excl LULUCF]])/(Table12[[#This Row],[NZ GHG year]]-2021)/Table12[[#This Row],[Population]])),"")</f>
        <v/>
      </c>
      <c r="AI51" s="32">
        <f>MAX(0,(1000000*(Table12[[#This Row],[Current Policies 2030 excl LULUCF]]/2+Table12[[#This Row],[GHG emissions excl LULUCF]]/2)/Table12[[#This Row],[Population]]-$AI$8)*10)*$AI$10</f>
        <v>0</v>
      </c>
      <c r="AJ51" s="32">
        <f>IF(Table12[[#This Row],[Peak revised]]="No",IF(Table12[[#This Row],[Net-zero target status]]&lt;=1,"",IF(Table12[[#This Row],[NZ GHG year]]="","",1000000000*(Table12[[#This Row],[residual LULUCF emissions in 2050]]-Table12[[#This Row],[Current Policies 2030 excl LULUCF]])/(Table12[[#This Row],[NZ GHG year]]-2021)/Table12[[#This Row],[Population]])),"")</f>
        <v>-146.55067502385808</v>
      </c>
      <c r="AK51" s="32">
        <f>IF(Table12[[#This Row],[Formule no Peak (2)]]="","",Table12[[#This Row],[Penalty (1)]]+Table12[[#This Row],[Formule no Peak (2)]])</f>
        <v>-146.55067502385808</v>
      </c>
      <c r="AL51" s="313">
        <f>(Table12[[#This Row],[Current Policies 2030 excl LULUCF]]-Table12[[#This Row],[GHG emissions excl LULUCF]])/(2030-2021)/Table12[[#This Row],[GHG emissions excl LULUCF]]</f>
        <v>1.8706062255032574E-2</v>
      </c>
      <c r="AM51" s="313">
        <f>IF(Table12[[#This Row],[Net-zero target status]]&lt;=1,"",IF(Table12[[#This Row],[NZ GHG year]]="","",(Table12[[#This Row],[residual LULUCF emissions in 2050]]-Table12[[#This Row],[Current Policies 2030 excl LULUCF]])/(Table12[[#This Row],[NZ GHG year]]-2030)/Table12[[#This Row],[Current Policies 2030 excl LULUCF]]))</f>
        <v>-2.8594464532472115E-2</v>
      </c>
      <c r="AN51" s="313">
        <f>IF(Table12[[#This Row],[Net-zero target status]]&lt;=1,"",IF(Table12[[#This Row],[NZ GHG year]]="","",(Table12[[#This Row],[residual LULUCF emissions in 2050]]-Table12[[#This Row],[GHG emissions excl LULUCF]])/(Table12[[#This Row],[NZ GHG year]]-2021)/Table12[[#This Row],[GHG emissions excl LULUCF]]))</f>
        <v>-2.2748681726244554E-2</v>
      </c>
      <c r="AO51" s="313">
        <f>IF(Table12[[#This Row],[Net-zero target status]]&lt;=1,"",IF(Table12[[#This Row],[NZ GHG year]]="","",(Table12[[#This Row],[residual LULUCF emissions in 2050]]-Table12[[#This Row],[2030 conditional NDCs]])/(Table12[[#This Row],[NZ GHG year]]-2030)/Table12[[#This Row],[2030 conditional NDCs]]))</f>
        <v>-2.8601503759398496E-2</v>
      </c>
      <c r="AP51" s="96">
        <f>MAX('input site'!AH51:AS51)</f>
        <v>111.678</v>
      </c>
      <c r="AQ51" s="95" t="str">
        <f>IF(Table12[[#This Row],[Current Policies 2030 incl LULUCF]]&gt;Table12[[#This Row],[Maximum inventory data]],"No","Yes")</f>
        <v>No</v>
      </c>
      <c r="AR51" s="34">
        <f>IF(Table12[[#This Row],[Net-zero target status]]&gt;=1.5,Table12[[#This Row],[residual LULUCF emissions in 2050]]/Table12[[#This Row],[GHG emissions excl LULUCF]],"")</f>
        <v>-9.4199595476039558E-4</v>
      </c>
      <c r="AS51" s="76">
        <f>'input site'!BE51</f>
        <v>95</v>
      </c>
      <c r="AT51" s="76">
        <f>'input site'!BF51</f>
        <v>95</v>
      </c>
      <c r="AU51" s="76">
        <f>'input site'!BG51</f>
        <v>95</v>
      </c>
      <c r="AV51" s="77">
        <f>'input site'!BH51</f>
        <v>95</v>
      </c>
      <c r="AW51" s="74">
        <f>IF(Table12[[#This Row],[2030 unconditional NDCs]]="","",IF(F51="incl",Table12[[#This Row],[2030 unconditional NDCs]]-Table12[[#This Row],[LULUCF NDC uncond]],Table12[[#This Row],[2030 unconditional NDCs]]))</f>
        <v>95</v>
      </c>
      <c r="AX51" s="74">
        <f>IF(Table12[[#This Row],[2030 unconditional NDCs2]]="","",IF(F51="incl",Table12[[#This Row],[2030 unconditional NDCs2]]-Table12[[#This Row],[LULUCF NDC uncond]],Table12[[#This Row],[2030 unconditional NDCs2]]))</f>
        <v>95</v>
      </c>
      <c r="AY51" s="74">
        <f>IF(Table12[[#This Row],[2030 conditional NDCs]]="","",IF(F51="incl",Table12[[#This Row],[2030 conditional NDCs]]-Table12[[#This Row],[LULUCF NDC cond]],Table12[[#This Row],[2030 conditional NDCs]]))</f>
        <v>95</v>
      </c>
      <c r="AZ51" s="74">
        <f>IF(Table12[[#This Row],[2030 conditional NDCs2]]="","",IF(F51="incl",Table12[[#This Row],[2030 conditional NDCs2]]-Table12[[#This Row],[LULUCF NDC cond]],Table12[[#This Row],[2030 conditional NDCs2]]))</f>
        <v>95</v>
      </c>
      <c r="BA51" s="8">
        <f>VLOOKUP($G51,'Population90 20'!$C$6:$AU$231,37,FALSE)</f>
        <v>19250195</v>
      </c>
      <c r="BB51" s="8">
        <f>VLOOKUP($G51,'Overview GDP (PPP)'!$C$6:$AI$231,33,FALSE)</f>
        <v>428407191.3830052</v>
      </c>
      <c r="BC51" s="36">
        <f>Table12[[#This Row],[Income]]/Table12[[#This Row],[Population]]</f>
        <v>22.254693595727481</v>
      </c>
      <c r="BD51" s="36">
        <f>Table12[[#This Row],[GHG emissions excl LULUCF]]*1000000/Table12[[#This Row],[Population]]</f>
        <v>5.5146230155071159</v>
      </c>
      <c r="BE51" s="23" t="str">
        <f>VLOOKUP($G51,EGR2023_MASTER!$B$4:$S$38,14,FALSE)</f>
        <v>Y</v>
      </c>
      <c r="BF51" s="23" t="str">
        <f>VLOOKUP($G51,EGR2023_MASTER!$B$4:$S$38,15,FALSE)</f>
        <v>Credible</v>
      </c>
      <c r="BG51" s="23" t="str">
        <f>VLOOKUP($G51,EGR2023_MASTER!$B$4:$S$38,16,FALSE)</f>
        <v>n</v>
      </c>
      <c r="BH51" s="23" t="str">
        <f t="shared" si="16"/>
        <v>lower</v>
      </c>
      <c r="BI51" s="23" t="str">
        <f t="shared" si="17"/>
        <v>weak</v>
      </c>
      <c r="BJ51" s="552">
        <f>(Table12[[#This Row],[Current Policies 2030 excl LULUCF]]/Table12[[#This Row],[GHG emissions excl LULUCF]])^(1/(2030-2021))-1</f>
        <v>1.7438799806377636E-2</v>
      </c>
      <c r="BK51" s="552">
        <f>IF(Table12[[#This Row],[Net-zero target status]]&lt;=1,"",IF(Table12[[#This Row],[NZ GHG year]]="","",((MAX(Table12[[#This Row],[residual LULUCF emissions in 2050]],0.1)/Table12[[#This Row],[Current Policies 2030 excl LULUCF]])^(1/(Table12[[#This Row],[NZ GHG year]]-2021))-1)))</f>
        <v>-0.14946419751680229</v>
      </c>
      <c r="BL51" s="552">
        <f>IF(Table12[[#This Row],[Net-zero target status]]&lt;=1,"",IF(Table12[[#This Row],[NZ GHG year]]="","",((MAX(Table12[[#This Row],[residual LULUCF emissions in 2050]],0.1)/Table12[[#This Row],[GHG emissions excl LULUCF]])^(1/(Table12[[#This Row],[NZ GHG year]]-2021))-1)))</f>
        <v>-0.1464511388458094</v>
      </c>
      <c r="BM51" s="552">
        <f>IF(Table12[[#This Row],[Net-zero target status]]&lt;=1,"",IF(Table12[[#This Row],[NZ GHG year]]="","",((MAX(Table12[[#This Row],[residual LULUCF emissions in 2050]],0.1)/AVERAGE(Table12[[#This Row],[2030 conditional NDCs]:[2030 conditional NDCs2]]))^(1/(Table12[[#This Row],[NZ GHG year]]-2021))-1)))</f>
        <v>-0.14429422392843338</v>
      </c>
      <c r="BN51" s="23"/>
      <c r="BO51" s="23"/>
      <c r="BP51" s="23"/>
      <c r="BQ51" s="23"/>
      <c r="BR51" s="50" t="s">
        <v>131</v>
      </c>
      <c r="BT51" s="30">
        <f>IF(Table12[[#This Row],[Reduction rate 2021 to NZ target2]]="","",J51*(1+AN51)^(Table12[[#This Row],[NZ GHG year]]-2021))</f>
        <v>38.567955736570902</v>
      </c>
    </row>
    <row r="52" spans="1:72" ht="15" x14ac:dyDescent="0.25">
      <c r="A52">
        <v>1</v>
      </c>
      <c r="B52">
        <v>1</v>
      </c>
      <c r="C52">
        <v>156</v>
      </c>
      <c r="D52">
        <v>40</v>
      </c>
      <c r="E52">
        <v>20</v>
      </c>
      <c r="F52" t="str">
        <f>'input site'!M52</f>
        <v>incl</v>
      </c>
      <c r="G52" s="31" t="s">
        <v>132</v>
      </c>
      <c r="H52" s="1" t="s">
        <v>133</v>
      </c>
      <c r="I52" s="8">
        <f>VLOOKUP($G52,'NZT data'!$B$3:$C$200,2,FALSE)</f>
        <v>3</v>
      </c>
      <c r="J52" s="32">
        <f>'input site'!AS52</f>
        <v>13038.949070000001</v>
      </c>
      <c r="K52" s="32">
        <f>'input site'!BS52</f>
        <v>13845.495529695199</v>
      </c>
      <c r="L52" s="32">
        <f t="shared" si="14"/>
        <v>4762.6249274752117</v>
      </c>
      <c r="M52" s="32">
        <f t="shared" si="15"/>
        <v>4762.6249274752117</v>
      </c>
      <c r="N52" s="32">
        <f>'input site'!EV52</f>
        <v>2115.7686358692486</v>
      </c>
      <c r="O52" s="347">
        <f>[12]CHI!BM31</f>
        <v>4762.6249274752117</v>
      </c>
      <c r="P52" s="36">
        <f>O52-N52</f>
        <v>2646.8562916059632</v>
      </c>
      <c r="Q52" s="32">
        <f t="shared" si="18"/>
        <v>4762.6249274752117</v>
      </c>
      <c r="R52" s="32">
        <f>'input site'!EZ52</f>
        <v>995.31636903488038</v>
      </c>
      <c r="S52" s="37" t="str">
        <f>'input site'!FA52</f>
        <v>2060 (only CO2) (assume equal to 2C)</v>
      </c>
      <c r="T52" s="37" t="str">
        <f>Table12[[#This Row],[(Mt CO2 equivalent)]]</f>
        <v>China</v>
      </c>
      <c r="U52" s="8">
        <f>VLOOKUP($G52,'NZT data'!$B$3:$F$200,4,FALSE)</f>
        <v>2060</v>
      </c>
      <c r="V52" s="32">
        <f>VLOOKUP($G52,'NZT data'!$B$3:$F$200,5,FALSE)</f>
        <v>2075</v>
      </c>
      <c r="W52" s="32">
        <f>-IF('LUC NGHGI'!EC42="",MIN('LUC NGHGI'!DW42,0.1),MIN('LUC NGHGI'!EC42,0.1))</f>
        <v>1211.5891625615768</v>
      </c>
      <c r="X52" s="32">
        <f>'LUC NGHGI'!EC42</f>
        <v>-1211.5891625615768</v>
      </c>
      <c r="Y52" s="32">
        <f>'LUC NGHGI'!DY42</f>
        <v>-935</v>
      </c>
      <c r="Z52" s="32">
        <f>'LUC NGHGI'!DZ42</f>
        <v>-935</v>
      </c>
      <c r="AA52" s="32">
        <f>Table12[[#This Row],[2021 emissions]]</f>
        <v>13038.949070000001</v>
      </c>
      <c r="AB52" s="32">
        <f>'LUC NGHGI'!DW42</f>
        <v>-1241.3113300492623</v>
      </c>
      <c r="AC52" s="32">
        <f>IF(F52="incl",Table12[[#This Row],[GHG emissions incl LULUCF]]-Table12[[#This Row],[LULUCF emis-sions in 20213]],Table12[[#This Row],[GHG emissions incl LULUCF]])</f>
        <v>14280.260400049263</v>
      </c>
      <c r="AD52" s="32">
        <f>'input site'!BS52</f>
        <v>13845.495529695199</v>
      </c>
      <c r="AE52" s="32">
        <f>'LUC NGHGI'!EH42</f>
        <v>-1377.2090599999999</v>
      </c>
      <c r="AF52" s="32">
        <f>IF(F52="incl",Table12[[#This Row],[Current Policies 2030 incl LULUCF]]-Table12[[#This Row],[LULUCF CurPol 2030]],Table12[[#This Row],[Current Policies 2030 incl LULUCF]])</f>
        <v>15222.704589695199</v>
      </c>
      <c r="AG52" s="32">
        <f>IF(Table12[[#This Row],[Net-zero target status]]&lt;=1,"",IF(Table12[[#This Row],[NZ GHG year]]="","",1000000000*(Table12[[#This Row],[residual LULUCF emissions in 2050]]-Table12[[#This Row],[GHG emissions excl LULUCF]])/(Table12[[#This Row],[NZ GHG year]]-2021)/Table12[[#This Row],[Population]]))</f>
        <v>-167.08126258057013</v>
      </c>
      <c r="AH52" s="32" t="str">
        <f>IF(Table12[[#This Row],[Peak revised]]="Yes",IF(Table12[[#This Row],[Net-zero target status]]&lt;=1,"",IF(Table12[[#This Row],[NZ GHG year]]="","",1000000000*(Table12[[#This Row],[residual LULUCF emissions in 2050]]-Table12[[#This Row],[GHG emissions excl LULUCF]])/(Table12[[#This Row],[NZ GHG year]]-2021)/Table12[[#This Row],[Population]])),"")</f>
        <v/>
      </c>
      <c r="AI52" s="32">
        <f>MAX(0,(1000000*(Table12[[#This Row],[Current Policies 2030 excl LULUCF]]/2+Table12[[#This Row],[GHG emissions excl LULUCF]]/2)/Table12[[#This Row],[Population]]-$AI$8)*10)*$AI$10</f>
        <v>-318.41724281696065</v>
      </c>
      <c r="AJ52" s="32">
        <f>IF(Table12[[#This Row],[Peak revised]]="No",IF(Table12[[#This Row],[Net-zero target status]]&lt;=1,"",IF(Table12[[#This Row],[NZ GHG year]]="","",1000000000*(Table12[[#This Row],[residual LULUCF emissions in 2050]]-Table12[[#This Row],[Current Policies 2030 excl LULUCF]])/(Table12[[#This Row],[NZ GHG year]]-2021)/Table12[[#This Row],[Population]])),"")</f>
        <v>-179.13028900845018</v>
      </c>
      <c r="AK52" s="32">
        <f>IF(Table12[[#This Row],[Formule no Peak (2)]]="","",Table12[[#This Row],[Penalty (1)]]+Table12[[#This Row],[Formule no Peak (2)]])</f>
        <v>-497.54753182541083</v>
      </c>
      <c r="AL52" s="313">
        <f>(Table12[[#This Row],[Current Policies 2030 excl LULUCF]]-Table12[[#This Row],[GHG emissions excl LULUCF]])/(2030-2021)/Table12[[#This Row],[GHG emissions excl LULUCF]]</f>
        <v>7.3329209789066161E-3</v>
      </c>
      <c r="AM52" s="313">
        <f>IF(Table12[[#This Row],[Net-zero target status]]&lt;=1,"",IF(Table12[[#This Row],[NZ GHG year]]="","",(Table12[[#This Row],[residual LULUCF emissions in 2050]]-Table12[[#This Row],[Current Policies 2030 excl LULUCF]])/(Table12[[#This Row],[NZ GHG year]]-2030)/Table12[[#This Row],[Current Policies 2030 excl LULUCF]]))</f>
        <v>-2.0453534966036128E-2</v>
      </c>
      <c r="AN52" s="313">
        <f>IF(Table12[[#This Row],[Net-zero target status]]&lt;=1,"",IF(Table12[[#This Row],[NZ GHG year]]="","",(Table12[[#This Row],[residual LULUCF emissions in 2050]]-Table12[[#This Row],[GHG emissions excl LULUCF]])/(Table12[[#This Row],[NZ GHG year]]-2021)/Table12[[#This Row],[GHG emissions excl LULUCF]]))</f>
        <v>-1.6947340142551684E-2</v>
      </c>
      <c r="AO52" s="313">
        <f>IF(Table12[[#This Row],[Net-zero target status]]&lt;=1,"",IF(Table12[[#This Row],[NZ GHG year]]="","",(Table12[[#This Row],[residual LULUCF emissions in 2050]]-Table12[[#This Row],[2030 conditional NDCs]])/(Table12[[#This Row],[NZ GHG year]]-2030)/Table12[[#This Row],[2030 conditional NDCs]]))</f>
        <v>-2.0263336413919475E-2</v>
      </c>
      <c r="AP52" s="96">
        <f>MAX('input site'!AH52:AS52)</f>
        <v>13038.949070000001</v>
      </c>
      <c r="AQ52" s="95" t="str">
        <f>IF(Table12[[#This Row],[Current Policies 2030 incl LULUCF]]&gt;Table12[[#This Row],[Maximum inventory data]],"No","Yes")</f>
        <v>No</v>
      </c>
      <c r="AR52" s="34">
        <f>IF(Table12[[#This Row],[Net-zero target status]]&gt;=1.5,Table12[[#This Row],[residual LULUCF emissions in 2050]]/Table12[[#This Row],[GHG emissions excl LULUCF]],"")</f>
        <v>8.4843632302209079E-2</v>
      </c>
      <c r="AS52" s="82">
        <f>'input site'!BE52</f>
        <v>13744.651933441501</v>
      </c>
      <c r="AT52" s="82">
        <f>'input site'!BF52</f>
        <v>13744.651933441501</v>
      </c>
      <c r="AU52" s="82">
        <f>'input site'!BG52</f>
        <v>13744.651933441501</v>
      </c>
      <c r="AV52" s="83">
        <f>'input site'!BH52</f>
        <v>13744.651933441501</v>
      </c>
      <c r="AW52" s="74">
        <f>IF(Table12[[#This Row],[2030 unconditional NDCs]]="","",IF(F52="incl",Table12[[#This Row],[2030 unconditional NDCs]]-Table12[[#This Row],[LULUCF NDC uncond]],Table12[[#This Row],[2030 unconditional NDCs]]))</f>
        <v>14679.651933441501</v>
      </c>
      <c r="AX52" s="74">
        <f>IF(Table12[[#This Row],[2030 unconditional NDCs2]]="","",IF(F52="incl",Table12[[#This Row],[2030 unconditional NDCs2]]-Table12[[#This Row],[LULUCF NDC uncond]],Table12[[#This Row],[2030 unconditional NDCs2]]))</f>
        <v>14679.651933441501</v>
      </c>
      <c r="AY52" s="74">
        <f>IF(Table12[[#This Row],[2030 conditional NDCs]]="","",IF(F52="incl",Table12[[#This Row],[2030 conditional NDCs]]-Table12[[#This Row],[LULUCF NDC cond]],Table12[[#This Row],[2030 conditional NDCs]]))</f>
        <v>14679.651933441501</v>
      </c>
      <c r="AZ52" s="74">
        <f>IF(Table12[[#This Row],[2030 conditional NDCs2]]="","",IF(F52="incl",Table12[[#This Row],[2030 conditional NDCs2]]-Table12[[#This Row],[LULUCF NDC cond]],Table12[[#This Row],[2030 conditional NDCs2]]))</f>
        <v>14679.651933441501</v>
      </c>
      <c r="BA52" s="8">
        <f>VLOOKUP($G52,'Population90 20'!$C$6:$AU$231,37,FALSE)</f>
        <v>1448471400</v>
      </c>
      <c r="BB52" s="8">
        <f>VLOOKUP($G52,'Overview GDP (PPP)'!$C$6:$AI$231,33,FALSE)</f>
        <v>22543831666.004604</v>
      </c>
      <c r="BC52" s="36">
        <f>Table12[[#This Row],[Income]]/Table12[[#This Row],[Population]]</f>
        <v>15.563877661653937</v>
      </c>
      <c r="BD52" s="36">
        <f>Table12[[#This Row],[GHG emissions excl LULUCF]]*1000000/Table12[[#This Row],[Population]]</f>
        <v>9.8588487146168458</v>
      </c>
      <c r="BE52" s="23" t="str">
        <f>VLOOKUP($G52,EGR2023_MASTER!$B$4:$S$38,14,FALSE)</f>
        <v>N</v>
      </c>
      <c r="BF52" s="23" t="str">
        <f>VLOOKUP($G52,EGR2023_MASTER!$B$4:$S$38,15,FALSE)</f>
        <v>Credible</v>
      </c>
      <c r="BG52" s="23" t="str">
        <f>VLOOKUP($G52,EGR2023_MASTER!$B$4:$S$38,16,FALSE)</f>
        <v>n</v>
      </c>
      <c r="BH52" s="23" t="str">
        <f t="shared" si="16"/>
        <v>lower</v>
      </c>
      <c r="BI52" s="23" t="str">
        <f t="shared" si="17"/>
        <v>weak</v>
      </c>
      <c r="BJ52" s="552">
        <f>(Table12[[#This Row],[Current Policies 2030 excl LULUCF]]/Table12[[#This Row],[GHG emissions excl LULUCF]])^(1/(2030-2021))-1</f>
        <v>7.1263663656491172E-3</v>
      </c>
      <c r="BK52" s="552">
        <f>IF(Table12[[#This Row],[Net-zero target status]]&lt;=1,"",IF(Table12[[#This Row],[NZ GHG year]]="","",((MAX(Table12[[#This Row],[residual LULUCF emissions in 2050]],0.1)/Table12[[#This Row],[Current Policies 2030 excl LULUCF]])^(1/(Table12[[#This Row],[NZ GHG year]]-2021))-1)))</f>
        <v>-4.5786357358008289E-2</v>
      </c>
      <c r="BL52" s="552">
        <f>IF(Table12[[#This Row],[Net-zero target status]]&lt;=1,"",IF(Table12[[#This Row],[NZ GHG year]]="","",((MAX(Table12[[#This Row],[residual LULUCF emissions in 2050]],0.1)/Table12[[#This Row],[GHG emissions excl LULUCF]])^(1/(Table12[[#This Row],[NZ GHG year]]-2021))-1)))</f>
        <v>-4.4656362040595754E-2</v>
      </c>
      <c r="BM52" s="552">
        <f>IF(Table12[[#This Row],[Net-zero target status]]&lt;=1,"",IF(Table12[[#This Row],[NZ GHG year]]="","",((MAX(Table12[[#This Row],[residual LULUCF emissions in 2050]],0.1)/AVERAGE(Table12[[#This Row],[2030 conditional NDCs]:[2030 conditional NDCs2]]))^(1/(Table12[[#This Row],[NZ GHG year]]-2021))-1)))</f>
        <v>-4.3979803091638736E-2</v>
      </c>
      <c r="BN52" s="23"/>
      <c r="BO52" s="23"/>
      <c r="BP52" s="23"/>
      <c r="BQ52" s="23"/>
      <c r="BR52" s="50" t="s">
        <v>133</v>
      </c>
      <c r="BT52" s="30">
        <f>IF(Table12[[#This Row],[Reduction rate 2021 to NZ target2]]="","",J52*(1+AN52)^(Table12[[#This Row],[NZ GHG year]]-2021))</f>
        <v>5180.7048371483679</v>
      </c>
    </row>
    <row r="53" spans="1:72" ht="15" x14ac:dyDescent="0.25">
      <c r="A53">
        <v>1</v>
      </c>
      <c r="B53">
        <v>0</v>
      </c>
      <c r="C53">
        <v>170</v>
      </c>
      <c r="D53">
        <v>42</v>
      </c>
      <c r="E53">
        <v>6</v>
      </c>
      <c r="F53" t="str">
        <f>'input site'!M53</f>
        <v>incl</v>
      </c>
      <c r="G53" s="31" t="s">
        <v>134</v>
      </c>
      <c r="H53" s="1" t="s">
        <v>135</v>
      </c>
      <c r="I53" s="8">
        <f>VLOOKUP($G53,'NZT data'!$B$3:$C$200,2,FALSE)</f>
        <v>4</v>
      </c>
      <c r="J53" s="32">
        <f>'input site'!AS53</f>
        <v>289.59149019999899</v>
      </c>
      <c r="K53" s="32">
        <f>'input site'!BS53</f>
        <v>317.47711419999951</v>
      </c>
      <c r="L53" s="32">
        <f t="shared" si="14"/>
        <v>0</v>
      </c>
      <c r="M53" s="32">
        <f t="shared" si="15"/>
        <v>0</v>
      </c>
      <c r="N53" s="32">
        <f>'input site'!EV53</f>
        <v>175.32396605987071</v>
      </c>
      <c r="O53" s="8">
        <v>0</v>
      </c>
      <c r="P53" s="36">
        <f>O53-N53</f>
        <v>-175.32396605987071</v>
      </c>
      <c r="Q53" s="32">
        <f t="shared" si="18"/>
        <v>0</v>
      </c>
      <c r="R53" s="32">
        <f>'input site'!EZ53</f>
        <v>103.72626478819238</v>
      </c>
      <c r="S53" s="37">
        <f>'input site'!FA53</f>
        <v>2050</v>
      </c>
      <c r="T53" s="37" t="str">
        <f>Table12[[#This Row],[(Mt CO2 equivalent)]]</f>
        <v>Colombia</v>
      </c>
      <c r="U53" s="8">
        <f>VLOOKUP($G53,'NZT data'!$B$3:$F$200,4,FALSE)</f>
        <v>2050</v>
      </c>
      <c r="V53" s="32">
        <f>VLOOKUP($G53,'NZT data'!$B$3:$F$200,5,FALSE)</f>
        <v>2050</v>
      </c>
      <c r="W53" s="32">
        <f>-IF('LUC NGHGI'!EC43="",MIN('LUC NGHGI'!DW43,0.1),MIN('LUC NGHGI'!EC43,0.1))</f>
        <v>281.84500000000003</v>
      </c>
      <c r="X53" s="32">
        <f>'LUC NGHGI'!EC43</f>
        <v>-281.84500000000003</v>
      </c>
      <c r="Y53" s="32">
        <f>'LUC NGHGI'!DY43</f>
        <v>97.36</v>
      </c>
      <c r="Z53" s="32">
        <f>'LUC NGHGI'!DZ43</f>
        <v>0</v>
      </c>
      <c r="AA53" s="32">
        <f>Table12[[#This Row],[2021 emissions]]</f>
        <v>289.59149019999899</v>
      </c>
      <c r="AB53" s="32">
        <f>'LUC NGHGI'!DW43</f>
        <v>65.633577339901422</v>
      </c>
      <c r="AC53" s="32">
        <f>IF(F53="incl",Table12[[#This Row],[GHG emissions incl LULUCF]]-Table12[[#This Row],[LULUCF emis-sions in 20213]],Table12[[#This Row],[GHG emissions incl LULUCF]])</f>
        <v>223.95791286009757</v>
      </c>
      <c r="AD53" s="32">
        <f>'input site'!BS53</f>
        <v>317.47711419999951</v>
      </c>
      <c r="AE53" s="32">
        <f>'LUC NGHGI'!EH43</f>
        <v>109.487478</v>
      </c>
      <c r="AF53" s="32">
        <f>IF(F53="incl",Table12[[#This Row],[Current Policies 2030 incl LULUCF]]-Table12[[#This Row],[LULUCF CurPol 2030]],Table12[[#This Row],[Current Policies 2030 incl LULUCF]])</f>
        <v>207.9896361999995</v>
      </c>
      <c r="AG53" s="32">
        <f>IF(Table12[[#This Row],[Net-zero target status]]&lt;=1,"",IF(Table12[[#This Row],[NZ GHG year]]="","",1000000000*(Table12[[#This Row],[residual LULUCF emissions in 2050]]-Table12[[#This Row],[GHG emissions excl LULUCF]])/(Table12[[#This Row],[NZ GHG year]]-2021)/Table12[[#This Row],[Population]]))</f>
        <v>38.749746191052324</v>
      </c>
      <c r="AH53" s="32" t="str">
        <f>IF(Table12[[#This Row],[Peak revised]]="Yes",IF(Table12[[#This Row],[Net-zero target status]]&lt;=1,"",IF(Table12[[#This Row],[NZ GHG year]]="","",1000000000*(Table12[[#This Row],[residual LULUCF emissions in 2050]]-Table12[[#This Row],[GHG emissions excl LULUCF]])/(Table12[[#This Row],[NZ GHG year]]-2021)/Table12[[#This Row],[Population]])),"")</f>
        <v/>
      </c>
      <c r="AI53" s="32">
        <f>MAX(0,(1000000*(Table12[[#This Row],[Current Policies 2030 excl LULUCF]]/2+Table12[[#This Row],[GHG emissions excl LULUCF]]/2)/Table12[[#This Row],[Population]]-$AI$8)*10)*$AI$10</f>
        <v>0</v>
      </c>
      <c r="AJ53" s="32">
        <f>IF(Table12[[#This Row],[Peak revised]]="No",IF(Table12[[#This Row],[Net-zero target status]]&lt;=1,"",IF(Table12[[#This Row],[NZ GHG year]]="","",1000000000*(Table12[[#This Row],[residual LULUCF emissions in 2050]]-Table12[[#This Row],[Current Policies 2030 excl LULUCF]])/(Table12[[#This Row],[NZ GHG year]]-2021)/Table12[[#This Row],[Population]])),"")</f>
        <v>49.438946464540948</v>
      </c>
      <c r="AK53" s="32">
        <f>IF(Table12[[#This Row],[Formule no Peak (2)]]="","",Table12[[#This Row],[Penalty (1)]]+Table12[[#This Row],[Formule no Peak (2)]])</f>
        <v>49.438946464540948</v>
      </c>
      <c r="AL53" s="313">
        <f>(Table12[[#This Row],[Current Policies 2030 excl LULUCF]]-Table12[[#This Row],[GHG emissions excl LULUCF]])/(2030-2021)/Table12[[#This Row],[GHG emissions excl LULUCF]]</f>
        <v>-7.9222606585973247E-3</v>
      </c>
      <c r="AM53" s="313">
        <f>IF(Table12[[#This Row],[Net-zero target status]]&lt;=1,"",IF(Table12[[#This Row],[NZ GHG year]]="","",(Table12[[#This Row],[residual LULUCF emissions in 2050]]-Table12[[#This Row],[Current Policies 2030 excl LULUCF]])/(Table12[[#This Row],[NZ GHG year]]-2030)/Table12[[#This Row],[Current Policies 2030 excl LULUCF]]))</f>
        <v>1.7754577860067604E-2</v>
      </c>
      <c r="AN53" s="313">
        <f>IF(Table12[[#This Row],[Net-zero target status]]&lt;=1,"",IF(Table12[[#This Row],[NZ GHG year]]="","",(Table12[[#This Row],[residual LULUCF emissions in 2050]]-Table12[[#This Row],[GHG emissions excl LULUCF]])/(Table12[[#This Row],[NZ GHG year]]-2021)/Table12[[#This Row],[GHG emissions excl LULUCF]]))</f>
        <v>8.9128641520561779E-3</v>
      </c>
      <c r="AO53" s="313">
        <f>IF(Table12[[#This Row],[Net-zero target status]]&lt;=1,"",IF(Table12[[#This Row],[NZ GHG year]]="","",(Table12[[#This Row],[residual LULUCF emissions in 2050]]-Table12[[#This Row],[2030 conditional NDCs]])/(Table12[[#This Row],[NZ GHG year]]-2030)/Table12[[#This Row],[2030 conditional NDCs]]))</f>
        <v>3.316857685815796E-2</v>
      </c>
      <c r="AP53" s="96">
        <f>MAX('input site'!AH53:AS53)</f>
        <v>289.59149019999899</v>
      </c>
      <c r="AQ53" s="95" t="str">
        <f>IF(Table12[[#This Row],[Current Policies 2030 incl LULUCF]]&gt;Table12[[#This Row],[Maximum inventory data]],"No","Yes")</f>
        <v>No</v>
      </c>
      <c r="AR53" s="34">
        <f>IF(Table12[[#This Row],[Net-zero target status]]&gt;=1.5,Table12[[#This Row],[residual LULUCF emissions in 2050]]/Table12[[#This Row],[GHG emissions excl LULUCF]],"")</f>
        <v>1.2584730604096293</v>
      </c>
      <c r="AS53" s="82">
        <f>'input site'!BE53</f>
        <v>169.44200000000001</v>
      </c>
      <c r="AT53" s="82">
        <f>'input site'!BF53</f>
        <v>169.44200000000001</v>
      </c>
      <c r="AU53" s="82">
        <f>'input site'!BG53</f>
        <v>169.44200000000001</v>
      </c>
      <c r="AV53" s="83">
        <f>'input site'!BH53</f>
        <v>169.44200000000001</v>
      </c>
      <c r="AW53" s="74">
        <f>IF(Table12[[#This Row],[2030 unconditional NDCs]]="","",IF(F53="incl",Table12[[#This Row],[2030 unconditional NDCs]]-Table12[[#This Row],[LULUCF NDC uncond]],Table12[[#This Row],[2030 unconditional NDCs]]))</f>
        <v>72.082000000000008</v>
      </c>
      <c r="AX53" s="74">
        <f>IF(Table12[[#This Row],[2030 unconditional NDCs2]]="","",IF(F53="incl",Table12[[#This Row],[2030 unconditional NDCs2]]-Table12[[#This Row],[LULUCF NDC uncond]],Table12[[#This Row],[2030 unconditional NDCs2]]))</f>
        <v>72.082000000000008</v>
      </c>
      <c r="AY53" s="74">
        <f>IF(Table12[[#This Row],[2030 conditional NDCs]]="","",IF(F53="incl",Table12[[#This Row],[2030 conditional NDCs]]-Table12[[#This Row],[LULUCF NDC cond]],Table12[[#This Row],[2030 conditional NDCs]]))</f>
        <v>169.44200000000001</v>
      </c>
      <c r="AZ53" s="74">
        <f>IF(Table12[[#This Row],[2030 conditional NDCs2]]="","",IF(F53="incl",Table12[[#This Row],[2030 conditional NDCs2]]-Table12[[#This Row],[LULUCF NDC cond]],Table12[[#This Row],[2030 conditional NDCs2]]))</f>
        <v>169.44200000000001</v>
      </c>
      <c r="BA53" s="8">
        <f>VLOOKUP($G53,'Population90 20'!$C$6:$AU$231,37,FALSE)</f>
        <v>51512762</v>
      </c>
      <c r="BB53" s="8">
        <f>VLOOKUP($G53,'Overview GDP (PPP)'!$C$6:$AI$231,33,FALSE)</f>
        <v>661959655.01729667</v>
      </c>
      <c r="BC53" s="36">
        <f>Table12[[#This Row],[Income]]/Table12[[#This Row],[Population]]</f>
        <v>12.850401130059705</v>
      </c>
      <c r="BD53" s="36">
        <f>Table12[[#This Row],[GHG emissions excl LULUCF]]*1000000/Table12[[#This Row],[Population]]</f>
        <v>4.3476199715343853</v>
      </c>
      <c r="BE53" s="23" t="str">
        <f>VLOOKUP($G53,EGR2023_MASTER!$B$4:$S$38,14,FALSE)</f>
        <v>Y</v>
      </c>
      <c r="BF53" s="23" t="str">
        <f>VLOOKUP($G53,EGR2023_MASTER!$B$4:$S$38,15,FALSE)</f>
        <v>Credible</v>
      </c>
      <c r="BG53" s="23" t="str">
        <f>VLOOKUP($G53,EGR2023_MASTER!$B$4:$S$38,16,FALSE)</f>
        <v>n</v>
      </c>
      <c r="BH53" s="23" t="str">
        <f t="shared" si="16"/>
        <v>lower</v>
      </c>
      <c r="BI53" s="23" t="str">
        <f t="shared" si="17"/>
        <v>weak</v>
      </c>
      <c r="BJ53" s="552">
        <f>(Table12[[#This Row],[Current Policies 2030 excl LULUCF]]/Table12[[#This Row],[GHG emissions excl LULUCF]])^(1/(2030-2021))-1</f>
        <v>-8.1851943367696745E-3</v>
      </c>
      <c r="BK53" s="552">
        <f>IF(Table12[[#This Row],[Net-zero target status]]&lt;=1,"",IF(Table12[[#This Row],[NZ GHG year]]="","",((MAX(Table12[[#This Row],[residual LULUCF emissions in 2050]],0.1)/Table12[[#This Row],[Current Policies 2030 excl LULUCF]])^(1/(Table12[[#This Row],[NZ GHG year]]-2021))-1)))</f>
        <v>1.0533331158875558E-2</v>
      </c>
      <c r="BL53" s="552">
        <f>IF(Table12[[#This Row],[Net-zero target status]]&lt;=1,"",IF(Table12[[#This Row],[NZ GHG year]]="","",((MAX(Table12[[#This Row],[residual LULUCF emissions in 2050]],0.1)/Table12[[#This Row],[GHG emissions excl LULUCF]])^(1/(Table12[[#This Row],[NZ GHG year]]-2021))-1)))</f>
        <v>7.959062455543231E-3</v>
      </c>
      <c r="BM53" s="552">
        <f>IF(Table12[[#This Row],[Net-zero target status]]&lt;=1,"",IF(Table12[[#This Row],[NZ GHG year]]="","",((MAX(Table12[[#This Row],[residual LULUCF emissions in 2050]],0.1)/AVERAGE(Table12[[#This Row],[2030 conditional NDCs]:[2030 conditional NDCs2]]))^(1/(Table12[[#This Row],[NZ GHG year]]-2021))-1)))</f>
        <v>1.7701277102326163E-2</v>
      </c>
      <c r="BN53" s="23"/>
      <c r="BO53" s="23"/>
      <c r="BP53" s="23"/>
      <c r="BQ53" s="23"/>
      <c r="BR53" s="50" t="s">
        <v>135</v>
      </c>
      <c r="BT53" s="30">
        <f>IF(Table12[[#This Row],[Reduction rate 2021 to NZ target2]]="","",J53*(1+AN53)^(Table12[[#This Row],[NZ GHG year]]-2021))</f>
        <v>374.57770336242027</v>
      </c>
    </row>
    <row r="54" spans="1:72" ht="15" x14ac:dyDescent="0.25">
      <c r="A54">
        <v>0</v>
      </c>
      <c r="B54">
        <v>0</v>
      </c>
      <c r="C54">
        <v>174</v>
      </c>
      <c r="D54">
        <v>43</v>
      </c>
      <c r="E54">
        <v>9</v>
      </c>
      <c r="F54" t="str">
        <f>'input site'!M54</f>
        <v>incl</v>
      </c>
      <c r="G54" s="31" t="s">
        <v>136</v>
      </c>
      <c r="H54" s="1" t="s">
        <v>137</v>
      </c>
      <c r="I54" s="8">
        <f>VLOOKUP($G54,'NZT data'!$B$3:$C$200,2,FALSE)</f>
        <v>5</v>
      </c>
      <c r="J54" s="32">
        <f>'input site'!AS54</f>
        <v>-7.0353010451514297</v>
      </c>
      <c r="K54" s="32">
        <f>'input site'!BS54</f>
        <v>-7.0901954335686428</v>
      </c>
      <c r="L54" s="32">
        <f t="shared" si="14"/>
        <v>0</v>
      </c>
      <c r="M54" s="32">
        <f t="shared" si="15"/>
        <v>0</v>
      </c>
      <c r="N54" s="32">
        <f>'input site'!EV54</f>
        <v>-7.4222699674106165</v>
      </c>
      <c r="O54" s="8">
        <v>0</v>
      </c>
      <c r="P54" s="36">
        <f>O54-N54</f>
        <v>7.4222699674106165</v>
      </c>
      <c r="Q54" s="32">
        <f t="shared" si="18"/>
        <v>0</v>
      </c>
      <c r="R54" s="32">
        <f>'input site'!EZ54</f>
        <v>-6.7815284702571725</v>
      </c>
      <c r="S54" s="37">
        <f>'input site'!FA54</f>
        <v>2050</v>
      </c>
      <c r="T54" s="37" t="str">
        <f>Table12[[#This Row],[(Mt CO2 equivalent)]]</f>
        <v>Comoros</v>
      </c>
      <c r="U54" s="8">
        <f>VLOOKUP($G54,'NZT data'!$B$3:$F$200,4,FALSE)</f>
        <v>2050</v>
      </c>
      <c r="V54" s="32">
        <f>VLOOKUP($G54,'NZT data'!$B$3:$F$200,5,FALSE)</f>
        <v>2050</v>
      </c>
      <c r="W54" s="32">
        <f>-IF('LUC NGHGI'!EC44="",MIN('LUC NGHGI'!DW44,0.1),MIN('LUC NGHGI'!EC44,0.1))</f>
        <v>7.6640523939393006</v>
      </c>
      <c r="X54" s="32">
        <f>'LUC NGHGI'!EC44</f>
        <v>-7.6640523939393006</v>
      </c>
      <c r="Y54" s="32">
        <f>'LUC NGHGI'!DY44</f>
        <v>-9</v>
      </c>
      <c r="Z54" s="32">
        <f>'LUC NGHGI'!DZ44</f>
        <v>-9</v>
      </c>
      <c r="AA54" s="32">
        <f>Table12[[#This Row],[2021 emissions]]</f>
        <v>-7.0353010451514297</v>
      </c>
      <c r="AB54" s="32">
        <f>'LUC NGHGI'!DW44</f>
        <v>-7.9058002151514302</v>
      </c>
      <c r="AC54" s="32">
        <f>IF(F54="incl",Table12[[#This Row],[GHG emissions incl LULUCF]]-Table12[[#This Row],[LULUCF emis-sions in 20213]],Table12[[#This Row],[GHG emissions incl LULUCF]])</f>
        <v>0.87049917000000043</v>
      </c>
      <c r="AD54" s="32">
        <f>'input site'!BS54</f>
        <v>-7.0901954335686428</v>
      </c>
      <c r="AE54" s="32">
        <f>'LUC NGHGI'!EH44</f>
        <v>-9.1835536769803383</v>
      </c>
      <c r="AF54" s="32">
        <f>IF(F54="incl",Table12[[#This Row],[Current Policies 2030 incl LULUCF]]-Table12[[#This Row],[LULUCF CurPol 2030]],Table12[[#This Row],[Current Policies 2030 incl LULUCF]])</f>
        <v>2.0933582434116955</v>
      </c>
      <c r="AG54" s="32">
        <f>IF(Table12[[#This Row],[Net-zero target status]]&lt;=1,"",IF(Table12[[#This Row],[NZ GHG year]]="","",1000000000*(Table12[[#This Row],[residual LULUCF emissions in 2050]]-Table12[[#This Row],[GHG emissions excl LULUCF]])/(Table12[[#This Row],[NZ GHG year]]-2021)/Table12[[#This Row],[Population]]))</f>
        <v>258.16128601881479</v>
      </c>
      <c r="AH54" s="32">
        <f>IF(Table12[[#This Row],[Peak revised]]="Yes",IF(Table12[[#This Row],[Net-zero target status]]&lt;=1,"",IF(Table12[[#This Row],[NZ GHG year]]="","",1000000000*(Table12[[#This Row],[residual LULUCF emissions in 2050]]-Table12[[#This Row],[GHG emissions excl LULUCF]])/(Table12[[#This Row],[NZ GHG year]]-2021)/Table12[[#This Row],[Population]])),"")</f>
        <v>258.16128601881479</v>
      </c>
      <c r="AI54" s="32">
        <f>MAX(0,(1000000*(Table12[[#This Row],[Current Policies 2030 excl LULUCF]]/2+Table12[[#This Row],[GHG emissions excl LULUCF]]/2)/Table12[[#This Row],[Population]]-$AI$8)*10)*$AI$10</f>
        <v>0</v>
      </c>
      <c r="AJ5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54" s="32" t="str">
        <f>IF(Table12[[#This Row],[Formule no Peak (2)]]="","",Table12[[#This Row],[Penalty (1)]]+Table12[[#This Row],[Formule no Peak (2)]])</f>
        <v/>
      </c>
      <c r="AL54" s="313">
        <f>(Table12[[#This Row],[Current Policies 2030 excl LULUCF]]-Table12[[#This Row],[GHG emissions excl LULUCF]])/(2030-2021)/Table12[[#This Row],[GHG emissions excl LULUCF]]</f>
        <v>0.15608657085689945</v>
      </c>
      <c r="AM54" s="313">
        <f>IF(Table12[[#This Row],[Net-zero target status]]&lt;=1,"",IF(Table12[[#This Row],[NZ GHG year]]="","",(Table12[[#This Row],[residual LULUCF emissions in 2050]]-Table12[[#This Row],[Current Policies 2030 excl LULUCF]])/(Table12[[#This Row],[NZ GHG year]]-2030)/Table12[[#This Row],[Current Policies 2030 excl LULUCF]]))</f>
        <v>0.13305639796866892</v>
      </c>
      <c r="AN54" s="313">
        <f>IF(Table12[[#This Row],[Net-zero target status]]&lt;=1,"",IF(Table12[[#This Row],[NZ GHG year]]="","",(Table12[[#This Row],[residual LULUCF emissions in 2050]]-Table12[[#This Row],[GHG emissions excl LULUCF]])/(Table12[[#This Row],[NZ GHG year]]-2021)/Table12[[#This Row],[GHG emissions excl LULUCF]]))</f>
        <v>0.26911048748950189</v>
      </c>
      <c r="AO54" s="313">
        <f>IF(Table12[[#This Row],[Net-zero target status]]&lt;=1,"",IF(Table12[[#This Row],[NZ GHG year]]="","",(Table12[[#This Row],[residual LULUCF emissions in 2050]]-Table12[[#This Row],[2030 conditional NDCs]])/(Table12[[#This Row],[NZ GHG year]]-2030)/Table12[[#This Row],[2030 conditional NDCs]]))</f>
        <v>4.5293812105277835</v>
      </c>
      <c r="AP54" s="96">
        <f>MAX('input site'!AH54:AS54)</f>
        <v>-4.5979566118181188</v>
      </c>
      <c r="AQ54" s="95" t="str">
        <f>IF(Table12[[#This Row],[Current Policies 2030 incl LULUCF]]&gt;Table12[[#This Row],[Maximum inventory data]],"No","Yes")</f>
        <v>Yes</v>
      </c>
      <c r="AR54" s="443">
        <f>IF(Table12[[#This Row],[Net-zero target status]]&gt;=1.5,Table12[[#This Row],[residual LULUCF emissions in 2050]]/Table12[[#This Row],[GHG emissions excl LULUCF]],"")</f>
        <v>8.8042041371955548</v>
      </c>
      <c r="AS54" s="74" t="str">
        <f>'input site'!BE54</f>
        <v/>
      </c>
      <c r="AT54" s="74"/>
      <c r="AU54" s="74">
        <f>'input site'!BG54</f>
        <v>8.3680000000000018E-2</v>
      </c>
      <c r="AV54" s="75">
        <f>'input site'!BH54</f>
        <v>8.3680000000000018E-2</v>
      </c>
      <c r="AW54" s="74" t="str">
        <f>IF(Table12[[#This Row],[2030 unconditional NDCs]]="","",IF(F54="incl",Table12[[#This Row],[2030 unconditional NDCs]]-Table12[[#This Row],[LULUCF NDC uncond]],Table12[[#This Row],[2030 unconditional NDCs]]))</f>
        <v/>
      </c>
      <c r="AX54" s="74" t="str">
        <f>IF(Table12[[#This Row],[2030 unconditional NDCs2]]="","",IF(F54="incl",Table12[[#This Row],[2030 unconditional NDCs2]]-Table12[[#This Row],[LULUCF NDC uncond]],Table12[[#This Row],[2030 unconditional NDCs2]]))</f>
        <v/>
      </c>
      <c r="AY54" s="74">
        <f>IF(Table12[[#This Row],[2030 conditional NDCs]]="","",IF(F54="incl",Table12[[#This Row],[2030 conditional NDCs]]-Table12[[#This Row],[LULUCF NDC cond]],Table12[[#This Row],[2030 conditional NDCs]]))</f>
        <v>9.0836799999999993</v>
      </c>
      <c r="AZ54" s="74">
        <f>IF(Table12[[#This Row],[2030 conditional NDCs2]]="","",IF(F54="incl",Table12[[#This Row],[2030 conditional NDCs2]]-Table12[[#This Row],[LULUCF NDC cond]],Table12[[#This Row],[2030 conditional NDCs2]]))</f>
        <v>9.0836799999999993</v>
      </c>
      <c r="BA54" s="8">
        <f>VLOOKUP($G54,'Population90 20'!$C$6:$AU$231,37,FALSE)</f>
        <v>907419</v>
      </c>
      <c r="BB54" s="8">
        <f>VLOOKUP($G54,'Overview GDP (PPP)'!$C$6:$AI$231,33,FALSE)</f>
        <v>2092178.8824269853</v>
      </c>
      <c r="BC54" s="36">
        <f>Table12[[#This Row],[Income]]/Table12[[#This Row],[Population]]</f>
        <v>2.3056370678010767</v>
      </c>
      <c r="BD54" s="36">
        <f>Table12[[#This Row],[GHG emissions excl LULUCF]]*1000000/Table12[[#This Row],[Population]]</f>
        <v>0.95931336020074565</v>
      </c>
      <c r="BE54" s="23" t="e">
        <f>VLOOKUP($G54,EGR2023_MASTER!$B$4:$S$38,14,FALSE)</f>
        <v>#N/A</v>
      </c>
      <c r="BF54" s="23" t="e">
        <f>VLOOKUP($G54,EGR2023_MASTER!$B$4:$S$38,15,FALSE)</f>
        <v>#N/A</v>
      </c>
      <c r="BG54" s="23" t="e">
        <f>VLOOKUP($G54,EGR2023_MASTER!$B$4:$S$38,16,FALSE)</f>
        <v>#N/A</v>
      </c>
      <c r="BH54" s="23" t="e">
        <f t="shared" si="16"/>
        <v>#N/A</v>
      </c>
      <c r="BI54" s="23" t="e">
        <f t="shared" si="17"/>
        <v>#N/A</v>
      </c>
      <c r="BJ54" s="552">
        <f>(Table12[[#This Row],[Current Policies 2030 excl LULUCF]]/Table12[[#This Row],[GHG emissions excl LULUCF]])^(1/(2030-2021))-1</f>
        <v>0.10240630491484537</v>
      </c>
      <c r="BK54" s="552">
        <f>IF(Table12[[#This Row],[Net-zero target status]]&lt;=1,"",IF(Table12[[#This Row],[NZ GHG year]]="","",((MAX(Table12[[#This Row],[residual LULUCF emissions in 2050]],0.1)/Table12[[#This Row],[Current Policies 2030 excl LULUCF]])^(1/(Table12[[#This Row],[NZ GHG year]]-2021))-1)))</f>
        <v>4.5767153206147437E-2</v>
      </c>
      <c r="BL54" s="552">
        <f>IF(Table12[[#This Row],[Net-zero target status]]&lt;=1,"",IF(Table12[[#This Row],[NZ GHG year]]="","",((MAX(Table12[[#This Row],[residual LULUCF emissions in 2050]],0.1)/Table12[[#This Row],[GHG emissions excl LULUCF]])^(1/(Table12[[#This Row],[NZ GHG year]]-2021))-1)))</f>
        <v>7.7892675505068398E-2</v>
      </c>
      <c r="BM54" s="552">
        <f>IF(Table12[[#This Row],[Net-zero target status]]&lt;=1,"",IF(Table12[[#This Row],[NZ GHG year]]="","",((MAX(Table12[[#This Row],[residual LULUCF emissions in 2050]],0.1)/AVERAGE(Table12[[#This Row],[2030 conditional NDCs]:[2030 conditional NDCs2]]))^(1/(Table12[[#This Row],[NZ GHG year]]-2021))-1)))</f>
        <v>0.16855604021738402</v>
      </c>
      <c r="BN54" s="23"/>
      <c r="BO54" s="23"/>
      <c r="BP54" s="23"/>
      <c r="BQ54" s="23"/>
      <c r="BR54" s="50" t="s">
        <v>137</v>
      </c>
      <c r="BT54" s="30">
        <f>IF(Table12[[#This Row],[Reduction rate 2021 to NZ target2]]="","",J54*(1+AN54)^(Table12[[#This Row],[NZ GHG year]]-2021))</f>
        <v>-7059.3748349055022</v>
      </c>
    </row>
    <row r="55" spans="1:72" ht="15" x14ac:dyDescent="0.25">
      <c r="A55">
        <v>0</v>
      </c>
      <c r="B55">
        <v>0</v>
      </c>
      <c r="C55">
        <v>180</v>
      </c>
      <c r="D55">
        <v>45</v>
      </c>
      <c r="E55">
        <v>8</v>
      </c>
      <c r="F55" t="str">
        <f>'input site'!M55</f>
        <v>incl</v>
      </c>
      <c r="G55" s="31" t="s">
        <v>138</v>
      </c>
      <c r="H55" s="1" t="s">
        <v>139</v>
      </c>
      <c r="I55" s="8">
        <f>VLOOKUP($G55,'NZT data'!$B$3:$C$200,2,FALSE)</f>
        <v>1</v>
      </c>
      <c r="J55" s="32">
        <f>'input site'!AS55</f>
        <v>298.24645364999901</v>
      </c>
      <c r="K55" s="32">
        <f>'input site'!BS55</f>
        <v>369.64553817999899</v>
      </c>
      <c r="L55" s="32">
        <f t="shared" si="14"/>
        <v>0</v>
      </c>
      <c r="M55" s="32">
        <f t="shared" si="15"/>
        <v>0</v>
      </c>
      <c r="N55" s="32">
        <f>'input site'!EV55</f>
        <v>249.72191343166784</v>
      </c>
      <c r="O55" s="8">
        <v>0</v>
      </c>
      <c r="P55" s="36">
        <f>O55-N55</f>
        <v>-249.72191343166784</v>
      </c>
      <c r="Q55" s="32">
        <f t="shared" si="18"/>
        <v>0</v>
      </c>
      <c r="R55" s="32">
        <f>'input site'!EZ55</f>
        <v>142.24167304832778</v>
      </c>
      <c r="S55" s="37">
        <f>'input site'!FA55</f>
        <v>2050</v>
      </c>
      <c r="T55" s="37" t="str">
        <f>Table12[[#This Row],[(Mt CO2 equivalent)]]</f>
        <v>Congo, Democratic Republic</v>
      </c>
      <c r="U55" s="8">
        <f>VLOOKUP($G55,'NZT data'!$B$3:$F$200,4,FALSE)</f>
        <v>2110</v>
      </c>
      <c r="V55" s="32">
        <f>VLOOKUP($G55,'NZT data'!$B$3:$F$200,5,FALSE)</f>
        <v>2125</v>
      </c>
      <c r="W55" s="32">
        <f>-IF('LUC NGHGI'!EC45="",MIN('LUC NGHGI'!DW45,0.1),MIN('LUC NGHGI'!EC45,0.1))</f>
        <v>-0.1</v>
      </c>
      <c r="X55" s="32">
        <f>'LUC NGHGI'!EC45</f>
        <v>214.60858296551669</v>
      </c>
      <c r="Y55" s="32">
        <f>'LUC NGHGI'!DY45</f>
        <v>790.89840655172338</v>
      </c>
      <c r="Z55" s="32">
        <f>'LUC NGHGI'!DZ45</f>
        <v>490.89840655172338</v>
      </c>
      <c r="AA55" s="32">
        <f>Table12[[#This Row],[2021 emissions]]</f>
        <v>298.24645364999901</v>
      </c>
      <c r="AB55" s="32">
        <f>'LUC NGHGI'!DW45</f>
        <v>208.31875937930999</v>
      </c>
      <c r="AC55" s="32">
        <f>IF(F55="incl",Table12[[#This Row],[GHG emissions incl LULUCF]]-Table12[[#This Row],[LULUCF emis-sions in 20213]],Table12[[#This Row],[GHG emissions incl LULUCF]])</f>
        <v>89.927694270689017</v>
      </c>
      <c r="AD55" s="32">
        <f>'input site'!BS55</f>
        <v>369.64553817999899</v>
      </c>
      <c r="AE55" s="32">
        <f>'LUC NGHGI'!EH45</f>
        <v>180.17104497651925</v>
      </c>
      <c r="AF55" s="32">
        <f>IF(F55="incl",Table12[[#This Row],[Current Policies 2030 incl LULUCF]]-Table12[[#This Row],[LULUCF CurPol 2030]],Table12[[#This Row],[Current Policies 2030 incl LULUCF]])</f>
        <v>189.47449320347974</v>
      </c>
      <c r="AG55" s="32" t="str">
        <f>IF(Table12[[#This Row],[Net-zero target status]]&lt;=1,"",IF(Table12[[#This Row],[NZ GHG year]]="","",1000000000*(Table12[[#This Row],[residual LULUCF emissions in 2050]]-Table12[[#This Row],[GHG emissions excl LULUCF]])/(Table12[[#This Row],[NZ GHG year]]-2021)/Table12[[#This Row],[Population]]))</f>
        <v/>
      </c>
      <c r="AH55" s="32" t="str">
        <f>IF(Table12[[#This Row],[Peak revised]]="Yes",IF(Table12[[#This Row],[Net-zero target status]]&lt;=1,"",IF(Table12[[#This Row],[NZ GHG year]]="","",1000000000*(Table12[[#This Row],[residual LULUCF emissions in 2050]]-Table12[[#This Row],[GHG emissions excl LULUCF]])/(Table12[[#This Row],[NZ GHG year]]-2021)/Table12[[#This Row],[Population]])),"")</f>
        <v/>
      </c>
      <c r="AI55" s="32">
        <f>MAX(0,(1000000*(Table12[[#This Row],[Current Policies 2030 excl LULUCF]]/2+Table12[[#This Row],[GHG emissions excl LULUCF]]/2)/Table12[[#This Row],[Population]]-$AI$8)*10)*$AI$10</f>
        <v>0</v>
      </c>
      <c r="AJ5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55" s="32" t="str">
        <f>IF(Table12[[#This Row],[Formule no Peak (2)]]="","",Table12[[#This Row],[Penalty (1)]]+Table12[[#This Row],[Formule no Peak (2)]])</f>
        <v/>
      </c>
      <c r="AL55" s="313">
        <f>(Table12[[#This Row],[Current Policies 2030 excl LULUCF]]-Table12[[#This Row],[GHG emissions excl LULUCF]])/(2030-2021)/Table12[[#This Row],[GHG emissions excl LULUCF]]</f>
        <v>0.12299609732773815</v>
      </c>
      <c r="AM55" s="313" t="str">
        <f>IF(Table12[[#This Row],[Net-zero target status]]&lt;=1,"",IF(Table12[[#This Row],[NZ GHG year]]="","",(Table12[[#This Row],[residual LULUCF emissions in 2050]]-Table12[[#This Row],[Current Policies 2030 excl LULUCF]])/(Table12[[#This Row],[NZ GHG year]]-2030)/Table12[[#This Row],[Current Policies 2030 excl LULUCF]]))</f>
        <v/>
      </c>
      <c r="AN55" s="313" t="str">
        <f>IF(Table12[[#This Row],[Net-zero target status]]&lt;=1,"",IF(Table12[[#This Row],[NZ GHG year]]="","",(Table12[[#This Row],[residual LULUCF emissions in 2050]]-Table12[[#This Row],[GHG emissions excl LULUCF]])/(Table12[[#This Row],[NZ GHG year]]-2021)/Table12[[#This Row],[GHG emissions excl LULUCF]]))</f>
        <v/>
      </c>
      <c r="AO55" s="313" t="str">
        <f>IF(Table12[[#This Row],[Net-zero target status]]&lt;=1,"",IF(Table12[[#This Row],[NZ GHG year]]="","",(Table12[[#This Row],[residual LULUCF emissions in 2050]]-Table12[[#This Row],[2030 conditional NDCs]])/(Table12[[#This Row],[NZ GHG year]]-2030)/Table12[[#This Row],[2030 conditional NDCs]]))</f>
        <v/>
      </c>
      <c r="AP55" s="96">
        <f>MAX('input site'!AH55:AS55)</f>
        <v>298.24645364999901</v>
      </c>
      <c r="AQ55" s="95" t="str">
        <f>IF(Table12[[#This Row],[Current Policies 2030 incl LULUCF]]&gt;Table12[[#This Row],[Maximum inventory data]],"No","Yes")</f>
        <v>No</v>
      </c>
      <c r="AR55" s="34" t="str">
        <f>IF(Table12[[#This Row],[Net-zero target status]]&gt;=1.5,Table12[[#This Row],[residual LULUCF emissions in 2050]]/Table12[[#This Row],[GHG emissions excl LULUCF]],"")</f>
        <v/>
      </c>
      <c r="AS55" s="76">
        <f>'input site'!BE55</f>
        <v>421.4</v>
      </c>
      <c r="AT55" s="76">
        <f>'input site'!BF55</f>
        <v>421.4</v>
      </c>
      <c r="AU55" s="76">
        <f>'input site'!BG55</f>
        <v>339.7</v>
      </c>
      <c r="AV55" s="77">
        <f>'input site'!BH55</f>
        <v>339.7</v>
      </c>
      <c r="AW55" s="74">
        <f>IF(Table12[[#This Row],[2030 unconditional NDCs]]="","",IF(F55="incl",Table12[[#This Row],[2030 unconditional NDCs]]-Table12[[#This Row],[LULUCF NDC uncond]],Table12[[#This Row],[2030 unconditional NDCs]]))</f>
        <v>-369.49840655172341</v>
      </c>
      <c r="AX55" s="74">
        <f>IF(Table12[[#This Row],[2030 unconditional NDCs2]]="","",IF(F55="incl",Table12[[#This Row],[2030 unconditional NDCs2]]-Table12[[#This Row],[LULUCF NDC uncond]],Table12[[#This Row],[2030 unconditional NDCs2]]))</f>
        <v>-369.49840655172341</v>
      </c>
      <c r="AY55" s="74">
        <f>IF(Table12[[#This Row],[2030 conditional NDCs]]="","",IF(F55="incl",Table12[[#This Row],[2030 conditional NDCs]]-Table12[[#This Row],[LULUCF NDC cond]],Table12[[#This Row],[2030 conditional NDCs]]))</f>
        <v>-151.19840655172339</v>
      </c>
      <c r="AZ55" s="74">
        <f>IF(Table12[[#This Row],[2030 conditional NDCs2]]="","",IF(F55="incl",Table12[[#This Row],[2030 conditional NDCs2]]-Table12[[#This Row],[LULUCF NDC cond]],Table12[[#This Row],[2030 conditional NDCs2]]))</f>
        <v>-151.19840655172339</v>
      </c>
      <c r="BA55" s="8">
        <f>VLOOKUP($G55,'Population90 20'!$C$6:$AU$231,37,FALSE)</f>
        <v>95240792</v>
      </c>
      <c r="BB55" s="8">
        <f>VLOOKUP($G55,'Overview GDP (PPP)'!$C$6:$AI$231,33,FALSE)</f>
        <v>69535933.942655712</v>
      </c>
      <c r="BC55" s="36">
        <f>Table12[[#This Row],[Income]]/Table12[[#This Row],[Population]]</f>
        <v>0.73010663269847353</v>
      </c>
      <c r="BD55" s="36">
        <f>Table12[[#This Row],[GHG emissions excl LULUCF]]*1000000/Table12[[#This Row],[Population]]</f>
        <v>0.9442140534770963</v>
      </c>
      <c r="BE55" s="23" t="e">
        <f>VLOOKUP($G55,EGR2023_MASTER!$B$4:$S$38,14,FALSE)</f>
        <v>#N/A</v>
      </c>
      <c r="BF55" s="23" t="e">
        <f>VLOOKUP($G55,EGR2023_MASTER!$B$4:$S$38,15,FALSE)</f>
        <v>#N/A</v>
      </c>
      <c r="BG55" s="23" t="e">
        <f>VLOOKUP($G55,EGR2023_MASTER!$B$4:$S$38,16,FALSE)</f>
        <v>#N/A</v>
      </c>
      <c r="BH55" s="23" t="e">
        <f t="shared" si="16"/>
        <v>#N/A</v>
      </c>
      <c r="BI55" s="23" t="e">
        <f t="shared" si="17"/>
        <v>#N/A</v>
      </c>
      <c r="BJ55" s="552">
        <f>(Table12[[#This Row],[Current Policies 2030 excl LULUCF]]/Table12[[#This Row],[GHG emissions excl LULUCF]])^(1/(2030-2021))-1</f>
        <v>8.6330371730322986E-2</v>
      </c>
      <c r="BK55" s="552" t="str">
        <f>IF(Table12[[#This Row],[Net-zero target status]]&lt;=1,"",IF(Table12[[#This Row],[NZ GHG year]]="","",((MAX(Table12[[#This Row],[residual LULUCF emissions in 2050]],0.1)/Table12[[#This Row],[Current Policies 2030 excl LULUCF]])^(1/(Table12[[#This Row],[NZ GHG year]]-2021))-1)))</f>
        <v/>
      </c>
      <c r="BL55" s="552" t="str">
        <f>IF(Table12[[#This Row],[Net-zero target status]]&lt;=1,"",IF(Table12[[#This Row],[NZ GHG year]]="","",((MAX(Table12[[#This Row],[residual LULUCF emissions in 2050]],0.1)/Table12[[#This Row],[GHG emissions excl LULUCF]])^(1/(Table12[[#This Row],[NZ GHG year]]-2021))-1)))</f>
        <v/>
      </c>
      <c r="BM55" s="552" t="str">
        <f>IF(Table12[[#This Row],[Net-zero target status]]&lt;=1,"",IF(Table12[[#This Row],[NZ GHG year]]="","",((MAX(Table12[[#This Row],[residual LULUCF emissions in 2050]],0.1)/AVERAGE(Table12[[#This Row],[2030 conditional NDCs]:[2030 conditional NDCs2]]))^(1/(Table12[[#This Row],[NZ GHG year]]-2021))-1)))</f>
        <v/>
      </c>
      <c r="BN55" s="23"/>
      <c r="BO55" s="23"/>
      <c r="BP55" s="23"/>
      <c r="BQ55" s="23"/>
      <c r="BR55" s="50" t="s">
        <v>139</v>
      </c>
      <c r="BT55" s="30" t="str">
        <f>IF(Table12[[#This Row],[Reduction rate 2021 to NZ target2]]="","",J55*(1+AN55)^(Table12[[#This Row],[NZ GHG year]]-2021))</f>
        <v/>
      </c>
    </row>
    <row r="56" spans="1:72" ht="15" x14ac:dyDescent="0.25">
      <c r="A56">
        <v>0</v>
      </c>
      <c r="B56">
        <v>0</v>
      </c>
      <c r="C56">
        <v>178</v>
      </c>
      <c r="D56">
        <v>44</v>
      </c>
      <c r="E56">
        <v>8</v>
      </c>
      <c r="F56" t="str">
        <f>'input site'!M56</f>
        <v>excl</v>
      </c>
      <c r="G56" s="31" t="s">
        <v>140</v>
      </c>
      <c r="H56" s="1" t="s">
        <v>141</v>
      </c>
      <c r="I56" s="8">
        <f>VLOOKUP($G56,'NZT data'!$B$3:$C$200,2,FALSE)</f>
        <v>0</v>
      </c>
      <c r="J56" s="32">
        <f>'input site'!AS56</f>
        <v>24.739348000000003</v>
      </c>
      <c r="K56" s="32">
        <f>'input site'!BS56</f>
        <v>29.46423105322506</v>
      </c>
      <c r="L56" s="32">
        <f t="shared" si="14"/>
        <v>29.46423105322506</v>
      </c>
      <c r="M56" s="32">
        <f t="shared" si="15"/>
        <v>24.661835359262398</v>
      </c>
      <c r="N56" s="32">
        <f>'input site'!EV56</f>
        <v>24.661835359262398</v>
      </c>
      <c r="O56" s="8"/>
      <c r="P56" s="8"/>
      <c r="Q56" s="32">
        <f t="shared" si="18"/>
        <v>14.047388447965659</v>
      </c>
      <c r="R56" s="32">
        <f>'input site'!EZ56</f>
        <v>14.047388447965659</v>
      </c>
      <c r="S56" s="37">
        <f>'input site'!FA56</f>
        <v>0</v>
      </c>
      <c r="T56" s="37" t="str">
        <f>Table12[[#This Row],[(Mt CO2 equivalent)]]</f>
        <v>Congo, Republic</v>
      </c>
      <c r="U56" s="8">
        <f>VLOOKUP($G56,'NZT data'!$B$3:$F$200,4,FALSE)</f>
        <v>2110</v>
      </c>
      <c r="V56" s="32" t="str">
        <f>VLOOKUP($G56,'NZT data'!$B$3:$F$200,5,FALSE)</f>
        <v/>
      </c>
      <c r="W56" s="32">
        <f>-IF('LUC NGHGI'!EC46="",MIN('LUC NGHGI'!DW46,0.1),MIN('LUC NGHGI'!EC46,0.1))</f>
        <v>106.10817757575751</v>
      </c>
      <c r="X56" s="32">
        <f>'LUC NGHGI'!EC46</f>
        <v>-106.10817757575751</v>
      </c>
      <c r="Y56" s="32">
        <f>'LUC NGHGI'!DY46</f>
        <v>-9</v>
      </c>
      <c r="Z56" s="32">
        <f>'LUC NGHGI'!DZ46</f>
        <v>-9</v>
      </c>
      <c r="AA56" s="32">
        <f>Table12[[#This Row],[2021 emissions]]</f>
        <v>24.739348000000003</v>
      </c>
      <c r="AB56" s="32">
        <f>'LUC NGHGI'!DW46</f>
        <v>-107.40273106060613</v>
      </c>
      <c r="AC56" s="32">
        <f>IF(F56="incl",Table12[[#This Row],[GHG emissions incl LULUCF]]-Table12[[#This Row],[LULUCF emis-sions in 20213]],Table12[[#This Row],[GHG emissions incl LULUCF]])</f>
        <v>24.739348000000003</v>
      </c>
      <c r="AD56" s="32">
        <f>'input site'!BS56</f>
        <v>29.46423105322506</v>
      </c>
      <c r="AE56" s="32">
        <f>'LUC NGHGI'!EH46</f>
        <v>-123.13501008038094</v>
      </c>
      <c r="AF56" s="32">
        <f>IF(F56="incl",Table12[[#This Row],[Current Policies 2030 incl LULUCF]]-Table12[[#This Row],[LULUCF CurPol 2030]],Table12[[#This Row],[Current Policies 2030 incl LULUCF]])</f>
        <v>29.46423105322506</v>
      </c>
      <c r="AG56" s="32" t="str">
        <f>IF(Table12[[#This Row],[Net-zero target status]]&lt;=1,"",IF(Table12[[#This Row],[NZ GHG year]]="","",1000000000*(Table12[[#This Row],[residual LULUCF emissions in 2050]]-Table12[[#This Row],[GHG emissions excl LULUCF]])/(Table12[[#This Row],[NZ GHG year]]-2021)/Table12[[#This Row],[Population]]))</f>
        <v/>
      </c>
      <c r="AH56" s="32" t="str">
        <f>IF(Table12[[#This Row],[Peak revised]]="Yes",IF(Table12[[#This Row],[Net-zero target status]]&lt;=1,"",IF(Table12[[#This Row],[NZ GHG year]]="","",1000000000*(Table12[[#This Row],[residual LULUCF emissions in 2050]]-Table12[[#This Row],[GHG emissions excl LULUCF]])/(Table12[[#This Row],[NZ GHG year]]-2021)/Table12[[#This Row],[Population]])),"")</f>
        <v/>
      </c>
      <c r="AI56" s="32">
        <f>MAX(0,(1000000*(Table12[[#This Row],[Current Policies 2030 excl LULUCF]]/2+Table12[[#This Row],[GHG emissions excl LULUCF]]/2)/Table12[[#This Row],[Population]]-$AI$8)*10)*$AI$10</f>
        <v>0</v>
      </c>
      <c r="AJ5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56" s="32" t="str">
        <f>IF(Table12[[#This Row],[Formule no Peak (2)]]="","",Table12[[#This Row],[Penalty (1)]]+Table12[[#This Row],[Formule no Peak (2)]])</f>
        <v/>
      </c>
      <c r="AL56" s="313">
        <f>(Table12[[#This Row],[Current Policies 2030 excl LULUCF]]-Table12[[#This Row],[GHG emissions excl LULUCF]])/(2030-2021)/Table12[[#This Row],[GHG emissions excl LULUCF]]</f>
        <v>2.1220729257452341E-2</v>
      </c>
      <c r="AM56" s="313" t="str">
        <f>IF(Table12[[#This Row],[Net-zero target status]]&lt;=1,"",IF(Table12[[#This Row],[NZ GHG year]]="","",(Table12[[#This Row],[residual LULUCF emissions in 2050]]-Table12[[#This Row],[Current Policies 2030 excl LULUCF]])/(Table12[[#This Row],[NZ GHG year]]-2030)/Table12[[#This Row],[Current Policies 2030 excl LULUCF]]))</f>
        <v/>
      </c>
      <c r="AN56" s="313" t="str">
        <f>IF(Table12[[#This Row],[Net-zero target status]]&lt;=1,"",IF(Table12[[#This Row],[NZ GHG year]]="","",(Table12[[#This Row],[residual LULUCF emissions in 2050]]-Table12[[#This Row],[GHG emissions excl LULUCF]])/(Table12[[#This Row],[NZ GHG year]]-2021)/Table12[[#This Row],[GHG emissions excl LULUCF]]))</f>
        <v/>
      </c>
      <c r="AO56" s="313" t="str">
        <f>IF(Table12[[#This Row],[Net-zero target status]]&lt;=1,"",IF(Table12[[#This Row],[NZ GHG year]]="","",(Table12[[#This Row],[residual LULUCF emissions in 2050]]-Table12[[#This Row],[2030 conditional NDCs]])/(Table12[[#This Row],[NZ GHG year]]-2030)/Table12[[#This Row],[2030 conditional NDCs]]))</f>
        <v/>
      </c>
      <c r="AP56" s="96">
        <f>MAX('input site'!AH56:AS56)</f>
        <v>27.124562999999998</v>
      </c>
      <c r="AQ56" s="95" t="str">
        <f>IF(Table12[[#This Row],[Current Policies 2030 incl LULUCF]]&gt;Table12[[#This Row],[Maximum inventory data]],"No","Yes")</f>
        <v>No</v>
      </c>
      <c r="AR56" s="34" t="str">
        <f>IF(Table12[[#This Row],[Net-zero target status]]&gt;=1.5,Table12[[#This Row],[residual LULUCF emissions in 2050]]/Table12[[#This Row],[GHG emissions excl LULUCF]],"")</f>
        <v/>
      </c>
      <c r="AS56" s="74" t="str">
        <f>'input site'!BE56</f>
        <v/>
      </c>
      <c r="AT56" s="74"/>
      <c r="AU56" s="74">
        <f>'input site'!BG56</f>
        <v>12.325500000000002</v>
      </c>
      <c r="AV56" s="75">
        <f>'input site'!BH56</f>
        <v>12.325500000000002</v>
      </c>
      <c r="AW56" s="74" t="str">
        <f>IF(Table12[[#This Row],[2030 unconditional NDCs]]="","",IF(F56="incl",Table12[[#This Row],[2030 unconditional NDCs]]-Table12[[#This Row],[LULUCF NDC uncond]],Table12[[#This Row],[2030 unconditional NDCs]]))</f>
        <v/>
      </c>
      <c r="AX56" s="74" t="str">
        <f>IF(Table12[[#This Row],[2030 unconditional NDCs2]]="","",IF(F56="incl",Table12[[#This Row],[2030 unconditional NDCs2]]-Table12[[#This Row],[LULUCF NDC uncond]],Table12[[#This Row],[2030 unconditional NDCs2]]))</f>
        <v/>
      </c>
      <c r="AY56" s="74">
        <f>IF(Table12[[#This Row],[2030 conditional NDCs]]="","",IF(F56="incl",Table12[[#This Row],[2030 conditional NDCs]]-Table12[[#This Row],[LULUCF NDC cond]],Table12[[#This Row],[2030 conditional NDCs]]))</f>
        <v>12.325500000000002</v>
      </c>
      <c r="AZ56" s="74">
        <f>IF(Table12[[#This Row],[2030 conditional NDCs2]]="","",IF(F56="incl",Table12[[#This Row],[2030 conditional NDCs2]]-Table12[[#This Row],[LULUCF NDC cond]],Table12[[#This Row],[2030 conditional NDCs2]]))</f>
        <v>12.325500000000002</v>
      </c>
      <c r="BA56" s="8">
        <f>VLOOKUP($G56,'Population90 20'!$C$6:$AU$231,37,FALSE)</f>
        <v>5797805</v>
      </c>
      <c r="BB56" s="8">
        <f>VLOOKUP($G56,'Overview GDP (PPP)'!$C$6:$AI$231,33,FALSE)</f>
        <v>26348113.347152583</v>
      </c>
      <c r="BC56" s="36">
        <f>Table12[[#This Row],[Income]]/Table12[[#This Row],[Population]]</f>
        <v>4.5444980207427781</v>
      </c>
      <c r="BD56" s="36">
        <f>Table12[[#This Row],[GHG emissions excl LULUCF]]*1000000/Table12[[#This Row],[Population]]</f>
        <v>4.2670196738248363</v>
      </c>
      <c r="BE56" s="23" t="e">
        <f>VLOOKUP($G56,EGR2023_MASTER!$B$4:$S$38,14,FALSE)</f>
        <v>#N/A</v>
      </c>
      <c r="BF56" s="23" t="e">
        <f>VLOOKUP($G56,EGR2023_MASTER!$B$4:$S$38,15,FALSE)</f>
        <v>#N/A</v>
      </c>
      <c r="BG56" s="23" t="e">
        <f>VLOOKUP($G56,EGR2023_MASTER!$B$4:$S$38,16,FALSE)</f>
        <v>#N/A</v>
      </c>
      <c r="BH56" s="23" t="e">
        <f t="shared" si="16"/>
        <v>#N/A</v>
      </c>
      <c r="BI56" s="23" t="e">
        <f t="shared" si="17"/>
        <v>#N/A</v>
      </c>
      <c r="BJ56" s="552">
        <f>(Table12[[#This Row],[Current Policies 2030 excl LULUCF]]/Table12[[#This Row],[GHG emissions excl LULUCF]])^(1/(2030-2021))-1</f>
        <v>1.9610022352633871E-2</v>
      </c>
      <c r="BK56" s="552" t="str">
        <f>IF(Table12[[#This Row],[Net-zero target status]]&lt;=1,"",IF(Table12[[#This Row],[NZ GHG year]]="","",((MAX(Table12[[#This Row],[residual LULUCF emissions in 2050]],0.1)/Table12[[#This Row],[Current Policies 2030 excl LULUCF]])^(1/(Table12[[#This Row],[NZ GHG year]]-2021))-1)))</f>
        <v/>
      </c>
      <c r="BL56" s="552" t="str">
        <f>IF(Table12[[#This Row],[Net-zero target status]]&lt;=1,"",IF(Table12[[#This Row],[NZ GHG year]]="","",((MAX(Table12[[#This Row],[residual LULUCF emissions in 2050]],0.1)/Table12[[#This Row],[GHG emissions excl LULUCF]])^(1/(Table12[[#This Row],[NZ GHG year]]-2021))-1)))</f>
        <v/>
      </c>
      <c r="BM56" s="552" t="str">
        <f>IF(Table12[[#This Row],[Net-zero target status]]&lt;=1,"",IF(Table12[[#This Row],[NZ GHG year]]="","",((MAX(Table12[[#This Row],[residual LULUCF emissions in 2050]],0.1)/AVERAGE(Table12[[#This Row],[2030 conditional NDCs]:[2030 conditional NDCs2]]))^(1/(Table12[[#This Row],[NZ GHG year]]-2021))-1)))</f>
        <v/>
      </c>
      <c r="BN56" s="23"/>
      <c r="BO56" s="23"/>
      <c r="BP56" s="23"/>
      <c r="BQ56" s="23"/>
      <c r="BR56" s="50" t="s">
        <v>141</v>
      </c>
      <c r="BT56" s="30" t="str">
        <f>IF(Table12[[#This Row],[Reduction rate 2021 to NZ target2]]="","",J56*(1+AN56)^(Table12[[#This Row],[NZ GHG year]]-2021))</f>
        <v/>
      </c>
    </row>
    <row r="57" spans="1:72" ht="15" x14ac:dyDescent="0.25">
      <c r="A57">
        <v>0</v>
      </c>
      <c r="B57">
        <v>0</v>
      </c>
      <c r="C57">
        <v>184</v>
      </c>
      <c r="D57">
        <v>46</v>
      </c>
      <c r="E57">
        <v>24</v>
      </c>
      <c r="F57" t="str">
        <f>'input site'!M57</f>
        <v>excl</v>
      </c>
      <c r="G57" s="31" t="s">
        <v>142</v>
      </c>
      <c r="H57" s="1" t="s">
        <v>143</v>
      </c>
      <c r="I57" s="8">
        <v>0</v>
      </c>
      <c r="J57" s="32">
        <f>'input site'!AS57</f>
        <v>9.5000671999999994E-2</v>
      </c>
      <c r="K57" s="32">
        <f>'input site'!BS57</f>
        <v>9.9591924335596424E-2</v>
      </c>
      <c r="L57" s="32">
        <f t="shared" si="14"/>
        <v>9.9591924335596424E-2</v>
      </c>
      <c r="M57" s="32">
        <f t="shared" si="15"/>
        <v>3.6139199563608913E-2</v>
      </c>
      <c r="N57" s="32">
        <f>'input site'!EV57</f>
        <v>3.6139199563608913E-2</v>
      </c>
      <c r="O57" s="8"/>
      <c r="P57" s="36"/>
      <c r="Q57" s="32">
        <f t="shared" si="18"/>
        <v>1.5632505176097156E-2</v>
      </c>
      <c r="R57" s="32">
        <f>'input site'!EZ57</f>
        <v>1.5632505176097156E-2</v>
      </c>
      <c r="S57" s="37">
        <f>'input site'!FA57</f>
        <v>2050</v>
      </c>
      <c r="T57" s="37" t="str">
        <f>Table12[[#This Row],[(Mt CO2 equivalent)]]</f>
        <v>Cook Islands</v>
      </c>
      <c r="U57" s="35">
        <v>2100</v>
      </c>
      <c r="V57" s="35">
        <v>2100</v>
      </c>
      <c r="W57" s="32">
        <f>-IF('LUC NGHGI'!EC47="",MIN('LUC NGHGI'!DW47,0.1),MIN('LUC NGHGI'!EC47,0.1))</f>
        <v>0.16500000000000001</v>
      </c>
      <c r="X57" s="32">
        <f>'LUC NGHGI'!EC47</f>
        <v>-0.16500000000000001</v>
      </c>
      <c r="Y57" s="32">
        <f>'LUC NGHGI'!DY47</f>
        <v>-0.16500000000000001</v>
      </c>
      <c r="Z57" s="32">
        <f>'LUC NGHGI'!DZ47</f>
        <v>-0.16500000000000001</v>
      </c>
      <c r="AA57" s="32">
        <f>Table12[[#This Row],[2021 emissions]]</f>
        <v>9.5000671999999994E-2</v>
      </c>
      <c r="AB57" s="32">
        <f>'LUC NGHGI'!DW47</f>
        <v>-0.16500000000000001</v>
      </c>
      <c r="AC57" s="32">
        <f>IF(F57="incl",Table12[[#This Row],[GHG emissions incl LULUCF]]-Table12[[#This Row],[LULUCF emis-sions in 20213]],Table12[[#This Row],[GHG emissions incl LULUCF]])</f>
        <v>9.5000671999999994E-2</v>
      </c>
      <c r="AD57" s="32">
        <f>'input site'!BS57</f>
        <v>9.9591924335596424E-2</v>
      </c>
      <c r="AE57" s="32">
        <f>'LUC NGHGI'!EH47</f>
        <v>-0.1539605695104953</v>
      </c>
      <c r="AF57" s="32">
        <f>IF(F57="incl",Table12[[#This Row],[Current Policies 2030 incl LULUCF]]-Table12[[#This Row],[LULUCF CurPol 2030]],Table12[[#This Row],[Current Policies 2030 incl LULUCF]])</f>
        <v>9.9591924335596424E-2</v>
      </c>
      <c r="AG57" s="32" t="str">
        <f>IF(Table12[[#This Row],[Net-zero target status]]&lt;=1,"",IF(Table12[[#This Row],[NZ GHG year]]="","",1000000000*(Table12[[#This Row],[residual LULUCF emissions in 2050]]-Table12[[#This Row],[GHG emissions excl LULUCF]])/(Table12[[#This Row],[NZ GHG year]]-2021)/Table12[[#This Row],[Population]]))</f>
        <v/>
      </c>
      <c r="AH57" s="32" t="str">
        <f>IF(Table12[[#This Row],[Peak revised]]="Yes",IF(Table12[[#This Row],[Net-zero target status]]&lt;=1,"",IF(Table12[[#This Row],[NZ GHG year]]="","",1000000000*(Table12[[#This Row],[residual LULUCF emissions in 2050]]-Table12[[#This Row],[GHG emissions excl LULUCF]])/(Table12[[#This Row],[NZ GHG year]]-2021)/Table12[[#This Row],[Population]])),"")</f>
        <v/>
      </c>
      <c r="AI57" s="32" t="e">
        <f>MAX(0,(1000000*(Table12[[#This Row],[Current Policies 2030 excl LULUCF]]/2+Table12[[#This Row],[GHG emissions excl LULUCF]]/2)/Table12[[#This Row],[Population]]-$AI$8)*10)*$AI$10</f>
        <v>#DIV/0!</v>
      </c>
      <c r="AJ5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57" s="32" t="str">
        <f>IF(Table12[[#This Row],[Formule no Peak (2)]]="","",Table12[[#This Row],[Penalty (1)]]+Table12[[#This Row],[Formule no Peak (2)]])</f>
        <v/>
      </c>
      <c r="AL57" s="313">
        <f>(Table12[[#This Row],[Current Policies 2030 excl LULUCF]]-Table12[[#This Row],[GHG emissions excl LULUCF]])/(2030-2021)/Table12[[#This Row],[GHG emissions excl LULUCF]]</f>
        <v>5.3698477880198929E-3</v>
      </c>
      <c r="AM57" s="313" t="str">
        <f>IF(Table12[[#This Row],[Net-zero target status]]&lt;=1,"",IF(Table12[[#This Row],[NZ GHG year]]="","",(Table12[[#This Row],[residual LULUCF emissions in 2050]]-Table12[[#This Row],[Current Policies 2030 excl LULUCF]])/(Table12[[#This Row],[NZ GHG year]]-2030)/Table12[[#This Row],[Current Policies 2030 excl LULUCF]]))</f>
        <v/>
      </c>
      <c r="AN57" s="313" t="str">
        <f>IF(Table12[[#This Row],[Net-zero target status]]&lt;=1,"",IF(Table12[[#This Row],[NZ GHG year]]="","",(Table12[[#This Row],[residual LULUCF emissions in 2050]]-Table12[[#This Row],[GHG emissions excl LULUCF]])/(Table12[[#This Row],[NZ GHG year]]-2021)/Table12[[#This Row],[GHG emissions excl LULUCF]]))</f>
        <v/>
      </c>
      <c r="AO57" s="313" t="str">
        <f>IF(Table12[[#This Row],[Net-zero target status]]&lt;=1,"",IF(Table12[[#This Row],[NZ GHG year]]="","",(Table12[[#This Row],[residual LULUCF emissions in 2050]]-Table12[[#This Row],[2030 conditional NDCs]])/(Table12[[#This Row],[NZ GHG year]]-2030)/Table12[[#This Row],[2030 conditional NDCs]]))</f>
        <v/>
      </c>
      <c r="AP57" s="96">
        <f>MAX('input site'!AH57:AS57)</f>
        <v>9.5608383000000005E-2</v>
      </c>
      <c r="AQ57" s="95" t="str">
        <f>IF(Table12[[#This Row],[Current Policies 2030 incl LULUCF]]&gt;Table12[[#This Row],[Maximum inventory data]],"No","Yes")</f>
        <v>No</v>
      </c>
      <c r="AR57" s="34" t="str">
        <f>IF(Table12[[#This Row],[Net-zero target status]]&gt;=1.5,Table12[[#This Row],[residual LULUCF emissions in 2050]]/Table12[[#This Row],[GHG emissions excl LULUCF]],"")</f>
        <v/>
      </c>
      <c r="AS57" s="74" t="str">
        <f>'input site'!BE57</f>
        <v/>
      </c>
      <c r="AT57" s="74"/>
      <c r="AU57" s="74"/>
      <c r="AV57" s="75"/>
      <c r="AW57" s="74" t="str">
        <f>IF(Table12[[#This Row],[2030 unconditional NDCs]]="","",IF(F57="incl",Table12[[#This Row],[2030 unconditional NDCs]]-Table12[[#This Row],[LULUCF NDC uncond]],Table12[[#This Row],[2030 unconditional NDCs]]))</f>
        <v/>
      </c>
      <c r="AX57" s="74" t="str">
        <f>IF(Table12[[#This Row],[2030 unconditional NDCs2]]="","",IF(F57="incl",Table12[[#This Row],[2030 unconditional NDCs2]]-Table12[[#This Row],[LULUCF NDC uncond]],Table12[[#This Row],[2030 unconditional NDCs2]]))</f>
        <v/>
      </c>
      <c r="AY57" s="74" t="str">
        <f>IF(Table12[[#This Row],[2030 conditional NDCs]]="","",IF(F57="incl",Table12[[#This Row],[2030 conditional NDCs]]-Table12[[#This Row],[LULUCF NDC cond]],Table12[[#This Row],[2030 conditional NDCs]]))</f>
        <v/>
      </c>
      <c r="AZ57" s="74" t="str">
        <f>IF(Table12[[#This Row],[2030 conditional NDCs2]]="","",IF(F57="incl",Table12[[#This Row],[2030 conditional NDCs2]]-Table12[[#This Row],[LULUCF NDC cond]],Table12[[#This Row],[2030 conditional NDCs2]]))</f>
        <v/>
      </c>
      <c r="BA57" s="8"/>
      <c r="BB57" s="8"/>
      <c r="BC57" s="36"/>
      <c r="BD57" s="36" t="e">
        <f>Table12[[#This Row],[GHG emissions excl LULUCF]]*1000000/Table12[[#This Row],[Population]]</f>
        <v>#DIV/0!</v>
      </c>
      <c r="BE57" s="23" t="e">
        <f>VLOOKUP($G57,EGR2023_MASTER!$B$4:$S$38,14,FALSE)</f>
        <v>#N/A</v>
      </c>
      <c r="BF57" s="23" t="e">
        <f>VLOOKUP($G57,EGR2023_MASTER!$B$4:$S$38,15,FALSE)</f>
        <v>#N/A</v>
      </c>
      <c r="BG57" s="23" t="e">
        <f>VLOOKUP($G57,EGR2023_MASTER!$B$4:$S$38,16,FALSE)</f>
        <v>#N/A</v>
      </c>
      <c r="BH57" s="23" t="e">
        <f t="shared" si="16"/>
        <v>#N/A</v>
      </c>
      <c r="BI57" s="23" t="e">
        <f t="shared" si="17"/>
        <v>#N/A</v>
      </c>
      <c r="BJ57" s="552">
        <f>(Table12[[#This Row],[Current Policies 2030 excl LULUCF]]/Table12[[#This Row],[GHG emissions excl LULUCF]])^(1/(2030-2021))-1</f>
        <v>5.2578983828655002E-3</v>
      </c>
      <c r="BK57" s="552" t="str">
        <f>IF(Table12[[#This Row],[Net-zero target status]]&lt;=1,"",IF(Table12[[#This Row],[NZ GHG year]]="","",((MAX(Table12[[#This Row],[residual LULUCF emissions in 2050]],0.1)/Table12[[#This Row],[Current Policies 2030 excl LULUCF]])^(1/(Table12[[#This Row],[NZ GHG year]]-2021))-1)))</f>
        <v/>
      </c>
      <c r="BL57" s="552" t="str">
        <f>IF(Table12[[#This Row],[Net-zero target status]]&lt;=1,"",IF(Table12[[#This Row],[NZ GHG year]]="","",((MAX(Table12[[#This Row],[residual LULUCF emissions in 2050]],0.1)/Table12[[#This Row],[GHG emissions excl LULUCF]])^(1/(Table12[[#This Row],[NZ GHG year]]-2021))-1)))</f>
        <v/>
      </c>
      <c r="BM57" s="552" t="str">
        <f>IF(Table12[[#This Row],[Net-zero target status]]&lt;=1,"",IF(Table12[[#This Row],[NZ GHG year]]="","",((MAX(Table12[[#This Row],[residual LULUCF emissions in 2050]],0.1)/AVERAGE(Table12[[#This Row],[2030 conditional NDCs]:[2030 conditional NDCs2]]))^(1/(Table12[[#This Row],[NZ GHG year]]-2021))-1)))</f>
        <v/>
      </c>
      <c r="BN57" s="23"/>
      <c r="BO57" s="23"/>
      <c r="BP57" s="23"/>
      <c r="BQ57" s="23"/>
      <c r="BR57" s="50" t="s">
        <v>143</v>
      </c>
      <c r="BT57" s="30" t="str">
        <f>IF(Table12[[#This Row],[Reduction rate 2021 to NZ target2]]="","",J57*(1+AN57)^(Table12[[#This Row],[NZ GHG year]]-2021))</f>
        <v/>
      </c>
    </row>
    <row r="58" spans="1:72" ht="15" x14ac:dyDescent="0.25">
      <c r="A58">
        <v>0</v>
      </c>
      <c r="B58">
        <v>0</v>
      </c>
      <c r="C58">
        <v>188</v>
      </c>
      <c r="D58">
        <v>47</v>
      </c>
      <c r="E58">
        <v>4</v>
      </c>
      <c r="F58" t="str">
        <f>'input site'!M58</f>
        <v>incl</v>
      </c>
      <c r="G58" s="31" t="s">
        <v>144</v>
      </c>
      <c r="H58" s="1" t="s">
        <v>145</v>
      </c>
      <c r="I58" s="8">
        <f>VLOOKUP($G58,'NZT data'!$B$3:$C$200,2,FALSE)</f>
        <v>3</v>
      </c>
      <c r="J58" s="32">
        <f>'input site'!AS58</f>
        <v>10.264886403028598</v>
      </c>
      <c r="K58" s="32">
        <f>'input site'!BS58</f>
        <v>14.497468045</v>
      </c>
      <c r="L58" s="32">
        <f t="shared" si="14"/>
        <v>0</v>
      </c>
      <c r="M58" s="32">
        <f t="shared" si="15"/>
        <v>0</v>
      </c>
      <c r="N58" s="32">
        <f>'input site'!EV58</f>
        <v>6.5478760617067149</v>
      </c>
      <c r="O58" s="8">
        <v>0</v>
      </c>
      <c r="P58" s="36">
        <f>O58-N58</f>
        <v>-6.5478760617067149</v>
      </c>
      <c r="Q58" s="32">
        <f t="shared" si="18"/>
        <v>0</v>
      </c>
      <c r="R58" s="32">
        <f>'input site'!EZ58</f>
        <v>1.3317096722989226</v>
      </c>
      <c r="S58" s="37">
        <f>'input site'!FA58</f>
        <v>2050</v>
      </c>
      <c r="T58" s="37" t="str">
        <f>Table12[[#This Row],[(Mt CO2 equivalent)]]</f>
        <v>Costa Rica</v>
      </c>
      <c r="U58" s="8">
        <f>VLOOKUP($G58,'NZT data'!$B$3:$F$200,4,FALSE)</f>
        <v>2050</v>
      </c>
      <c r="V58" s="32">
        <f>VLOOKUP($G58,'NZT data'!$B$3:$F$200,5,FALSE)</f>
        <v>2050</v>
      </c>
      <c r="W58" s="32">
        <f>-IF('LUC NGHGI'!EC48="",MIN('LUC NGHGI'!DW48,0.1),MIN('LUC NGHGI'!EC48,0.1))</f>
        <v>4.5</v>
      </c>
      <c r="X58" s="32">
        <f>'LUC NGHGI'!EC48</f>
        <v>-4.5</v>
      </c>
      <c r="Y58" s="32">
        <f>'LUC NGHGI'!DY48</f>
        <v>-5</v>
      </c>
      <c r="Z58" s="32">
        <f>'LUC NGHGI'!DZ48</f>
        <v>-5</v>
      </c>
      <c r="AA58" s="32">
        <f>Table12[[#This Row],[2021 emissions]]</f>
        <v>10.264886403028598</v>
      </c>
      <c r="AB58" s="32">
        <f>'LUC NGHGI'!DW48</f>
        <v>-6.6984885969714014</v>
      </c>
      <c r="AC58" s="32">
        <f>IF(F58="incl",Table12[[#This Row],[GHG emissions incl LULUCF]]-Table12[[#This Row],[LULUCF emis-sions in 20213]],Table12[[#This Row],[GHG emissions incl LULUCF]])</f>
        <v>16.963374999999999</v>
      </c>
      <c r="AD58" s="32">
        <f>'input site'!BS58</f>
        <v>14.497468045</v>
      </c>
      <c r="AE58" s="32">
        <f>'LUC NGHGI'!EH48</f>
        <v>-8.0780949947679659</v>
      </c>
      <c r="AF58" s="32">
        <f>IF(F58="incl",Table12[[#This Row],[Current Policies 2030 incl LULUCF]]-Table12[[#This Row],[LULUCF CurPol 2030]],Table12[[#This Row],[Current Policies 2030 incl LULUCF]])</f>
        <v>22.575563039767964</v>
      </c>
      <c r="AG58" s="32">
        <f>IF(Table12[[#This Row],[Net-zero target status]]&lt;=1,"",IF(Table12[[#This Row],[NZ GHG year]]="","",1000000000*(Table12[[#This Row],[residual LULUCF emissions in 2050]]-Table12[[#This Row],[GHG emissions excl LULUCF]])/(Table12[[#This Row],[NZ GHG year]]-2021)/Table12[[#This Row],[Population]]))</f>
        <v>-82.929794399251364</v>
      </c>
      <c r="AH58" s="32">
        <f>IF(Table12[[#This Row],[Peak revised]]="Yes",IF(Table12[[#This Row],[Net-zero target status]]&lt;=1,"",IF(Table12[[#This Row],[NZ GHG year]]="","",1000000000*(Table12[[#This Row],[residual LULUCF emissions in 2050]]-Table12[[#This Row],[GHG emissions excl LULUCF]])/(Table12[[#This Row],[NZ GHG year]]-2021)/Table12[[#This Row],[Population]])),"")</f>
        <v>-82.929794399251364</v>
      </c>
      <c r="AI58" s="32">
        <f>MAX(0,(1000000*(Table12[[#This Row],[Current Policies 2030 excl LULUCF]]/2+Table12[[#This Row],[GHG emissions excl LULUCF]]/2)/Table12[[#This Row],[Population]]-$AI$8)*10)*$AI$10</f>
        <v>0</v>
      </c>
      <c r="AJ5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58" s="32" t="str">
        <f>IF(Table12[[#This Row],[Formule no Peak (2)]]="","",Table12[[#This Row],[Penalty (1)]]+Table12[[#This Row],[Formule no Peak (2)]])</f>
        <v/>
      </c>
      <c r="AL58" s="313">
        <f>(Table12[[#This Row],[Current Policies 2030 excl LULUCF]]-Table12[[#This Row],[GHG emissions excl LULUCF]])/(2030-2021)/Table12[[#This Row],[GHG emissions excl LULUCF]]</f>
        <v>3.6760164110214343E-2</v>
      </c>
      <c r="AM58" s="313">
        <f>IF(Table12[[#This Row],[Net-zero target status]]&lt;=1,"",IF(Table12[[#This Row],[NZ GHG year]]="","",(Table12[[#This Row],[residual LULUCF emissions in 2050]]-Table12[[#This Row],[Current Policies 2030 excl LULUCF]])/(Table12[[#This Row],[NZ GHG year]]-2030)/Table12[[#This Row],[Current Policies 2030 excl LULUCF]]))</f>
        <v>-4.0033471165097791E-2</v>
      </c>
      <c r="AN58" s="313">
        <f>IF(Table12[[#This Row],[Net-zero target status]]&lt;=1,"",IF(Table12[[#This Row],[NZ GHG year]]="","",(Table12[[#This Row],[residual LULUCF emissions in 2050]]-Table12[[#This Row],[GHG emissions excl LULUCF]])/(Table12[[#This Row],[NZ GHG year]]-2021)/Table12[[#This Row],[GHG emissions excl LULUCF]]))</f>
        <v>-2.5335262099914546E-2</v>
      </c>
      <c r="AO58" s="313">
        <f>IF(Table12[[#This Row],[Net-zero target status]]&lt;=1,"",IF(Table12[[#This Row],[NZ GHG year]]="","",(Table12[[#This Row],[residual LULUCF emissions in 2050]]-Table12[[#This Row],[2030 conditional NDCs]])/(Table12[[#This Row],[NZ GHG year]]-2030)/Table12[[#This Row],[2030 conditional NDCs]]))</f>
        <v>-2.5301866081229418E-2</v>
      </c>
      <c r="AP58" s="96">
        <f>MAX('input site'!AH58:AS58)</f>
        <v>19.642101</v>
      </c>
      <c r="AQ58" s="95" t="str">
        <f>IF(Table12[[#This Row],[Current Policies 2030 incl LULUCF]]&gt;Table12[[#This Row],[Maximum inventory data]],"No","Yes")</f>
        <v>Yes</v>
      </c>
      <c r="AR58" s="34">
        <f>IF(Table12[[#This Row],[Net-zero target status]]&gt;=1.5,Table12[[#This Row],[residual LULUCF emissions in 2050]]/Table12[[#This Row],[GHG emissions excl LULUCF]],"")</f>
        <v>0.26527739910247816</v>
      </c>
      <c r="AS58" s="76">
        <f>'input site'!BE58</f>
        <v>9.11</v>
      </c>
      <c r="AT58" s="76">
        <f>'input site'!BF58</f>
        <v>9.11</v>
      </c>
      <c r="AU58" s="76">
        <f>'input site'!BG58</f>
        <v>9.11</v>
      </c>
      <c r="AV58" s="77">
        <f>'input site'!BH58</f>
        <v>9.11</v>
      </c>
      <c r="AW58" s="74">
        <f>IF(Table12[[#This Row],[2030 unconditional NDCs]]="","",IF(F58="incl",Table12[[#This Row],[2030 unconditional NDCs]]-Table12[[#This Row],[LULUCF NDC uncond]],Table12[[#This Row],[2030 unconditional NDCs]]))</f>
        <v>14.11</v>
      </c>
      <c r="AX58" s="74">
        <f>IF(Table12[[#This Row],[2030 unconditional NDCs2]]="","",IF(F58="incl",Table12[[#This Row],[2030 unconditional NDCs2]]-Table12[[#This Row],[LULUCF NDC uncond]],Table12[[#This Row],[2030 unconditional NDCs2]]))</f>
        <v>14.11</v>
      </c>
      <c r="AY58" s="74">
        <f>IF(Table12[[#This Row],[2030 conditional NDCs]]="","",IF(F58="incl",Table12[[#This Row],[2030 conditional NDCs]]-Table12[[#This Row],[LULUCF NDC cond]],Table12[[#This Row],[2030 conditional NDCs]]))</f>
        <v>14.11</v>
      </c>
      <c r="AZ58" s="74">
        <f>IF(Table12[[#This Row],[2030 conditional NDCs2]]="","",IF(F58="incl",Table12[[#This Row],[2030 conditional NDCs2]]-Table12[[#This Row],[LULUCF NDC cond]],Table12[[#This Row],[2030 conditional NDCs2]]))</f>
        <v>14.11</v>
      </c>
      <c r="BA58" s="8">
        <f>VLOOKUP($G58,'Population90 20'!$C$6:$AU$231,37,FALSE)</f>
        <v>5182354</v>
      </c>
      <c r="BB58" s="8">
        <f>VLOOKUP($G58,'Overview GDP (PPP)'!$C$6:$AI$231,33,FALSE)</f>
        <v>78414101.026612803</v>
      </c>
      <c r="BC58" s="36">
        <f>Table12[[#This Row],[Income]]/Table12[[#This Row],[Population]]</f>
        <v>15.130981215604493</v>
      </c>
      <c r="BD58" s="36">
        <f>Table12[[#This Row],[GHG emissions excl LULUCF]]*1000000/Table12[[#This Row],[Population]]</f>
        <v>3.2732953017103812</v>
      </c>
      <c r="BE58" s="23" t="e">
        <f>VLOOKUP($G58,EGR2023_MASTER!$B$4:$S$38,14,FALSE)</f>
        <v>#N/A</v>
      </c>
      <c r="BF58" s="23" t="e">
        <f>VLOOKUP($G58,EGR2023_MASTER!$B$4:$S$38,15,FALSE)</f>
        <v>#N/A</v>
      </c>
      <c r="BG58" s="23" t="e">
        <f>VLOOKUP($G58,EGR2023_MASTER!$B$4:$S$38,16,FALSE)</f>
        <v>#N/A</v>
      </c>
      <c r="BH58" s="23" t="e">
        <f t="shared" si="16"/>
        <v>#N/A</v>
      </c>
      <c r="BI58" s="23" t="e">
        <f t="shared" si="17"/>
        <v>#N/A</v>
      </c>
      <c r="BJ58" s="552">
        <f>(Table12[[#This Row],[Current Policies 2030 excl LULUCF]]/Table12[[#This Row],[GHG emissions excl LULUCF]])^(1/(2030-2021))-1</f>
        <v>3.2266454148095036E-2</v>
      </c>
      <c r="BK58" s="552">
        <f>IF(Table12[[#This Row],[Net-zero target status]]&lt;=1,"",IF(Table12[[#This Row],[NZ GHG year]]="","",((MAX(Table12[[#This Row],[residual LULUCF emissions in 2050]],0.1)/Table12[[#This Row],[Current Policies 2030 excl LULUCF]])^(1/(Table12[[#This Row],[NZ GHG year]]-2021))-1)))</f>
        <v>-5.4095314650246196E-2</v>
      </c>
      <c r="BL58" s="552">
        <f>IF(Table12[[#This Row],[Net-zero target status]]&lt;=1,"",IF(Table12[[#This Row],[NZ GHG year]]="","",((MAX(Table12[[#This Row],[residual LULUCF emissions in 2050]],0.1)/Table12[[#This Row],[GHG emissions excl LULUCF]])^(1/(Table12[[#This Row],[NZ GHG year]]-2021))-1)))</f>
        <v>-4.4726797829931941E-2</v>
      </c>
      <c r="BM58" s="552">
        <f>IF(Table12[[#This Row],[Net-zero target status]]&lt;=1,"",IF(Table12[[#This Row],[NZ GHG year]]="","",((MAX(Table12[[#This Row],[residual LULUCF emissions in 2050]],0.1)/AVERAGE(Table12[[#This Row],[2030 conditional NDCs]:[2030 conditional NDCs2]]))^(1/(Table12[[#This Row],[NZ GHG year]]-2021))-1)))</f>
        <v>-2.4027167086495438E-2</v>
      </c>
      <c r="BN58" s="23"/>
      <c r="BO58" s="23"/>
      <c r="BP58" s="23"/>
      <c r="BQ58" s="23"/>
      <c r="BR58" s="50" t="s">
        <v>145</v>
      </c>
      <c r="BT58" s="30">
        <f>IF(Table12[[#This Row],[Reduction rate 2021 to NZ target2]]="","",J58*(1+AN58)^(Table12[[#This Row],[NZ GHG year]]-2021))</f>
        <v>4.8770422471461794</v>
      </c>
    </row>
    <row r="59" spans="1:72" ht="15" x14ac:dyDescent="0.25">
      <c r="A59">
        <v>0</v>
      </c>
      <c r="B59">
        <v>0</v>
      </c>
      <c r="C59">
        <v>384</v>
      </c>
      <c r="D59">
        <v>97</v>
      </c>
      <c r="E59">
        <v>8</v>
      </c>
      <c r="F59" t="str">
        <f>'input site'!M59</f>
        <v>excl</v>
      </c>
      <c r="G59" s="31" t="s">
        <v>146</v>
      </c>
      <c r="H59" s="1" t="s">
        <v>147</v>
      </c>
      <c r="I59" s="8">
        <f>VLOOKUP($G59,'NZT data'!$B$3:$C$200,2,FALSE)</f>
        <v>0</v>
      </c>
      <c r="J59" s="32">
        <f>'input site'!AS59</f>
        <v>33.917072999999995</v>
      </c>
      <c r="K59" s="32">
        <f>'input site'!BS59</f>
        <v>40.394778210044215</v>
      </c>
      <c r="L59" s="32">
        <f t="shared" si="14"/>
        <v>40.394778210044215</v>
      </c>
      <c r="M59" s="32">
        <f t="shared" si="15"/>
        <v>30.49691010027956</v>
      </c>
      <c r="N59" s="32">
        <f>'input site'!EV59</f>
        <v>30.49691010027956</v>
      </c>
      <c r="O59" s="8"/>
      <c r="P59" s="8"/>
      <c r="Q59" s="32">
        <f t="shared" si="18"/>
        <v>17.371048683139342</v>
      </c>
      <c r="R59" s="32">
        <f>'input site'!EZ59</f>
        <v>17.371048683139342</v>
      </c>
      <c r="S59" s="37">
        <f>'input site'!FA59</f>
        <v>0</v>
      </c>
      <c r="T59" s="37" t="str">
        <f>Table12[[#This Row],[(Mt CO2 equivalent)]]</f>
        <v>Cote d' Ivoire</v>
      </c>
      <c r="U59" s="8">
        <f>VLOOKUP($G59,'NZT data'!$B$3:$F$200,4,FALSE)</f>
        <v>2110</v>
      </c>
      <c r="V59" s="32" t="str">
        <f>VLOOKUP($G59,'NZT data'!$B$3:$F$200,5,FALSE)</f>
        <v/>
      </c>
      <c r="W59" s="32">
        <f>-IF('LUC NGHGI'!EC49="",MIN('LUC NGHGI'!DW49,0.1),MIN('LUC NGHGI'!EC49,0.1))</f>
        <v>-0.1</v>
      </c>
      <c r="X59" s="32">
        <f>'LUC NGHGI'!EC49</f>
        <v>27.207307</v>
      </c>
      <c r="Y59" s="32">
        <f>'LUC NGHGI'!DY49</f>
        <v>4.1346890000000052</v>
      </c>
      <c r="Z59" s="32">
        <f>'LUC NGHGI'!DZ49</f>
        <v>-71.146663999999987</v>
      </c>
      <c r="AA59" s="32">
        <f>Table12[[#This Row],[2021 emissions]]</f>
        <v>33.917072999999995</v>
      </c>
      <c r="AB59" s="32">
        <f>'LUC NGHGI'!DW49</f>
        <v>26.578228574193417</v>
      </c>
      <c r="AC59" s="32">
        <f>IF(F59="incl",Table12[[#This Row],[GHG emissions incl LULUCF]]-Table12[[#This Row],[LULUCF emis-sions in 20213]],Table12[[#This Row],[GHG emissions incl LULUCF]])</f>
        <v>33.917072999999995</v>
      </c>
      <c r="AD59" s="32">
        <f>'input site'!BS59</f>
        <v>40.394778210044215</v>
      </c>
      <c r="AE59" s="32">
        <f>'LUC NGHGI'!EH49</f>
        <v>19.107784130379784</v>
      </c>
      <c r="AF59" s="32">
        <f>IF(F59="incl",Table12[[#This Row],[Current Policies 2030 incl LULUCF]]-Table12[[#This Row],[LULUCF CurPol 2030]],Table12[[#This Row],[Current Policies 2030 incl LULUCF]])</f>
        <v>40.394778210044215</v>
      </c>
      <c r="AG59" s="32" t="str">
        <f>IF(Table12[[#This Row],[Net-zero target status]]&lt;=1,"",IF(Table12[[#This Row],[NZ GHG year]]="","",1000000000*(Table12[[#This Row],[residual LULUCF emissions in 2050]]-Table12[[#This Row],[GHG emissions excl LULUCF]])/(Table12[[#This Row],[NZ GHG year]]-2021)/Table12[[#This Row],[Population]]))</f>
        <v/>
      </c>
      <c r="AH59" s="32" t="str">
        <f>IF(Table12[[#This Row],[Peak revised]]="Yes",IF(Table12[[#This Row],[Net-zero target status]]&lt;=1,"",IF(Table12[[#This Row],[NZ GHG year]]="","",1000000000*(Table12[[#This Row],[residual LULUCF emissions in 2050]]-Table12[[#This Row],[GHG emissions excl LULUCF]])/(Table12[[#This Row],[NZ GHG year]]-2021)/Table12[[#This Row],[Population]])),"")</f>
        <v/>
      </c>
      <c r="AI59" s="32">
        <f>MAX(0,(1000000*(Table12[[#This Row],[Current Policies 2030 excl LULUCF]]/2+Table12[[#This Row],[GHG emissions excl LULUCF]]/2)/Table12[[#This Row],[Population]]-$AI$8)*10)*$AI$10</f>
        <v>0</v>
      </c>
      <c r="AJ5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59" s="32" t="str">
        <f>IF(Table12[[#This Row],[Formule no Peak (2)]]="","",Table12[[#This Row],[Penalty (1)]]+Table12[[#This Row],[Formule no Peak (2)]])</f>
        <v/>
      </c>
      <c r="AL59" s="313">
        <f>(Table12[[#This Row],[Current Policies 2030 excl LULUCF]]-Table12[[#This Row],[GHG emissions excl LULUCF]])/(2030-2021)/Table12[[#This Row],[GHG emissions excl LULUCF]]</f>
        <v>2.1220729257452341E-2</v>
      </c>
      <c r="AM59" s="313" t="str">
        <f>IF(Table12[[#This Row],[Net-zero target status]]&lt;=1,"",IF(Table12[[#This Row],[NZ GHG year]]="","",(Table12[[#This Row],[residual LULUCF emissions in 2050]]-Table12[[#This Row],[Current Policies 2030 excl LULUCF]])/(Table12[[#This Row],[NZ GHG year]]-2030)/Table12[[#This Row],[Current Policies 2030 excl LULUCF]]))</f>
        <v/>
      </c>
      <c r="AN59" s="313" t="str">
        <f>IF(Table12[[#This Row],[Net-zero target status]]&lt;=1,"",IF(Table12[[#This Row],[NZ GHG year]]="","",(Table12[[#This Row],[residual LULUCF emissions in 2050]]-Table12[[#This Row],[GHG emissions excl LULUCF]])/(Table12[[#This Row],[NZ GHG year]]-2021)/Table12[[#This Row],[GHG emissions excl LULUCF]]))</f>
        <v/>
      </c>
      <c r="AO59" s="313" t="str">
        <f>IF(Table12[[#This Row],[Net-zero target status]]&lt;=1,"",IF(Table12[[#This Row],[NZ GHG year]]="","",(Table12[[#This Row],[residual LULUCF emissions in 2050]]-Table12[[#This Row],[2030 conditional NDCs]])/(Table12[[#This Row],[NZ GHG year]]-2030)/Table12[[#This Row],[2030 conditional NDCs]]))</f>
        <v/>
      </c>
      <c r="AP59" s="96">
        <f>MAX('input site'!AH59:AS59)</f>
        <v>33.917072999999995</v>
      </c>
      <c r="AQ59" s="95" t="str">
        <f>IF(Table12[[#This Row],[Current Policies 2030 incl LULUCF]]&gt;Table12[[#This Row],[Maximum inventory data]],"No","Yes")</f>
        <v>No</v>
      </c>
      <c r="AR59" s="34" t="str">
        <f>IF(Table12[[#This Row],[Net-zero target status]]&gt;=1.5,Table12[[#This Row],[residual LULUCF emissions in 2050]]/Table12[[#This Row],[GHG emissions excl LULUCF]],"")</f>
        <v/>
      </c>
      <c r="AS59" s="74">
        <f>'input site'!BE59</f>
        <v>24.576160000000002</v>
      </c>
      <c r="AT59" s="74">
        <f>'input site'!BF59</f>
        <v>24.576160000000002</v>
      </c>
      <c r="AU59" s="74">
        <f>'input site'!BG59</f>
        <v>24.576160000000002</v>
      </c>
      <c r="AV59" s="75">
        <f>'input site'!BH59</f>
        <v>24.576160000000002</v>
      </c>
      <c r="AW59" s="74">
        <f>IF(Table12[[#This Row],[2030 unconditional NDCs]]="","",IF(F59="incl",Table12[[#This Row],[2030 unconditional NDCs]]-Table12[[#This Row],[LULUCF NDC uncond]],Table12[[#This Row],[2030 unconditional NDCs]]))</f>
        <v>24.576160000000002</v>
      </c>
      <c r="AX59" s="74">
        <f>IF(Table12[[#This Row],[2030 unconditional NDCs2]]="","",IF(F59="incl",Table12[[#This Row],[2030 unconditional NDCs2]]-Table12[[#This Row],[LULUCF NDC uncond]],Table12[[#This Row],[2030 unconditional NDCs2]]))</f>
        <v>24.576160000000002</v>
      </c>
      <c r="AY59" s="74">
        <f>IF(Table12[[#This Row],[2030 conditional NDCs]]="","",IF(F59="incl",Table12[[#This Row],[2030 conditional NDCs]]-Table12[[#This Row],[LULUCF NDC cond]],Table12[[#This Row],[2030 conditional NDCs]]))</f>
        <v>24.576160000000002</v>
      </c>
      <c r="AZ59" s="74">
        <f>IF(Table12[[#This Row],[2030 conditional NDCs2]]="","",IF(F59="incl",Table12[[#This Row],[2030 conditional NDCs2]]-Table12[[#This Row],[LULUCF NDC cond]],Table12[[#This Row],[2030 conditional NDCs2]]))</f>
        <v>24.576160000000002</v>
      </c>
      <c r="BA59" s="8">
        <f>VLOOKUP($G59,'Population90 20'!$C$6:$AU$231,37,FALSE)</f>
        <v>27742298</v>
      </c>
      <c r="BB59" s="8">
        <f>VLOOKUP($G59,'Overview GDP (PPP)'!$C$6:$AI$231,33,FALSE)</f>
        <v>93584626.91103217</v>
      </c>
      <c r="BC59" s="36">
        <f>Table12[[#This Row],[Income]]/Table12[[#This Row],[Population]]</f>
        <v>3.3733552610181095</v>
      </c>
      <c r="BD59" s="36">
        <f>Table12[[#This Row],[GHG emissions excl LULUCF]]*1000000/Table12[[#This Row],[Population]]</f>
        <v>1.2225761903357824</v>
      </c>
      <c r="BE59" s="23" t="e">
        <f>VLOOKUP($G59,EGR2023_MASTER!$B$4:$S$38,14,FALSE)</f>
        <v>#N/A</v>
      </c>
      <c r="BF59" s="23" t="e">
        <f>VLOOKUP($G59,EGR2023_MASTER!$B$4:$S$38,15,FALSE)</f>
        <v>#N/A</v>
      </c>
      <c r="BG59" s="23" t="e">
        <f>VLOOKUP($G59,EGR2023_MASTER!$B$4:$S$38,16,FALSE)</f>
        <v>#N/A</v>
      </c>
      <c r="BH59" s="23" t="e">
        <f t="shared" si="16"/>
        <v>#N/A</v>
      </c>
      <c r="BI59" s="23" t="e">
        <f t="shared" si="17"/>
        <v>#N/A</v>
      </c>
      <c r="BJ59" s="552">
        <f>(Table12[[#This Row],[Current Policies 2030 excl LULUCF]]/Table12[[#This Row],[GHG emissions excl LULUCF]])^(1/(2030-2021))-1</f>
        <v>1.9610022352633871E-2</v>
      </c>
      <c r="BK59" s="552" t="str">
        <f>IF(Table12[[#This Row],[Net-zero target status]]&lt;=1,"",IF(Table12[[#This Row],[NZ GHG year]]="","",((MAX(Table12[[#This Row],[residual LULUCF emissions in 2050]],0.1)/Table12[[#This Row],[Current Policies 2030 excl LULUCF]])^(1/(Table12[[#This Row],[NZ GHG year]]-2021))-1)))</f>
        <v/>
      </c>
      <c r="BL59" s="552" t="str">
        <f>IF(Table12[[#This Row],[Net-zero target status]]&lt;=1,"",IF(Table12[[#This Row],[NZ GHG year]]="","",((MAX(Table12[[#This Row],[residual LULUCF emissions in 2050]],0.1)/Table12[[#This Row],[GHG emissions excl LULUCF]])^(1/(Table12[[#This Row],[NZ GHG year]]-2021))-1)))</f>
        <v/>
      </c>
      <c r="BM59" s="552" t="str">
        <f>IF(Table12[[#This Row],[Net-zero target status]]&lt;=1,"",IF(Table12[[#This Row],[NZ GHG year]]="","",((MAX(Table12[[#This Row],[residual LULUCF emissions in 2050]],0.1)/AVERAGE(Table12[[#This Row],[2030 conditional NDCs]:[2030 conditional NDCs2]]))^(1/(Table12[[#This Row],[NZ GHG year]]-2021))-1)))</f>
        <v/>
      </c>
      <c r="BN59" s="23"/>
      <c r="BO59" s="23"/>
      <c r="BP59" s="23"/>
      <c r="BQ59" s="23"/>
      <c r="BR59" s="50" t="s">
        <v>147</v>
      </c>
      <c r="BT59" s="30" t="str">
        <f>IF(Table12[[#This Row],[Reduction rate 2021 to NZ target2]]="","",J59*(1+AN59)^(Table12[[#This Row],[NZ GHG year]]-2021))</f>
        <v/>
      </c>
    </row>
    <row r="60" spans="1:72" ht="15" x14ac:dyDescent="0.25">
      <c r="A60">
        <v>0</v>
      </c>
      <c r="B60">
        <v>0</v>
      </c>
      <c r="C60">
        <v>191</v>
      </c>
      <c r="D60">
        <v>48</v>
      </c>
      <c r="E60">
        <v>12</v>
      </c>
      <c r="F60" t="str">
        <f>'input site'!M60</f>
        <v>incl</v>
      </c>
      <c r="G60" s="31" t="s">
        <v>148</v>
      </c>
      <c r="H60" s="1" t="s">
        <v>149</v>
      </c>
      <c r="I60" s="8">
        <f>VLOOKUP($G60,'NZT data'!$B$3:$C$200,2,FALSE)</f>
        <v>3</v>
      </c>
      <c r="J60" s="32">
        <f>'input site'!AS60</f>
        <v>18.520604140181206</v>
      </c>
      <c r="K60" s="32">
        <f>'input site'!BS60</f>
        <v>9.4898315601578247</v>
      </c>
      <c r="L60" s="32">
        <f t="shared" si="14"/>
        <v>0</v>
      </c>
      <c r="M60" s="32">
        <f t="shared" si="15"/>
        <v>0</v>
      </c>
      <c r="N60" s="32">
        <f>'input site'!EV60</f>
        <v>4.3069125543164644</v>
      </c>
      <c r="O60" s="8"/>
      <c r="P60" s="8"/>
      <c r="Q60" s="32">
        <f t="shared" si="18"/>
        <v>0</v>
      </c>
      <c r="R60" s="32">
        <f>'input site'!EZ60</f>
        <v>2.1011029078619154</v>
      </c>
      <c r="S60" s="37" t="str">
        <f>'input site'!FA60</f>
        <v>2050 (part of the EU)</v>
      </c>
      <c r="T60" s="37" t="str">
        <f>Table12[[#This Row],[(Mt CO2 equivalent)]]</f>
        <v>Croatia</v>
      </c>
      <c r="U60" s="8">
        <f>VLOOKUP($G60,'NZT data'!$B$3:$F$200,4,FALSE)</f>
        <v>2050</v>
      </c>
      <c r="V60" s="32">
        <f>VLOOKUP($G60,'NZT data'!$B$3:$F$200,5,FALSE)</f>
        <v>2050</v>
      </c>
      <c r="W60" s="32">
        <f>-IF('LUC NGHGI'!EC50="",MIN('LUC NGHGI'!DW50,0.1),MIN('LUC NGHGI'!EC50,0.1))</f>
        <v>5.6667896153969712</v>
      </c>
      <c r="X60" s="32">
        <f>'LUC NGHGI'!EC50</f>
        <v>-5.6667896153969712</v>
      </c>
      <c r="Y60" s="32">
        <f>'LUC NGHGI'!DY50</f>
        <v>-5.6667896153969712</v>
      </c>
      <c r="Z60" s="32">
        <f>'LUC NGHGI'!DZ50</f>
        <v>-5.6667896153969712</v>
      </c>
      <c r="AA60" s="32">
        <f>Table12[[#This Row],[2021 emissions]]</f>
        <v>18.520604140181206</v>
      </c>
      <c r="AB60" s="32">
        <f>'LUC NGHGI'!DW50</f>
        <v>-5.8023658598187957</v>
      </c>
      <c r="AC60" s="32">
        <f>IF(F60="incl",Table12[[#This Row],[GHG emissions incl LULUCF]]-Table12[[#This Row],[LULUCF emis-sions in 20213]],Table12[[#This Row],[GHG emissions incl LULUCF]])</f>
        <v>24.322970000000002</v>
      </c>
      <c r="AD60" s="32">
        <f>'input site'!BS60</f>
        <v>9.4898315601578247</v>
      </c>
      <c r="AE60" s="32">
        <f>'LUC NGHGI'!EH50</f>
        <v>-5.1320378706711169</v>
      </c>
      <c r="AF60" s="32">
        <f>IF(F60="incl",Table12[[#This Row],[Current Policies 2030 incl LULUCF]]-Table12[[#This Row],[LULUCF CurPol 2030]],Table12[[#This Row],[Current Policies 2030 incl LULUCF]])</f>
        <v>14.621869430828941</v>
      </c>
      <c r="AG60" s="32">
        <f>IF(Table12[[#This Row],[Net-zero target status]]&lt;=1,"",IF(Table12[[#This Row],[NZ GHG year]]="","",1000000000*(Table12[[#This Row],[residual LULUCF emissions in 2050]]-Table12[[#This Row],[GHG emissions excl LULUCF]])/(Table12[[#This Row],[NZ GHG year]]-2021)/Table12[[#This Row],[Population]]))</f>
        <v>-158.48022656849295</v>
      </c>
      <c r="AH60" s="32">
        <f>IF(Table12[[#This Row],[Peak revised]]="Yes",IF(Table12[[#This Row],[Net-zero target status]]&lt;=1,"",IF(Table12[[#This Row],[NZ GHG year]]="","",1000000000*(Table12[[#This Row],[residual LULUCF emissions in 2050]]-Table12[[#This Row],[GHG emissions excl LULUCF]])/(Table12[[#This Row],[NZ GHG year]]-2021)/Table12[[#This Row],[Population]])),"")</f>
        <v>-158.48022656849295</v>
      </c>
      <c r="AI60" s="32">
        <f>MAX(0,(1000000*(Table12[[#This Row],[Current Policies 2030 excl LULUCF]]/2+Table12[[#This Row],[GHG emissions excl LULUCF]]/2)/Table12[[#This Row],[Population]]-$AI$8)*10)*$AI$10</f>
        <v>0</v>
      </c>
      <c r="AJ6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0" s="32" t="str">
        <f>IF(Table12[[#This Row],[Formule no Peak (2)]]="","",Table12[[#This Row],[Penalty (1)]]+Table12[[#This Row],[Formule no Peak (2)]])</f>
        <v/>
      </c>
      <c r="AL60" s="313">
        <f>(Table12[[#This Row],[Current Policies 2030 excl LULUCF]]-Table12[[#This Row],[GHG emissions excl LULUCF]])/(2030-2021)/Table12[[#This Row],[GHG emissions excl LULUCF]]</f>
        <v>-4.4316136690594483E-2</v>
      </c>
      <c r="AM60" s="313">
        <f>IF(Table12[[#This Row],[Net-zero target status]]&lt;=1,"",IF(Table12[[#This Row],[NZ GHG year]]="","",(Table12[[#This Row],[residual LULUCF emissions in 2050]]-Table12[[#This Row],[Current Policies 2030 excl LULUCF]])/(Table12[[#This Row],[NZ GHG year]]-2030)/Table12[[#This Row],[Current Policies 2030 excl LULUCF]]))</f>
        <v>-3.0622212357302826E-2</v>
      </c>
      <c r="AN60" s="313">
        <f>IF(Table12[[#This Row],[Net-zero target status]]&lt;=1,"",IF(Table12[[#This Row],[NZ GHG year]]="","",(Table12[[#This Row],[residual LULUCF emissions in 2050]]-Table12[[#This Row],[GHG emissions excl LULUCF]])/(Table12[[#This Row],[NZ GHG year]]-2021)/Table12[[#This Row],[GHG emissions excl LULUCF]]))</f>
        <v>-2.6448931400495555E-2</v>
      </c>
      <c r="AO60" s="313" t="e">
        <f>IF(Table12[[#This Row],[Net-zero target status]]&lt;=1,"",IF(Table12[[#This Row],[NZ GHG year]]="","",(Table12[[#This Row],[residual LULUCF emissions in 2050]]-Table12[[#This Row],[2030 conditional NDCs]])/(Table12[[#This Row],[NZ GHG year]]-2030)/Table12[[#This Row],[2030 conditional NDCs]]))</f>
        <v>#DIV/0!</v>
      </c>
      <c r="AP60" s="96">
        <f>MAX('input site'!AH60:AS60)</f>
        <v>22.099167659756851</v>
      </c>
      <c r="AQ60" s="95" t="str">
        <f>IF(Table12[[#This Row],[Current Policies 2030 incl LULUCF]]&gt;Table12[[#This Row],[Maximum inventory data]],"No","Yes")</f>
        <v>Yes</v>
      </c>
      <c r="AR60" s="34">
        <f>IF(Table12[[#This Row],[Net-zero target status]]&gt;=1.5,Table12[[#This Row],[residual LULUCF emissions in 2050]]/Table12[[#This Row],[GHG emissions excl LULUCF]],"")</f>
        <v>0.23298098938562892</v>
      </c>
      <c r="AS60" s="74" t="str">
        <f>'input site'!BE60</f>
        <v/>
      </c>
      <c r="AT60" s="74"/>
      <c r="AU60" s="74"/>
      <c r="AV60" s="75"/>
      <c r="AW60" s="74" t="str">
        <f>IF(Table12[[#This Row],[2030 unconditional NDCs]]="","",IF(F60="incl",Table12[[#This Row],[2030 unconditional NDCs]]-Table12[[#This Row],[LULUCF NDC uncond]],Table12[[#This Row],[2030 unconditional NDCs]]))</f>
        <v/>
      </c>
      <c r="AX60" s="74" t="str">
        <f>IF(Table12[[#This Row],[2030 unconditional NDCs2]]="","",IF(F60="incl",Table12[[#This Row],[2030 unconditional NDCs2]]-Table12[[#This Row],[LULUCF NDC uncond]],Table12[[#This Row],[2030 unconditional NDCs2]]))</f>
        <v/>
      </c>
      <c r="AY60" s="74" t="str">
        <f>IF(Table12[[#This Row],[2030 conditional NDCs]]="","",IF(F60="incl",Table12[[#This Row],[2030 conditional NDCs]]-Table12[[#This Row],[LULUCF NDC cond]],Table12[[#This Row],[2030 conditional NDCs]]))</f>
        <v/>
      </c>
      <c r="AZ60" s="74" t="str">
        <f>IF(Table12[[#This Row],[2030 conditional NDCs2]]="","",IF(F60="incl",Table12[[#This Row],[2030 conditional NDCs2]]-Table12[[#This Row],[LULUCF NDC cond]],Table12[[#This Row],[2030 conditional NDCs2]]))</f>
        <v/>
      </c>
      <c r="BA60" s="8">
        <f>VLOOKUP($G60,'Population90 20'!$C$6:$AU$231,37,FALSE)</f>
        <v>4059286</v>
      </c>
      <c r="BB60" s="8">
        <f>VLOOKUP($G60,'Overview GDP (PPP)'!$C$6:$AI$231,33,FALSE)</f>
        <v>96660285.054704666</v>
      </c>
      <c r="BC60" s="36">
        <f>Table12[[#This Row],[Income]]/Table12[[#This Row],[Population]]</f>
        <v>23.812139636060298</v>
      </c>
      <c r="BD60" s="36">
        <f>Table12[[#This Row],[GHG emissions excl LULUCF]]*1000000/Table12[[#This Row],[Population]]</f>
        <v>5.9919330640905812</v>
      </c>
      <c r="BE60" s="23" t="e">
        <f>VLOOKUP($G60,EGR2023_MASTER!$B$4:$S$38,14,FALSE)</f>
        <v>#N/A</v>
      </c>
      <c r="BF60" s="23" t="e">
        <f>VLOOKUP($G60,EGR2023_MASTER!$B$4:$S$38,15,FALSE)</f>
        <v>#N/A</v>
      </c>
      <c r="BG60" s="23" t="e">
        <f>VLOOKUP($G60,EGR2023_MASTER!$B$4:$S$38,16,FALSE)</f>
        <v>#N/A</v>
      </c>
      <c r="BH60" s="23" t="e">
        <f t="shared" si="16"/>
        <v>#N/A</v>
      </c>
      <c r="BI60" s="23" t="e">
        <f t="shared" si="17"/>
        <v>#N/A</v>
      </c>
      <c r="BJ60" s="552">
        <f>(Table12[[#This Row],[Current Policies 2030 excl LULUCF]]/Table12[[#This Row],[GHG emissions excl LULUCF]])^(1/(2030-2021))-1</f>
        <v>-5.4975817535783289E-2</v>
      </c>
      <c r="BK60" s="552">
        <f>IF(Table12[[#This Row],[Net-zero target status]]&lt;=1,"",IF(Table12[[#This Row],[NZ GHG year]]="","",((MAX(Table12[[#This Row],[residual LULUCF emissions in 2050]],0.1)/Table12[[#This Row],[Current Policies 2030 excl LULUCF]])^(1/(Table12[[#This Row],[NZ GHG year]]-2021))-1)))</f>
        <v>-3.2157637737399214E-2</v>
      </c>
      <c r="BL60" s="552">
        <f>IF(Table12[[#This Row],[Net-zero target status]]&lt;=1,"",IF(Table12[[#This Row],[NZ GHG year]]="","",((MAX(Table12[[#This Row],[residual LULUCF emissions in 2050]],0.1)/Table12[[#This Row],[GHG emissions excl LULUCF]])^(1/(Table12[[#This Row],[NZ GHG year]]-2021))-1)))</f>
        <v>-4.899354441625603E-2</v>
      </c>
      <c r="BM60" s="552" t="e">
        <f>IF(Table12[[#This Row],[Net-zero target status]]&lt;=1,"",IF(Table12[[#This Row],[NZ GHG year]]="","",((MAX(Table12[[#This Row],[residual LULUCF emissions in 2050]],0.1)/AVERAGE(Table12[[#This Row],[2030 conditional NDCs]:[2030 conditional NDCs2]]))^(1/(Table12[[#This Row],[NZ GHG year]]-2021))-1)))</f>
        <v>#DIV/0!</v>
      </c>
      <c r="BN60" s="23"/>
      <c r="BO60" s="23"/>
      <c r="BP60" s="23"/>
      <c r="BQ60" s="23"/>
      <c r="BR60" s="50" t="s">
        <v>149</v>
      </c>
      <c r="BT60" s="30">
        <f>IF(Table12[[#This Row],[Reduction rate 2021 to NZ target2]]="","",J60*(1+AN60)^(Table12[[#This Row],[NZ GHG year]]-2021))</f>
        <v>8.5125278468373242</v>
      </c>
    </row>
    <row r="61" spans="1:72" ht="15" x14ac:dyDescent="0.25">
      <c r="A61">
        <v>0</v>
      </c>
      <c r="B61">
        <v>0</v>
      </c>
      <c r="C61">
        <v>192</v>
      </c>
      <c r="D61">
        <v>49</v>
      </c>
      <c r="E61">
        <v>4</v>
      </c>
      <c r="F61" t="str">
        <f>'input site'!M61</f>
        <v>excl</v>
      </c>
      <c r="G61" s="31" t="s">
        <v>150</v>
      </c>
      <c r="H61" s="1" t="s">
        <v>151</v>
      </c>
      <c r="I61" s="8">
        <f>VLOOKUP($G61,'NZT data'!$B$3:$C$200,2,FALSE)</f>
        <v>0</v>
      </c>
      <c r="J61" s="32">
        <f>'input site'!AS61</f>
        <v>51.069002999999995</v>
      </c>
      <c r="K61" s="32">
        <f>'input site'!BS61</f>
        <v>62.971614105481741</v>
      </c>
      <c r="L61" s="32">
        <f t="shared" si="14"/>
        <v>62.971614105481741</v>
      </c>
      <c r="M61" s="32">
        <f t="shared" si="15"/>
        <v>26.030282721008451</v>
      </c>
      <c r="N61" s="32">
        <f>'input site'!EV61</f>
        <v>26.030282721008451</v>
      </c>
      <c r="O61" s="8"/>
      <c r="P61" s="8"/>
      <c r="Q61" s="32">
        <f t="shared" si="18"/>
        <v>5.2940493903006214</v>
      </c>
      <c r="R61" s="32">
        <f>'input site'!EZ61</f>
        <v>5.2940493903006214</v>
      </c>
      <c r="S61" s="37">
        <f>'input site'!FA61</f>
        <v>0</v>
      </c>
      <c r="T61" s="37" t="str">
        <f>Table12[[#This Row],[(Mt CO2 equivalent)]]</f>
        <v>Cuba</v>
      </c>
      <c r="U61" s="8">
        <f>VLOOKUP($G61,'NZT data'!$B$3:$F$200,4,FALSE)</f>
        <v>2110</v>
      </c>
      <c r="V61" s="32" t="str">
        <f>VLOOKUP($G61,'NZT data'!$B$3:$F$200,5,FALSE)</f>
        <v/>
      </c>
      <c r="W61" s="32">
        <f>-IF('LUC NGHGI'!EC51="",MIN('LUC NGHGI'!DW51,0.1),MIN('LUC NGHGI'!EC51,0.1))</f>
        <v>28.319900276760336</v>
      </c>
      <c r="X61" s="32">
        <f>'LUC NGHGI'!EC51</f>
        <v>-28.319900276760336</v>
      </c>
      <c r="Y61" s="32">
        <f>'LUC NGHGI'!DY51</f>
        <v>-37.986566943427</v>
      </c>
      <c r="Z61" s="32">
        <f>'LUC NGHGI'!DZ51</f>
        <v>-42.486566943427</v>
      </c>
      <c r="AA61" s="32">
        <f>Table12[[#This Row],[2021 emissions]]</f>
        <v>51.069002999999995</v>
      </c>
      <c r="AB61" s="32">
        <f>'LUC NGHGI'!DW51</f>
        <v>-28.807866589336527</v>
      </c>
      <c r="AC61" s="32">
        <f>IF(F61="incl",Table12[[#This Row],[GHG emissions incl LULUCF]]-Table12[[#This Row],[LULUCF emis-sions in 20213]],Table12[[#This Row],[GHG emissions incl LULUCF]])</f>
        <v>51.069002999999995</v>
      </c>
      <c r="AD61" s="32">
        <f>'input site'!BS61</f>
        <v>62.971614105481741</v>
      </c>
      <c r="AE61" s="32">
        <f>'LUC NGHGI'!EH51</f>
        <v>-39.802158509239064</v>
      </c>
      <c r="AF61" s="32">
        <f>IF(F61="incl",Table12[[#This Row],[Current Policies 2030 incl LULUCF]]-Table12[[#This Row],[LULUCF CurPol 2030]],Table12[[#This Row],[Current Policies 2030 incl LULUCF]])</f>
        <v>62.971614105481741</v>
      </c>
      <c r="AG61" s="32" t="str">
        <f>IF(Table12[[#This Row],[Net-zero target status]]&lt;=1,"",IF(Table12[[#This Row],[NZ GHG year]]="","",1000000000*(Table12[[#This Row],[residual LULUCF emissions in 2050]]-Table12[[#This Row],[GHG emissions excl LULUCF]])/(Table12[[#This Row],[NZ GHG year]]-2021)/Table12[[#This Row],[Population]]))</f>
        <v/>
      </c>
      <c r="AH61" s="32" t="str">
        <f>IF(Table12[[#This Row],[Peak revised]]="Yes",IF(Table12[[#This Row],[Net-zero target status]]&lt;=1,"",IF(Table12[[#This Row],[NZ GHG year]]="","",1000000000*(Table12[[#This Row],[residual LULUCF emissions in 2050]]-Table12[[#This Row],[GHG emissions excl LULUCF]])/(Table12[[#This Row],[NZ GHG year]]-2021)/Table12[[#This Row],[Population]])),"")</f>
        <v/>
      </c>
      <c r="AI61" s="32">
        <f>MAX(0,(1000000*(Table12[[#This Row],[Current Policies 2030 excl LULUCF]]/2+Table12[[#This Row],[GHG emissions excl LULUCF]]/2)/Table12[[#This Row],[Population]]-$AI$8)*10)*$AI$10</f>
        <v>0</v>
      </c>
      <c r="AJ6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1" s="32" t="str">
        <f>IF(Table12[[#This Row],[Formule no Peak (2)]]="","",Table12[[#This Row],[Penalty (1)]]+Table12[[#This Row],[Formule no Peak (2)]])</f>
        <v/>
      </c>
      <c r="AL61" s="313">
        <f>(Table12[[#This Row],[Current Policies 2030 excl LULUCF]]-Table12[[#This Row],[GHG emissions excl LULUCF]])/(2030-2021)/Table12[[#This Row],[GHG emissions excl LULUCF]]</f>
        <v>2.5896576540832949E-2</v>
      </c>
      <c r="AM61" s="313" t="str">
        <f>IF(Table12[[#This Row],[Net-zero target status]]&lt;=1,"",IF(Table12[[#This Row],[NZ GHG year]]="","",(Table12[[#This Row],[residual LULUCF emissions in 2050]]-Table12[[#This Row],[Current Policies 2030 excl LULUCF]])/(Table12[[#This Row],[NZ GHG year]]-2030)/Table12[[#This Row],[Current Policies 2030 excl LULUCF]]))</f>
        <v/>
      </c>
      <c r="AN61" s="313" t="str">
        <f>IF(Table12[[#This Row],[Net-zero target status]]&lt;=1,"",IF(Table12[[#This Row],[NZ GHG year]]="","",(Table12[[#This Row],[residual LULUCF emissions in 2050]]-Table12[[#This Row],[GHG emissions excl LULUCF]])/(Table12[[#This Row],[NZ GHG year]]-2021)/Table12[[#This Row],[GHG emissions excl LULUCF]]))</f>
        <v/>
      </c>
      <c r="AO61" s="313" t="str">
        <f>IF(Table12[[#This Row],[Net-zero target status]]&lt;=1,"",IF(Table12[[#This Row],[NZ GHG year]]="","",(Table12[[#This Row],[residual LULUCF emissions in 2050]]-Table12[[#This Row],[2030 conditional NDCs]])/(Table12[[#This Row],[NZ GHG year]]-2030)/Table12[[#This Row],[2030 conditional NDCs]]))</f>
        <v/>
      </c>
      <c r="AP61" s="96">
        <f>MAX('input site'!AH61:AS61)</f>
        <v>53.273462000000002</v>
      </c>
      <c r="AQ61" s="95" t="str">
        <f>IF(Table12[[#This Row],[Current Policies 2030 incl LULUCF]]&gt;Table12[[#This Row],[Maximum inventory data]],"No","Yes")</f>
        <v>No</v>
      </c>
      <c r="AR61" s="443" t="str">
        <f>IF(Table12[[#This Row],[Net-zero target status]]&gt;=1.5,Table12[[#This Row],[residual LULUCF emissions in 2050]]/Table12[[#This Row],[GHG emissions excl LULUCF]],"")</f>
        <v/>
      </c>
      <c r="AS61" s="74" t="str">
        <f>'input site'!BE61</f>
        <v/>
      </c>
      <c r="AT61" s="74"/>
      <c r="AU61" s="74"/>
      <c r="AV61" s="75"/>
      <c r="AW61" s="74" t="str">
        <f>IF(Table12[[#This Row],[2030 unconditional NDCs]]="","",IF(F61="incl",Table12[[#This Row],[2030 unconditional NDCs]]-Table12[[#This Row],[LULUCF NDC uncond]],Table12[[#This Row],[2030 unconditional NDCs]]))</f>
        <v/>
      </c>
      <c r="AX61" s="74" t="str">
        <f>IF(Table12[[#This Row],[2030 unconditional NDCs2]]="","",IF(F61="incl",Table12[[#This Row],[2030 unconditional NDCs2]]-Table12[[#This Row],[LULUCF NDC uncond]],Table12[[#This Row],[2030 unconditional NDCs2]]))</f>
        <v/>
      </c>
      <c r="AY61" s="74" t="str">
        <f>IF(Table12[[#This Row],[2030 conditional NDCs]]="","",IF(F61="incl",Table12[[#This Row],[2030 conditional NDCs]]-Table12[[#This Row],[LULUCF NDC cond]],Table12[[#This Row],[2030 conditional NDCs]]))</f>
        <v/>
      </c>
      <c r="AZ61" s="74" t="str">
        <f>IF(Table12[[#This Row],[2030 conditional NDCs2]]="","",IF(F61="incl",Table12[[#This Row],[2030 conditional NDCs2]]-Table12[[#This Row],[LULUCF NDC cond]],Table12[[#This Row],[2030 conditional NDCs2]]))</f>
        <v/>
      </c>
      <c r="BA61" s="8">
        <f>VLOOKUP($G61,'Population90 20'!$C$6:$AU$231,37,FALSE)</f>
        <v>11305652</v>
      </c>
      <c r="BB61" s="8">
        <f>VLOOKUP($G61,'Overview GDP (PPP)'!$C$6:$AI$231,33,FALSE)</f>
        <v>290969094.57371551</v>
      </c>
      <c r="BC61" s="36">
        <f>Table12[[#This Row],[Income]]/Table12[[#This Row],[Population]]</f>
        <v>25.73660453848354</v>
      </c>
      <c r="BD61" s="36">
        <f>Table12[[#This Row],[GHG emissions excl LULUCF]]*1000000/Table12[[#This Row],[Population]]</f>
        <v>4.5171214362515313</v>
      </c>
      <c r="BE61" s="23" t="e">
        <f>VLOOKUP($G61,EGR2023_MASTER!$B$4:$S$38,14,FALSE)</f>
        <v>#N/A</v>
      </c>
      <c r="BF61" s="23" t="e">
        <f>VLOOKUP($G61,EGR2023_MASTER!$B$4:$S$38,15,FALSE)</f>
        <v>#N/A</v>
      </c>
      <c r="BG61" s="23" t="e">
        <f>VLOOKUP($G61,EGR2023_MASTER!$B$4:$S$38,16,FALSE)</f>
        <v>#N/A</v>
      </c>
      <c r="BH61" s="23" t="e">
        <f t="shared" si="16"/>
        <v>#N/A</v>
      </c>
      <c r="BI61" s="23" t="e">
        <f t="shared" si="17"/>
        <v>#N/A</v>
      </c>
      <c r="BJ61" s="552">
        <f>(Table12[[#This Row],[Current Policies 2030 excl LULUCF]]/Table12[[#This Row],[GHG emissions excl LULUCF]])^(1/(2030-2021))-1</f>
        <v>2.3551540411518301E-2</v>
      </c>
      <c r="BK61" s="552" t="str">
        <f>IF(Table12[[#This Row],[Net-zero target status]]&lt;=1,"",IF(Table12[[#This Row],[NZ GHG year]]="","",((MAX(Table12[[#This Row],[residual LULUCF emissions in 2050]],0.1)/Table12[[#This Row],[Current Policies 2030 excl LULUCF]])^(1/(Table12[[#This Row],[NZ GHG year]]-2021))-1)))</f>
        <v/>
      </c>
      <c r="BL61" s="552" t="str">
        <f>IF(Table12[[#This Row],[Net-zero target status]]&lt;=1,"",IF(Table12[[#This Row],[NZ GHG year]]="","",((MAX(Table12[[#This Row],[residual LULUCF emissions in 2050]],0.1)/Table12[[#This Row],[GHG emissions excl LULUCF]])^(1/(Table12[[#This Row],[NZ GHG year]]-2021))-1)))</f>
        <v/>
      </c>
      <c r="BM61" s="552" t="str">
        <f>IF(Table12[[#This Row],[Net-zero target status]]&lt;=1,"",IF(Table12[[#This Row],[NZ GHG year]]="","",((MAX(Table12[[#This Row],[residual LULUCF emissions in 2050]],0.1)/AVERAGE(Table12[[#This Row],[2030 conditional NDCs]:[2030 conditional NDCs2]]))^(1/(Table12[[#This Row],[NZ GHG year]]-2021))-1)))</f>
        <v/>
      </c>
      <c r="BN61" s="23"/>
      <c r="BO61" s="23"/>
      <c r="BP61" s="23"/>
      <c r="BQ61" s="23"/>
      <c r="BR61" s="50" t="s">
        <v>151</v>
      </c>
      <c r="BT61" s="30" t="str">
        <f>IF(Table12[[#This Row],[Reduction rate 2021 to NZ target2]]="","",J61*(1+AN61)^(Table12[[#This Row],[NZ GHG year]]-2021))</f>
        <v/>
      </c>
    </row>
    <row r="62" spans="1:72" ht="15" x14ac:dyDescent="0.25">
      <c r="A62">
        <v>0</v>
      </c>
      <c r="B62">
        <v>0</v>
      </c>
      <c r="C62">
        <v>196</v>
      </c>
      <c r="D62">
        <v>50</v>
      </c>
      <c r="E62">
        <v>12</v>
      </c>
      <c r="F62" t="str">
        <f>'input site'!M62</f>
        <v>incl</v>
      </c>
      <c r="G62" s="31" t="s">
        <v>152</v>
      </c>
      <c r="H62" s="1" t="s">
        <v>153</v>
      </c>
      <c r="I62" s="8">
        <f>VLOOKUP($G62,'NZT data'!$B$3:$C$200,2,FALSE)</f>
        <v>3</v>
      </c>
      <c r="J62" s="32">
        <f>'input site'!AS62</f>
        <v>8.3872118558293938</v>
      </c>
      <c r="K62" s="32">
        <f>'input site'!BS62</f>
        <v>4.2975502941882393</v>
      </c>
      <c r="L62" s="32">
        <f t="shared" si="14"/>
        <v>0</v>
      </c>
      <c r="M62" s="32">
        <f t="shared" si="15"/>
        <v>0</v>
      </c>
      <c r="N62" s="32">
        <f>'input site'!EV62</f>
        <v>1.9302900462610979</v>
      </c>
      <c r="O62" s="8"/>
      <c r="P62" s="8"/>
      <c r="Q62" s="32">
        <f t="shared" si="18"/>
        <v>0</v>
      </c>
      <c r="R62" s="32">
        <f>'input site'!EZ62</f>
        <v>0.94168107154889202</v>
      </c>
      <c r="S62" s="37" t="str">
        <f>'input site'!FA62</f>
        <v>2050 (part of the EU)</v>
      </c>
      <c r="T62" s="37" t="str">
        <f>Table12[[#This Row],[(Mt CO2 equivalent)]]</f>
        <v>Cyprus</v>
      </c>
      <c r="U62" s="8">
        <f>VLOOKUP($G62,'NZT data'!$B$3:$F$200,4,FALSE)</f>
        <v>2050</v>
      </c>
      <c r="V62" s="32">
        <f>VLOOKUP($G62,'NZT data'!$B$3:$F$200,5,FALSE)</f>
        <v>2050</v>
      </c>
      <c r="W62" s="32">
        <f>-IF('LUC NGHGI'!EC52="",MIN('LUC NGHGI'!DW52,0.1),MIN('LUC NGHGI'!EC52,0.1))</f>
        <v>0.29876105859942059</v>
      </c>
      <c r="X62" s="32">
        <f>'LUC NGHGI'!EC52</f>
        <v>-0.29876105859942059</v>
      </c>
      <c r="Y62" s="32">
        <f>'LUC NGHGI'!DY52</f>
        <v>-0.29876105859942059</v>
      </c>
      <c r="Z62" s="32">
        <f>'LUC NGHGI'!DZ52</f>
        <v>-0.29876105859942059</v>
      </c>
      <c r="AA62" s="32">
        <f>Table12[[#This Row],[2021 emissions]]</f>
        <v>8.3872118558293938</v>
      </c>
      <c r="AB62" s="32">
        <f>'LUC NGHGI'!DW52</f>
        <v>-0.2355193441706073</v>
      </c>
      <c r="AC62" s="32">
        <f>IF(F62="incl",Table12[[#This Row],[GHG emissions incl LULUCF]]-Table12[[#This Row],[LULUCF emis-sions in 20213]],Table12[[#This Row],[GHG emissions incl LULUCF]])</f>
        <v>8.6227312000000005</v>
      </c>
      <c r="AD62" s="32">
        <f>'input site'!BS62</f>
        <v>4.2975502941882393</v>
      </c>
      <c r="AE62" s="32">
        <f>'LUC NGHGI'!EH52</f>
        <v>-0.33197665227444179</v>
      </c>
      <c r="AF62" s="32">
        <f>IF(F62="incl",Table12[[#This Row],[Current Policies 2030 incl LULUCF]]-Table12[[#This Row],[LULUCF CurPol 2030]],Table12[[#This Row],[Current Policies 2030 incl LULUCF]])</f>
        <v>4.6295269464626809</v>
      </c>
      <c r="AG62" s="32">
        <f>IF(Table12[[#This Row],[Net-zero target status]]&lt;=1,"",IF(Table12[[#This Row],[NZ GHG year]]="","",1000000000*(Table12[[#This Row],[residual LULUCF emissions in 2050]]-Table12[[#This Row],[GHG emissions excl LULUCF]])/(Table12[[#This Row],[NZ GHG year]]-2021)/Table12[[#This Row],[Population]]))</f>
        <v>-234.62195785286596</v>
      </c>
      <c r="AH62" s="32">
        <f>IF(Table12[[#This Row],[Peak revised]]="Yes",IF(Table12[[#This Row],[Net-zero target status]]&lt;=1,"",IF(Table12[[#This Row],[NZ GHG year]]="","",1000000000*(Table12[[#This Row],[residual LULUCF emissions in 2050]]-Table12[[#This Row],[GHG emissions excl LULUCF]])/(Table12[[#This Row],[NZ GHG year]]-2021)/Table12[[#This Row],[Population]])),"")</f>
        <v>-234.62195785286596</v>
      </c>
      <c r="AI62" s="32">
        <f>MAX(0,(1000000*(Table12[[#This Row],[Current Policies 2030 excl LULUCF]]/2+Table12[[#This Row],[GHG emissions excl LULUCF]]/2)/Table12[[#This Row],[Population]]-$AI$8)*10)*$AI$10</f>
        <v>0</v>
      </c>
      <c r="AJ6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2" s="32" t="str">
        <f>IF(Table12[[#This Row],[Formule no Peak (2)]]="","",Table12[[#This Row],[Penalty (1)]]+Table12[[#This Row],[Formule no Peak (2)]])</f>
        <v/>
      </c>
      <c r="AL62" s="313">
        <f>(Table12[[#This Row],[Current Policies 2030 excl LULUCF]]-Table12[[#This Row],[GHG emissions excl LULUCF]])/(2030-2021)/Table12[[#This Row],[GHG emissions excl LULUCF]]</f>
        <v>-5.1455780217774458E-2</v>
      </c>
      <c r="AM62" s="313">
        <f>IF(Table12[[#This Row],[Net-zero target status]]&lt;=1,"",IF(Table12[[#This Row],[NZ GHG year]]="","",(Table12[[#This Row],[residual LULUCF emissions in 2050]]-Table12[[#This Row],[Current Policies 2030 excl LULUCF]])/(Table12[[#This Row],[NZ GHG year]]-2030)/Table12[[#This Row],[Current Policies 2030 excl LULUCF]]))</f>
        <v>-4.6773309000526529E-2</v>
      </c>
      <c r="AN62" s="313">
        <f>IF(Table12[[#This Row],[Net-zero target status]]&lt;=1,"",IF(Table12[[#This Row],[NZ GHG year]]="","",(Table12[[#This Row],[residual LULUCF emissions in 2050]]-Table12[[#This Row],[GHG emissions excl LULUCF]])/(Table12[[#This Row],[NZ GHG year]]-2021)/Table12[[#This Row],[GHG emissions excl LULUCF]]))</f>
        <v>-3.3287997328705327E-2</v>
      </c>
      <c r="AO62" s="313" t="e">
        <f>IF(Table12[[#This Row],[Net-zero target status]]&lt;=1,"",IF(Table12[[#This Row],[NZ GHG year]]="","",(Table12[[#This Row],[residual LULUCF emissions in 2050]]-Table12[[#This Row],[2030 conditional NDCs]])/(Table12[[#This Row],[NZ GHG year]]-2030)/Table12[[#This Row],[2030 conditional NDCs]]))</f>
        <v>#DIV/0!</v>
      </c>
      <c r="AP62" s="96">
        <f>MAX('input site'!AH62:AS62)</f>
        <v>9.1595734866440139</v>
      </c>
      <c r="AQ62" s="95" t="str">
        <f>IF(Table12[[#This Row],[Current Policies 2030 incl LULUCF]]&gt;Table12[[#This Row],[Maximum inventory data]],"No","Yes")</f>
        <v>Yes</v>
      </c>
      <c r="AR62" s="34">
        <f>IF(Table12[[#This Row],[Net-zero target status]]&gt;=1.5,Table12[[#This Row],[residual LULUCF emissions in 2050]]/Table12[[#This Row],[GHG emissions excl LULUCF]],"")</f>
        <v>3.4648077467545384E-2</v>
      </c>
      <c r="AS62" s="74" t="str">
        <f>'input site'!BE62</f>
        <v/>
      </c>
      <c r="AT62" s="74"/>
      <c r="AU62" s="74"/>
      <c r="AV62" s="75"/>
      <c r="AW62" s="74" t="str">
        <f>IF(Table12[[#This Row],[2030 unconditional NDCs]]="","",IF(F62="incl",Table12[[#This Row],[2030 unconditional NDCs]]-Table12[[#This Row],[LULUCF NDC uncond]],Table12[[#This Row],[2030 unconditional NDCs]]))</f>
        <v/>
      </c>
      <c r="AX62" s="74" t="str">
        <f>IF(Table12[[#This Row],[2030 unconditional NDCs2]]="","",IF(F62="incl",Table12[[#This Row],[2030 unconditional NDCs2]]-Table12[[#This Row],[LULUCF NDC uncond]],Table12[[#This Row],[2030 unconditional NDCs2]]))</f>
        <v/>
      </c>
      <c r="AY62" s="74" t="str">
        <f>IF(Table12[[#This Row],[2030 conditional NDCs]]="","",IF(F62="incl",Table12[[#This Row],[2030 conditional NDCs]]-Table12[[#This Row],[LULUCF NDC cond]],Table12[[#This Row],[2030 conditional NDCs]]))</f>
        <v/>
      </c>
      <c r="AZ62" s="74" t="str">
        <f>IF(Table12[[#This Row],[2030 conditional NDCs2]]="","",IF(F62="incl",Table12[[#This Row],[2030 conditional NDCs2]]-Table12[[#This Row],[LULUCF NDC cond]],Table12[[#This Row],[2030 conditional NDCs2]]))</f>
        <v/>
      </c>
      <c r="BA62" s="8">
        <f>VLOOKUP($G62,'Population90 20'!$C$6:$AU$231,37,FALSE)</f>
        <v>1223387</v>
      </c>
      <c r="BB62" s="8">
        <f>VLOOKUP($G62,'Overview GDP (PPP)'!$C$6:$AI$231,33,FALSE)</f>
        <v>29573188.528724793</v>
      </c>
      <c r="BC62" s="36">
        <f>Table12[[#This Row],[Income]]/Table12[[#This Row],[Population]]</f>
        <v>24.173208092553537</v>
      </c>
      <c r="BD62" s="36">
        <f>Table12[[#This Row],[GHG emissions excl LULUCF]]*1000000/Table12[[#This Row],[Population]]</f>
        <v>7.0482449135065197</v>
      </c>
      <c r="BE62" s="23" t="e">
        <f>VLOOKUP($G62,EGR2023_MASTER!$B$4:$S$38,14,FALSE)</f>
        <v>#N/A</v>
      </c>
      <c r="BF62" s="23" t="e">
        <f>VLOOKUP($G62,EGR2023_MASTER!$B$4:$S$38,15,FALSE)</f>
        <v>#N/A</v>
      </c>
      <c r="BG62" s="23" t="e">
        <f>VLOOKUP($G62,EGR2023_MASTER!$B$4:$S$38,16,FALSE)</f>
        <v>#N/A</v>
      </c>
      <c r="BH62" s="23" t="e">
        <f t="shared" si="16"/>
        <v>#N/A</v>
      </c>
      <c r="BI62" s="23" t="e">
        <f t="shared" si="17"/>
        <v>#N/A</v>
      </c>
      <c r="BJ62" s="552">
        <f>(Table12[[#This Row],[Current Policies 2030 excl LULUCF]]/Table12[[#This Row],[GHG emissions excl LULUCF]])^(1/(2030-2021))-1</f>
        <v>-6.6771540910057992E-2</v>
      </c>
      <c r="BK62" s="552">
        <f>IF(Table12[[#This Row],[Net-zero target status]]&lt;=1,"",IF(Table12[[#This Row],[NZ GHG year]]="","",((MAX(Table12[[#This Row],[residual LULUCF emissions in 2050]],0.1)/Table12[[#This Row],[Current Policies 2030 excl LULUCF]])^(1/(Table12[[#This Row],[NZ GHG year]]-2021))-1)))</f>
        <v>-9.0174331360664772E-2</v>
      </c>
      <c r="BL62" s="552">
        <f>IF(Table12[[#This Row],[Net-zero target status]]&lt;=1,"",IF(Table12[[#This Row],[NZ GHG year]]="","",((MAX(Table12[[#This Row],[residual LULUCF emissions in 2050]],0.1)/Table12[[#This Row],[GHG emissions excl LULUCF]])^(1/(Table12[[#This Row],[NZ GHG year]]-2021))-1)))</f>
        <v>-0.10947911685174483</v>
      </c>
      <c r="BM62" s="552" t="e">
        <f>IF(Table12[[#This Row],[Net-zero target status]]&lt;=1,"",IF(Table12[[#This Row],[NZ GHG year]]="","",((MAX(Table12[[#This Row],[residual LULUCF emissions in 2050]],0.1)/AVERAGE(Table12[[#This Row],[2030 conditional NDCs]:[2030 conditional NDCs2]]))^(1/(Table12[[#This Row],[NZ GHG year]]-2021))-1)))</f>
        <v>#DIV/0!</v>
      </c>
      <c r="BN62" s="23"/>
      <c r="BO62" s="23"/>
      <c r="BP62" s="23"/>
      <c r="BQ62" s="23"/>
      <c r="BR62" s="50" t="s">
        <v>153</v>
      </c>
      <c r="BT62" s="30">
        <f>IF(Table12[[#This Row],[Reduction rate 2021 to NZ target2]]="","",J62*(1+AN62)^(Table12[[#This Row],[NZ GHG year]]-2021))</f>
        <v>3.1422000183143646</v>
      </c>
    </row>
    <row r="63" spans="1:72" ht="15" x14ac:dyDescent="0.25">
      <c r="A63">
        <v>0</v>
      </c>
      <c r="B63">
        <v>0</v>
      </c>
      <c r="C63">
        <v>203</v>
      </c>
      <c r="D63">
        <v>51</v>
      </c>
      <c r="E63">
        <v>12</v>
      </c>
      <c r="F63" t="str">
        <f>'input site'!M63</f>
        <v>incl</v>
      </c>
      <c r="G63" s="31" t="s">
        <v>154</v>
      </c>
      <c r="H63" s="1" t="s">
        <v>155</v>
      </c>
      <c r="I63" s="8">
        <f>VLOOKUP($G63,'NZT data'!$B$3:$C$200,2,FALSE)</f>
        <v>1</v>
      </c>
      <c r="J63" s="32">
        <f>'input site'!AS63</f>
        <v>126.1911422025979</v>
      </c>
      <c r="K63" s="32">
        <f>'input site'!BS63</f>
        <v>64.659482748107635</v>
      </c>
      <c r="L63" s="32">
        <f t="shared" si="14"/>
        <v>0</v>
      </c>
      <c r="M63" s="32">
        <f t="shared" si="15"/>
        <v>0</v>
      </c>
      <c r="N63" s="32">
        <f>'input site'!EV63</f>
        <v>29.484514209753783</v>
      </c>
      <c r="O63" s="8"/>
      <c r="P63" s="8"/>
      <c r="Q63" s="32">
        <f t="shared" si="18"/>
        <v>0</v>
      </c>
      <c r="R63" s="32">
        <f>'input site'!EZ63</f>
        <v>14.383853343138403</v>
      </c>
      <c r="S63" s="37" t="str">
        <f>'input site'!FA63</f>
        <v>2050 (part of the EU)</v>
      </c>
      <c r="T63" s="37" t="str">
        <f>Table12[[#This Row],[(Mt CO2 equivalent)]]</f>
        <v>Czech Republic</v>
      </c>
      <c r="U63" s="8">
        <f>VLOOKUP($G63,'NZT data'!$B$3:$F$200,4,FALSE)</f>
        <v>2110</v>
      </c>
      <c r="V63" s="32">
        <f>VLOOKUP($G63,'NZT data'!$B$3:$F$200,5,FALSE)</f>
        <v>2110</v>
      </c>
      <c r="W63" s="32">
        <f>-IF('LUC NGHGI'!EC53="",MIN('LUC NGHGI'!DW53,0.1),MIN('LUC NGHGI'!EC53,0.1))</f>
        <v>-0.1</v>
      </c>
      <c r="X63" s="32">
        <f>'LUC NGHGI'!EC53</f>
        <v>11.267387431388597</v>
      </c>
      <c r="Y63" s="32">
        <f>'LUC NGHGI'!DY53</f>
        <v>11.267387431388597</v>
      </c>
      <c r="Z63" s="32">
        <f>'LUC NGHGI'!DZ53</f>
        <v>11.267387431388597</v>
      </c>
      <c r="AA63" s="32">
        <f>Table12[[#This Row],[2021 emissions]]</f>
        <v>126.1911422025979</v>
      </c>
      <c r="AB63" s="32">
        <f>'LUC NGHGI'!DW53</f>
        <v>8.3575322025978913</v>
      </c>
      <c r="AC63" s="32">
        <f>IF(F63="incl",Table12[[#This Row],[GHG emissions incl LULUCF]]-Table12[[#This Row],[LULUCF emis-sions in 20213]],Table12[[#This Row],[GHG emissions incl LULUCF]])</f>
        <v>117.83361000000001</v>
      </c>
      <c r="AD63" s="32">
        <f>'input site'!BS63</f>
        <v>64.659482748107635</v>
      </c>
      <c r="AE63" s="32">
        <f>'LUC NGHGI'!EH53</f>
        <v>9.7457153498808218</v>
      </c>
      <c r="AF63" s="32">
        <f>IF(F63="incl",Table12[[#This Row],[Current Policies 2030 incl LULUCF]]-Table12[[#This Row],[LULUCF CurPol 2030]],Table12[[#This Row],[Current Policies 2030 incl LULUCF]])</f>
        <v>54.91376739822681</v>
      </c>
      <c r="AG63" s="32" t="str">
        <f>IF(Table12[[#This Row],[Net-zero target status]]&lt;=1,"",IF(Table12[[#This Row],[NZ GHG year]]="","",1000000000*(Table12[[#This Row],[residual LULUCF emissions in 2050]]-Table12[[#This Row],[GHG emissions excl LULUCF]])/(Table12[[#This Row],[NZ GHG year]]-2021)/Table12[[#This Row],[Population]]))</f>
        <v/>
      </c>
      <c r="AH63" s="32" t="str">
        <f>IF(Table12[[#This Row],[Peak revised]]="Yes",IF(Table12[[#This Row],[Net-zero target status]]&lt;=1,"",IF(Table12[[#This Row],[NZ GHG year]]="","",1000000000*(Table12[[#This Row],[residual LULUCF emissions in 2050]]-Table12[[#This Row],[GHG emissions excl LULUCF]])/(Table12[[#This Row],[NZ GHG year]]-2021)/Table12[[#This Row],[Population]])),"")</f>
        <v/>
      </c>
      <c r="AI63" s="32">
        <f>MAX(0,(1000000*(Table12[[#This Row],[Current Policies 2030 excl LULUCF]]/2+Table12[[#This Row],[GHG emissions excl LULUCF]]/2)/Table12[[#This Row],[Population]]-$AI$8)*10)*$AI$10</f>
        <v>-104.46517969546019</v>
      </c>
      <c r="AJ6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3" s="32" t="str">
        <f>IF(Table12[[#This Row],[Formule no Peak (2)]]="","",Table12[[#This Row],[Penalty (1)]]+Table12[[#This Row],[Formule no Peak (2)]])</f>
        <v/>
      </c>
      <c r="AL63" s="313">
        <f>(Table12[[#This Row],[Current Policies 2030 excl LULUCF]]-Table12[[#This Row],[GHG emissions excl LULUCF]])/(2030-2021)/Table12[[#This Row],[GHG emissions excl LULUCF]]</f>
        <v>-5.9330216755807144E-2</v>
      </c>
      <c r="AM63" s="313" t="str">
        <f>IF(Table12[[#This Row],[Net-zero target status]]&lt;=1,"",IF(Table12[[#This Row],[NZ GHG year]]="","",(Table12[[#This Row],[residual LULUCF emissions in 2050]]-Table12[[#This Row],[Current Policies 2030 excl LULUCF]])/(Table12[[#This Row],[NZ GHG year]]-2030)/Table12[[#This Row],[Current Policies 2030 excl LULUCF]]))</f>
        <v/>
      </c>
      <c r="AN63" s="313" t="str">
        <f>IF(Table12[[#This Row],[Net-zero target status]]&lt;=1,"",IF(Table12[[#This Row],[NZ GHG year]]="","",(Table12[[#This Row],[residual LULUCF emissions in 2050]]-Table12[[#This Row],[GHG emissions excl LULUCF]])/(Table12[[#This Row],[NZ GHG year]]-2021)/Table12[[#This Row],[GHG emissions excl LULUCF]]))</f>
        <v/>
      </c>
      <c r="AO63" s="313" t="str">
        <f>IF(Table12[[#This Row],[Net-zero target status]]&lt;=1,"",IF(Table12[[#This Row],[NZ GHG year]]="","",(Table12[[#This Row],[residual LULUCF emissions in 2050]]-Table12[[#This Row],[2030 conditional NDCs]])/(Table12[[#This Row],[NZ GHG year]]-2030)/Table12[[#This Row],[2030 conditional NDCs]]))</f>
        <v/>
      </c>
      <c r="AP63" s="96">
        <f>MAX('input site'!AH63:AS63)</f>
        <v>132.04749070219904</v>
      </c>
      <c r="AQ63" s="95" t="str">
        <f>IF(Table12[[#This Row],[Current Policies 2030 incl LULUCF]]&gt;Table12[[#This Row],[Maximum inventory data]],"No","Yes")</f>
        <v>Yes</v>
      </c>
      <c r="AR63" s="34" t="str">
        <f>IF(Table12[[#This Row],[Net-zero target status]]&gt;=1.5,Table12[[#This Row],[residual LULUCF emissions in 2050]]/Table12[[#This Row],[GHG emissions excl LULUCF]],"")</f>
        <v/>
      </c>
      <c r="AS63" s="74" t="str">
        <f>'input site'!BE63</f>
        <v/>
      </c>
      <c r="AT63" s="74"/>
      <c r="AU63" s="74"/>
      <c r="AV63" s="75"/>
      <c r="AW63" s="74" t="str">
        <f>IF(Table12[[#This Row],[2030 unconditional NDCs]]="","",IF(F63="incl",Table12[[#This Row],[2030 unconditional NDCs]]-Table12[[#This Row],[LULUCF NDC uncond]],Table12[[#This Row],[2030 unconditional NDCs]]))</f>
        <v/>
      </c>
      <c r="AX63" s="74" t="str">
        <f>IF(Table12[[#This Row],[2030 unconditional NDCs2]]="","",IF(F63="incl",Table12[[#This Row],[2030 unconditional NDCs2]]-Table12[[#This Row],[LULUCF NDC uncond]],Table12[[#This Row],[2030 unconditional NDCs2]]))</f>
        <v/>
      </c>
      <c r="AY63" s="74" t="str">
        <f>IF(Table12[[#This Row],[2030 conditional NDCs]]="","",IF(F63="incl",Table12[[#This Row],[2030 conditional NDCs]]-Table12[[#This Row],[LULUCF NDC cond]],Table12[[#This Row],[2030 conditional NDCs]]))</f>
        <v/>
      </c>
      <c r="AZ63" s="74" t="str">
        <f>IF(Table12[[#This Row],[2030 conditional NDCs2]]="","",IF(F63="incl",Table12[[#This Row],[2030 conditional NDCs2]]-Table12[[#This Row],[LULUCF NDC cond]],Table12[[#This Row],[2030 conditional NDCs2]]))</f>
        <v/>
      </c>
      <c r="BA63" s="8">
        <f>VLOOKUP($G63,'Population90 20'!$C$6:$AU$231,37,FALSE)</f>
        <v>10736784</v>
      </c>
      <c r="BB63" s="8">
        <f>VLOOKUP($G63,'Overview GDP (PPP)'!$C$6:$AI$231,33,FALSE)</f>
        <v>355051876.63709527</v>
      </c>
      <c r="BC63" s="36">
        <f>Table12[[#This Row],[Income]]/Table12[[#This Row],[Population]]</f>
        <v>33.068736097987561</v>
      </c>
      <c r="BD63" s="36">
        <f>Table12[[#This Row],[GHG emissions excl LULUCF]]*1000000/Table12[[#This Row],[Population]]</f>
        <v>10.974758363398202</v>
      </c>
      <c r="BE63" s="23" t="e">
        <f>VLOOKUP($G63,EGR2023_MASTER!$B$4:$S$38,14,FALSE)</f>
        <v>#N/A</v>
      </c>
      <c r="BF63" s="23" t="e">
        <f>VLOOKUP($G63,EGR2023_MASTER!$B$4:$S$38,15,FALSE)</f>
        <v>#N/A</v>
      </c>
      <c r="BG63" s="23" t="e">
        <f>VLOOKUP($G63,EGR2023_MASTER!$B$4:$S$38,16,FALSE)</f>
        <v>#N/A</v>
      </c>
      <c r="BH63" s="23" t="e">
        <f t="shared" si="16"/>
        <v>#N/A</v>
      </c>
      <c r="BI63" s="23" t="e">
        <f t="shared" si="17"/>
        <v>#N/A</v>
      </c>
      <c r="BJ63" s="552">
        <f>(Table12[[#This Row],[Current Policies 2030 excl LULUCF]]/Table12[[#This Row],[GHG emissions excl LULUCF]])^(1/(2030-2021))-1</f>
        <v>-8.1335582594678657E-2</v>
      </c>
      <c r="BK63" s="552" t="str">
        <f>IF(Table12[[#This Row],[Net-zero target status]]&lt;=1,"",IF(Table12[[#This Row],[NZ GHG year]]="","",((MAX(Table12[[#This Row],[residual LULUCF emissions in 2050]],0.1)/Table12[[#This Row],[Current Policies 2030 excl LULUCF]])^(1/(Table12[[#This Row],[NZ GHG year]]-2021))-1)))</f>
        <v/>
      </c>
      <c r="BL63" s="552" t="str">
        <f>IF(Table12[[#This Row],[Net-zero target status]]&lt;=1,"",IF(Table12[[#This Row],[NZ GHG year]]="","",((MAX(Table12[[#This Row],[residual LULUCF emissions in 2050]],0.1)/Table12[[#This Row],[GHG emissions excl LULUCF]])^(1/(Table12[[#This Row],[NZ GHG year]]-2021))-1)))</f>
        <v/>
      </c>
      <c r="BM63" s="552" t="str">
        <f>IF(Table12[[#This Row],[Net-zero target status]]&lt;=1,"",IF(Table12[[#This Row],[NZ GHG year]]="","",((MAX(Table12[[#This Row],[residual LULUCF emissions in 2050]],0.1)/AVERAGE(Table12[[#This Row],[2030 conditional NDCs]:[2030 conditional NDCs2]]))^(1/(Table12[[#This Row],[NZ GHG year]]-2021))-1)))</f>
        <v/>
      </c>
      <c r="BN63" s="23"/>
      <c r="BO63" s="23"/>
      <c r="BP63" s="23"/>
      <c r="BQ63" s="23"/>
      <c r="BR63" s="50" t="s">
        <v>155</v>
      </c>
      <c r="BT63" s="30" t="str">
        <f>IF(Table12[[#This Row],[Reduction rate 2021 to NZ target2]]="","",J63*(1+AN63)^(Table12[[#This Row],[NZ GHG year]]-2021))</f>
        <v/>
      </c>
    </row>
    <row r="64" spans="1:72" ht="15" x14ac:dyDescent="0.25">
      <c r="A64">
        <v>0</v>
      </c>
      <c r="B64">
        <v>0</v>
      </c>
      <c r="C64">
        <v>208</v>
      </c>
      <c r="D64">
        <v>53</v>
      </c>
      <c r="E64">
        <v>11</v>
      </c>
      <c r="F64" t="str">
        <f>'input site'!M64</f>
        <v>incl</v>
      </c>
      <c r="G64" s="31" t="s">
        <v>156</v>
      </c>
      <c r="H64" s="1" t="s">
        <v>157</v>
      </c>
      <c r="I64" s="8">
        <f>VLOOKUP($G64,'NZT data'!$B$3:$C$200,2,FALSE)</f>
        <v>2</v>
      </c>
      <c r="J64" s="32">
        <f>'input site'!AS64</f>
        <v>47.709399926904858</v>
      </c>
      <c r="K64" s="32">
        <f>'input site'!BS64</f>
        <v>26.619436216147736</v>
      </c>
      <c r="L64" s="32">
        <f t="shared" si="14"/>
        <v>0</v>
      </c>
      <c r="M64" s="32">
        <f t="shared" si="15"/>
        <v>0</v>
      </c>
      <c r="N64" s="32">
        <f>'input site'!EV64</f>
        <v>11.084093605549091</v>
      </c>
      <c r="O64" s="8"/>
      <c r="P64" s="8"/>
      <c r="Q64" s="32">
        <f t="shared" si="18"/>
        <v>0</v>
      </c>
      <c r="R64" s="32">
        <f>'input site'!EZ64</f>
        <v>6.1308771214304603</v>
      </c>
      <c r="S64" s="37" t="str">
        <f>'input site'!FA64</f>
        <v>2050 (part of the EU)</v>
      </c>
      <c r="T64" s="37" t="str">
        <f>Table12[[#This Row],[(Mt CO2 equivalent)]]</f>
        <v>Denmark</v>
      </c>
      <c r="U64" s="8">
        <f>VLOOKUP($G64,'NZT data'!$B$3:$F$200,4,FALSE)</f>
        <v>2045</v>
      </c>
      <c r="V64" s="32">
        <f>VLOOKUP($G64,'NZT data'!$B$3:$F$200,5,FALSE)</f>
        <v>2045</v>
      </c>
      <c r="W64" s="32">
        <f>-IF('LUC NGHGI'!EC54="",MIN('LUC NGHGI'!DW54,0.1),MIN('LUC NGHGI'!EC54,0.1))</f>
        <v>-0.1</v>
      </c>
      <c r="X64" s="32">
        <f>'LUC NGHGI'!EC54</f>
        <v>3.1379597211977632</v>
      </c>
      <c r="Y64" s="32">
        <f>'LUC NGHGI'!DY54</f>
        <v>3.1379597211977632</v>
      </c>
      <c r="Z64" s="32">
        <f>'LUC NGHGI'!DZ54</f>
        <v>3.1379597211977632</v>
      </c>
      <c r="AA64" s="32">
        <f>Table12[[#This Row],[2021 emissions]]</f>
        <v>47.709399926904858</v>
      </c>
      <c r="AB64" s="32">
        <f>'LUC NGHGI'!DW54</f>
        <v>2.4563489269048611</v>
      </c>
      <c r="AC64" s="32">
        <f>IF(F64="incl",Table12[[#This Row],[GHG emissions incl LULUCF]]-Table12[[#This Row],[LULUCF emis-sions in 20213]],Table12[[#This Row],[GHG emissions incl LULUCF]])</f>
        <v>45.253050999999999</v>
      </c>
      <c r="AD64" s="32">
        <f>'input site'!BS64</f>
        <v>26.619436216147736</v>
      </c>
      <c r="AE64" s="32">
        <f>'LUC NGHGI'!EH54</f>
        <v>2.4392336180527243</v>
      </c>
      <c r="AF64" s="32">
        <f>IF(F64="incl",Table12[[#This Row],[Current Policies 2030 incl LULUCF]]-Table12[[#This Row],[LULUCF CurPol 2030]],Table12[[#This Row],[Current Policies 2030 incl LULUCF]])</f>
        <v>24.180202598095011</v>
      </c>
      <c r="AG64" s="32">
        <f>IF(Table12[[#This Row],[Net-zero target status]]&lt;=1,"",IF(Table12[[#This Row],[NZ GHG year]]="","",1000000000*(Table12[[#This Row],[residual LULUCF emissions in 2050]]-Table12[[#This Row],[GHG emissions excl LULUCF]])/(Table12[[#This Row],[NZ GHG year]]-2021)/Table12[[#This Row],[Population]]))</f>
        <v>-323.86060863132218</v>
      </c>
      <c r="AH64" s="32">
        <f>IF(Table12[[#This Row],[Peak revised]]="Yes",IF(Table12[[#This Row],[Net-zero target status]]&lt;=1,"",IF(Table12[[#This Row],[NZ GHG year]]="","",1000000000*(Table12[[#This Row],[residual LULUCF emissions in 2050]]-Table12[[#This Row],[GHG emissions excl LULUCF]])/(Table12[[#This Row],[NZ GHG year]]-2021)/Table12[[#This Row],[Population]])),"")</f>
        <v>-323.86060863132218</v>
      </c>
      <c r="AI64" s="32">
        <f>MAX(0,(1000000*(Table12[[#This Row],[Current Policies 2030 excl LULUCF]]/2+Table12[[#This Row],[GHG emissions excl LULUCF]]/2)/Table12[[#This Row],[Population]]-$AI$8)*10)*$AI$10</f>
        <v>0</v>
      </c>
      <c r="AJ6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4" s="32" t="str">
        <f>IF(Table12[[#This Row],[Formule no Peak (2)]]="","",Table12[[#This Row],[Penalty (1)]]+Table12[[#This Row],[Formule no Peak (2)]])</f>
        <v/>
      </c>
      <c r="AL64" s="313">
        <f>(Table12[[#This Row],[Current Policies 2030 excl LULUCF]]-Table12[[#This Row],[GHG emissions excl LULUCF]])/(2030-2021)/Table12[[#This Row],[GHG emissions excl LULUCF]]</f>
        <v>-5.1740767715566079E-2</v>
      </c>
      <c r="AM64" s="313">
        <f>IF(Table12[[#This Row],[Net-zero target status]]&lt;=1,"",IF(Table12[[#This Row],[NZ GHG year]]="","",(Table12[[#This Row],[residual LULUCF emissions in 2050]]-Table12[[#This Row],[Current Policies 2030 excl LULUCF]])/(Table12[[#This Row],[NZ GHG year]]-2030)/Table12[[#This Row],[Current Policies 2030 excl LULUCF]]))</f>
        <v>-6.6942374309711478E-2</v>
      </c>
      <c r="AN64" s="313">
        <f>IF(Table12[[#This Row],[Net-zero target status]]&lt;=1,"",IF(Table12[[#This Row],[NZ GHG year]]="","",(Table12[[#This Row],[residual LULUCF emissions in 2050]]-Table12[[#This Row],[GHG emissions excl LULUCF]])/(Table12[[#This Row],[NZ GHG year]]-2021)/Table12[[#This Row],[GHG emissions excl LULUCF]]))</f>
        <v>-4.1758741489791112E-2</v>
      </c>
      <c r="AO64" s="313" t="e">
        <f>IF(Table12[[#This Row],[Net-zero target status]]&lt;=1,"",IF(Table12[[#This Row],[NZ GHG year]]="","",(Table12[[#This Row],[residual LULUCF emissions in 2050]]-Table12[[#This Row],[2030 conditional NDCs]])/(Table12[[#This Row],[NZ GHG year]]-2030)/Table12[[#This Row],[2030 conditional NDCs]]))</f>
        <v>#DIV/0!</v>
      </c>
      <c r="AP64" s="96">
        <f>MAX('input site'!AH64:AS64)</f>
        <v>68.128726389728413</v>
      </c>
      <c r="AQ64" s="95" t="str">
        <f>IF(Table12[[#This Row],[Current Policies 2030 incl LULUCF]]&gt;Table12[[#This Row],[Maximum inventory data]],"No","Yes")</f>
        <v>Yes</v>
      </c>
      <c r="AR64" s="34">
        <f>IF(Table12[[#This Row],[Net-zero target status]]&gt;=1.5,Table12[[#This Row],[residual LULUCF emissions in 2050]]/Table12[[#This Row],[GHG emissions excl LULUCF]],"")</f>
        <v>-2.2097957549867746E-3</v>
      </c>
      <c r="AS64" s="74" t="str">
        <f>'input site'!BE64</f>
        <v/>
      </c>
      <c r="AT64" s="74"/>
      <c r="AU64" s="74"/>
      <c r="AV64" s="75"/>
      <c r="AW64" s="74" t="str">
        <f>IF(Table12[[#This Row],[2030 unconditional NDCs]]="","",IF(F64="incl",Table12[[#This Row],[2030 unconditional NDCs]]-Table12[[#This Row],[LULUCF NDC uncond]],Table12[[#This Row],[2030 unconditional NDCs]]))</f>
        <v/>
      </c>
      <c r="AX64" s="74" t="str">
        <f>IF(Table12[[#This Row],[2030 unconditional NDCs2]]="","",IF(F64="incl",Table12[[#This Row],[2030 unconditional NDCs2]]-Table12[[#This Row],[LULUCF NDC uncond]],Table12[[#This Row],[2030 unconditional NDCs2]]))</f>
        <v/>
      </c>
      <c r="AY64" s="74" t="str">
        <f>IF(Table12[[#This Row],[2030 conditional NDCs]]="","",IF(F64="incl",Table12[[#This Row],[2030 conditional NDCs]]-Table12[[#This Row],[LULUCF NDC cond]],Table12[[#This Row],[2030 conditional NDCs]]))</f>
        <v/>
      </c>
      <c r="AZ64" s="74" t="str">
        <f>IF(Table12[[#This Row],[2030 conditional NDCs2]]="","",IF(F64="incl",Table12[[#This Row],[2030 conditional NDCs2]]-Table12[[#This Row],[LULUCF NDC cond]],Table12[[#This Row],[2030 conditional NDCs2]]))</f>
        <v/>
      </c>
      <c r="BA64" s="8">
        <f>VLOOKUP($G64,'Population90 20'!$C$6:$AU$231,37,FALSE)</f>
        <v>5834950</v>
      </c>
      <c r="BB64" s="8">
        <f>VLOOKUP($G64,'Overview GDP (PPP)'!$C$6:$AI$231,33,FALSE)</f>
        <v>276381391.78747249</v>
      </c>
      <c r="BC64" s="36">
        <f>Table12[[#This Row],[Income]]/Table12[[#This Row],[Population]]</f>
        <v>47.366539865375451</v>
      </c>
      <c r="BD64" s="36">
        <f>Table12[[#This Row],[GHG emissions excl LULUCF]]*1000000/Table12[[#This Row],[Population]]</f>
        <v>7.7555164997129369</v>
      </c>
      <c r="BE64" s="23" t="e">
        <f>VLOOKUP($G64,EGR2023_MASTER!$B$4:$S$38,14,FALSE)</f>
        <v>#N/A</v>
      </c>
      <c r="BF64" s="23" t="e">
        <f>VLOOKUP($G64,EGR2023_MASTER!$B$4:$S$38,15,FALSE)</f>
        <v>#N/A</v>
      </c>
      <c r="BG64" s="23" t="e">
        <f>VLOOKUP($G64,EGR2023_MASTER!$B$4:$S$38,16,FALSE)</f>
        <v>#N/A</v>
      </c>
      <c r="BH64" s="23" t="e">
        <f t="shared" si="16"/>
        <v>#N/A</v>
      </c>
      <c r="BI64" s="23" t="e">
        <f t="shared" si="17"/>
        <v>#N/A</v>
      </c>
      <c r="BJ64" s="552">
        <f>(Table12[[#This Row],[Current Policies 2030 excl LULUCF]]/Table12[[#This Row],[GHG emissions excl LULUCF]])^(1/(2030-2021))-1</f>
        <v>-6.7267957074308993E-2</v>
      </c>
      <c r="BK64" s="552">
        <f>IF(Table12[[#This Row],[Net-zero target status]]&lt;=1,"",IF(Table12[[#This Row],[NZ GHG year]]="","",((MAX(Table12[[#This Row],[residual LULUCF emissions in 2050]],0.1)/Table12[[#This Row],[Current Policies 2030 excl LULUCF]])^(1/(Table12[[#This Row],[NZ GHG year]]-2021))-1)))</f>
        <v>-0.20441026810767216</v>
      </c>
      <c r="BL64" s="552">
        <f>IF(Table12[[#This Row],[Net-zero target status]]&lt;=1,"",IF(Table12[[#This Row],[NZ GHG year]]="","",((MAX(Table12[[#This Row],[residual LULUCF emissions in 2050]],0.1)/Table12[[#This Row],[GHG emissions excl LULUCF]])^(1/(Table12[[#This Row],[NZ GHG year]]-2021))-1)))</f>
        <v>-0.22491736752309344</v>
      </c>
      <c r="BM64" s="552" t="e">
        <f>IF(Table12[[#This Row],[Net-zero target status]]&lt;=1,"",IF(Table12[[#This Row],[NZ GHG year]]="","",((MAX(Table12[[#This Row],[residual LULUCF emissions in 2050]],0.1)/AVERAGE(Table12[[#This Row],[2030 conditional NDCs]:[2030 conditional NDCs2]]))^(1/(Table12[[#This Row],[NZ GHG year]]-2021))-1)))</f>
        <v>#DIV/0!</v>
      </c>
      <c r="BN64" s="23"/>
      <c r="BO64" s="23"/>
      <c r="BP64" s="23"/>
      <c r="BQ64" s="23"/>
      <c r="BR64" s="50" t="s">
        <v>157</v>
      </c>
      <c r="BT64" s="30">
        <f>IF(Table12[[#This Row],[Reduction rate 2021 to NZ target2]]="","",J64*(1+AN64)^(Table12[[#This Row],[NZ GHG year]]-2021))</f>
        <v>17.139602324148321</v>
      </c>
    </row>
    <row r="65" spans="1:72" ht="15" x14ac:dyDescent="0.25">
      <c r="A65">
        <v>0</v>
      </c>
      <c r="B65">
        <v>0</v>
      </c>
      <c r="C65">
        <v>262</v>
      </c>
      <c r="D65">
        <v>69</v>
      </c>
      <c r="E65">
        <v>9</v>
      </c>
      <c r="F65" t="str">
        <f>'input site'!M65</f>
        <v>excl</v>
      </c>
      <c r="G65" s="31" t="s">
        <v>158</v>
      </c>
      <c r="H65" s="1" t="s">
        <v>159</v>
      </c>
      <c r="I65" s="8">
        <f>VLOOKUP($G65,'NZT data'!$B$3:$C$200,2,FALSE)</f>
        <v>1</v>
      </c>
      <c r="J65" s="32">
        <f>'input site'!AS65</f>
        <v>1.3090354</v>
      </c>
      <c r="K65" s="32">
        <f>'input site'!BS65</f>
        <v>2.0602857929128193</v>
      </c>
      <c r="L65" s="32">
        <f t="shared" si="14"/>
        <v>0</v>
      </c>
      <c r="M65" s="32">
        <f t="shared" si="15"/>
        <v>0</v>
      </c>
      <c r="N65" s="32">
        <f>'input site'!EV65</f>
        <v>1.4582113689762695</v>
      </c>
      <c r="O65" s="8"/>
      <c r="P65" s="36"/>
      <c r="Q65" s="32">
        <f t="shared" si="18"/>
        <v>0</v>
      </c>
      <c r="R65" s="32">
        <f>'input site'!EZ65</f>
        <v>1.3323285137545553</v>
      </c>
      <c r="S65" s="37">
        <f>'input site'!FA65</f>
        <v>2050</v>
      </c>
      <c r="T65" s="37" t="str">
        <f>Table12[[#This Row],[(Mt CO2 equivalent)]]</f>
        <v>Djibouti</v>
      </c>
      <c r="U65" s="8">
        <f>VLOOKUP($G65,'NZT data'!$B$3:$F$200,4,FALSE)</f>
        <v>2110</v>
      </c>
      <c r="V65" s="32">
        <f>VLOOKUP($G65,'NZT data'!$B$3:$F$200,5,FALSE)</f>
        <v>2125</v>
      </c>
      <c r="W65" s="32">
        <f>-IF('LUC NGHGI'!EC55="",MIN('LUC NGHGI'!DW55,0.1),MIN('LUC NGHGI'!EC55,0.1))</f>
        <v>7</v>
      </c>
      <c r="X65" s="32">
        <f>'LUC NGHGI'!EC55</f>
        <v>-7</v>
      </c>
      <c r="Y65" s="32">
        <f>'LUC NGHGI'!DY55</f>
        <v>-2</v>
      </c>
      <c r="Z65" s="32">
        <f>'LUC NGHGI'!DZ55</f>
        <v>-2</v>
      </c>
      <c r="AA65" s="32">
        <f>Table12[[#This Row],[2021 emissions]]</f>
        <v>1.3090354</v>
      </c>
      <c r="AB65" s="32">
        <f>'LUC NGHGI'!DW55</f>
        <v>-7.3761290322580066</v>
      </c>
      <c r="AC65" s="32">
        <f>IF(F65="incl",Table12[[#This Row],[GHG emissions incl LULUCF]]-Table12[[#This Row],[LULUCF emis-sions in 20213]],Table12[[#This Row],[GHG emissions incl LULUCF]])</f>
        <v>1.3090354</v>
      </c>
      <c r="AD65" s="32">
        <f>'input site'!BS65</f>
        <v>2.0602857929128193</v>
      </c>
      <c r="AE65" s="32">
        <f>'LUC NGHGI'!EH55</f>
        <v>-9.0838762207278183</v>
      </c>
      <c r="AF65" s="32">
        <f>IF(F65="incl",Table12[[#This Row],[Current Policies 2030 incl LULUCF]]-Table12[[#This Row],[LULUCF CurPol 2030]],Table12[[#This Row],[Current Policies 2030 incl LULUCF]])</f>
        <v>2.0602857929128193</v>
      </c>
      <c r="AG65" s="32" t="str">
        <f>IF(Table12[[#This Row],[Net-zero target status]]&lt;=1,"",IF(Table12[[#This Row],[NZ GHG year]]="","",1000000000*(Table12[[#This Row],[residual LULUCF emissions in 2050]]-Table12[[#This Row],[GHG emissions excl LULUCF]])/(Table12[[#This Row],[NZ GHG year]]-2021)/Table12[[#This Row],[Population]]))</f>
        <v/>
      </c>
      <c r="AH65" s="32" t="str">
        <f>IF(Table12[[#This Row],[Peak revised]]="Yes",IF(Table12[[#This Row],[Net-zero target status]]&lt;=1,"",IF(Table12[[#This Row],[NZ GHG year]]="","",1000000000*(Table12[[#This Row],[residual LULUCF emissions in 2050]]-Table12[[#This Row],[GHG emissions excl LULUCF]])/(Table12[[#This Row],[NZ GHG year]]-2021)/Table12[[#This Row],[Population]])),"")</f>
        <v/>
      </c>
      <c r="AI65" s="32">
        <f>MAX(0,(1000000*(Table12[[#This Row],[Current Policies 2030 excl LULUCF]]/2+Table12[[#This Row],[GHG emissions excl LULUCF]]/2)/Table12[[#This Row],[Population]]-$AI$8)*10)*$AI$10</f>
        <v>0</v>
      </c>
      <c r="AJ6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5" s="32" t="str">
        <f>IF(Table12[[#This Row],[Formule no Peak (2)]]="","",Table12[[#This Row],[Penalty (1)]]+Table12[[#This Row],[Formule no Peak (2)]])</f>
        <v/>
      </c>
      <c r="AL65" s="313">
        <f>(Table12[[#This Row],[Current Policies 2030 excl LULUCF]]-Table12[[#This Row],[GHG emissions excl LULUCF]])/(2030-2021)/Table12[[#This Row],[GHG emissions excl LULUCF]]</f>
        <v>6.3766240301218857E-2</v>
      </c>
      <c r="AM65" s="313" t="str">
        <f>IF(Table12[[#This Row],[Net-zero target status]]&lt;=1,"",IF(Table12[[#This Row],[NZ GHG year]]="","",(Table12[[#This Row],[residual LULUCF emissions in 2050]]-Table12[[#This Row],[Current Policies 2030 excl LULUCF]])/(Table12[[#This Row],[NZ GHG year]]-2030)/Table12[[#This Row],[Current Policies 2030 excl LULUCF]]))</f>
        <v/>
      </c>
      <c r="AN65" s="313" t="str">
        <f>IF(Table12[[#This Row],[Net-zero target status]]&lt;=1,"",IF(Table12[[#This Row],[NZ GHG year]]="","",(Table12[[#This Row],[residual LULUCF emissions in 2050]]-Table12[[#This Row],[GHG emissions excl LULUCF]])/(Table12[[#This Row],[NZ GHG year]]-2021)/Table12[[#This Row],[GHG emissions excl LULUCF]]))</f>
        <v/>
      </c>
      <c r="AO65" s="313" t="str">
        <f>IF(Table12[[#This Row],[Net-zero target status]]&lt;=1,"",IF(Table12[[#This Row],[NZ GHG year]]="","",(Table12[[#This Row],[residual LULUCF emissions in 2050]]-Table12[[#This Row],[2030 conditional NDCs]])/(Table12[[#This Row],[NZ GHG year]]-2030)/Table12[[#This Row],[2030 conditional NDCs]]))</f>
        <v/>
      </c>
      <c r="AP65" s="96">
        <f>MAX('input site'!AH65:AS65)</f>
        <v>1.3774774999999999</v>
      </c>
      <c r="AQ65" s="95" t="str">
        <f>IF(Table12[[#This Row],[Current Policies 2030 incl LULUCF]]&gt;Table12[[#This Row],[Maximum inventory data]],"No","Yes")</f>
        <v>No</v>
      </c>
      <c r="AR65" s="34" t="str">
        <f>IF(Table12[[#This Row],[Net-zero target status]]&gt;=1.5,Table12[[#This Row],[residual LULUCF emissions in 2050]]/Table12[[#This Row],[GHG emissions excl LULUCF]],"")</f>
        <v/>
      </c>
      <c r="AS65" s="74">
        <f>'input site'!BE65</f>
        <v>2.6849999999999996</v>
      </c>
      <c r="AT65" s="74">
        <f>'input site'!BF65</f>
        <v>2.6849999999999996</v>
      </c>
      <c r="AU65" s="74">
        <f>'input site'!BG65</f>
        <v>1.79</v>
      </c>
      <c r="AV65" s="75">
        <f>'input site'!BH65</f>
        <v>1.79</v>
      </c>
      <c r="AW65" s="74">
        <f>IF(Table12[[#This Row],[2030 unconditional NDCs]]="","",IF(F65="incl",Table12[[#This Row],[2030 unconditional NDCs]]-Table12[[#This Row],[LULUCF NDC uncond]],Table12[[#This Row],[2030 unconditional NDCs]]))</f>
        <v>2.6849999999999996</v>
      </c>
      <c r="AX65" s="74">
        <f>IF(Table12[[#This Row],[2030 unconditional NDCs2]]="","",IF(F65="incl",Table12[[#This Row],[2030 unconditional NDCs2]]-Table12[[#This Row],[LULUCF NDC uncond]],Table12[[#This Row],[2030 unconditional NDCs2]]))</f>
        <v>2.6849999999999996</v>
      </c>
      <c r="AY65" s="74">
        <f>IF(Table12[[#This Row],[2030 conditional NDCs]]="","",IF(F65="incl",Table12[[#This Row],[2030 conditional NDCs]]-Table12[[#This Row],[LULUCF NDC cond]],Table12[[#This Row],[2030 conditional NDCs]]))</f>
        <v>1.79</v>
      </c>
      <c r="AZ65" s="74">
        <f>IF(Table12[[#This Row],[2030 conditional NDCs2]]="","",IF(F65="incl",Table12[[#This Row],[2030 conditional NDCs2]]-Table12[[#This Row],[LULUCF NDC cond]],Table12[[#This Row],[2030 conditional NDCs2]]))</f>
        <v>1.79</v>
      </c>
      <c r="BA65" s="8">
        <f>VLOOKUP($G65,'Population90 20'!$C$6:$AU$231,37,FALSE)</f>
        <v>1016097</v>
      </c>
      <c r="BB65" s="8">
        <f>VLOOKUP($G65,'Overview GDP (PPP)'!$C$6:$AI$231,33,FALSE)</f>
        <v>3530053.8582881228</v>
      </c>
      <c r="BC65" s="36">
        <f>Table12[[#This Row],[Income]]/Table12[[#This Row],[Population]]</f>
        <v>3.4741307751997326</v>
      </c>
      <c r="BD65" s="36">
        <f>Table12[[#This Row],[GHG emissions excl LULUCF]]*1000000/Table12[[#This Row],[Population]]</f>
        <v>1.2882976723678938</v>
      </c>
      <c r="BE65" s="23" t="e">
        <f>VLOOKUP($G65,EGR2023_MASTER!$B$4:$S$38,14,FALSE)</f>
        <v>#N/A</v>
      </c>
      <c r="BF65" s="23" t="e">
        <f>VLOOKUP($G65,EGR2023_MASTER!$B$4:$S$38,15,FALSE)</f>
        <v>#N/A</v>
      </c>
      <c r="BG65" s="23" t="e">
        <f>VLOOKUP($G65,EGR2023_MASTER!$B$4:$S$38,16,FALSE)</f>
        <v>#N/A</v>
      </c>
      <c r="BH65" s="23" t="e">
        <f t="shared" si="16"/>
        <v>#N/A</v>
      </c>
      <c r="BI65" s="23" t="e">
        <f t="shared" si="17"/>
        <v>#N/A</v>
      </c>
      <c r="BJ65" s="552">
        <f>(Table12[[#This Row],[Current Policies 2030 excl LULUCF]]/Table12[[#This Row],[GHG emissions excl LULUCF]])^(1/(2030-2021))-1</f>
        <v>5.1686334369222875E-2</v>
      </c>
      <c r="BK65" s="552" t="str">
        <f>IF(Table12[[#This Row],[Net-zero target status]]&lt;=1,"",IF(Table12[[#This Row],[NZ GHG year]]="","",((MAX(Table12[[#This Row],[residual LULUCF emissions in 2050]],0.1)/Table12[[#This Row],[Current Policies 2030 excl LULUCF]])^(1/(Table12[[#This Row],[NZ GHG year]]-2021))-1)))</f>
        <v/>
      </c>
      <c r="BL65" s="552" t="str">
        <f>IF(Table12[[#This Row],[Net-zero target status]]&lt;=1,"",IF(Table12[[#This Row],[NZ GHG year]]="","",((MAX(Table12[[#This Row],[residual LULUCF emissions in 2050]],0.1)/Table12[[#This Row],[GHG emissions excl LULUCF]])^(1/(Table12[[#This Row],[NZ GHG year]]-2021))-1)))</f>
        <v/>
      </c>
      <c r="BM65" s="552" t="str">
        <f>IF(Table12[[#This Row],[Net-zero target status]]&lt;=1,"",IF(Table12[[#This Row],[NZ GHG year]]="","",((MAX(Table12[[#This Row],[residual LULUCF emissions in 2050]],0.1)/AVERAGE(Table12[[#This Row],[2030 conditional NDCs]:[2030 conditional NDCs2]]))^(1/(Table12[[#This Row],[NZ GHG year]]-2021))-1)))</f>
        <v/>
      </c>
      <c r="BN65" s="23"/>
      <c r="BO65" s="23"/>
      <c r="BP65" s="23"/>
      <c r="BQ65" s="23"/>
      <c r="BR65" s="50" t="s">
        <v>159</v>
      </c>
      <c r="BT65" s="30" t="str">
        <f>IF(Table12[[#This Row],[Reduction rate 2021 to NZ target2]]="","",J65*(1+AN65)^(Table12[[#This Row],[NZ GHG year]]-2021))</f>
        <v/>
      </c>
    </row>
    <row r="66" spans="1:72" ht="15" x14ac:dyDescent="0.25">
      <c r="A66">
        <v>0</v>
      </c>
      <c r="B66">
        <v>0</v>
      </c>
      <c r="C66">
        <v>212</v>
      </c>
      <c r="D66">
        <v>54</v>
      </c>
      <c r="E66">
        <v>4</v>
      </c>
      <c r="F66" t="str">
        <f>'input site'!M66</f>
        <v>excl</v>
      </c>
      <c r="G66" s="31" t="s">
        <v>160</v>
      </c>
      <c r="H66" s="1" t="s">
        <v>161</v>
      </c>
      <c r="I66" s="8">
        <f>VLOOKUP($G66,'NZT data'!$B$3:$C$200,2,FALSE)</f>
        <v>3</v>
      </c>
      <c r="J66" s="32">
        <f>'input site'!AS66</f>
        <v>0.25080874000000003</v>
      </c>
      <c r="K66" s="32">
        <f>'input site'!BS66</f>
        <v>0.30926452959267886</v>
      </c>
      <c r="L66" s="32">
        <f t="shared" si="14"/>
        <v>0</v>
      </c>
      <c r="M66" s="32">
        <f t="shared" si="15"/>
        <v>0</v>
      </c>
      <c r="N66" s="32">
        <f>'input site'!EV66</f>
        <v>0.13624870760934366</v>
      </c>
      <c r="O66" s="8">
        <v>0</v>
      </c>
      <c r="P66" s="36">
        <f>O66-N66</f>
        <v>-0.13624870760934366</v>
      </c>
      <c r="Q66" s="32">
        <f t="shared" si="18"/>
        <v>0</v>
      </c>
      <c r="R66" s="32">
        <f>'input site'!EZ66</f>
        <v>2.7710317063377211E-2</v>
      </c>
      <c r="S66" s="37">
        <f>'input site'!FA66</f>
        <v>2050</v>
      </c>
      <c r="T66" s="37" t="str">
        <f>Table12[[#This Row],[(Mt CO2 equivalent)]]</f>
        <v>Dominica</v>
      </c>
      <c r="U66" s="8">
        <f>VLOOKUP($G66,'NZT data'!$B$3:$F$200,4,FALSE)</f>
        <v>2030</v>
      </c>
      <c r="V66" s="32">
        <f>VLOOKUP($G66,'NZT data'!$B$3:$F$200,5,FALSE)</f>
        <v>2045</v>
      </c>
      <c r="W66" s="32">
        <f>-IF('LUC NGHGI'!EC56="",MIN('LUC NGHGI'!DW56,0.1),MIN('LUC NGHGI'!EC56,0.1))</f>
        <v>2.0909852244116109</v>
      </c>
      <c r="X66" s="32">
        <f>'LUC NGHGI'!EC56</f>
        <v>-2.0909852244116109</v>
      </c>
      <c r="Y66" s="32">
        <f>'LUC NGHGI'!DY56</f>
        <v>-2.0909852244116109</v>
      </c>
      <c r="Z66" s="32">
        <f>'LUC NGHGI'!DZ56</f>
        <v>-2.0909852244116109</v>
      </c>
      <c r="AA66" s="32">
        <f>Table12[[#This Row],[2021 emissions]]</f>
        <v>0.25080874000000003</v>
      </c>
      <c r="AB66" s="32">
        <f>'LUC NGHGI'!DW56</f>
        <v>-2.17002068714649</v>
      </c>
      <c r="AC66" s="32">
        <f>IF(F66="incl",Table12[[#This Row],[GHG emissions incl LULUCF]]-Table12[[#This Row],[LULUCF emis-sions in 20213]],Table12[[#This Row],[GHG emissions incl LULUCF]])</f>
        <v>0.25080874000000003</v>
      </c>
      <c r="AD66" s="32">
        <f>'input site'!BS66</f>
        <v>0.30926452959267886</v>
      </c>
      <c r="AE66" s="32">
        <f>'LUC NGHGI'!EH56</f>
        <v>-2.9387718363826241</v>
      </c>
      <c r="AF66" s="32">
        <f>IF(F66="incl",Table12[[#This Row],[Current Policies 2030 incl LULUCF]]-Table12[[#This Row],[LULUCF CurPol 2030]],Table12[[#This Row],[Current Policies 2030 incl LULUCF]])</f>
        <v>0.30926452959267886</v>
      </c>
      <c r="AG66" s="32">
        <f>IF(Table12[[#This Row],[Net-zero target status]]&lt;=1,"",IF(Table12[[#This Row],[NZ GHG year]]="","",1000000000*(Table12[[#This Row],[residual LULUCF emissions in 2050]]-Table12[[#This Row],[GHG emissions excl LULUCF]])/(Table12[[#This Row],[NZ GHG year]]-2021)/Table12[[#This Row],[Population]]))</f>
        <v>1059.8532039121021</v>
      </c>
      <c r="AH66" s="32" t="str">
        <f>IF(Table12[[#This Row],[Peak revised]]="Yes",IF(Table12[[#This Row],[Net-zero target status]]&lt;=1,"",IF(Table12[[#This Row],[NZ GHG year]]="","",1000000000*(Table12[[#This Row],[residual LULUCF emissions in 2050]]-Table12[[#This Row],[GHG emissions excl LULUCF]])/(Table12[[#This Row],[NZ GHG year]]-2021)/Table12[[#This Row],[Population]])),"")</f>
        <v/>
      </c>
      <c r="AI66" s="32">
        <f>MAX(0,(1000000*(Table12[[#This Row],[Current Policies 2030 excl LULUCF]]/2+Table12[[#This Row],[GHG emissions excl LULUCF]]/2)/Table12[[#This Row],[Population]]-$AI$8)*10)*$AI$10</f>
        <v>0</v>
      </c>
      <c r="AJ66" s="32">
        <f>IF(Table12[[#This Row],[Peak revised]]="No",IF(Table12[[#This Row],[Net-zero target status]]&lt;=1,"",IF(Table12[[#This Row],[NZ GHG year]]="","",1000000000*(Table12[[#This Row],[residual LULUCF emissions in 2050]]-Table12[[#This Row],[Current Policies 2030 excl LULUCF]])/(Table12[[#This Row],[NZ GHG year]]-2021)/Table12[[#This Row],[Population]])),"")</f>
        <v>1026.1854788803794</v>
      </c>
      <c r="AK66" s="32">
        <f>IF(Table12[[#This Row],[Formule no Peak (2)]]="","",Table12[[#This Row],[Penalty (1)]]+Table12[[#This Row],[Formule no Peak (2)]])</f>
        <v>1026.1854788803794</v>
      </c>
      <c r="AL66" s="313">
        <f>(Table12[[#This Row],[Current Policies 2030 excl LULUCF]]-Table12[[#This Row],[GHG emissions excl LULUCF]])/(2030-2021)/Table12[[#This Row],[GHG emissions excl LULUCF]]</f>
        <v>2.5896576540832945E-2</v>
      </c>
      <c r="AM66" s="313">
        <f>IF(Table12[[#This Row],[Net-zero target status]]&lt;=1,"",IF(Table12[[#This Row],[NZ GHG year]]="","",(Table12[[#This Row],[residual LULUCF emissions in 2050]]-Table12[[#This Row],[Current Policies 2030 excl LULUCF]])/(Table12[[#This Row],[NZ GHG year]]-2030)/Table12[[#This Row],[Current Policies 2030 excl LULUCF]]))</f>
        <v>0.38407695771331468</v>
      </c>
      <c r="AN66" s="313">
        <f>IF(Table12[[#This Row],[Net-zero target status]]&lt;=1,"",IF(Table12[[#This Row],[NZ GHG year]]="","",(Table12[[#This Row],[residual LULUCF emissions in 2050]]-Table12[[#This Row],[GHG emissions excl LULUCF]])/(Table12[[#This Row],[NZ GHG year]]-2021)/Table12[[#This Row],[GHG emissions excl LULUCF]]))</f>
        <v>0.30570713039672026</v>
      </c>
      <c r="AO66" s="313">
        <f>IF(Table12[[#This Row],[Net-zero target status]]&lt;=1,"",IF(Table12[[#This Row],[NZ GHG year]]="","",(Table12[[#This Row],[residual LULUCF emissions in 2050]]-Table12[[#This Row],[2030 conditional NDCs]])/(Table12[[#This Row],[NZ GHG year]]-2030)/Table12[[#This Row],[2030 conditional NDCs]]))</f>
        <v>1.1764063738817658</v>
      </c>
      <c r="AP66" s="96">
        <f>MAX('input site'!AH66:AS66)</f>
        <v>0.27068518999999996</v>
      </c>
      <c r="AQ66" s="95" t="str">
        <f>IF(Table12[[#This Row],[Current Policies 2030 incl LULUCF]]&gt;Table12[[#This Row],[Maximum inventory data]],"No","Yes")</f>
        <v>No</v>
      </c>
      <c r="AR66" s="443">
        <f>IF(Table12[[#This Row],[Net-zero target status]]&gt;=1.5,Table12[[#This Row],[residual LULUCF emissions in 2050]]/Table12[[#This Row],[GHG emissions excl LULUCF]],"")</f>
        <v>8.3369711295212863</v>
      </c>
      <c r="AS66" s="74" t="str">
        <f>'input site'!BE66</f>
        <v/>
      </c>
      <c r="AT66" s="74"/>
      <c r="AU66" s="74">
        <f>'input site'!BG66</f>
        <v>0.11214064693999999</v>
      </c>
      <c r="AV66" s="75">
        <f>'input site'!BH66</f>
        <v>0.11214064693999999</v>
      </c>
      <c r="AW66" s="74" t="str">
        <f>IF(Table12[[#This Row],[2030 unconditional NDCs]]="","",IF(F66="incl",Table12[[#This Row],[2030 unconditional NDCs]]-Table12[[#This Row],[LULUCF NDC uncond]],Table12[[#This Row],[2030 unconditional NDCs]]))</f>
        <v/>
      </c>
      <c r="AX66" s="74" t="str">
        <f>IF(Table12[[#This Row],[2030 unconditional NDCs2]]="","",IF(F66="incl",Table12[[#This Row],[2030 unconditional NDCs2]]-Table12[[#This Row],[LULUCF NDC uncond]],Table12[[#This Row],[2030 unconditional NDCs2]]))</f>
        <v/>
      </c>
      <c r="AY66" s="74">
        <f>IF(Table12[[#This Row],[2030 conditional NDCs]]="","",IF(F66="incl",Table12[[#This Row],[2030 conditional NDCs]]-Table12[[#This Row],[LULUCF NDC cond]],Table12[[#This Row],[2030 conditional NDCs]]))</f>
        <v>0.11214064693999999</v>
      </c>
      <c r="AZ66" s="74">
        <f>IF(Table12[[#This Row],[2030 conditional NDCs2]]="","",IF(F66="incl",Table12[[#This Row],[2030 conditional NDCs2]]-Table12[[#This Row],[LULUCF NDC cond]],Table12[[#This Row],[2030 conditional NDCs2]]))</f>
        <v>0.11214064693999999</v>
      </c>
      <c r="BA66" s="8">
        <f>VLOOKUP($G66,'Population90 20'!$C$6:$AU$231,37,FALSE)</f>
        <v>72344</v>
      </c>
      <c r="BB66" s="8">
        <f>VLOOKUP($G66,'Overview GDP (PPP)'!$C$6:$AI$231,33,FALSE)</f>
        <v>678039.55846471817</v>
      </c>
      <c r="BC66" s="36">
        <f>Table12[[#This Row],[Income]]/Table12[[#This Row],[Population]]</f>
        <v>9.3724366701415214</v>
      </c>
      <c r="BD66" s="36">
        <f>Table12[[#This Row],[GHG emissions excl LULUCF]]*1000000/Table12[[#This Row],[Population]]</f>
        <v>3.4668906889306648</v>
      </c>
      <c r="BE66" s="23" t="e">
        <f>VLOOKUP($G66,EGR2023_MASTER!$B$4:$S$38,14,FALSE)</f>
        <v>#N/A</v>
      </c>
      <c r="BF66" s="23" t="e">
        <f>VLOOKUP($G66,EGR2023_MASTER!$B$4:$S$38,15,FALSE)</f>
        <v>#N/A</v>
      </c>
      <c r="BG66" s="23" t="e">
        <f>VLOOKUP($G66,EGR2023_MASTER!$B$4:$S$38,16,FALSE)</f>
        <v>#N/A</v>
      </c>
      <c r="BH66" s="23" t="e">
        <f t="shared" si="16"/>
        <v>#N/A</v>
      </c>
      <c r="BI66" s="23" t="e">
        <f t="shared" si="17"/>
        <v>#N/A</v>
      </c>
      <c r="BJ66" s="552">
        <f>(Table12[[#This Row],[Current Policies 2030 excl LULUCF]]/Table12[[#This Row],[GHG emissions excl LULUCF]])^(1/(2030-2021))-1</f>
        <v>2.3551540411518301E-2</v>
      </c>
      <c r="BK66" s="552">
        <f>IF(Table12[[#This Row],[Net-zero target status]]&lt;=1,"",IF(Table12[[#This Row],[NZ GHG year]]="","",((MAX(Table12[[#This Row],[residual LULUCF emissions in 2050]],0.1)/Table12[[#This Row],[Current Policies 2030 excl LULUCF]])^(1/(Table12[[#This Row],[NZ GHG year]]-2021))-1)))</f>
        <v>8.2889648246526004E-2</v>
      </c>
      <c r="BL66" s="552">
        <f>IF(Table12[[#This Row],[Net-zero target status]]&lt;=1,"",IF(Table12[[#This Row],[NZ GHG year]]="","",((MAX(Table12[[#This Row],[residual LULUCF emissions in 2050]],0.1)/Table12[[#This Row],[GHG emissions excl LULUCF]])^(1/(Table12[[#This Row],[NZ GHG year]]-2021))-1)))</f>
        <v>9.2384038407995694E-2</v>
      </c>
      <c r="BM66" s="552">
        <f>IF(Table12[[#This Row],[Net-zero target status]]&lt;=1,"",IF(Table12[[#This Row],[NZ GHG year]]="","",((MAX(Table12[[#This Row],[residual LULUCF emissions in 2050]],0.1)/AVERAGE(Table12[[#This Row],[2030 conditional NDCs]:[2030 conditional NDCs2]]))^(1/(Table12[[#This Row],[NZ GHG year]]-2021))-1)))</f>
        <v>0.1296428628847881</v>
      </c>
      <c r="BN66" s="23"/>
      <c r="BO66" s="23"/>
      <c r="BP66" s="23"/>
      <c r="BQ66" s="23"/>
      <c r="BR66" s="50" t="s">
        <v>161</v>
      </c>
      <c r="BT66" s="30">
        <f>IF(Table12[[#This Row],[Reduction rate 2021 to NZ target2]]="","",J66*(1+AN66)^(Table12[[#This Row],[NZ GHG year]]-2021))</f>
        <v>151.23116059320853</v>
      </c>
    </row>
    <row r="67" spans="1:72" ht="15" x14ac:dyDescent="0.25">
      <c r="A67">
        <v>0</v>
      </c>
      <c r="B67">
        <v>0</v>
      </c>
      <c r="C67">
        <v>214</v>
      </c>
      <c r="D67">
        <v>55</v>
      </c>
      <c r="E67">
        <v>4</v>
      </c>
      <c r="F67" t="str">
        <f>'input site'!M67</f>
        <v>incl</v>
      </c>
      <c r="G67" s="31" t="s">
        <v>162</v>
      </c>
      <c r="H67" s="1" t="s">
        <v>163</v>
      </c>
      <c r="I67" s="8">
        <f>VLOOKUP($G67,'NZT data'!$B$3:$C$200,2,FALSE)</f>
        <v>1</v>
      </c>
      <c r="J67" s="32">
        <f>'input site'!AS67</f>
        <v>25.224274234757878</v>
      </c>
      <c r="K67" s="32">
        <f>'input site'!BS67</f>
        <v>23.993020544872508</v>
      </c>
      <c r="L67" s="32">
        <f t="shared" si="14"/>
        <v>0</v>
      </c>
      <c r="M67" s="32">
        <f t="shared" si="15"/>
        <v>0</v>
      </c>
      <c r="N67" s="32">
        <f>'input site'!EV67</f>
        <v>13.634605136951029</v>
      </c>
      <c r="O67" s="8">
        <v>0</v>
      </c>
      <c r="P67" s="36">
        <f>O67-N67</f>
        <v>-13.634605136951029</v>
      </c>
      <c r="Q67" s="32">
        <f t="shared" si="18"/>
        <v>0</v>
      </c>
      <c r="R67" s="32">
        <f>'input site'!EZ67</f>
        <v>2.7730114876550553</v>
      </c>
      <c r="S67" s="37">
        <f>'input site'!FA67</f>
        <v>2050</v>
      </c>
      <c r="T67" s="37" t="str">
        <f>Table12[[#This Row],[(Mt CO2 equivalent)]]</f>
        <v>Dominican Republic</v>
      </c>
      <c r="U67" s="8">
        <f>VLOOKUP($G67,'NZT data'!$B$3:$F$200,4,FALSE)</f>
        <v>2110</v>
      </c>
      <c r="V67" s="32">
        <f>VLOOKUP($G67,'NZT data'!$B$3:$F$200,5,FALSE)</f>
        <v>2110</v>
      </c>
      <c r="W67" s="32">
        <f>-IF('LUC NGHGI'!EC57="",MIN('LUC NGHGI'!DW57,0.1),MIN('LUC NGHGI'!EC57,0.1))</f>
        <v>16.368978655270666</v>
      </c>
      <c r="X67" s="32">
        <f>'LUC NGHGI'!EC57</f>
        <v>-16.368978655270666</v>
      </c>
      <c r="Y67" s="32">
        <f>'LUC NGHGI'!DY57</f>
        <v>-16.368978655270666</v>
      </c>
      <c r="Z67" s="32">
        <f>'LUC NGHGI'!DZ57</f>
        <v>-16.368978655270666</v>
      </c>
      <c r="AA67" s="32">
        <f>Table12[[#This Row],[2021 emissions]]</f>
        <v>25.224274234757878</v>
      </c>
      <c r="AB67" s="32">
        <f>'LUC NGHGI'!DW57</f>
        <v>-16.592113765242118</v>
      </c>
      <c r="AC67" s="32">
        <f>IF(F67="incl",Table12[[#This Row],[GHG emissions incl LULUCF]]-Table12[[#This Row],[LULUCF emis-sions in 20213]],Table12[[#This Row],[GHG emissions incl LULUCF]])</f>
        <v>41.816387999999996</v>
      </c>
      <c r="AD67" s="32">
        <f>'input site'!BS67</f>
        <v>23.993020544872508</v>
      </c>
      <c r="AE67" s="32">
        <f>'LUC NGHGI'!EH57</f>
        <v>-23.005754847451914</v>
      </c>
      <c r="AF67" s="32">
        <f>IF(F67="incl",Table12[[#This Row],[Current Policies 2030 incl LULUCF]]-Table12[[#This Row],[LULUCF CurPol 2030]],Table12[[#This Row],[Current Policies 2030 incl LULUCF]])</f>
        <v>46.998775392324418</v>
      </c>
      <c r="AG67" s="32" t="str">
        <f>IF(Table12[[#This Row],[Net-zero target status]]&lt;=1,"",IF(Table12[[#This Row],[NZ GHG year]]="","",1000000000*(Table12[[#This Row],[residual LULUCF emissions in 2050]]-Table12[[#This Row],[GHG emissions excl LULUCF]])/(Table12[[#This Row],[NZ GHG year]]-2021)/Table12[[#This Row],[Population]]))</f>
        <v/>
      </c>
      <c r="AH67" s="32" t="str">
        <f>IF(Table12[[#This Row],[Peak revised]]="Yes",IF(Table12[[#This Row],[Net-zero target status]]&lt;=1,"",IF(Table12[[#This Row],[NZ GHG year]]="","",1000000000*(Table12[[#This Row],[residual LULUCF emissions in 2050]]-Table12[[#This Row],[GHG emissions excl LULUCF]])/(Table12[[#This Row],[NZ GHG year]]-2021)/Table12[[#This Row],[Population]])),"")</f>
        <v/>
      </c>
      <c r="AI67" s="32">
        <f>MAX(0,(1000000*(Table12[[#This Row],[Current Policies 2030 excl LULUCF]]/2+Table12[[#This Row],[GHG emissions excl LULUCF]]/2)/Table12[[#This Row],[Population]]-$AI$8)*10)*$AI$10</f>
        <v>0</v>
      </c>
      <c r="AJ6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7" s="32" t="str">
        <f>IF(Table12[[#This Row],[Formule no Peak (2)]]="","",Table12[[#This Row],[Penalty (1)]]+Table12[[#This Row],[Formule no Peak (2)]])</f>
        <v/>
      </c>
      <c r="AL67" s="313">
        <f>(Table12[[#This Row],[Current Policies 2030 excl LULUCF]]-Table12[[#This Row],[GHG emissions excl LULUCF]])/(2030-2021)/Table12[[#This Row],[GHG emissions excl LULUCF]]</f>
        <v>1.3770219019619301E-2</v>
      </c>
      <c r="AM67" s="313" t="str">
        <f>IF(Table12[[#This Row],[Net-zero target status]]&lt;=1,"",IF(Table12[[#This Row],[NZ GHG year]]="","",(Table12[[#This Row],[residual LULUCF emissions in 2050]]-Table12[[#This Row],[Current Policies 2030 excl LULUCF]])/(Table12[[#This Row],[NZ GHG year]]-2030)/Table12[[#This Row],[Current Policies 2030 excl LULUCF]]))</f>
        <v/>
      </c>
      <c r="AN67" s="313" t="str">
        <f>IF(Table12[[#This Row],[Net-zero target status]]&lt;=1,"",IF(Table12[[#This Row],[NZ GHG year]]="","",(Table12[[#This Row],[residual LULUCF emissions in 2050]]-Table12[[#This Row],[GHG emissions excl LULUCF]])/(Table12[[#This Row],[NZ GHG year]]-2021)/Table12[[#This Row],[GHG emissions excl LULUCF]]))</f>
        <v/>
      </c>
      <c r="AO67" s="313" t="str">
        <f>IF(Table12[[#This Row],[Net-zero target status]]&lt;=1,"",IF(Table12[[#This Row],[NZ GHG year]]="","",(Table12[[#This Row],[residual LULUCF emissions in 2050]]-Table12[[#This Row],[2030 conditional NDCs]])/(Table12[[#This Row],[NZ GHG year]]-2030)/Table12[[#This Row],[2030 conditional NDCs]]))</f>
        <v/>
      </c>
      <c r="AP67" s="96">
        <f>MAX('input site'!AH67:AS67)</f>
        <v>28.213835999999993</v>
      </c>
      <c r="AQ67" s="95" t="str">
        <f>IF(Table12[[#This Row],[Current Policies 2030 incl LULUCF]]&gt;Table12[[#This Row],[Maximum inventory data]],"No","Yes")</f>
        <v>Yes</v>
      </c>
      <c r="AR67" s="34" t="str">
        <f>IF(Table12[[#This Row],[Net-zero target status]]&gt;=1.5,Table12[[#This Row],[residual LULUCF emissions in 2050]]/Table12[[#This Row],[GHG emissions excl LULUCF]],"")</f>
        <v/>
      </c>
      <c r="AS67" s="76">
        <f>'input site'!BE67</f>
        <v>37.812181260448078</v>
      </c>
      <c r="AT67" s="76">
        <f>'input site'!BF67</f>
        <v>37.812181260448078</v>
      </c>
      <c r="AU67" s="76">
        <f>'input site'!BG67</f>
        <v>29.680529376480752</v>
      </c>
      <c r="AV67" s="77">
        <f>'input site'!BH67</f>
        <v>29.680529376480752</v>
      </c>
      <c r="AW67" s="74">
        <f>IF(Table12[[#This Row],[2030 unconditional NDCs]]="","",IF(F67="incl",Table12[[#This Row],[2030 unconditional NDCs]]-Table12[[#This Row],[LULUCF NDC uncond]],Table12[[#This Row],[2030 unconditional NDCs]]))</f>
        <v>54.181159915718744</v>
      </c>
      <c r="AX67" s="74">
        <f>IF(Table12[[#This Row],[2030 unconditional NDCs2]]="","",IF(F67="incl",Table12[[#This Row],[2030 unconditional NDCs2]]-Table12[[#This Row],[LULUCF NDC uncond]],Table12[[#This Row],[2030 unconditional NDCs2]]))</f>
        <v>54.181159915718744</v>
      </c>
      <c r="AY67" s="74">
        <f>IF(Table12[[#This Row],[2030 conditional NDCs]]="","",IF(F67="incl",Table12[[#This Row],[2030 conditional NDCs]]-Table12[[#This Row],[LULUCF NDC cond]],Table12[[#This Row],[2030 conditional NDCs]]))</f>
        <v>46.049508031751415</v>
      </c>
      <c r="AZ67" s="74">
        <f>IF(Table12[[#This Row],[2030 conditional NDCs2]]="","",IF(F67="incl",Table12[[#This Row],[2030 conditional NDCs2]]-Table12[[#This Row],[LULUCF NDC cond]],Table12[[#This Row],[2030 conditional NDCs2]]))</f>
        <v>46.049508031751415</v>
      </c>
      <c r="BA67" s="8">
        <f>VLOOKUP($G67,'Population90 20'!$C$6:$AU$231,37,FALSE)</f>
        <v>11056370</v>
      </c>
      <c r="BB67" s="8">
        <f>VLOOKUP($G67,'Overview GDP (PPP)'!$C$6:$AI$231,33,FALSE)</f>
        <v>168134521.74593768</v>
      </c>
      <c r="BC67" s="36">
        <f>Table12[[#This Row],[Income]]/Table12[[#This Row],[Population]]</f>
        <v>15.20702741912017</v>
      </c>
      <c r="BD67" s="36">
        <f>Table12[[#This Row],[GHG emissions excl LULUCF]]*1000000/Table12[[#This Row],[Population]]</f>
        <v>3.7821082326296969</v>
      </c>
      <c r="BE67" s="23" t="e">
        <f>VLOOKUP($G67,EGR2023_MASTER!$B$4:$S$38,14,FALSE)</f>
        <v>#N/A</v>
      </c>
      <c r="BF67" s="23" t="e">
        <f>VLOOKUP($G67,EGR2023_MASTER!$B$4:$S$38,15,FALSE)</f>
        <v>#N/A</v>
      </c>
      <c r="BG67" s="23" t="e">
        <f>VLOOKUP($G67,EGR2023_MASTER!$B$4:$S$38,16,FALSE)</f>
        <v>#N/A</v>
      </c>
      <c r="BH67" s="23" t="e">
        <f t="shared" si="16"/>
        <v>#N/A</v>
      </c>
      <c r="BI67" s="23" t="e">
        <f t="shared" si="17"/>
        <v>#N/A</v>
      </c>
      <c r="BJ67" s="552">
        <f>(Table12[[#This Row],[Current Policies 2030 excl LULUCF]]/Table12[[#This Row],[GHG emissions excl LULUCF]])^(1/(2030-2021))-1</f>
        <v>1.3066094595631794E-2</v>
      </c>
      <c r="BK67" s="552" t="str">
        <f>IF(Table12[[#This Row],[Net-zero target status]]&lt;=1,"",IF(Table12[[#This Row],[NZ GHG year]]="","",((MAX(Table12[[#This Row],[residual LULUCF emissions in 2050]],0.1)/Table12[[#This Row],[Current Policies 2030 excl LULUCF]])^(1/(Table12[[#This Row],[NZ GHG year]]-2021))-1)))</f>
        <v/>
      </c>
      <c r="BL67" s="552" t="str">
        <f>IF(Table12[[#This Row],[Net-zero target status]]&lt;=1,"",IF(Table12[[#This Row],[NZ GHG year]]="","",((MAX(Table12[[#This Row],[residual LULUCF emissions in 2050]],0.1)/Table12[[#This Row],[GHG emissions excl LULUCF]])^(1/(Table12[[#This Row],[NZ GHG year]]-2021))-1)))</f>
        <v/>
      </c>
      <c r="BM67" s="552" t="str">
        <f>IF(Table12[[#This Row],[Net-zero target status]]&lt;=1,"",IF(Table12[[#This Row],[NZ GHG year]]="","",((MAX(Table12[[#This Row],[residual LULUCF emissions in 2050]],0.1)/AVERAGE(Table12[[#This Row],[2030 conditional NDCs]:[2030 conditional NDCs2]]))^(1/(Table12[[#This Row],[NZ GHG year]]-2021))-1)))</f>
        <v/>
      </c>
      <c r="BN67" s="23"/>
      <c r="BO67" s="23"/>
      <c r="BP67" s="23"/>
      <c r="BQ67" s="23"/>
      <c r="BR67" s="50" t="s">
        <v>163</v>
      </c>
      <c r="BT67" s="30" t="str">
        <f>IF(Table12[[#This Row],[Reduction rate 2021 to NZ target2]]="","",J67*(1+AN67)^(Table12[[#This Row],[NZ GHG year]]-2021))</f>
        <v/>
      </c>
    </row>
    <row r="68" spans="1:72" ht="15" x14ac:dyDescent="0.25">
      <c r="A68">
        <v>0</v>
      </c>
      <c r="B68">
        <v>0</v>
      </c>
      <c r="C68">
        <v>218</v>
      </c>
      <c r="D68">
        <v>56</v>
      </c>
      <c r="E68">
        <v>6</v>
      </c>
      <c r="F68" t="str">
        <f>'input site'!M68</f>
        <v>excl</v>
      </c>
      <c r="G68" s="31" t="s">
        <v>164</v>
      </c>
      <c r="H68" s="1" t="s">
        <v>165</v>
      </c>
      <c r="I68" s="8">
        <f>VLOOKUP($G68,'NZT data'!$B$3:$C$200,2,FALSE)</f>
        <v>3</v>
      </c>
      <c r="J68" s="32">
        <f>'input site'!AS68</f>
        <v>60.786369000000001</v>
      </c>
      <c r="K68" s="32">
        <f>'input site'!BS68</f>
        <v>67.560825675310724</v>
      </c>
      <c r="L68" s="32">
        <f t="shared" si="14"/>
        <v>0</v>
      </c>
      <c r="M68" s="32">
        <f t="shared" si="15"/>
        <v>0</v>
      </c>
      <c r="N68" s="32">
        <f>'input site'!EV68</f>
        <v>38.586335017895578</v>
      </c>
      <c r="O68" s="8">
        <v>0</v>
      </c>
      <c r="P68" s="36">
        <f>O68-N68</f>
        <v>-38.586335017895578</v>
      </c>
      <c r="Q68" s="32">
        <f t="shared" si="18"/>
        <v>0</v>
      </c>
      <c r="R68" s="32">
        <f>'input site'!EZ68</f>
        <v>22.828689615117234</v>
      </c>
      <c r="S68" s="37">
        <f>'input site'!FA68</f>
        <v>2050</v>
      </c>
      <c r="T68" s="37" t="str">
        <f>Table12[[#This Row],[(Mt CO2 equivalent)]]</f>
        <v>Ecuador</v>
      </c>
      <c r="U68" s="8">
        <f>VLOOKUP($G68,'NZT data'!$B$3:$F$200,4,FALSE)</f>
        <v>2050</v>
      </c>
      <c r="V68" s="32">
        <f>VLOOKUP($G68,'NZT data'!$B$3:$F$200,5,FALSE)</f>
        <v>2050</v>
      </c>
      <c r="W68" s="32">
        <f>-IF('LUC NGHGI'!EC58="",MIN('LUC NGHGI'!DW58,0.1),MIN('LUC NGHGI'!EC58,0.1))</f>
        <v>-0.1</v>
      </c>
      <c r="X68" s="32">
        <f>'LUC NGHGI'!EC58</f>
        <v>13.367531287788097</v>
      </c>
      <c r="Y68" s="32">
        <f>'LUC NGHGI'!DY58</f>
        <v>42</v>
      </c>
      <c r="Z68" s="32">
        <f>'LUC NGHGI'!DZ58</f>
        <v>35</v>
      </c>
      <c r="AA68" s="32">
        <f>Table12[[#This Row],[2021 emissions]]</f>
        <v>60.786369000000001</v>
      </c>
      <c r="AB68" s="32">
        <f>'LUC NGHGI'!DW58</f>
        <v>11.652603512404312</v>
      </c>
      <c r="AC68" s="32">
        <f>IF(F68="incl",Table12[[#This Row],[GHG emissions incl LULUCF]]-Table12[[#This Row],[LULUCF emis-sions in 20213]],Table12[[#This Row],[GHG emissions incl LULUCF]])</f>
        <v>60.786369000000001</v>
      </c>
      <c r="AD68" s="32">
        <f>'input site'!BS68</f>
        <v>67.560825675310724</v>
      </c>
      <c r="AE68" s="32">
        <f>'LUC NGHGI'!EH58</f>
        <v>9.9111380456209588</v>
      </c>
      <c r="AF68" s="32">
        <f>IF(F68="incl",Table12[[#This Row],[Current Policies 2030 incl LULUCF]]-Table12[[#This Row],[LULUCF CurPol 2030]],Table12[[#This Row],[Current Policies 2030 incl LULUCF]])</f>
        <v>67.560825675310724</v>
      </c>
      <c r="AG68" s="32">
        <f>IF(Table12[[#This Row],[Net-zero target status]]&lt;=1,"",IF(Table12[[#This Row],[NZ GHG year]]="","",1000000000*(Table12[[#This Row],[residual LULUCF emissions in 2050]]-Table12[[#This Row],[GHG emissions excl LULUCF]])/(Table12[[#This Row],[NZ GHG year]]-2021)/Table12[[#This Row],[Population]]))</f>
        <v>-115.91056819975275</v>
      </c>
      <c r="AH68" s="32" t="str">
        <f>IF(Table12[[#This Row],[Peak revised]]="Yes",IF(Table12[[#This Row],[Net-zero target status]]&lt;=1,"",IF(Table12[[#This Row],[NZ GHG year]]="","",1000000000*(Table12[[#This Row],[residual LULUCF emissions in 2050]]-Table12[[#This Row],[GHG emissions excl LULUCF]])/(Table12[[#This Row],[NZ GHG year]]-2021)/Table12[[#This Row],[Population]])),"")</f>
        <v/>
      </c>
      <c r="AI68" s="32">
        <f>MAX(0,(1000000*(Table12[[#This Row],[Current Policies 2030 excl LULUCF]]/2+Table12[[#This Row],[GHG emissions excl LULUCF]]/2)/Table12[[#This Row],[Population]]-$AI$8)*10)*$AI$10</f>
        <v>0</v>
      </c>
      <c r="AJ68" s="32">
        <f>IF(Table12[[#This Row],[Peak revised]]="No",IF(Table12[[#This Row],[Net-zero target status]]&lt;=1,"",IF(Table12[[#This Row],[NZ GHG year]]="","",1000000000*(Table12[[#This Row],[residual LULUCF emissions in 2050]]-Table12[[#This Row],[Current Policies 2030 excl LULUCF]])/(Table12[[#This Row],[NZ GHG year]]-2021)/Table12[[#This Row],[Population]])),"")</f>
        <v>-128.80723350229152</v>
      </c>
      <c r="AK68" s="32">
        <f>IF(Table12[[#This Row],[Formule no Peak (2)]]="","",Table12[[#This Row],[Penalty (1)]]+Table12[[#This Row],[Formule no Peak (2)]])</f>
        <v>-128.80723350229152</v>
      </c>
      <c r="AL68" s="313">
        <f>(Table12[[#This Row],[Current Policies 2030 excl LULUCF]]-Table12[[#This Row],[GHG emissions excl LULUCF]])/(2030-2021)/Table12[[#This Row],[GHG emissions excl LULUCF]]</f>
        <v>1.2382996726911887E-2</v>
      </c>
      <c r="AM68" s="313">
        <f>IF(Table12[[#This Row],[Net-zero target status]]&lt;=1,"",IF(Table12[[#This Row],[NZ GHG year]]="","",(Table12[[#This Row],[residual LULUCF emissions in 2050]]-Table12[[#This Row],[Current Policies 2030 excl LULUCF]])/(Table12[[#This Row],[NZ GHG year]]-2030)/Table12[[#This Row],[Current Policies 2030 excl LULUCF]]))</f>
        <v>-5.007400738445722E-2</v>
      </c>
      <c r="AN68" s="313">
        <f>IF(Table12[[#This Row],[Net-zero target status]]&lt;=1,"",IF(Table12[[#This Row],[NZ GHG year]]="","",(Table12[[#This Row],[residual LULUCF emissions in 2050]]-Table12[[#This Row],[GHG emissions excl LULUCF]])/(Table12[[#This Row],[NZ GHG year]]-2021)/Table12[[#This Row],[GHG emissions excl LULUCF]]))</f>
        <v>-3.4539486402243261E-2</v>
      </c>
      <c r="AO68" s="313" t="e">
        <f>IF(Table12[[#This Row],[Net-zero target status]]&lt;=1,"",IF(Table12[[#This Row],[NZ GHG year]]="","",(Table12[[#This Row],[residual LULUCF emissions in 2050]]-Table12[[#This Row],[2030 conditional NDCs]])/(Table12[[#This Row],[NZ GHG year]]-2030)/Table12[[#This Row],[2030 conditional NDCs]]))</f>
        <v>#DIV/0!</v>
      </c>
      <c r="AP68" s="96">
        <f>MAX('input site'!AH68:AS68)</f>
        <v>62.028213000000008</v>
      </c>
      <c r="AQ68" s="95" t="str">
        <f>IF(Table12[[#This Row],[Current Policies 2030 incl LULUCF]]&gt;Table12[[#This Row],[Maximum inventory data]],"No","Yes")</f>
        <v>No</v>
      </c>
      <c r="AR68" s="34">
        <f>IF(Table12[[#This Row],[Net-zero target status]]&gt;=1.5,Table12[[#This Row],[residual LULUCF emissions in 2050]]/Table12[[#This Row],[GHG emissions excl LULUCF]],"")</f>
        <v>-1.6451056650546112E-3</v>
      </c>
      <c r="AS68" s="74" t="str">
        <f>'input site'!BE68</f>
        <v/>
      </c>
      <c r="AT68" s="74"/>
      <c r="AU68" s="74"/>
      <c r="AV68" s="75"/>
      <c r="AW68" s="74" t="str">
        <f>IF(Table12[[#This Row],[2030 unconditional NDCs]]="","",IF(F68="incl",Table12[[#This Row],[2030 unconditional NDCs]]-Table12[[#This Row],[LULUCF NDC uncond]],Table12[[#This Row],[2030 unconditional NDCs]]))</f>
        <v/>
      </c>
      <c r="AX68" s="74" t="str">
        <f>IF(Table12[[#This Row],[2030 unconditional NDCs2]]="","",IF(F68="incl",Table12[[#This Row],[2030 unconditional NDCs2]]-Table12[[#This Row],[LULUCF NDC uncond]],Table12[[#This Row],[2030 unconditional NDCs2]]))</f>
        <v/>
      </c>
      <c r="AY68" s="74" t="str">
        <f>IF(Table12[[#This Row],[2030 conditional NDCs]]="","",IF(F68="incl",Table12[[#This Row],[2030 conditional NDCs]]-Table12[[#This Row],[LULUCF NDC cond]],Table12[[#This Row],[2030 conditional NDCs]]))</f>
        <v/>
      </c>
      <c r="AZ68" s="74" t="str">
        <f>IF(Table12[[#This Row],[2030 conditional NDCs2]]="","",IF(F68="incl",Table12[[#This Row],[2030 conditional NDCs2]]-Table12[[#This Row],[LULUCF NDC cond]],Table12[[#This Row],[2030 conditional NDCs2]]))</f>
        <v/>
      </c>
      <c r="BA68" s="8">
        <f>VLOOKUP($G68,'Population90 20'!$C$6:$AU$231,37,FALSE)</f>
        <v>18113361</v>
      </c>
      <c r="BB68" s="8">
        <f>VLOOKUP($G68,'Overview GDP (PPP)'!$C$6:$AI$231,33,FALSE)</f>
        <v>177885729.47044516</v>
      </c>
      <c r="BC68" s="36">
        <f>Table12[[#This Row],[Income]]/Table12[[#This Row],[Population]]</f>
        <v>9.820691448177131</v>
      </c>
      <c r="BD68" s="36">
        <f>Table12[[#This Row],[GHG emissions excl LULUCF]]*1000000/Table12[[#This Row],[Population]]</f>
        <v>3.3558856912309096</v>
      </c>
      <c r="BE68" s="23" t="e">
        <f>VLOOKUP($G68,EGR2023_MASTER!$B$4:$S$38,14,FALSE)</f>
        <v>#N/A</v>
      </c>
      <c r="BF68" s="23" t="e">
        <f>VLOOKUP($G68,EGR2023_MASTER!$B$4:$S$38,15,FALSE)</f>
        <v>#N/A</v>
      </c>
      <c r="BG68" s="23" t="e">
        <f>VLOOKUP($G68,EGR2023_MASTER!$B$4:$S$38,16,FALSE)</f>
        <v>#N/A</v>
      </c>
      <c r="BH68" s="23" t="e">
        <f t="shared" si="16"/>
        <v>#N/A</v>
      </c>
      <c r="BI68" s="23" t="e">
        <f t="shared" si="17"/>
        <v>#N/A</v>
      </c>
      <c r="BJ68" s="552">
        <f>(Table12[[#This Row],[Current Policies 2030 excl LULUCF]]/Table12[[#This Row],[GHG emissions excl LULUCF]])^(1/(2030-2021))-1</f>
        <v>1.1809492705935565E-2</v>
      </c>
      <c r="BK68" s="552">
        <f>IF(Table12[[#This Row],[Net-zero target status]]&lt;=1,"",IF(Table12[[#This Row],[NZ GHG year]]="","",((MAX(Table12[[#This Row],[residual LULUCF emissions in 2050]],0.1)/Table12[[#This Row],[Current Policies 2030 excl LULUCF]])^(1/(Table12[[#This Row],[NZ GHG year]]-2021))-1)))</f>
        <v>-0.20122527915331445</v>
      </c>
      <c r="BL68" s="552">
        <f>IF(Table12[[#This Row],[Net-zero target status]]&lt;=1,"",IF(Table12[[#This Row],[NZ GHG year]]="","",((MAX(Table12[[#This Row],[residual LULUCF emissions in 2050]],0.1)/Table12[[#This Row],[GHG emissions excl LULUCF]])^(1/(Table12[[#This Row],[NZ GHG year]]-2021))-1)))</f>
        <v>-0.19830960073371229</v>
      </c>
      <c r="BM68" s="552" t="e">
        <f>IF(Table12[[#This Row],[Net-zero target status]]&lt;=1,"",IF(Table12[[#This Row],[NZ GHG year]]="","",((MAX(Table12[[#This Row],[residual LULUCF emissions in 2050]],0.1)/AVERAGE(Table12[[#This Row],[2030 conditional NDCs]:[2030 conditional NDCs2]]))^(1/(Table12[[#This Row],[NZ GHG year]]-2021))-1)))</f>
        <v>#DIV/0!</v>
      </c>
      <c r="BN68" s="23"/>
      <c r="BO68" s="23"/>
      <c r="BP68" s="23"/>
      <c r="BQ68" s="23"/>
      <c r="BR68" s="50" t="s">
        <v>165</v>
      </c>
      <c r="BT68" s="30">
        <f>IF(Table12[[#This Row],[Reduction rate 2021 to NZ target2]]="","",J68*(1+AN68)^(Table12[[#This Row],[NZ GHG year]]-2021))</f>
        <v>21.933461338242989</v>
      </c>
    </row>
    <row r="69" spans="1:72" ht="15" x14ac:dyDescent="0.25">
      <c r="A69">
        <v>1</v>
      </c>
      <c r="B69">
        <v>0</v>
      </c>
      <c r="C69">
        <v>818</v>
      </c>
      <c r="D69">
        <v>211</v>
      </c>
      <c r="E69">
        <v>7</v>
      </c>
      <c r="F69" t="str">
        <f>'input site'!M69</f>
        <v>excl</v>
      </c>
      <c r="G69" s="31" t="s">
        <v>166</v>
      </c>
      <c r="H69" s="1" t="s">
        <v>167</v>
      </c>
      <c r="I69" s="8">
        <f>VLOOKUP($G69,'NZT data'!$B$3:$C$200,2,FALSE)</f>
        <v>0</v>
      </c>
      <c r="J69" s="32">
        <f>'input site'!AS69</f>
        <v>346</v>
      </c>
      <c r="K69" s="32">
        <f>'input site'!BS69</f>
        <v>442.17304389999947</v>
      </c>
      <c r="L69" s="32">
        <f t="shared" si="14"/>
        <v>442.17304389999947</v>
      </c>
      <c r="M69" s="32">
        <f t="shared" si="15"/>
        <v>162.21159026616692</v>
      </c>
      <c r="N69" s="32">
        <f>'input site'!EV69</f>
        <v>162.21159026616692</v>
      </c>
      <c r="O69" s="8"/>
      <c r="P69" s="8"/>
      <c r="Q69" s="32">
        <f t="shared" si="18"/>
        <v>48.303497170273346</v>
      </c>
      <c r="R69" s="32">
        <f>'input site'!EZ69</f>
        <v>48.303497170273346</v>
      </c>
      <c r="S69" s="37">
        <f>'input site'!FA69</f>
        <v>0</v>
      </c>
      <c r="T69" s="37" t="str">
        <f>Table12[[#This Row],[(Mt CO2 equivalent)]]</f>
        <v>Egypt</v>
      </c>
      <c r="U69" s="8">
        <f>VLOOKUP($G69,'NZT data'!$B$3:$F$200,4,FALSE)</f>
        <v>2110</v>
      </c>
      <c r="V69" s="32" t="str">
        <f>VLOOKUP($G69,'NZT data'!$B$3:$F$200,5,FALSE)</f>
        <v/>
      </c>
      <c r="W69" s="32">
        <f>-IF('LUC NGHGI'!EC59="",MIN('LUC NGHGI'!DW59,0.1),MIN('LUC NGHGI'!EC59,0.1))</f>
        <v>0</v>
      </c>
      <c r="X69" s="32" t="str">
        <f>'LUC NGHGI'!EC59</f>
        <v/>
      </c>
      <c r="Y69" s="32" t="str">
        <f>'LUC NGHGI'!DY59</f>
        <v/>
      </c>
      <c r="Z69" s="32" t="str">
        <f>'LUC NGHGI'!DZ59</f>
        <v/>
      </c>
      <c r="AA69" s="32">
        <f>Table12[[#This Row],[2021 emissions]]</f>
        <v>346</v>
      </c>
      <c r="AB69" s="32">
        <f>'LUC NGHGI'!DW59</f>
        <v>0</v>
      </c>
      <c r="AC69" s="32">
        <f>IF(F69="incl",Table12[[#This Row],[GHG emissions incl LULUCF]]-Table12[[#This Row],[LULUCF emis-sions in 20213]],Table12[[#This Row],[GHG emissions incl LULUCF]])</f>
        <v>346</v>
      </c>
      <c r="AD69" s="32">
        <f>'input site'!BS69</f>
        <v>442.17304389999947</v>
      </c>
      <c r="AE69" s="32" t="str">
        <f>'LUC NGHGI'!EH59</f>
        <v/>
      </c>
      <c r="AF69" s="32">
        <f>IF(F69="incl",Table12[[#This Row],[Current Policies 2030 incl LULUCF]]-Table12[[#This Row],[LULUCF CurPol 2030]],Table12[[#This Row],[Current Policies 2030 incl LULUCF]])</f>
        <v>442.17304389999947</v>
      </c>
      <c r="AG69" s="32" t="str">
        <f>IF(Table12[[#This Row],[Net-zero target status]]&lt;=1,"",IF(Table12[[#This Row],[NZ GHG year]]="","",1000000000*(Table12[[#This Row],[residual LULUCF emissions in 2050]]-Table12[[#This Row],[GHG emissions excl LULUCF]])/(Table12[[#This Row],[NZ GHG year]]-2021)/Table12[[#This Row],[Population]]))</f>
        <v/>
      </c>
      <c r="AH69" s="32" t="str">
        <f>IF(Table12[[#This Row],[Peak revised]]="Yes",IF(Table12[[#This Row],[Net-zero target status]]&lt;=1,"",IF(Table12[[#This Row],[NZ GHG year]]="","",1000000000*(Table12[[#This Row],[residual LULUCF emissions in 2050]]-Table12[[#This Row],[GHG emissions excl LULUCF]])/(Table12[[#This Row],[NZ GHG year]]-2021)/Table12[[#This Row],[Population]])),"")</f>
        <v/>
      </c>
      <c r="AI69" s="32">
        <f>MAX(0,(1000000*(Table12[[#This Row],[Current Policies 2030 excl LULUCF]]/2+Table12[[#This Row],[GHG emissions excl LULUCF]]/2)/Table12[[#This Row],[Population]]-$AI$8)*10)*$AI$10</f>
        <v>0</v>
      </c>
      <c r="AJ6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69" s="32" t="str">
        <f>IF(Table12[[#This Row],[Formule no Peak (2)]]="","",Table12[[#This Row],[Penalty (1)]]+Table12[[#This Row],[Formule no Peak (2)]])</f>
        <v/>
      </c>
      <c r="AL69" s="313">
        <f>(Table12[[#This Row],[Current Policies 2030 excl LULUCF]]-Table12[[#This Row],[GHG emissions excl LULUCF]])/(2030-2021)/Table12[[#This Row],[GHG emissions excl LULUCF]]</f>
        <v>3.0884086030828345E-2</v>
      </c>
      <c r="AM69" s="313" t="str">
        <f>IF(Table12[[#This Row],[Net-zero target status]]&lt;=1,"",IF(Table12[[#This Row],[NZ GHG year]]="","",(Table12[[#This Row],[residual LULUCF emissions in 2050]]-Table12[[#This Row],[Current Policies 2030 excl LULUCF]])/(Table12[[#This Row],[NZ GHG year]]-2030)/Table12[[#This Row],[Current Policies 2030 excl LULUCF]]))</f>
        <v/>
      </c>
      <c r="AN69" s="313" t="str">
        <f>IF(Table12[[#This Row],[Net-zero target status]]&lt;=1,"",IF(Table12[[#This Row],[NZ GHG year]]="","",(Table12[[#This Row],[residual LULUCF emissions in 2050]]-Table12[[#This Row],[GHG emissions excl LULUCF]])/(Table12[[#This Row],[NZ GHG year]]-2021)/Table12[[#This Row],[GHG emissions excl LULUCF]]))</f>
        <v/>
      </c>
      <c r="AO69" s="313" t="str">
        <f>IF(Table12[[#This Row],[Net-zero target status]]&lt;=1,"",IF(Table12[[#This Row],[NZ GHG year]]="","",(Table12[[#This Row],[residual LULUCF emissions in 2050]]-Table12[[#This Row],[2030 conditional NDCs]])/(Table12[[#This Row],[NZ GHG year]]-2030)/Table12[[#This Row],[2030 conditional NDCs]]))</f>
        <v/>
      </c>
      <c r="AP69" s="96">
        <f>MAX('input site'!AH69:AS69)</f>
        <v>353</v>
      </c>
      <c r="AQ69" s="95" t="str">
        <f>IF(Table12[[#This Row],[Current Policies 2030 incl LULUCF]]&gt;Table12[[#This Row],[Maximum inventory data]],"No","Yes")</f>
        <v>No</v>
      </c>
      <c r="AR69" s="34" t="str">
        <f>IF(Table12[[#This Row],[Net-zero target status]]&gt;=1.5,Table12[[#This Row],[residual LULUCF emissions in 2050]]/Table12[[#This Row],[GHG emissions excl LULUCF]],"")</f>
        <v/>
      </c>
      <c r="AS69" s="74" t="str">
        <f>'input site'!BE69</f>
        <v/>
      </c>
      <c r="AT69" s="74"/>
      <c r="AU69" s="74"/>
      <c r="AV69" s="75"/>
      <c r="AW69" s="74" t="str">
        <f>IF(Table12[[#This Row],[2030 unconditional NDCs]]="","",IF(F69="incl",Table12[[#This Row],[2030 unconditional NDCs]]-Table12[[#This Row],[LULUCF NDC uncond]],Table12[[#This Row],[2030 unconditional NDCs]]))</f>
        <v/>
      </c>
      <c r="AX69" s="74" t="str">
        <f>IF(Table12[[#This Row],[2030 unconditional NDCs2]]="","",IF(F69="incl",Table12[[#This Row],[2030 unconditional NDCs2]]-Table12[[#This Row],[LULUCF NDC uncond]],Table12[[#This Row],[2030 unconditional NDCs2]]))</f>
        <v/>
      </c>
      <c r="AY69" s="74" t="str">
        <f>IF(Table12[[#This Row],[2030 conditional NDCs]]="","",IF(F69="incl",Table12[[#This Row],[2030 conditional NDCs]]-Table12[[#This Row],[LULUCF NDC cond]],Table12[[#This Row],[2030 conditional NDCs]]))</f>
        <v/>
      </c>
      <c r="AZ69" s="74" t="str">
        <f>IF(Table12[[#This Row],[2030 conditional NDCs2]]="","",IF(F69="incl",Table12[[#This Row],[2030 conditional NDCs2]]-Table12[[#This Row],[LULUCF NDC cond]],Table12[[#This Row],[2030 conditional NDCs2]]))</f>
        <v/>
      </c>
      <c r="BA69" s="8">
        <f>VLOOKUP($G69,'Population90 20'!$C$6:$AU$231,37,FALSE)</f>
        <v>106156692</v>
      </c>
      <c r="BB69" s="8">
        <f>VLOOKUP($G69,'Overview GDP (PPP)'!$C$6:$AI$231,33,FALSE)</f>
        <v>1084011441.5731764</v>
      </c>
      <c r="BC69" s="36">
        <f>Table12[[#This Row],[Income]]/Table12[[#This Row],[Population]]</f>
        <v>10.211428230762658</v>
      </c>
      <c r="BD69" s="36">
        <f>Table12[[#This Row],[GHG emissions excl LULUCF]]*1000000/Table12[[#This Row],[Population]]</f>
        <v>3.2593329113910219</v>
      </c>
      <c r="BE69" s="23" t="str">
        <f>VLOOKUP($G69,EGR2023_MASTER!$B$4:$S$38,14,FALSE)</f>
        <v>No NZT</v>
      </c>
      <c r="BF69" s="23" t="str">
        <f>VLOOKUP($G69,EGR2023_MASTER!$B$4:$S$38,15,FALSE)</f>
        <v>None</v>
      </c>
      <c r="BG69" s="23" t="str">
        <f>VLOOKUP($G69,EGR2023_MASTER!$B$4:$S$38,16,FALSE)</f>
        <v>n</v>
      </c>
      <c r="BH69" s="23" t="str">
        <f t="shared" si="16"/>
        <v>much lower</v>
      </c>
      <c r="BI69" s="23" t="str">
        <f t="shared" si="17"/>
        <v>weak</v>
      </c>
      <c r="BJ69" s="552">
        <f>(Table12[[#This Row],[Current Policies 2030 excl LULUCF]]/Table12[[#This Row],[GHG emissions excl LULUCF]])^(1/(2030-2021))-1</f>
        <v>2.7626107783521592E-2</v>
      </c>
      <c r="BK69" s="552" t="str">
        <f>IF(Table12[[#This Row],[Net-zero target status]]&lt;=1,"",IF(Table12[[#This Row],[NZ GHG year]]="","",((MAX(Table12[[#This Row],[residual LULUCF emissions in 2050]],0.1)/Table12[[#This Row],[Current Policies 2030 excl LULUCF]])^(1/(Table12[[#This Row],[NZ GHG year]]-2021))-1)))</f>
        <v/>
      </c>
      <c r="BL69" s="552" t="str">
        <f>IF(Table12[[#This Row],[Net-zero target status]]&lt;=1,"",IF(Table12[[#This Row],[NZ GHG year]]="","",((MAX(Table12[[#This Row],[residual LULUCF emissions in 2050]],0.1)/Table12[[#This Row],[GHG emissions excl LULUCF]])^(1/(Table12[[#This Row],[NZ GHG year]]-2021))-1)))</f>
        <v/>
      </c>
      <c r="BM69" s="552" t="str">
        <f>IF(Table12[[#This Row],[Net-zero target status]]&lt;=1,"",IF(Table12[[#This Row],[NZ GHG year]]="","",((MAX(Table12[[#This Row],[residual LULUCF emissions in 2050]],0.1)/AVERAGE(Table12[[#This Row],[2030 conditional NDCs]:[2030 conditional NDCs2]]))^(1/(Table12[[#This Row],[NZ GHG year]]-2021))-1)))</f>
        <v/>
      </c>
      <c r="BN69" s="23"/>
      <c r="BO69" s="23"/>
      <c r="BP69" s="23"/>
      <c r="BQ69" s="23"/>
      <c r="BR69" s="50" t="s">
        <v>167</v>
      </c>
      <c r="BT69" s="30" t="str">
        <f>IF(Table12[[#This Row],[Reduction rate 2021 to NZ target2]]="","",J69*(1+AN69)^(Table12[[#This Row],[NZ GHG year]]-2021))</f>
        <v/>
      </c>
    </row>
    <row r="70" spans="1:72" ht="15" x14ac:dyDescent="0.25">
      <c r="A70">
        <v>0</v>
      </c>
      <c r="B70">
        <v>0</v>
      </c>
      <c r="C70">
        <v>222</v>
      </c>
      <c r="D70">
        <v>57</v>
      </c>
      <c r="E70">
        <v>4</v>
      </c>
      <c r="F70" t="str">
        <f>'input site'!M70</f>
        <v>excl</v>
      </c>
      <c r="G70" s="31" t="s">
        <v>168</v>
      </c>
      <c r="H70" s="1" t="s">
        <v>169</v>
      </c>
      <c r="I70" s="8">
        <f>VLOOKUP($G70,'NZT data'!$B$3:$C$200,2,FALSE)</f>
        <v>0</v>
      </c>
      <c r="J70" s="32">
        <f>'input site'!AS70</f>
        <v>12.649775999999999</v>
      </c>
      <c r="K70" s="32">
        <f>'input site'!BS70</f>
        <v>15.598049031675524</v>
      </c>
      <c r="L70" s="32">
        <f t="shared" si="14"/>
        <v>15.598049031675524</v>
      </c>
      <c r="M70" s="32">
        <f t="shared" si="15"/>
        <v>6.4622410530252603</v>
      </c>
      <c r="N70" s="32">
        <f>'input site'!EV70</f>
        <v>6.4622410530252603</v>
      </c>
      <c r="O70" s="8"/>
      <c r="P70" s="8"/>
      <c r="Q70" s="32">
        <f t="shared" si="18"/>
        <v>1.3142931897213996</v>
      </c>
      <c r="R70" s="32">
        <f>'input site'!EZ70</f>
        <v>1.3142931897213996</v>
      </c>
      <c r="S70" s="37">
        <f>'input site'!FA70</f>
        <v>0</v>
      </c>
      <c r="T70" s="37" t="str">
        <f>Table12[[#This Row],[(Mt CO2 equivalent)]]</f>
        <v>El Salvador</v>
      </c>
      <c r="U70" s="8">
        <f>VLOOKUP($G70,'NZT data'!$B$3:$F$200,4,FALSE)</f>
        <v>2110</v>
      </c>
      <c r="V70" s="32">
        <f>VLOOKUP($G70,'NZT data'!$B$3:$F$200,5,FALSE)</f>
        <v>2110</v>
      </c>
      <c r="W70" s="32">
        <f>-IF('LUC NGHGI'!EC60="",MIN('LUC NGHGI'!DW60,0.1),MIN('LUC NGHGI'!EC60,0.1))</f>
        <v>-0.1</v>
      </c>
      <c r="X70" s="32">
        <f>'LUC NGHGI'!EC60</f>
        <v>10.562610576923078</v>
      </c>
      <c r="Y70" s="32">
        <f>'LUC NGHGI'!DY60</f>
        <v>10.562610576923078</v>
      </c>
      <c r="Z70" s="32">
        <f>'LUC NGHGI'!DZ60</f>
        <v>10.562610576923078</v>
      </c>
      <c r="AA70" s="32">
        <f>Table12[[#This Row],[2021 emissions]]</f>
        <v>12.649775999999999</v>
      </c>
      <c r="AB70" s="32">
        <f>'LUC NGHGI'!DW60</f>
        <v>10.816213442307742</v>
      </c>
      <c r="AC70" s="32">
        <f>IF(F70="incl",Table12[[#This Row],[GHG emissions incl LULUCF]]-Table12[[#This Row],[LULUCF emis-sions in 20213]],Table12[[#This Row],[GHG emissions incl LULUCF]])</f>
        <v>12.649775999999999</v>
      </c>
      <c r="AD70" s="32">
        <f>'input site'!BS70</f>
        <v>15.598049031675524</v>
      </c>
      <c r="AE70" s="32">
        <f>'LUC NGHGI'!EH60</f>
        <v>6.280017027225167</v>
      </c>
      <c r="AF70" s="32">
        <f>IF(F70="incl",Table12[[#This Row],[Current Policies 2030 incl LULUCF]]-Table12[[#This Row],[LULUCF CurPol 2030]],Table12[[#This Row],[Current Policies 2030 incl LULUCF]])</f>
        <v>15.598049031675524</v>
      </c>
      <c r="AG70" s="32" t="str">
        <f>IF(Table12[[#This Row],[Net-zero target status]]&lt;=1,"",IF(Table12[[#This Row],[NZ GHG year]]="","",1000000000*(Table12[[#This Row],[residual LULUCF emissions in 2050]]-Table12[[#This Row],[GHG emissions excl LULUCF]])/(Table12[[#This Row],[NZ GHG year]]-2021)/Table12[[#This Row],[Population]]))</f>
        <v/>
      </c>
      <c r="AH70" s="32" t="str">
        <f>IF(Table12[[#This Row],[Peak revised]]="Yes",IF(Table12[[#This Row],[Net-zero target status]]&lt;=1,"",IF(Table12[[#This Row],[NZ GHG year]]="","",1000000000*(Table12[[#This Row],[residual LULUCF emissions in 2050]]-Table12[[#This Row],[GHG emissions excl LULUCF]])/(Table12[[#This Row],[NZ GHG year]]-2021)/Table12[[#This Row],[Population]])),"")</f>
        <v/>
      </c>
      <c r="AI70" s="32">
        <f>MAX(0,(1000000*(Table12[[#This Row],[Current Policies 2030 excl LULUCF]]/2+Table12[[#This Row],[GHG emissions excl LULUCF]]/2)/Table12[[#This Row],[Population]]-$AI$8)*10)*$AI$10</f>
        <v>0</v>
      </c>
      <c r="AJ7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0" s="32" t="str">
        <f>IF(Table12[[#This Row],[Formule no Peak (2)]]="","",Table12[[#This Row],[Penalty (1)]]+Table12[[#This Row],[Formule no Peak (2)]])</f>
        <v/>
      </c>
      <c r="AL70" s="313">
        <f>(Table12[[#This Row],[Current Policies 2030 excl LULUCF]]-Table12[[#This Row],[GHG emissions excl LULUCF]])/(2030-2021)/Table12[[#This Row],[GHG emissions excl LULUCF]]</f>
        <v>2.5896576540832949E-2</v>
      </c>
      <c r="AM70" s="313" t="str">
        <f>IF(Table12[[#This Row],[Net-zero target status]]&lt;=1,"",IF(Table12[[#This Row],[NZ GHG year]]="","",(Table12[[#This Row],[residual LULUCF emissions in 2050]]-Table12[[#This Row],[Current Policies 2030 excl LULUCF]])/(Table12[[#This Row],[NZ GHG year]]-2030)/Table12[[#This Row],[Current Policies 2030 excl LULUCF]]))</f>
        <v/>
      </c>
      <c r="AN70" s="313" t="str">
        <f>IF(Table12[[#This Row],[Net-zero target status]]&lt;=1,"",IF(Table12[[#This Row],[NZ GHG year]]="","",(Table12[[#This Row],[residual LULUCF emissions in 2050]]-Table12[[#This Row],[GHG emissions excl LULUCF]])/(Table12[[#This Row],[NZ GHG year]]-2021)/Table12[[#This Row],[GHG emissions excl LULUCF]]))</f>
        <v/>
      </c>
      <c r="AO70" s="313" t="str">
        <f>IF(Table12[[#This Row],[Net-zero target status]]&lt;=1,"",IF(Table12[[#This Row],[NZ GHG year]]="","",(Table12[[#This Row],[residual LULUCF emissions in 2050]]-Table12[[#This Row],[2030 conditional NDCs]])/(Table12[[#This Row],[NZ GHG year]]-2030)/Table12[[#This Row],[2030 conditional NDCs]]))</f>
        <v/>
      </c>
      <c r="AP70" s="96">
        <f>MAX('input site'!AH70:AS70)</f>
        <v>12.905149</v>
      </c>
      <c r="AQ70" s="95" t="str">
        <f>IF(Table12[[#This Row],[Current Policies 2030 incl LULUCF]]&gt;Table12[[#This Row],[Maximum inventory data]],"No","Yes")</f>
        <v>No</v>
      </c>
      <c r="AR70" s="34" t="str">
        <f>IF(Table12[[#This Row],[Net-zero target status]]&gt;=1.5,Table12[[#This Row],[residual LULUCF emissions in 2050]]/Table12[[#This Row],[GHG emissions excl LULUCF]],"")</f>
        <v/>
      </c>
      <c r="AS70" s="74" t="str">
        <f>'input site'!BE70</f>
        <v/>
      </c>
      <c r="AT70" s="74"/>
      <c r="AU70" s="74"/>
      <c r="AV70" s="75"/>
      <c r="AW70" s="74" t="str">
        <f>IF(Table12[[#This Row],[2030 unconditional NDCs]]="","",IF(F70="incl",Table12[[#This Row],[2030 unconditional NDCs]]-Table12[[#This Row],[LULUCF NDC uncond]],Table12[[#This Row],[2030 unconditional NDCs]]))</f>
        <v/>
      </c>
      <c r="AX70" s="74" t="str">
        <f>IF(Table12[[#This Row],[2030 unconditional NDCs2]]="","",IF(F70="incl",Table12[[#This Row],[2030 unconditional NDCs2]]-Table12[[#This Row],[LULUCF NDC uncond]],Table12[[#This Row],[2030 unconditional NDCs2]]))</f>
        <v/>
      </c>
      <c r="AY70" s="74" t="str">
        <f>IF(Table12[[#This Row],[2030 conditional NDCs]]="","",IF(F70="incl",Table12[[#This Row],[2030 conditional NDCs]]-Table12[[#This Row],[LULUCF NDC cond]],Table12[[#This Row],[2030 conditional NDCs]]))</f>
        <v/>
      </c>
      <c r="AZ70" s="74" t="str">
        <f>IF(Table12[[#This Row],[2030 conditional NDCs2]]="","",IF(F70="incl",Table12[[#This Row],[2030 conditional NDCs2]]-Table12[[#This Row],[LULUCF NDC cond]],Table12[[#This Row],[2030 conditional NDCs2]]))</f>
        <v/>
      </c>
      <c r="BA70" s="8">
        <f>VLOOKUP($G70,'Population90 20'!$C$6:$AU$231,37,FALSE)</f>
        <v>6550389</v>
      </c>
      <c r="BB70" s="8">
        <f>VLOOKUP($G70,'Overview GDP (PPP)'!$C$6:$AI$231,33,FALSE)</f>
        <v>47467908.370740741</v>
      </c>
      <c r="BC70" s="36">
        <f>Table12[[#This Row],[Income]]/Table12[[#This Row],[Population]]</f>
        <v>7.246578542242414</v>
      </c>
      <c r="BD70" s="36">
        <f>Table12[[#This Row],[GHG emissions excl LULUCF]]*1000000/Table12[[#This Row],[Population]]</f>
        <v>1.9311488218485955</v>
      </c>
      <c r="BE70" s="23" t="e">
        <f>VLOOKUP($G70,EGR2023_MASTER!$B$4:$S$38,14,FALSE)</f>
        <v>#N/A</v>
      </c>
      <c r="BF70" s="23" t="e">
        <f>VLOOKUP($G70,EGR2023_MASTER!$B$4:$S$38,15,FALSE)</f>
        <v>#N/A</v>
      </c>
      <c r="BG70" s="23" t="e">
        <f>VLOOKUP($G70,EGR2023_MASTER!$B$4:$S$38,16,FALSE)</f>
        <v>#N/A</v>
      </c>
      <c r="BH70" s="23" t="e">
        <f t="shared" si="16"/>
        <v>#N/A</v>
      </c>
      <c r="BI70" s="23" t="e">
        <f t="shared" si="17"/>
        <v>#N/A</v>
      </c>
      <c r="BJ70" s="552">
        <f>(Table12[[#This Row],[Current Policies 2030 excl LULUCF]]/Table12[[#This Row],[GHG emissions excl LULUCF]])^(1/(2030-2021))-1</f>
        <v>2.3551540411518301E-2</v>
      </c>
      <c r="BK70" s="552" t="str">
        <f>IF(Table12[[#This Row],[Net-zero target status]]&lt;=1,"",IF(Table12[[#This Row],[NZ GHG year]]="","",((MAX(Table12[[#This Row],[residual LULUCF emissions in 2050]],0.1)/Table12[[#This Row],[Current Policies 2030 excl LULUCF]])^(1/(Table12[[#This Row],[NZ GHG year]]-2021))-1)))</f>
        <v/>
      </c>
      <c r="BL70" s="552" t="str">
        <f>IF(Table12[[#This Row],[Net-zero target status]]&lt;=1,"",IF(Table12[[#This Row],[NZ GHG year]]="","",((MAX(Table12[[#This Row],[residual LULUCF emissions in 2050]],0.1)/Table12[[#This Row],[GHG emissions excl LULUCF]])^(1/(Table12[[#This Row],[NZ GHG year]]-2021))-1)))</f>
        <v/>
      </c>
      <c r="BM70" s="552" t="str">
        <f>IF(Table12[[#This Row],[Net-zero target status]]&lt;=1,"",IF(Table12[[#This Row],[NZ GHG year]]="","",((MAX(Table12[[#This Row],[residual LULUCF emissions in 2050]],0.1)/AVERAGE(Table12[[#This Row],[2030 conditional NDCs]:[2030 conditional NDCs2]]))^(1/(Table12[[#This Row],[NZ GHG year]]-2021))-1)))</f>
        <v/>
      </c>
      <c r="BN70" s="23"/>
      <c r="BO70" s="23"/>
      <c r="BP70" s="23"/>
      <c r="BQ70" s="23"/>
      <c r="BR70" s="50" t="s">
        <v>169</v>
      </c>
      <c r="BT70" s="30" t="str">
        <f>IF(Table12[[#This Row],[Reduction rate 2021 to NZ target2]]="","",J70*(1+AN70)^(Table12[[#This Row],[NZ GHG year]]-2021))</f>
        <v/>
      </c>
    </row>
    <row r="71" spans="1:72" ht="15" x14ac:dyDescent="0.25">
      <c r="A71">
        <v>0</v>
      </c>
      <c r="B71">
        <v>0</v>
      </c>
      <c r="C71">
        <v>226</v>
      </c>
      <c r="D71">
        <v>58</v>
      </c>
      <c r="E71">
        <v>8</v>
      </c>
      <c r="F71" t="str">
        <f>'input site'!M71</f>
        <v>incl</v>
      </c>
      <c r="G71" s="31" t="s">
        <v>170</v>
      </c>
      <c r="H71" s="1" t="s">
        <v>171</v>
      </c>
      <c r="I71" s="8">
        <f>VLOOKUP($G71,'NZT data'!$B$3:$C$200,2,FALSE)</f>
        <v>0</v>
      </c>
      <c r="J71" s="32">
        <f>'input site'!AS71</f>
        <v>3.9279379999999886</v>
      </c>
      <c r="K71" s="32">
        <f>'input site'!BS71</f>
        <v>10.023281862303143</v>
      </c>
      <c r="L71" s="32">
        <f t="shared" si="14"/>
        <v>10.023281862303143</v>
      </c>
      <c r="M71" s="32">
        <f t="shared" si="15"/>
        <v>6.516405007905437</v>
      </c>
      <c r="N71" s="32">
        <f>'input site'!EV71</f>
        <v>6.516405007905437</v>
      </c>
      <c r="O71" s="8"/>
      <c r="P71" s="8"/>
      <c r="Q71" s="32">
        <f t="shared" si="18"/>
        <v>3.7117461493366402</v>
      </c>
      <c r="R71" s="32">
        <f>'input site'!EZ71</f>
        <v>3.7117461493366402</v>
      </c>
      <c r="S71" s="37">
        <f>'input site'!FA71</f>
        <v>0</v>
      </c>
      <c r="T71" s="37" t="str">
        <f>Table12[[#This Row],[(Mt CO2 equivalent)]]</f>
        <v>Equatorial Guinea</v>
      </c>
      <c r="U71" s="8">
        <f>VLOOKUP($G71,'NZT data'!$B$3:$F$200,4,FALSE)</f>
        <v>2110</v>
      </c>
      <c r="V71" s="32" t="str">
        <f>VLOOKUP($G71,'NZT data'!$B$3:$F$200,5,FALSE)</f>
        <v/>
      </c>
      <c r="W71" s="32">
        <f>-IF('LUC NGHGI'!EC61="",MIN('LUC NGHGI'!DW61,0.1),MIN('LUC NGHGI'!EC61,0.1))</f>
        <v>8.7040000000000095</v>
      </c>
      <c r="X71" s="32">
        <f>'LUC NGHGI'!EC61</f>
        <v>-8.7040000000000095</v>
      </c>
      <c r="Y71" s="32">
        <f>'LUC NGHGI'!DY61</f>
        <v>-8.7040000000000095</v>
      </c>
      <c r="Z71" s="32">
        <f>'LUC NGHGI'!DZ61</f>
        <v>-8.7040000000000095</v>
      </c>
      <c r="AA71" s="32">
        <f>Table12[[#This Row],[2021 emissions]]</f>
        <v>3.9279379999999886</v>
      </c>
      <c r="AB71" s="32">
        <f>'LUC NGHGI'!DW61</f>
        <v>-8.7040000000000113</v>
      </c>
      <c r="AC71" s="32">
        <f>IF(F71="incl",Table12[[#This Row],[GHG emissions incl LULUCF]]-Table12[[#This Row],[LULUCF emis-sions in 20213]],Table12[[#This Row],[GHG emissions incl LULUCF]])</f>
        <v>12.631938</v>
      </c>
      <c r="AD71" s="32">
        <f>'input site'!BS71</f>
        <v>10.023281862303143</v>
      </c>
      <c r="AE71" s="32">
        <f>'LUC NGHGI'!EH61</f>
        <v>-10.10070243619473</v>
      </c>
      <c r="AF71" s="32">
        <f>IF(F71="incl",Table12[[#This Row],[Current Policies 2030 incl LULUCF]]-Table12[[#This Row],[LULUCF CurPol 2030]],Table12[[#This Row],[Current Policies 2030 incl LULUCF]])</f>
        <v>20.123984298497874</v>
      </c>
      <c r="AG71" s="32" t="str">
        <f>IF(Table12[[#This Row],[Net-zero target status]]&lt;=1,"",IF(Table12[[#This Row],[NZ GHG year]]="","",1000000000*(Table12[[#This Row],[residual LULUCF emissions in 2050]]-Table12[[#This Row],[GHG emissions excl LULUCF]])/(Table12[[#This Row],[NZ GHG year]]-2021)/Table12[[#This Row],[Population]]))</f>
        <v/>
      </c>
      <c r="AH71" s="32" t="str">
        <f>IF(Table12[[#This Row],[Peak revised]]="Yes",IF(Table12[[#This Row],[Net-zero target status]]&lt;=1,"",IF(Table12[[#This Row],[NZ GHG year]]="","",1000000000*(Table12[[#This Row],[residual LULUCF emissions in 2050]]-Table12[[#This Row],[GHG emissions excl LULUCF]])/(Table12[[#This Row],[NZ GHG year]]-2021)/Table12[[#This Row],[Population]])),"")</f>
        <v/>
      </c>
      <c r="AI71" s="32">
        <f>MAX(0,(1000000*(Table12[[#This Row],[Current Policies 2030 excl LULUCF]]/2+Table12[[#This Row],[GHG emissions excl LULUCF]]/2)/Table12[[#This Row],[Population]]-$AI$8)*10)*$AI$10</f>
        <v>-394.29925723035228</v>
      </c>
      <c r="AJ7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1" s="32" t="str">
        <f>IF(Table12[[#This Row],[Formule no Peak (2)]]="","",Table12[[#This Row],[Penalty (1)]]+Table12[[#This Row],[Formule no Peak (2)]])</f>
        <v/>
      </c>
      <c r="AL71" s="313">
        <f>(Table12[[#This Row],[Current Policies 2030 excl LULUCF]]-Table12[[#This Row],[GHG emissions excl LULUCF]])/(2030-2021)/Table12[[#This Row],[GHG emissions excl LULUCF]]</f>
        <v>6.5900385888688337E-2</v>
      </c>
      <c r="AM71" s="313" t="str">
        <f>IF(Table12[[#This Row],[Net-zero target status]]&lt;=1,"",IF(Table12[[#This Row],[NZ GHG year]]="","",(Table12[[#This Row],[residual LULUCF emissions in 2050]]-Table12[[#This Row],[Current Policies 2030 excl LULUCF]])/(Table12[[#This Row],[NZ GHG year]]-2030)/Table12[[#This Row],[Current Policies 2030 excl LULUCF]]))</f>
        <v/>
      </c>
      <c r="AN71" s="313" t="str">
        <f>IF(Table12[[#This Row],[Net-zero target status]]&lt;=1,"",IF(Table12[[#This Row],[NZ GHG year]]="","",(Table12[[#This Row],[residual LULUCF emissions in 2050]]-Table12[[#This Row],[GHG emissions excl LULUCF]])/(Table12[[#This Row],[NZ GHG year]]-2021)/Table12[[#This Row],[GHG emissions excl LULUCF]]))</f>
        <v/>
      </c>
      <c r="AO71" s="313" t="str">
        <f>IF(Table12[[#This Row],[Net-zero target status]]&lt;=1,"",IF(Table12[[#This Row],[NZ GHG year]]="","",(Table12[[#This Row],[residual LULUCF emissions in 2050]]-Table12[[#This Row],[2030 conditional NDCs]])/(Table12[[#This Row],[NZ GHG year]]-2030)/Table12[[#This Row],[2030 conditional NDCs]]))</f>
        <v/>
      </c>
      <c r="AP71" s="96">
        <f>MAX('input site'!AH71:AS71)</f>
        <v>11.353138999999999</v>
      </c>
      <c r="AQ71" s="95" t="str">
        <f>IF(Table12[[#This Row],[Current Policies 2030 incl LULUCF]]&gt;Table12[[#This Row],[Maximum inventory data]],"No","Yes")</f>
        <v>Yes</v>
      </c>
      <c r="AR71" s="443" t="str">
        <f>IF(Table12[[#This Row],[Net-zero target status]]&gt;=1.5,Table12[[#This Row],[residual LULUCF emissions in 2050]]/Table12[[#This Row],[GHG emissions excl LULUCF]],"")</f>
        <v/>
      </c>
      <c r="AS71" s="74" t="str">
        <f>'input site'!BE71</f>
        <v/>
      </c>
      <c r="AT71" s="74"/>
      <c r="AU71" s="74">
        <f>'input site'!BG71</f>
        <v>19.939328639999999</v>
      </c>
      <c r="AV71" s="74">
        <f>'input site'!BH71</f>
        <v>19.939328639999999</v>
      </c>
      <c r="AW71" s="74" t="str">
        <f>IF(Table12[[#This Row],[2030 unconditional NDCs]]="","",IF(F71="incl",Table12[[#This Row],[2030 unconditional NDCs]]-Table12[[#This Row],[LULUCF NDC uncond]],Table12[[#This Row],[2030 unconditional NDCs]]))</f>
        <v/>
      </c>
      <c r="AX71" s="74" t="str">
        <f>IF(Table12[[#This Row],[2030 unconditional NDCs2]]="","",IF(F71="incl",Table12[[#This Row],[2030 unconditional NDCs2]]-Table12[[#This Row],[LULUCF NDC uncond]],Table12[[#This Row],[2030 unconditional NDCs2]]))</f>
        <v/>
      </c>
      <c r="AY71" s="74">
        <f>IF(Table12[[#This Row],[2030 conditional NDCs]]="","",IF(F71="incl",Table12[[#This Row],[2030 conditional NDCs]]-Table12[[#This Row],[LULUCF NDC cond]],Table12[[#This Row],[2030 conditional NDCs]]))</f>
        <v>28.643328640000007</v>
      </c>
      <c r="AZ71" s="74">
        <f>IF(Table12[[#This Row],[2030 conditional NDCs2]]="","",IF(F71="incl",Table12[[#This Row],[2030 conditional NDCs2]]-Table12[[#This Row],[LULUCF NDC cond]],Table12[[#This Row],[2030 conditional NDCs2]]))</f>
        <v>28.643328640000007</v>
      </c>
      <c r="BA71" s="8">
        <f>VLOOKUP($G71,'Population90 20'!$C$6:$AU$231,37,FALSE)</f>
        <v>1496662</v>
      </c>
      <c r="BB71" s="8">
        <f>VLOOKUP($G71,'Overview GDP (PPP)'!$C$6:$AI$231,33,FALSE)</f>
        <v>27311195.23860874</v>
      </c>
      <c r="BC71" s="36">
        <f>Table12[[#This Row],[Income]]/Table12[[#This Row],[Population]]</f>
        <v>18.248071534260067</v>
      </c>
      <c r="BD71" s="36">
        <f>Table12[[#This Row],[GHG emissions excl LULUCF]]*1000000/Table12[[#This Row],[Population]]</f>
        <v>8.4400739779589511</v>
      </c>
      <c r="BE71" s="23" t="e">
        <f>VLOOKUP($G71,EGR2023_MASTER!$B$4:$S$38,14,FALSE)</f>
        <v>#N/A</v>
      </c>
      <c r="BF71" s="23" t="e">
        <f>VLOOKUP($G71,EGR2023_MASTER!$B$4:$S$38,15,FALSE)</f>
        <v>#N/A</v>
      </c>
      <c r="BG71" s="23" t="e">
        <f>VLOOKUP($G71,EGR2023_MASTER!$B$4:$S$38,16,FALSE)</f>
        <v>#N/A</v>
      </c>
      <c r="BH71" s="23" t="e">
        <f t="shared" si="16"/>
        <v>#N/A</v>
      </c>
      <c r="BI71" s="23" t="e">
        <f t="shared" si="17"/>
        <v>#N/A</v>
      </c>
      <c r="BJ71" s="552">
        <f>(Table12[[#This Row],[Current Policies 2030 excl LULUCF]]/Table12[[#This Row],[GHG emissions excl LULUCF]])^(1/(2030-2021))-1</f>
        <v>5.3104706780103372E-2</v>
      </c>
      <c r="BK71" s="552" t="str">
        <f>IF(Table12[[#This Row],[Net-zero target status]]&lt;=1,"",IF(Table12[[#This Row],[NZ GHG year]]="","",((MAX(Table12[[#This Row],[residual LULUCF emissions in 2050]],0.1)/Table12[[#This Row],[Current Policies 2030 excl LULUCF]])^(1/(Table12[[#This Row],[NZ GHG year]]-2021))-1)))</f>
        <v/>
      </c>
      <c r="BL71" s="552" t="str">
        <f>IF(Table12[[#This Row],[Net-zero target status]]&lt;=1,"",IF(Table12[[#This Row],[NZ GHG year]]="","",((MAX(Table12[[#This Row],[residual LULUCF emissions in 2050]],0.1)/Table12[[#This Row],[GHG emissions excl LULUCF]])^(1/(Table12[[#This Row],[NZ GHG year]]-2021))-1)))</f>
        <v/>
      </c>
      <c r="BM71" s="552" t="str">
        <f>IF(Table12[[#This Row],[Net-zero target status]]&lt;=1,"",IF(Table12[[#This Row],[NZ GHG year]]="","",((MAX(Table12[[#This Row],[residual LULUCF emissions in 2050]],0.1)/AVERAGE(Table12[[#This Row],[2030 conditional NDCs]:[2030 conditional NDCs2]]))^(1/(Table12[[#This Row],[NZ GHG year]]-2021))-1)))</f>
        <v/>
      </c>
      <c r="BN71" s="23"/>
      <c r="BO71" s="23"/>
      <c r="BP71" s="23"/>
      <c r="BQ71" s="23"/>
      <c r="BR71" s="50" t="s">
        <v>171</v>
      </c>
      <c r="BT71" s="30" t="str">
        <f>IF(Table12[[#This Row],[Reduction rate 2021 to NZ target2]]="","",J71*(1+AN71)^(Table12[[#This Row],[NZ GHG year]]-2021))</f>
        <v/>
      </c>
    </row>
    <row r="72" spans="1:72" ht="15" x14ac:dyDescent="0.25">
      <c r="A72">
        <v>0</v>
      </c>
      <c r="B72">
        <v>0</v>
      </c>
      <c r="C72">
        <v>232</v>
      </c>
      <c r="D72">
        <v>60</v>
      </c>
      <c r="E72">
        <v>9</v>
      </c>
      <c r="F72" t="str">
        <f>'input site'!M72</f>
        <v>excl</v>
      </c>
      <c r="G72" s="31" t="s">
        <v>172</v>
      </c>
      <c r="H72" s="1" t="s">
        <v>173</v>
      </c>
      <c r="I72" s="8">
        <f>VLOOKUP($G72,'NZT data'!$B$3:$C$200,2,FALSE)</f>
        <v>1</v>
      </c>
      <c r="J72" s="32">
        <f>'input site'!AS72</f>
        <v>6.9140739999999994</v>
      </c>
      <c r="K72" s="32">
        <f>'input site'!BS72</f>
        <v>10.882034537299685</v>
      </c>
      <c r="L72" s="32">
        <f t="shared" si="14"/>
        <v>0</v>
      </c>
      <c r="M72" s="32">
        <f t="shared" si="15"/>
        <v>0</v>
      </c>
      <c r="N72" s="32">
        <f>'input site'!EV72</f>
        <v>8.0025219316215424</v>
      </c>
      <c r="O72" s="8"/>
      <c r="P72" s="36"/>
      <c r="Q72" s="32">
        <f t="shared" si="18"/>
        <v>0</v>
      </c>
      <c r="R72" s="32">
        <f>'input site'!EZ72</f>
        <v>7.3116890858770107</v>
      </c>
      <c r="S72" s="37">
        <f>'input site'!FA72</f>
        <v>2050</v>
      </c>
      <c r="T72" s="37" t="str">
        <f>Table12[[#This Row],[(Mt CO2 equivalent)]]</f>
        <v>Eritrea</v>
      </c>
      <c r="U72" s="8">
        <f>VLOOKUP($G72,'NZT data'!$B$3:$F$200,4,FALSE)</f>
        <v>2110</v>
      </c>
      <c r="V72" s="32">
        <f>VLOOKUP($G72,'NZT data'!$B$3:$F$200,5,FALSE)</f>
        <v>2110</v>
      </c>
      <c r="W72" s="32">
        <f>-IF('LUC NGHGI'!EC62="",MIN('LUC NGHGI'!DW62,0.1),MIN('LUC NGHGI'!EC62,0.1))</f>
        <v>0.20773197701149404</v>
      </c>
      <c r="X72" s="32">
        <f>'LUC NGHGI'!EC62</f>
        <v>-0.20773197701149404</v>
      </c>
      <c r="Y72" s="32">
        <f>'LUC NGHGI'!DY62</f>
        <v>-0.20773197701149404</v>
      </c>
      <c r="Z72" s="32">
        <f>'LUC NGHGI'!DZ62</f>
        <v>-0.20773197701149404</v>
      </c>
      <c r="AA72" s="32">
        <f>Table12[[#This Row],[2021 emissions]]</f>
        <v>6.9140739999999994</v>
      </c>
      <c r="AB72" s="32">
        <f>'LUC NGHGI'!DW62</f>
        <v>-0.20676181609195399</v>
      </c>
      <c r="AC72" s="32">
        <f>IF(F72="incl",Table12[[#This Row],[GHG emissions incl LULUCF]]-Table12[[#This Row],[LULUCF emis-sions in 20213]],Table12[[#This Row],[GHG emissions incl LULUCF]])</f>
        <v>6.9140739999999994</v>
      </c>
      <c r="AD72" s="32">
        <f>'input site'!BS72</f>
        <v>10.882034537299685</v>
      </c>
      <c r="AE72" s="32">
        <f>'LUC NGHGI'!EH62</f>
        <v>-0.26957308089421261</v>
      </c>
      <c r="AF72" s="32">
        <f>IF(F72="incl",Table12[[#This Row],[Current Policies 2030 incl LULUCF]]-Table12[[#This Row],[LULUCF CurPol 2030]],Table12[[#This Row],[Current Policies 2030 incl LULUCF]])</f>
        <v>10.882034537299685</v>
      </c>
      <c r="AG72" s="32" t="str">
        <f>IF(Table12[[#This Row],[Net-zero target status]]&lt;=1,"",IF(Table12[[#This Row],[NZ GHG year]]="","",1000000000*(Table12[[#This Row],[residual LULUCF emissions in 2050]]-Table12[[#This Row],[GHG emissions excl LULUCF]])/(Table12[[#This Row],[NZ GHG year]]-2021)/Table12[[#This Row],[Population]]))</f>
        <v/>
      </c>
      <c r="AH72" s="32" t="str">
        <f>IF(Table12[[#This Row],[Peak revised]]="Yes",IF(Table12[[#This Row],[Net-zero target status]]&lt;=1,"",IF(Table12[[#This Row],[NZ GHG year]]="","",1000000000*(Table12[[#This Row],[residual LULUCF emissions in 2050]]-Table12[[#This Row],[GHG emissions excl LULUCF]])/(Table12[[#This Row],[NZ GHG year]]-2021)/Table12[[#This Row],[Population]])),"")</f>
        <v/>
      </c>
      <c r="AI72" s="32">
        <f>MAX(0,(1000000*(Table12[[#This Row],[Current Policies 2030 excl LULUCF]]/2+Table12[[#This Row],[GHG emissions excl LULUCF]]/2)/Table12[[#This Row],[Population]]-$AI$8)*10)*$AI$10</f>
        <v>0</v>
      </c>
      <c r="AJ7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2" s="32" t="str">
        <f>IF(Table12[[#This Row],[Formule no Peak (2)]]="","",Table12[[#This Row],[Penalty (1)]]+Table12[[#This Row],[Formule no Peak (2)]])</f>
        <v/>
      </c>
      <c r="AL72" s="313">
        <f>(Table12[[#This Row],[Current Policies 2030 excl LULUCF]]-Table12[[#This Row],[GHG emissions excl LULUCF]])/(2030-2021)/Table12[[#This Row],[GHG emissions excl LULUCF]]</f>
        <v>6.3766240301218871E-2</v>
      </c>
      <c r="AM72" s="313" t="str">
        <f>IF(Table12[[#This Row],[Net-zero target status]]&lt;=1,"",IF(Table12[[#This Row],[NZ GHG year]]="","",(Table12[[#This Row],[residual LULUCF emissions in 2050]]-Table12[[#This Row],[Current Policies 2030 excl LULUCF]])/(Table12[[#This Row],[NZ GHG year]]-2030)/Table12[[#This Row],[Current Policies 2030 excl LULUCF]]))</f>
        <v/>
      </c>
      <c r="AN72" s="313" t="str">
        <f>IF(Table12[[#This Row],[Net-zero target status]]&lt;=1,"",IF(Table12[[#This Row],[NZ GHG year]]="","",(Table12[[#This Row],[residual LULUCF emissions in 2050]]-Table12[[#This Row],[GHG emissions excl LULUCF]])/(Table12[[#This Row],[NZ GHG year]]-2021)/Table12[[#This Row],[GHG emissions excl LULUCF]]))</f>
        <v/>
      </c>
      <c r="AO72" s="313" t="str">
        <f>IF(Table12[[#This Row],[Net-zero target status]]&lt;=1,"",IF(Table12[[#This Row],[NZ GHG year]]="","",(Table12[[#This Row],[residual LULUCF emissions in 2050]]-Table12[[#This Row],[2030 conditional NDCs]])/(Table12[[#This Row],[NZ GHG year]]-2030)/Table12[[#This Row],[2030 conditional NDCs]]))</f>
        <v/>
      </c>
      <c r="AP72" s="96">
        <f>MAX('input site'!AH72:AS72)</f>
        <v>6.9140739999999994</v>
      </c>
      <c r="AQ72" s="95" t="str">
        <f>IF(Table12[[#This Row],[Current Policies 2030 incl LULUCF]]&gt;Table12[[#This Row],[Maximum inventory data]],"No","Yes")</f>
        <v>No</v>
      </c>
      <c r="AR72" s="34" t="str">
        <f>IF(Table12[[#This Row],[Net-zero target status]]&gt;=1.5,Table12[[#This Row],[residual LULUCF emissions in 2050]]/Table12[[#This Row],[GHG emissions excl LULUCF]],"")</f>
        <v/>
      </c>
      <c r="AS72" s="74" t="str">
        <f>'input site'!BE72</f>
        <v/>
      </c>
      <c r="AT72" s="74"/>
      <c r="AU72" s="74" t="str">
        <f>'input site'!BG72</f>
        <v/>
      </c>
      <c r="AV72" s="75"/>
      <c r="AW72" s="74" t="str">
        <f>IF(Table12[[#This Row],[2030 unconditional NDCs]]="","",IF(F72="incl",Table12[[#This Row],[2030 unconditional NDCs]]-Table12[[#This Row],[LULUCF NDC uncond]],Table12[[#This Row],[2030 unconditional NDCs]]))</f>
        <v/>
      </c>
      <c r="AX72" s="74" t="str">
        <f>IF(Table12[[#This Row],[2030 unconditional NDCs2]]="","",IF(F72="incl",Table12[[#This Row],[2030 unconditional NDCs2]]-Table12[[#This Row],[LULUCF NDC uncond]],Table12[[#This Row],[2030 unconditional NDCs2]]))</f>
        <v/>
      </c>
      <c r="AY72" s="74" t="str">
        <f>IF(Table12[[#This Row],[2030 conditional NDCs]]="","",IF(F72="incl",Table12[[#This Row],[2030 conditional NDCs]]-Table12[[#This Row],[LULUCF NDC cond]],Table12[[#This Row],[2030 conditional NDCs]]))</f>
        <v/>
      </c>
      <c r="AZ72" s="74" t="str">
        <f>IF(Table12[[#This Row],[2030 conditional NDCs2]]="","",IF(F72="incl",Table12[[#This Row],[2030 conditional NDCs2]]-Table12[[#This Row],[LULUCF NDC cond]],Table12[[#This Row],[2030 conditional NDCs2]]))</f>
        <v/>
      </c>
      <c r="BA72" s="8">
        <f>VLOOKUP($G72,'Population90 20'!$C$6:$AU$231,37,FALSE)</f>
        <v>3662244</v>
      </c>
      <c r="BB72" s="8">
        <f>VLOOKUP($G72,'Overview GDP (PPP)'!$C$6:$AI$231,33,FALSE)</f>
        <v>6748169.9062726721</v>
      </c>
      <c r="BC72" s="36">
        <f>Table12[[#This Row],[Income]]/Table12[[#This Row],[Population]]</f>
        <v>1.8426325242863861</v>
      </c>
      <c r="BD72" s="36">
        <f>Table12[[#This Row],[GHG emissions excl LULUCF]]*1000000/Table12[[#This Row],[Population]]</f>
        <v>1.8879337368018076</v>
      </c>
      <c r="BE72" s="23" t="e">
        <f>VLOOKUP($G72,EGR2023_MASTER!$B$4:$S$38,14,FALSE)</f>
        <v>#N/A</v>
      </c>
      <c r="BF72" s="23" t="e">
        <f>VLOOKUP($G72,EGR2023_MASTER!$B$4:$S$38,15,FALSE)</f>
        <v>#N/A</v>
      </c>
      <c r="BG72" s="23" t="e">
        <f>VLOOKUP($G72,EGR2023_MASTER!$B$4:$S$38,16,FALSE)</f>
        <v>#N/A</v>
      </c>
      <c r="BH72" s="23" t="e">
        <f t="shared" si="16"/>
        <v>#N/A</v>
      </c>
      <c r="BI72" s="23" t="e">
        <f t="shared" si="17"/>
        <v>#N/A</v>
      </c>
      <c r="BJ72" s="552">
        <f>(Table12[[#This Row],[Current Policies 2030 excl LULUCF]]/Table12[[#This Row],[GHG emissions excl LULUCF]])^(1/(2030-2021))-1</f>
        <v>5.1686334369222875E-2</v>
      </c>
      <c r="BK72" s="552" t="str">
        <f>IF(Table12[[#This Row],[Net-zero target status]]&lt;=1,"",IF(Table12[[#This Row],[NZ GHG year]]="","",((MAX(Table12[[#This Row],[residual LULUCF emissions in 2050]],0.1)/Table12[[#This Row],[Current Policies 2030 excl LULUCF]])^(1/(Table12[[#This Row],[NZ GHG year]]-2021))-1)))</f>
        <v/>
      </c>
      <c r="BL72" s="552" t="str">
        <f>IF(Table12[[#This Row],[Net-zero target status]]&lt;=1,"",IF(Table12[[#This Row],[NZ GHG year]]="","",((MAX(Table12[[#This Row],[residual LULUCF emissions in 2050]],0.1)/Table12[[#This Row],[GHG emissions excl LULUCF]])^(1/(Table12[[#This Row],[NZ GHG year]]-2021))-1)))</f>
        <v/>
      </c>
      <c r="BM72" s="552" t="str">
        <f>IF(Table12[[#This Row],[Net-zero target status]]&lt;=1,"",IF(Table12[[#This Row],[NZ GHG year]]="","",((MAX(Table12[[#This Row],[residual LULUCF emissions in 2050]],0.1)/AVERAGE(Table12[[#This Row],[2030 conditional NDCs]:[2030 conditional NDCs2]]))^(1/(Table12[[#This Row],[NZ GHG year]]-2021))-1)))</f>
        <v/>
      </c>
      <c r="BN72" s="23"/>
      <c r="BO72" s="23"/>
      <c r="BP72" s="23"/>
      <c r="BQ72" s="23"/>
      <c r="BR72" s="50" t="s">
        <v>173</v>
      </c>
      <c r="BT72" s="30" t="str">
        <f>IF(Table12[[#This Row],[Reduction rate 2021 to NZ target2]]="","",J72*(1+AN72)^(Table12[[#This Row],[NZ GHG year]]-2021))</f>
        <v/>
      </c>
    </row>
    <row r="73" spans="1:72" ht="15" x14ac:dyDescent="0.25">
      <c r="A73">
        <v>0</v>
      </c>
      <c r="B73">
        <v>0</v>
      </c>
      <c r="C73">
        <v>233</v>
      </c>
      <c r="D73">
        <v>61</v>
      </c>
      <c r="E73">
        <v>12</v>
      </c>
      <c r="F73" t="str">
        <f>'input site'!M73</f>
        <v>incl</v>
      </c>
      <c r="G73" s="31" t="s">
        <v>174</v>
      </c>
      <c r="H73" s="1" t="s">
        <v>175</v>
      </c>
      <c r="I73" s="8">
        <f>VLOOKUP($G73,'NZT data'!$B$3:$C$200,2,FALSE)</f>
        <v>2</v>
      </c>
      <c r="J73" s="32">
        <f>'input site'!AS73</f>
        <v>15.48189544234412</v>
      </c>
      <c r="K73" s="32">
        <f>'input site'!BS73</f>
        <v>7.9328178966403495</v>
      </c>
      <c r="L73" s="32">
        <f t="shared" si="14"/>
        <v>0</v>
      </c>
      <c r="M73" s="32">
        <f t="shared" si="15"/>
        <v>0</v>
      </c>
      <c r="N73" s="32">
        <f>'input site'!EV73</f>
        <v>5.0673013856715796</v>
      </c>
      <c r="O73" s="8"/>
      <c r="P73" s="8"/>
      <c r="Q73" s="32">
        <f t="shared" si="18"/>
        <v>0</v>
      </c>
      <c r="R73" s="32">
        <f>'input site'!EZ73</f>
        <v>2.4720542946191779</v>
      </c>
      <c r="S73" s="37" t="str">
        <f>'input site'!FA73</f>
        <v>2050 (part of the EU)</v>
      </c>
      <c r="T73" s="37" t="str">
        <f>Table12[[#This Row],[(Mt CO2 equivalent)]]</f>
        <v>Estonia</v>
      </c>
      <c r="U73" s="8">
        <f>VLOOKUP($G73,'NZT data'!$B$3:$F$200,4,FALSE)</f>
        <v>2050</v>
      </c>
      <c r="V73" s="32">
        <f>VLOOKUP($G73,'NZT data'!$B$3:$F$200,5,FALSE)</f>
        <v>2050</v>
      </c>
      <c r="W73" s="32">
        <f>-IF('LUC NGHGI'!EC63="",MIN('LUC NGHGI'!DW63,0.1),MIN('LUC NGHGI'!EC63,0.1))</f>
        <v>-0.1</v>
      </c>
      <c r="X73" s="32">
        <f>'LUC NGHGI'!EC63</f>
        <v>2.5038842991506196</v>
      </c>
      <c r="Y73" s="32">
        <f>'LUC NGHGI'!DY63</f>
        <v>2.5038842991506196</v>
      </c>
      <c r="Z73" s="32">
        <f>'LUC NGHGI'!DZ63</f>
        <v>2.5038842991506196</v>
      </c>
      <c r="AA73" s="32">
        <f>Table12[[#This Row],[2021 emissions]]</f>
        <v>15.48189544234412</v>
      </c>
      <c r="AB73" s="32">
        <f>'LUC NGHGI'!DW63</f>
        <v>2.8773284423441208</v>
      </c>
      <c r="AC73" s="32">
        <f>IF(F73="incl",Table12[[#This Row],[GHG emissions incl LULUCF]]-Table12[[#This Row],[LULUCF emis-sions in 20213]],Table12[[#This Row],[GHG emissions incl LULUCF]])</f>
        <v>12.604566999999999</v>
      </c>
      <c r="AD73" s="32">
        <f>'input site'!BS73</f>
        <v>7.9328178966403495</v>
      </c>
      <c r="AE73" s="32">
        <f>'LUC NGHGI'!EH63</f>
        <v>1.6730603028627165</v>
      </c>
      <c r="AF73" s="32">
        <f>IF(F73="incl",Table12[[#This Row],[Current Policies 2030 incl LULUCF]]-Table12[[#This Row],[LULUCF CurPol 2030]],Table12[[#This Row],[Current Policies 2030 incl LULUCF]])</f>
        <v>6.2597575937776329</v>
      </c>
      <c r="AG73" s="32">
        <f>IF(Table12[[#This Row],[Net-zero target status]]&lt;=1,"",IF(Table12[[#This Row],[NZ GHG year]]="","",1000000000*(Table12[[#This Row],[residual LULUCF emissions in 2050]]-Table12[[#This Row],[GHG emissions excl LULUCF]])/(Table12[[#This Row],[NZ GHG year]]-2021)/Table12[[#This Row],[Population]]))</f>
        <v>-331.40570631993052</v>
      </c>
      <c r="AH73" s="32">
        <f>IF(Table12[[#This Row],[Peak revised]]="Yes",IF(Table12[[#This Row],[Net-zero target status]]&lt;=1,"",IF(Table12[[#This Row],[NZ GHG year]]="","",1000000000*(Table12[[#This Row],[residual LULUCF emissions in 2050]]-Table12[[#This Row],[GHG emissions excl LULUCF]])/(Table12[[#This Row],[NZ GHG year]]-2021)/Table12[[#This Row],[Population]])),"")</f>
        <v>-331.40570631993052</v>
      </c>
      <c r="AI73" s="32">
        <f>MAX(0,(1000000*(Table12[[#This Row],[Current Policies 2030 excl LULUCF]]/2+Table12[[#This Row],[GHG emissions excl LULUCF]]/2)/Table12[[#This Row],[Population]]-$AI$8)*10)*$AI$10</f>
        <v>-13.52530027678247</v>
      </c>
      <c r="AJ7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3" s="32" t="str">
        <f>IF(Table12[[#This Row],[Formule no Peak (2)]]="","",Table12[[#This Row],[Penalty (1)]]+Table12[[#This Row],[Formule no Peak (2)]])</f>
        <v/>
      </c>
      <c r="AL73" s="313">
        <f>(Table12[[#This Row],[Current Policies 2030 excl LULUCF]]-Table12[[#This Row],[GHG emissions excl LULUCF]])/(2030-2021)/Table12[[#This Row],[GHG emissions excl LULUCF]]</f>
        <v>-5.5930427670668602E-2</v>
      </c>
      <c r="AM73" s="313">
        <f>IF(Table12[[#This Row],[Net-zero target status]]&lt;=1,"",IF(Table12[[#This Row],[NZ GHG year]]="","",(Table12[[#This Row],[residual LULUCF emissions in 2050]]-Table12[[#This Row],[Current Policies 2030 excl LULUCF]])/(Table12[[#This Row],[NZ GHG year]]-2030)/Table12[[#This Row],[Current Policies 2030 excl LULUCF]]))</f>
        <v>-5.0798752974870805E-2</v>
      </c>
      <c r="AN73" s="313">
        <f>IF(Table12[[#This Row],[Net-zero target status]]&lt;=1,"",IF(Table12[[#This Row],[NZ GHG year]]="","",(Table12[[#This Row],[residual LULUCF emissions in 2050]]-Table12[[#This Row],[GHG emissions excl LULUCF]])/(Table12[[#This Row],[NZ GHG year]]-2021)/Table12[[#This Row],[GHG emissions excl LULUCF]]))</f>
        <v>-3.4756332148607669E-2</v>
      </c>
      <c r="AO73" s="313" t="e">
        <f>IF(Table12[[#This Row],[Net-zero target status]]&lt;=1,"",IF(Table12[[#This Row],[NZ GHG year]]="","",(Table12[[#This Row],[residual LULUCF emissions in 2050]]-Table12[[#This Row],[2030 conditional NDCs]])/(Table12[[#This Row],[NZ GHG year]]-2030)/Table12[[#This Row],[2030 conditional NDCs]]))</f>
        <v>#VALUE!</v>
      </c>
      <c r="AP73" s="96">
        <f>MAX('input site'!AH73:AS73)</f>
        <v>22.263292526436519</v>
      </c>
      <c r="AQ73" s="95" t="str">
        <f>IF(Table12[[#This Row],[Current Policies 2030 incl LULUCF]]&gt;Table12[[#This Row],[Maximum inventory data]],"No","Yes")</f>
        <v>Yes</v>
      </c>
      <c r="AR73" s="34">
        <f>IF(Table12[[#This Row],[Net-zero target status]]&gt;=1.5,Table12[[#This Row],[residual LULUCF emissions in 2050]]/Table12[[#This Row],[GHG emissions excl LULUCF]],"")</f>
        <v>-7.9336323096223776E-3</v>
      </c>
      <c r="AS73" s="74" t="str">
        <f>'input site'!BE73</f>
        <v/>
      </c>
      <c r="AT73" s="74"/>
      <c r="AU73" s="74" t="str">
        <f>'input site'!BG73</f>
        <v/>
      </c>
      <c r="AV73" s="75"/>
      <c r="AW73" s="74" t="str">
        <f>IF(Table12[[#This Row],[2030 unconditional NDCs]]="","",IF(F73="incl",Table12[[#This Row],[2030 unconditional NDCs]]-Table12[[#This Row],[LULUCF NDC uncond]],Table12[[#This Row],[2030 unconditional NDCs]]))</f>
        <v/>
      </c>
      <c r="AX73" s="74" t="str">
        <f>IF(Table12[[#This Row],[2030 unconditional NDCs2]]="","",IF(F73="incl",Table12[[#This Row],[2030 unconditional NDCs2]]-Table12[[#This Row],[LULUCF NDC uncond]],Table12[[#This Row],[2030 unconditional NDCs2]]))</f>
        <v/>
      </c>
      <c r="AY73" s="74" t="str">
        <f>IF(Table12[[#This Row],[2030 conditional NDCs]]="","",IF(F73="incl",Table12[[#This Row],[2030 conditional NDCs]]-Table12[[#This Row],[LULUCF NDC cond]],Table12[[#This Row],[2030 conditional NDCs]]))</f>
        <v/>
      </c>
      <c r="AZ73" s="74" t="str">
        <f>IF(Table12[[#This Row],[2030 conditional NDCs2]]="","",IF(F73="incl",Table12[[#This Row],[2030 conditional NDCs2]]-Table12[[#This Row],[LULUCF NDC cond]],Table12[[#This Row],[2030 conditional NDCs2]]))</f>
        <v/>
      </c>
      <c r="BA73" s="8">
        <f>VLOOKUP($G73,'Population90 20'!$C$6:$AU$231,37,FALSE)</f>
        <v>1321910</v>
      </c>
      <c r="BB73" s="8">
        <f>VLOOKUP($G73,'Overview GDP (PPP)'!$C$6:$AI$231,33,FALSE)</f>
        <v>40934874.827186637</v>
      </c>
      <c r="BC73" s="36">
        <f>Table12[[#This Row],[Income]]/Table12[[#This Row],[Population]]</f>
        <v>30.966461277383964</v>
      </c>
      <c r="BD73" s="36">
        <f>Table12[[#This Row],[GHG emissions excl LULUCF]]*1000000/Table12[[#This Row],[Population]]</f>
        <v>9.5351173680507753</v>
      </c>
      <c r="BE73" s="23" t="e">
        <f>VLOOKUP($G73,EGR2023_MASTER!$B$4:$S$38,14,FALSE)</f>
        <v>#N/A</v>
      </c>
      <c r="BF73" s="23" t="e">
        <f>VLOOKUP($G73,EGR2023_MASTER!$B$4:$S$38,15,FALSE)</f>
        <v>#N/A</v>
      </c>
      <c r="BG73" s="23" t="e">
        <f>VLOOKUP($G73,EGR2023_MASTER!$B$4:$S$38,16,FALSE)</f>
        <v>#N/A</v>
      </c>
      <c r="BH73" s="23" t="e">
        <f t="shared" si="16"/>
        <v>#N/A</v>
      </c>
      <c r="BI73" s="23" t="e">
        <f t="shared" si="17"/>
        <v>#N/A</v>
      </c>
      <c r="BJ73" s="552">
        <f>(Table12[[#This Row],[Current Policies 2030 excl LULUCF]]/Table12[[#This Row],[GHG emissions excl LULUCF]])^(1/(2030-2021))-1</f>
        <v>-7.4821547621591877E-2</v>
      </c>
      <c r="BK73" s="552">
        <f>IF(Table12[[#This Row],[Net-zero target status]]&lt;=1,"",IF(Table12[[#This Row],[NZ GHG year]]="","",((MAX(Table12[[#This Row],[residual LULUCF emissions in 2050]],0.1)/Table12[[#This Row],[Current Policies 2030 excl LULUCF]])^(1/(Table12[[#This Row],[NZ GHG year]]-2021))-1)))</f>
        <v>-0.13293882323272854</v>
      </c>
      <c r="BL73" s="552">
        <f>IF(Table12[[#This Row],[Net-zero target status]]&lt;=1,"",IF(Table12[[#This Row],[NZ GHG year]]="","",((MAX(Table12[[#This Row],[residual LULUCF emissions in 2050]],0.1)/Table12[[#This Row],[GHG emissions excl LULUCF]])^(1/(Table12[[#This Row],[NZ GHG year]]-2021))-1)))</f>
        <v>-0.15361491352799572</v>
      </c>
      <c r="BM73" s="552" t="e">
        <f>IF(Table12[[#This Row],[Net-zero target status]]&lt;=1,"",IF(Table12[[#This Row],[NZ GHG year]]="","",((MAX(Table12[[#This Row],[residual LULUCF emissions in 2050]],0.1)/AVERAGE(Table12[[#This Row],[2030 conditional NDCs]:[2030 conditional NDCs2]]))^(1/(Table12[[#This Row],[NZ GHG year]]-2021))-1)))</f>
        <v>#DIV/0!</v>
      </c>
      <c r="BN73" s="23"/>
      <c r="BO73" s="23"/>
      <c r="BP73" s="23"/>
      <c r="BQ73" s="23"/>
      <c r="BR73" s="50" t="s">
        <v>175</v>
      </c>
      <c r="BT73" s="30">
        <f>IF(Table12[[#This Row],[Reduction rate 2021 to NZ target2]]="","",J73*(1+AN73)^(Table12[[#This Row],[NZ GHG year]]-2021))</f>
        <v>5.5500386410128106</v>
      </c>
    </row>
    <row r="74" spans="1:72" ht="15" x14ac:dyDescent="0.25">
      <c r="A74">
        <v>1</v>
      </c>
      <c r="B74">
        <v>0</v>
      </c>
      <c r="C74">
        <v>231</v>
      </c>
      <c r="D74">
        <v>59</v>
      </c>
      <c r="E74">
        <v>9</v>
      </c>
      <c r="F74" t="str">
        <f>'input site'!M74</f>
        <v>incl</v>
      </c>
      <c r="G74" s="31" t="s">
        <v>176</v>
      </c>
      <c r="H74" s="1" t="s">
        <v>177</v>
      </c>
      <c r="I74" s="8">
        <f>VLOOKUP($G74,'NZT data'!$B$3:$C$200,2,FALSE)</f>
        <v>3</v>
      </c>
      <c r="J74" s="347">
        <f>'input site'!AS74</f>
        <v>259.66456849999997</v>
      </c>
      <c r="K74" s="32">
        <f>'input site'!BS74</f>
        <v>300.01527035000004</v>
      </c>
      <c r="L74" s="32">
        <f t="shared" si="14"/>
        <v>0</v>
      </c>
      <c r="M74" s="32">
        <f t="shared" si="15"/>
        <v>0</v>
      </c>
      <c r="N74" s="32">
        <f>'input site'!EV74</f>
        <v>304.7499186465281</v>
      </c>
      <c r="O74" s="8"/>
      <c r="P74" s="8"/>
      <c r="Q74" s="32">
        <f t="shared" si="18"/>
        <v>0</v>
      </c>
      <c r="R74" s="32">
        <f>'input site'!EZ74</f>
        <v>278.44180536200304</v>
      </c>
      <c r="S74" s="37" t="str">
        <f>'input site'!FA74</f>
        <v>Carbon neutral, not specified</v>
      </c>
      <c r="T74" s="37" t="str">
        <f>Table12[[#This Row],[(Mt CO2 equivalent)]]</f>
        <v>Ethiopia</v>
      </c>
      <c r="U74" s="8">
        <f>VLOOKUP($G74,'NZT data'!$B$3:$F$200,4,FALSE)</f>
        <v>2050</v>
      </c>
      <c r="V74" s="32">
        <f>VLOOKUP($G74,'NZT data'!$B$3:$F$200,5,FALSE)</f>
        <v>2050</v>
      </c>
      <c r="W74" s="32">
        <f>-IF('LUC NGHGI'!EC64="",MIN('LUC NGHGI'!DW64,0.1),MIN('LUC NGHGI'!EC64,0.1))</f>
        <v>274.58499999999998</v>
      </c>
      <c r="X74" s="32">
        <f>'LUC NGHGI'!EC64</f>
        <v>-274.58499999999998</v>
      </c>
      <c r="Y74" s="32">
        <f>'LUC NGHGI'!DY64</f>
        <v>-140.55590334975403</v>
      </c>
      <c r="Z74" s="32">
        <f>'LUC NGHGI'!DZ64</f>
        <v>-140.55590334975403</v>
      </c>
      <c r="AA74" s="32">
        <f>Table12[[#This Row],[2021 emissions]]</f>
        <v>259.66456849999997</v>
      </c>
      <c r="AB74" s="32">
        <f>'LUC NGHGI'!DW64</f>
        <v>-109.22658847290677</v>
      </c>
      <c r="AC74" s="32">
        <f>IF(F74="incl",Table12[[#This Row],[GHG emissions incl LULUCF]]-Table12[[#This Row],[LULUCF emis-sions in 20213]],Table12[[#This Row],[GHG emissions incl LULUCF]])</f>
        <v>368.89115697290674</v>
      </c>
      <c r="AD74" s="32">
        <f>'input site'!BS74</f>
        <v>300.01527035000004</v>
      </c>
      <c r="AE74" s="32">
        <f>'LUC NGHGI'!EH64</f>
        <v>102.02336</v>
      </c>
      <c r="AF74" s="32">
        <f>IF(F74="incl",Table12[[#This Row],[Current Policies 2030 incl LULUCF]]-Table12[[#This Row],[LULUCF CurPol 2030]],Table12[[#This Row],[Current Policies 2030 incl LULUCF]])</f>
        <v>197.99191035000004</v>
      </c>
      <c r="AG74" s="32">
        <f>IF(Table12[[#This Row],[Net-zero target status]]&lt;=1,"",IF(Table12[[#This Row],[NZ GHG year]]="","",1000000000*(Table12[[#This Row],[residual LULUCF emissions in 2050]]-Table12[[#This Row],[GHG emissions excl LULUCF]])/(Table12[[#This Row],[NZ GHG year]]-2021)/Table12[[#This Row],[Population]]))</f>
        <v>-26.917174280319546</v>
      </c>
      <c r="AH74" s="32" t="str">
        <f>IF(Table12[[#This Row],[Peak revised]]="Yes",IF(Table12[[#This Row],[Net-zero target status]]&lt;=1,"",IF(Table12[[#This Row],[NZ GHG year]]="","",1000000000*(Table12[[#This Row],[residual LULUCF emissions in 2050]]-Table12[[#This Row],[GHG emissions excl LULUCF]])/(Table12[[#This Row],[NZ GHG year]]-2021)/Table12[[#This Row],[Population]])),"")</f>
        <v/>
      </c>
      <c r="AI74" s="32">
        <f>MAX(0,(1000000*(Table12[[#This Row],[Current Policies 2030 excl LULUCF]]/2+Table12[[#This Row],[GHG emissions excl LULUCF]]/2)/Table12[[#This Row],[Population]]-$AI$8)*10)*$AI$10</f>
        <v>0</v>
      </c>
      <c r="AJ74" s="32">
        <f>IF(Table12[[#This Row],[Peak revised]]="No",IF(Table12[[#This Row],[Net-zero target status]]&lt;=1,"",IF(Table12[[#This Row],[NZ GHG year]]="","",1000000000*(Table12[[#This Row],[residual LULUCF emissions in 2050]]-Table12[[#This Row],[Current Policies 2030 excl LULUCF]])/(Table12[[#This Row],[NZ GHG year]]-2021)/Table12[[#This Row],[Population]])),"")</f>
        <v>21.861452199451676</v>
      </c>
      <c r="AK74" s="32">
        <f>IF(Table12[[#This Row],[Formule no Peak (2)]]="","",Table12[[#This Row],[Penalty (1)]]+Table12[[#This Row],[Formule no Peak (2)]])</f>
        <v>21.861452199451676</v>
      </c>
      <c r="AL74" s="313">
        <f>(Table12[[#This Row],[Current Policies 2030 excl LULUCF]]-Table12[[#This Row],[GHG emissions excl LULUCF]])/(2030-2021)/Table12[[#This Row],[GHG emissions excl LULUCF]]</f>
        <v>-5.1475360201485125E-2</v>
      </c>
      <c r="AM74" s="313">
        <f>IF(Table12[[#This Row],[Net-zero target status]]&lt;=1,"",IF(Table12[[#This Row],[NZ GHG year]]="","",(Table12[[#This Row],[residual LULUCF emissions in 2050]]-Table12[[#This Row],[Current Policies 2030 excl LULUCF]])/(Table12[[#This Row],[NZ GHG year]]-2030)/Table12[[#This Row],[Current Policies 2030 excl LULUCF]]))</f>
        <v>1.9342479577726827E-2</v>
      </c>
      <c r="AN74" s="313">
        <f>IF(Table12[[#This Row],[Net-zero target status]]&lt;=1,"",IF(Table12[[#This Row],[NZ GHG year]]="","",(Table12[[#This Row],[residual LULUCF emissions in 2050]]-Table12[[#This Row],[GHG emissions excl LULUCF]])/(Table12[[#This Row],[NZ GHG year]]-2021)/Table12[[#This Row],[GHG emissions excl LULUCF]]))</f>
        <v>-8.8154361682908303E-3</v>
      </c>
      <c r="AO74" s="313">
        <f>IF(Table12[[#This Row],[Net-zero target status]]&lt;=1,"",IF(Table12[[#This Row],[NZ GHG year]]="","",(Table12[[#This Row],[residual LULUCF emissions in 2050]]-Table12[[#This Row],[2030 conditional NDCs]])/(Table12[[#This Row],[NZ GHG year]]-2030)/Table12[[#This Row],[2030 conditional NDCs]]))</f>
        <v>5.9055777968417343E-2</v>
      </c>
      <c r="AP74" s="96">
        <f>MAX('input site'!AH74:AS74)</f>
        <v>260.06</v>
      </c>
      <c r="AQ74" s="95" t="str">
        <f>IF(Table12[[#This Row],[Current Policies 2030 incl LULUCF]]&gt;Table12[[#This Row],[Maximum inventory data]],"No","Yes")</f>
        <v>No</v>
      </c>
      <c r="AR74" s="443">
        <f>IF(Table12[[#This Row],[Net-zero target status]]&gt;=1.5,Table12[[#This Row],[residual LULUCF emissions in 2050]]/Table12[[#This Row],[GHG emissions excl LULUCF]],"")</f>
        <v>0.74435235111956588</v>
      </c>
      <c r="AS74" s="76">
        <f>'input site'!BE74</f>
        <v>347.81700000000001</v>
      </c>
      <c r="AT74" s="76">
        <f>'input site'!BF74</f>
        <v>347.81700000000001</v>
      </c>
      <c r="AU74" s="76">
        <f>'input site'!BG74</f>
        <v>125.89200000000002</v>
      </c>
      <c r="AV74" s="77">
        <f>'input site'!BH74</f>
        <v>125.89200000000002</v>
      </c>
      <c r="AW74" s="74">
        <f>IF(Table12[[#This Row],[2030 unconditional NDCs]]="","",IF(F74="incl",Table12[[#This Row],[2030 unconditional NDCs]]-Table12[[#This Row],[LULUCF NDC uncond]],Table12[[#This Row],[2030 unconditional NDCs]]))</f>
        <v>488.37290334975404</v>
      </c>
      <c r="AX74" s="74">
        <f>IF(Table12[[#This Row],[2030 unconditional NDCs2]]="","",IF(F74="incl",Table12[[#This Row],[2030 unconditional NDCs2]]-Table12[[#This Row],[LULUCF NDC uncond]],Table12[[#This Row],[2030 unconditional NDCs2]]))</f>
        <v>488.37290334975404</v>
      </c>
      <c r="AY74" s="74">
        <f>IF(Table12[[#This Row],[2030 conditional NDCs]]="","",IF(F74="incl",Table12[[#This Row],[2030 conditional NDCs]]-Table12[[#This Row],[LULUCF NDC cond]],Table12[[#This Row],[2030 conditional NDCs]]))</f>
        <v>266.44790334975403</v>
      </c>
      <c r="AZ74" s="74">
        <f>IF(Table12[[#This Row],[2030 conditional NDCs2]]="","",IF(F74="incl",Table12[[#This Row],[2030 conditional NDCs2]]-Table12[[#This Row],[LULUCF NDC cond]],Table12[[#This Row],[2030 conditional NDCs2]]))</f>
        <v>266.44790334975403</v>
      </c>
      <c r="BA74" s="8">
        <f>VLOOKUP($G74,'Population90 20'!$C$6:$AU$231,37,FALSE)</f>
        <v>120812698</v>
      </c>
      <c r="BB74" s="8">
        <f>VLOOKUP($G74,'Overview GDP (PPP)'!$C$6:$AI$231,33,FALSE)</f>
        <v>195980621.97873801</v>
      </c>
      <c r="BC74" s="36">
        <f>Table12[[#This Row],[Income]]/Table12[[#This Row],[Population]]</f>
        <v>1.6221856247158557</v>
      </c>
      <c r="BD74" s="36">
        <f>Table12[[#This Row],[GHG emissions excl LULUCF]]*1000000/Table12[[#This Row],[Population]]</f>
        <v>3.0534137808337563</v>
      </c>
      <c r="BE74" s="23" t="str">
        <f>VLOOKUP($G74,EGR2023_MASTER!$B$4:$S$38,14,FALSE)</f>
        <v>No NZT</v>
      </c>
      <c r="BF74" s="23" t="str">
        <f>VLOOKUP($G74,EGR2023_MASTER!$B$4:$S$38,15,FALSE)</f>
        <v>None</v>
      </c>
      <c r="BG74" s="23" t="str">
        <f>VLOOKUP($G74,EGR2023_MASTER!$B$4:$S$38,16,FALSE)</f>
        <v>n</v>
      </c>
      <c r="BH74" s="23" t="str">
        <f t="shared" si="16"/>
        <v>much lower</v>
      </c>
      <c r="BI74" s="23" t="str">
        <f t="shared" si="17"/>
        <v>weak</v>
      </c>
      <c r="BJ74" s="552">
        <f>(Table12[[#This Row],[Current Policies 2030 excl LULUCF]]/Table12[[#This Row],[GHG emissions excl LULUCF]])^(1/(2030-2021))-1</f>
        <v>-6.6805579526031722E-2</v>
      </c>
      <c r="BK74" s="552">
        <f>IF(Table12[[#This Row],[Net-zero target status]]&lt;=1,"",IF(Table12[[#This Row],[NZ GHG year]]="","",((MAX(Table12[[#This Row],[residual LULUCF emissions in 2050]],0.1)/Table12[[#This Row],[Current Policies 2030 excl LULUCF]])^(1/(Table12[[#This Row],[NZ GHG year]]-2021))-1)))</f>
        <v>1.1340884129719564E-2</v>
      </c>
      <c r="BL74" s="552">
        <f>IF(Table12[[#This Row],[Net-zero target status]]&lt;=1,"",IF(Table12[[#This Row],[NZ GHG year]]="","",((MAX(Table12[[#This Row],[residual LULUCF emissions in 2050]],0.1)/Table12[[#This Row],[GHG emissions excl LULUCF]])^(1/(Table12[[#This Row],[NZ GHG year]]-2021))-1)))</f>
        <v>-1.0129068000638508E-2</v>
      </c>
      <c r="BM74" s="552">
        <f>IF(Table12[[#This Row],[Net-zero target status]]&lt;=1,"",IF(Table12[[#This Row],[NZ GHG year]]="","",((MAX(Table12[[#This Row],[residual LULUCF emissions in 2050]],0.1)/AVERAGE(Table12[[#This Row],[2030 conditional NDCs]:[2030 conditional NDCs2]]))^(1/(Table12[[#This Row],[NZ GHG year]]-2021))-1)))</f>
        <v>2.7255736170645806E-2</v>
      </c>
      <c r="BN74" s="23"/>
      <c r="BO74" s="23"/>
      <c r="BP74" s="23"/>
      <c r="BQ74" s="23"/>
      <c r="BR74" s="50" t="s">
        <v>177</v>
      </c>
      <c r="BT74" s="30">
        <f>IF(Table12[[#This Row],[Reduction rate 2021 to NZ target2]]="","",J74*(1+AN74)^(Table12[[#This Row],[NZ GHG year]]-2021))</f>
        <v>200.86027938518205</v>
      </c>
    </row>
    <row r="75" spans="1:72" ht="15" x14ac:dyDescent="0.25">
      <c r="A75">
        <v>0</v>
      </c>
      <c r="B75">
        <v>0</v>
      </c>
      <c r="C75">
        <v>234</v>
      </c>
      <c r="D75">
        <v>62</v>
      </c>
      <c r="E75">
        <v>11</v>
      </c>
      <c r="F75" t="str">
        <f>'input site'!M75</f>
        <v>excl</v>
      </c>
      <c r="G75" s="31" t="s">
        <v>178</v>
      </c>
      <c r="H75" s="1" t="s">
        <v>179</v>
      </c>
      <c r="I75" s="8">
        <v>0</v>
      </c>
      <c r="J75" s="32">
        <f>'input site'!AS75</f>
        <v>0</v>
      </c>
      <c r="K75" s="32">
        <f>'input site'!BS75</f>
        <v>0</v>
      </c>
      <c r="L75" s="32">
        <f t="shared" si="14"/>
        <v>0</v>
      </c>
      <c r="M75" s="32">
        <f t="shared" si="15"/>
        <v>0</v>
      </c>
      <c r="N75" s="32">
        <f>'input site'!EV75</f>
        <v>0</v>
      </c>
      <c r="O75" s="8"/>
      <c r="P75" s="8"/>
      <c r="Q75" s="32">
        <f t="shared" si="18"/>
        <v>0</v>
      </c>
      <c r="R75" s="32">
        <f>'input site'!EZ75</f>
        <v>0</v>
      </c>
      <c r="S75" s="37">
        <f>'input site'!FA75</f>
        <v>0</v>
      </c>
      <c r="T75" s="37" t="str">
        <f>Table12[[#This Row],[(Mt CO2 equivalent)]]</f>
        <v>Faeroe Islands</v>
      </c>
      <c r="U75" s="35">
        <v>2100</v>
      </c>
      <c r="V75" s="35">
        <v>2100</v>
      </c>
      <c r="W75" s="32">
        <f>-IF('LUC NGHGI'!EC65="",MIN('LUC NGHGI'!DW65,0.1),MIN('LUC NGHGI'!EC65,0.1))</f>
        <v>0</v>
      </c>
      <c r="X75" s="32">
        <f>'LUC NGHGI'!EC65</f>
        <v>0</v>
      </c>
      <c r="Y75" s="32" t="str">
        <f>'LUC NGHGI'!DY65</f>
        <v/>
      </c>
      <c r="Z75" s="32" t="str">
        <f>'LUC NGHGI'!DZ65</f>
        <v/>
      </c>
      <c r="AA75" s="32">
        <f>Table12[[#This Row],[2021 emissions]]</f>
        <v>0</v>
      </c>
      <c r="AB75" s="32">
        <f>'LUC NGHGI'!DW65</f>
        <v>0</v>
      </c>
      <c r="AC75" s="32">
        <f>IF(F75="incl",Table12[[#This Row],[GHG emissions incl LULUCF]]-Table12[[#This Row],[LULUCF emis-sions in 20213]],Table12[[#This Row],[GHG emissions incl LULUCF]])</f>
        <v>0</v>
      </c>
      <c r="AD75" s="32">
        <f>'input site'!BS75</f>
        <v>0</v>
      </c>
      <c r="AE75" s="32">
        <f>'LUC NGHGI'!EH65</f>
        <v>0</v>
      </c>
      <c r="AF75" s="32">
        <f>IF(F75="incl",Table12[[#This Row],[Current Policies 2030 incl LULUCF]]-Table12[[#This Row],[LULUCF CurPol 2030]],Table12[[#This Row],[Current Policies 2030 incl LULUCF]])</f>
        <v>0</v>
      </c>
      <c r="AG75" s="32" t="str">
        <f>IF(Table12[[#This Row],[Net-zero target status]]&lt;=1,"",IF(Table12[[#This Row],[NZ GHG year]]="","",1000000000*(Table12[[#This Row],[residual LULUCF emissions in 2050]]-Table12[[#This Row],[GHG emissions excl LULUCF]])/(Table12[[#This Row],[NZ GHG year]]-2021)/Table12[[#This Row],[Population]]))</f>
        <v/>
      </c>
      <c r="AH75" s="32" t="str">
        <f>IF(Table12[[#This Row],[Peak revised]]="Yes",IF(Table12[[#This Row],[Net-zero target status]]&lt;=1,"",IF(Table12[[#This Row],[NZ GHG year]]="","",1000000000*(Table12[[#This Row],[residual LULUCF emissions in 2050]]-Table12[[#This Row],[GHG emissions excl LULUCF]])/(Table12[[#This Row],[NZ GHG year]]-2021)/Table12[[#This Row],[Population]])),"")</f>
        <v/>
      </c>
      <c r="AI75" s="32">
        <f>MAX(0,(1000000*(Table12[[#This Row],[Current Policies 2030 excl LULUCF]]/2+Table12[[#This Row],[GHG emissions excl LULUCF]]/2)/Table12[[#This Row],[Population]]-$AI$8)*10)*$AI$10</f>
        <v>0</v>
      </c>
      <c r="AJ7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5" s="32" t="str">
        <f>IF(Table12[[#This Row],[Formule no Peak (2)]]="","",Table12[[#This Row],[Penalty (1)]]+Table12[[#This Row],[Formule no Peak (2)]])</f>
        <v/>
      </c>
      <c r="AL75" s="313" t="e">
        <f>(Table12[[#This Row],[Current Policies 2030 excl LULUCF]]-Table12[[#This Row],[GHG emissions excl LULUCF]])/(2030-2021)/Table12[[#This Row],[GHG emissions excl LULUCF]]</f>
        <v>#DIV/0!</v>
      </c>
      <c r="AM75" s="313" t="str">
        <f>IF(Table12[[#This Row],[Net-zero target status]]&lt;=1,"",IF(Table12[[#This Row],[NZ GHG year]]="","",(Table12[[#This Row],[residual LULUCF emissions in 2050]]-Table12[[#This Row],[Current Policies 2030 excl LULUCF]])/(Table12[[#This Row],[NZ GHG year]]-2030)/Table12[[#This Row],[Current Policies 2030 excl LULUCF]]))</f>
        <v/>
      </c>
      <c r="AN75" s="313" t="str">
        <f>IF(Table12[[#This Row],[Net-zero target status]]&lt;=1,"",IF(Table12[[#This Row],[NZ GHG year]]="","",(Table12[[#This Row],[residual LULUCF emissions in 2050]]-Table12[[#This Row],[GHG emissions excl LULUCF]])/(Table12[[#This Row],[NZ GHG year]]-2021)/Table12[[#This Row],[GHG emissions excl LULUCF]]))</f>
        <v/>
      </c>
      <c r="AO75" s="313" t="str">
        <f>IF(Table12[[#This Row],[Net-zero target status]]&lt;=1,"",IF(Table12[[#This Row],[NZ GHG year]]="","",(Table12[[#This Row],[residual LULUCF emissions in 2050]]-Table12[[#This Row],[2030 conditional NDCs]])/(Table12[[#This Row],[NZ GHG year]]-2030)/Table12[[#This Row],[2030 conditional NDCs]]))</f>
        <v/>
      </c>
      <c r="AP75" s="96">
        <f>MAX('input site'!AH75:AS75)</f>
        <v>0</v>
      </c>
      <c r="AQ75" s="95" t="str">
        <f>IF(Table12[[#This Row],[Current Policies 2030 incl LULUCF]]&gt;Table12[[#This Row],[Maximum inventory data]],"No","Yes")</f>
        <v>Yes</v>
      </c>
      <c r="AR75" s="34" t="str">
        <f>IF(Table12[[#This Row],[Net-zero target status]]&gt;=1.5,Table12[[#This Row],[residual LULUCF emissions in 2050]]/Table12[[#This Row],[GHG emissions excl LULUCF]],"")</f>
        <v/>
      </c>
      <c r="AS75" s="74" t="str">
        <f>'input site'!BE75</f>
        <v/>
      </c>
      <c r="AT75" s="74"/>
      <c r="AU75" s="74"/>
      <c r="AV75" s="75"/>
      <c r="AW75" s="74" t="str">
        <f>IF(Table12[[#This Row],[2030 unconditional NDCs]]="","",IF(F75="incl",Table12[[#This Row],[2030 unconditional NDCs]]-Table12[[#This Row],[LULUCF NDC uncond]],Table12[[#This Row],[2030 unconditional NDCs]]))</f>
        <v/>
      </c>
      <c r="AX75" s="74" t="str">
        <f>IF(Table12[[#This Row],[2030 unconditional NDCs2]]="","",IF(F75="incl",Table12[[#This Row],[2030 unconditional NDCs2]]-Table12[[#This Row],[LULUCF NDC uncond]],Table12[[#This Row],[2030 unconditional NDCs2]]))</f>
        <v/>
      </c>
      <c r="AY75" s="74" t="str">
        <f>IF(Table12[[#This Row],[2030 conditional NDCs]]="","",IF(F75="incl",Table12[[#This Row],[2030 conditional NDCs]]-Table12[[#This Row],[LULUCF NDC cond]],Table12[[#This Row],[2030 conditional NDCs]]))</f>
        <v/>
      </c>
      <c r="AZ75" s="74" t="str">
        <f>IF(Table12[[#This Row],[2030 conditional NDCs2]]="","",IF(F75="incl",Table12[[#This Row],[2030 conditional NDCs2]]-Table12[[#This Row],[LULUCF NDC cond]],Table12[[#This Row],[2030 conditional NDCs2]]))</f>
        <v/>
      </c>
      <c r="BA75" s="8">
        <f>VLOOKUP($G75,'Population90 20'!$C$6:$AU$231,37,FALSE)</f>
        <v>49233</v>
      </c>
      <c r="BB75" s="8">
        <f>VLOOKUP($G75,'Overview GDP (PPP)'!$C$6:$AI$231,33,FALSE)</f>
        <v>2847212.177271537</v>
      </c>
      <c r="BC75" s="36">
        <f>Table12[[#This Row],[Income]]/Table12[[#This Row],[Population]]</f>
        <v>57.831376866563829</v>
      </c>
      <c r="BD75" s="36">
        <f>Table12[[#This Row],[GHG emissions excl LULUCF]]*1000000/Table12[[#This Row],[Population]]</f>
        <v>0</v>
      </c>
      <c r="BE75" s="23" t="e">
        <f>VLOOKUP($G75,EGR2023_MASTER!$B$4:$S$38,14,FALSE)</f>
        <v>#N/A</v>
      </c>
      <c r="BF75" s="23" t="e">
        <f>VLOOKUP($G75,EGR2023_MASTER!$B$4:$S$38,15,FALSE)</f>
        <v>#N/A</v>
      </c>
      <c r="BG75" s="23" t="e">
        <f>VLOOKUP($G75,EGR2023_MASTER!$B$4:$S$38,16,FALSE)</f>
        <v>#N/A</v>
      </c>
      <c r="BH75" s="23" t="e">
        <f t="shared" si="16"/>
        <v>#N/A</v>
      </c>
      <c r="BI75" s="23" t="e">
        <f t="shared" si="17"/>
        <v>#N/A</v>
      </c>
      <c r="BJ75" s="552" t="e">
        <f>(Table12[[#This Row],[Current Policies 2030 excl LULUCF]]/Table12[[#This Row],[GHG emissions excl LULUCF]])^(1/(2030-2021))-1</f>
        <v>#DIV/0!</v>
      </c>
      <c r="BK75" s="552" t="str">
        <f>IF(Table12[[#This Row],[Net-zero target status]]&lt;=1,"",IF(Table12[[#This Row],[NZ GHG year]]="","",((MAX(Table12[[#This Row],[residual LULUCF emissions in 2050]],0.1)/Table12[[#This Row],[Current Policies 2030 excl LULUCF]])^(1/(Table12[[#This Row],[NZ GHG year]]-2021))-1)))</f>
        <v/>
      </c>
      <c r="BL75" s="552" t="str">
        <f>IF(Table12[[#This Row],[Net-zero target status]]&lt;=1,"",IF(Table12[[#This Row],[NZ GHG year]]="","",((MAX(Table12[[#This Row],[residual LULUCF emissions in 2050]],0.1)/Table12[[#This Row],[GHG emissions excl LULUCF]])^(1/(Table12[[#This Row],[NZ GHG year]]-2021))-1)))</f>
        <v/>
      </c>
      <c r="BM75" s="552" t="str">
        <f>IF(Table12[[#This Row],[Net-zero target status]]&lt;=1,"",IF(Table12[[#This Row],[NZ GHG year]]="","",((MAX(Table12[[#This Row],[residual LULUCF emissions in 2050]],0.1)/AVERAGE(Table12[[#This Row],[2030 conditional NDCs]:[2030 conditional NDCs2]]))^(1/(Table12[[#This Row],[NZ GHG year]]-2021))-1)))</f>
        <v/>
      </c>
      <c r="BN75" s="23"/>
      <c r="BO75" s="23"/>
      <c r="BP75" s="23"/>
      <c r="BQ75" s="23"/>
      <c r="BR75" s="50" t="s">
        <v>179</v>
      </c>
      <c r="BT75" s="30" t="str">
        <f>IF(Table12[[#This Row],[Reduction rate 2021 to NZ target2]]="","",J75*(1+AN75)^(Table12[[#This Row],[NZ GHG year]]-2021))</f>
        <v/>
      </c>
    </row>
    <row r="76" spans="1:72" ht="15" x14ac:dyDescent="0.25">
      <c r="A76">
        <v>0</v>
      </c>
      <c r="B76">
        <v>0</v>
      </c>
      <c r="C76">
        <v>238</v>
      </c>
      <c r="D76">
        <v>63</v>
      </c>
      <c r="E76">
        <v>6</v>
      </c>
      <c r="F76" t="str">
        <f>'input site'!M76</f>
        <v>excl</v>
      </c>
      <c r="G76" s="31" t="s">
        <v>180</v>
      </c>
      <c r="H76" s="1" t="s">
        <v>181</v>
      </c>
      <c r="I76" s="8">
        <v>0</v>
      </c>
      <c r="J76" s="32">
        <f>'input site'!AS76</f>
        <v>0</v>
      </c>
      <c r="K76" s="32">
        <f>'input site'!BS76</f>
        <v>0</v>
      </c>
      <c r="L76" s="32">
        <f t="shared" si="14"/>
        <v>0</v>
      </c>
      <c r="M76" s="32">
        <f t="shared" si="15"/>
        <v>0</v>
      </c>
      <c r="N76" s="32">
        <f>'input site'!EV76</f>
        <v>0</v>
      </c>
      <c r="O76" s="8"/>
      <c r="P76" s="8"/>
      <c r="Q76" s="32">
        <f t="shared" si="18"/>
        <v>0</v>
      </c>
      <c r="R76" s="32">
        <f>'input site'!EZ76</f>
        <v>0</v>
      </c>
      <c r="S76" s="37">
        <f>'input site'!FA76</f>
        <v>0</v>
      </c>
      <c r="T76" s="37" t="str">
        <f>Table12[[#This Row],[(Mt CO2 equivalent)]]</f>
        <v>Falklands Islands.</v>
      </c>
      <c r="U76" s="35">
        <v>2100</v>
      </c>
      <c r="V76" s="35">
        <v>2100</v>
      </c>
      <c r="W76" s="32">
        <f>-IF('LUC NGHGI'!EC66="",MIN('LUC NGHGI'!DW66,0.1),MIN('LUC NGHGI'!EC66,0.1))</f>
        <v>0</v>
      </c>
      <c r="X76" s="32">
        <f>'LUC NGHGI'!EC66</f>
        <v>0</v>
      </c>
      <c r="Y76" s="32" t="str">
        <f>'LUC NGHGI'!DY66</f>
        <v/>
      </c>
      <c r="Z76" s="32" t="str">
        <f>'LUC NGHGI'!DZ66</f>
        <v/>
      </c>
      <c r="AA76" s="32">
        <f>Table12[[#This Row],[2021 emissions]]</f>
        <v>0</v>
      </c>
      <c r="AB76" s="32">
        <f>'LUC NGHGI'!DW66</f>
        <v>0</v>
      </c>
      <c r="AC76" s="32">
        <f>IF(F76="incl",Table12[[#This Row],[GHG emissions incl LULUCF]]-Table12[[#This Row],[LULUCF emis-sions in 20213]],Table12[[#This Row],[GHG emissions incl LULUCF]])</f>
        <v>0</v>
      </c>
      <c r="AD76" s="32">
        <f>'input site'!BS76</f>
        <v>0</v>
      </c>
      <c r="AE76" s="32">
        <f>'LUC NGHGI'!EH66</f>
        <v>0</v>
      </c>
      <c r="AF76" s="32">
        <f>IF(F76="incl",Table12[[#This Row],[Current Policies 2030 incl LULUCF]]-Table12[[#This Row],[LULUCF CurPol 2030]],Table12[[#This Row],[Current Policies 2030 incl LULUCF]])</f>
        <v>0</v>
      </c>
      <c r="AG76" s="32" t="str">
        <f>IF(Table12[[#This Row],[Net-zero target status]]&lt;=1,"",IF(Table12[[#This Row],[NZ GHG year]]="","",1000000000*(Table12[[#This Row],[residual LULUCF emissions in 2050]]-Table12[[#This Row],[GHG emissions excl LULUCF]])/(Table12[[#This Row],[NZ GHG year]]-2021)/Table12[[#This Row],[Population]]))</f>
        <v/>
      </c>
      <c r="AH76" s="32" t="str">
        <f>IF(Table12[[#This Row],[Peak revised]]="Yes",IF(Table12[[#This Row],[Net-zero target status]]&lt;=1,"",IF(Table12[[#This Row],[NZ GHG year]]="","",1000000000*(Table12[[#This Row],[residual LULUCF emissions in 2050]]-Table12[[#This Row],[GHG emissions excl LULUCF]])/(Table12[[#This Row],[NZ GHG year]]-2021)/Table12[[#This Row],[Population]])),"")</f>
        <v/>
      </c>
      <c r="AI76" s="32">
        <f>MAX(0,(1000000*(Table12[[#This Row],[Current Policies 2030 excl LULUCF]]/2+Table12[[#This Row],[GHG emissions excl LULUCF]]/2)/Table12[[#This Row],[Population]]-$AI$8)*10)*$AI$10</f>
        <v>0</v>
      </c>
      <c r="AJ7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6" s="32" t="str">
        <f>IF(Table12[[#This Row],[Formule no Peak (2)]]="","",Table12[[#This Row],[Penalty (1)]]+Table12[[#This Row],[Formule no Peak (2)]])</f>
        <v/>
      </c>
      <c r="AL76" s="313" t="e">
        <f>(Table12[[#This Row],[Current Policies 2030 excl LULUCF]]-Table12[[#This Row],[GHG emissions excl LULUCF]])/(2030-2021)/Table12[[#This Row],[GHG emissions excl LULUCF]]</f>
        <v>#DIV/0!</v>
      </c>
      <c r="AM76" s="313" t="str">
        <f>IF(Table12[[#This Row],[Net-zero target status]]&lt;=1,"",IF(Table12[[#This Row],[NZ GHG year]]="","",(Table12[[#This Row],[residual LULUCF emissions in 2050]]-Table12[[#This Row],[Current Policies 2030 excl LULUCF]])/(Table12[[#This Row],[NZ GHG year]]-2030)/Table12[[#This Row],[Current Policies 2030 excl LULUCF]]))</f>
        <v/>
      </c>
      <c r="AN76" s="313" t="str">
        <f>IF(Table12[[#This Row],[Net-zero target status]]&lt;=1,"",IF(Table12[[#This Row],[NZ GHG year]]="","",(Table12[[#This Row],[residual LULUCF emissions in 2050]]-Table12[[#This Row],[GHG emissions excl LULUCF]])/(Table12[[#This Row],[NZ GHG year]]-2021)/Table12[[#This Row],[GHG emissions excl LULUCF]]))</f>
        <v/>
      </c>
      <c r="AO76" s="313" t="str">
        <f>IF(Table12[[#This Row],[Net-zero target status]]&lt;=1,"",IF(Table12[[#This Row],[NZ GHG year]]="","",(Table12[[#This Row],[residual LULUCF emissions in 2050]]-Table12[[#This Row],[2030 conditional NDCs]])/(Table12[[#This Row],[NZ GHG year]]-2030)/Table12[[#This Row],[2030 conditional NDCs]]))</f>
        <v/>
      </c>
      <c r="AP76" s="96">
        <f>MAX('input site'!AH76:AS76)</f>
        <v>0</v>
      </c>
      <c r="AQ76" s="95" t="str">
        <f>IF(Table12[[#This Row],[Current Policies 2030 incl LULUCF]]&gt;Table12[[#This Row],[Maximum inventory data]],"No","Yes")</f>
        <v>Yes</v>
      </c>
      <c r="AR76" s="34" t="str">
        <f>IF(Table12[[#This Row],[Net-zero target status]]&gt;=1.5,Table12[[#This Row],[residual LULUCF emissions in 2050]]/Table12[[#This Row],[GHG emissions excl LULUCF]],"")</f>
        <v/>
      </c>
      <c r="AS76" s="74" t="str">
        <f>'input site'!BE76</f>
        <v/>
      </c>
      <c r="AT76" s="74"/>
      <c r="AU76" s="74"/>
      <c r="AV76" s="75"/>
      <c r="AW76" s="74" t="str">
        <f>IF(Table12[[#This Row],[2030 unconditional NDCs]]="","",IF(F76="incl",Table12[[#This Row],[2030 unconditional NDCs]]-Table12[[#This Row],[LULUCF NDC uncond]],Table12[[#This Row],[2030 unconditional NDCs]]))</f>
        <v/>
      </c>
      <c r="AX76" s="74" t="str">
        <f>IF(Table12[[#This Row],[2030 unconditional NDCs2]]="","",IF(F76="incl",Table12[[#This Row],[2030 unconditional NDCs2]]-Table12[[#This Row],[LULUCF NDC uncond]],Table12[[#This Row],[2030 unconditional NDCs2]]))</f>
        <v/>
      </c>
      <c r="AY76" s="74" t="str">
        <f>IF(Table12[[#This Row],[2030 conditional NDCs]]="","",IF(F76="incl",Table12[[#This Row],[2030 conditional NDCs]]-Table12[[#This Row],[LULUCF NDC cond]],Table12[[#This Row],[2030 conditional NDCs]]))</f>
        <v/>
      </c>
      <c r="AZ76" s="74" t="str">
        <f>IF(Table12[[#This Row],[2030 conditional NDCs2]]="","",IF(F76="incl",Table12[[#This Row],[2030 conditional NDCs2]]-Table12[[#This Row],[LULUCF NDC cond]],Table12[[#This Row],[2030 conditional NDCs2]]))</f>
        <v/>
      </c>
      <c r="BA76" s="8">
        <f>VLOOKUP($G76,'Population90 20'!$C$6:$AU$231,37,FALSE)</f>
        <v>3539</v>
      </c>
      <c r="BB76" s="8">
        <f>VLOOKUP($G76,'Overview GDP (PPP)'!$C$6:$AI$231,33,FALSE)</f>
        <v>0</v>
      </c>
      <c r="BC76" s="36">
        <f>Table12[[#This Row],[Income]]/Table12[[#This Row],[Population]]</f>
        <v>0</v>
      </c>
      <c r="BD76" s="36">
        <f>Table12[[#This Row],[GHG emissions excl LULUCF]]*1000000/Table12[[#This Row],[Population]]</f>
        <v>0</v>
      </c>
      <c r="BE76" s="23" t="e">
        <f>VLOOKUP($G76,EGR2023_MASTER!$B$4:$S$38,14,FALSE)</f>
        <v>#N/A</v>
      </c>
      <c r="BF76" s="23" t="e">
        <f>VLOOKUP($G76,EGR2023_MASTER!$B$4:$S$38,15,FALSE)</f>
        <v>#N/A</v>
      </c>
      <c r="BG76" s="23" t="e">
        <f>VLOOKUP($G76,EGR2023_MASTER!$B$4:$S$38,16,FALSE)</f>
        <v>#N/A</v>
      </c>
      <c r="BH76" s="23" t="e">
        <f t="shared" ref="BH76:BH139" si="19">IF(AND(BE76="Y",AND(BF76="credible",BG76="Y")),"higher",IF(BG76="Y","lower",IF(AND(BG76="N",OR(BE76="Y",BF76="credible")),"lower","much lower")))</f>
        <v>#N/A</v>
      </c>
      <c r="BI76" s="23" t="e">
        <f t="shared" ref="BI76:BI139" si="20">IF(AND($BF76="credible",BG76="Y"),"stronger","weak")</f>
        <v>#N/A</v>
      </c>
      <c r="BJ76" s="552" t="e">
        <f>(Table12[[#This Row],[Current Policies 2030 excl LULUCF]]/Table12[[#This Row],[GHG emissions excl LULUCF]])^(1/(2030-2021))-1</f>
        <v>#DIV/0!</v>
      </c>
      <c r="BK76" s="552" t="str">
        <f>IF(Table12[[#This Row],[Net-zero target status]]&lt;=1,"",IF(Table12[[#This Row],[NZ GHG year]]="","",((MAX(Table12[[#This Row],[residual LULUCF emissions in 2050]],0.1)/Table12[[#This Row],[Current Policies 2030 excl LULUCF]])^(1/(Table12[[#This Row],[NZ GHG year]]-2021))-1)))</f>
        <v/>
      </c>
      <c r="BL76" s="552" t="str">
        <f>IF(Table12[[#This Row],[Net-zero target status]]&lt;=1,"",IF(Table12[[#This Row],[NZ GHG year]]="","",((MAX(Table12[[#This Row],[residual LULUCF emissions in 2050]],0.1)/Table12[[#This Row],[GHG emissions excl LULUCF]])^(1/(Table12[[#This Row],[NZ GHG year]]-2021))-1)))</f>
        <v/>
      </c>
      <c r="BM76" s="552" t="str">
        <f>IF(Table12[[#This Row],[Net-zero target status]]&lt;=1,"",IF(Table12[[#This Row],[NZ GHG year]]="","",((MAX(Table12[[#This Row],[residual LULUCF emissions in 2050]],0.1)/AVERAGE(Table12[[#This Row],[2030 conditional NDCs]:[2030 conditional NDCs2]]))^(1/(Table12[[#This Row],[NZ GHG year]]-2021))-1)))</f>
        <v/>
      </c>
      <c r="BN76" s="23"/>
      <c r="BO76" s="23"/>
      <c r="BP76" s="23"/>
      <c r="BQ76" s="23"/>
      <c r="BR76" s="50" t="s">
        <v>181</v>
      </c>
      <c r="BT76" s="30" t="str">
        <f>IF(Table12[[#This Row],[Reduction rate 2021 to NZ target2]]="","",J76*(1+AN76)^(Table12[[#This Row],[NZ GHG year]]-2021))</f>
        <v/>
      </c>
    </row>
    <row r="77" spans="1:72" ht="15" x14ac:dyDescent="0.25">
      <c r="A77">
        <v>0</v>
      </c>
      <c r="B77">
        <v>0</v>
      </c>
      <c r="C77">
        <v>242</v>
      </c>
      <c r="D77">
        <v>64</v>
      </c>
      <c r="E77">
        <v>24</v>
      </c>
      <c r="F77" t="str">
        <f>'input site'!M77</f>
        <v>excl</v>
      </c>
      <c r="G77" s="31" t="s">
        <v>182</v>
      </c>
      <c r="H77" s="1" t="s">
        <v>183</v>
      </c>
      <c r="I77" s="8">
        <f>VLOOKUP($G77,'NZT data'!$B$3:$C$200,2,FALSE)</f>
        <v>4</v>
      </c>
      <c r="J77" s="32">
        <f>'input site'!AS77</f>
        <v>4.1870805000000004</v>
      </c>
      <c r="K77" s="32">
        <f>'input site'!BS77</f>
        <v>4.3894363646506767</v>
      </c>
      <c r="L77" s="32">
        <f t="shared" ref="L77:L140" si="21">IF(I77&gt;=1,O77,K77)</f>
        <v>0</v>
      </c>
      <c r="M77" s="32">
        <f t="shared" ref="M77:M140" si="22">IF(I77&gt;=1,O77,N77)</f>
        <v>0</v>
      </c>
      <c r="N77" s="32">
        <f>'input site'!EV77</f>
        <v>1.4870185407736796</v>
      </c>
      <c r="O77" s="8">
        <v>0</v>
      </c>
      <c r="P77" s="36">
        <f>O77-N77</f>
        <v>-1.4870185407736796</v>
      </c>
      <c r="Q77" s="32">
        <f t="shared" si="18"/>
        <v>0</v>
      </c>
      <c r="R77" s="32">
        <f>'input site'!EZ77</f>
        <v>0.64323021307325334</v>
      </c>
      <c r="S77" s="37">
        <f>'input site'!FA77</f>
        <v>2050</v>
      </c>
      <c r="T77" s="37" t="str">
        <f>Table12[[#This Row],[(Mt CO2 equivalent)]]</f>
        <v>Fiji</v>
      </c>
      <c r="U77" s="8">
        <f>VLOOKUP($G77,'NZT data'!$B$3:$F$200,4,FALSE)</f>
        <v>2050</v>
      </c>
      <c r="V77" s="32">
        <f>VLOOKUP($G77,'NZT data'!$B$3:$F$200,5,FALSE)</f>
        <v>2050</v>
      </c>
      <c r="W77" s="32">
        <f>-IF('LUC NGHGI'!EC67="",MIN('LUC NGHGI'!DW67,0.1),MIN('LUC NGHGI'!EC67,0.1))</f>
        <v>0.26</v>
      </c>
      <c r="X77" s="32">
        <f>'LUC NGHGI'!EC67</f>
        <v>-0.26</v>
      </c>
      <c r="Y77" s="32">
        <f>'LUC NGHGI'!DY67</f>
        <v>0.42202145680406389</v>
      </c>
      <c r="Z77" s="32">
        <f>'LUC NGHGI'!DZ67</f>
        <v>0.42202145680406389</v>
      </c>
      <c r="AA77" s="32">
        <f>Table12[[#This Row],[2021 emissions]]</f>
        <v>4.1870805000000004</v>
      </c>
      <c r="AB77" s="32">
        <f>'LUC NGHGI'!DW67</f>
        <v>0.42678712591755996</v>
      </c>
      <c r="AC77" s="32">
        <f>IF(F77="incl",Table12[[#This Row],[GHG emissions incl LULUCF]]-Table12[[#This Row],[LULUCF emis-sions in 20213]],Table12[[#This Row],[GHG emissions incl LULUCF]])</f>
        <v>4.1870805000000004</v>
      </c>
      <c r="AD77" s="32">
        <f>'input site'!BS77</f>
        <v>4.3894363646506767</v>
      </c>
      <c r="AE77" s="32">
        <f>'LUC NGHGI'!EH67</f>
        <v>0.4502570721826577</v>
      </c>
      <c r="AF77" s="32">
        <f>IF(F77="incl",Table12[[#This Row],[Current Policies 2030 incl LULUCF]]-Table12[[#This Row],[LULUCF CurPol 2030]],Table12[[#This Row],[Current Policies 2030 incl LULUCF]])</f>
        <v>4.3894363646506767</v>
      </c>
      <c r="AG77" s="32">
        <f>IF(Table12[[#This Row],[Net-zero target status]]&lt;=1,"",IF(Table12[[#This Row],[NZ GHG year]]="","",1000000000*(Table12[[#This Row],[residual LULUCF emissions in 2050]]-Table12[[#This Row],[GHG emissions excl LULUCF]])/(Table12[[#This Row],[NZ GHG year]]-2021)/Table12[[#This Row],[Population]]))</f>
        <v>-148.89679104608337</v>
      </c>
      <c r="AH77" s="32" t="str">
        <f>IF(Table12[[#This Row],[Peak revised]]="Yes",IF(Table12[[#This Row],[Net-zero target status]]&lt;=1,"",IF(Table12[[#This Row],[NZ GHG year]]="","",1000000000*(Table12[[#This Row],[residual LULUCF emissions in 2050]]-Table12[[#This Row],[GHG emissions excl LULUCF]])/(Table12[[#This Row],[NZ GHG year]]-2021)/Table12[[#This Row],[Population]])),"")</f>
        <v/>
      </c>
      <c r="AI77" s="32">
        <f>MAX(0,(1000000*(Table12[[#This Row],[Current Policies 2030 excl LULUCF]]/2+Table12[[#This Row],[GHG emissions excl LULUCF]]/2)/Table12[[#This Row],[Population]]-$AI$8)*10)*$AI$10</f>
        <v>0</v>
      </c>
      <c r="AJ77" s="32">
        <f>IF(Table12[[#This Row],[Peak revised]]="No",IF(Table12[[#This Row],[Net-zero target status]]&lt;=1,"",IF(Table12[[#This Row],[NZ GHG year]]="","",1000000000*(Table12[[#This Row],[residual LULUCF emissions in 2050]]-Table12[[#This Row],[Current Policies 2030 excl LULUCF]])/(Table12[[#This Row],[NZ GHG year]]-2021)/Table12[[#This Row],[Population]])),"")</f>
        <v>-156.56919269301707</v>
      </c>
      <c r="AK77" s="32">
        <f>IF(Table12[[#This Row],[Formule no Peak (2)]]="","",Table12[[#This Row],[Penalty (1)]]+Table12[[#This Row],[Formule no Peak (2)]])</f>
        <v>-156.56919269301707</v>
      </c>
      <c r="AL77" s="313">
        <f>(Table12[[#This Row],[Current Policies 2030 excl LULUCF]]-Table12[[#This Row],[GHG emissions excl LULUCF]])/(2030-2021)/Table12[[#This Row],[GHG emissions excl LULUCF]]</f>
        <v>5.3698477880198972E-3</v>
      </c>
      <c r="AM77" s="313">
        <f>IF(Table12[[#This Row],[Net-zero target status]]&lt;=1,"",IF(Table12[[#This Row],[NZ GHG year]]="","",(Table12[[#This Row],[residual LULUCF emissions in 2050]]-Table12[[#This Row],[Current Policies 2030 excl LULUCF]])/(Table12[[#This Row],[NZ GHG year]]-2030)/Table12[[#This Row],[Current Policies 2030 excl LULUCF]]))</f>
        <v>-4.703834412438633E-2</v>
      </c>
      <c r="AN77" s="313">
        <f>IF(Table12[[#This Row],[Net-zero target status]]&lt;=1,"",IF(Table12[[#This Row],[NZ GHG year]]="","",(Table12[[#This Row],[residual LULUCF emissions in 2050]]-Table12[[#This Row],[GHG emissions excl LULUCF]])/(Table12[[#This Row],[NZ GHG year]]-2021)/Table12[[#This Row],[GHG emissions excl LULUCF]]))</f>
        <v>-3.2341525071112737E-2</v>
      </c>
      <c r="AO77" s="313" t="e">
        <f>IF(Table12[[#This Row],[Net-zero target status]]&lt;=1,"",IF(Table12[[#This Row],[NZ GHG year]]="","",(Table12[[#This Row],[residual LULUCF emissions in 2050]]-Table12[[#This Row],[2030 conditional NDCs]])/(Table12[[#This Row],[NZ GHG year]]-2030)/Table12[[#This Row],[2030 conditional NDCs]]))</f>
        <v>#DIV/0!</v>
      </c>
      <c r="AP77" s="96">
        <f>MAX('input site'!AH77:AS77)</f>
        <v>4.1870805000000004</v>
      </c>
      <c r="AQ77" s="95" t="str">
        <f>IF(Table12[[#This Row],[Current Policies 2030 incl LULUCF]]&gt;Table12[[#This Row],[Maximum inventory data]],"No","Yes")</f>
        <v>No</v>
      </c>
      <c r="AR77" s="34">
        <f>IF(Table12[[#This Row],[Net-zero target status]]&gt;=1.5,Table12[[#This Row],[residual LULUCF emissions in 2050]]/Table12[[#This Row],[GHG emissions excl LULUCF]],"")</f>
        <v>6.2095772937730713E-2</v>
      </c>
      <c r="AS77" s="74" t="str">
        <f>'input site'!BE77</f>
        <v/>
      </c>
      <c r="AT77" s="74"/>
      <c r="AU77" s="74"/>
      <c r="AV77" s="75"/>
      <c r="AW77" s="74" t="str">
        <f>IF(Table12[[#This Row],[2030 unconditional NDCs]]="","",IF(F77="incl",Table12[[#This Row],[2030 unconditional NDCs]]-Table12[[#This Row],[LULUCF NDC uncond]],Table12[[#This Row],[2030 unconditional NDCs]]))</f>
        <v/>
      </c>
      <c r="AX77" s="74" t="str">
        <f>IF(Table12[[#This Row],[2030 unconditional NDCs2]]="","",IF(F77="incl",Table12[[#This Row],[2030 unconditional NDCs2]]-Table12[[#This Row],[LULUCF NDC uncond]],Table12[[#This Row],[2030 unconditional NDCs2]]))</f>
        <v/>
      </c>
      <c r="AY77" s="74" t="str">
        <f>IF(Table12[[#This Row],[2030 conditional NDCs]]="","",IF(F77="incl",Table12[[#This Row],[2030 conditional NDCs]]-Table12[[#This Row],[LULUCF NDC cond]],Table12[[#This Row],[2030 conditional NDCs]]))</f>
        <v/>
      </c>
      <c r="AZ77" s="74" t="str">
        <f>IF(Table12[[#This Row],[2030 conditional NDCs2]]="","",IF(F77="incl",Table12[[#This Row],[2030 conditional NDCs2]]-Table12[[#This Row],[LULUCF NDC cond]],Table12[[#This Row],[2030 conditional NDCs2]]))</f>
        <v/>
      </c>
      <c r="BA77" s="8">
        <f>VLOOKUP($G77,'Population90 20'!$C$6:$AU$231,37,FALSE)</f>
        <v>909466</v>
      </c>
      <c r="BB77" s="8">
        <f>VLOOKUP($G77,'Overview GDP (PPP)'!$C$6:$AI$231,33,FALSE)</f>
        <v>8641446.7262246683</v>
      </c>
      <c r="BC77" s="36">
        <f>Table12[[#This Row],[Income]]/Table12[[#This Row],[Population]]</f>
        <v>9.5016710093886623</v>
      </c>
      <c r="BD77" s="36">
        <f>Table12[[#This Row],[GHG emissions excl LULUCF]]*1000000/Table12[[#This Row],[Population]]</f>
        <v>4.6038889854046223</v>
      </c>
      <c r="BE77" s="23" t="e">
        <f>VLOOKUP($G77,EGR2023_MASTER!$B$4:$S$38,14,FALSE)</f>
        <v>#N/A</v>
      </c>
      <c r="BF77" s="23" t="e">
        <f>VLOOKUP($G77,EGR2023_MASTER!$B$4:$S$38,15,FALSE)</f>
        <v>#N/A</v>
      </c>
      <c r="BG77" s="23" t="e">
        <f>VLOOKUP($G77,EGR2023_MASTER!$B$4:$S$38,16,FALSE)</f>
        <v>#N/A</v>
      </c>
      <c r="BH77" s="23" t="e">
        <f t="shared" si="19"/>
        <v>#N/A</v>
      </c>
      <c r="BI77" s="23" t="e">
        <f t="shared" si="20"/>
        <v>#N/A</v>
      </c>
      <c r="BJ77" s="552">
        <f>(Table12[[#This Row],[Current Policies 2030 excl LULUCF]]/Table12[[#This Row],[GHG emissions excl LULUCF]])^(1/(2030-2021))-1</f>
        <v>5.2578983828655002E-3</v>
      </c>
      <c r="BK77" s="552">
        <f>IF(Table12[[#This Row],[Net-zero target status]]&lt;=1,"",IF(Table12[[#This Row],[NZ GHG year]]="","",((MAX(Table12[[#This Row],[residual LULUCF emissions in 2050]],0.1)/Table12[[#This Row],[Current Policies 2030 excl LULUCF]])^(1/(Table12[[#This Row],[NZ GHG year]]-2021))-1)))</f>
        <v>-9.2859323991936082E-2</v>
      </c>
      <c r="BL77" s="552">
        <f>IF(Table12[[#This Row],[Net-zero target status]]&lt;=1,"",IF(Table12[[#This Row],[NZ GHG year]]="","",((MAX(Table12[[#This Row],[residual LULUCF emissions in 2050]],0.1)/Table12[[#This Row],[GHG emissions excl LULUCF]])^(1/(Table12[[#This Row],[NZ GHG year]]-2021))-1)))</f>
        <v>-9.1381762552761536E-2</v>
      </c>
      <c r="BM77" s="552" t="e">
        <f>IF(Table12[[#This Row],[Net-zero target status]]&lt;=1,"",IF(Table12[[#This Row],[NZ GHG year]]="","",((MAX(Table12[[#This Row],[residual LULUCF emissions in 2050]],0.1)/AVERAGE(Table12[[#This Row],[2030 conditional NDCs]:[2030 conditional NDCs2]]))^(1/(Table12[[#This Row],[NZ GHG year]]-2021))-1)))</f>
        <v>#DIV/0!</v>
      </c>
      <c r="BN77" s="23"/>
      <c r="BO77" s="23"/>
      <c r="BP77" s="23"/>
      <c r="BQ77" s="23"/>
      <c r="BR77" s="50" t="s">
        <v>183</v>
      </c>
      <c r="BT77" s="30">
        <f>IF(Table12[[#This Row],[Reduction rate 2021 to NZ target2]]="","",J77*(1+AN77)^(Table12[[#This Row],[NZ GHG year]]-2021))</f>
        <v>1.6138097832796603</v>
      </c>
    </row>
    <row r="78" spans="1:72" ht="15" x14ac:dyDescent="0.25">
      <c r="A78">
        <v>0</v>
      </c>
      <c r="B78">
        <v>0</v>
      </c>
      <c r="C78">
        <v>246</v>
      </c>
      <c r="D78">
        <v>65</v>
      </c>
      <c r="E78">
        <v>11</v>
      </c>
      <c r="F78" t="str">
        <f>'input site'!M78</f>
        <v>incl</v>
      </c>
      <c r="G78" s="31" t="s">
        <v>184</v>
      </c>
      <c r="H78" s="1" t="s">
        <v>185</v>
      </c>
      <c r="I78" s="8">
        <f>VLOOKUP($G78,'NZT data'!$B$3:$C$200,2,FALSE)</f>
        <v>4</v>
      </c>
      <c r="J78" s="32">
        <f>'input site'!AS78</f>
        <v>48.31565251</v>
      </c>
      <c r="K78" s="32">
        <f>'input site'!BS78</f>
        <v>26.957694546608838</v>
      </c>
      <c r="L78" s="32">
        <f t="shared" si="21"/>
        <v>0</v>
      </c>
      <c r="M78" s="32">
        <f t="shared" si="22"/>
        <v>0</v>
      </c>
      <c r="N78" s="32">
        <f>'input site'!EV78</f>
        <v>11.053261211749119</v>
      </c>
      <c r="O78" s="8"/>
      <c r="P78" s="8"/>
      <c r="Q78" s="32">
        <f t="shared" ref="Q78:Q141" si="23">IF(I78&gt;=1,O78,R78)</f>
        <v>0</v>
      </c>
      <c r="R78" s="32">
        <f>'input site'!EZ78</f>
        <v>6.1138229874187671</v>
      </c>
      <c r="S78" s="37" t="str">
        <f>'input site'!FA78</f>
        <v>2035 (part of the EU)</v>
      </c>
      <c r="T78" s="37" t="str">
        <f>Table12[[#This Row],[(Mt CO2 equivalent)]]</f>
        <v>Finland</v>
      </c>
      <c r="U78" s="8">
        <f>VLOOKUP($G78,'NZT data'!$B$3:$F$200,4,FALSE)</f>
        <v>2035</v>
      </c>
      <c r="V78" s="32">
        <f>VLOOKUP($G78,'NZT data'!$B$3:$F$200,5,FALSE)</f>
        <v>2035</v>
      </c>
      <c r="W78" s="32">
        <f>-IF('LUC NGHGI'!EC68="",MIN('LUC NGHGI'!DW68,0.1),MIN('LUC NGHGI'!EC68,0.1))</f>
        <v>28.5</v>
      </c>
      <c r="X78" s="32">
        <f>'LUC NGHGI'!EC68</f>
        <v>-28.5</v>
      </c>
      <c r="Y78" s="32">
        <f>'LUC NGHGI'!DY68</f>
        <v>-9.1147182930000081</v>
      </c>
      <c r="Z78" s="32">
        <f>'LUC NGHGI'!DZ68</f>
        <v>-9.1147182930000081</v>
      </c>
      <c r="AA78" s="32">
        <f>Table12[[#This Row],[2021 emissions]]</f>
        <v>48.31565251</v>
      </c>
      <c r="AB78" s="32">
        <f>'LUC NGHGI'!DW68</f>
        <v>0.48493750999999974</v>
      </c>
      <c r="AC78" s="32">
        <f>IF(F78="incl",Table12[[#This Row],[GHG emissions incl LULUCF]]-Table12[[#This Row],[LULUCF emis-sions in 20213]],Table12[[#This Row],[GHG emissions incl LULUCF]])</f>
        <v>47.830714999999998</v>
      </c>
      <c r="AD78" s="32">
        <f>'input site'!BS78</f>
        <v>26.957694546608838</v>
      </c>
      <c r="AE78" s="32">
        <f>'LUC NGHGI'!EH68</f>
        <v>-11.144282774376384</v>
      </c>
      <c r="AF78" s="32">
        <f>IF(F78="incl",Table12[[#This Row],[Current Policies 2030 incl LULUCF]]-Table12[[#This Row],[LULUCF CurPol 2030]],Table12[[#This Row],[Current Policies 2030 incl LULUCF]])</f>
        <v>38.10197732098522</v>
      </c>
      <c r="AG78" s="32">
        <f>IF(Table12[[#This Row],[Net-zero target status]]&lt;=1,"",IF(Table12[[#This Row],[NZ GHG year]]="","",1000000000*(Table12[[#This Row],[residual LULUCF emissions in 2050]]-Table12[[#This Row],[GHG emissions excl LULUCF]])/(Table12[[#This Row],[NZ GHG year]]-2021)/Table12[[#This Row],[Population]]))</f>
        <v>-248.5644103905081</v>
      </c>
      <c r="AH78" s="32">
        <f>IF(Table12[[#This Row],[Peak revised]]="Yes",IF(Table12[[#This Row],[Net-zero target status]]&lt;=1,"",IF(Table12[[#This Row],[NZ GHG year]]="","",1000000000*(Table12[[#This Row],[residual LULUCF emissions in 2050]]-Table12[[#This Row],[GHG emissions excl LULUCF]])/(Table12[[#This Row],[NZ GHG year]]-2021)/Table12[[#This Row],[Population]])),"")</f>
        <v>-248.5644103905081</v>
      </c>
      <c r="AI78" s="32">
        <f>MAX(0,(1000000*(Table12[[#This Row],[Current Policies 2030 excl LULUCF]]/2+Table12[[#This Row],[GHG emissions excl LULUCF]]/2)/Table12[[#This Row],[Population]]-$AI$8)*10)*$AI$10</f>
        <v>-73.477147639093857</v>
      </c>
      <c r="AJ7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8" s="32" t="str">
        <f>IF(Table12[[#This Row],[Formule no Peak (2)]]="","",Table12[[#This Row],[Penalty (1)]]+Table12[[#This Row],[Formule no Peak (2)]])</f>
        <v/>
      </c>
      <c r="AL78" s="313">
        <f>(Table12[[#This Row],[Current Policies 2030 excl LULUCF]]-Table12[[#This Row],[GHG emissions excl LULUCF]])/(2030-2021)/Table12[[#This Row],[GHG emissions excl LULUCF]]</f>
        <v>-2.2599930885914297E-2</v>
      </c>
      <c r="AM78" s="313">
        <f>IF(Table12[[#This Row],[Net-zero target status]]&lt;=1,"",IF(Table12[[#This Row],[NZ GHG year]]="","",(Table12[[#This Row],[residual LULUCF emissions in 2050]]-Table12[[#This Row],[Current Policies 2030 excl LULUCF]])/(Table12[[#This Row],[NZ GHG year]]-2030)/Table12[[#This Row],[Current Policies 2030 excl LULUCF]]))</f>
        <v>-5.0401464680400146E-2</v>
      </c>
      <c r="AN78" s="313">
        <f>IF(Table12[[#This Row],[Net-zero target status]]&lt;=1,"",IF(Table12[[#This Row],[NZ GHG year]]="","",(Table12[[#This Row],[residual LULUCF emissions in 2050]]-Table12[[#This Row],[GHG emissions excl LULUCF]])/(Table12[[#This Row],[NZ GHG year]]-2021)/Table12[[#This Row],[GHG emissions excl LULUCF]]))</f>
        <v>-2.8867754896468874E-2</v>
      </c>
      <c r="AO78" s="313" t="e">
        <f>IF(Table12[[#This Row],[Net-zero target status]]&lt;=1,"",IF(Table12[[#This Row],[NZ GHG year]]="","",(Table12[[#This Row],[residual LULUCF emissions in 2050]]-Table12[[#This Row],[2030 conditional NDCs]])/(Table12[[#This Row],[NZ GHG year]]-2030)/Table12[[#This Row],[2030 conditional NDCs]]))</f>
        <v>#DIV/0!</v>
      </c>
      <c r="AP78" s="96">
        <f>MAX('input site'!AH78:AS78)</f>
        <v>54.139492290000007</v>
      </c>
      <c r="AQ78" s="95" t="str">
        <f>IF(Table12[[#This Row],[Current Policies 2030 incl LULUCF]]&gt;Table12[[#This Row],[Maximum inventory data]],"No","Yes")</f>
        <v>Yes</v>
      </c>
      <c r="AR78" s="34">
        <f>IF(Table12[[#This Row],[Net-zero target status]]&gt;=1.5,Table12[[#This Row],[residual LULUCF emissions in 2050]]/Table12[[#This Row],[GHG emissions excl LULUCF]],"")</f>
        <v>0.59585143144943586</v>
      </c>
      <c r="AS78" s="74" t="str">
        <f>'input site'!BE78</f>
        <v/>
      </c>
      <c r="AT78" s="74"/>
      <c r="AU78" s="74"/>
      <c r="AV78" s="75"/>
      <c r="AW78" s="74" t="str">
        <f>IF(Table12[[#This Row],[2030 unconditional NDCs]]="","",IF(F78="incl",Table12[[#This Row],[2030 unconditional NDCs]]-Table12[[#This Row],[LULUCF NDC uncond]],Table12[[#This Row],[2030 unconditional NDCs]]))</f>
        <v/>
      </c>
      <c r="AX78" s="74" t="str">
        <f>IF(Table12[[#This Row],[2030 unconditional NDCs2]]="","",IF(F78="incl",Table12[[#This Row],[2030 unconditional NDCs2]]-Table12[[#This Row],[LULUCF NDC uncond]],Table12[[#This Row],[2030 unconditional NDCs2]]))</f>
        <v/>
      </c>
      <c r="AY78" s="74" t="str">
        <f>IF(Table12[[#This Row],[2030 conditional NDCs]]="","",IF(F78="incl",Table12[[#This Row],[2030 conditional NDCs]]-Table12[[#This Row],[LULUCF NDC cond]],Table12[[#This Row],[2030 conditional NDCs]]))</f>
        <v/>
      </c>
      <c r="AZ78" s="74" t="str">
        <f>IF(Table12[[#This Row],[2030 conditional NDCs2]]="","",IF(F78="incl",Table12[[#This Row],[2030 conditional NDCs2]]-Table12[[#This Row],[LULUCF NDC cond]],Table12[[#This Row],[2030 conditional NDCs2]]))</f>
        <v/>
      </c>
      <c r="BA78" s="8">
        <f>VLOOKUP($G78,'Population90 20'!$C$6:$AU$231,37,FALSE)</f>
        <v>5554960</v>
      </c>
      <c r="BB78" s="8">
        <f>VLOOKUP($G78,'Overview GDP (PPP)'!$C$6:$AI$231,33,FALSE)</f>
        <v>231198657.30993488</v>
      </c>
      <c r="BC78" s="36">
        <f>Table12[[#This Row],[Income]]/Table12[[#This Row],[Population]]</f>
        <v>41.620220003372644</v>
      </c>
      <c r="BD78" s="36">
        <f>Table12[[#This Row],[GHG emissions excl LULUCF]]*1000000/Table12[[#This Row],[Population]]</f>
        <v>8.6104517404265746</v>
      </c>
      <c r="BE78" s="23" t="e">
        <f>VLOOKUP($G78,EGR2023_MASTER!$B$4:$S$38,14,FALSE)</f>
        <v>#N/A</v>
      </c>
      <c r="BF78" s="23" t="e">
        <f>VLOOKUP($G78,EGR2023_MASTER!$B$4:$S$38,15,FALSE)</f>
        <v>#N/A</v>
      </c>
      <c r="BG78" s="23" t="e">
        <f>VLOOKUP($G78,EGR2023_MASTER!$B$4:$S$38,16,FALSE)</f>
        <v>#N/A</v>
      </c>
      <c r="BH78" s="23" t="e">
        <f t="shared" si="19"/>
        <v>#N/A</v>
      </c>
      <c r="BI78" s="23" t="e">
        <f t="shared" si="20"/>
        <v>#N/A</v>
      </c>
      <c r="BJ78" s="552">
        <f>(Table12[[#This Row],[Current Policies 2030 excl LULUCF]]/Table12[[#This Row],[GHG emissions excl LULUCF]])^(1/(2030-2021))-1</f>
        <v>-2.49503339168472E-2</v>
      </c>
      <c r="BK78" s="552">
        <f>IF(Table12[[#This Row],[Net-zero target status]]&lt;=1,"",IF(Table12[[#This Row],[NZ GHG year]]="","",((MAX(Table12[[#This Row],[residual LULUCF emissions in 2050]],0.1)/Table12[[#This Row],[Current Policies 2030 excl LULUCF]])^(1/(Table12[[#This Row],[NZ GHG year]]-2021))-1)))</f>
        <v>-2.0526551739621257E-2</v>
      </c>
      <c r="BL78" s="552">
        <f>IF(Table12[[#This Row],[Net-zero target status]]&lt;=1,"",IF(Table12[[#This Row],[NZ GHG year]]="","",((MAX(Table12[[#This Row],[residual LULUCF emissions in 2050]],0.1)/Table12[[#This Row],[GHG emissions excl LULUCF]])^(1/(Table12[[#This Row],[NZ GHG year]]-2021))-1)))</f>
        <v>-3.6307614117793374E-2</v>
      </c>
      <c r="BM78" s="552" t="e">
        <f>IF(Table12[[#This Row],[Net-zero target status]]&lt;=1,"",IF(Table12[[#This Row],[NZ GHG year]]="","",((MAX(Table12[[#This Row],[residual LULUCF emissions in 2050]],0.1)/AVERAGE(Table12[[#This Row],[2030 conditional NDCs]:[2030 conditional NDCs2]]))^(1/(Table12[[#This Row],[NZ GHG year]]-2021))-1)))</f>
        <v>#DIV/0!</v>
      </c>
      <c r="BN78" s="23"/>
      <c r="BO78" s="23"/>
      <c r="BP78" s="23"/>
      <c r="BQ78" s="23"/>
      <c r="BR78" s="50" t="s">
        <v>185</v>
      </c>
      <c r="BT78" s="30">
        <f>IF(Table12[[#This Row],[Reduction rate 2021 to NZ target2]]="","",J78*(1+AN78)^(Table12[[#This Row],[NZ GHG year]]-2021))</f>
        <v>32.061592668921278</v>
      </c>
    </row>
    <row r="79" spans="1:72" ht="15" x14ac:dyDescent="0.25">
      <c r="A79">
        <v>0</v>
      </c>
      <c r="B79">
        <v>0</v>
      </c>
      <c r="C79">
        <v>250</v>
      </c>
      <c r="D79">
        <v>66</v>
      </c>
      <c r="E79">
        <v>11</v>
      </c>
      <c r="F79" t="str">
        <f>'input site'!M79</f>
        <v>incl</v>
      </c>
      <c r="G79" s="31" t="s">
        <v>186</v>
      </c>
      <c r="H79" s="1" t="s">
        <v>187</v>
      </c>
      <c r="I79" s="8">
        <f>VLOOKUP($G79,'NZT data'!$B$3:$C$200,2,FALSE)</f>
        <v>4</v>
      </c>
      <c r="J79" s="32">
        <f>'input site'!AS79</f>
        <v>400.35472473705738</v>
      </c>
      <c r="K79" s="32">
        <f>'input site'!BS79</f>
        <v>223.37772169214682</v>
      </c>
      <c r="L79" s="32">
        <f t="shared" si="21"/>
        <v>0</v>
      </c>
      <c r="M79" s="32">
        <f t="shared" si="22"/>
        <v>0</v>
      </c>
      <c r="N79" s="32">
        <f>'input site'!EV79</f>
        <v>86.647178156418505</v>
      </c>
      <c r="O79" s="8"/>
      <c r="P79" s="8"/>
      <c r="Q79" s="32">
        <f t="shared" si="23"/>
        <v>0</v>
      </c>
      <c r="R79" s="32">
        <f>'input site'!EZ79</f>
        <v>47.926625405774828</v>
      </c>
      <c r="S79" s="37" t="str">
        <f>'input site'!FA79</f>
        <v>2050 (part of the EU)</v>
      </c>
      <c r="T79" s="37" t="str">
        <f>Table12[[#This Row],[(Mt CO2 equivalent)]]</f>
        <v>France</v>
      </c>
      <c r="U79" s="8">
        <f>VLOOKUP($G79,'NZT data'!$B$3:$F$200,4,FALSE)</f>
        <v>2050</v>
      </c>
      <c r="V79" s="32">
        <f>VLOOKUP($G79,'NZT data'!$B$3:$F$200,5,FALSE)</f>
        <v>2050</v>
      </c>
      <c r="W79" s="32">
        <f>-IF('LUC NGHGI'!EC69="",MIN('LUC NGHGI'!DW69,0.1),MIN('LUC NGHGI'!EC69,0.1))</f>
        <v>22.362642566039209</v>
      </c>
      <c r="X79" s="32">
        <f>'LUC NGHGI'!EC69</f>
        <v>-22.362642566039209</v>
      </c>
      <c r="Y79" s="32">
        <f>'LUC NGHGI'!DY69</f>
        <v>-22.362642566039209</v>
      </c>
      <c r="Z79" s="32">
        <f>'LUC NGHGI'!DZ69</f>
        <v>-22.362642566039209</v>
      </c>
      <c r="AA79" s="32">
        <f>Table12[[#This Row],[2021 emissions]]</f>
        <v>400.35472473705738</v>
      </c>
      <c r="AB79" s="32">
        <f>'LUC NGHGI'!DW69</f>
        <v>-16.921025262942617</v>
      </c>
      <c r="AC79" s="32">
        <f>IF(F79="incl",Table12[[#This Row],[GHG emissions incl LULUCF]]-Table12[[#This Row],[LULUCF emis-sions in 20213]],Table12[[#This Row],[GHG emissions incl LULUCF]])</f>
        <v>417.27575000000002</v>
      </c>
      <c r="AD79" s="32">
        <f>'input site'!BS79</f>
        <v>223.37772169214682</v>
      </c>
      <c r="AE79" s="32">
        <f>'LUC NGHGI'!EH69</f>
        <v>-38.703584445151506</v>
      </c>
      <c r="AF79" s="32">
        <f>IF(F79="incl",Table12[[#This Row],[Current Policies 2030 incl LULUCF]]-Table12[[#This Row],[LULUCF CurPol 2030]],Table12[[#This Row],[Current Policies 2030 incl LULUCF]])</f>
        <v>262.08130613729833</v>
      </c>
      <c r="AG79" s="32">
        <f>IF(Table12[[#This Row],[Net-zero target status]]&lt;=1,"",IF(Table12[[#This Row],[NZ GHG year]]="","",1000000000*(Table12[[#This Row],[residual LULUCF emissions in 2050]]-Table12[[#This Row],[GHG emissions excl LULUCF]])/(Table12[[#This Row],[NZ GHG year]]-2021)/Table12[[#This Row],[Population]]))</f>
        <v>-207.63579233427853</v>
      </c>
      <c r="AH79" s="32">
        <f>IF(Table12[[#This Row],[Peak revised]]="Yes",IF(Table12[[#This Row],[Net-zero target status]]&lt;=1,"",IF(Table12[[#This Row],[NZ GHG year]]="","",1000000000*(Table12[[#This Row],[residual LULUCF emissions in 2050]]-Table12[[#This Row],[GHG emissions excl LULUCF]])/(Table12[[#This Row],[NZ GHG year]]-2021)/Table12[[#This Row],[Population]])),"")</f>
        <v>-207.63579233427853</v>
      </c>
      <c r="AI79" s="32">
        <f>MAX(0,(1000000*(Table12[[#This Row],[Current Policies 2030 excl LULUCF]]/2+Table12[[#This Row],[GHG emissions excl LULUCF]]/2)/Table12[[#This Row],[Population]]-$AI$8)*10)*$AI$10</f>
        <v>0</v>
      </c>
      <c r="AJ7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79" s="32" t="str">
        <f>IF(Table12[[#This Row],[Formule no Peak (2)]]="","",Table12[[#This Row],[Penalty (1)]]+Table12[[#This Row],[Formule no Peak (2)]])</f>
        <v/>
      </c>
      <c r="AL79" s="313">
        <f>(Table12[[#This Row],[Current Policies 2030 excl LULUCF]]-Table12[[#This Row],[GHG emissions excl LULUCF]])/(2030-2021)/Table12[[#This Row],[GHG emissions excl LULUCF]]</f>
        <v>-4.1324776471807295E-2</v>
      </c>
      <c r="AM79" s="313">
        <f>IF(Table12[[#This Row],[Net-zero target status]]&lt;=1,"",IF(Table12[[#This Row],[NZ GHG year]]="","",(Table12[[#This Row],[residual LULUCF emissions in 2050]]-Table12[[#This Row],[Current Policies 2030 excl LULUCF]])/(Table12[[#This Row],[NZ GHG year]]-2030)/Table12[[#This Row],[Current Policies 2030 excl LULUCF]]))</f>
        <v>-4.5733644093958394E-2</v>
      </c>
      <c r="AN79" s="313">
        <f>IF(Table12[[#This Row],[Net-zero target status]]&lt;=1,"",IF(Table12[[#This Row],[NZ GHG year]]="","",(Table12[[#This Row],[residual LULUCF emissions in 2050]]-Table12[[#This Row],[GHG emissions excl LULUCF]])/(Table12[[#This Row],[NZ GHG year]]-2021)/Table12[[#This Row],[GHG emissions excl LULUCF]]))</f>
        <v>-3.2634758573417584E-2</v>
      </c>
      <c r="AO79" s="313" t="e">
        <f>IF(Table12[[#This Row],[Net-zero target status]]&lt;=1,"",IF(Table12[[#This Row],[NZ GHG year]]="","",(Table12[[#This Row],[residual LULUCF emissions in 2050]]-Table12[[#This Row],[2030 conditional NDCs]])/(Table12[[#This Row],[NZ GHG year]]-2030)/Table12[[#This Row],[2030 conditional NDCs]]))</f>
        <v>#DIV/0!</v>
      </c>
      <c r="AP79" s="96">
        <f>MAX('input site'!AH79:AS79)</f>
        <v>466.42800771430984</v>
      </c>
      <c r="AQ79" s="95" t="str">
        <f>IF(Table12[[#This Row],[Current Policies 2030 incl LULUCF]]&gt;Table12[[#This Row],[Maximum inventory data]],"No","Yes")</f>
        <v>Yes</v>
      </c>
      <c r="AR79" s="34">
        <f>IF(Table12[[#This Row],[Net-zero target status]]&gt;=1.5,Table12[[#This Row],[residual LULUCF emissions in 2050]]/Table12[[#This Row],[GHG emissions excl LULUCF]],"")</f>
        <v>5.3592001370890131E-2</v>
      </c>
      <c r="AS79" s="74" t="str">
        <f>'input site'!BE79</f>
        <v/>
      </c>
      <c r="AT79" s="74"/>
      <c r="AU79" s="74"/>
      <c r="AV79" s="75"/>
      <c r="AW79" s="74" t="str">
        <f>IF(Table12[[#This Row],[2030 unconditional NDCs]]="","",IF(F79="incl",Table12[[#This Row],[2030 unconditional NDCs]]-Table12[[#This Row],[LULUCF NDC uncond]],Table12[[#This Row],[2030 unconditional NDCs]]))</f>
        <v/>
      </c>
      <c r="AX79" s="74" t="str">
        <f>IF(Table12[[#This Row],[2030 unconditional NDCs2]]="","",IF(F79="incl",Table12[[#This Row],[2030 unconditional NDCs2]]-Table12[[#This Row],[LULUCF NDC uncond]],Table12[[#This Row],[2030 unconditional NDCs2]]))</f>
        <v/>
      </c>
      <c r="AY79" s="74" t="str">
        <f>IF(Table12[[#This Row],[2030 conditional NDCs]]="","",IF(F79="incl",Table12[[#This Row],[2030 conditional NDCs]]-Table12[[#This Row],[LULUCF NDC cond]],Table12[[#This Row],[2030 conditional NDCs]]))</f>
        <v/>
      </c>
      <c r="AZ79" s="74" t="str">
        <f>IF(Table12[[#This Row],[2030 conditional NDCs2]]="","",IF(F79="incl",Table12[[#This Row],[2030 conditional NDCs2]]-Table12[[#This Row],[LULUCF NDC cond]],Table12[[#This Row],[2030 conditional NDCs2]]))</f>
        <v/>
      </c>
      <c r="BA79" s="8">
        <f>VLOOKUP($G79,'Population90 20'!$C$6:$AU$231,37,FALSE)</f>
        <v>65584518</v>
      </c>
      <c r="BB79" s="8">
        <f>VLOOKUP($G79,'Overview GDP (PPP)'!$C$6:$AI$231,33,FALSE)</f>
        <v>2649716921.8860278</v>
      </c>
      <c r="BC79" s="36">
        <f>Table12[[#This Row],[Income]]/Table12[[#This Row],[Population]]</f>
        <v>40.401561263071684</v>
      </c>
      <c r="BD79" s="36">
        <f>Table12[[#This Row],[GHG emissions excl LULUCF]]*1000000/Table12[[#This Row],[Population]]</f>
        <v>6.3624123912902739</v>
      </c>
      <c r="BE79" s="23" t="e">
        <f>VLOOKUP($G79,EGR2023_MASTER!$B$4:$S$38,14,FALSE)</f>
        <v>#N/A</v>
      </c>
      <c r="BF79" s="23" t="e">
        <f>VLOOKUP($G79,EGR2023_MASTER!$B$4:$S$38,15,FALSE)</f>
        <v>#N/A</v>
      </c>
      <c r="BG79" s="23" t="e">
        <f>VLOOKUP($G79,EGR2023_MASTER!$B$4:$S$38,16,FALSE)</f>
        <v>#N/A</v>
      </c>
      <c r="BH79" s="23" t="e">
        <f t="shared" si="19"/>
        <v>#N/A</v>
      </c>
      <c r="BI79" s="23" t="e">
        <f t="shared" si="20"/>
        <v>#N/A</v>
      </c>
      <c r="BJ79" s="552">
        <f>(Table12[[#This Row],[Current Policies 2030 excl LULUCF]]/Table12[[#This Row],[GHG emissions excl LULUCF]])^(1/(2030-2021))-1</f>
        <v>-5.0364396578149395E-2</v>
      </c>
      <c r="BK79" s="552">
        <f>IF(Table12[[#This Row],[Net-zero target status]]&lt;=1,"",IF(Table12[[#This Row],[NZ GHG year]]="","",((MAX(Table12[[#This Row],[residual LULUCF emissions in 2050]],0.1)/Table12[[#This Row],[Current Policies 2030 excl LULUCF]])^(1/(Table12[[#This Row],[NZ GHG year]]-2021))-1)))</f>
        <v>-8.1369345322573561E-2</v>
      </c>
      <c r="BL79" s="552">
        <f>IF(Table12[[#This Row],[Net-zero target status]]&lt;=1,"",IF(Table12[[#This Row],[NZ GHG year]]="","",((MAX(Table12[[#This Row],[residual LULUCF emissions in 2050]],0.1)/Table12[[#This Row],[GHG emissions excl LULUCF]])^(1/(Table12[[#This Row],[NZ GHG year]]-2021))-1)))</f>
        <v>-9.598453246156613E-2</v>
      </c>
      <c r="BM79" s="552" t="e">
        <f>IF(Table12[[#This Row],[Net-zero target status]]&lt;=1,"",IF(Table12[[#This Row],[NZ GHG year]]="","",((MAX(Table12[[#This Row],[residual LULUCF emissions in 2050]],0.1)/AVERAGE(Table12[[#This Row],[2030 conditional NDCs]:[2030 conditional NDCs2]]))^(1/(Table12[[#This Row],[NZ GHG year]]-2021))-1)))</f>
        <v>#DIV/0!</v>
      </c>
      <c r="BN79" s="23"/>
      <c r="BO79" s="23"/>
      <c r="BP79" s="23"/>
      <c r="BQ79" s="23"/>
      <c r="BR79" s="50" t="s">
        <v>187</v>
      </c>
      <c r="BT79" s="30">
        <f>IF(Table12[[#This Row],[Reduction rate 2021 to NZ target2]]="","",J79*(1+AN79)^(Table12[[#This Row],[NZ GHG year]]-2021))</f>
        <v>152.95681724044525</v>
      </c>
    </row>
    <row r="80" spans="1:72" ht="15" x14ac:dyDescent="0.25">
      <c r="A80">
        <v>0</v>
      </c>
      <c r="B80">
        <v>0</v>
      </c>
      <c r="C80">
        <v>254</v>
      </c>
      <c r="D80">
        <v>67</v>
      </c>
      <c r="E80">
        <v>6</v>
      </c>
      <c r="F80" t="str">
        <f>'input site'!M80</f>
        <v>excl</v>
      </c>
      <c r="G80" s="31" t="s">
        <v>188</v>
      </c>
      <c r="H80" s="1" t="s">
        <v>189</v>
      </c>
      <c r="I80" s="8">
        <v>0</v>
      </c>
      <c r="J80" s="32">
        <f>'input site'!AS80</f>
        <v>0</v>
      </c>
      <c r="K80" s="32">
        <f>'input site'!BS80</f>
        <v>0</v>
      </c>
      <c r="L80" s="32">
        <f t="shared" si="21"/>
        <v>0</v>
      </c>
      <c r="M80" s="32">
        <f t="shared" si="22"/>
        <v>0</v>
      </c>
      <c r="N80" s="32">
        <f>'input site'!EV80</f>
        <v>0</v>
      </c>
      <c r="O80" s="8"/>
      <c r="P80" s="8"/>
      <c r="Q80" s="32">
        <f t="shared" si="23"/>
        <v>0</v>
      </c>
      <c r="R80" s="32">
        <f>'input site'!EZ80</f>
        <v>0</v>
      </c>
      <c r="S80" s="37">
        <f>'input site'!FA80</f>
        <v>0</v>
      </c>
      <c r="T80" s="37" t="str">
        <f>Table12[[#This Row],[(Mt CO2 equivalent)]]</f>
        <v>French Guyana</v>
      </c>
      <c r="U80" s="35">
        <v>2100</v>
      </c>
      <c r="V80" s="35">
        <v>2100</v>
      </c>
      <c r="W80" s="32">
        <f>-IF('LUC NGHGI'!EC70="",MIN('LUC NGHGI'!DW70,0.1),MIN('LUC NGHGI'!EC70,0.1))</f>
        <v>0</v>
      </c>
      <c r="X80" s="32" t="str">
        <f>'LUC NGHGI'!EC70</f>
        <v/>
      </c>
      <c r="Y80" s="32" t="str">
        <f>'LUC NGHGI'!DY70</f>
        <v/>
      </c>
      <c r="Z80" s="32" t="str">
        <f>'LUC NGHGI'!DZ70</f>
        <v/>
      </c>
      <c r="AA80" s="32">
        <f>Table12[[#This Row],[2021 emissions]]</f>
        <v>0</v>
      </c>
      <c r="AB80" s="32">
        <f>'LUC NGHGI'!DW70</f>
        <v>0</v>
      </c>
      <c r="AC80" s="32">
        <f>IF(F80="incl",Table12[[#This Row],[GHG emissions incl LULUCF]]-Table12[[#This Row],[LULUCF emis-sions in 20213]],Table12[[#This Row],[GHG emissions incl LULUCF]])</f>
        <v>0</v>
      </c>
      <c r="AD80" s="32">
        <f>'input site'!BS80</f>
        <v>0</v>
      </c>
      <c r="AE80" s="32">
        <f>'LUC NGHGI'!EH70</f>
        <v>0</v>
      </c>
      <c r="AF80" s="32">
        <f>IF(F80="incl",Table12[[#This Row],[Current Policies 2030 incl LULUCF]]-Table12[[#This Row],[LULUCF CurPol 2030]],Table12[[#This Row],[Current Policies 2030 incl LULUCF]])</f>
        <v>0</v>
      </c>
      <c r="AG80" s="32" t="str">
        <f>IF(Table12[[#This Row],[Net-zero target status]]&lt;=1,"",IF(Table12[[#This Row],[NZ GHG year]]="","",1000000000*(Table12[[#This Row],[residual LULUCF emissions in 2050]]-Table12[[#This Row],[GHG emissions excl LULUCF]])/(Table12[[#This Row],[NZ GHG year]]-2021)/Table12[[#This Row],[Population]]))</f>
        <v/>
      </c>
      <c r="AH80" s="32" t="str">
        <f>IF(Table12[[#This Row],[Peak revised]]="Yes",IF(Table12[[#This Row],[Net-zero target status]]&lt;=1,"",IF(Table12[[#This Row],[NZ GHG year]]="","",1000000000*(Table12[[#This Row],[residual LULUCF emissions in 2050]]-Table12[[#This Row],[GHG emissions excl LULUCF]])/(Table12[[#This Row],[NZ GHG year]]-2021)/Table12[[#This Row],[Population]])),"")</f>
        <v/>
      </c>
      <c r="AI80" s="32">
        <f>MAX(0,(1000000*(Table12[[#This Row],[Current Policies 2030 excl LULUCF]]/2+Table12[[#This Row],[GHG emissions excl LULUCF]]/2)/Table12[[#This Row],[Population]]-$AI$8)*10)*$AI$10</f>
        <v>0</v>
      </c>
      <c r="AJ8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80" s="32" t="str">
        <f>IF(Table12[[#This Row],[Formule no Peak (2)]]="","",Table12[[#This Row],[Penalty (1)]]+Table12[[#This Row],[Formule no Peak (2)]])</f>
        <v/>
      </c>
      <c r="AL80" s="313" t="e">
        <f>(Table12[[#This Row],[Current Policies 2030 excl LULUCF]]-Table12[[#This Row],[GHG emissions excl LULUCF]])/(2030-2021)/Table12[[#This Row],[GHG emissions excl LULUCF]]</f>
        <v>#DIV/0!</v>
      </c>
      <c r="AM80" s="313" t="str">
        <f>IF(Table12[[#This Row],[Net-zero target status]]&lt;=1,"",IF(Table12[[#This Row],[NZ GHG year]]="","",(Table12[[#This Row],[residual LULUCF emissions in 2050]]-Table12[[#This Row],[Current Policies 2030 excl LULUCF]])/(Table12[[#This Row],[NZ GHG year]]-2030)/Table12[[#This Row],[Current Policies 2030 excl LULUCF]]))</f>
        <v/>
      </c>
      <c r="AN80" s="313" t="str">
        <f>IF(Table12[[#This Row],[Net-zero target status]]&lt;=1,"",IF(Table12[[#This Row],[NZ GHG year]]="","",(Table12[[#This Row],[residual LULUCF emissions in 2050]]-Table12[[#This Row],[GHG emissions excl LULUCF]])/(Table12[[#This Row],[NZ GHG year]]-2021)/Table12[[#This Row],[GHG emissions excl LULUCF]]))</f>
        <v/>
      </c>
      <c r="AO80" s="313" t="str">
        <f>IF(Table12[[#This Row],[Net-zero target status]]&lt;=1,"",IF(Table12[[#This Row],[NZ GHG year]]="","",(Table12[[#This Row],[residual LULUCF emissions in 2050]]-Table12[[#This Row],[2030 conditional NDCs]])/(Table12[[#This Row],[NZ GHG year]]-2030)/Table12[[#This Row],[2030 conditional NDCs]]))</f>
        <v/>
      </c>
      <c r="AP80" s="96">
        <f>MAX('input site'!AH80:AS80)</f>
        <v>0</v>
      </c>
      <c r="AQ80" s="95" t="str">
        <f>IF(Table12[[#This Row],[Current Policies 2030 incl LULUCF]]&gt;Table12[[#This Row],[Maximum inventory data]],"No","Yes")</f>
        <v>Yes</v>
      </c>
      <c r="AR80" s="34" t="str">
        <f>IF(Table12[[#This Row],[Net-zero target status]]&gt;=1.5,Table12[[#This Row],[residual LULUCF emissions in 2050]]/Table12[[#This Row],[GHG emissions excl LULUCF]],"")</f>
        <v/>
      </c>
      <c r="AS80" s="74" t="str">
        <f>'input site'!BE80</f>
        <v/>
      </c>
      <c r="AT80" s="74"/>
      <c r="AU80" s="74"/>
      <c r="AV80" s="75"/>
      <c r="AW80" s="74" t="str">
        <f>IF(Table12[[#This Row],[2030 unconditional NDCs]]="","",IF(F80="incl",Table12[[#This Row],[2030 unconditional NDCs]]-Table12[[#This Row],[LULUCF NDC uncond]],Table12[[#This Row],[2030 unconditional NDCs]]))</f>
        <v/>
      </c>
      <c r="AX80" s="74" t="str">
        <f>IF(Table12[[#This Row],[2030 unconditional NDCs2]]="","",IF(F80="incl",Table12[[#This Row],[2030 unconditional NDCs2]]-Table12[[#This Row],[LULUCF NDC uncond]],Table12[[#This Row],[2030 unconditional NDCs2]]))</f>
        <v/>
      </c>
      <c r="AY80" s="74" t="str">
        <f>IF(Table12[[#This Row],[2030 conditional NDCs]]="","",IF(F80="incl",Table12[[#This Row],[2030 conditional NDCs]]-Table12[[#This Row],[LULUCF NDC cond]],Table12[[#This Row],[2030 conditional NDCs]]))</f>
        <v/>
      </c>
      <c r="AZ80" s="74" t="str">
        <f>IF(Table12[[#This Row],[2030 conditional NDCs2]]="","",IF(F80="incl",Table12[[#This Row],[2030 conditional NDCs2]]-Table12[[#This Row],[LULUCF NDC cond]],Table12[[#This Row],[2030 conditional NDCs2]]))</f>
        <v/>
      </c>
      <c r="BA80" s="8">
        <f>VLOOKUP($G80,'Population90 20'!$C$6:$AU$231,37,FALSE)</f>
        <v>314169</v>
      </c>
      <c r="BB80" s="8">
        <f>VLOOKUP($G80,'Overview GDP (PPP)'!$C$6:$AI$231,33,FALSE)</f>
        <v>0</v>
      </c>
      <c r="BC80" s="36">
        <f>Table12[[#This Row],[Income]]/Table12[[#This Row],[Population]]</f>
        <v>0</v>
      </c>
      <c r="BD80" s="36">
        <f>Table12[[#This Row],[GHG emissions excl LULUCF]]*1000000/Table12[[#This Row],[Population]]</f>
        <v>0</v>
      </c>
      <c r="BE80" s="23" t="e">
        <f>VLOOKUP($G80,EGR2023_MASTER!$B$4:$S$38,14,FALSE)</f>
        <v>#N/A</v>
      </c>
      <c r="BF80" s="23" t="e">
        <f>VLOOKUP($G80,EGR2023_MASTER!$B$4:$S$38,15,FALSE)</f>
        <v>#N/A</v>
      </c>
      <c r="BG80" s="23" t="e">
        <f>VLOOKUP($G80,EGR2023_MASTER!$B$4:$S$38,16,FALSE)</f>
        <v>#N/A</v>
      </c>
      <c r="BH80" s="23" t="e">
        <f t="shared" si="19"/>
        <v>#N/A</v>
      </c>
      <c r="BI80" s="23" t="e">
        <f t="shared" si="20"/>
        <v>#N/A</v>
      </c>
      <c r="BJ80" s="552" t="e">
        <f>(Table12[[#This Row],[Current Policies 2030 excl LULUCF]]/Table12[[#This Row],[GHG emissions excl LULUCF]])^(1/(2030-2021))-1</f>
        <v>#DIV/0!</v>
      </c>
      <c r="BK80" s="552" t="str">
        <f>IF(Table12[[#This Row],[Net-zero target status]]&lt;=1,"",IF(Table12[[#This Row],[NZ GHG year]]="","",((MAX(Table12[[#This Row],[residual LULUCF emissions in 2050]],0.1)/Table12[[#This Row],[Current Policies 2030 excl LULUCF]])^(1/(Table12[[#This Row],[NZ GHG year]]-2021))-1)))</f>
        <v/>
      </c>
      <c r="BL80" s="552" t="str">
        <f>IF(Table12[[#This Row],[Net-zero target status]]&lt;=1,"",IF(Table12[[#This Row],[NZ GHG year]]="","",((MAX(Table12[[#This Row],[residual LULUCF emissions in 2050]],0.1)/Table12[[#This Row],[GHG emissions excl LULUCF]])^(1/(Table12[[#This Row],[NZ GHG year]]-2021))-1)))</f>
        <v/>
      </c>
      <c r="BM80" s="552" t="str">
        <f>IF(Table12[[#This Row],[Net-zero target status]]&lt;=1,"",IF(Table12[[#This Row],[NZ GHG year]]="","",((MAX(Table12[[#This Row],[residual LULUCF emissions in 2050]],0.1)/AVERAGE(Table12[[#This Row],[2030 conditional NDCs]:[2030 conditional NDCs2]]))^(1/(Table12[[#This Row],[NZ GHG year]]-2021))-1)))</f>
        <v/>
      </c>
      <c r="BN80" s="23"/>
      <c r="BO80" s="23"/>
      <c r="BP80" s="23"/>
      <c r="BQ80" s="23"/>
      <c r="BR80" s="50" t="s">
        <v>189</v>
      </c>
      <c r="BT80" s="30" t="str">
        <f>IF(Table12[[#This Row],[Reduction rate 2021 to NZ target2]]="","",J80*(1+AN80)^(Table12[[#This Row],[NZ GHG year]]-2021))</f>
        <v/>
      </c>
    </row>
    <row r="81" spans="1:72" ht="15" x14ac:dyDescent="0.25">
      <c r="A81">
        <v>0</v>
      </c>
      <c r="B81">
        <v>0</v>
      </c>
      <c r="C81">
        <v>258</v>
      </c>
      <c r="D81">
        <v>68</v>
      </c>
      <c r="E81">
        <v>24</v>
      </c>
      <c r="F81" t="str">
        <f>'input site'!M81</f>
        <v>excl</v>
      </c>
      <c r="G81" s="31" t="s">
        <v>190</v>
      </c>
      <c r="H81" s="1" t="s">
        <v>191</v>
      </c>
      <c r="I81" s="8">
        <v>0</v>
      </c>
      <c r="J81" s="32">
        <f>'input site'!AS81</f>
        <v>0</v>
      </c>
      <c r="K81" s="32">
        <f>'input site'!BS81</f>
        <v>0</v>
      </c>
      <c r="L81" s="32">
        <f t="shared" si="21"/>
        <v>0</v>
      </c>
      <c r="M81" s="32">
        <f t="shared" si="22"/>
        <v>0</v>
      </c>
      <c r="N81" s="32">
        <f>'input site'!EV81</f>
        <v>0</v>
      </c>
      <c r="O81" s="8"/>
      <c r="P81" s="8"/>
      <c r="Q81" s="32">
        <f t="shared" si="23"/>
        <v>0</v>
      </c>
      <c r="R81" s="32">
        <f>'input site'!EZ81</f>
        <v>0</v>
      </c>
      <c r="S81" s="37">
        <f>'input site'!FA81</f>
        <v>0</v>
      </c>
      <c r="T81" s="37" t="str">
        <f>Table12[[#This Row],[(Mt CO2 equivalent)]]</f>
        <v>French Polynesia</v>
      </c>
      <c r="U81" s="35">
        <v>2100</v>
      </c>
      <c r="V81" s="35">
        <v>2100</v>
      </c>
      <c r="W81" s="32">
        <f>-IF('LUC NGHGI'!EC71="",MIN('LUC NGHGI'!DW71,0.1),MIN('LUC NGHGI'!EC71,0.1))</f>
        <v>0</v>
      </c>
      <c r="X81" s="32" t="str">
        <f>'LUC NGHGI'!EC71</f>
        <v/>
      </c>
      <c r="Y81" s="32" t="str">
        <f>'LUC NGHGI'!DY71</f>
        <v/>
      </c>
      <c r="Z81" s="32" t="str">
        <f>'LUC NGHGI'!DZ71</f>
        <v/>
      </c>
      <c r="AA81" s="32">
        <f>Table12[[#This Row],[2021 emissions]]</f>
        <v>0</v>
      </c>
      <c r="AB81" s="32">
        <f>'LUC NGHGI'!DW71</f>
        <v>0</v>
      </c>
      <c r="AC81" s="32">
        <f>IF(F81="incl",Table12[[#This Row],[GHG emissions incl LULUCF]]-Table12[[#This Row],[LULUCF emis-sions in 20213]],Table12[[#This Row],[GHG emissions incl LULUCF]])</f>
        <v>0</v>
      </c>
      <c r="AD81" s="32">
        <f>'input site'!BS81</f>
        <v>0</v>
      </c>
      <c r="AE81" s="32">
        <f>'LUC NGHGI'!EH71</f>
        <v>0</v>
      </c>
      <c r="AF81" s="32">
        <f>IF(F81="incl",Table12[[#This Row],[Current Policies 2030 incl LULUCF]]-Table12[[#This Row],[LULUCF CurPol 2030]],Table12[[#This Row],[Current Policies 2030 incl LULUCF]])</f>
        <v>0</v>
      </c>
      <c r="AG81" s="32" t="str">
        <f>IF(Table12[[#This Row],[Net-zero target status]]&lt;=1,"",IF(Table12[[#This Row],[NZ GHG year]]="","",1000000000*(Table12[[#This Row],[residual LULUCF emissions in 2050]]-Table12[[#This Row],[GHG emissions excl LULUCF]])/(Table12[[#This Row],[NZ GHG year]]-2021)/Table12[[#This Row],[Population]]))</f>
        <v/>
      </c>
      <c r="AH81" s="32" t="str">
        <f>IF(Table12[[#This Row],[Peak revised]]="Yes",IF(Table12[[#This Row],[Net-zero target status]]&lt;=1,"",IF(Table12[[#This Row],[NZ GHG year]]="","",1000000000*(Table12[[#This Row],[residual LULUCF emissions in 2050]]-Table12[[#This Row],[GHG emissions excl LULUCF]])/(Table12[[#This Row],[NZ GHG year]]-2021)/Table12[[#This Row],[Population]])),"")</f>
        <v/>
      </c>
      <c r="AI81" s="32">
        <f>MAX(0,(1000000*(Table12[[#This Row],[Current Policies 2030 excl LULUCF]]/2+Table12[[#This Row],[GHG emissions excl LULUCF]]/2)/Table12[[#This Row],[Population]]-$AI$8)*10)*$AI$10</f>
        <v>0</v>
      </c>
      <c r="AJ8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81" s="32" t="str">
        <f>IF(Table12[[#This Row],[Formule no Peak (2)]]="","",Table12[[#This Row],[Penalty (1)]]+Table12[[#This Row],[Formule no Peak (2)]])</f>
        <v/>
      </c>
      <c r="AL81" s="313" t="e">
        <f>(Table12[[#This Row],[Current Policies 2030 excl LULUCF]]-Table12[[#This Row],[GHG emissions excl LULUCF]])/(2030-2021)/Table12[[#This Row],[GHG emissions excl LULUCF]]</f>
        <v>#DIV/0!</v>
      </c>
      <c r="AM81" s="313" t="str">
        <f>IF(Table12[[#This Row],[Net-zero target status]]&lt;=1,"",IF(Table12[[#This Row],[NZ GHG year]]="","",(Table12[[#This Row],[residual LULUCF emissions in 2050]]-Table12[[#This Row],[Current Policies 2030 excl LULUCF]])/(Table12[[#This Row],[NZ GHG year]]-2030)/Table12[[#This Row],[Current Policies 2030 excl LULUCF]]))</f>
        <v/>
      </c>
      <c r="AN81" s="313" t="str">
        <f>IF(Table12[[#This Row],[Net-zero target status]]&lt;=1,"",IF(Table12[[#This Row],[NZ GHG year]]="","",(Table12[[#This Row],[residual LULUCF emissions in 2050]]-Table12[[#This Row],[GHG emissions excl LULUCF]])/(Table12[[#This Row],[NZ GHG year]]-2021)/Table12[[#This Row],[GHG emissions excl LULUCF]]))</f>
        <v/>
      </c>
      <c r="AO81" s="313" t="str">
        <f>IF(Table12[[#This Row],[Net-zero target status]]&lt;=1,"",IF(Table12[[#This Row],[NZ GHG year]]="","",(Table12[[#This Row],[residual LULUCF emissions in 2050]]-Table12[[#This Row],[2030 conditional NDCs]])/(Table12[[#This Row],[NZ GHG year]]-2030)/Table12[[#This Row],[2030 conditional NDCs]]))</f>
        <v/>
      </c>
      <c r="AP81" s="96">
        <f>MAX('input site'!AH81:AS81)</f>
        <v>0</v>
      </c>
      <c r="AQ81" s="95" t="str">
        <f>IF(Table12[[#This Row],[Current Policies 2030 incl LULUCF]]&gt;Table12[[#This Row],[Maximum inventory data]],"No","Yes")</f>
        <v>Yes</v>
      </c>
      <c r="AR81" s="34" t="str">
        <f>IF(Table12[[#This Row],[Net-zero target status]]&gt;=1.5,Table12[[#This Row],[residual LULUCF emissions in 2050]]/Table12[[#This Row],[GHG emissions excl LULUCF]],"")</f>
        <v/>
      </c>
      <c r="AS81" s="74" t="str">
        <f>'input site'!BE81</f>
        <v/>
      </c>
      <c r="AT81" s="74"/>
      <c r="AU81" s="74"/>
      <c r="AV81" s="75"/>
      <c r="AW81" s="74" t="str">
        <f>IF(Table12[[#This Row],[2030 unconditional NDCs]]="","",IF(F81="incl",Table12[[#This Row],[2030 unconditional NDCs]]-Table12[[#This Row],[LULUCF NDC uncond]],Table12[[#This Row],[2030 unconditional NDCs]]))</f>
        <v/>
      </c>
      <c r="AX81" s="74" t="str">
        <f>IF(Table12[[#This Row],[2030 unconditional NDCs2]]="","",IF(F81="incl",Table12[[#This Row],[2030 unconditional NDCs2]]-Table12[[#This Row],[LULUCF NDC uncond]],Table12[[#This Row],[2030 unconditional NDCs2]]))</f>
        <v/>
      </c>
      <c r="AY81" s="74" t="str">
        <f>IF(Table12[[#This Row],[2030 conditional NDCs]]="","",IF(F81="incl",Table12[[#This Row],[2030 conditional NDCs]]-Table12[[#This Row],[LULUCF NDC cond]],Table12[[#This Row],[2030 conditional NDCs]]))</f>
        <v/>
      </c>
      <c r="AZ81" s="74" t="str">
        <f>IF(Table12[[#This Row],[2030 conditional NDCs2]]="","",IF(F81="incl",Table12[[#This Row],[2030 conditional NDCs2]]-Table12[[#This Row],[LULUCF NDC cond]],Table12[[#This Row],[2030 conditional NDCs2]]))</f>
        <v/>
      </c>
      <c r="BA81" s="8">
        <f>VLOOKUP($G81,'Population90 20'!$C$6:$AU$231,37,FALSE)</f>
        <v>284164</v>
      </c>
      <c r="BB81" s="8">
        <f>VLOOKUP($G81,'Overview GDP (PPP)'!$C$6:$AI$231,33,FALSE)</f>
        <v>4995064.4835489467</v>
      </c>
      <c r="BC81" s="36">
        <f>Table12[[#This Row],[Income]]/Table12[[#This Row],[Population]]</f>
        <v>17.578104487369782</v>
      </c>
      <c r="BD81" s="36">
        <f>Table12[[#This Row],[GHG emissions excl LULUCF]]*1000000/Table12[[#This Row],[Population]]</f>
        <v>0</v>
      </c>
      <c r="BE81" s="23" t="e">
        <f>VLOOKUP($G81,EGR2023_MASTER!$B$4:$S$38,14,FALSE)</f>
        <v>#N/A</v>
      </c>
      <c r="BF81" s="23" t="e">
        <f>VLOOKUP($G81,EGR2023_MASTER!$B$4:$S$38,15,FALSE)</f>
        <v>#N/A</v>
      </c>
      <c r="BG81" s="23" t="e">
        <f>VLOOKUP($G81,EGR2023_MASTER!$B$4:$S$38,16,FALSE)</f>
        <v>#N/A</v>
      </c>
      <c r="BH81" s="23" t="e">
        <f t="shared" si="19"/>
        <v>#N/A</v>
      </c>
      <c r="BI81" s="23" t="e">
        <f t="shared" si="20"/>
        <v>#N/A</v>
      </c>
      <c r="BJ81" s="552" t="e">
        <f>(Table12[[#This Row],[Current Policies 2030 excl LULUCF]]/Table12[[#This Row],[GHG emissions excl LULUCF]])^(1/(2030-2021))-1</f>
        <v>#DIV/0!</v>
      </c>
      <c r="BK81" s="552" t="str">
        <f>IF(Table12[[#This Row],[Net-zero target status]]&lt;=1,"",IF(Table12[[#This Row],[NZ GHG year]]="","",((MAX(Table12[[#This Row],[residual LULUCF emissions in 2050]],0.1)/Table12[[#This Row],[Current Policies 2030 excl LULUCF]])^(1/(Table12[[#This Row],[NZ GHG year]]-2021))-1)))</f>
        <v/>
      </c>
      <c r="BL81" s="552" t="str">
        <f>IF(Table12[[#This Row],[Net-zero target status]]&lt;=1,"",IF(Table12[[#This Row],[NZ GHG year]]="","",((MAX(Table12[[#This Row],[residual LULUCF emissions in 2050]],0.1)/Table12[[#This Row],[GHG emissions excl LULUCF]])^(1/(Table12[[#This Row],[NZ GHG year]]-2021))-1)))</f>
        <v/>
      </c>
      <c r="BM81" s="552" t="str">
        <f>IF(Table12[[#This Row],[Net-zero target status]]&lt;=1,"",IF(Table12[[#This Row],[NZ GHG year]]="","",((MAX(Table12[[#This Row],[residual LULUCF emissions in 2050]],0.1)/AVERAGE(Table12[[#This Row],[2030 conditional NDCs]:[2030 conditional NDCs2]]))^(1/(Table12[[#This Row],[NZ GHG year]]-2021))-1)))</f>
        <v/>
      </c>
      <c r="BN81" s="23"/>
      <c r="BO81" s="23"/>
      <c r="BP81" s="23"/>
      <c r="BQ81" s="23"/>
      <c r="BR81" s="50" t="s">
        <v>191</v>
      </c>
      <c r="BT81" s="30" t="str">
        <f>IF(Table12[[#This Row],[Reduction rate 2021 to NZ target2]]="","",J81*(1+AN81)^(Table12[[#This Row],[NZ GHG year]]-2021))</f>
        <v/>
      </c>
    </row>
    <row r="82" spans="1:72" ht="15" x14ac:dyDescent="0.25">
      <c r="A82">
        <v>0</v>
      </c>
      <c r="B82">
        <v>0</v>
      </c>
      <c r="C82">
        <v>266</v>
      </c>
      <c r="D82">
        <v>70</v>
      </c>
      <c r="E82">
        <v>8</v>
      </c>
      <c r="F82" t="str">
        <f>'input site'!M82</f>
        <v>excl</v>
      </c>
      <c r="G82" s="31" t="s">
        <v>192</v>
      </c>
      <c r="H82" s="1" t="s">
        <v>193</v>
      </c>
      <c r="I82" s="8">
        <f>VLOOKUP($G82,'NZT data'!$B$3:$C$200,2,FALSE)</f>
        <v>5</v>
      </c>
      <c r="J82" s="32">
        <f>'input site'!AS82</f>
        <v>5.9947040999999999</v>
      </c>
      <c r="K82" s="32">
        <f>'input site'!BS82</f>
        <v>7.1396120341617557</v>
      </c>
      <c r="L82" s="32">
        <f t="shared" si="21"/>
        <v>0</v>
      </c>
      <c r="M82" s="32">
        <f t="shared" si="22"/>
        <v>0</v>
      </c>
      <c r="N82" s="32">
        <f>'input site'!EV82</f>
        <v>5.6257703422168293</v>
      </c>
      <c r="O82" s="8"/>
      <c r="P82" s="8"/>
      <c r="Q82" s="32">
        <f t="shared" si="23"/>
        <v>0</v>
      </c>
      <c r="R82" s="32">
        <f>'input site'!EZ82</f>
        <v>3.2044403899762348</v>
      </c>
      <c r="S82" s="37">
        <f>'input site'!FA82</f>
        <v>0</v>
      </c>
      <c r="T82" s="37" t="str">
        <f>Table12[[#This Row],[(Mt CO2 equivalent)]]</f>
        <v>Gabon</v>
      </c>
      <c r="U82" s="8">
        <f>VLOOKUP($G82,'NZT data'!$B$3:$F$200,4,FALSE)</f>
        <v>2050</v>
      </c>
      <c r="V82" s="32">
        <f>VLOOKUP($G82,'NZT data'!$B$3:$F$200,5,FALSE)</f>
        <v>2050</v>
      </c>
      <c r="W82" s="32">
        <f>-IF('LUC NGHGI'!EC72="",MIN('LUC NGHGI'!DW72,0.1),MIN('LUC NGHGI'!EC72,0.1))</f>
        <v>113.87865320197045</v>
      </c>
      <c r="X82" s="32">
        <f>'LUC NGHGI'!EC72</f>
        <v>-113.87865320197045</v>
      </c>
      <c r="Y82" s="32">
        <f>'LUC NGHGI'!DY72</f>
        <v>-122.1</v>
      </c>
      <c r="Z82" s="32">
        <f>'LUC NGHGI'!DZ72</f>
        <v>-122.1</v>
      </c>
      <c r="AA82" s="32">
        <f>Table12[[#This Row],[2021 emissions]]</f>
        <v>5.9947040999999999</v>
      </c>
      <c r="AB82" s="32">
        <f>'LUC NGHGI'!DW72</f>
        <v>-114.26309704433504</v>
      </c>
      <c r="AC82" s="32">
        <f>IF(F82="incl",Table12[[#This Row],[GHG emissions incl LULUCF]]-Table12[[#This Row],[LULUCF emis-sions in 20213]],Table12[[#This Row],[GHG emissions incl LULUCF]])</f>
        <v>5.9947040999999999</v>
      </c>
      <c r="AD82" s="32">
        <f>'input site'!BS82</f>
        <v>7.1396120341617557</v>
      </c>
      <c r="AE82" s="32">
        <f>'LUC NGHGI'!EH72</f>
        <v>-132.15238853719168</v>
      </c>
      <c r="AF82" s="32">
        <f>IF(F82="incl",Table12[[#This Row],[Current Policies 2030 incl LULUCF]]-Table12[[#This Row],[LULUCF CurPol 2030]],Table12[[#This Row],[Current Policies 2030 incl LULUCF]])</f>
        <v>7.1396120341617557</v>
      </c>
      <c r="AG82" s="32">
        <f>IF(Table12[[#This Row],[Net-zero target status]]&lt;=1,"",IF(Table12[[#This Row],[NZ GHG year]]="","",1000000000*(Table12[[#This Row],[residual LULUCF emissions in 2050]]-Table12[[#This Row],[GHG emissions excl LULUCF]])/(Table12[[#This Row],[NZ GHG year]]-2021)/Table12[[#This Row],[Population]]))</f>
        <v>1595.5751756162213</v>
      </c>
      <c r="AH82" s="32" t="str">
        <f>IF(Table12[[#This Row],[Peak revised]]="Yes",IF(Table12[[#This Row],[Net-zero target status]]&lt;=1,"",IF(Table12[[#This Row],[NZ GHG year]]="","",1000000000*(Table12[[#This Row],[residual LULUCF emissions in 2050]]-Table12[[#This Row],[GHG emissions excl LULUCF]])/(Table12[[#This Row],[NZ GHG year]]-2021)/Table12[[#This Row],[Population]])),"")</f>
        <v/>
      </c>
      <c r="AI82" s="32">
        <f>MAX(0,(1000000*(Table12[[#This Row],[Current Policies 2030 excl LULUCF]]/2+Table12[[#This Row],[GHG emissions excl LULUCF]]/2)/Table12[[#This Row],[Population]]-$AI$8)*10)*$AI$10</f>
        <v>0</v>
      </c>
      <c r="AJ82" s="32">
        <f>IF(Table12[[#This Row],[Peak revised]]="No",IF(Table12[[#This Row],[Net-zero target status]]&lt;=1,"",IF(Table12[[#This Row],[NZ GHG year]]="","",1000000000*(Table12[[#This Row],[residual LULUCF emissions in 2050]]-Table12[[#This Row],[Current Policies 2030 excl LULUCF]])/(Table12[[#This Row],[NZ GHG year]]-2021)/Table12[[#This Row],[Population]])),"")</f>
        <v>1578.6422889975838</v>
      </c>
      <c r="AK82" s="32">
        <f>IF(Table12[[#This Row],[Formule no Peak (2)]]="","",Table12[[#This Row],[Penalty (1)]]+Table12[[#This Row],[Formule no Peak (2)]])</f>
        <v>1578.6422889975838</v>
      </c>
      <c r="AL82" s="313">
        <f>(Table12[[#This Row],[Current Policies 2030 excl LULUCF]]-Table12[[#This Row],[GHG emissions excl LULUCF]])/(2030-2021)/Table12[[#This Row],[GHG emissions excl LULUCF]]</f>
        <v>2.1220729257452348E-2</v>
      </c>
      <c r="AM82" s="313">
        <f>IF(Table12[[#This Row],[Net-zero target status]]&lt;=1,"",IF(Table12[[#This Row],[NZ GHG year]]="","",(Table12[[#This Row],[residual LULUCF emissions in 2050]]-Table12[[#This Row],[Current Policies 2030 excl LULUCF]])/(Table12[[#This Row],[NZ GHG year]]-2030)/Table12[[#This Row],[Current Policies 2030 excl LULUCF]]))</f>
        <v>0.74751289465787241</v>
      </c>
      <c r="AN82" s="313">
        <f>IF(Table12[[#This Row],[Net-zero target status]]&lt;=1,"",IF(Table12[[#This Row],[NZ GHG year]]="","",(Table12[[#This Row],[residual LULUCF emissions in 2050]]-Table12[[#This Row],[GHG emissions excl LULUCF]])/(Table12[[#This Row],[NZ GHG year]]-2021)/Table12[[#This Row],[GHG emissions excl LULUCF]]))</f>
        <v>0.62057044248939919</v>
      </c>
      <c r="AO82" s="313" t="e">
        <f>IF(Table12[[#This Row],[Net-zero target status]]&lt;=1,"",IF(Table12[[#This Row],[NZ GHG year]]="","",(Table12[[#This Row],[residual LULUCF emissions in 2050]]-Table12[[#This Row],[2030 conditional NDCs]])/(Table12[[#This Row],[NZ GHG year]]-2030)/Table12[[#This Row],[2030 conditional NDCs]]))</f>
        <v>#DIV/0!</v>
      </c>
      <c r="AP82" s="96">
        <f>MAX('input site'!AH82:AS82)</f>
        <v>6.3638303000000001</v>
      </c>
      <c r="AQ82" s="95" t="str">
        <f>IF(Table12[[#This Row],[Current Policies 2030 incl LULUCF]]&gt;Table12[[#This Row],[Maximum inventory data]],"No","Yes")</f>
        <v>No</v>
      </c>
      <c r="AR82" s="443">
        <f>IF(Table12[[#This Row],[Net-zero target status]]&gt;=1.5,Table12[[#This Row],[residual LULUCF emissions in 2050]]/Table12[[#This Row],[GHG emissions excl LULUCF]],"")</f>
        <v>18.996542832192578</v>
      </c>
      <c r="AS82" s="74" t="str">
        <f>'input site'!BE82</f>
        <v/>
      </c>
      <c r="AT82" s="74"/>
      <c r="AU82" s="74"/>
      <c r="AV82" s="75"/>
      <c r="AW82" s="74" t="str">
        <f>IF(Table12[[#This Row],[2030 unconditional NDCs]]="","",IF(F82="incl",Table12[[#This Row],[2030 unconditional NDCs]]-Table12[[#This Row],[LULUCF NDC uncond]],Table12[[#This Row],[2030 unconditional NDCs]]))</f>
        <v/>
      </c>
      <c r="AX82" s="74" t="str">
        <f>IF(Table12[[#This Row],[2030 unconditional NDCs2]]="","",IF(F82="incl",Table12[[#This Row],[2030 unconditional NDCs2]]-Table12[[#This Row],[LULUCF NDC uncond]],Table12[[#This Row],[2030 unconditional NDCs2]]))</f>
        <v/>
      </c>
      <c r="AY82" s="74" t="str">
        <f>IF(Table12[[#This Row],[2030 conditional NDCs]]="","",IF(F82="incl",Table12[[#This Row],[2030 conditional NDCs]]-Table12[[#This Row],[LULUCF NDC cond]],Table12[[#This Row],[2030 conditional NDCs]]))</f>
        <v/>
      </c>
      <c r="AZ82" s="74" t="str">
        <f>IF(Table12[[#This Row],[2030 conditional NDCs2]]="","",IF(F82="incl",Table12[[#This Row],[2030 conditional NDCs2]]-Table12[[#This Row],[LULUCF NDC cond]],Table12[[#This Row],[2030 conditional NDCs2]]))</f>
        <v/>
      </c>
      <c r="BA82" s="8">
        <f>VLOOKUP($G82,'Population90 20'!$C$6:$AU$231,37,FALSE)</f>
        <v>2331533</v>
      </c>
      <c r="BB82" s="8">
        <f>VLOOKUP($G82,'Overview GDP (PPP)'!$C$6:$AI$231,33,FALSE)</f>
        <v>33743506.119275786</v>
      </c>
      <c r="BC82" s="36">
        <f>Table12[[#This Row],[Income]]/Table12[[#This Row],[Population]]</f>
        <v>14.472669320689771</v>
      </c>
      <c r="BD82" s="36">
        <f>Table12[[#This Row],[GHG emissions excl LULUCF]]*1000000/Table12[[#This Row],[Population]]</f>
        <v>2.5711427202617334</v>
      </c>
      <c r="BE82" s="23" t="e">
        <f>VLOOKUP($G82,EGR2023_MASTER!$B$4:$S$38,14,FALSE)</f>
        <v>#N/A</v>
      </c>
      <c r="BF82" s="23" t="e">
        <f>VLOOKUP($G82,EGR2023_MASTER!$B$4:$S$38,15,FALSE)</f>
        <v>#N/A</v>
      </c>
      <c r="BG82" s="23" t="e">
        <f>VLOOKUP($G82,EGR2023_MASTER!$B$4:$S$38,16,FALSE)</f>
        <v>#N/A</v>
      </c>
      <c r="BH82" s="23" t="e">
        <f t="shared" si="19"/>
        <v>#N/A</v>
      </c>
      <c r="BI82" s="23" t="e">
        <f t="shared" si="20"/>
        <v>#N/A</v>
      </c>
      <c r="BJ82" s="552">
        <f>(Table12[[#This Row],[Current Policies 2030 excl LULUCF]]/Table12[[#This Row],[GHG emissions excl LULUCF]])^(1/(2030-2021))-1</f>
        <v>1.9610022352633871E-2</v>
      </c>
      <c r="BK82" s="552">
        <f>IF(Table12[[#This Row],[Net-zero target status]]&lt;=1,"",IF(Table12[[#This Row],[NZ GHG year]]="","",((MAX(Table12[[#This Row],[residual LULUCF emissions in 2050]],0.1)/Table12[[#This Row],[Current Policies 2030 excl LULUCF]])^(1/(Table12[[#This Row],[NZ GHG year]]-2021))-1)))</f>
        <v>0.10020787350069482</v>
      </c>
      <c r="BL82" s="552">
        <f>IF(Table12[[#This Row],[Net-zero target status]]&lt;=1,"",IF(Table12[[#This Row],[NZ GHG year]]="","",((MAX(Table12[[#This Row],[residual LULUCF emissions in 2050]],0.1)/Table12[[#This Row],[GHG emissions excl LULUCF]])^(1/(Table12[[#This Row],[NZ GHG year]]-2021))-1)))</f>
        <v>0.10685881109120987</v>
      </c>
      <c r="BM82" s="552" t="e">
        <f>IF(Table12[[#This Row],[Net-zero target status]]&lt;=1,"",IF(Table12[[#This Row],[NZ GHG year]]="","",((MAX(Table12[[#This Row],[residual LULUCF emissions in 2050]],0.1)/AVERAGE(Table12[[#This Row],[2030 conditional NDCs]:[2030 conditional NDCs2]]))^(1/(Table12[[#This Row],[NZ GHG year]]-2021))-1)))</f>
        <v>#DIV/0!</v>
      </c>
      <c r="BN82" s="23"/>
      <c r="BO82" s="23"/>
      <c r="BP82" s="23"/>
      <c r="BQ82" s="23"/>
      <c r="BR82" s="50" t="s">
        <v>193</v>
      </c>
      <c r="BT82" s="30">
        <f>IF(Table12[[#This Row],[Reduction rate 2021 to NZ target2]]="","",J82*(1+AN82)^(Table12[[#This Row],[NZ GHG year]]-2021))</f>
        <v>7213353.9751906972</v>
      </c>
    </row>
    <row r="83" spans="1:72" ht="15" x14ac:dyDescent="0.25">
      <c r="A83">
        <v>0</v>
      </c>
      <c r="B83">
        <v>0</v>
      </c>
      <c r="C83">
        <v>270</v>
      </c>
      <c r="D83">
        <v>72</v>
      </c>
      <c r="E83">
        <v>8</v>
      </c>
      <c r="F83" t="str">
        <f>'input site'!M83</f>
        <v>excl</v>
      </c>
      <c r="G83" s="31" t="s">
        <v>194</v>
      </c>
      <c r="H83" s="1" t="s">
        <v>195</v>
      </c>
      <c r="I83" s="8">
        <f>VLOOKUP($G83,'NZT data'!$B$3:$C$200,2,FALSE)</f>
        <v>3</v>
      </c>
      <c r="J83" s="32">
        <f>'input site'!AS83</f>
        <v>2.8157779999999999</v>
      </c>
      <c r="K83" s="32">
        <f>'input site'!BS83</f>
        <v>3.3535537632838155</v>
      </c>
      <c r="L83" s="32">
        <f t="shared" si="21"/>
        <v>0</v>
      </c>
      <c r="M83" s="32">
        <f t="shared" si="22"/>
        <v>0</v>
      </c>
      <c r="N83" s="32">
        <f>'input site'!EV83</f>
        <v>2.3977171861687028</v>
      </c>
      <c r="O83" s="8">
        <v>0</v>
      </c>
      <c r="P83" s="36">
        <f>O83-N83</f>
        <v>-2.3977171861687028</v>
      </c>
      <c r="Q83" s="32">
        <f t="shared" si="23"/>
        <v>0</v>
      </c>
      <c r="R83" s="32">
        <f>'input site'!EZ83</f>
        <v>1.3657403924653535</v>
      </c>
      <c r="S83" s="37">
        <f>'input site'!FA83</f>
        <v>2050</v>
      </c>
      <c r="T83" s="37" t="str">
        <f>Table12[[#This Row],[(Mt CO2 equivalent)]]</f>
        <v>Gambia</v>
      </c>
      <c r="U83" s="8">
        <f>VLOOKUP($G83,'NZT data'!$B$3:$F$200,4,FALSE)</f>
        <v>2050</v>
      </c>
      <c r="V83" s="32">
        <f>VLOOKUP($G83,'NZT data'!$B$3:$F$200,5,FALSE)</f>
        <v>2065</v>
      </c>
      <c r="W83" s="32">
        <f>-IF('LUC NGHGI'!EC73="",MIN('LUC NGHGI'!DW73,0.1),MIN('LUC NGHGI'!EC73,0.1))</f>
        <v>-0.1</v>
      </c>
      <c r="X83" s="32">
        <f>'LUC NGHGI'!EC73</f>
        <v>0.76715476190476295</v>
      </c>
      <c r="Y83" s="32">
        <f>'LUC NGHGI'!DY73</f>
        <v>0.76715476190476295</v>
      </c>
      <c r="Z83" s="32">
        <f>'LUC NGHGI'!DZ73</f>
        <v>0.76715476190476295</v>
      </c>
      <c r="AA83" s="32">
        <f>Table12[[#This Row],[2021 emissions]]</f>
        <v>2.8157779999999999</v>
      </c>
      <c r="AB83" s="32">
        <f>'LUC NGHGI'!DW73</f>
        <v>0.78479404761905158</v>
      </c>
      <c r="AC83" s="32">
        <f>IF(F83="incl",Table12[[#This Row],[GHG emissions incl LULUCF]]-Table12[[#This Row],[LULUCF emis-sions in 20213]],Table12[[#This Row],[GHG emissions incl LULUCF]])</f>
        <v>2.8157779999999999</v>
      </c>
      <c r="AD83" s="32">
        <f>'input site'!BS83</f>
        <v>3.3535537632838155</v>
      </c>
      <c r="AE83" s="32">
        <f>'LUC NGHGI'!EH73</f>
        <v>0.53877539534027064</v>
      </c>
      <c r="AF83" s="32">
        <f>IF(F83="incl",Table12[[#This Row],[Current Policies 2030 incl LULUCF]]-Table12[[#This Row],[LULUCF CurPol 2030]],Table12[[#This Row],[Current Policies 2030 incl LULUCF]])</f>
        <v>3.3535537632838155</v>
      </c>
      <c r="AG83" s="32">
        <f>IF(Table12[[#This Row],[Net-zero target status]]&lt;=1,"",IF(Table12[[#This Row],[NZ GHG year]]="","",1000000000*(Table12[[#This Row],[residual LULUCF emissions in 2050]]-Table12[[#This Row],[GHG emissions excl LULUCF]])/(Table12[[#This Row],[NZ GHG year]]-2021)/Table12[[#This Row],[Population]]))</f>
        <v>-25.901171795690498</v>
      </c>
      <c r="AH83" s="32" t="str">
        <f>IF(Table12[[#This Row],[Peak revised]]="Yes",IF(Table12[[#This Row],[Net-zero target status]]&lt;=1,"",IF(Table12[[#This Row],[NZ GHG year]]="","",1000000000*(Table12[[#This Row],[residual LULUCF emissions in 2050]]-Table12[[#This Row],[GHG emissions excl LULUCF]])/(Table12[[#This Row],[NZ GHG year]]-2021)/Table12[[#This Row],[Population]])),"")</f>
        <v/>
      </c>
      <c r="AI83" s="32">
        <f>MAX(0,(1000000*(Table12[[#This Row],[Current Policies 2030 excl LULUCF]]/2+Table12[[#This Row],[GHG emissions excl LULUCF]]/2)/Table12[[#This Row],[Population]]-$AI$8)*10)*$AI$10</f>
        <v>0</v>
      </c>
      <c r="AJ83" s="32">
        <f>IF(Table12[[#This Row],[Peak revised]]="No",IF(Table12[[#This Row],[Net-zero target status]]&lt;=1,"",IF(Table12[[#This Row],[NZ GHG year]]="","",1000000000*(Table12[[#This Row],[residual LULUCF emissions in 2050]]-Table12[[#This Row],[Current Policies 2030 excl LULUCF]])/(Table12[[#This Row],[NZ GHG year]]-2021)/Table12[[#This Row],[Population]])),"")</f>
        <v>-30.678292149974226</v>
      </c>
      <c r="AK83" s="32">
        <f>IF(Table12[[#This Row],[Formule no Peak (2)]]="","",Table12[[#This Row],[Penalty (1)]]+Table12[[#This Row],[Formule no Peak (2)]])</f>
        <v>-30.678292149974226</v>
      </c>
      <c r="AL83" s="313">
        <f>(Table12[[#This Row],[Current Policies 2030 excl LULUCF]]-Table12[[#This Row],[GHG emissions excl LULUCF]])/(2030-2021)/Table12[[#This Row],[GHG emissions excl LULUCF]]</f>
        <v>2.1220729257452338E-2</v>
      </c>
      <c r="AM83" s="313">
        <f>IF(Table12[[#This Row],[Net-zero target status]]&lt;=1,"",IF(Table12[[#This Row],[NZ GHG year]]="","",(Table12[[#This Row],[residual LULUCF emissions in 2050]]-Table12[[#This Row],[Current Policies 2030 excl LULUCF]])/(Table12[[#This Row],[NZ GHG year]]-2030)/Table12[[#This Row],[Current Policies 2030 excl LULUCF]]))</f>
        <v>-2.942340324033775E-2</v>
      </c>
      <c r="AN83" s="313">
        <f>IF(Table12[[#This Row],[Net-zero target status]]&lt;=1,"",IF(Table12[[#This Row],[NZ GHG year]]="","",(Table12[[#This Row],[residual LULUCF emissions in 2050]]-Table12[[#This Row],[GHG emissions excl LULUCF]])/(Table12[[#This Row],[NZ GHG year]]-2021)/Table12[[#This Row],[GHG emissions excl LULUCF]]))</f>
        <v>-2.3534412804625159E-2</v>
      </c>
      <c r="AO83" s="313">
        <f>IF(Table12[[#This Row],[Net-zero target status]]&lt;=1,"",IF(Table12[[#This Row],[NZ GHG year]]="","",(Table12[[#This Row],[residual LULUCF emissions in 2050]]-Table12[[#This Row],[2030 conditional NDCs]])/(Table12[[#This Row],[NZ GHG year]]-2030)/Table12[[#This Row],[2030 conditional NDCs]]))</f>
        <v>-3.0293746147007659E-2</v>
      </c>
      <c r="AP83" s="96">
        <f>MAX('input site'!AH83:AS83)</f>
        <v>2.8157779999999999</v>
      </c>
      <c r="AQ83" s="95" t="str">
        <f>IF(Table12[[#This Row],[Current Policies 2030 incl LULUCF]]&gt;Table12[[#This Row],[Maximum inventory data]],"No","Yes")</f>
        <v>No</v>
      </c>
      <c r="AR83" s="34">
        <f>IF(Table12[[#This Row],[Net-zero target status]]&gt;=1.5,Table12[[#This Row],[residual LULUCF emissions in 2050]]/Table12[[#This Row],[GHG emissions excl LULUCF]],"")</f>
        <v>-3.5514163403506958E-2</v>
      </c>
      <c r="AS83" s="74" t="str">
        <f>'input site'!BE83</f>
        <v/>
      </c>
      <c r="AT83" s="74"/>
      <c r="AU83" s="74">
        <f>'input site'!BG83</f>
        <v>1.6588943280000001</v>
      </c>
      <c r="AV83" s="75">
        <f>'input site'!BH83</f>
        <v>1.6588943280000001</v>
      </c>
      <c r="AW83" s="74" t="str">
        <f>IF(Table12[[#This Row],[2030 unconditional NDCs]]="","",IF(F83="incl",Table12[[#This Row],[2030 unconditional NDCs]]-Table12[[#This Row],[LULUCF NDC uncond]],Table12[[#This Row],[2030 unconditional NDCs]]))</f>
        <v/>
      </c>
      <c r="AX83" s="74" t="str">
        <f>IF(Table12[[#This Row],[2030 unconditional NDCs2]]="","",IF(F83="incl",Table12[[#This Row],[2030 unconditional NDCs2]]-Table12[[#This Row],[LULUCF NDC uncond]],Table12[[#This Row],[2030 unconditional NDCs2]]))</f>
        <v/>
      </c>
      <c r="AY83" s="74">
        <f>IF(Table12[[#This Row],[2030 conditional NDCs]]="","",IF(F83="incl",Table12[[#This Row],[2030 conditional NDCs]]-Table12[[#This Row],[LULUCF NDC cond]],Table12[[#This Row],[2030 conditional NDCs]]))</f>
        <v>1.6588943280000001</v>
      </c>
      <c r="AZ83" s="74">
        <f>IF(Table12[[#This Row],[2030 conditional NDCs2]]="","",IF(F83="incl",Table12[[#This Row],[2030 conditional NDCs2]]-Table12[[#This Row],[LULUCF NDC cond]],Table12[[#This Row],[2030 conditional NDCs2]]))</f>
        <v>1.6588943280000001</v>
      </c>
      <c r="BA83" s="8">
        <f>VLOOKUP($G83,'Population90 20'!$C$6:$AU$231,37,FALSE)</f>
        <v>2558482</v>
      </c>
      <c r="BB83" s="8">
        <f>VLOOKUP($G83,'Overview GDP (PPP)'!$C$6:$AI$231,33,FALSE)</f>
        <v>3458207.8670324357</v>
      </c>
      <c r="BC83" s="36">
        <f>Table12[[#This Row],[Income]]/Table12[[#This Row],[Population]]</f>
        <v>1.351663942537972</v>
      </c>
      <c r="BD83" s="36">
        <f>Table12[[#This Row],[GHG emissions excl LULUCF]]*1000000/Table12[[#This Row],[Population]]</f>
        <v>1.1005658824255946</v>
      </c>
      <c r="BE83" s="23" t="e">
        <f>VLOOKUP($G83,EGR2023_MASTER!$B$4:$S$38,14,FALSE)</f>
        <v>#N/A</v>
      </c>
      <c r="BF83" s="23" t="e">
        <f>VLOOKUP($G83,EGR2023_MASTER!$B$4:$S$38,15,FALSE)</f>
        <v>#N/A</v>
      </c>
      <c r="BG83" s="23" t="e">
        <f>VLOOKUP($G83,EGR2023_MASTER!$B$4:$S$38,16,FALSE)</f>
        <v>#N/A</v>
      </c>
      <c r="BH83" s="23" t="e">
        <f t="shared" si="19"/>
        <v>#N/A</v>
      </c>
      <c r="BI83" s="23" t="e">
        <f t="shared" si="20"/>
        <v>#N/A</v>
      </c>
      <c r="BJ83" s="552">
        <f>(Table12[[#This Row],[Current Policies 2030 excl LULUCF]]/Table12[[#This Row],[GHG emissions excl LULUCF]])^(1/(2030-2021))-1</f>
        <v>1.9610022352633871E-2</v>
      </c>
      <c r="BK83" s="552">
        <f>IF(Table12[[#This Row],[Net-zero target status]]&lt;=1,"",IF(Table12[[#This Row],[NZ GHG year]]="","",((MAX(Table12[[#This Row],[residual LULUCF emissions in 2050]],0.1)/Table12[[#This Row],[Current Policies 2030 excl LULUCF]])^(1/(Table12[[#This Row],[NZ GHG year]]-2021))-1)))</f>
        <v>-7.6728508807193285E-2</v>
      </c>
      <c r="BL83" s="552">
        <f>IF(Table12[[#This Row],[Net-zero target status]]&lt;=1,"",IF(Table12[[#This Row],[NZ GHG year]]="","",((MAX(Table12[[#This Row],[residual LULUCF emissions in 2050]],0.1)/Table12[[#This Row],[GHG emissions excl LULUCF]])^(1/(Table12[[#This Row],[NZ GHG year]]-2021))-1)))</f>
        <v>-7.3053686548646524E-2</v>
      </c>
      <c r="BM83" s="552">
        <f>IF(Table12[[#This Row],[Net-zero target status]]&lt;=1,"",IF(Table12[[#This Row],[NZ GHG year]]="","",((MAX(Table12[[#This Row],[residual LULUCF emissions in 2050]],0.1)/AVERAGE(Table12[[#This Row],[2030 conditional NDCs]:[2030 conditional NDCs2]]))^(1/(Table12[[#This Row],[NZ GHG year]]-2021))-1)))</f>
        <v>-6.1840140243837105E-2</v>
      </c>
      <c r="BN83" s="23"/>
      <c r="BO83" s="23"/>
      <c r="BP83" s="23"/>
      <c r="BQ83" s="23"/>
      <c r="BR83" s="50" t="s">
        <v>195</v>
      </c>
      <c r="BT83" s="30">
        <f>IF(Table12[[#This Row],[Reduction rate 2021 to NZ target2]]="","",J83*(1+AN83)^(Table12[[#This Row],[NZ GHG year]]-2021))</f>
        <v>0.98742445025582171</v>
      </c>
    </row>
    <row r="84" spans="1:72" ht="15" x14ac:dyDescent="0.25">
      <c r="A84">
        <v>0</v>
      </c>
      <c r="B84">
        <v>0</v>
      </c>
      <c r="C84">
        <v>268</v>
      </c>
      <c r="D84">
        <v>71</v>
      </c>
      <c r="E84">
        <v>16</v>
      </c>
      <c r="F84" t="str">
        <f>'input site'!M84</f>
        <v>excl</v>
      </c>
      <c r="G84" s="31" t="s">
        <v>196</v>
      </c>
      <c r="H84" s="1" t="s">
        <v>197</v>
      </c>
      <c r="I84" s="8">
        <f>VLOOKUP($G84,'NZT data'!$B$3:$C$200,2,FALSE)</f>
        <v>3</v>
      </c>
      <c r="J84" s="32">
        <f>'input site'!AS84</f>
        <v>17.534279999999999</v>
      </c>
      <c r="K84" s="32">
        <f>'input site'!BS84</f>
        <v>16.54576311988486</v>
      </c>
      <c r="L84" s="32">
        <f t="shared" si="21"/>
        <v>0</v>
      </c>
      <c r="M84" s="32">
        <f t="shared" si="22"/>
        <v>0</v>
      </c>
      <c r="N84" s="32">
        <f>'input site'!EV84</f>
        <v>2.8557934581710156</v>
      </c>
      <c r="O84" s="8"/>
      <c r="P84" s="8"/>
      <c r="Q84" s="32">
        <f t="shared" si="23"/>
        <v>0</v>
      </c>
      <c r="R84" s="32">
        <f>'input site'!EZ84</f>
        <v>2.7141977775985393</v>
      </c>
      <c r="S84" s="37">
        <f>'input site'!FA84</f>
        <v>0</v>
      </c>
      <c r="T84" s="37" t="str">
        <f>Table12[[#This Row],[(Mt CO2 equivalent)]]</f>
        <v>Georgia</v>
      </c>
      <c r="U84" s="8">
        <f>VLOOKUP($G84,'NZT data'!$B$3:$F$200,4,FALSE)</f>
        <v>2050</v>
      </c>
      <c r="V84" s="32">
        <f>VLOOKUP($G84,'NZT data'!$B$3:$F$200,5,FALSE)</f>
        <v>2050</v>
      </c>
      <c r="W84" s="32">
        <f>-IF('LUC NGHGI'!EC74="",MIN('LUC NGHGI'!DW74,0.1),MIN('LUC NGHGI'!EC74,0.1))</f>
        <v>10.74</v>
      </c>
      <c r="X84" s="32">
        <f>'LUC NGHGI'!EC74</f>
        <v>-10.74</v>
      </c>
      <c r="Y84" s="32">
        <f>'LUC NGHGI'!DY74</f>
        <v>-3.8839802955665164</v>
      </c>
      <c r="Z84" s="32">
        <f>'LUC NGHGI'!DZ74</f>
        <v>-3.8839802955665164</v>
      </c>
      <c r="AA84" s="32">
        <f>Table12[[#This Row],[2021 emissions]]</f>
        <v>17.534279999999999</v>
      </c>
      <c r="AB84" s="32">
        <f>'LUC NGHGI'!DW74</f>
        <v>-3.8068037766830969</v>
      </c>
      <c r="AC84" s="32">
        <f>IF(F84="incl",Table12[[#This Row],[GHG emissions incl LULUCF]]-Table12[[#This Row],[LULUCF emis-sions in 20213]],Table12[[#This Row],[GHG emissions incl LULUCF]])</f>
        <v>17.534279999999999</v>
      </c>
      <c r="AD84" s="32">
        <f>'input site'!BS84</f>
        <v>16.54576311988486</v>
      </c>
      <c r="AE84" s="32">
        <f>'LUC NGHGI'!EH74</f>
        <v>-5.1738858413297839</v>
      </c>
      <c r="AF84" s="32">
        <f>IF(F84="incl",Table12[[#This Row],[Current Policies 2030 incl LULUCF]]-Table12[[#This Row],[LULUCF CurPol 2030]],Table12[[#This Row],[Current Policies 2030 incl LULUCF]])</f>
        <v>16.54576311988486</v>
      </c>
      <c r="AG84" s="32">
        <f>IF(Table12[[#This Row],[Net-zero target status]]&lt;=1,"",IF(Table12[[#This Row],[NZ GHG year]]="","",1000000000*(Table12[[#This Row],[residual LULUCF emissions in 2050]]-Table12[[#This Row],[GHG emissions excl LULUCF]])/(Table12[[#This Row],[NZ GHG year]]-2021)/Table12[[#This Row],[Population]]))</f>
        <v>-59.032749766142103</v>
      </c>
      <c r="AH84" s="32">
        <f>IF(Table12[[#This Row],[Peak revised]]="Yes",IF(Table12[[#This Row],[Net-zero target status]]&lt;=1,"",IF(Table12[[#This Row],[NZ GHG year]]="","",1000000000*(Table12[[#This Row],[residual LULUCF emissions in 2050]]-Table12[[#This Row],[GHG emissions excl LULUCF]])/(Table12[[#This Row],[NZ GHG year]]-2021)/Table12[[#This Row],[Population]])),"")</f>
        <v>-59.032749766142103</v>
      </c>
      <c r="AI84" s="32">
        <f>MAX(0,(1000000*(Table12[[#This Row],[Current Policies 2030 excl LULUCF]]/2+Table12[[#This Row],[GHG emissions excl LULUCF]]/2)/Table12[[#This Row],[Population]]-$AI$8)*10)*$AI$10</f>
        <v>0</v>
      </c>
      <c r="AJ8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84" s="32" t="str">
        <f>IF(Table12[[#This Row],[Formule no Peak (2)]]="","",Table12[[#This Row],[Penalty (1)]]+Table12[[#This Row],[Formule no Peak (2)]])</f>
        <v/>
      </c>
      <c r="AL84" s="313">
        <f>(Table12[[#This Row],[Current Policies 2030 excl LULUCF]]-Table12[[#This Row],[GHG emissions excl LULUCF]])/(2030-2021)/Table12[[#This Row],[GHG emissions excl LULUCF]]</f>
        <v>-6.2640273168719836E-3</v>
      </c>
      <c r="AM84" s="313">
        <f>IF(Table12[[#This Row],[Net-zero target status]]&lt;=1,"",IF(Table12[[#This Row],[NZ GHG year]]="","",(Table12[[#This Row],[residual LULUCF emissions in 2050]]-Table12[[#This Row],[Current Policies 2030 excl LULUCF]])/(Table12[[#This Row],[NZ GHG year]]-2030)/Table12[[#This Row],[Current Policies 2030 excl LULUCF]]))</f>
        <v>-1.7544561341227706E-2</v>
      </c>
      <c r="AN84" s="313">
        <f>IF(Table12[[#This Row],[Net-zero target status]]&lt;=1,"",IF(Table12[[#This Row],[NZ GHG year]]="","",(Table12[[#This Row],[residual LULUCF emissions in 2050]]-Table12[[#This Row],[GHG emissions excl LULUCF]])/(Table12[[#This Row],[NZ GHG year]]-2021)/Table12[[#This Row],[GHG emissions excl LULUCF]]))</f>
        <v>-1.3361570434678772E-2</v>
      </c>
      <c r="AO84" s="313">
        <f>IF(Table12[[#This Row],[Net-zero target status]]&lt;=1,"",IF(Table12[[#This Row],[NZ GHG year]]="","",(Table12[[#This Row],[residual LULUCF emissions in 2050]]-Table12[[#This Row],[2030 conditional NDCs]])/(Table12[[#This Row],[NZ GHG year]]-2030)/Table12[[#This Row],[2030 conditional NDCs]]))</f>
        <v>-3.136387298282145E-2</v>
      </c>
      <c r="AP84" s="96">
        <f>MAX('input site'!AH84:AS84)</f>
        <v>20.433615000000003</v>
      </c>
      <c r="AQ84" s="95" t="str">
        <f>IF(Table12[[#This Row],[Current Policies 2030 incl LULUCF]]&gt;Table12[[#This Row],[Maximum inventory data]],"No","Yes")</f>
        <v>Yes</v>
      </c>
      <c r="AR84" s="34">
        <f>IF(Table12[[#This Row],[Net-zero target status]]&gt;=1.5,Table12[[#This Row],[residual LULUCF emissions in 2050]]/Table12[[#This Row],[GHG emissions excl LULUCF]],"")</f>
        <v>0.61251445739431565</v>
      </c>
      <c r="AS84" s="74">
        <f>'input site'!BE84</f>
        <v>32.657000000000004</v>
      </c>
      <c r="AT84" s="74">
        <f>'input site'!BF84</f>
        <v>32.657000000000004</v>
      </c>
      <c r="AU84" s="74">
        <f>'input site'!BG84</f>
        <v>28.815000000000001</v>
      </c>
      <c r="AV84" s="75">
        <f>'input site'!BH84</f>
        <v>28.815000000000001</v>
      </c>
      <c r="AW84" s="74">
        <f>IF(Table12[[#This Row],[2030 unconditional NDCs]]="","",IF(F84="incl",Table12[[#This Row],[2030 unconditional NDCs]]-Table12[[#This Row],[LULUCF NDC uncond]],Table12[[#This Row],[2030 unconditional NDCs]]))</f>
        <v>32.657000000000004</v>
      </c>
      <c r="AX84" s="74">
        <f>IF(Table12[[#This Row],[2030 unconditional NDCs2]]="","",IF(F84="incl",Table12[[#This Row],[2030 unconditional NDCs2]]-Table12[[#This Row],[LULUCF NDC uncond]],Table12[[#This Row],[2030 unconditional NDCs2]]))</f>
        <v>32.657000000000004</v>
      </c>
      <c r="AY84" s="74">
        <f>IF(Table12[[#This Row],[2030 conditional NDCs]]="","",IF(F84="incl",Table12[[#This Row],[2030 conditional NDCs]]-Table12[[#This Row],[LULUCF NDC cond]],Table12[[#This Row],[2030 conditional NDCs]]))</f>
        <v>28.815000000000001</v>
      </c>
      <c r="AZ84" s="74">
        <f>IF(Table12[[#This Row],[2030 conditional NDCs2]]="","",IF(F84="incl",Table12[[#This Row],[2030 conditional NDCs2]]-Table12[[#This Row],[LULUCF NDC cond]],Table12[[#This Row],[2030 conditional NDCs2]]))</f>
        <v>28.815000000000001</v>
      </c>
      <c r="BA84" s="8">
        <f>VLOOKUP($G84,'Population90 20'!$C$6:$AU$231,37,FALSE)</f>
        <v>3968738</v>
      </c>
      <c r="BB84" s="8">
        <f>VLOOKUP($G84,'Overview GDP (PPP)'!$C$6:$AI$231,33,FALSE)</f>
        <v>37875982.990800247</v>
      </c>
      <c r="BC84" s="36">
        <f>Table12[[#This Row],[Income]]/Table12[[#This Row],[Population]]</f>
        <v>9.5435836255253559</v>
      </c>
      <c r="BD84" s="36">
        <f>Table12[[#This Row],[GHG emissions excl LULUCF]]*1000000/Table12[[#This Row],[Population]]</f>
        <v>4.4180996578761311</v>
      </c>
      <c r="BE84" s="23" t="e">
        <f>VLOOKUP($G84,EGR2023_MASTER!$B$4:$S$38,14,FALSE)</f>
        <v>#N/A</v>
      </c>
      <c r="BF84" s="23" t="e">
        <f>VLOOKUP($G84,EGR2023_MASTER!$B$4:$S$38,15,FALSE)</f>
        <v>#N/A</v>
      </c>
      <c r="BG84" s="23" t="e">
        <f>VLOOKUP($G84,EGR2023_MASTER!$B$4:$S$38,16,FALSE)</f>
        <v>#N/A</v>
      </c>
      <c r="BH84" s="23" t="e">
        <f t="shared" si="19"/>
        <v>#N/A</v>
      </c>
      <c r="BI84" s="23" t="e">
        <f t="shared" si="20"/>
        <v>#N/A</v>
      </c>
      <c r="BJ84" s="552">
        <f>(Table12[[#This Row],[Current Policies 2030 excl LULUCF]]/Table12[[#This Row],[GHG emissions excl LULUCF]])^(1/(2030-2021))-1</f>
        <v>-6.4267879316852738E-3</v>
      </c>
      <c r="BK84" s="552">
        <f>IF(Table12[[#This Row],[Net-zero target status]]&lt;=1,"",IF(Table12[[#This Row],[NZ GHG year]]="","",((MAX(Table12[[#This Row],[residual LULUCF emissions in 2050]],0.1)/Table12[[#This Row],[Current Policies 2030 excl LULUCF]])^(1/(Table12[[#This Row],[NZ GHG year]]-2021))-1)))</f>
        <v>-1.4791411933057219E-2</v>
      </c>
      <c r="BL84" s="552">
        <f>IF(Table12[[#This Row],[Net-zero target status]]&lt;=1,"",IF(Table12[[#This Row],[NZ GHG year]]="","",((MAX(Table12[[#This Row],[residual LULUCF emissions in 2050]],0.1)/Table12[[#This Row],[GHG emissions excl LULUCF]])^(1/(Table12[[#This Row],[NZ GHG year]]-2021))-1)))</f>
        <v>-1.6760801128280378E-2</v>
      </c>
      <c r="BM84" s="552">
        <f>IF(Table12[[#This Row],[Net-zero target status]]&lt;=1,"",IF(Table12[[#This Row],[NZ GHG year]]="","",((MAX(Table12[[#This Row],[residual LULUCF emissions in 2050]],0.1)/AVERAGE(Table12[[#This Row],[2030 conditional NDCs]:[2030 conditional NDCs2]]))^(1/(Table12[[#This Row],[NZ GHG year]]-2021))-1)))</f>
        <v>-3.345919171311873E-2</v>
      </c>
      <c r="BN84" s="23"/>
      <c r="BO84" s="23"/>
      <c r="BP84" s="23"/>
      <c r="BQ84" s="23"/>
      <c r="BR84" s="50" t="s">
        <v>197</v>
      </c>
      <c r="BT84" s="30">
        <f>IF(Table12[[#This Row],[Reduction rate 2021 to NZ target2]]="","",J84*(1+AN84)^(Table12[[#This Row],[NZ GHG year]]-2021))</f>
        <v>11.870546864132741</v>
      </c>
    </row>
    <row r="85" spans="1:72" ht="15" x14ac:dyDescent="0.25">
      <c r="A85">
        <v>0</v>
      </c>
      <c r="B85">
        <v>0</v>
      </c>
      <c r="C85">
        <v>276</v>
      </c>
      <c r="D85">
        <v>73</v>
      </c>
      <c r="E85">
        <v>11</v>
      </c>
      <c r="F85" t="str">
        <f>'input site'!M85</f>
        <v>incl</v>
      </c>
      <c r="G85" s="31" t="s">
        <v>198</v>
      </c>
      <c r="H85" s="1" t="s">
        <v>199</v>
      </c>
      <c r="I85" s="8">
        <f>VLOOKUP($G85,'NZT data'!$B$3:$C$200,2,FALSE)</f>
        <v>4</v>
      </c>
      <c r="J85" s="32">
        <f>'input site'!AS85</f>
        <v>762.78396681144591</v>
      </c>
      <c r="K85" s="32">
        <f>'input site'!BS85</f>
        <v>425.59493899203005</v>
      </c>
      <c r="L85" s="32">
        <f t="shared" si="21"/>
        <v>0</v>
      </c>
      <c r="M85" s="32">
        <f t="shared" si="22"/>
        <v>0</v>
      </c>
      <c r="N85" s="32">
        <f>'input site'!EV85</f>
        <v>170.79232539171488</v>
      </c>
      <c r="O85" s="8"/>
      <c r="P85" s="8"/>
      <c r="Q85" s="32">
        <f t="shared" si="23"/>
        <v>0</v>
      </c>
      <c r="R85" s="32">
        <f>'input site'!EZ85</f>
        <v>94.469317701877998</v>
      </c>
      <c r="S85" s="37" t="str">
        <f>'input site'!FA85</f>
        <v>2050 (part of the EU)</v>
      </c>
      <c r="T85" s="37" t="str">
        <f>Table12[[#This Row],[(Mt CO2 equivalent)]]</f>
        <v>Germany</v>
      </c>
      <c r="U85" s="8">
        <f>VLOOKUP($G85,'NZT data'!$B$3:$F$200,4,FALSE)</f>
        <v>2045</v>
      </c>
      <c r="V85" s="32">
        <f>VLOOKUP($G85,'NZT data'!$B$3:$F$200,5,FALSE)</f>
        <v>2045</v>
      </c>
      <c r="W85" s="32">
        <f>-IF('LUC NGHGI'!EC75="",MIN('LUC NGHGI'!DW75,0.1),MIN('LUC NGHGI'!EC75,0.1))</f>
        <v>-0.1</v>
      </c>
      <c r="X85" s="32">
        <f>'LUC NGHGI'!EC75</f>
        <v>4.0784091715736981</v>
      </c>
      <c r="Y85" s="32">
        <f>'LUC NGHGI'!DY75</f>
        <v>4.0784091715736981</v>
      </c>
      <c r="Z85" s="32">
        <f>'LUC NGHGI'!DZ75</f>
        <v>4.0784091715736981</v>
      </c>
      <c r="AA85" s="32">
        <f>Table12[[#This Row],[2021 emissions]]</f>
        <v>762.78396681144591</v>
      </c>
      <c r="AB85" s="32">
        <f>'LUC NGHGI'!DW75</f>
        <v>3.8768468114459647</v>
      </c>
      <c r="AC85" s="32">
        <f>IF(F85="incl",Table12[[#This Row],[GHG emissions incl LULUCF]]-Table12[[#This Row],[LULUCF emis-sions in 20213]],Table12[[#This Row],[GHG emissions incl LULUCF]])</f>
        <v>758.90711999999996</v>
      </c>
      <c r="AD85" s="32">
        <f>'input site'!BS85</f>
        <v>425.59493899203005</v>
      </c>
      <c r="AE85" s="32">
        <f>'LUC NGHGI'!EH75</f>
        <v>1.0982136497289714</v>
      </c>
      <c r="AF85" s="32">
        <f>IF(F85="incl",Table12[[#This Row],[Current Policies 2030 incl LULUCF]]-Table12[[#This Row],[LULUCF CurPol 2030]],Table12[[#This Row],[Current Policies 2030 incl LULUCF]])</f>
        <v>424.49672534230109</v>
      </c>
      <c r="AG85" s="32">
        <f>IF(Table12[[#This Row],[Net-zero target status]]&lt;=1,"",IF(Table12[[#This Row],[NZ GHG year]]="","",1000000000*(Table12[[#This Row],[residual LULUCF emissions in 2050]]-Table12[[#This Row],[GHG emissions excl LULUCF]])/(Table12[[#This Row],[NZ GHG year]]-2021)/Table12[[#This Row],[Population]]))</f>
        <v>-377.0140787319927</v>
      </c>
      <c r="AH85" s="32">
        <f>IF(Table12[[#This Row],[Peak revised]]="Yes",IF(Table12[[#This Row],[Net-zero target status]]&lt;=1,"",IF(Table12[[#This Row],[NZ GHG year]]="","",1000000000*(Table12[[#This Row],[residual LULUCF emissions in 2050]]-Table12[[#This Row],[GHG emissions excl LULUCF]])/(Table12[[#This Row],[NZ GHG year]]-2021)/Table12[[#This Row],[Population]])),"")</f>
        <v>-377.0140787319927</v>
      </c>
      <c r="AI85" s="32">
        <f>MAX(0,(1000000*(Table12[[#This Row],[Current Policies 2030 excl LULUCF]]/2+Table12[[#This Row],[GHG emissions excl LULUCF]]/2)/Table12[[#This Row],[Population]]-$AI$8)*10)*$AI$10</f>
        <v>-5.3845458308089178</v>
      </c>
      <c r="AJ8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85" s="32" t="str">
        <f>IF(Table12[[#This Row],[Formule no Peak (2)]]="","",Table12[[#This Row],[Penalty (1)]]+Table12[[#This Row],[Formule no Peak (2)]])</f>
        <v/>
      </c>
      <c r="AL85" s="313">
        <f>(Table12[[#This Row],[Current Policies 2030 excl LULUCF]]-Table12[[#This Row],[GHG emissions excl LULUCF]])/(2030-2021)/Table12[[#This Row],[GHG emissions excl LULUCF]]</f>
        <v>-4.8960814226544747E-2</v>
      </c>
      <c r="AM85" s="313">
        <f>IF(Table12[[#This Row],[Net-zero target status]]&lt;=1,"",IF(Table12[[#This Row],[NZ GHG year]]="","",(Table12[[#This Row],[residual LULUCF emissions in 2050]]-Table12[[#This Row],[Current Policies 2030 excl LULUCF]])/(Table12[[#This Row],[NZ GHG year]]-2030)/Table12[[#This Row],[Current Policies 2030 excl LULUCF]]))</f>
        <v>-6.6682371538503524E-2</v>
      </c>
      <c r="AN85" s="313">
        <f>IF(Table12[[#This Row],[Net-zero target status]]&lt;=1,"",IF(Table12[[#This Row],[NZ GHG year]]="","",(Table12[[#This Row],[residual LULUCF emissions in 2050]]-Table12[[#This Row],[GHG emissions excl LULUCF]])/(Table12[[#This Row],[NZ GHG year]]-2021)/Table12[[#This Row],[GHG emissions excl LULUCF]]))</f>
        <v>-4.1672157017932143E-2</v>
      </c>
      <c r="AO85" s="313" t="e">
        <f>IF(Table12[[#This Row],[Net-zero target status]]&lt;=1,"",IF(Table12[[#This Row],[NZ GHG year]]="","",(Table12[[#This Row],[residual LULUCF emissions in 2050]]-Table12[[#This Row],[2030 conditional NDCs]])/(Table12[[#This Row],[NZ GHG year]]-2030)/Table12[[#This Row],[2030 conditional NDCs]]))</f>
        <v>#VALUE!</v>
      </c>
      <c r="AP85" s="96">
        <f>MAX('input site'!AH85:AS85)</f>
        <v>926.63058250310439</v>
      </c>
      <c r="AQ85" s="95" t="str">
        <f>IF(Table12[[#This Row],[Current Policies 2030 incl LULUCF]]&gt;Table12[[#This Row],[Maximum inventory data]],"No","Yes")</f>
        <v>Yes</v>
      </c>
      <c r="AR85" s="34">
        <f>IF(Table12[[#This Row],[Net-zero target status]]&gt;=1.5,Table12[[#This Row],[residual LULUCF emissions in 2050]]/Table12[[#This Row],[GHG emissions excl LULUCF]],"")</f>
        <v>-1.3176843037129499E-4</v>
      </c>
      <c r="AS85" s="74" t="str">
        <f>'input site'!BE85</f>
        <v/>
      </c>
      <c r="AT85" s="74" t="str">
        <f>'input site'!BF85</f>
        <v/>
      </c>
      <c r="AU85" s="74" t="str">
        <f>'input site'!BG85</f>
        <v/>
      </c>
      <c r="AV85" s="75" t="str">
        <f>'input site'!BH85</f>
        <v/>
      </c>
      <c r="AW85" s="74" t="str">
        <f>IF(Table12[[#This Row],[2030 unconditional NDCs]]="","",IF(F85="incl",Table12[[#This Row],[2030 unconditional NDCs]]-Table12[[#This Row],[LULUCF NDC uncond]],Table12[[#This Row],[2030 unconditional NDCs]]))</f>
        <v/>
      </c>
      <c r="AX85" s="74" t="str">
        <f>IF(Table12[[#This Row],[2030 unconditional NDCs2]]="","",IF(F85="incl",Table12[[#This Row],[2030 unconditional NDCs2]]-Table12[[#This Row],[LULUCF NDC uncond]],Table12[[#This Row],[2030 unconditional NDCs2]]))</f>
        <v/>
      </c>
      <c r="AY85" s="74" t="str">
        <f>IF(Table12[[#This Row],[2030 conditional NDCs]]="","",IF(F85="incl",Table12[[#This Row],[2030 conditional NDCs]]-Table12[[#This Row],[LULUCF NDC cond]],Table12[[#This Row],[2030 conditional NDCs]]))</f>
        <v/>
      </c>
      <c r="AZ85" s="74" t="str">
        <f>IF(Table12[[#This Row],[2030 conditional NDCs2]]="","",IF(F85="incl",Table12[[#This Row],[2030 conditional NDCs2]]-Table12[[#This Row],[LULUCF NDC cond]],Table12[[#This Row],[2030 conditional NDCs2]]))</f>
        <v/>
      </c>
      <c r="BA85" s="8">
        <f>VLOOKUP($G85,'Population90 20'!$C$6:$AU$231,37,FALSE)</f>
        <v>83883596</v>
      </c>
      <c r="BB85" s="8">
        <f>VLOOKUP($G85,'Overview GDP (PPP)'!$C$6:$AI$231,33,FALSE)</f>
        <v>3811314378.4745064</v>
      </c>
      <c r="BC85" s="36">
        <f>Table12[[#This Row],[Income]]/Table12[[#This Row],[Population]]</f>
        <v>45.435753356049574</v>
      </c>
      <c r="BD85" s="36">
        <f>Table12[[#This Row],[GHG emissions excl LULUCF]]*1000000/Table12[[#This Row],[Population]]</f>
        <v>9.0471457613715085</v>
      </c>
      <c r="BE85" s="23" t="e">
        <f>VLOOKUP($G85,EGR2023_MASTER!$B$4:$S$38,14,FALSE)</f>
        <v>#N/A</v>
      </c>
      <c r="BF85" s="23" t="e">
        <f>VLOOKUP($G85,EGR2023_MASTER!$B$4:$S$38,15,FALSE)</f>
        <v>#N/A</v>
      </c>
      <c r="BG85" s="23" t="e">
        <f>VLOOKUP($G85,EGR2023_MASTER!$B$4:$S$38,16,FALSE)</f>
        <v>#N/A</v>
      </c>
      <c r="BH85" s="23" t="e">
        <f t="shared" si="19"/>
        <v>#N/A</v>
      </c>
      <c r="BI85" s="23" t="e">
        <f t="shared" si="20"/>
        <v>#N/A</v>
      </c>
      <c r="BJ85" s="552">
        <f>(Table12[[#This Row],[Current Policies 2030 excl LULUCF]]/Table12[[#This Row],[GHG emissions excl LULUCF]])^(1/(2030-2021))-1</f>
        <v>-6.2513376629436679E-2</v>
      </c>
      <c r="BK85" s="552">
        <f>IF(Table12[[#This Row],[Net-zero target status]]&lt;=1,"",IF(Table12[[#This Row],[NZ GHG year]]="","",((MAX(Table12[[#This Row],[residual LULUCF emissions in 2050]],0.1)/Table12[[#This Row],[Current Policies 2030 excl LULUCF]])^(1/(Table12[[#This Row],[NZ GHG year]]-2021))-1)))</f>
        <v>-0.29394494129126092</v>
      </c>
      <c r="BL85" s="552">
        <f>IF(Table12[[#This Row],[Net-zero target status]]&lt;=1,"",IF(Table12[[#This Row],[NZ GHG year]]="","",((MAX(Table12[[#This Row],[residual LULUCF emissions in 2050]],0.1)/Table12[[#This Row],[GHG emissions excl LULUCF]])^(1/(Table12[[#This Row],[NZ GHG year]]-2021))-1)))</f>
        <v>-0.31083141266056014</v>
      </c>
      <c r="BM85" s="552" t="e">
        <f>IF(Table12[[#This Row],[Net-zero target status]]&lt;=1,"",IF(Table12[[#This Row],[NZ GHG year]]="","",((MAX(Table12[[#This Row],[residual LULUCF emissions in 2050]],0.1)/AVERAGE(Table12[[#This Row],[2030 conditional NDCs]:[2030 conditional NDCs2]]))^(1/(Table12[[#This Row],[NZ GHG year]]-2021))-1)))</f>
        <v>#DIV/0!</v>
      </c>
      <c r="BN85" s="23"/>
      <c r="BO85" s="23"/>
      <c r="BP85" s="23"/>
      <c r="BQ85" s="23"/>
      <c r="BR85" s="50" t="s">
        <v>199</v>
      </c>
      <c r="BT85" s="30">
        <f>IF(Table12[[#This Row],[Reduction rate 2021 to NZ target2]]="","",J85*(1+AN85)^(Table12[[#This Row],[NZ GHG year]]-2021))</f>
        <v>274.62502197006819</v>
      </c>
    </row>
    <row r="86" spans="1:72" ht="15" x14ac:dyDescent="0.25">
      <c r="A86">
        <v>0</v>
      </c>
      <c r="B86">
        <v>0</v>
      </c>
      <c r="C86">
        <v>288</v>
      </c>
      <c r="D86">
        <v>74</v>
      </c>
      <c r="E86">
        <v>8</v>
      </c>
      <c r="F86" t="str">
        <f>'input site'!M86</f>
        <v>incl</v>
      </c>
      <c r="G86" s="31" t="s">
        <v>200</v>
      </c>
      <c r="H86" s="1" t="s">
        <v>201</v>
      </c>
      <c r="I86" s="8">
        <f>VLOOKUP($G86,'NZT data'!$B$3:$C$200,2,FALSE)</f>
        <v>2</v>
      </c>
      <c r="J86" s="32">
        <f>'input site'!AS86</f>
        <v>70.094359776418244</v>
      </c>
      <c r="K86" s="32">
        <f>'input site'!BS86</f>
        <v>91.3390744141076</v>
      </c>
      <c r="L86" s="32">
        <f t="shared" si="21"/>
        <v>0</v>
      </c>
      <c r="M86" s="32">
        <f t="shared" si="22"/>
        <v>0</v>
      </c>
      <c r="N86" s="32">
        <f>'input site'!EV86</f>
        <v>59.273585709020089</v>
      </c>
      <c r="O86" s="8"/>
      <c r="P86" s="8"/>
      <c r="Q86" s="32">
        <f t="shared" si="23"/>
        <v>0</v>
      </c>
      <c r="R86" s="32">
        <f>'input site'!EZ86</f>
        <v>33.762251309721428</v>
      </c>
      <c r="S86" s="37">
        <f>'input site'!FA86</f>
        <v>0</v>
      </c>
      <c r="T86" s="37" t="str">
        <f>Table12[[#This Row],[(Mt CO2 equivalent)]]</f>
        <v>Ghana</v>
      </c>
      <c r="U86" s="8">
        <f>VLOOKUP($G86,'NZT data'!$B$3:$F$200,4,FALSE)</f>
        <v>2070</v>
      </c>
      <c r="V86" s="32">
        <f>VLOOKUP($G86,'NZT data'!$B$3:$F$200,5,FALSE)</f>
        <v>2070</v>
      </c>
      <c r="W86" s="32">
        <f>-IF('LUC NGHGI'!EC76="",MIN('LUC NGHGI'!DW76,0.1),MIN('LUC NGHGI'!EC76,0.1))</f>
        <v>-0.1</v>
      </c>
      <c r="X86" s="32">
        <f>'LUC NGHGI'!EC76</f>
        <v>13.508965517241371</v>
      </c>
      <c r="Y86" s="32">
        <f>'LUC NGHGI'!DY76</f>
        <v>13.508965517241371</v>
      </c>
      <c r="Z86" s="32">
        <f>'LUC NGHGI'!DZ76</f>
        <v>13.508965517241371</v>
      </c>
      <c r="AA86" s="32">
        <f>Table12[[#This Row],[2021 emissions]]</f>
        <v>70.094359776418244</v>
      </c>
      <c r="AB86" s="32">
        <f>'LUC NGHGI'!DW76</f>
        <v>13.49889877641824</v>
      </c>
      <c r="AC86" s="32">
        <f>IF(F86="incl",Table12[[#This Row],[GHG emissions incl LULUCF]]-Table12[[#This Row],[LULUCF emis-sions in 20213]],Table12[[#This Row],[GHG emissions incl LULUCF]])</f>
        <v>56.595461</v>
      </c>
      <c r="AD86" s="32">
        <f>'input site'!BS86</f>
        <v>91.3390744141076</v>
      </c>
      <c r="AE86" s="32">
        <f>'LUC NGHGI'!EH76</f>
        <v>9.48739237323975</v>
      </c>
      <c r="AF86" s="32">
        <f>IF(F86="incl",Table12[[#This Row],[Current Policies 2030 incl LULUCF]]-Table12[[#This Row],[LULUCF CurPol 2030]],Table12[[#This Row],[Current Policies 2030 incl LULUCF]])</f>
        <v>81.851682040867843</v>
      </c>
      <c r="AG86" s="32">
        <f>IF(Table12[[#This Row],[Net-zero target status]]&lt;=1,"",IF(Table12[[#This Row],[NZ GHG year]]="","",1000000000*(Table12[[#This Row],[residual LULUCF emissions in 2050]]-Table12[[#This Row],[GHG emissions excl LULUCF]])/(Table12[[#This Row],[NZ GHG year]]-2021)/Table12[[#This Row],[Population]]))</f>
        <v>-35.716442416752841</v>
      </c>
      <c r="AH86" s="32" t="str">
        <f>IF(Table12[[#This Row],[Peak revised]]="Yes",IF(Table12[[#This Row],[Net-zero target status]]&lt;=1,"",IF(Table12[[#This Row],[NZ GHG year]]="","",1000000000*(Table12[[#This Row],[residual LULUCF emissions in 2050]]-Table12[[#This Row],[GHG emissions excl LULUCF]])/(Table12[[#This Row],[NZ GHG year]]-2021)/Table12[[#This Row],[Population]])),"")</f>
        <v/>
      </c>
      <c r="AI86" s="32">
        <f>MAX(0,(1000000*(Table12[[#This Row],[Current Policies 2030 excl LULUCF]]/2+Table12[[#This Row],[GHG emissions excl LULUCF]]/2)/Table12[[#This Row],[Population]]-$AI$8)*10)*$AI$10</f>
        <v>0</v>
      </c>
      <c r="AJ86" s="32">
        <f>IF(Table12[[#This Row],[Peak revised]]="No",IF(Table12[[#This Row],[Net-zero target status]]&lt;=1,"",IF(Table12[[#This Row],[NZ GHG year]]="","",1000000000*(Table12[[#This Row],[residual LULUCF emissions in 2050]]-Table12[[#This Row],[Current Policies 2030 excl LULUCF]])/(Table12[[#This Row],[NZ GHG year]]-2021)/Table12[[#This Row],[Population]])),"")</f>
        <v>-51.627105255722228</v>
      </c>
      <c r="AK86" s="32">
        <f>IF(Table12[[#This Row],[Formule no Peak (2)]]="","",Table12[[#This Row],[Penalty (1)]]+Table12[[#This Row],[Formule no Peak (2)]])</f>
        <v>-51.627105255722228</v>
      </c>
      <c r="AL86" s="313">
        <f>(Table12[[#This Row],[Current Policies 2030 excl LULUCF]]-Table12[[#This Row],[GHG emissions excl LULUCF]])/(2030-2021)/Table12[[#This Row],[GHG emissions excl LULUCF]]</f>
        <v>4.958430822426995E-2</v>
      </c>
      <c r="AM86" s="313">
        <f>IF(Table12[[#This Row],[Net-zero target status]]&lt;=1,"",IF(Table12[[#This Row],[NZ GHG year]]="","",(Table12[[#This Row],[residual LULUCF emissions in 2050]]-Table12[[#This Row],[Current Policies 2030 excl LULUCF]])/(Table12[[#This Row],[NZ GHG year]]-2030)/Table12[[#This Row],[Current Policies 2030 excl LULUCF]]))</f>
        <v>-2.5030543049790372E-2</v>
      </c>
      <c r="AN86" s="313">
        <f>IF(Table12[[#This Row],[Net-zero target status]]&lt;=1,"",IF(Table12[[#This Row],[NZ GHG year]]="","",(Table12[[#This Row],[residual LULUCF emissions in 2050]]-Table12[[#This Row],[GHG emissions excl LULUCF]])/(Table12[[#This Row],[NZ GHG year]]-2021)/Table12[[#This Row],[GHG emissions excl LULUCF]]))</f>
        <v>-2.0444222982648662E-2</v>
      </c>
      <c r="AO86" s="313">
        <f>IF(Table12[[#This Row],[Net-zero target status]]&lt;=1,"",IF(Table12[[#This Row],[NZ GHG year]]="","",(Table12[[#This Row],[residual LULUCF emissions in 2050]]-Table12[[#This Row],[2030 conditional NDCs]])/(Table12[[#This Row],[NZ GHG year]]-2030)/Table12[[#This Row],[2030 conditional NDCs]]))</f>
        <v>-2.5061466592906759E-2</v>
      </c>
      <c r="AP86" s="96">
        <f>MAX('input site'!AH86:AS86)</f>
        <v>72.977226666666667</v>
      </c>
      <c r="AQ86" s="95" t="str">
        <f>IF(Table12[[#This Row],[Current Policies 2030 incl LULUCF]]&gt;Table12[[#This Row],[Maximum inventory data]],"No","Yes")</f>
        <v>No</v>
      </c>
      <c r="AR86" s="34">
        <f>IF(Table12[[#This Row],[Net-zero target status]]&gt;=1.5,Table12[[#This Row],[residual LULUCF emissions in 2050]]/Table12[[#This Row],[GHG emissions excl LULUCF]],"")</f>
        <v>-1.766926149784344E-3</v>
      </c>
      <c r="AS86" s="74">
        <f>'input site'!BE86</f>
        <v>62.857500000000002</v>
      </c>
      <c r="AT86" s="74">
        <f>'input site'!BF86</f>
        <v>62.857500000000002</v>
      </c>
      <c r="AU86" s="74">
        <f>'input site'!BG86</f>
        <v>40.672500000000007</v>
      </c>
      <c r="AV86" s="75">
        <f>'input site'!BH86</f>
        <v>40.672500000000007</v>
      </c>
      <c r="AW86" s="74">
        <f>IF(Table12[[#This Row],[2030 unconditional NDCs]]="","",IF(F86="incl",Table12[[#This Row],[2030 unconditional NDCs]]-Table12[[#This Row],[LULUCF NDC uncond]],Table12[[#This Row],[2030 unconditional NDCs]]))</f>
        <v>49.34853448275863</v>
      </c>
      <c r="AX86" s="74">
        <f>IF(Table12[[#This Row],[2030 unconditional NDCs2]]="","",IF(F86="incl",Table12[[#This Row],[2030 unconditional NDCs2]]-Table12[[#This Row],[LULUCF NDC uncond]],Table12[[#This Row],[2030 unconditional NDCs2]]))</f>
        <v>49.34853448275863</v>
      </c>
      <c r="AY86" s="74">
        <f>IF(Table12[[#This Row],[2030 conditional NDCs]]="","",IF(F86="incl",Table12[[#This Row],[2030 conditional NDCs]]-Table12[[#This Row],[LULUCF NDC cond]],Table12[[#This Row],[2030 conditional NDCs]]))</f>
        <v>27.163534482758635</v>
      </c>
      <c r="AZ86" s="74">
        <f>IF(Table12[[#This Row],[2030 conditional NDCs2]]="","",IF(F86="incl",Table12[[#This Row],[2030 conditional NDCs2]]-Table12[[#This Row],[LULUCF NDC cond]],Table12[[#This Row],[2030 conditional NDCs2]]))</f>
        <v>27.163534482758635</v>
      </c>
      <c r="BA86" s="8">
        <f>VLOOKUP($G86,'Population90 20'!$C$6:$AU$231,37,FALSE)</f>
        <v>32395450</v>
      </c>
      <c r="BB86" s="8">
        <f>VLOOKUP($G86,'Overview GDP (PPP)'!$C$6:$AI$231,33,FALSE)</f>
        <v>125374468.32991338</v>
      </c>
      <c r="BC86" s="36">
        <f>Table12[[#This Row],[Income]]/Table12[[#This Row],[Population]]</f>
        <v>3.87012584575653</v>
      </c>
      <c r="BD86" s="36">
        <f>Table12[[#This Row],[GHG emissions excl LULUCF]]*1000000/Table12[[#This Row],[Population]]</f>
        <v>1.7470188251745229</v>
      </c>
      <c r="BE86" s="23" t="e">
        <f>VLOOKUP($G86,EGR2023_MASTER!$B$4:$S$38,14,FALSE)</f>
        <v>#N/A</v>
      </c>
      <c r="BF86" s="23" t="e">
        <f>VLOOKUP($G86,EGR2023_MASTER!$B$4:$S$38,15,FALSE)</f>
        <v>#N/A</v>
      </c>
      <c r="BG86" s="23" t="e">
        <f>VLOOKUP($G86,EGR2023_MASTER!$B$4:$S$38,16,FALSE)</f>
        <v>#N/A</v>
      </c>
      <c r="BH86" s="23" t="e">
        <f t="shared" si="19"/>
        <v>#N/A</v>
      </c>
      <c r="BI86" s="23" t="e">
        <f t="shared" si="20"/>
        <v>#N/A</v>
      </c>
      <c r="BJ86" s="552">
        <f>(Table12[[#This Row],[Current Policies 2030 excl LULUCF]]/Table12[[#This Row],[GHG emissions excl LULUCF]])^(1/(2030-2021))-1</f>
        <v>4.1849797989671922E-2</v>
      </c>
      <c r="BK86" s="552">
        <f>IF(Table12[[#This Row],[Net-zero target status]]&lt;=1,"",IF(Table12[[#This Row],[NZ GHG year]]="","",((MAX(Table12[[#This Row],[residual LULUCF emissions in 2050]],0.1)/Table12[[#This Row],[Current Policies 2030 excl LULUCF]])^(1/(Table12[[#This Row],[NZ GHG year]]-2021))-1)))</f>
        <v>-0.12793178643653813</v>
      </c>
      <c r="BL86" s="552">
        <f>IF(Table12[[#This Row],[Net-zero target status]]&lt;=1,"",IF(Table12[[#This Row],[NZ GHG year]]="","",((MAX(Table12[[#This Row],[residual LULUCF emissions in 2050]],0.1)/Table12[[#This Row],[GHG emissions excl LULUCF]])^(1/(Table12[[#This Row],[NZ GHG year]]-2021))-1)))</f>
        <v>-0.1213401465828704</v>
      </c>
      <c r="BM86" s="552">
        <f>IF(Table12[[#This Row],[Net-zero target status]]&lt;=1,"",IF(Table12[[#This Row],[NZ GHG year]]="","",((MAX(Table12[[#This Row],[residual LULUCF emissions in 2050]],0.1)/AVERAGE(Table12[[#This Row],[2030 conditional NDCs]:[2030 conditional NDCs2]]))^(1/(Table12[[#This Row],[NZ GHG year]]-2021))-1)))</f>
        <v>-0.11539587157205244</v>
      </c>
      <c r="BN86" s="23"/>
      <c r="BO86" s="23"/>
      <c r="BP86" s="23"/>
      <c r="BQ86" s="23"/>
      <c r="BR86" s="50" t="s">
        <v>201</v>
      </c>
      <c r="BT86" s="30">
        <f>IF(Table12[[#This Row],[Reduction rate 2021 to NZ target2]]="","",J86*(1+AN86)^(Table12[[#This Row],[NZ GHG year]]-2021))</f>
        <v>25.474895776122651</v>
      </c>
    </row>
    <row r="87" spans="1:72" ht="15" x14ac:dyDescent="0.25">
      <c r="A87">
        <v>0</v>
      </c>
      <c r="B87">
        <v>0</v>
      </c>
      <c r="C87">
        <v>292</v>
      </c>
      <c r="D87">
        <v>75</v>
      </c>
      <c r="E87">
        <v>11</v>
      </c>
      <c r="F87" t="str">
        <f>'input site'!M87</f>
        <v>excl</v>
      </c>
      <c r="G87" s="31" t="s">
        <v>202</v>
      </c>
      <c r="H87" s="1" t="s">
        <v>203</v>
      </c>
      <c r="I87" s="8">
        <v>0</v>
      </c>
      <c r="J87" s="32">
        <f>'input site'!AS87</f>
        <v>0</v>
      </c>
      <c r="K87" s="32">
        <f>'input site'!BS87</f>
        <v>0</v>
      </c>
      <c r="L87" s="32">
        <f t="shared" si="21"/>
        <v>0</v>
      </c>
      <c r="M87" s="32">
        <f t="shared" si="22"/>
        <v>0</v>
      </c>
      <c r="N87" s="32">
        <f>'input site'!EV87</f>
        <v>0</v>
      </c>
      <c r="O87" s="8"/>
      <c r="P87" s="8"/>
      <c r="Q87" s="32">
        <f t="shared" si="23"/>
        <v>0</v>
      </c>
      <c r="R87" s="32">
        <f>'input site'!EZ87</f>
        <v>0</v>
      </c>
      <c r="S87" s="37">
        <f>'input site'!FA87</f>
        <v>0</v>
      </c>
      <c r="T87" s="37" t="str">
        <f>Table12[[#This Row],[(Mt CO2 equivalent)]]</f>
        <v>Gibraltar</v>
      </c>
      <c r="U87" s="35">
        <v>2100</v>
      </c>
      <c r="V87" s="35">
        <v>2100</v>
      </c>
      <c r="W87" s="32">
        <f>-IF('LUC NGHGI'!EC77="",MIN('LUC NGHGI'!DW77,0.1),MIN('LUC NGHGI'!EC77,0.1))</f>
        <v>0</v>
      </c>
      <c r="X87" s="32" t="str">
        <f>'LUC NGHGI'!EC77</f>
        <v/>
      </c>
      <c r="Y87" s="32" t="str">
        <f>'LUC NGHGI'!DY77</f>
        <v/>
      </c>
      <c r="Z87" s="32" t="str">
        <f>'LUC NGHGI'!DZ77</f>
        <v/>
      </c>
      <c r="AA87" s="32">
        <f>Table12[[#This Row],[2021 emissions]]</f>
        <v>0</v>
      </c>
      <c r="AB87" s="32">
        <f>'LUC NGHGI'!DW77</f>
        <v>0</v>
      </c>
      <c r="AC87" s="32">
        <f>IF(F87="incl",Table12[[#This Row],[GHG emissions incl LULUCF]]-Table12[[#This Row],[LULUCF emis-sions in 20213]],Table12[[#This Row],[GHG emissions incl LULUCF]])</f>
        <v>0</v>
      </c>
      <c r="AD87" s="32">
        <f>'input site'!BS87</f>
        <v>0</v>
      </c>
      <c r="AE87" s="32">
        <f>'LUC NGHGI'!EH77</f>
        <v>0</v>
      </c>
      <c r="AF87" s="32">
        <f>IF(F87="incl",Table12[[#This Row],[Current Policies 2030 incl LULUCF]]-Table12[[#This Row],[LULUCF CurPol 2030]],Table12[[#This Row],[Current Policies 2030 incl LULUCF]])</f>
        <v>0</v>
      </c>
      <c r="AG87" s="32" t="str">
        <f>IF(Table12[[#This Row],[Net-zero target status]]&lt;=1,"",IF(Table12[[#This Row],[NZ GHG year]]="","",1000000000*(Table12[[#This Row],[residual LULUCF emissions in 2050]]-Table12[[#This Row],[GHG emissions excl LULUCF]])/(Table12[[#This Row],[NZ GHG year]]-2021)/Table12[[#This Row],[Population]]))</f>
        <v/>
      </c>
      <c r="AH87" s="32" t="str">
        <f>IF(Table12[[#This Row],[Peak revised]]="Yes",IF(Table12[[#This Row],[Net-zero target status]]&lt;=1,"",IF(Table12[[#This Row],[NZ GHG year]]="","",1000000000*(Table12[[#This Row],[residual LULUCF emissions in 2050]]-Table12[[#This Row],[GHG emissions excl LULUCF]])/(Table12[[#This Row],[NZ GHG year]]-2021)/Table12[[#This Row],[Population]])),"")</f>
        <v/>
      </c>
      <c r="AI87" s="32">
        <f>MAX(0,(1000000*(Table12[[#This Row],[Current Policies 2030 excl LULUCF]]/2+Table12[[#This Row],[GHG emissions excl LULUCF]]/2)/Table12[[#This Row],[Population]]-$AI$8)*10)*$AI$10</f>
        <v>0</v>
      </c>
      <c r="AJ8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87" s="32" t="str">
        <f>IF(Table12[[#This Row],[Formule no Peak (2)]]="","",Table12[[#This Row],[Penalty (1)]]+Table12[[#This Row],[Formule no Peak (2)]])</f>
        <v/>
      </c>
      <c r="AL87" s="313" t="e">
        <f>(Table12[[#This Row],[Current Policies 2030 excl LULUCF]]-Table12[[#This Row],[GHG emissions excl LULUCF]])/(2030-2021)/Table12[[#This Row],[GHG emissions excl LULUCF]]</f>
        <v>#DIV/0!</v>
      </c>
      <c r="AM87" s="313" t="str">
        <f>IF(Table12[[#This Row],[Net-zero target status]]&lt;=1,"",IF(Table12[[#This Row],[NZ GHG year]]="","",(Table12[[#This Row],[residual LULUCF emissions in 2050]]-Table12[[#This Row],[Current Policies 2030 excl LULUCF]])/(Table12[[#This Row],[NZ GHG year]]-2030)/Table12[[#This Row],[Current Policies 2030 excl LULUCF]]))</f>
        <v/>
      </c>
      <c r="AN87" s="313" t="str">
        <f>IF(Table12[[#This Row],[Net-zero target status]]&lt;=1,"",IF(Table12[[#This Row],[NZ GHG year]]="","",(Table12[[#This Row],[residual LULUCF emissions in 2050]]-Table12[[#This Row],[GHG emissions excl LULUCF]])/(Table12[[#This Row],[NZ GHG year]]-2021)/Table12[[#This Row],[GHG emissions excl LULUCF]]))</f>
        <v/>
      </c>
      <c r="AO87" s="313" t="str">
        <f>IF(Table12[[#This Row],[Net-zero target status]]&lt;=1,"",IF(Table12[[#This Row],[NZ GHG year]]="","",(Table12[[#This Row],[residual LULUCF emissions in 2050]]-Table12[[#This Row],[2030 conditional NDCs]])/(Table12[[#This Row],[NZ GHG year]]-2030)/Table12[[#This Row],[2030 conditional NDCs]]))</f>
        <v/>
      </c>
      <c r="AP87" s="96">
        <f>MAX('input site'!AH87:AS87)</f>
        <v>0</v>
      </c>
      <c r="AQ87" s="95" t="str">
        <f>IF(Table12[[#This Row],[Current Policies 2030 incl LULUCF]]&gt;Table12[[#This Row],[Maximum inventory data]],"No","Yes")</f>
        <v>Yes</v>
      </c>
      <c r="AR87" s="34" t="str">
        <f>IF(Table12[[#This Row],[Net-zero target status]]&gt;=1.5,Table12[[#This Row],[residual LULUCF emissions in 2050]]/Table12[[#This Row],[GHG emissions excl LULUCF]],"")</f>
        <v/>
      </c>
      <c r="AS87" s="74" t="str">
        <f>'input site'!BE87</f>
        <v/>
      </c>
      <c r="AT87" s="74"/>
      <c r="AU87" s="74"/>
      <c r="AV87" s="75"/>
      <c r="AW87" s="74" t="str">
        <f>IF(Table12[[#This Row],[2030 unconditional NDCs]]="","",IF(F87="incl",Table12[[#This Row],[2030 unconditional NDCs]]-Table12[[#This Row],[LULUCF NDC uncond]],Table12[[#This Row],[2030 unconditional NDCs]]))</f>
        <v/>
      </c>
      <c r="AX87" s="74" t="str">
        <f>IF(Table12[[#This Row],[2030 unconditional NDCs2]]="","",IF(F87="incl",Table12[[#This Row],[2030 unconditional NDCs2]]-Table12[[#This Row],[LULUCF NDC uncond]],Table12[[#This Row],[2030 unconditional NDCs2]]))</f>
        <v/>
      </c>
      <c r="AY87" s="74" t="str">
        <f>IF(Table12[[#This Row],[2030 conditional NDCs]]="","",IF(F87="incl",Table12[[#This Row],[2030 conditional NDCs]]-Table12[[#This Row],[LULUCF NDC cond]],Table12[[#This Row],[2030 conditional NDCs]]))</f>
        <v/>
      </c>
      <c r="AZ87" s="74" t="str">
        <f>IF(Table12[[#This Row],[2030 conditional NDCs2]]="","",IF(F87="incl",Table12[[#This Row],[2030 conditional NDCs2]]-Table12[[#This Row],[LULUCF NDC cond]],Table12[[#This Row],[2030 conditional NDCs2]]))</f>
        <v/>
      </c>
      <c r="BA87" s="8">
        <f>VLOOKUP($G87,'Population90 20'!$C$6:$AU$231,37,FALSE)</f>
        <v>33704</v>
      </c>
      <c r="BB87" s="8">
        <f>VLOOKUP($G87,'Overview GDP (PPP)'!$C$6:$AI$231,33,FALSE)</f>
        <v>1391734.7896260973</v>
      </c>
      <c r="BC87" s="36">
        <f>Table12[[#This Row],[Income]]/Table12[[#This Row],[Population]]</f>
        <v>41.292867007657762</v>
      </c>
      <c r="BD87" s="36">
        <f>Table12[[#This Row],[GHG emissions excl LULUCF]]*1000000/Table12[[#This Row],[Population]]</f>
        <v>0</v>
      </c>
      <c r="BE87" s="23" t="e">
        <f>VLOOKUP($G87,EGR2023_MASTER!$B$4:$S$38,14,FALSE)</f>
        <v>#N/A</v>
      </c>
      <c r="BF87" s="23" t="e">
        <f>VLOOKUP($G87,EGR2023_MASTER!$B$4:$S$38,15,FALSE)</f>
        <v>#N/A</v>
      </c>
      <c r="BG87" s="23" t="e">
        <f>VLOOKUP($G87,EGR2023_MASTER!$B$4:$S$38,16,FALSE)</f>
        <v>#N/A</v>
      </c>
      <c r="BH87" s="23" t="e">
        <f t="shared" si="19"/>
        <v>#N/A</v>
      </c>
      <c r="BI87" s="23" t="e">
        <f t="shared" si="20"/>
        <v>#N/A</v>
      </c>
      <c r="BJ87" s="552" t="e">
        <f>(Table12[[#This Row],[Current Policies 2030 excl LULUCF]]/Table12[[#This Row],[GHG emissions excl LULUCF]])^(1/(2030-2021))-1</f>
        <v>#DIV/0!</v>
      </c>
      <c r="BK87" s="552" t="str">
        <f>IF(Table12[[#This Row],[Net-zero target status]]&lt;=1,"",IF(Table12[[#This Row],[NZ GHG year]]="","",((MAX(Table12[[#This Row],[residual LULUCF emissions in 2050]],0.1)/Table12[[#This Row],[Current Policies 2030 excl LULUCF]])^(1/(Table12[[#This Row],[NZ GHG year]]-2021))-1)))</f>
        <v/>
      </c>
      <c r="BL87" s="552" t="str">
        <f>IF(Table12[[#This Row],[Net-zero target status]]&lt;=1,"",IF(Table12[[#This Row],[NZ GHG year]]="","",((MAX(Table12[[#This Row],[residual LULUCF emissions in 2050]],0.1)/Table12[[#This Row],[GHG emissions excl LULUCF]])^(1/(Table12[[#This Row],[NZ GHG year]]-2021))-1)))</f>
        <v/>
      </c>
      <c r="BM87" s="552" t="str">
        <f>IF(Table12[[#This Row],[Net-zero target status]]&lt;=1,"",IF(Table12[[#This Row],[NZ GHG year]]="","",((MAX(Table12[[#This Row],[residual LULUCF emissions in 2050]],0.1)/AVERAGE(Table12[[#This Row],[2030 conditional NDCs]:[2030 conditional NDCs2]]))^(1/(Table12[[#This Row],[NZ GHG year]]-2021))-1)))</f>
        <v/>
      </c>
      <c r="BN87" s="23"/>
      <c r="BO87" s="23"/>
      <c r="BP87" s="23"/>
      <c r="BQ87" s="23"/>
      <c r="BR87" s="50" t="s">
        <v>203</v>
      </c>
      <c r="BT87" s="30" t="str">
        <f>IF(Table12[[#This Row],[Reduction rate 2021 to NZ target2]]="","",J87*(1+AN87)^(Table12[[#This Row],[NZ GHG year]]-2021))</f>
        <v/>
      </c>
    </row>
    <row r="88" spans="1:72" ht="15" x14ac:dyDescent="0.25">
      <c r="A88">
        <v>0</v>
      </c>
      <c r="B88">
        <v>0</v>
      </c>
      <c r="C88">
        <v>300</v>
      </c>
      <c r="D88">
        <v>77</v>
      </c>
      <c r="E88">
        <v>11</v>
      </c>
      <c r="F88" t="str">
        <f>'input site'!M88</f>
        <v>incl</v>
      </c>
      <c r="G88" s="31" t="s">
        <v>204</v>
      </c>
      <c r="H88" s="1" t="s">
        <v>205</v>
      </c>
      <c r="I88" s="8">
        <f>VLOOKUP($G88,'NZT data'!$B$3:$C$200,2,FALSE)</f>
        <v>4</v>
      </c>
      <c r="J88" s="32">
        <f>'input site'!AS88</f>
        <v>71.583384718583304</v>
      </c>
      <c r="K88" s="32">
        <f>'input site'!BS88</f>
        <v>39.939914284642157</v>
      </c>
      <c r="L88" s="32">
        <f t="shared" si="21"/>
        <v>0</v>
      </c>
      <c r="M88" s="32">
        <f t="shared" si="22"/>
        <v>0</v>
      </c>
      <c r="N88" s="32">
        <f>'input site'!EV88</f>
        <v>17.87314845621491</v>
      </c>
      <c r="O88" s="8"/>
      <c r="P88" s="8"/>
      <c r="Q88" s="32">
        <f t="shared" si="23"/>
        <v>0</v>
      </c>
      <c r="R88" s="32">
        <f>'input site'!EZ88</f>
        <v>9.8860656412428227</v>
      </c>
      <c r="S88" s="37" t="str">
        <f>'input site'!FA88</f>
        <v>2050 (part of the EU)</v>
      </c>
      <c r="T88" s="37" t="str">
        <f>Table12[[#This Row],[(Mt CO2 equivalent)]]</f>
        <v>Greece</v>
      </c>
      <c r="U88" s="8">
        <f>VLOOKUP($G88,'NZT data'!$B$3:$F$200,4,FALSE)</f>
        <v>2050</v>
      </c>
      <c r="V88" s="32">
        <f>VLOOKUP($G88,'NZT data'!$B$3:$F$200,5,FALSE)</f>
        <v>2050</v>
      </c>
      <c r="W88" s="32">
        <f>-IF('LUC NGHGI'!EC78="",MIN('LUC NGHGI'!DW78,0.1),MIN('LUC NGHGI'!EC78,0.1))</f>
        <v>5.4158968606082292</v>
      </c>
      <c r="X88" s="32">
        <f>'LUC NGHGI'!EC78</f>
        <v>-5.4158968606082292</v>
      </c>
      <c r="Y88" s="32">
        <f>'LUC NGHGI'!DY78</f>
        <v>-5.4158968606082292</v>
      </c>
      <c r="Z88" s="32">
        <f>'LUC NGHGI'!DZ78</f>
        <v>-5.4158968606082292</v>
      </c>
      <c r="AA88" s="32">
        <f>Table12[[#This Row],[2021 emissions]]</f>
        <v>71.583384718583304</v>
      </c>
      <c r="AB88" s="32">
        <f>'LUC NGHGI'!DW78</f>
        <v>-5.4762302814167105</v>
      </c>
      <c r="AC88" s="32">
        <f>IF(F88="incl",Table12[[#This Row],[GHG emissions incl LULUCF]]-Table12[[#This Row],[LULUCF emis-sions in 20213]],Table12[[#This Row],[GHG emissions incl LULUCF]])</f>
        <v>77.059615000000008</v>
      </c>
      <c r="AD88" s="32">
        <f>'input site'!BS88</f>
        <v>39.939914284642157</v>
      </c>
      <c r="AE88" s="32">
        <f>'LUC NGHGI'!EH78</f>
        <v>-6.0180242943210196</v>
      </c>
      <c r="AF88" s="32">
        <f>IF(F88="incl",Table12[[#This Row],[Current Policies 2030 incl LULUCF]]-Table12[[#This Row],[LULUCF CurPol 2030]],Table12[[#This Row],[Current Policies 2030 incl LULUCF]])</f>
        <v>45.95793857896318</v>
      </c>
      <c r="AG88" s="32">
        <f>IF(Table12[[#This Row],[Net-zero target status]]&lt;=1,"",IF(Table12[[#This Row],[NZ GHG year]]="","",1000000000*(Table12[[#This Row],[residual LULUCF emissions in 2050]]-Table12[[#This Row],[GHG emissions excl LULUCF]])/(Table12[[#This Row],[NZ GHG year]]-2021)/Table12[[#This Row],[Population]]))</f>
        <v>-239.46495735862104</v>
      </c>
      <c r="AH88" s="32">
        <f>IF(Table12[[#This Row],[Peak revised]]="Yes",IF(Table12[[#This Row],[Net-zero target status]]&lt;=1,"",IF(Table12[[#This Row],[NZ GHG year]]="","",1000000000*(Table12[[#This Row],[residual LULUCF emissions in 2050]]-Table12[[#This Row],[GHG emissions excl LULUCF]])/(Table12[[#This Row],[NZ GHG year]]-2021)/Table12[[#This Row],[Population]])),"")</f>
        <v>-239.46495735862104</v>
      </c>
      <c r="AI88" s="32">
        <f>MAX(0,(1000000*(Table12[[#This Row],[Current Policies 2030 excl LULUCF]]/2+Table12[[#This Row],[GHG emissions excl LULUCF]]/2)/Table12[[#This Row],[Population]]-$AI$8)*10)*$AI$10</f>
        <v>0</v>
      </c>
      <c r="AJ8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88" s="32" t="str">
        <f>IF(Table12[[#This Row],[Formule no Peak (2)]]="","",Table12[[#This Row],[Penalty (1)]]+Table12[[#This Row],[Formule no Peak (2)]])</f>
        <v/>
      </c>
      <c r="AL88" s="313">
        <f>(Table12[[#This Row],[Current Policies 2030 excl LULUCF]]-Table12[[#This Row],[GHG emissions excl LULUCF]])/(2030-2021)/Table12[[#This Row],[GHG emissions excl LULUCF]]</f>
        <v>-4.4845043990417638E-2</v>
      </c>
      <c r="AM88" s="313">
        <f>IF(Table12[[#This Row],[Net-zero target status]]&lt;=1,"",IF(Table12[[#This Row],[NZ GHG year]]="","",(Table12[[#This Row],[residual LULUCF emissions in 2050]]-Table12[[#This Row],[Current Policies 2030 excl LULUCF]])/(Table12[[#This Row],[NZ GHG year]]-2030)/Table12[[#This Row],[Current Policies 2030 excl LULUCF]]))</f>
        <v>-4.4107767854619027E-2</v>
      </c>
      <c r="AN88" s="313">
        <f>IF(Table12[[#This Row],[Net-zero target status]]&lt;=1,"",IF(Table12[[#This Row],[NZ GHG year]]="","",(Table12[[#This Row],[residual LULUCF emissions in 2050]]-Table12[[#This Row],[GHG emissions excl LULUCF]])/(Table12[[#This Row],[NZ GHG year]]-2021)/Table12[[#This Row],[GHG emissions excl LULUCF]]))</f>
        <v>-3.2059244512049168E-2</v>
      </c>
      <c r="AO88" s="313" t="e">
        <f>IF(Table12[[#This Row],[Net-zero target status]]&lt;=1,"",IF(Table12[[#This Row],[NZ GHG year]]="","",(Table12[[#This Row],[residual LULUCF emissions in 2050]]-Table12[[#This Row],[2030 conditional NDCs]])/(Table12[[#This Row],[NZ GHG year]]-2030)/Table12[[#This Row],[2030 conditional NDCs]]))</f>
        <v>#DIV/0!</v>
      </c>
      <c r="AP88" s="96">
        <f>MAX('input site'!AH88:AS88)</f>
        <v>115.32692488170646</v>
      </c>
      <c r="AQ88" s="95" t="str">
        <f>IF(Table12[[#This Row],[Current Policies 2030 incl LULUCF]]&gt;Table12[[#This Row],[Maximum inventory data]],"No","Yes")</f>
        <v>Yes</v>
      </c>
      <c r="AR88" s="34">
        <f>IF(Table12[[#This Row],[Net-zero target status]]&gt;=1.5,Table12[[#This Row],[residual LULUCF emissions in 2050]]/Table12[[#This Row],[GHG emissions excl LULUCF]],"")</f>
        <v>7.0281909150574251E-2</v>
      </c>
      <c r="AS88" s="74" t="str">
        <f>'input site'!BE88</f>
        <v/>
      </c>
      <c r="AT88" s="74"/>
      <c r="AU88" s="74"/>
      <c r="AV88" s="75"/>
      <c r="AW88" s="74" t="str">
        <f>IF(Table12[[#This Row],[2030 unconditional NDCs]]="","",IF(F88="incl",Table12[[#This Row],[2030 unconditional NDCs]]-Table12[[#This Row],[LULUCF NDC uncond]],Table12[[#This Row],[2030 unconditional NDCs]]))</f>
        <v/>
      </c>
      <c r="AX88" s="74" t="str">
        <f>IF(Table12[[#This Row],[2030 unconditional NDCs2]]="","",IF(F88="incl",Table12[[#This Row],[2030 unconditional NDCs2]]-Table12[[#This Row],[LULUCF NDC uncond]],Table12[[#This Row],[2030 unconditional NDCs2]]))</f>
        <v/>
      </c>
      <c r="AY88" s="74" t="str">
        <f>IF(Table12[[#This Row],[2030 conditional NDCs]]="","",IF(F88="incl",Table12[[#This Row],[2030 conditional NDCs]]-Table12[[#This Row],[LULUCF NDC cond]],Table12[[#This Row],[2030 conditional NDCs]]))</f>
        <v/>
      </c>
      <c r="AZ88" s="74" t="str">
        <f>IF(Table12[[#This Row],[2030 conditional NDCs2]]="","",IF(F88="incl",Table12[[#This Row],[2030 conditional NDCs2]]-Table12[[#This Row],[LULUCF NDC cond]],Table12[[#This Row],[2030 conditional NDCs2]]))</f>
        <v/>
      </c>
      <c r="BA88" s="8">
        <f>VLOOKUP($G88,'Population90 20'!$C$6:$AU$231,37,FALSE)</f>
        <v>10316637</v>
      </c>
      <c r="BB88" s="8">
        <f>VLOOKUP($G88,'Overview GDP (PPP)'!$C$6:$AI$231,33,FALSE)</f>
        <v>269701116.66862792</v>
      </c>
      <c r="BC88" s="36">
        <f>Table12[[#This Row],[Income]]/Table12[[#This Row],[Population]]</f>
        <v>26.142348196280235</v>
      </c>
      <c r="BD88" s="36">
        <f>Table12[[#This Row],[GHG emissions excl LULUCF]]*1000000/Table12[[#This Row],[Population]]</f>
        <v>7.4694510430094629</v>
      </c>
      <c r="BE88" s="23" t="e">
        <f>VLOOKUP($G88,EGR2023_MASTER!$B$4:$S$38,14,FALSE)</f>
        <v>#N/A</v>
      </c>
      <c r="BF88" s="23" t="e">
        <f>VLOOKUP($G88,EGR2023_MASTER!$B$4:$S$38,15,FALSE)</f>
        <v>#N/A</v>
      </c>
      <c r="BG88" s="23" t="e">
        <f>VLOOKUP($G88,EGR2023_MASTER!$B$4:$S$38,16,FALSE)</f>
        <v>#N/A</v>
      </c>
      <c r="BH88" s="23" t="e">
        <f t="shared" si="19"/>
        <v>#N/A</v>
      </c>
      <c r="BI88" s="23" t="e">
        <f t="shared" si="20"/>
        <v>#N/A</v>
      </c>
      <c r="BJ88" s="552">
        <f>(Table12[[#This Row],[Current Policies 2030 excl LULUCF]]/Table12[[#This Row],[GHG emissions excl LULUCF]])^(1/(2030-2021))-1</f>
        <v>-5.5810208402035988E-2</v>
      </c>
      <c r="BK88" s="552">
        <f>IF(Table12[[#This Row],[Net-zero target status]]&lt;=1,"",IF(Table12[[#This Row],[NZ GHG year]]="","",((MAX(Table12[[#This Row],[residual LULUCF emissions in 2050]],0.1)/Table12[[#This Row],[Current Policies 2030 excl LULUCF]])^(1/(Table12[[#This Row],[NZ GHG year]]-2021))-1)))</f>
        <v>-7.1084517299986105E-2</v>
      </c>
      <c r="BL88" s="552">
        <f>IF(Table12[[#This Row],[Net-zero target status]]&lt;=1,"",IF(Table12[[#This Row],[NZ GHG year]]="","",((MAX(Table12[[#This Row],[residual LULUCF emissions in 2050]],0.1)/Table12[[#This Row],[GHG emissions excl LULUCF]])^(1/(Table12[[#This Row],[NZ GHG year]]-2021))-1)))</f>
        <v>-8.7493462665259703E-2</v>
      </c>
      <c r="BM88" s="552" t="e">
        <f>IF(Table12[[#This Row],[Net-zero target status]]&lt;=1,"",IF(Table12[[#This Row],[NZ GHG year]]="","",((MAX(Table12[[#This Row],[residual LULUCF emissions in 2050]],0.1)/AVERAGE(Table12[[#This Row],[2030 conditional NDCs]:[2030 conditional NDCs2]]))^(1/(Table12[[#This Row],[NZ GHG year]]-2021))-1)))</f>
        <v>#DIV/0!</v>
      </c>
      <c r="BN88" s="23"/>
      <c r="BO88" s="23"/>
      <c r="BP88" s="23"/>
      <c r="BQ88" s="23"/>
      <c r="BR88" s="50" t="s">
        <v>205</v>
      </c>
      <c r="BT88" s="30">
        <f>IF(Table12[[#This Row],[Reduction rate 2021 to NZ target2]]="","",J88*(1+AN88)^(Table12[[#This Row],[NZ GHG year]]-2021))</f>
        <v>27.824459973571191</v>
      </c>
    </row>
    <row r="89" spans="1:72" ht="15" x14ac:dyDescent="0.25">
      <c r="A89">
        <v>0</v>
      </c>
      <c r="B89">
        <v>0</v>
      </c>
      <c r="C89">
        <v>304</v>
      </c>
      <c r="D89">
        <v>78</v>
      </c>
      <c r="E89">
        <v>25</v>
      </c>
      <c r="F89" t="str">
        <f>'input site'!M89</f>
        <v>excl</v>
      </c>
      <c r="G89" s="31" t="s">
        <v>206</v>
      </c>
      <c r="H89" s="1" t="s">
        <v>207</v>
      </c>
      <c r="I89" s="8">
        <v>0</v>
      </c>
      <c r="J89" s="32">
        <f>'input site'!AS89</f>
        <v>0</v>
      </c>
      <c r="K89" s="32">
        <f>'input site'!BS89</f>
        <v>0</v>
      </c>
      <c r="L89" s="32">
        <f t="shared" si="21"/>
        <v>0</v>
      </c>
      <c r="M89" s="32">
        <f t="shared" si="22"/>
        <v>0</v>
      </c>
      <c r="N89" s="32">
        <f>'input site'!EV89</f>
        <v>0</v>
      </c>
      <c r="O89" s="8"/>
      <c r="P89" s="8"/>
      <c r="Q89" s="32">
        <f t="shared" si="23"/>
        <v>0</v>
      </c>
      <c r="R89" s="32">
        <f>'input site'!EZ89</f>
        <v>0</v>
      </c>
      <c r="S89" s="37">
        <f>'input site'!FA89</f>
        <v>0</v>
      </c>
      <c r="T89" s="37" t="str">
        <f>Table12[[#This Row],[(Mt CO2 equivalent)]]</f>
        <v>Greenland</v>
      </c>
      <c r="U89" s="35">
        <v>2100</v>
      </c>
      <c r="V89" s="35">
        <v>2100</v>
      </c>
      <c r="W89" s="32">
        <f>-IF('LUC NGHGI'!EC79="",MIN('LUC NGHGI'!DW79,0.1),MIN('LUC NGHGI'!EC79,0.1))</f>
        <v>0</v>
      </c>
      <c r="X89" s="32" t="str">
        <f>'LUC NGHGI'!EC79</f>
        <v/>
      </c>
      <c r="Y89" s="32" t="str">
        <f>'LUC NGHGI'!DY79</f>
        <v/>
      </c>
      <c r="Z89" s="32" t="str">
        <f>'LUC NGHGI'!DZ79</f>
        <v/>
      </c>
      <c r="AA89" s="32">
        <f>Table12[[#This Row],[2021 emissions]]</f>
        <v>0</v>
      </c>
      <c r="AB89" s="32">
        <f>'LUC NGHGI'!DW79</f>
        <v>0</v>
      </c>
      <c r="AC89" s="32">
        <f>IF(F89="incl",Table12[[#This Row],[GHG emissions incl LULUCF]]-Table12[[#This Row],[LULUCF emis-sions in 20213]],Table12[[#This Row],[GHG emissions incl LULUCF]])</f>
        <v>0</v>
      </c>
      <c r="AD89" s="32">
        <f>'input site'!BS89</f>
        <v>0</v>
      </c>
      <c r="AE89" s="32">
        <f>'LUC NGHGI'!EH79</f>
        <v>0</v>
      </c>
      <c r="AF89" s="32">
        <f>IF(F89="incl",Table12[[#This Row],[Current Policies 2030 incl LULUCF]]-Table12[[#This Row],[LULUCF CurPol 2030]],Table12[[#This Row],[Current Policies 2030 incl LULUCF]])</f>
        <v>0</v>
      </c>
      <c r="AG89" s="32" t="str">
        <f>IF(Table12[[#This Row],[Net-zero target status]]&lt;=1,"",IF(Table12[[#This Row],[NZ GHG year]]="","",1000000000*(Table12[[#This Row],[residual LULUCF emissions in 2050]]-Table12[[#This Row],[GHG emissions excl LULUCF]])/(Table12[[#This Row],[NZ GHG year]]-2021)/Table12[[#This Row],[Population]]))</f>
        <v/>
      </c>
      <c r="AH89" s="32" t="str">
        <f>IF(Table12[[#This Row],[Peak revised]]="Yes",IF(Table12[[#This Row],[Net-zero target status]]&lt;=1,"",IF(Table12[[#This Row],[NZ GHG year]]="","",1000000000*(Table12[[#This Row],[residual LULUCF emissions in 2050]]-Table12[[#This Row],[GHG emissions excl LULUCF]])/(Table12[[#This Row],[NZ GHG year]]-2021)/Table12[[#This Row],[Population]])),"")</f>
        <v/>
      </c>
      <c r="AI89" s="32">
        <f>MAX(0,(1000000*(Table12[[#This Row],[Current Policies 2030 excl LULUCF]]/2+Table12[[#This Row],[GHG emissions excl LULUCF]]/2)/Table12[[#This Row],[Population]]-$AI$8)*10)*$AI$10</f>
        <v>0</v>
      </c>
      <c r="AJ8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89" s="32" t="str">
        <f>IF(Table12[[#This Row],[Formule no Peak (2)]]="","",Table12[[#This Row],[Penalty (1)]]+Table12[[#This Row],[Formule no Peak (2)]])</f>
        <v/>
      </c>
      <c r="AL89" s="313" t="e">
        <f>(Table12[[#This Row],[Current Policies 2030 excl LULUCF]]-Table12[[#This Row],[GHG emissions excl LULUCF]])/(2030-2021)/Table12[[#This Row],[GHG emissions excl LULUCF]]</f>
        <v>#DIV/0!</v>
      </c>
      <c r="AM89" s="313" t="str">
        <f>IF(Table12[[#This Row],[Net-zero target status]]&lt;=1,"",IF(Table12[[#This Row],[NZ GHG year]]="","",(Table12[[#This Row],[residual LULUCF emissions in 2050]]-Table12[[#This Row],[Current Policies 2030 excl LULUCF]])/(Table12[[#This Row],[NZ GHG year]]-2030)/Table12[[#This Row],[Current Policies 2030 excl LULUCF]]))</f>
        <v/>
      </c>
      <c r="AN89" s="313" t="str">
        <f>IF(Table12[[#This Row],[Net-zero target status]]&lt;=1,"",IF(Table12[[#This Row],[NZ GHG year]]="","",(Table12[[#This Row],[residual LULUCF emissions in 2050]]-Table12[[#This Row],[GHG emissions excl LULUCF]])/(Table12[[#This Row],[NZ GHG year]]-2021)/Table12[[#This Row],[GHG emissions excl LULUCF]]))</f>
        <v/>
      </c>
      <c r="AO89" s="313" t="str">
        <f>IF(Table12[[#This Row],[Net-zero target status]]&lt;=1,"",IF(Table12[[#This Row],[NZ GHG year]]="","",(Table12[[#This Row],[residual LULUCF emissions in 2050]]-Table12[[#This Row],[2030 conditional NDCs]])/(Table12[[#This Row],[NZ GHG year]]-2030)/Table12[[#This Row],[2030 conditional NDCs]]))</f>
        <v/>
      </c>
      <c r="AP89" s="96">
        <f>MAX('input site'!AH89:AS89)</f>
        <v>0</v>
      </c>
      <c r="AQ89" s="95" t="str">
        <f>IF(Table12[[#This Row],[Current Policies 2030 incl LULUCF]]&gt;Table12[[#This Row],[Maximum inventory data]],"No","Yes")</f>
        <v>Yes</v>
      </c>
      <c r="AR89" s="34" t="str">
        <f>IF(Table12[[#This Row],[Net-zero target status]]&gt;=1.5,Table12[[#This Row],[residual LULUCF emissions in 2050]]/Table12[[#This Row],[GHG emissions excl LULUCF]],"")</f>
        <v/>
      </c>
      <c r="AS89" s="74" t="str">
        <f>'input site'!BE89</f>
        <v/>
      </c>
      <c r="AT89" s="74"/>
      <c r="AU89" s="74"/>
      <c r="AV89" s="75"/>
      <c r="AW89" s="74" t="str">
        <f>IF(Table12[[#This Row],[2030 unconditional NDCs]]="","",IF(F89="incl",Table12[[#This Row],[2030 unconditional NDCs]]-Table12[[#This Row],[LULUCF NDC uncond]],Table12[[#This Row],[2030 unconditional NDCs]]))</f>
        <v/>
      </c>
      <c r="AX89" s="74" t="str">
        <f>IF(Table12[[#This Row],[2030 unconditional NDCs2]]="","",IF(F89="incl",Table12[[#This Row],[2030 unconditional NDCs2]]-Table12[[#This Row],[LULUCF NDC uncond]],Table12[[#This Row],[2030 unconditional NDCs2]]))</f>
        <v/>
      </c>
      <c r="AY89" s="74" t="str">
        <f>IF(Table12[[#This Row],[2030 conditional NDCs]]="","",IF(F89="incl",Table12[[#This Row],[2030 conditional NDCs]]-Table12[[#This Row],[LULUCF NDC cond]],Table12[[#This Row],[2030 conditional NDCs]]))</f>
        <v/>
      </c>
      <c r="AZ89" s="74" t="str">
        <f>IF(Table12[[#This Row],[2030 conditional NDCs2]]="","",IF(F89="incl",Table12[[#This Row],[2030 conditional NDCs2]]-Table12[[#This Row],[LULUCF NDC cond]],Table12[[#This Row],[2030 conditional NDCs2]]))</f>
        <v/>
      </c>
      <c r="BA89" s="8">
        <f>VLOOKUP($G89,'Population90 20'!$C$6:$AU$231,37,FALSE)</f>
        <v>56973</v>
      </c>
      <c r="BB89" s="8">
        <f>VLOOKUP($G89,'Overview GDP (PPP)'!$C$6:$AI$231,33,FALSE)</f>
        <v>2269862.4078873778</v>
      </c>
      <c r="BC89" s="36">
        <f>Table12[[#This Row],[Income]]/Table12[[#This Row],[Population]]</f>
        <v>39.841019568697064</v>
      </c>
      <c r="BD89" s="36">
        <f>Table12[[#This Row],[GHG emissions excl LULUCF]]*1000000/Table12[[#This Row],[Population]]</f>
        <v>0</v>
      </c>
      <c r="BE89" s="23" t="e">
        <f>VLOOKUP($G89,EGR2023_MASTER!$B$4:$S$38,14,FALSE)</f>
        <v>#N/A</v>
      </c>
      <c r="BF89" s="23" t="e">
        <f>VLOOKUP($G89,EGR2023_MASTER!$B$4:$S$38,15,FALSE)</f>
        <v>#N/A</v>
      </c>
      <c r="BG89" s="23" t="e">
        <f>VLOOKUP($G89,EGR2023_MASTER!$B$4:$S$38,16,FALSE)</f>
        <v>#N/A</v>
      </c>
      <c r="BH89" s="23" t="e">
        <f t="shared" si="19"/>
        <v>#N/A</v>
      </c>
      <c r="BI89" s="23" t="e">
        <f t="shared" si="20"/>
        <v>#N/A</v>
      </c>
      <c r="BJ89" s="552" t="e">
        <f>(Table12[[#This Row],[Current Policies 2030 excl LULUCF]]/Table12[[#This Row],[GHG emissions excl LULUCF]])^(1/(2030-2021))-1</f>
        <v>#DIV/0!</v>
      </c>
      <c r="BK89" s="552" t="str">
        <f>IF(Table12[[#This Row],[Net-zero target status]]&lt;=1,"",IF(Table12[[#This Row],[NZ GHG year]]="","",((MAX(Table12[[#This Row],[residual LULUCF emissions in 2050]],0.1)/Table12[[#This Row],[Current Policies 2030 excl LULUCF]])^(1/(Table12[[#This Row],[NZ GHG year]]-2021))-1)))</f>
        <v/>
      </c>
      <c r="BL89" s="552" t="str">
        <f>IF(Table12[[#This Row],[Net-zero target status]]&lt;=1,"",IF(Table12[[#This Row],[NZ GHG year]]="","",((MAX(Table12[[#This Row],[residual LULUCF emissions in 2050]],0.1)/Table12[[#This Row],[GHG emissions excl LULUCF]])^(1/(Table12[[#This Row],[NZ GHG year]]-2021))-1)))</f>
        <v/>
      </c>
      <c r="BM89" s="552" t="str">
        <f>IF(Table12[[#This Row],[Net-zero target status]]&lt;=1,"",IF(Table12[[#This Row],[NZ GHG year]]="","",((MAX(Table12[[#This Row],[residual LULUCF emissions in 2050]],0.1)/AVERAGE(Table12[[#This Row],[2030 conditional NDCs]:[2030 conditional NDCs2]]))^(1/(Table12[[#This Row],[NZ GHG year]]-2021))-1)))</f>
        <v/>
      </c>
      <c r="BN89" s="23"/>
      <c r="BO89" s="23"/>
      <c r="BP89" s="23"/>
      <c r="BQ89" s="23"/>
      <c r="BR89" s="50" t="s">
        <v>207</v>
      </c>
      <c r="BT89" s="30" t="str">
        <f>IF(Table12[[#This Row],[Reduction rate 2021 to NZ target2]]="","",J89*(1+AN89)^(Table12[[#This Row],[NZ GHG year]]-2021))</f>
        <v/>
      </c>
    </row>
    <row r="90" spans="1:72" ht="15" x14ac:dyDescent="0.25">
      <c r="A90">
        <v>0</v>
      </c>
      <c r="B90">
        <v>0</v>
      </c>
      <c r="C90">
        <v>308</v>
      </c>
      <c r="D90">
        <v>79</v>
      </c>
      <c r="E90">
        <v>4</v>
      </c>
      <c r="F90" t="str">
        <f>'input site'!M90</f>
        <v>excl</v>
      </c>
      <c r="G90" s="31" t="s">
        <v>208</v>
      </c>
      <c r="H90" s="1" t="s">
        <v>209</v>
      </c>
      <c r="I90" s="8">
        <f>VLOOKUP($G90,'NZT data'!$B$3:$C$200,2,FALSE)</f>
        <v>1</v>
      </c>
      <c r="J90" s="32">
        <f>'input site'!AS90</f>
        <v>0.50727529000000005</v>
      </c>
      <c r="K90" s="32">
        <f>'input site'!BS90</f>
        <v>0.62550553037282408</v>
      </c>
      <c r="L90" s="32">
        <f t="shared" si="21"/>
        <v>0</v>
      </c>
      <c r="M90" s="32">
        <f t="shared" si="22"/>
        <v>0</v>
      </c>
      <c r="N90" s="32">
        <f>'input site'!EV90</f>
        <v>0.2692282695655509</v>
      </c>
      <c r="O90" s="8"/>
      <c r="P90" s="8"/>
      <c r="Q90" s="32">
        <f t="shared" si="23"/>
        <v>0</v>
      </c>
      <c r="R90" s="32">
        <f>'input site'!EZ90</f>
        <v>5.4755753966316413E-2</v>
      </c>
      <c r="S90" s="37">
        <f>'input site'!FA90</f>
        <v>0</v>
      </c>
      <c r="T90" s="37" t="str">
        <f>Table12[[#This Row],[(Mt CO2 equivalent)]]</f>
        <v>Grenada</v>
      </c>
      <c r="U90" s="8">
        <f>VLOOKUP($G90,'NZT data'!$B$3:$F$200,4,FALSE)</f>
        <v>2110</v>
      </c>
      <c r="V90" s="32">
        <f>VLOOKUP($G90,'NZT data'!$B$3:$F$200,5,FALSE)</f>
        <v>2110</v>
      </c>
      <c r="W90" s="32">
        <f>-IF('LUC NGHGI'!EC80="",MIN('LUC NGHGI'!DW80,0.1),MIN('LUC NGHGI'!EC80,0.1))</f>
        <v>-0.1</v>
      </c>
      <c r="X90" s="32">
        <f>'LUC NGHGI'!EC80</f>
        <v>0.29262402597402826</v>
      </c>
      <c r="Y90" s="32">
        <f>'LUC NGHGI'!DY80</f>
        <v>0.29262402597402826</v>
      </c>
      <c r="Z90" s="32">
        <f>'LUC NGHGI'!DZ80</f>
        <v>0.29262402597402826</v>
      </c>
      <c r="AA90" s="32">
        <f>Table12[[#This Row],[2021 emissions]]</f>
        <v>0.50727529000000005</v>
      </c>
      <c r="AB90" s="32">
        <f>'LUC NGHGI'!DW80</f>
        <v>0.303574393939396</v>
      </c>
      <c r="AC90" s="32">
        <f>IF(F90="incl",Table12[[#This Row],[GHG emissions incl LULUCF]]-Table12[[#This Row],[LULUCF emis-sions in 20213]],Table12[[#This Row],[GHG emissions incl LULUCF]])</f>
        <v>0.50727529000000005</v>
      </c>
      <c r="AD90" s="32">
        <f>'input site'!BS90</f>
        <v>0.62550553037282408</v>
      </c>
      <c r="AE90" s="32">
        <f>'LUC NGHGI'!EH80</f>
        <v>0.17398008307785215</v>
      </c>
      <c r="AF90" s="32">
        <f>IF(F90="incl",Table12[[#This Row],[Current Policies 2030 incl LULUCF]]-Table12[[#This Row],[LULUCF CurPol 2030]],Table12[[#This Row],[Current Policies 2030 incl LULUCF]])</f>
        <v>0.62550553037282408</v>
      </c>
      <c r="AG90" s="32" t="str">
        <f>IF(Table12[[#This Row],[Net-zero target status]]&lt;=1,"",IF(Table12[[#This Row],[NZ GHG year]]="","",1000000000*(Table12[[#This Row],[residual LULUCF emissions in 2050]]-Table12[[#This Row],[GHG emissions excl LULUCF]])/(Table12[[#This Row],[NZ GHG year]]-2021)/Table12[[#This Row],[Population]]))</f>
        <v/>
      </c>
      <c r="AH90" s="32" t="str">
        <f>IF(Table12[[#This Row],[Peak revised]]="Yes",IF(Table12[[#This Row],[Net-zero target status]]&lt;=1,"",IF(Table12[[#This Row],[NZ GHG year]]="","",1000000000*(Table12[[#This Row],[residual LULUCF emissions in 2050]]-Table12[[#This Row],[GHG emissions excl LULUCF]])/(Table12[[#This Row],[NZ GHG year]]-2021)/Table12[[#This Row],[Population]])),"")</f>
        <v/>
      </c>
      <c r="AI90" s="32">
        <f>MAX(0,(1000000*(Table12[[#This Row],[Current Policies 2030 excl LULUCF]]/2+Table12[[#This Row],[GHG emissions excl LULUCF]]/2)/Table12[[#This Row],[Population]]-$AI$8)*10)*$AI$10</f>
        <v>0</v>
      </c>
      <c r="AJ9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0" s="32" t="str">
        <f>IF(Table12[[#This Row],[Formule no Peak (2)]]="","",Table12[[#This Row],[Penalty (1)]]+Table12[[#This Row],[Formule no Peak (2)]])</f>
        <v/>
      </c>
      <c r="AL90" s="313">
        <f>(Table12[[#This Row],[Current Policies 2030 excl LULUCF]]-Table12[[#This Row],[GHG emissions excl LULUCF]])/(2030-2021)/Table12[[#This Row],[GHG emissions excl LULUCF]]</f>
        <v>2.5896576540832935E-2</v>
      </c>
      <c r="AM90" s="313" t="str">
        <f>IF(Table12[[#This Row],[Net-zero target status]]&lt;=1,"",IF(Table12[[#This Row],[NZ GHG year]]="","",(Table12[[#This Row],[residual LULUCF emissions in 2050]]-Table12[[#This Row],[Current Policies 2030 excl LULUCF]])/(Table12[[#This Row],[NZ GHG year]]-2030)/Table12[[#This Row],[Current Policies 2030 excl LULUCF]]))</f>
        <v/>
      </c>
      <c r="AN90" s="313" t="str">
        <f>IF(Table12[[#This Row],[Net-zero target status]]&lt;=1,"",IF(Table12[[#This Row],[NZ GHG year]]="","",(Table12[[#This Row],[residual LULUCF emissions in 2050]]-Table12[[#This Row],[GHG emissions excl LULUCF]])/(Table12[[#This Row],[NZ GHG year]]-2021)/Table12[[#This Row],[GHG emissions excl LULUCF]]))</f>
        <v/>
      </c>
      <c r="AO90" s="313" t="str">
        <f>IF(Table12[[#This Row],[Net-zero target status]]&lt;=1,"",IF(Table12[[#This Row],[NZ GHG year]]="","",(Table12[[#This Row],[residual LULUCF emissions in 2050]]-Table12[[#This Row],[2030 conditional NDCs]])/(Table12[[#This Row],[NZ GHG year]]-2030)/Table12[[#This Row],[2030 conditional NDCs]]))</f>
        <v/>
      </c>
      <c r="AP90" s="96">
        <f>MAX('input site'!AH90:AS90)</f>
        <v>0.52613958999999999</v>
      </c>
      <c r="AQ90" s="95" t="str">
        <f>IF(Table12[[#This Row],[Current Policies 2030 incl LULUCF]]&gt;Table12[[#This Row],[Maximum inventory data]],"No","Yes")</f>
        <v>No</v>
      </c>
      <c r="AR90" s="34" t="str">
        <f>IF(Table12[[#This Row],[Net-zero target status]]&gt;=1.5,Table12[[#This Row],[residual LULUCF emissions in 2050]]/Table12[[#This Row],[GHG emissions excl LULUCF]],"")</f>
        <v/>
      </c>
      <c r="AS90" s="76">
        <f>'input site'!BE90</f>
        <v>0.1509894</v>
      </c>
      <c r="AT90" s="76">
        <f>'input site'!BF90</f>
        <v>0.1509894</v>
      </c>
      <c r="AU90" s="76">
        <f>'input site'!BG90</f>
        <v>0.1509894</v>
      </c>
      <c r="AV90" s="77">
        <f>'input site'!BH90</f>
        <v>0.1509894</v>
      </c>
      <c r="AW90" s="74">
        <f>IF(Table12[[#This Row],[2030 unconditional NDCs]]="","",IF(F90="incl",Table12[[#This Row],[2030 unconditional NDCs]]-Table12[[#This Row],[LULUCF NDC uncond]],Table12[[#This Row],[2030 unconditional NDCs]]))</f>
        <v>0.1509894</v>
      </c>
      <c r="AX90" s="74">
        <f>IF(Table12[[#This Row],[2030 unconditional NDCs2]]="","",IF(F90="incl",Table12[[#This Row],[2030 unconditional NDCs2]]-Table12[[#This Row],[LULUCF NDC uncond]],Table12[[#This Row],[2030 unconditional NDCs2]]))</f>
        <v>0.1509894</v>
      </c>
      <c r="AY90" s="74">
        <f>IF(Table12[[#This Row],[2030 conditional NDCs]]="","",IF(F90="incl",Table12[[#This Row],[2030 conditional NDCs]]-Table12[[#This Row],[LULUCF NDC cond]],Table12[[#This Row],[2030 conditional NDCs]]))</f>
        <v>0.1509894</v>
      </c>
      <c r="AZ90" s="74">
        <f>IF(Table12[[#This Row],[2030 conditional NDCs2]]="","",IF(F90="incl",Table12[[#This Row],[2030 conditional NDCs2]]-Table12[[#This Row],[LULUCF NDC cond]],Table12[[#This Row],[2030 conditional NDCs2]]))</f>
        <v>0.1509894</v>
      </c>
      <c r="BA90" s="8">
        <f>VLOOKUP($G90,'Population90 20'!$C$6:$AU$231,37,FALSE)</f>
        <v>113475</v>
      </c>
      <c r="BB90" s="8">
        <f>VLOOKUP($G90,'Overview GDP (PPP)'!$C$6:$AI$231,33,FALSE)</f>
        <v>1557066.6909700672</v>
      </c>
      <c r="BC90" s="36">
        <f>Table12[[#This Row],[Income]]/Table12[[#This Row],[Population]]</f>
        <v>13.721671654285677</v>
      </c>
      <c r="BD90" s="36">
        <f>Table12[[#This Row],[GHG emissions excl LULUCF]]*1000000/Table12[[#This Row],[Population]]</f>
        <v>4.4703704780788724</v>
      </c>
      <c r="BE90" s="23" t="e">
        <f>VLOOKUP($G90,EGR2023_MASTER!$B$4:$S$38,14,FALSE)</f>
        <v>#N/A</v>
      </c>
      <c r="BF90" s="23" t="e">
        <f>VLOOKUP($G90,EGR2023_MASTER!$B$4:$S$38,15,FALSE)</f>
        <v>#N/A</v>
      </c>
      <c r="BG90" s="23" t="e">
        <f>VLOOKUP($G90,EGR2023_MASTER!$B$4:$S$38,16,FALSE)</f>
        <v>#N/A</v>
      </c>
      <c r="BH90" s="23" t="e">
        <f t="shared" si="19"/>
        <v>#N/A</v>
      </c>
      <c r="BI90" s="23" t="e">
        <f t="shared" si="20"/>
        <v>#N/A</v>
      </c>
      <c r="BJ90" s="552">
        <f>(Table12[[#This Row],[Current Policies 2030 excl LULUCF]]/Table12[[#This Row],[GHG emissions excl LULUCF]])^(1/(2030-2021))-1</f>
        <v>2.3551540411518301E-2</v>
      </c>
      <c r="BK90" s="552" t="str">
        <f>IF(Table12[[#This Row],[Net-zero target status]]&lt;=1,"",IF(Table12[[#This Row],[NZ GHG year]]="","",((MAX(Table12[[#This Row],[residual LULUCF emissions in 2050]],0.1)/Table12[[#This Row],[Current Policies 2030 excl LULUCF]])^(1/(Table12[[#This Row],[NZ GHG year]]-2021))-1)))</f>
        <v/>
      </c>
      <c r="BL90" s="552" t="str">
        <f>IF(Table12[[#This Row],[Net-zero target status]]&lt;=1,"",IF(Table12[[#This Row],[NZ GHG year]]="","",((MAX(Table12[[#This Row],[residual LULUCF emissions in 2050]],0.1)/Table12[[#This Row],[GHG emissions excl LULUCF]])^(1/(Table12[[#This Row],[NZ GHG year]]-2021))-1)))</f>
        <v/>
      </c>
      <c r="BM90" s="552" t="str">
        <f>IF(Table12[[#This Row],[Net-zero target status]]&lt;=1,"",IF(Table12[[#This Row],[NZ GHG year]]="","",((MAX(Table12[[#This Row],[residual LULUCF emissions in 2050]],0.1)/AVERAGE(Table12[[#This Row],[2030 conditional NDCs]:[2030 conditional NDCs2]]))^(1/(Table12[[#This Row],[NZ GHG year]]-2021))-1)))</f>
        <v/>
      </c>
      <c r="BN90" s="23"/>
      <c r="BO90" s="23"/>
      <c r="BP90" s="23"/>
      <c r="BQ90" s="23"/>
      <c r="BR90" s="50" t="s">
        <v>209</v>
      </c>
      <c r="BT90" s="30" t="str">
        <f>IF(Table12[[#This Row],[Reduction rate 2021 to NZ target2]]="","",J90*(1+AN90)^(Table12[[#This Row],[NZ GHG year]]-2021))</f>
        <v/>
      </c>
    </row>
    <row r="91" spans="1:72" ht="15" x14ac:dyDescent="0.25">
      <c r="A91">
        <v>0</v>
      </c>
      <c r="B91">
        <v>0</v>
      </c>
      <c r="C91">
        <v>312</v>
      </c>
      <c r="D91">
        <v>80</v>
      </c>
      <c r="E91">
        <v>4</v>
      </c>
      <c r="F91" t="str">
        <f>'input site'!M91</f>
        <v>excl</v>
      </c>
      <c r="G91" s="31" t="s">
        <v>210</v>
      </c>
      <c r="H91" s="1" t="s">
        <v>211</v>
      </c>
      <c r="I91" s="8">
        <v>0</v>
      </c>
      <c r="J91" s="32">
        <f>'input site'!AS91</f>
        <v>0</v>
      </c>
      <c r="K91" s="32">
        <f>'input site'!BS91</f>
        <v>0</v>
      </c>
      <c r="L91" s="32">
        <f t="shared" si="21"/>
        <v>0</v>
      </c>
      <c r="M91" s="32">
        <f t="shared" si="22"/>
        <v>0</v>
      </c>
      <c r="N91" s="32">
        <f>'input site'!EV91</f>
        <v>0</v>
      </c>
      <c r="O91" s="8"/>
      <c r="P91" s="8"/>
      <c r="Q91" s="32">
        <f t="shared" si="23"/>
        <v>0</v>
      </c>
      <c r="R91" s="32">
        <f>'input site'!EZ91</f>
        <v>0</v>
      </c>
      <c r="S91" s="37">
        <f>'input site'!FA91</f>
        <v>0</v>
      </c>
      <c r="T91" s="37" t="str">
        <f>Table12[[#This Row],[(Mt CO2 equivalent)]]</f>
        <v>Guadeloupe</v>
      </c>
      <c r="U91" s="35">
        <v>2100</v>
      </c>
      <c r="V91" s="35">
        <v>2100</v>
      </c>
      <c r="W91" s="32">
        <f>-IF('LUC NGHGI'!EC81="",MIN('LUC NGHGI'!DW81,0.1),MIN('LUC NGHGI'!EC81,0.1))</f>
        <v>0</v>
      </c>
      <c r="X91" s="32" t="str">
        <f>'LUC NGHGI'!EC81</f>
        <v/>
      </c>
      <c r="Y91" s="32" t="str">
        <f>'LUC NGHGI'!DY81</f>
        <v/>
      </c>
      <c r="Z91" s="32" t="str">
        <f>'LUC NGHGI'!DZ81</f>
        <v/>
      </c>
      <c r="AA91" s="32">
        <f>Table12[[#This Row],[2021 emissions]]</f>
        <v>0</v>
      </c>
      <c r="AB91" s="32">
        <f>'LUC NGHGI'!DW81</f>
        <v>0</v>
      </c>
      <c r="AC91" s="32">
        <f>IF(F91="incl",Table12[[#This Row],[GHG emissions incl LULUCF]]-Table12[[#This Row],[LULUCF emis-sions in 20213]],Table12[[#This Row],[GHG emissions incl LULUCF]])</f>
        <v>0</v>
      </c>
      <c r="AD91" s="32">
        <f>'input site'!BS91</f>
        <v>0</v>
      </c>
      <c r="AE91" s="32">
        <f>'LUC NGHGI'!EH81</f>
        <v>0</v>
      </c>
      <c r="AF91" s="32">
        <f>IF(F91="incl",Table12[[#This Row],[Current Policies 2030 incl LULUCF]]-Table12[[#This Row],[LULUCF CurPol 2030]],Table12[[#This Row],[Current Policies 2030 incl LULUCF]])</f>
        <v>0</v>
      </c>
      <c r="AG91" s="32" t="str">
        <f>IF(Table12[[#This Row],[Net-zero target status]]&lt;=1,"",IF(Table12[[#This Row],[NZ GHG year]]="","",1000000000*(Table12[[#This Row],[residual LULUCF emissions in 2050]]-Table12[[#This Row],[GHG emissions excl LULUCF]])/(Table12[[#This Row],[NZ GHG year]]-2021)/Table12[[#This Row],[Population]]))</f>
        <v/>
      </c>
      <c r="AH91" s="32" t="str">
        <f>IF(Table12[[#This Row],[Peak revised]]="Yes",IF(Table12[[#This Row],[Net-zero target status]]&lt;=1,"",IF(Table12[[#This Row],[NZ GHG year]]="","",1000000000*(Table12[[#This Row],[residual LULUCF emissions in 2050]]-Table12[[#This Row],[GHG emissions excl LULUCF]])/(Table12[[#This Row],[NZ GHG year]]-2021)/Table12[[#This Row],[Population]])),"")</f>
        <v/>
      </c>
      <c r="AI91" s="32">
        <f>MAX(0,(1000000*(Table12[[#This Row],[Current Policies 2030 excl LULUCF]]/2+Table12[[#This Row],[GHG emissions excl LULUCF]]/2)/Table12[[#This Row],[Population]]-$AI$8)*10)*$AI$10</f>
        <v>0</v>
      </c>
      <c r="AJ9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1" s="32" t="str">
        <f>IF(Table12[[#This Row],[Formule no Peak (2)]]="","",Table12[[#This Row],[Penalty (1)]]+Table12[[#This Row],[Formule no Peak (2)]])</f>
        <v/>
      </c>
      <c r="AL91" s="313" t="e">
        <f>(Table12[[#This Row],[Current Policies 2030 excl LULUCF]]-Table12[[#This Row],[GHG emissions excl LULUCF]])/(2030-2021)/Table12[[#This Row],[GHG emissions excl LULUCF]]</f>
        <v>#DIV/0!</v>
      </c>
      <c r="AM91" s="313" t="str">
        <f>IF(Table12[[#This Row],[Net-zero target status]]&lt;=1,"",IF(Table12[[#This Row],[NZ GHG year]]="","",(Table12[[#This Row],[residual LULUCF emissions in 2050]]-Table12[[#This Row],[Current Policies 2030 excl LULUCF]])/(Table12[[#This Row],[NZ GHG year]]-2030)/Table12[[#This Row],[Current Policies 2030 excl LULUCF]]))</f>
        <v/>
      </c>
      <c r="AN91" s="313" t="str">
        <f>IF(Table12[[#This Row],[Net-zero target status]]&lt;=1,"",IF(Table12[[#This Row],[NZ GHG year]]="","",(Table12[[#This Row],[residual LULUCF emissions in 2050]]-Table12[[#This Row],[GHG emissions excl LULUCF]])/(Table12[[#This Row],[NZ GHG year]]-2021)/Table12[[#This Row],[GHG emissions excl LULUCF]]))</f>
        <v/>
      </c>
      <c r="AO91" s="313" t="str">
        <f>IF(Table12[[#This Row],[Net-zero target status]]&lt;=1,"",IF(Table12[[#This Row],[NZ GHG year]]="","",(Table12[[#This Row],[residual LULUCF emissions in 2050]]-Table12[[#This Row],[2030 conditional NDCs]])/(Table12[[#This Row],[NZ GHG year]]-2030)/Table12[[#This Row],[2030 conditional NDCs]]))</f>
        <v/>
      </c>
      <c r="AP91" s="96">
        <f>MAX('input site'!AH91:AS91)</f>
        <v>0</v>
      </c>
      <c r="AQ91" s="95" t="str">
        <f>IF(Table12[[#This Row],[Current Policies 2030 incl LULUCF]]&gt;Table12[[#This Row],[Maximum inventory data]],"No","Yes")</f>
        <v>Yes</v>
      </c>
      <c r="AR91" s="34" t="str">
        <f>IF(Table12[[#This Row],[Net-zero target status]]&gt;=1.5,Table12[[#This Row],[residual LULUCF emissions in 2050]]/Table12[[#This Row],[GHG emissions excl LULUCF]],"")</f>
        <v/>
      </c>
      <c r="AS91" s="74" t="str">
        <f>'input site'!BE91</f>
        <v/>
      </c>
      <c r="AT91" s="74"/>
      <c r="AU91" s="74"/>
      <c r="AV91" s="75"/>
      <c r="AW91" s="74" t="str">
        <f>IF(Table12[[#This Row],[2030 unconditional NDCs]]="","",IF(F91="incl",Table12[[#This Row],[2030 unconditional NDCs]]-Table12[[#This Row],[LULUCF NDC uncond]],Table12[[#This Row],[2030 unconditional NDCs]]))</f>
        <v/>
      </c>
      <c r="AX91" s="74" t="str">
        <f>IF(Table12[[#This Row],[2030 unconditional NDCs2]]="","",IF(F91="incl",Table12[[#This Row],[2030 unconditional NDCs2]]-Table12[[#This Row],[LULUCF NDC uncond]],Table12[[#This Row],[2030 unconditional NDCs2]]))</f>
        <v/>
      </c>
      <c r="AY91" s="74" t="str">
        <f>IF(Table12[[#This Row],[2030 conditional NDCs]]="","",IF(F91="incl",Table12[[#This Row],[2030 conditional NDCs]]-Table12[[#This Row],[LULUCF NDC cond]],Table12[[#This Row],[2030 conditional NDCs]]))</f>
        <v/>
      </c>
      <c r="AZ91" s="74" t="str">
        <f>IF(Table12[[#This Row],[2030 conditional NDCs2]]="","",IF(F91="incl",Table12[[#This Row],[2030 conditional NDCs2]]-Table12[[#This Row],[LULUCF NDC cond]],Table12[[#This Row],[2030 conditional NDCs2]]))</f>
        <v/>
      </c>
      <c r="BA91" s="8">
        <f>VLOOKUP($G91,'Population90 20'!$C$6:$AU$231,37,FALSE)</f>
        <v>399794</v>
      </c>
      <c r="BB91" s="8">
        <f>VLOOKUP($G91,'Overview GDP (PPP)'!$C$6:$AI$231,33,FALSE)</f>
        <v>0</v>
      </c>
      <c r="BC91" s="36">
        <f>Table12[[#This Row],[Income]]/Table12[[#This Row],[Population]]</f>
        <v>0</v>
      </c>
      <c r="BD91" s="36">
        <f>Table12[[#This Row],[GHG emissions excl LULUCF]]*1000000/Table12[[#This Row],[Population]]</f>
        <v>0</v>
      </c>
      <c r="BE91" s="23" t="e">
        <f>VLOOKUP($G91,EGR2023_MASTER!$B$4:$S$38,14,FALSE)</f>
        <v>#N/A</v>
      </c>
      <c r="BF91" s="23" t="e">
        <f>VLOOKUP($G91,EGR2023_MASTER!$B$4:$S$38,15,FALSE)</f>
        <v>#N/A</v>
      </c>
      <c r="BG91" s="23" t="e">
        <f>VLOOKUP($G91,EGR2023_MASTER!$B$4:$S$38,16,FALSE)</f>
        <v>#N/A</v>
      </c>
      <c r="BH91" s="23" t="e">
        <f t="shared" si="19"/>
        <v>#N/A</v>
      </c>
      <c r="BI91" s="23" t="e">
        <f t="shared" si="20"/>
        <v>#N/A</v>
      </c>
      <c r="BJ91" s="552" t="e">
        <f>(Table12[[#This Row],[Current Policies 2030 excl LULUCF]]/Table12[[#This Row],[GHG emissions excl LULUCF]])^(1/(2030-2021))-1</f>
        <v>#DIV/0!</v>
      </c>
      <c r="BK91" s="552" t="str">
        <f>IF(Table12[[#This Row],[Net-zero target status]]&lt;=1,"",IF(Table12[[#This Row],[NZ GHG year]]="","",((MAX(Table12[[#This Row],[residual LULUCF emissions in 2050]],0.1)/Table12[[#This Row],[Current Policies 2030 excl LULUCF]])^(1/(Table12[[#This Row],[NZ GHG year]]-2021))-1)))</f>
        <v/>
      </c>
      <c r="BL91" s="552" t="str">
        <f>IF(Table12[[#This Row],[Net-zero target status]]&lt;=1,"",IF(Table12[[#This Row],[NZ GHG year]]="","",((MAX(Table12[[#This Row],[residual LULUCF emissions in 2050]],0.1)/Table12[[#This Row],[GHG emissions excl LULUCF]])^(1/(Table12[[#This Row],[NZ GHG year]]-2021))-1)))</f>
        <v/>
      </c>
      <c r="BM91" s="552" t="str">
        <f>IF(Table12[[#This Row],[Net-zero target status]]&lt;=1,"",IF(Table12[[#This Row],[NZ GHG year]]="","",((MAX(Table12[[#This Row],[residual LULUCF emissions in 2050]],0.1)/AVERAGE(Table12[[#This Row],[2030 conditional NDCs]:[2030 conditional NDCs2]]))^(1/(Table12[[#This Row],[NZ GHG year]]-2021))-1)))</f>
        <v/>
      </c>
      <c r="BN91" s="23"/>
      <c r="BO91" s="23"/>
      <c r="BP91" s="23"/>
      <c r="BQ91" s="23"/>
      <c r="BR91" s="50" t="s">
        <v>211</v>
      </c>
      <c r="BT91" s="30" t="str">
        <f>IF(Table12[[#This Row],[Reduction rate 2021 to NZ target2]]="","",J91*(1+AN91)^(Table12[[#This Row],[NZ GHG year]]-2021))</f>
        <v/>
      </c>
    </row>
    <row r="92" spans="1:72" ht="15" x14ac:dyDescent="0.25">
      <c r="A92">
        <v>0</v>
      </c>
      <c r="B92">
        <v>0</v>
      </c>
      <c r="C92">
        <v>320</v>
      </c>
      <c r="D92">
        <v>81</v>
      </c>
      <c r="E92">
        <v>4</v>
      </c>
      <c r="F92" t="str">
        <f>'input site'!M92</f>
        <v>incl</v>
      </c>
      <c r="G92" s="31" t="s">
        <v>212</v>
      </c>
      <c r="H92" s="1" t="s">
        <v>213</v>
      </c>
      <c r="I92" s="8">
        <f>VLOOKUP($G92,'NZT data'!$B$3:$C$200,2,FALSE)</f>
        <v>0</v>
      </c>
      <c r="J92" s="32">
        <f>'input site'!AS92</f>
        <v>59.300728006451607</v>
      </c>
      <c r="K92" s="32">
        <f>'input site'!BS92</f>
        <v>58.315718544232048</v>
      </c>
      <c r="L92" s="32">
        <f t="shared" si="21"/>
        <v>58.315718544232048</v>
      </c>
      <c r="M92" s="32">
        <f t="shared" si="22"/>
        <v>31.454242652170997</v>
      </c>
      <c r="N92" s="32">
        <f>'input site'!EV92</f>
        <v>31.454242652170997</v>
      </c>
      <c r="O92" s="8"/>
      <c r="P92" s="8"/>
      <c r="Q92" s="32">
        <f t="shared" si="23"/>
        <v>6.3971765470184039</v>
      </c>
      <c r="R92" s="32">
        <f>'input site'!EZ92</f>
        <v>6.3971765470184039</v>
      </c>
      <c r="S92" s="37">
        <f>'input site'!FA92</f>
        <v>0</v>
      </c>
      <c r="T92" s="37" t="str">
        <f>Table12[[#This Row],[(Mt CO2 equivalent)]]</f>
        <v>Guatemala</v>
      </c>
      <c r="U92" s="8">
        <f>VLOOKUP($G92,'NZT data'!$B$3:$F$200,4,FALSE)</f>
        <v>2110</v>
      </c>
      <c r="V92" s="32" t="str">
        <f>VLOOKUP($G92,'NZT data'!$B$3:$F$200,5,FALSE)</f>
        <v/>
      </c>
      <c r="W92" s="32">
        <f>-IF('LUC NGHGI'!EC82="",MIN('LUC NGHGI'!DW82,0.1),MIN('LUC NGHGI'!EC82,0.1))</f>
        <v>-0.1</v>
      </c>
      <c r="X92" s="32">
        <f>'LUC NGHGI'!EC82</f>
        <v>177.13</v>
      </c>
      <c r="Y92" s="32">
        <f>'LUC NGHGI'!DY82</f>
        <v>-40</v>
      </c>
      <c r="Z92" s="32">
        <f>'LUC NGHGI'!DZ82</f>
        <v>-40</v>
      </c>
      <c r="AA92" s="32">
        <f>Table12[[#This Row],[2021 emissions]]</f>
        <v>59.300728006451607</v>
      </c>
      <c r="AB92" s="32">
        <f>'LUC NGHGI'!DW82</f>
        <v>27.968371006451605</v>
      </c>
      <c r="AC92" s="32">
        <f>IF(F92="incl",Table12[[#This Row],[GHG emissions incl LULUCF]]-Table12[[#This Row],[LULUCF emis-sions in 20213]],Table12[[#This Row],[GHG emissions incl LULUCF]])</f>
        <v>31.332357000000002</v>
      </c>
      <c r="AD92" s="32">
        <f>'input site'!BS92</f>
        <v>58.315718544232048</v>
      </c>
      <c r="AE92" s="32">
        <f>'LUC NGHGI'!EH82</f>
        <v>10.220382447404948</v>
      </c>
      <c r="AF92" s="32">
        <f>IF(F92="incl",Table12[[#This Row],[Current Policies 2030 incl LULUCF]]-Table12[[#This Row],[LULUCF CurPol 2030]],Table12[[#This Row],[Current Policies 2030 incl LULUCF]])</f>
        <v>48.095336096827097</v>
      </c>
      <c r="AG92" s="32" t="str">
        <f>IF(Table12[[#This Row],[Net-zero target status]]&lt;=1,"",IF(Table12[[#This Row],[NZ GHG year]]="","",1000000000*(Table12[[#This Row],[residual LULUCF emissions in 2050]]-Table12[[#This Row],[GHG emissions excl LULUCF]])/(Table12[[#This Row],[NZ GHG year]]-2021)/Table12[[#This Row],[Population]]))</f>
        <v/>
      </c>
      <c r="AH92" s="32" t="str">
        <f>IF(Table12[[#This Row],[Peak revised]]="Yes",IF(Table12[[#This Row],[Net-zero target status]]&lt;=1,"",IF(Table12[[#This Row],[NZ GHG year]]="","",1000000000*(Table12[[#This Row],[residual LULUCF emissions in 2050]]-Table12[[#This Row],[GHG emissions excl LULUCF]])/(Table12[[#This Row],[NZ GHG year]]-2021)/Table12[[#This Row],[Population]])),"")</f>
        <v/>
      </c>
      <c r="AI92" s="32">
        <f>MAX(0,(1000000*(Table12[[#This Row],[Current Policies 2030 excl LULUCF]]/2+Table12[[#This Row],[GHG emissions excl LULUCF]]/2)/Table12[[#This Row],[Population]]-$AI$8)*10)*$AI$10</f>
        <v>0</v>
      </c>
      <c r="AJ9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2" s="32" t="str">
        <f>IF(Table12[[#This Row],[Formule no Peak (2)]]="","",Table12[[#This Row],[Penalty (1)]]+Table12[[#This Row],[Formule no Peak (2)]])</f>
        <v/>
      </c>
      <c r="AL92" s="313">
        <f>(Table12[[#This Row],[Current Policies 2030 excl LULUCF]]-Table12[[#This Row],[GHG emissions excl LULUCF]])/(2030-2021)/Table12[[#This Row],[GHG emissions excl LULUCF]]</f>
        <v>5.9445040568789263E-2</v>
      </c>
      <c r="AM92" s="313" t="str">
        <f>IF(Table12[[#This Row],[Net-zero target status]]&lt;=1,"",IF(Table12[[#This Row],[NZ GHG year]]="","",(Table12[[#This Row],[residual LULUCF emissions in 2050]]-Table12[[#This Row],[Current Policies 2030 excl LULUCF]])/(Table12[[#This Row],[NZ GHG year]]-2030)/Table12[[#This Row],[Current Policies 2030 excl LULUCF]]))</f>
        <v/>
      </c>
      <c r="AN92" s="313" t="str">
        <f>IF(Table12[[#This Row],[Net-zero target status]]&lt;=1,"",IF(Table12[[#This Row],[NZ GHG year]]="","",(Table12[[#This Row],[residual LULUCF emissions in 2050]]-Table12[[#This Row],[GHG emissions excl LULUCF]])/(Table12[[#This Row],[NZ GHG year]]-2021)/Table12[[#This Row],[GHG emissions excl LULUCF]]))</f>
        <v/>
      </c>
      <c r="AO92" s="313" t="str">
        <f>IF(Table12[[#This Row],[Net-zero target status]]&lt;=1,"",IF(Table12[[#This Row],[NZ GHG year]]="","",(Table12[[#This Row],[residual LULUCF emissions in 2050]]-Table12[[#This Row],[2030 conditional NDCs]])/(Table12[[#This Row],[NZ GHG year]]-2030)/Table12[[#This Row],[2030 conditional NDCs]]))</f>
        <v/>
      </c>
      <c r="AP92" s="96">
        <f>MAX('input site'!AH92:AS92)</f>
        <v>62.868825000000001</v>
      </c>
      <c r="AQ92" s="95" t="str">
        <f>IF(Table12[[#This Row],[Current Policies 2030 incl LULUCF]]&gt;Table12[[#This Row],[Maximum inventory data]],"No","Yes")</f>
        <v>Yes</v>
      </c>
      <c r="AR92" s="443" t="str">
        <f>IF(Table12[[#This Row],[Net-zero target status]]&gt;=1.5,Table12[[#This Row],[residual LULUCF emissions in 2050]]/Table12[[#This Row],[GHG emissions excl LULUCF]],"")</f>
        <v/>
      </c>
      <c r="AS92" s="74">
        <f>'input site'!BE92</f>
        <v>47.818800000000003</v>
      </c>
      <c r="AT92" s="74">
        <f>'input site'!BF92</f>
        <v>47.818800000000003</v>
      </c>
      <c r="AU92" s="74">
        <f>'input site'!BG92</f>
        <v>41.679900000000004</v>
      </c>
      <c r="AV92" s="75">
        <f>'input site'!BH92</f>
        <v>41.679900000000004</v>
      </c>
      <c r="AW92" s="74">
        <f>IF(Table12[[#This Row],[2030 unconditional NDCs]]="","",IF(F92="incl",Table12[[#This Row],[2030 unconditional NDCs]]-Table12[[#This Row],[LULUCF NDC uncond]],Table12[[#This Row],[2030 unconditional NDCs]]))</f>
        <v>87.81880000000001</v>
      </c>
      <c r="AX92" s="74">
        <f>IF(Table12[[#This Row],[2030 unconditional NDCs2]]="","",IF(F92="incl",Table12[[#This Row],[2030 unconditional NDCs2]]-Table12[[#This Row],[LULUCF NDC uncond]],Table12[[#This Row],[2030 unconditional NDCs2]]))</f>
        <v>87.81880000000001</v>
      </c>
      <c r="AY92" s="74">
        <f>IF(Table12[[#This Row],[2030 conditional NDCs]]="","",IF(F92="incl",Table12[[#This Row],[2030 conditional NDCs]]-Table12[[#This Row],[LULUCF NDC cond]],Table12[[#This Row],[2030 conditional NDCs]]))</f>
        <v>81.679900000000004</v>
      </c>
      <c r="AZ92" s="74">
        <f>IF(Table12[[#This Row],[2030 conditional NDCs2]]="","",IF(F92="incl",Table12[[#This Row],[2030 conditional NDCs2]]-Table12[[#This Row],[LULUCF NDC cond]],Table12[[#This Row],[2030 conditional NDCs2]]))</f>
        <v>81.679900000000004</v>
      </c>
      <c r="BA92" s="8">
        <f>VLOOKUP($G92,'Population90 20'!$C$6:$AU$231,37,FALSE)</f>
        <v>18584039</v>
      </c>
      <c r="BB92" s="8">
        <f>VLOOKUP($G92,'Overview GDP (PPP)'!$C$6:$AI$231,33,FALSE)</f>
        <v>129511395.80645081</v>
      </c>
      <c r="BC92" s="36">
        <f>Table12[[#This Row],[Income]]/Table12[[#This Row],[Population]]</f>
        <v>6.968958459807947</v>
      </c>
      <c r="BD92" s="36">
        <f>Table12[[#This Row],[GHG emissions excl LULUCF]]*1000000/Table12[[#This Row],[Population]]</f>
        <v>1.685982094635079</v>
      </c>
      <c r="BE92" s="23" t="e">
        <f>VLOOKUP($G92,EGR2023_MASTER!$B$4:$S$38,14,FALSE)</f>
        <v>#N/A</v>
      </c>
      <c r="BF92" s="23" t="e">
        <f>VLOOKUP($G92,EGR2023_MASTER!$B$4:$S$38,15,FALSE)</f>
        <v>#N/A</v>
      </c>
      <c r="BG92" s="23" t="e">
        <f>VLOOKUP($G92,EGR2023_MASTER!$B$4:$S$38,16,FALSE)</f>
        <v>#N/A</v>
      </c>
      <c r="BH92" s="23" t="e">
        <f t="shared" si="19"/>
        <v>#N/A</v>
      </c>
      <c r="BI92" s="23" t="e">
        <f t="shared" si="20"/>
        <v>#N/A</v>
      </c>
      <c r="BJ92" s="552">
        <f>(Table12[[#This Row],[Current Policies 2030 excl LULUCF]]/Table12[[#This Row],[GHG emissions excl LULUCF]])^(1/(2030-2021))-1</f>
        <v>4.8766671415718887E-2</v>
      </c>
      <c r="BK92" s="552" t="str">
        <f>IF(Table12[[#This Row],[Net-zero target status]]&lt;=1,"",IF(Table12[[#This Row],[NZ GHG year]]="","",((MAX(Table12[[#This Row],[residual LULUCF emissions in 2050]],0.1)/Table12[[#This Row],[Current Policies 2030 excl LULUCF]])^(1/(Table12[[#This Row],[NZ GHG year]]-2021))-1)))</f>
        <v/>
      </c>
      <c r="BL92" s="552" t="str">
        <f>IF(Table12[[#This Row],[Net-zero target status]]&lt;=1,"",IF(Table12[[#This Row],[NZ GHG year]]="","",((MAX(Table12[[#This Row],[residual LULUCF emissions in 2050]],0.1)/Table12[[#This Row],[GHG emissions excl LULUCF]])^(1/(Table12[[#This Row],[NZ GHG year]]-2021))-1)))</f>
        <v/>
      </c>
      <c r="BM92" s="552" t="str">
        <f>IF(Table12[[#This Row],[Net-zero target status]]&lt;=1,"",IF(Table12[[#This Row],[NZ GHG year]]="","",((MAX(Table12[[#This Row],[residual LULUCF emissions in 2050]],0.1)/AVERAGE(Table12[[#This Row],[2030 conditional NDCs]:[2030 conditional NDCs2]]))^(1/(Table12[[#This Row],[NZ GHG year]]-2021))-1)))</f>
        <v/>
      </c>
      <c r="BN92" s="23"/>
      <c r="BO92" s="23"/>
      <c r="BP92" s="23"/>
      <c r="BQ92" s="23"/>
      <c r="BR92" s="50" t="s">
        <v>213</v>
      </c>
      <c r="BT92" s="30" t="str">
        <f>IF(Table12[[#This Row],[Reduction rate 2021 to NZ target2]]="","",J92*(1+AN92)^(Table12[[#This Row],[NZ GHG year]]-2021))</f>
        <v/>
      </c>
    </row>
    <row r="93" spans="1:72" ht="15" x14ac:dyDescent="0.25">
      <c r="A93">
        <v>0</v>
      </c>
      <c r="B93">
        <v>0</v>
      </c>
      <c r="C93">
        <v>324</v>
      </c>
      <c r="D93">
        <v>82</v>
      </c>
      <c r="E93">
        <v>8</v>
      </c>
      <c r="F93" t="str">
        <f>'input site'!M93</f>
        <v>excl</v>
      </c>
      <c r="G93" s="31" t="s">
        <v>214</v>
      </c>
      <c r="H93" s="1" t="s">
        <v>215</v>
      </c>
      <c r="I93" s="8">
        <f>VLOOKUP($G93,'NZT data'!$B$3:$C$200,2,FALSE)</f>
        <v>1</v>
      </c>
      <c r="J93" s="32">
        <f>'input site'!AS93</f>
        <v>32.034460000000003</v>
      </c>
      <c r="K93" s="32">
        <f>'input site'!BS93</f>
        <v>38.152611423118188</v>
      </c>
      <c r="L93" s="32">
        <f t="shared" si="21"/>
        <v>0</v>
      </c>
      <c r="M93" s="32">
        <f t="shared" si="22"/>
        <v>0</v>
      </c>
      <c r="N93" s="32">
        <f>'input site'!EV93</f>
        <v>26.947010842464966</v>
      </c>
      <c r="O93" s="8"/>
      <c r="P93" s="36"/>
      <c r="Q93" s="32">
        <f t="shared" si="23"/>
        <v>0</v>
      </c>
      <c r="R93" s="32">
        <f>'input site'!EZ93</f>
        <v>15.349025054353019</v>
      </c>
      <c r="S93" s="37">
        <f>'input site'!FA93</f>
        <v>2050</v>
      </c>
      <c r="T93" s="37" t="str">
        <f>Table12[[#This Row],[(Mt CO2 equivalent)]]</f>
        <v>Guinea</v>
      </c>
      <c r="U93" s="8">
        <f>VLOOKUP($G93,'NZT data'!$B$3:$F$200,4,FALSE)</f>
        <v>2110</v>
      </c>
      <c r="V93" s="32">
        <f>VLOOKUP($G93,'NZT data'!$B$3:$F$200,5,FALSE)</f>
        <v>2110</v>
      </c>
      <c r="W93" s="32">
        <f>-IF('LUC NGHGI'!EC83="",MIN('LUC NGHGI'!DW83,0.1),MIN('LUC NGHGI'!EC83,0.1))</f>
        <v>5.9756888597701163</v>
      </c>
      <c r="X93" s="32">
        <f>'LUC NGHGI'!EC83</f>
        <v>-5.9756888597701163</v>
      </c>
      <c r="Y93" s="32">
        <f>'LUC NGHGI'!DY83</f>
        <v>-5.9756888597701163</v>
      </c>
      <c r="Z93" s="32">
        <f>'LUC NGHGI'!DZ83</f>
        <v>-5.9756888597701163</v>
      </c>
      <c r="AA93" s="32">
        <f>Table12[[#This Row],[2021 emissions]]</f>
        <v>32.034460000000003</v>
      </c>
      <c r="AB93" s="32">
        <f>'LUC NGHGI'!DW83</f>
        <v>-5.5065919862067858</v>
      </c>
      <c r="AC93" s="32">
        <f>IF(F93="incl",Table12[[#This Row],[GHG emissions incl LULUCF]]-Table12[[#This Row],[LULUCF emis-sions in 20213]],Table12[[#This Row],[GHG emissions incl LULUCF]])</f>
        <v>32.034460000000003</v>
      </c>
      <c r="AD93" s="32">
        <f>'input site'!BS93</f>
        <v>38.152611423118188</v>
      </c>
      <c r="AE93" s="32">
        <f>'LUC NGHGI'!EH83</f>
        <v>-7.7546311336762699</v>
      </c>
      <c r="AF93" s="32">
        <f>IF(F93="incl",Table12[[#This Row],[Current Policies 2030 incl LULUCF]]-Table12[[#This Row],[LULUCF CurPol 2030]],Table12[[#This Row],[Current Policies 2030 incl LULUCF]])</f>
        <v>38.152611423118188</v>
      </c>
      <c r="AG93" s="32" t="str">
        <f>IF(Table12[[#This Row],[Net-zero target status]]&lt;=1,"",IF(Table12[[#This Row],[NZ GHG year]]="","",1000000000*(Table12[[#This Row],[residual LULUCF emissions in 2050]]-Table12[[#This Row],[GHG emissions excl LULUCF]])/(Table12[[#This Row],[NZ GHG year]]-2021)/Table12[[#This Row],[Population]]))</f>
        <v/>
      </c>
      <c r="AH93" s="32" t="str">
        <f>IF(Table12[[#This Row],[Peak revised]]="Yes",IF(Table12[[#This Row],[Net-zero target status]]&lt;=1,"",IF(Table12[[#This Row],[NZ GHG year]]="","",1000000000*(Table12[[#This Row],[residual LULUCF emissions in 2050]]-Table12[[#This Row],[GHG emissions excl LULUCF]])/(Table12[[#This Row],[NZ GHG year]]-2021)/Table12[[#This Row],[Population]])),"")</f>
        <v/>
      </c>
      <c r="AI93" s="32">
        <f>MAX(0,(1000000*(Table12[[#This Row],[Current Policies 2030 excl LULUCF]]/2+Table12[[#This Row],[GHG emissions excl LULUCF]]/2)/Table12[[#This Row],[Population]]-$AI$8)*10)*$AI$10</f>
        <v>0</v>
      </c>
      <c r="AJ9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3" s="32" t="str">
        <f>IF(Table12[[#This Row],[Formule no Peak (2)]]="","",Table12[[#This Row],[Penalty (1)]]+Table12[[#This Row],[Formule no Peak (2)]])</f>
        <v/>
      </c>
      <c r="AL93" s="313">
        <f>(Table12[[#This Row],[Current Policies 2030 excl LULUCF]]-Table12[[#This Row],[GHG emissions excl LULUCF]])/(2030-2021)/Table12[[#This Row],[GHG emissions excl LULUCF]]</f>
        <v>2.1220729257452352E-2</v>
      </c>
      <c r="AM93" s="313" t="str">
        <f>IF(Table12[[#This Row],[Net-zero target status]]&lt;=1,"",IF(Table12[[#This Row],[NZ GHG year]]="","",(Table12[[#This Row],[residual LULUCF emissions in 2050]]-Table12[[#This Row],[Current Policies 2030 excl LULUCF]])/(Table12[[#This Row],[NZ GHG year]]-2030)/Table12[[#This Row],[Current Policies 2030 excl LULUCF]]))</f>
        <v/>
      </c>
      <c r="AN93" s="313" t="str">
        <f>IF(Table12[[#This Row],[Net-zero target status]]&lt;=1,"",IF(Table12[[#This Row],[NZ GHG year]]="","",(Table12[[#This Row],[residual LULUCF emissions in 2050]]-Table12[[#This Row],[GHG emissions excl LULUCF]])/(Table12[[#This Row],[NZ GHG year]]-2021)/Table12[[#This Row],[GHG emissions excl LULUCF]]))</f>
        <v/>
      </c>
      <c r="AO93" s="313" t="str">
        <f>IF(Table12[[#This Row],[Net-zero target status]]&lt;=1,"",IF(Table12[[#This Row],[NZ GHG year]]="","",(Table12[[#This Row],[residual LULUCF emissions in 2050]]-Table12[[#This Row],[2030 conditional NDCs]])/(Table12[[#This Row],[NZ GHG year]]-2030)/Table12[[#This Row],[2030 conditional NDCs]]))</f>
        <v/>
      </c>
      <c r="AP93" s="96">
        <f>MAX('input site'!AH93:AS93)</f>
        <v>32.034460000000003</v>
      </c>
      <c r="AQ93" s="95" t="str">
        <f>IF(Table12[[#This Row],[Current Policies 2030 incl LULUCF]]&gt;Table12[[#This Row],[Maximum inventory data]],"No","Yes")</f>
        <v>No</v>
      </c>
      <c r="AR93" s="34" t="str">
        <f>IF(Table12[[#This Row],[Net-zero target status]]&gt;=1.5,Table12[[#This Row],[residual LULUCF emissions in 2050]]/Table12[[#This Row],[GHG emissions excl LULUCF]],"")</f>
        <v/>
      </c>
      <c r="AS93" s="76">
        <f>'input site'!BE93</f>
        <v>20.927025</v>
      </c>
      <c r="AT93" s="76">
        <f>'input site'!BF93</f>
        <v>20.927025</v>
      </c>
      <c r="AU93" s="76">
        <f>'input site'!BG93</f>
        <v>19.235250000000001</v>
      </c>
      <c r="AV93" s="77">
        <f>'input site'!BH93</f>
        <v>19.235250000000001</v>
      </c>
      <c r="AW93" s="74">
        <f>IF(Table12[[#This Row],[2030 unconditional NDCs]]="","",IF(F93="incl",Table12[[#This Row],[2030 unconditional NDCs]]-Table12[[#This Row],[LULUCF NDC uncond]],Table12[[#This Row],[2030 unconditional NDCs]]))</f>
        <v>20.927025</v>
      </c>
      <c r="AX93" s="74">
        <f>IF(Table12[[#This Row],[2030 unconditional NDCs2]]="","",IF(F93="incl",Table12[[#This Row],[2030 unconditional NDCs2]]-Table12[[#This Row],[LULUCF NDC uncond]],Table12[[#This Row],[2030 unconditional NDCs2]]))</f>
        <v>20.927025</v>
      </c>
      <c r="AY93" s="74">
        <f>IF(Table12[[#This Row],[2030 conditional NDCs]]="","",IF(F93="incl",Table12[[#This Row],[2030 conditional NDCs]]-Table12[[#This Row],[LULUCF NDC cond]],Table12[[#This Row],[2030 conditional NDCs]]))</f>
        <v>19.235250000000001</v>
      </c>
      <c r="AZ93" s="74">
        <f>IF(Table12[[#This Row],[2030 conditional NDCs2]]="","",IF(F93="incl",Table12[[#This Row],[2030 conditional NDCs2]]-Table12[[#This Row],[LULUCF NDC cond]],Table12[[#This Row],[2030 conditional NDCs2]]))</f>
        <v>19.235250000000001</v>
      </c>
      <c r="BA93" s="8">
        <f>VLOOKUP($G93,'Population90 20'!$C$6:$AU$231,37,FALSE)</f>
        <v>13865691</v>
      </c>
      <c r="BB93" s="8">
        <f>VLOOKUP($G93,'Overview GDP (PPP)'!$C$6:$AI$231,33,FALSE)</f>
        <v>29024073.6897173</v>
      </c>
      <c r="BC93" s="36">
        <f>Table12[[#This Row],[Income]]/Table12[[#This Row],[Population]]</f>
        <v>2.0932295180757525</v>
      </c>
      <c r="BD93" s="36">
        <f>Table12[[#This Row],[GHG emissions excl LULUCF]]*1000000/Table12[[#This Row],[Population]]</f>
        <v>2.3103399606986774</v>
      </c>
      <c r="BE93" s="23" t="e">
        <f>VLOOKUP($G93,EGR2023_MASTER!$B$4:$S$38,14,FALSE)</f>
        <v>#N/A</v>
      </c>
      <c r="BF93" s="23" t="e">
        <f>VLOOKUP($G93,EGR2023_MASTER!$B$4:$S$38,15,FALSE)</f>
        <v>#N/A</v>
      </c>
      <c r="BG93" s="23" t="e">
        <f>VLOOKUP($G93,EGR2023_MASTER!$B$4:$S$38,16,FALSE)</f>
        <v>#N/A</v>
      </c>
      <c r="BH93" s="23" t="e">
        <f t="shared" si="19"/>
        <v>#N/A</v>
      </c>
      <c r="BI93" s="23" t="e">
        <f t="shared" si="20"/>
        <v>#N/A</v>
      </c>
      <c r="BJ93" s="552">
        <f>(Table12[[#This Row],[Current Policies 2030 excl LULUCF]]/Table12[[#This Row],[GHG emissions excl LULUCF]])^(1/(2030-2021))-1</f>
        <v>1.9610022352633871E-2</v>
      </c>
      <c r="BK93" s="552" t="str">
        <f>IF(Table12[[#This Row],[Net-zero target status]]&lt;=1,"",IF(Table12[[#This Row],[NZ GHG year]]="","",((MAX(Table12[[#This Row],[residual LULUCF emissions in 2050]],0.1)/Table12[[#This Row],[Current Policies 2030 excl LULUCF]])^(1/(Table12[[#This Row],[NZ GHG year]]-2021))-1)))</f>
        <v/>
      </c>
      <c r="BL93" s="552" t="str">
        <f>IF(Table12[[#This Row],[Net-zero target status]]&lt;=1,"",IF(Table12[[#This Row],[NZ GHG year]]="","",((MAX(Table12[[#This Row],[residual LULUCF emissions in 2050]],0.1)/Table12[[#This Row],[GHG emissions excl LULUCF]])^(1/(Table12[[#This Row],[NZ GHG year]]-2021))-1)))</f>
        <v/>
      </c>
      <c r="BM93" s="552" t="str">
        <f>IF(Table12[[#This Row],[Net-zero target status]]&lt;=1,"",IF(Table12[[#This Row],[NZ GHG year]]="","",((MAX(Table12[[#This Row],[residual LULUCF emissions in 2050]],0.1)/AVERAGE(Table12[[#This Row],[2030 conditional NDCs]:[2030 conditional NDCs2]]))^(1/(Table12[[#This Row],[NZ GHG year]]-2021))-1)))</f>
        <v/>
      </c>
      <c r="BN93" s="23"/>
      <c r="BO93" s="23"/>
      <c r="BP93" s="23"/>
      <c r="BQ93" s="23"/>
      <c r="BR93" s="50" t="s">
        <v>215</v>
      </c>
      <c r="BT93" s="30" t="str">
        <f>IF(Table12[[#This Row],[Reduction rate 2021 to NZ target2]]="","",J93*(1+AN93)^(Table12[[#This Row],[NZ GHG year]]-2021))</f>
        <v/>
      </c>
    </row>
    <row r="94" spans="1:72" ht="15" x14ac:dyDescent="0.25">
      <c r="A94">
        <v>0</v>
      </c>
      <c r="B94">
        <v>0</v>
      </c>
      <c r="C94">
        <v>624</v>
      </c>
      <c r="D94">
        <v>161</v>
      </c>
      <c r="E94">
        <v>8</v>
      </c>
      <c r="F94" t="str">
        <f>'input site'!M94</f>
        <v>excl</v>
      </c>
      <c r="G94" s="31" t="s">
        <v>216</v>
      </c>
      <c r="H94" s="1" t="s">
        <v>217</v>
      </c>
      <c r="I94" s="8">
        <f>VLOOKUP($G94,'NZT data'!$B$3:$C$200,2,FALSE)</f>
        <v>1</v>
      </c>
      <c r="J94" s="32">
        <f>'input site'!AS94</f>
        <v>3.2672108</v>
      </c>
      <c r="K94" s="32">
        <f>'input site'!BS94</f>
        <v>3.8912041623244185</v>
      </c>
      <c r="L94" s="32">
        <f t="shared" si="21"/>
        <v>0</v>
      </c>
      <c r="M94" s="32">
        <f t="shared" si="22"/>
        <v>0</v>
      </c>
      <c r="N94" s="32">
        <f>'input site'!EV94</f>
        <v>2.9873705544849742</v>
      </c>
      <c r="O94" s="8"/>
      <c r="P94" s="36"/>
      <c r="Q94" s="32">
        <f t="shared" si="23"/>
        <v>0</v>
      </c>
      <c r="R94" s="32">
        <f>'input site'!EZ94</f>
        <v>1.70160711907859</v>
      </c>
      <c r="S94" s="37">
        <f>'input site'!FA94</f>
        <v>2050</v>
      </c>
      <c r="T94" s="37" t="str">
        <f>Table12[[#This Row],[(Mt CO2 equivalent)]]</f>
        <v>Guinea-Bissau</v>
      </c>
      <c r="U94" s="8">
        <f>VLOOKUP($G94,'NZT data'!$B$3:$F$200,4,FALSE)</f>
        <v>2110</v>
      </c>
      <c r="V94" s="32">
        <f>VLOOKUP($G94,'NZT data'!$B$3:$F$200,5,FALSE)</f>
        <v>2110</v>
      </c>
      <c r="W94" s="32">
        <f>-IF('LUC NGHGI'!EC84="",MIN('LUC NGHGI'!DW84,0.1),MIN('LUC NGHGI'!EC84,0.1))</f>
        <v>-0.1</v>
      </c>
      <c r="X94" s="32">
        <f>'LUC NGHGI'!EC84</f>
        <v>12.096932289854976</v>
      </c>
      <c r="Y94" s="32">
        <f>'LUC NGHGI'!DY84</f>
        <v>12.096932289854976</v>
      </c>
      <c r="Z94" s="32">
        <f>'LUC NGHGI'!DZ84</f>
        <v>12.096932289854976</v>
      </c>
      <c r="AA94" s="32">
        <f>Table12[[#This Row],[2021 emissions]]</f>
        <v>3.2672108</v>
      </c>
      <c r="AB94" s="32">
        <f>'LUC NGHGI'!DW84</f>
        <v>12.89092052173919</v>
      </c>
      <c r="AC94" s="32">
        <f>IF(F94="incl",Table12[[#This Row],[GHG emissions incl LULUCF]]-Table12[[#This Row],[LULUCF emis-sions in 20213]],Table12[[#This Row],[GHG emissions incl LULUCF]])</f>
        <v>3.2672108</v>
      </c>
      <c r="AD94" s="32">
        <f>'input site'!BS94</f>
        <v>3.8912041623244185</v>
      </c>
      <c r="AE94" s="32">
        <f>'LUC NGHGI'!EH84</f>
        <v>8.4957166409145053</v>
      </c>
      <c r="AF94" s="32">
        <f>IF(F94="incl",Table12[[#This Row],[Current Policies 2030 incl LULUCF]]-Table12[[#This Row],[LULUCF CurPol 2030]],Table12[[#This Row],[Current Policies 2030 incl LULUCF]])</f>
        <v>3.8912041623244185</v>
      </c>
      <c r="AG94" s="32" t="str">
        <f>IF(Table12[[#This Row],[Net-zero target status]]&lt;=1,"",IF(Table12[[#This Row],[NZ GHG year]]="","",1000000000*(Table12[[#This Row],[residual LULUCF emissions in 2050]]-Table12[[#This Row],[GHG emissions excl LULUCF]])/(Table12[[#This Row],[NZ GHG year]]-2021)/Table12[[#This Row],[Population]]))</f>
        <v/>
      </c>
      <c r="AH94" s="32" t="str">
        <f>IF(Table12[[#This Row],[Peak revised]]="Yes",IF(Table12[[#This Row],[Net-zero target status]]&lt;=1,"",IF(Table12[[#This Row],[NZ GHG year]]="","",1000000000*(Table12[[#This Row],[residual LULUCF emissions in 2050]]-Table12[[#This Row],[GHG emissions excl LULUCF]])/(Table12[[#This Row],[NZ GHG year]]-2021)/Table12[[#This Row],[Population]])),"")</f>
        <v/>
      </c>
      <c r="AI94" s="32">
        <f>MAX(0,(1000000*(Table12[[#This Row],[Current Policies 2030 excl LULUCF]]/2+Table12[[#This Row],[GHG emissions excl LULUCF]]/2)/Table12[[#This Row],[Population]]-$AI$8)*10)*$AI$10</f>
        <v>0</v>
      </c>
      <c r="AJ9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4" s="32" t="str">
        <f>IF(Table12[[#This Row],[Formule no Peak (2)]]="","",Table12[[#This Row],[Penalty (1)]]+Table12[[#This Row],[Formule no Peak (2)]])</f>
        <v/>
      </c>
      <c r="AL94" s="313">
        <f>(Table12[[#This Row],[Current Policies 2030 excl LULUCF]]-Table12[[#This Row],[GHG emissions excl LULUCF]])/(2030-2021)/Table12[[#This Row],[GHG emissions excl LULUCF]]</f>
        <v>2.1220729257452345E-2</v>
      </c>
      <c r="AM94" s="313" t="str">
        <f>IF(Table12[[#This Row],[Net-zero target status]]&lt;=1,"",IF(Table12[[#This Row],[NZ GHG year]]="","",(Table12[[#This Row],[residual LULUCF emissions in 2050]]-Table12[[#This Row],[Current Policies 2030 excl LULUCF]])/(Table12[[#This Row],[NZ GHG year]]-2030)/Table12[[#This Row],[Current Policies 2030 excl LULUCF]]))</f>
        <v/>
      </c>
      <c r="AN94" s="313" t="str">
        <f>IF(Table12[[#This Row],[Net-zero target status]]&lt;=1,"",IF(Table12[[#This Row],[NZ GHG year]]="","",(Table12[[#This Row],[residual LULUCF emissions in 2050]]-Table12[[#This Row],[GHG emissions excl LULUCF]])/(Table12[[#This Row],[NZ GHG year]]-2021)/Table12[[#This Row],[GHG emissions excl LULUCF]]))</f>
        <v/>
      </c>
      <c r="AO94" s="313" t="str">
        <f>IF(Table12[[#This Row],[Net-zero target status]]&lt;=1,"",IF(Table12[[#This Row],[NZ GHG year]]="","",(Table12[[#This Row],[residual LULUCF emissions in 2050]]-Table12[[#This Row],[2030 conditional NDCs]])/(Table12[[#This Row],[NZ GHG year]]-2030)/Table12[[#This Row],[2030 conditional NDCs]]))</f>
        <v/>
      </c>
      <c r="AP94" s="96">
        <f>MAX('input site'!AH94:AS94)</f>
        <v>3.2672108</v>
      </c>
      <c r="AQ94" s="95" t="str">
        <f>IF(Table12[[#This Row],[Current Policies 2030 incl LULUCF]]&gt;Table12[[#This Row],[Maximum inventory data]],"No","Yes")</f>
        <v>No</v>
      </c>
      <c r="AR94" s="34" t="str">
        <f>IF(Table12[[#This Row],[Net-zero target status]]&gt;=1.5,Table12[[#This Row],[residual LULUCF emissions in 2050]]/Table12[[#This Row],[GHG emissions excl LULUCF]],"")</f>
        <v/>
      </c>
      <c r="AS94" s="74" t="str">
        <f>'input site'!BE94</f>
        <v/>
      </c>
      <c r="AT94" s="74" t="str">
        <f>'input site'!BF94</f>
        <v/>
      </c>
      <c r="AU94" s="74" t="str">
        <f>'input site'!BG94</f>
        <v/>
      </c>
      <c r="AV94" s="75" t="str">
        <f>'input site'!BH94</f>
        <v/>
      </c>
      <c r="AW94" s="74" t="str">
        <f>IF(Table12[[#This Row],[2030 unconditional NDCs]]="","",IF(F94="incl",Table12[[#This Row],[2030 unconditional NDCs]]-Table12[[#This Row],[LULUCF NDC uncond]],Table12[[#This Row],[2030 unconditional NDCs]]))</f>
        <v/>
      </c>
      <c r="AX94" s="74" t="str">
        <f>IF(Table12[[#This Row],[2030 unconditional NDCs2]]="","",IF(F94="incl",Table12[[#This Row],[2030 unconditional NDCs2]]-Table12[[#This Row],[LULUCF NDC uncond]],Table12[[#This Row],[2030 unconditional NDCs2]]))</f>
        <v/>
      </c>
      <c r="AY94" s="74" t="str">
        <f>IF(Table12[[#This Row],[2030 conditional NDCs]]="","",IF(F94="incl",Table12[[#This Row],[2030 conditional NDCs]]-Table12[[#This Row],[LULUCF NDC cond]],Table12[[#This Row],[2030 conditional NDCs]]))</f>
        <v/>
      </c>
      <c r="AZ94" s="74" t="str">
        <f>IF(Table12[[#This Row],[2030 conditional NDCs2]]="","",IF(F94="incl",Table12[[#This Row],[2030 conditional NDCs2]]-Table12[[#This Row],[LULUCF NDC cond]],Table12[[#This Row],[2030 conditional NDCs2]]))</f>
        <v/>
      </c>
      <c r="BA94" s="8">
        <f>VLOOKUP($G94,'Population90 20'!$C$6:$AU$231,37,FALSE)</f>
        <v>2063367.0000000002</v>
      </c>
      <c r="BB94" s="8">
        <f>VLOOKUP($G94,'Overview GDP (PPP)'!$C$6:$AI$231,33,FALSE)</f>
        <v>2992063.4062959002</v>
      </c>
      <c r="BC94" s="36">
        <f>Table12[[#This Row],[Income]]/Table12[[#This Row],[Population]]</f>
        <v>1.450087844913629</v>
      </c>
      <c r="BD94" s="36">
        <f>Table12[[#This Row],[GHG emissions excl LULUCF]]*1000000/Table12[[#This Row],[Population]]</f>
        <v>1.5834365868989857</v>
      </c>
      <c r="BE94" s="23" t="e">
        <f>VLOOKUP($G94,EGR2023_MASTER!$B$4:$S$38,14,FALSE)</f>
        <v>#N/A</v>
      </c>
      <c r="BF94" s="23" t="e">
        <f>VLOOKUP($G94,EGR2023_MASTER!$B$4:$S$38,15,FALSE)</f>
        <v>#N/A</v>
      </c>
      <c r="BG94" s="23" t="e">
        <f>VLOOKUP($G94,EGR2023_MASTER!$B$4:$S$38,16,FALSE)</f>
        <v>#N/A</v>
      </c>
      <c r="BH94" s="23" t="e">
        <f t="shared" si="19"/>
        <v>#N/A</v>
      </c>
      <c r="BI94" s="23" t="e">
        <f t="shared" si="20"/>
        <v>#N/A</v>
      </c>
      <c r="BJ94" s="552">
        <f>(Table12[[#This Row],[Current Policies 2030 excl LULUCF]]/Table12[[#This Row],[GHG emissions excl LULUCF]])^(1/(2030-2021))-1</f>
        <v>1.9610022352633871E-2</v>
      </c>
      <c r="BK94" s="552" t="str">
        <f>IF(Table12[[#This Row],[Net-zero target status]]&lt;=1,"",IF(Table12[[#This Row],[NZ GHG year]]="","",((MAX(Table12[[#This Row],[residual LULUCF emissions in 2050]],0.1)/Table12[[#This Row],[Current Policies 2030 excl LULUCF]])^(1/(Table12[[#This Row],[NZ GHG year]]-2021))-1)))</f>
        <v/>
      </c>
      <c r="BL94" s="552" t="str">
        <f>IF(Table12[[#This Row],[Net-zero target status]]&lt;=1,"",IF(Table12[[#This Row],[NZ GHG year]]="","",((MAX(Table12[[#This Row],[residual LULUCF emissions in 2050]],0.1)/Table12[[#This Row],[GHG emissions excl LULUCF]])^(1/(Table12[[#This Row],[NZ GHG year]]-2021))-1)))</f>
        <v/>
      </c>
      <c r="BM94" s="552" t="str">
        <f>IF(Table12[[#This Row],[Net-zero target status]]&lt;=1,"",IF(Table12[[#This Row],[NZ GHG year]]="","",((MAX(Table12[[#This Row],[residual LULUCF emissions in 2050]],0.1)/AVERAGE(Table12[[#This Row],[2030 conditional NDCs]:[2030 conditional NDCs2]]))^(1/(Table12[[#This Row],[NZ GHG year]]-2021))-1)))</f>
        <v/>
      </c>
      <c r="BN94" s="23"/>
      <c r="BO94" s="23"/>
      <c r="BP94" s="23"/>
      <c r="BQ94" s="23"/>
      <c r="BR94" s="50" t="s">
        <v>217</v>
      </c>
      <c r="BT94" s="30" t="str">
        <f>IF(Table12[[#This Row],[Reduction rate 2021 to NZ target2]]="","",J94*(1+AN94)^(Table12[[#This Row],[NZ GHG year]]-2021))</f>
        <v/>
      </c>
    </row>
    <row r="95" spans="1:72" ht="15" x14ac:dyDescent="0.25">
      <c r="A95">
        <v>0</v>
      </c>
      <c r="B95">
        <v>0</v>
      </c>
      <c r="C95">
        <v>328</v>
      </c>
      <c r="D95">
        <v>83</v>
      </c>
      <c r="E95">
        <v>6</v>
      </c>
      <c r="F95" t="str">
        <f>'input site'!M95</f>
        <v>excl</v>
      </c>
      <c r="G95" s="31" t="s">
        <v>218</v>
      </c>
      <c r="H95" s="1" t="s">
        <v>219</v>
      </c>
      <c r="I95" s="8">
        <f>VLOOKUP($G95,'NZT data'!$B$3:$C$200,2,FALSE)</f>
        <v>5</v>
      </c>
      <c r="J95" s="32">
        <f>'input site'!AS95</f>
        <v>4.0392345999999995</v>
      </c>
      <c r="K95" s="32">
        <f>'input site'!BS95</f>
        <v>4.4893950594792624</v>
      </c>
      <c r="L95" s="32">
        <f t="shared" si="21"/>
        <v>0</v>
      </c>
      <c r="M95" s="32">
        <f t="shared" si="22"/>
        <v>0</v>
      </c>
      <c r="N95" s="32">
        <f>'input site'!EV95</f>
        <v>2.5719591542318407</v>
      </c>
      <c r="O95" s="8">
        <v>0</v>
      </c>
      <c r="P95" s="36">
        <f>O95-N95</f>
        <v>-2.5719591542318407</v>
      </c>
      <c r="Q95" s="32">
        <f t="shared" si="23"/>
        <v>0</v>
      </c>
      <c r="R95" s="32">
        <f>'input site'!EZ95</f>
        <v>1.5216386113759581</v>
      </c>
      <c r="S95" s="37">
        <f>'input site'!FA95</f>
        <v>2050</v>
      </c>
      <c r="T95" s="37" t="str">
        <f>Table12[[#This Row],[(Mt CO2 equivalent)]]</f>
        <v>Guyana</v>
      </c>
      <c r="U95" s="8">
        <f>VLOOKUP($G95,'NZT data'!$B$3:$F$200,4,FALSE)</f>
        <v>2050</v>
      </c>
      <c r="V95" s="32">
        <f>VLOOKUP($G95,'NZT data'!$B$3:$F$200,5,FALSE)</f>
        <v>2065</v>
      </c>
      <c r="W95" s="32">
        <f>-IF('LUC NGHGI'!EC85="",MIN('LUC NGHGI'!DW85,0.1),MIN('LUC NGHGI'!EC85,0.1))</f>
        <v>48.110886904761969</v>
      </c>
      <c r="X95" s="32">
        <f>'LUC NGHGI'!EC85</f>
        <v>-48.110886904761969</v>
      </c>
      <c r="Y95" s="32">
        <f>'LUC NGHGI'!DY85</f>
        <v>-107</v>
      </c>
      <c r="Z95" s="32">
        <f>'LUC NGHGI'!DZ85</f>
        <v>-107</v>
      </c>
      <c r="AA95" s="32">
        <f>Table12[[#This Row],[2021 emissions]]</f>
        <v>4.0392345999999995</v>
      </c>
      <c r="AB95" s="32">
        <f>'LUC NGHGI'!DW85</f>
        <v>-47.688856190476258</v>
      </c>
      <c r="AC95" s="32">
        <f>IF(F95="incl",Table12[[#This Row],[GHG emissions incl LULUCF]]-Table12[[#This Row],[LULUCF emis-sions in 20213]],Table12[[#This Row],[GHG emissions incl LULUCF]])</f>
        <v>4.0392345999999995</v>
      </c>
      <c r="AD95" s="32">
        <f>'input site'!BS95</f>
        <v>4.4893950594792624</v>
      </c>
      <c r="AE95" s="32">
        <f>'LUC NGHGI'!EH85</f>
        <v>-60.550741414337793</v>
      </c>
      <c r="AF95" s="32">
        <f>IF(F95="incl",Table12[[#This Row],[Current Policies 2030 incl LULUCF]]-Table12[[#This Row],[LULUCF CurPol 2030]],Table12[[#This Row],[Current Policies 2030 incl LULUCF]])</f>
        <v>4.4893950594792624</v>
      </c>
      <c r="AG95" s="32">
        <f>IF(Table12[[#This Row],[Net-zero target status]]&lt;=1,"",IF(Table12[[#This Row],[NZ GHG year]]="","",1000000000*(Table12[[#This Row],[residual LULUCF emissions in 2050]]-Table12[[#This Row],[GHG emissions excl LULUCF]])/(Table12[[#This Row],[NZ GHG year]]-2021)/Table12[[#This Row],[Population]]))</f>
        <v>1261.4253115023241</v>
      </c>
      <c r="AH95" s="32" t="str">
        <f>IF(Table12[[#This Row],[Peak revised]]="Yes",IF(Table12[[#This Row],[Net-zero target status]]&lt;=1,"",IF(Table12[[#This Row],[NZ GHG year]]="","",1000000000*(Table12[[#This Row],[residual LULUCF emissions in 2050]]-Table12[[#This Row],[GHG emissions excl LULUCF]])/(Table12[[#This Row],[NZ GHG year]]-2021)/Table12[[#This Row],[Population]])),"")</f>
        <v/>
      </c>
      <c r="AI95" s="32">
        <f>MAX(0,(1000000*(Table12[[#This Row],[Current Policies 2030 excl LULUCF]]/2+Table12[[#This Row],[GHG emissions excl LULUCF]]/2)/Table12[[#This Row],[Population]]-$AI$8)*10)*$AI$10</f>
        <v>0</v>
      </c>
      <c r="AJ95" s="32">
        <f>IF(Table12[[#This Row],[Peak revised]]="No",IF(Table12[[#This Row],[Net-zero target status]]&lt;=1,"",IF(Table12[[#This Row],[NZ GHG year]]="","",1000000000*(Table12[[#This Row],[residual LULUCF emissions in 2050]]-Table12[[#This Row],[Current Policies 2030 excl LULUCF]])/(Table12[[#This Row],[NZ GHG year]]-2021)/Table12[[#This Row],[Population]])),"")</f>
        <v>1248.5407526503452</v>
      </c>
      <c r="AK95" s="32">
        <f>IF(Table12[[#This Row],[Formule no Peak (2)]]="","",Table12[[#This Row],[Penalty (1)]]+Table12[[#This Row],[Formule no Peak (2)]])</f>
        <v>1248.5407526503452</v>
      </c>
      <c r="AL95" s="313">
        <f>(Table12[[#This Row],[Current Policies 2030 excl LULUCF]]-Table12[[#This Row],[GHG emissions excl LULUCF]])/(2030-2021)/Table12[[#This Row],[GHG emissions excl LULUCF]]</f>
        <v>1.2382996726911882E-2</v>
      </c>
      <c r="AM95" s="313">
        <f>IF(Table12[[#This Row],[Net-zero target status]]&lt;=1,"",IF(Table12[[#This Row],[NZ GHG year]]="","",(Table12[[#This Row],[residual LULUCF emissions in 2050]]-Table12[[#This Row],[Current Policies 2030 excl LULUCF]])/(Table12[[#This Row],[NZ GHG year]]-2030)/Table12[[#This Row],[Current Policies 2030 excl LULUCF]]))</f>
        <v>0.2776160979205991</v>
      </c>
      <c r="AN95" s="313">
        <f>IF(Table12[[#This Row],[Net-zero target status]]&lt;=1,"",IF(Table12[[#This Row],[NZ GHG year]]="","",(Table12[[#This Row],[residual LULUCF emissions in 2050]]-Table12[[#This Row],[GHG emissions excl LULUCF]])/(Table12[[#This Row],[NZ GHG year]]-2021)/Table12[[#This Row],[GHG emissions excl LULUCF]]))</f>
        <v>0.24797481717745809</v>
      </c>
      <c r="AO95" s="313" t="e">
        <f>IF(Table12[[#This Row],[Net-zero target status]]&lt;=1,"",IF(Table12[[#This Row],[NZ GHG year]]="","",(Table12[[#This Row],[residual LULUCF emissions in 2050]]-Table12[[#This Row],[2030 conditional NDCs]])/(Table12[[#This Row],[NZ GHG year]]-2030)/Table12[[#This Row],[2030 conditional NDCs]]))</f>
        <v>#VALUE!</v>
      </c>
      <c r="AP95" s="96">
        <f>MAX('input site'!AH95:AS95)</f>
        <v>4.1040165000000002</v>
      </c>
      <c r="AQ95" s="95" t="str">
        <f>IF(Table12[[#This Row],[Current Policies 2030 incl LULUCF]]&gt;Table12[[#This Row],[Maximum inventory data]],"No","Yes")</f>
        <v>No</v>
      </c>
      <c r="AR95" s="34">
        <f>IF(Table12[[#This Row],[Net-zero target status]]&gt;=1.5,Table12[[#This Row],[residual LULUCF emissions in 2050]]/Table12[[#This Row],[GHG emissions excl LULUCF]],"")</f>
        <v>11.910891955808156</v>
      </c>
      <c r="AS95" s="74" t="str">
        <f>'input site'!BE95</f>
        <v/>
      </c>
      <c r="AT95" s="74" t="str">
        <f>'input site'!BF95</f>
        <v/>
      </c>
      <c r="AU95" s="74" t="str">
        <f>'input site'!BG95</f>
        <v/>
      </c>
      <c r="AV95" s="75" t="str">
        <f>'input site'!BH95</f>
        <v/>
      </c>
      <c r="AW95" s="74" t="str">
        <f>IF(Table12[[#This Row],[2030 unconditional NDCs]]="","",IF(F95="incl",Table12[[#This Row],[2030 unconditional NDCs]]-Table12[[#This Row],[LULUCF NDC uncond]],Table12[[#This Row],[2030 unconditional NDCs]]))</f>
        <v/>
      </c>
      <c r="AX95" s="74" t="str">
        <f>IF(Table12[[#This Row],[2030 unconditional NDCs2]]="","",IF(F95="incl",Table12[[#This Row],[2030 unconditional NDCs2]]-Table12[[#This Row],[LULUCF NDC uncond]],Table12[[#This Row],[2030 unconditional NDCs2]]))</f>
        <v/>
      </c>
      <c r="AY95" s="74" t="str">
        <f>IF(Table12[[#This Row],[2030 conditional NDCs]]="","",IF(F95="incl",Table12[[#This Row],[2030 conditional NDCs]]-Table12[[#This Row],[LULUCF NDC cond]],Table12[[#This Row],[2030 conditional NDCs]]))</f>
        <v/>
      </c>
      <c r="AZ95" s="74" t="str">
        <f>IF(Table12[[#This Row],[2030 conditional NDCs2]]="","",IF(F95="incl",Table12[[#This Row],[2030 conditional NDCs2]]-Table12[[#This Row],[LULUCF NDC cond]],Table12[[#This Row],[2030 conditional NDCs2]]))</f>
        <v/>
      </c>
      <c r="BA95" s="8">
        <f>VLOOKUP($G95,'Population90 20'!$C$6:$AU$231,37,FALSE)</f>
        <v>794045</v>
      </c>
      <c r="BB95" s="8">
        <f>VLOOKUP($G95,'Overview GDP (PPP)'!$C$6:$AI$231,33,FALSE)</f>
        <v>5933435.139240982</v>
      </c>
      <c r="BC95" s="36">
        <f>Table12[[#This Row],[Income]]/Table12[[#This Row],[Population]]</f>
        <v>7.4724167260558056</v>
      </c>
      <c r="BD95" s="36">
        <f>Table12[[#This Row],[GHG emissions excl LULUCF]]*1000000/Table12[[#This Row],[Population]]</f>
        <v>5.0869089283352951</v>
      </c>
      <c r="BE95" s="23" t="e">
        <f>VLOOKUP($G95,EGR2023_MASTER!$B$4:$S$38,14,FALSE)</f>
        <v>#N/A</v>
      </c>
      <c r="BF95" s="23" t="e">
        <f>VLOOKUP($G95,EGR2023_MASTER!$B$4:$S$38,15,FALSE)</f>
        <v>#N/A</v>
      </c>
      <c r="BG95" s="23" t="e">
        <f>VLOOKUP($G95,EGR2023_MASTER!$B$4:$S$38,16,FALSE)</f>
        <v>#N/A</v>
      </c>
      <c r="BH95" s="23" t="e">
        <f t="shared" si="19"/>
        <v>#N/A</v>
      </c>
      <c r="BI95" s="23" t="e">
        <f t="shared" si="20"/>
        <v>#N/A</v>
      </c>
      <c r="BJ95" s="552">
        <f>(Table12[[#This Row],[Current Policies 2030 excl LULUCF]]/Table12[[#This Row],[GHG emissions excl LULUCF]])^(1/(2030-2021))-1</f>
        <v>1.1809492705935565E-2</v>
      </c>
      <c r="BK95" s="552">
        <f>IF(Table12[[#This Row],[Net-zero target status]]&lt;=1,"",IF(Table12[[#This Row],[NZ GHG year]]="","",((MAX(Table12[[#This Row],[residual LULUCF emissions in 2050]],0.1)/Table12[[#This Row],[Current Policies 2030 excl LULUCF]])^(1/(Table12[[#This Row],[NZ GHG year]]-2021))-1)))</f>
        <v>5.5383628975491872E-2</v>
      </c>
      <c r="BL95" s="552">
        <f>IF(Table12[[#This Row],[Net-zero target status]]&lt;=1,"",IF(Table12[[#This Row],[NZ GHG year]]="","",((MAX(Table12[[#This Row],[residual LULUCF emissions in 2050]],0.1)/Table12[[#This Row],[GHG emissions excl LULUCF]])^(1/(Table12[[#This Row],[NZ GHG year]]-2021))-1)))</f>
        <v>5.7921100204627374E-2</v>
      </c>
      <c r="BM95" s="552" t="e">
        <f>IF(Table12[[#This Row],[Net-zero target status]]&lt;=1,"",IF(Table12[[#This Row],[NZ GHG year]]="","",((MAX(Table12[[#This Row],[residual LULUCF emissions in 2050]],0.1)/AVERAGE(Table12[[#This Row],[2030 conditional NDCs]:[2030 conditional NDCs2]]))^(1/(Table12[[#This Row],[NZ GHG year]]-2021))-1)))</f>
        <v>#DIV/0!</v>
      </c>
      <c r="BN95" s="23"/>
      <c r="BO95" s="23"/>
      <c r="BP95" s="23"/>
      <c r="BQ95" s="23"/>
      <c r="BR95" s="50" t="s">
        <v>219</v>
      </c>
      <c r="BT95" s="30">
        <f>IF(Table12[[#This Row],[Reduction rate 2021 to NZ target2]]="","",J95*(1+AN95)^(Table12[[#This Row],[NZ GHG year]]-2021))</f>
        <v>69080.462776444358</v>
      </c>
    </row>
    <row r="96" spans="1:72" ht="15" x14ac:dyDescent="0.25">
      <c r="A96">
        <v>0</v>
      </c>
      <c r="B96">
        <v>0</v>
      </c>
      <c r="C96">
        <v>332</v>
      </c>
      <c r="D96">
        <v>84</v>
      </c>
      <c r="E96">
        <v>4</v>
      </c>
      <c r="F96" t="str">
        <f>'input site'!M96</f>
        <v>incl</v>
      </c>
      <c r="G96" s="31" t="s">
        <v>220</v>
      </c>
      <c r="H96" s="1" t="s">
        <v>221</v>
      </c>
      <c r="I96" s="8">
        <f>VLOOKUP($G96,'NZT data'!$B$3:$C$200,2,FALSE)</f>
        <v>2</v>
      </c>
      <c r="J96" s="32">
        <f>'input site'!AS96</f>
        <v>14.27295954545454</v>
      </c>
      <c r="K96" s="32">
        <f>'input site'!BS96</f>
        <v>17.599546649452222</v>
      </c>
      <c r="L96" s="32">
        <f t="shared" si="21"/>
        <v>0</v>
      </c>
      <c r="M96" s="32">
        <f t="shared" si="22"/>
        <v>0</v>
      </c>
      <c r="N96" s="32">
        <f>'input site'!EV96</f>
        <v>7.512942293302789</v>
      </c>
      <c r="O96" s="8"/>
      <c r="P96" s="36"/>
      <c r="Q96" s="32">
        <f t="shared" si="23"/>
        <v>0</v>
      </c>
      <c r="R96" s="32">
        <f>'input site'!EZ96</f>
        <v>1.5279852314136713</v>
      </c>
      <c r="S96" s="37">
        <f>'input site'!FA96</f>
        <v>2050</v>
      </c>
      <c r="T96" s="37" t="str">
        <f>Table12[[#This Row],[(Mt CO2 equivalent)]]</f>
        <v>Haiti</v>
      </c>
      <c r="U96" s="8">
        <f>VLOOKUP($G96,'NZT data'!$B$3:$F$200,4,FALSE)</f>
        <v>2050</v>
      </c>
      <c r="V96" s="32">
        <f>VLOOKUP($G96,'NZT data'!$B$3:$F$200,5,FALSE)</f>
        <v>2065</v>
      </c>
      <c r="W96" s="32">
        <f>-IF('LUC NGHGI'!EC86="",MIN('LUC NGHGI'!DW86,0.1),MIN('LUC NGHGI'!EC86,0.1))</f>
        <v>-0.1</v>
      </c>
      <c r="X96" s="32">
        <f>'LUC NGHGI'!EC86</f>
        <v>0.70793454545454182</v>
      </c>
      <c r="Y96" s="32">
        <f>'LUC NGHGI'!DY86</f>
        <v>-3.2920654545454582</v>
      </c>
      <c r="Z96" s="32">
        <f>'LUC NGHGI'!DZ86</f>
        <v>-3.2920654545454582</v>
      </c>
      <c r="AA96" s="32">
        <f>Table12[[#This Row],[2021 emissions]]</f>
        <v>14.27295954545454</v>
      </c>
      <c r="AB96" s="32">
        <f>'LUC NGHGI'!DW86</f>
        <v>0.68941454545453951</v>
      </c>
      <c r="AC96" s="32">
        <f>IF(F96="incl",Table12[[#This Row],[GHG emissions incl LULUCF]]-Table12[[#This Row],[LULUCF emis-sions in 20213]],Table12[[#This Row],[GHG emissions incl LULUCF]])</f>
        <v>13.583545000000001</v>
      </c>
      <c r="AD96" s="32">
        <f>'input site'!BS96</f>
        <v>17.599546649452222</v>
      </c>
      <c r="AE96" s="32">
        <f>'LUC NGHGI'!EH86</f>
        <v>0.42090361726755232</v>
      </c>
      <c r="AF96" s="32">
        <f>IF(F96="incl",Table12[[#This Row],[Current Policies 2030 incl LULUCF]]-Table12[[#This Row],[LULUCF CurPol 2030]],Table12[[#This Row],[Current Policies 2030 incl LULUCF]])</f>
        <v>17.17864303218467</v>
      </c>
      <c r="AG96" s="32">
        <f>IF(Table12[[#This Row],[Net-zero target status]]&lt;=1,"",IF(Table12[[#This Row],[NZ GHG year]]="","",1000000000*(Table12[[#This Row],[residual LULUCF emissions in 2050]]-Table12[[#This Row],[GHG emissions excl LULUCF]])/(Table12[[#This Row],[NZ GHG year]]-2021)/Table12[[#This Row],[Population]]))</f>
        <v>-26.625181863393983</v>
      </c>
      <c r="AH96" s="32" t="str">
        <f>IF(Table12[[#This Row],[Peak revised]]="Yes",IF(Table12[[#This Row],[Net-zero target status]]&lt;=1,"",IF(Table12[[#This Row],[NZ GHG year]]="","",1000000000*(Table12[[#This Row],[residual LULUCF emissions in 2050]]-Table12[[#This Row],[GHG emissions excl LULUCF]])/(Table12[[#This Row],[NZ GHG year]]-2021)/Table12[[#This Row],[Population]])),"")</f>
        <v/>
      </c>
      <c r="AI96" s="32">
        <f>MAX(0,(1000000*(Table12[[#This Row],[Current Policies 2030 excl LULUCF]]/2+Table12[[#This Row],[GHG emissions excl LULUCF]]/2)/Table12[[#This Row],[Population]]-$AI$8)*10)*$AI$10</f>
        <v>0</v>
      </c>
      <c r="AJ96" s="32">
        <f>IF(Table12[[#This Row],[Peak revised]]="No",IF(Table12[[#This Row],[Net-zero target status]]&lt;=1,"",IF(Table12[[#This Row],[NZ GHG year]]="","",1000000000*(Table12[[#This Row],[residual LULUCF emissions in 2050]]-Table12[[#This Row],[Current Policies 2030 excl LULUCF]])/(Table12[[#This Row],[NZ GHG year]]-2021)/Table12[[#This Row],[Population]])),"")</f>
        <v>-33.62045530486305</v>
      </c>
      <c r="AK96" s="32">
        <f>IF(Table12[[#This Row],[Formule no Peak (2)]]="","",Table12[[#This Row],[Penalty (1)]]+Table12[[#This Row],[Formule no Peak (2)]])</f>
        <v>-33.62045530486305</v>
      </c>
      <c r="AL96" s="313">
        <f>(Table12[[#This Row],[Current Policies 2030 excl LULUCF]]-Table12[[#This Row],[GHG emissions excl LULUCF]])/(2030-2021)/Table12[[#This Row],[GHG emissions excl LULUCF]]</f>
        <v>2.9407296615825081E-2</v>
      </c>
      <c r="AM96" s="313">
        <f>IF(Table12[[#This Row],[Net-zero target status]]&lt;=1,"",IF(Table12[[#This Row],[NZ GHG year]]="","",(Table12[[#This Row],[residual LULUCF emissions in 2050]]-Table12[[#This Row],[Current Policies 2030 excl LULUCF]])/(Table12[[#This Row],[NZ GHG year]]-2030)/Table12[[#This Row],[Current Policies 2030 excl LULUCF]]))</f>
        <v>-2.8737748044496959E-2</v>
      </c>
      <c r="AN96" s="313">
        <f>IF(Table12[[#This Row],[Net-zero target status]]&lt;=1,"",IF(Table12[[#This Row],[NZ GHG year]]="","",(Table12[[#This Row],[residual LULUCF emissions in 2050]]-Table12[[#This Row],[GHG emissions excl LULUCF]])/(Table12[[#This Row],[NZ GHG year]]-2021)/Table12[[#This Row],[GHG emissions excl LULUCF]]))</f>
        <v>-2.2894587465268387E-2</v>
      </c>
      <c r="AO96" s="313">
        <f>IF(Table12[[#This Row],[Net-zero target status]]&lt;=1,"",IF(Table12[[#This Row],[NZ GHG year]]="","",(Table12[[#This Row],[residual LULUCF emissions in 2050]]-Table12[[#This Row],[2030 conditional NDCs]])/(Table12[[#This Row],[NZ GHG year]]-2030)/Table12[[#This Row],[2030 conditional NDCs]]))</f>
        <v>-2.8857748262951399E-2</v>
      </c>
      <c r="AP96" s="96">
        <f>MAX('input site'!AH96:AS96)</f>
        <v>14.473461545454544</v>
      </c>
      <c r="AQ96" s="95" t="str">
        <f>IF(Table12[[#This Row],[Current Policies 2030 incl LULUCF]]&gt;Table12[[#This Row],[Maximum inventory data]],"No","Yes")</f>
        <v>No</v>
      </c>
      <c r="AR96" s="34">
        <f>IF(Table12[[#This Row],[Net-zero target status]]&gt;=1.5,Table12[[#This Row],[residual LULUCF emissions in 2050]]/Table12[[#This Row],[GHG emissions excl LULUCF]],"")</f>
        <v>-7.3618484718090899E-3</v>
      </c>
      <c r="AS96" s="74">
        <f>'input site'!BE96</f>
        <v>12.810692999999999</v>
      </c>
      <c r="AT96" s="74">
        <f>'input site'!BF96</f>
        <v>12.810692999999999</v>
      </c>
      <c r="AU96" s="74">
        <f>'input site'!BG96</f>
        <v>9.9788555999999993</v>
      </c>
      <c r="AV96" s="75">
        <f>'input site'!BH96</f>
        <v>9.9788555999999993</v>
      </c>
      <c r="AW96" s="74">
        <f>IF(Table12[[#This Row],[2030 unconditional NDCs]]="","",IF(F96="incl",Table12[[#This Row],[2030 unconditional NDCs]]-Table12[[#This Row],[LULUCF NDC uncond]],Table12[[#This Row],[2030 unconditional NDCs]]))</f>
        <v>16.102758454545459</v>
      </c>
      <c r="AX96" s="74">
        <f>IF(Table12[[#This Row],[2030 unconditional NDCs2]]="","",IF(F96="incl",Table12[[#This Row],[2030 unconditional NDCs2]]-Table12[[#This Row],[LULUCF NDC uncond]],Table12[[#This Row],[2030 unconditional NDCs2]]))</f>
        <v>16.102758454545459</v>
      </c>
      <c r="AY96" s="74">
        <f>IF(Table12[[#This Row],[2030 conditional NDCs]]="","",IF(F96="incl",Table12[[#This Row],[2030 conditional NDCs]]-Table12[[#This Row],[LULUCF NDC cond]],Table12[[#This Row],[2030 conditional NDCs]]))</f>
        <v>13.270921054545457</v>
      </c>
      <c r="AZ96" s="74">
        <f>IF(Table12[[#This Row],[2030 conditional NDCs2]]="","",IF(F96="incl",Table12[[#This Row],[2030 conditional NDCs2]]-Table12[[#This Row],[LULUCF NDC cond]],Table12[[#This Row],[2030 conditional NDCs2]]))</f>
        <v>13.270921054545457</v>
      </c>
      <c r="BA96" s="8">
        <f>VLOOKUP($G96,'Population90 20'!$C$6:$AU$231,37,FALSE)</f>
        <v>11680283</v>
      </c>
      <c r="BB96" s="8">
        <f>VLOOKUP($G96,'Overview GDP (PPP)'!$C$6:$AI$231,33,FALSE)</f>
        <v>18423247.870851867</v>
      </c>
      <c r="BC96" s="36">
        <f>Table12[[#This Row],[Income]]/Table12[[#This Row],[Population]]</f>
        <v>1.5772946486700594</v>
      </c>
      <c r="BD96" s="36">
        <f>Table12[[#This Row],[GHG emissions excl LULUCF]]*1000000/Table12[[#This Row],[Population]]</f>
        <v>1.1629465655926317</v>
      </c>
      <c r="BE96" s="23" t="e">
        <f>VLOOKUP($G96,EGR2023_MASTER!$B$4:$S$38,14,FALSE)</f>
        <v>#N/A</v>
      </c>
      <c r="BF96" s="23" t="e">
        <f>VLOOKUP($G96,EGR2023_MASTER!$B$4:$S$38,15,FALSE)</f>
        <v>#N/A</v>
      </c>
      <c r="BG96" s="23" t="e">
        <f>VLOOKUP($G96,EGR2023_MASTER!$B$4:$S$38,16,FALSE)</f>
        <v>#N/A</v>
      </c>
      <c r="BH96" s="23" t="e">
        <f t="shared" si="19"/>
        <v>#N/A</v>
      </c>
      <c r="BI96" s="23" t="e">
        <f t="shared" si="20"/>
        <v>#N/A</v>
      </c>
      <c r="BJ96" s="552">
        <f>(Table12[[#This Row],[Current Policies 2030 excl LULUCF]]/Table12[[#This Row],[GHG emissions excl LULUCF]])^(1/(2030-2021))-1</f>
        <v>2.6433071770607164E-2</v>
      </c>
      <c r="BK96" s="552">
        <f>IF(Table12[[#This Row],[Net-zero target status]]&lt;=1,"",IF(Table12[[#This Row],[NZ GHG year]]="","",((MAX(Table12[[#This Row],[residual LULUCF emissions in 2050]],0.1)/Table12[[#This Row],[Current Policies 2030 excl LULUCF]])^(1/(Table12[[#This Row],[NZ GHG year]]-2021))-1)))</f>
        <v>-0.11037946576780777</v>
      </c>
      <c r="BL96" s="552">
        <f>IF(Table12[[#This Row],[Net-zero target status]]&lt;=1,"",IF(Table12[[#This Row],[NZ GHG year]]="","",((MAX(Table12[[#This Row],[residual LULUCF emissions in 2050]],0.1)/Table12[[#This Row],[GHG emissions excl LULUCF]])^(1/(Table12[[#This Row],[NZ GHG year]]-2021))-1)))</f>
        <v>-0.10561927933908533</v>
      </c>
      <c r="BM96" s="552">
        <f>IF(Table12[[#This Row],[Net-zero target status]]&lt;=1,"",IF(Table12[[#This Row],[NZ GHG year]]="","",((MAX(Table12[[#This Row],[residual LULUCF emissions in 2050]],0.1)/AVERAGE(Table12[[#This Row],[2030 conditional NDCs]:[2030 conditional NDCs2]]))^(1/(Table12[[#This Row],[NZ GHG year]]-2021))-1)))</f>
        <v>-9.9328652836514153E-2</v>
      </c>
      <c r="BN96" s="23"/>
      <c r="BO96" s="23"/>
      <c r="BP96" s="23"/>
      <c r="BQ96" s="23"/>
      <c r="BR96" s="50" t="s">
        <v>221</v>
      </c>
      <c r="BT96" s="30">
        <f>IF(Table12[[#This Row],[Reduction rate 2021 to NZ target2]]="","",J96*(1+AN96)^(Table12[[#This Row],[NZ GHG year]]-2021))</f>
        <v>5.1515328194769889</v>
      </c>
    </row>
    <row r="97" spans="1:72" ht="15" x14ac:dyDescent="0.25">
      <c r="A97">
        <v>0</v>
      </c>
      <c r="B97">
        <v>0</v>
      </c>
      <c r="C97">
        <v>340</v>
      </c>
      <c r="D97">
        <v>86</v>
      </c>
      <c r="E97">
        <v>4</v>
      </c>
      <c r="F97" t="str">
        <f>'input site'!M97</f>
        <v>excl</v>
      </c>
      <c r="G97" s="31" t="s">
        <v>222</v>
      </c>
      <c r="H97" s="1" t="s">
        <v>223</v>
      </c>
      <c r="I97" s="8">
        <f>VLOOKUP($G97,'NZT data'!$B$3:$C$200,2,FALSE)</f>
        <v>0</v>
      </c>
      <c r="J97" s="32">
        <f>'input site'!AS97</f>
        <v>20.537933000000002</v>
      </c>
      <c r="K97" s="32">
        <f>'input site'!BS97</f>
        <v>25.32469238532499</v>
      </c>
      <c r="L97" s="32">
        <f t="shared" si="21"/>
        <v>25.32469238532499</v>
      </c>
      <c r="M97" s="32">
        <f t="shared" si="22"/>
        <v>10.291634361706336</v>
      </c>
      <c r="N97" s="32">
        <f>'input site'!EV97</f>
        <v>10.291634361706336</v>
      </c>
      <c r="O97" s="8"/>
      <c r="P97" s="8"/>
      <c r="Q97" s="32">
        <f t="shared" si="23"/>
        <v>2.0931167441302976</v>
      </c>
      <c r="R97" s="32">
        <f>'input site'!EZ97</f>
        <v>2.0931167441302976</v>
      </c>
      <c r="S97" s="37">
        <f>'input site'!FA97</f>
        <v>0</v>
      </c>
      <c r="T97" s="37" t="str">
        <f>Table12[[#This Row],[(Mt CO2 equivalent)]]</f>
        <v>Honduras</v>
      </c>
      <c r="U97" s="8">
        <f>VLOOKUP($G97,'NZT data'!$B$3:$F$200,4,FALSE)</f>
        <v>2110</v>
      </c>
      <c r="V97" s="32" t="str">
        <f>VLOOKUP($G97,'NZT data'!$B$3:$F$200,5,FALSE)</f>
        <v/>
      </c>
      <c r="W97" s="32">
        <f>-IF('LUC NGHGI'!EC87="",MIN('LUC NGHGI'!DW87,0.1),MIN('LUC NGHGI'!EC87,0.1))</f>
        <v>6.7200820512820485</v>
      </c>
      <c r="X97" s="32">
        <f>'LUC NGHGI'!EC87</f>
        <v>-6.7200820512820485</v>
      </c>
      <c r="Y97" s="32">
        <f>'LUC NGHGI'!DY87</f>
        <v>-6.7200820512820485</v>
      </c>
      <c r="Z97" s="32">
        <f>'LUC NGHGI'!DZ87</f>
        <v>-6.7200820512820485</v>
      </c>
      <c r="AA97" s="32">
        <f>Table12[[#This Row],[2021 emissions]]</f>
        <v>20.537933000000002</v>
      </c>
      <c r="AB97" s="32">
        <f>'LUC NGHGI'!DW87</f>
        <v>-6.6000010256410349</v>
      </c>
      <c r="AC97" s="32">
        <f>IF(F97="incl",Table12[[#This Row],[GHG emissions incl LULUCF]]-Table12[[#This Row],[LULUCF emis-sions in 20213]],Table12[[#This Row],[GHG emissions incl LULUCF]])</f>
        <v>20.537933000000002</v>
      </c>
      <c r="AD97" s="32">
        <f>'input site'!BS97</f>
        <v>25.32469238532499</v>
      </c>
      <c r="AE97" s="32">
        <f>'LUC NGHGI'!EH87</f>
        <v>-9.4447285614106775</v>
      </c>
      <c r="AF97" s="32">
        <f>IF(F97="incl",Table12[[#This Row],[Current Policies 2030 incl LULUCF]]-Table12[[#This Row],[LULUCF CurPol 2030]],Table12[[#This Row],[Current Policies 2030 incl LULUCF]])</f>
        <v>25.32469238532499</v>
      </c>
      <c r="AG97" s="32" t="str">
        <f>IF(Table12[[#This Row],[Net-zero target status]]&lt;=1,"",IF(Table12[[#This Row],[NZ GHG year]]="","",1000000000*(Table12[[#This Row],[residual LULUCF emissions in 2050]]-Table12[[#This Row],[GHG emissions excl LULUCF]])/(Table12[[#This Row],[NZ GHG year]]-2021)/Table12[[#This Row],[Population]]))</f>
        <v/>
      </c>
      <c r="AH97" s="32" t="str">
        <f>IF(Table12[[#This Row],[Peak revised]]="Yes",IF(Table12[[#This Row],[Net-zero target status]]&lt;=1,"",IF(Table12[[#This Row],[NZ GHG year]]="","",1000000000*(Table12[[#This Row],[residual LULUCF emissions in 2050]]-Table12[[#This Row],[GHG emissions excl LULUCF]])/(Table12[[#This Row],[NZ GHG year]]-2021)/Table12[[#This Row],[Population]])),"")</f>
        <v/>
      </c>
      <c r="AI97" s="32">
        <f>MAX(0,(1000000*(Table12[[#This Row],[Current Policies 2030 excl LULUCF]]/2+Table12[[#This Row],[GHG emissions excl LULUCF]]/2)/Table12[[#This Row],[Population]]-$AI$8)*10)*$AI$10</f>
        <v>0</v>
      </c>
      <c r="AJ9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7" s="32" t="str">
        <f>IF(Table12[[#This Row],[Formule no Peak (2)]]="","",Table12[[#This Row],[Penalty (1)]]+Table12[[#This Row],[Formule no Peak (2)]])</f>
        <v/>
      </c>
      <c r="AL97" s="313">
        <f>(Table12[[#This Row],[Current Policies 2030 excl LULUCF]]-Table12[[#This Row],[GHG emissions excl LULUCF]])/(2030-2021)/Table12[[#This Row],[GHG emissions excl LULUCF]]</f>
        <v>2.5896576540832938E-2</v>
      </c>
      <c r="AM97" s="313" t="str">
        <f>IF(Table12[[#This Row],[Net-zero target status]]&lt;=1,"",IF(Table12[[#This Row],[NZ GHG year]]="","",(Table12[[#This Row],[residual LULUCF emissions in 2050]]-Table12[[#This Row],[Current Policies 2030 excl LULUCF]])/(Table12[[#This Row],[NZ GHG year]]-2030)/Table12[[#This Row],[Current Policies 2030 excl LULUCF]]))</f>
        <v/>
      </c>
      <c r="AN97" s="313" t="str">
        <f>IF(Table12[[#This Row],[Net-zero target status]]&lt;=1,"",IF(Table12[[#This Row],[NZ GHG year]]="","",(Table12[[#This Row],[residual LULUCF emissions in 2050]]-Table12[[#This Row],[GHG emissions excl LULUCF]])/(Table12[[#This Row],[NZ GHG year]]-2021)/Table12[[#This Row],[GHG emissions excl LULUCF]]))</f>
        <v/>
      </c>
      <c r="AO97" s="313" t="str">
        <f>IF(Table12[[#This Row],[Net-zero target status]]&lt;=1,"",IF(Table12[[#This Row],[NZ GHG year]]="","",(Table12[[#This Row],[residual LULUCF emissions in 2050]]-Table12[[#This Row],[2030 conditional NDCs]])/(Table12[[#This Row],[NZ GHG year]]-2030)/Table12[[#This Row],[2030 conditional NDCs]]))</f>
        <v/>
      </c>
      <c r="AP97" s="96">
        <f>MAX('input site'!AH97:AS97)</f>
        <v>20.537933000000002</v>
      </c>
      <c r="AQ97" s="95" t="str">
        <f>IF(Table12[[#This Row],[Current Policies 2030 incl LULUCF]]&gt;Table12[[#This Row],[Maximum inventory data]],"No","Yes")</f>
        <v>No</v>
      </c>
      <c r="AR97" s="34" t="str">
        <f>IF(Table12[[#This Row],[Net-zero target status]]&gt;=1.5,Table12[[#This Row],[residual LULUCF emissions in 2050]]/Table12[[#This Row],[GHG emissions excl LULUCF]],"")</f>
        <v/>
      </c>
      <c r="AS97" s="74" t="str">
        <f>'input site'!BE97</f>
        <v/>
      </c>
      <c r="AT97" s="74"/>
      <c r="AU97" s="74">
        <f>'input site'!BG97</f>
        <v>24.5837</v>
      </c>
      <c r="AV97" s="75">
        <f>'input site'!BH97</f>
        <v>24.5837</v>
      </c>
      <c r="AW97" s="74" t="str">
        <f>IF(Table12[[#This Row],[2030 unconditional NDCs]]="","",IF(F97="incl",Table12[[#This Row],[2030 unconditional NDCs]]-Table12[[#This Row],[LULUCF NDC uncond]],Table12[[#This Row],[2030 unconditional NDCs]]))</f>
        <v/>
      </c>
      <c r="AX97" s="74" t="str">
        <f>IF(Table12[[#This Row],[2030 unconditional NDCs2]]="","",IF(F97="incl",Table12[[#This Row],[2030 unconditional NDCs2]]-Table12[[#This Row],[LULUCF NDC uncond]],Table12[[#This Row],[2030 unconditional NDCs2]]))</f>
        <v/>
      </c>
      <c r="AY97" s="74">
        <f>IF(Table12[[#This Row],[2030 conditional NDCs]]="","",IF(F97="incl",Table12[[#This Row],[2030 conditional NDCs]]-Table12[[#This Row],[LULUCF NDC cond]],Table12[[#This Row],[2030 conditional NDCs]]))</f>
        <v>24.5837</v>
      </c>
      <c r="AZ97" s="74">
        <f>IF(Table12[[#This Row],[2030 conditional NDCs2]]="","",IF(F97="incl",Table12[[#This Row],[2030 conditional NDCs2]]-Table12[[#This Row],[LULUCF NDC cond]],Table12[[#This Row],[2030 conditional NDCs2]]))</f>
        <v>24.5837</v>
      </c>
      <c r="BA97" s="8">
        <f>VLOOKUP($G97,'Population90 20'!$C$6:$AU$231,37,FALSE)</f>
        <v>10221247</v>
      </c>
      <c r="BB97" s="8">
        <f>VLOOKUP($G97,'Overview GDP (PPP)'!$C$6:$AI$231,33,FALSE)</f>
        <v>43716574.088033497</v>
      </c>
      <c r="BC97" s="36">
        <f>Table12[[#This Row],[Income]]/Table12[[#This Row],[Population]]</f>
        <v>4.2770294160813744</v>
      </c>
      <c r="BD97" s="36">
        <f>Table12[[#This Row],[GHG emissions excl LULUCF]]*1000000/Table12[[#This Row],[Population]]</f>
        <v>2.0093373147131661</v>
      </c>
      <c r="BE97" s="23" t="e">
        <f>VLOOKUP($G97,EGR2023_MASTER!$B$4:$S$38,14,FALSE)</f>
        <v>#N/A</v>
      </c>
      <c r="BF97" s="23" t="e">
        <f>VLOOKUP($G97,EGR2023_MASTER!$B$4:$S$38,15,FALSE)</f>
        <v>#N/A</v>
      </c>
      <c r="BG97" s="23" t="e">
        <f>VLOOKUP($G97,EGR2023_MASTER!$B$4:$S$38,16,FALSE)</f>
        <v>#N/A</v>
      </c>
      <c r="BH97" s="23" t="e">
        <f t="shared" si="19"/>
        <v>#N/A</v>
      </c>
      <c r="BI97" s="23" t="e">
        <f t="shared" si="20"/>
        <v>#N/A</v>
      </c>
      <c r="BJ97" s="552">
        <f>(Table12[[#This Row],[Current Policies 2030 excl LULUCF]]/Table12[[#This Row],[GHG emissions excl LULUCF]])^(1/(2030-2021))-1</f>
        <v>2.3551540411518301E-2</v>
      </c>
      <c r="BK97" s="552" t="str">
        <f>IF(Table12[[#This Row],[Net-zero target status]]&lt;=1,"",IF(Table12[[#This Row],[NZ GHG year]]="","",((MAX(Table12[[#This Row],[residual LULUCF emissions in 2050]],0.1)/Table12[[#This Row],[Current Policies 2030 excl LULUCF]])^(1/(Table12[[#This Row],[NZ GHG year]]-2021))-1)))</f>
        <v/>
      </c>
      <c r="BL97" s="552" t="str">
        <f>IF(Table12[[#This Row],[Net-zero target status]]&lt;=1,"",IF(Table12[[#This Row],[NZ GHG year]]="","",((MAX(Table12[[#This Row],[residual LULUCF emissions in 2050]],0.1)/Table12[[#This Row],[GHG emissions excl LULUCF]])^(1/(Table12[[#This Row],[NZ GHG year]]-2021))-1)))</f>
        <v/>
      </c>
      <c r="BM97" s="552" t="str">
        <f>IF(Table12[[#This Row],[Net-zero target status]]&lt;=1,"",IF(Table12[[#This Row],[NZ GHG year]]="","",((MAX(Table12[[#This Row],[residual LULUCF emissions in 2050]],0.1)/AVERAGE(Table12[[#This Row],[2030 conditional NDCs]:[2030 conditional NDCs2]]))^(1/(Table12[[#This Row],[NZ GHG year]]-2021))-1)))</f>
        <v/>
      </c>
      <c r="BN97" s="23"/>
      <c r="BO97" s="23"/>
      <c r="BP97" s="23"/>
      <c r="BQ97" s="23"/>
      <c r="BR97" s="50" t="s">
        <v>223</v>
      </c>
      <c r="BT97" s="30" t="str">
        <f>IF(Table12[[#This Row],[Reduction rate 2021 to NZ target2]]="","",J97*(1+AN97)^(Table12[[#This Row],[NZ GHG year]]-2021))</f>
        <v/>
      </c>
    </row>
    <row r="98" spans="1:72" ht="15" x14ac:dyDescent="0.25">
      <c r="A98">
        <v>0</v>
      </c>
      <c r="B98">
        <v>0</v>
      </c>
      <c r="C98">
        <v>344</v>
      </c>
      <c r="D98">
        <v>87</v>
      </c>
      <c r="E98">
        <v>20</v>
      </c>
      <c r="F98" t="str">
        <f>'input site'!M98</f>
        <v>excl</v>
      </c>
      <c r="G98" s="31" t="s">
        <v>224</v>
      </c>
      <c r="H98" s="1" t="s">
        <v>225</v>
      </c>
      <c r="I98" s="8">
        <v>0</v>
      </c>
      <c r="J98" s="32">
        <f>'input site'!AS98</f>
        <v>33.911389999999997</v>
      </c>
      <c r="K98" s="32">
        <f>'input site'!BS98</f>
        <v>34.0586722916659</v>
      </c>
      <c r="L98" s="32">
        <f t="shared" si="21"/>
        <v>34.0586722916659</v>
      </c>
      <c r="M98" s="32">
        <f t="shared" si="22"/>
        <v>8.6439102215696266</v>
      </c>
      <c r="N98" s="32">
        <f>'input site'!EV98</f>
        <v>8.6439102215696266</v>
      </c>
      <c r="O98" s="8"/>
      <c r="P98" s="8"/>
      <c r="Q98" s="32">
        <f t="shared" si="23"/>
        <v>4.0663356050088684</v>
      </c>
      <c r="R98" s="32">
        <f>'input site'!EZ98</f>
        <v>4.0663356050088684</v>
      </c>
      <c r="S98" s="37">
        <f>'input site'!FA98</f>
        <v>0</v>
      </c>
      <c r="T98" s="37" t="str">
        <f>Table12[[#This Row],[(Mt CO2 equivalent)]]</f>
        <v>Hong Kong, China</v>
      </c>
      <c r="U98" s="35">
        <v>2100</v>
      </c>
      <c r="V98" s="35">
        <v>2100</v>
      </c>
      <c r="W98" s="32">
        <f>-IF('LUC NGHGI'!EC88="",MIN('LUC NGHGI'!DW88,0.1),MIN('LUC NGHGI'!EC88,0.1))</f>
        <v>0.4639000000000002</v>
      </c>
      <c r="X98" s="32">
        <f>'LUC NGHGI'!EC88</f>
        <v>-0.4639000000000002</v>
      </c>
      <c r="Y98" s="32">
        <f>'LUC NGHGI'!DY88</f>
        <v>-0.4639000000000002</v>
      </c>
      <c r="Z98" s="32">
        <f>'LUC NGHGI'!DZ88</f>
        <v>-0.4639000000000002</v>
      </c>
      <c r="AA98" s="32">
        <f>Table12[[#This Row],[2021 emissions]]</f>
        <v>33.911389999999997</v>
      </c>
      <c r="AB98" s="32">
        <f>'LUC NGHGI'!DW88</f>
        <v>-0.46390000000000026</v>
      </c>
      <c r="AC98" s="32">
        <f>IF(F98="incl",Table12[[#This Row],[GHG emissions incl LULUCF]]-Table12[[#This Row],[LULUCF emis-sions in 20213]],Table12[[#This Row],[GHG emissions incl LULUCF]])</f>
        <v>33.911389999999997</v>
      </c>
      <c r="AD98" s="32">
        <f>'input site'!BS98</f>
        <v>34.0586722916659</v>
      </c>
      <c r="AE98" s="32">
        <f>'LUC NGHGI'!EH88</f>
        <v>-0.54816983140006814</v>
      </c>
      <c r="AF98" s="32">
        <f>IF(F98="incl",Table12[[#This Row],[Current Policies 2030 incl LULUCF]]-Table12[[#This Row],[LULUCF CurPol 2030]],Table12[[#This Row],[Current Policies 2030 incl LULUCF]])</f>
        <v>34.0586722916659</v>
      </c>
      <c r="AG98" s="32" t="str">
        <f>IF(Table12[[#This Row],[Net-zero target status]]&lt;=1,"",IF(Table12[[#This Row],[NZ GHG year]]="","",1000000000*(Table12[[#This Row],[residual LULUCF emissions in 2050]]-Table12[[#This Row],[GHG emissions excl LULUCF]])/(Table12[[#This Row],[NZ GHG year]]-2021)/Table12[[#This Row],[Population]]))</f>
        <v/>
      </c>
      <c r="AH98" s="32" t="str">
        <f>IF(Table12[[#This Row],[Peak revised]]="Yes",IF(Table12[[#This Row],[Net-zero target status]]&lt;=1,"",IF(Table12[[#This Row],[NZ GHG year]]="","",1000000000*(Table12[[#This Row],[residual LULUCF emissions in 2050]]-Table12[[#This Row],[GHG emissions excl LULUCF]])/(Table12[[#This Row],[NZ GHG year]]-2021)/Table12[[#This Row],[Population]])),"")</f>
        <v/>
      </c>
      <c r="AI98" s="32">
        <f>MAX(0,(1000000*(Table12[[#This Row],[Current Policies 2030 excl LULUCF]]/2+Table12[[#This Row],[GHG emissions excl LULUCF]]/2)/Table12[[#This Row],[Population]]-$AI$8)*10)*$AI$10</f>
        <v>0</v>
      </c>
      <c r="AJ9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8" s="32" t="str">
        <f>IF(Table12[[#This Row],[Formule no Peak (2)]]="","",Table12[[#This Row],[Penalty (1)]]+Table12[[#This Row],[Formule no Peak (2)]])</f>
        <v/>
      </c>
      <c r="AL98" s="313">
        <f>(Table12[[#This Row],[Current Policies 2030 excl LULUCF]]-Table12[[#This Row],[GHG emissions excl LULUCF]])/(2030-2021)/Table12[[#This Row],[GHG emissions excl LULUCF]]</f>
        <v>4.825723473437446E-4</v>
      </c>
      <c r="AM98" s="313" t="str">
        <f>IF(Table12[[#This Row],[Net-zero target status]]&lt;=1,"",IF(Table12[[#This Row],[NZ GHG year]]="","",(Table12[[#This Row],[residual LULUCF emissions in 2050]]-Table12[[#This Row],[Current Policies 2030 excl LULUCF]])/(Table12[[#This Row],[NZ GHG year]]-2030)/Table12[[#This Row],[Current Policies 2030 excl LULUCF]]))</f>
        <v/>
      </c>
      <c r="AN98" s="313" t="str">
        <f>IF(Table12[[#This Row],[Net-zero target status]]&lt;=1,"",IF(Table12[[#This Row],[NZ GHG year]]="","",(Table12[[#This Row],[residual LULUCF emissions in 2050]]-Table12[[#This Row],[GHG emissions excl LULUCF]])/(Table12[[#This Row],[NZ GHG year]]-2021)/Table12[[#This Row],[GHG emissions excl LULUCF]]))</f>
        <v/>
      </c>
      <c r="AO98" s="313" t="str">
        <f>IF(Table12[[#This Row],[Net-zero target status]]&lt;=1,"",IF(Table12[[#This Row],[NZ GHG year]]="","",(Table12[[#This Row],[residual LULUCF emissions in 2050]]-Table12[[#This Row],[2030 conditional NDCs]])/(Table12[[#This Row],[NZ GHG year]]-2030)/Table12[[#This Row],[2030 conditional NDCs]]))</f>
        <v/>
      </c>
      <c r="AP98" s="96">
        <f>MAX('input site'!AH98:AS98)</f>
        <v>51.211599</v>
      </c>
      <c r="AQ98" s="95" t="str">
        <f>IF(Table12[[#This Row],[Current Policies 2030 incl LULUCF]]&gt;Table12[[#This Row],[Maximum inventory data]],"No","Yes")</f>
        <v>Yes</v>
      </c>
      <c r="AR98" s="34" t="str">
        <f>IF(Table12[[#This Row],[Net-zero target status]]&gt;=1.5,Table12[[#This Row],[residual LULUCF emissions in 2050]]/Table12[[#This Row],[GHG emissions excl LULUCF]],"")</f>
        <v/>
      </c>
      <c r="AS98" s="74" t="str">
        <f>'input site'!BE98</f>
        <v/>
      </c>
      <c r="AT98" s="74"/>
      <c r="AU98" s="74" t="str">
        <f>'input site'!BG98</f>
        <v/>
      </c>
      <c r="AV98" s="75"/>
      <c r="AW98" s="74" t="str">
        <f>IF(Table12[[#This Row],[2030 unconditional NDCs]]="","",IF(F98="incl",Table12[[#This Row],[2030 unconditional NDCs]]-Table12[[#This Row],[LULUCF NDC uncond]],Table12[[#This Row],[2030 unconditional NDCs]]))</f>
        <v/>
      </c>
      <c r="AX98" s="74" t="str">
        <f>IF(Table12[[#This Row],[2030 unconditional NDCs2]]="","",IF(F98="incl",Table12[[#This Row],[2030 unconditional NDCs2]]-Table12[[#This Row],[LULUCF NDC uncond]],Table12[[#This Row],[2030 unconditional NDCs2]]))</f>
        <v/>
      </c>
      <c r="AY98" s="74" t="str">
        <f>IF(Table12[[#This Row],[2030 conditional NDCs]]="","",IF(F98="incl",Table12[[#This Row],[2030 conditional NDCs]]-Table12[[#This Row],[LULUCF NDC cond]],Table12[[#This Row],[2030 conditional NDCs]]))</f>
        <v/>
      </c>
      <c r="AZ98" s="74" t="str">
        <f>IF(Table12[[#This Row],[2030 conditional NDCs2]]="","",IF(F98="incl",Table12[[#This Row],[2030 conditional NDCs2]]-Table12[[#This Row],[LULUCF NDC cond]],Table12[[#This Row],[2030 conditional NDCs2]]))</f>
        <v/>
      </c>
      <c r="BA98" s="8">
        <f>VLOOKUP($G98,'Population90 20'!$C$6:$AU$231,37,FALSE)</f>
        <v>7604299</v>
      </c>
      <c r="BB98" s="8">
        <f>VLOOKUP($G98,'Overview GDP (PPP)'!$C$6:$AI$231,33,FALSE)</f>
        <v>427109632.84863168</v>
      </c>
      <c r="BC98" s="36">
        <f>Table12[[#This Row],[Income]]/Table12[[#This Row],[Population]]</f>
        <v>56.166864670712144</v>
      </c>
      <c r="BD98" s="36">
        <f>Table12[[#This Row],[GHG emissions excl LULUCF]]*1000000/Table12[[#This Row],[Population]]</f>
        <v>4.459502447234124</v>
      </c>
      <c r="BE98" s="23" t="e">
        <f>VLOOKUP($G98,EGR2023_MASTER!$B$4:$S$38,14,FALSE)</f>
        <v>#N/A</v>
      </c>
      <c r="BF98" s="23" t="e">
        <f>VLOOKUP($G98,EGR2023_MASTER!$B$4:$S$38,15,FALSE)</f>
        <v>#N/A</v>
      </c>
      <c r="BG98" s="23" t="e">
        <f>VLOOKUP($G98,EGR2023_MASTER!$B$4:$S$38,16,FALSE)</f>
        <v>#N/A</v>
      </c>
      <c r="BH98" s="23" t="e">
        <f t="shared" si="19"/>
        <v>#N/A</v>
      </c>
      <c r="BI98" s="23" t="e">
        <f t="shared" si="20"/>
        <v>#N/A</v>
      </c>
      <c r="BJ98" s="552">
        <f>(Table12[[#This Row],[Current Policies 2030 excl LULUCF]]/Table12[[#This Row],[GHG emissions excl LULUCF]])^(1/(2030-2021))-1</f>
        <v>4.8164338236866833E-4</v>
      </c>
      <c r="BK98" s="552" t="str">
        <f>IF(Table12[[#This Row],[Net-zero target status]]&lt;=1,"",IF(Table12[[#This Row],[NZ GHG year]]="","",((MAX(Table12[[#This Row],[residual LULUCF emissions in 2050]],0.1)/Table12[[#This Row],[Current Policies 2030 excl LULUCF]])^(1/(Table12[[#This Row],[NZ GHG year]]-2021))-1)))</f>
        <v/>
      </c>
      <c r="BL98" s="552" t="str">
        <f>IF(Table12[[#This Row],[Net-zero target status]]&lt;=1,"",IF(Table12[[#This Row],[NZ GHG year]]="","",((MAX(Table12[[#This Row],[residual LULUCF emissions in 2050]],0.1)/Table12[[#This Row],[GHG emissions excl LULUCF]])^(1/(Table12[[#This Row],[NZ GHG year]]-2021))-1)))</f>
        <v/>
      </c>
      <c r="BM98" s="552" t="str">
        <f>IF(Table12[[#This Row],[Net-zero target status]]&lt;=1,"",IF(Table12[[#This Row],[NZ GHG year]]="","",((MAX(Table12[[#This Row],[residual LULUCF emissions in 2050]],0.1)/AVERAGE(Table12[[#This Row],[2030 conditional NDCs]:[2030 conditional NDCs2]]))^(1/(Table12[[#This Row],[NZ GHG year]]-2021))-1)))</f>
        <v/>
      </c>
      <c r="BN98" s="23"/>
      <c r="BO98" s="23"/>
      <c r="BP98" s="23"/>
      <c r="BQ98" s="23"/>
      <c r="BR98" s="50" t="s">
        <v>225</v>
      </c>
      <c r="BT98" s="30" t="str">
        <f>IF(Table12[[#This Row],[Reduction rate 2021 to NZ target2]]="","",J98*(1+AN98)^(Table12[[#This Row],[NZ GHG year]]-2021))</f>
        <v/>
      </c>
    </row>
    <row r="99" spans="1:72" ht="15" x14ac:dyDescent="0.25">
      <c r="A99">
        <v>0</v>
      </c>
      <c r="B99">
        <v>0</v>
      </c>
      <c r="C99">
        <v>348</v>
      </c>
      <c r="D99">
        <v>88</v>
      </c>
      <c r="E99">
        <v>12</v>
      </c>
      <c r="F99" t="str">
        <f>'input site'!M99</f>
        <v>incl</v>
      </c>
      <c r="G99" s="31" t="s">
        <v>226</v>
      </c>
      <c r="H99" s="1" t="s">
        <v>227</v>
      </c>
      <c r="I99" s="8">
        <f>VLOOKUP($G99,'NZT data'!$B$3:$C$200,2,FALSE)</f>
        <v>4</v>
      </c>
      <c r="J99" s="32">
        <f>'input site'!AS99</f>
        <v>56.679017939800161</v>
      </c>
      <c r="K99" s="32">
        <f>'input site'!BS99</f>
        <v>29.041943187853512</v>
      </c>
      <c r="L99" s="32">
        <f t="shared" si="21"/>
        <v>0</v>
      </c>
      <c r="M99" s="32">
        <f t="shared" si="22"/>
        <v>0</v>
      </c>
      <c r="N99" s="32">
        <f>'input site'!EV99</f>
        <v>13.619968447278895</v>
      </c>
      <c r="O99" s="8"/>
      <c r="P99" s="8"/>
      <c r="Q99" s="32">
        <f t="shared" si="23"/>
        <v>0</v>
      </c>
      <c r="R99" s="32">
        <f>'input site'!EZ99</f>
        <v>6.6444245033219449</v>
      </c>
      <c r="S99" s="37" t="str">
        <f>'input site'!FA99</f>
        <v>2050 (part of the EU)</v>
      </c>
      <c r="T99" s="37" t="str">
        <f>Table12[[#This Row],[(Mt CO2 equivalent)]]</f>
        <v>Hungary</v>
      </c>
      <c r="U99" s="8">
        <f>VLOOKUP($G99,'NZT data'!$B$3:$F$200,4,FALSE)</f>
        <v>2050</v>
      </c>
      <c r="V99" s="32">
        <f>VLOOKUP($G99,'NZT data'!$B$3:$F$200,5,FALSE)</f>
        <v>2050</v>
      </c>
      <c r="W99" s="32">
        <f>-IF('LUC NGHGI'!EC89="",MIN('LUC NGHGI'!DW89,0.1),MIN('LUC NGHGI'!EC89,0.1))</f>
        <v>7.1122207028328503</v>
      </c>
      <c r="X99" s="32">
        <f>'LUC NGHGI'!EC89</f>
        <v>-7.1122207028328503</v>
      </c>
      <c r="Y99" s="32">
        <f>'LUC NGHGI'!DY89</f>
        <v>-7.1122207028328503</v>
      </c>
      <c r="Z99" s="32">
        <f>'LUC NGHGI'!DZ89</f>
        <v>-7.1122207028328503</v>
      </c>
      <c r="AA99" s="32">
        <f>Table12[[#This Row],[2021 emissions]]</f>
        <v>56.679017939800161</v>
      </c>
      <c r="AB99" s="32">
        <f>'LUC NGHGI'!DW89</f>
        <v>-7.2001190601998495</v>
      </c>
      <c r="AC99" s="32">
        <f>IF(F99="incl",Table12[[#This Row],[GHG emissions incl LULUCF]]-Table12[[#This Row],[LULUCF emis-sions in 20213]],Table12[[#This Row],[GHG emissions incl LULUCF]])</f>
        <v>63.879137000000014</v>
      </c>
      <c r="AD99" s="32">
        <f>'input site'!BS99</f>
        <v>29.041943187853512</v>
      </c>
      <c r="AE99" s="32">
        <f>'LUC NGHGI'!EH89</f>
        <v>-8.072733310296158</v>
      </c>
      <c r="AF99" s="32">
        <f>IF(F99="incl",Table12[[#This Row],[Current Policies 2030 incl LULUCF]]-Table12[[#This Row],[LULUCF CurPol 2030]],Table12[[#This Row],[Current Policies 2030 incl LULUCF]])</f>
        <v>37.11467649814967</v>
      </c>
      <c r="AG99" s="32">
        <f>IF(Table12[[#This Row],[Net-zero target status]]&lt;=1,"",IF(Table12[[#This Row],[NZ GHG year]]="","",1000000000*(Table12[[#This Row],[residual LULUCF emissions in 2050]]-Table12[[#This Row],[GHG emissions excl LULUCF]])/(Table12[[#This Row],[NZ GHG year]]-2021)/Table12[[#This Row],[Population]]))</f>
        <v>-203.77129872472824</v>
      </c>
      <c r="AH99" s="32">
        <f>IF(Table12[[#This Row],[Peak revised]]="Yes",IF(Table12[[#This Row],[Net-zero target status]]&lt;=1,"",IF(Table12[[#This Row],[NZ GHG year]]="","",1000000000*(Table12[[#This Row],[residual LULUCF emissions in 2050]]-Table12[[#This Row],[GHG emissions excl LULUCF]])/(Table12[[#This Row],[NZ GHG year]]-2021)/Table12[[#This Row],[Population]])),"")</f>
        <v>-203.77129872472824</v>
      </c>
      <c r="AI99" s="32">
        <f>MAX(0,(1000000*(Table12[[#This Row],[Current Policies 2030 excl LULUCF]]/2+Table12[[#This Row],[GHG emissions excl LULUCF]]/2)/Table12[[#This Row],[Population]]-$AI$8)*10)*$AI$10</f>
        <v>0</v>
      </c>
      <c r="AJ9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99" s="32" t="str">
        <f>IF(Table12[[#This Row],[Formule no Peak (2)]]="","",Table12[[#This Row],[Penalty (1)]]+Table12[[#This Row],[Formule no Peak (2)]])</f>
        <v/>
      </c>
      <c r="AL99" s="313">
        <f>(Table12[[#This Row],[Current Policies 2030 excl LULUCF]]-Table12[[#This Row],[GHG emissions excl LULUCF]])/(2030-2021)/Table12[[#This Row],[GHG emissions excl LULUCF]]</f>
        <v>-4.655399374994746E-2</v>
      </c>
      <c r="AM99" s="313">
        <f>IF(Table12[[#This Row],[Net-zero target status]]&lt;=1,"",IF(Table12[[#This Row],[NZ GHG year]]="","",(Table12[[#This Row],[residual LULUCF emissions in 2050]]-Table12[[#This Row],[Current Policies 2030 excl LULUCF]])/(Table12[[#This Row],[NZ GHG year]]-2030)/Table12[[#This Row],[Current Policies 2030 excl LULUCF]]))</f>
        <v>-4.0418587235716001E-2</v>
      </c>
      <c r="AN99" s="313">
        <f>IF(Table12[[#This Row],[Net-zero target status]]&lt;=1,"",IF(Table12[[#This Row],[NZ GHG year]]="","",(Table12[[#This Row],[residual LULUCF emissions in 2050]]-Table12[[#This Row],[GHG emissions excl LULUCF]])/(Table12[[#This Row],[NZ GHG year]]-2021)/Table12[[#This Row],[GHG emissions excl LULUCF]]))</f>
        <v>-3.0643492762216069E-2</v>
      </c>
      <c r="AO99" s="313" t="e">
        <f>IF(Table12[[#This Row],[Net-zero target status]]&lt;=1,"",IF(Table12[[#This Row],[NZ GHG year]]="","",(Table12[[#This Row],[residual LULUCF emissions in 2050]]-Table12[[#This Row],[2030 conditional NDCs]])/(Table12[[#This Row],[NZ GHG year]]-2030)/Table12[[#This Row],[2030 conditional NDCs]]))</f>
        <v>#VALUE!</v>
      </c>
      <c r="AP99" s="96">
        <f>MAX('input site'!AH99:AS99)</f>
        <v>61.108671692528219</v>
      </c>
      <c r="AQ99" s="95" t="str">
        <f>IF(Table12[[#This Row],[Current Policies 2030 incl LULUCF]]&gt;Table12[[#This Row],[Maximum inventory data]],"No","Yes")</f>
        <v>Yes</v>
      </c>
      <c r="AR99" s="34">
        <f>IF(Table12[[#This Row],[Net-zero target status]]&gt;=1.5,Table12[[#This Row],[residual LULUCF emissions in 2050]]/Table12[[#This Row],[GHG emissions excl LULUCF]],"")</f>
        <v>0.11133870989573401</v>
      </c>
      <c r="AS99" s="74" t="str">
        <f>'input site'!BE99</f>
        <v/>
      </c>
      <c r="AT99" s="74"/>
      <c r="AU99" s="74" t="str">
        <f>'input site'!BG99</f>
        <v/>
      </c>
      <c r="AV99" s="75"/>
      <c r="AW99" s="74" t="str">
        <f>IF(Table12[[#This Row],[2030 unconditional NDCs]]="","",IF(F99="incl",Table12[[#This Row],[2030 unconditional NDCs]]-Table12[[#This Row],[LULUCF NDC uncond]],Table12[[#This Row],[2030 unconditional NDCs]]))</f>
        <v/>
      </c>
      <c r="AX99" s="74" t="str">
        <f>IF(Table12[[#This Row],[2030 unconditional NDCs2]]="","",IF(F99="incl",Table12[[#This Row],[2030 unconditional NDCs2]]-Table12[[#This Row],[LULUCF NDC uncond]],Table12[[#This Row],[2030 unconditional NDCs2]]))</f>
        <v/>
      </c>
      <c r="AY99" s="74" t="str">
        <f>IF(Table12[[#This Row],[2030 conditional NDCs]]="","",IF(F99="incl",Table12[[#This Row],[2030 conditional NDCs]]-Table12[[#This Row],[LULUCF NDC cond]],Table12[[#This Row],[2030 conditional NDCs]]))</f>
        <v/>
      </c>
      <c r="AZ99" s="74" t="str">
        <f>IF(Table12[[#This Row],[2030 conditional NDCs2]]="","",IF(F99="incl",Table12[[#This Row],[2030 conditional NDCs2]]-Table12[[#This Row],[LULUCF NDC cond]],Table12[[#This Row],[2030 conditional NDCs2]]))</f>
        <v/>
      </c>
      <c r="BA99" s="8">
        <f>VLOOKUP($G99,'Population90 20'!$C$6:$AU$231,37,FALSE)</f>
        <v>9606259</v>
      </c>
      <c r="BB99" s="8">
        <f>VLOOKUP($G99,'Overview GDP (PPP)'!$C$6:$AI$231,33,FALSE)</f>
        <v>275899251.86957359</v>
      </c>
      <c r="BC99" s="36">
        <f>Table12[[#This Row],[Income]]/Table12[[#This Row],[Population]]</f>
        <v>28.720780052835718</v>
      </c>
      <c r="BD99" s="36">
        <f>Table12[[#This Row],[GHG emissions excl LULUCF]]*1000000/Table12[[#This Row],[Population]]</f>
        <v>6.649741278056319</v>
      </c>
      <c r="BE99" s="23" t="e">
        <f>VLOOKUP($G99,EGR2023_MASTER!$B$4:$S$38,14,FALSE)</f>
        <v>#N/A</v>
      </c>
      <c r="BF99" s="23" t="e">
        <f>VLOOKUP($G99,EGR2023_MASTER!$B$4:$S$38,15,FALSE)</f>
        <v>#N/A</v>
      </c>
      <c r="BG99" s="23" t="e">
        <f>VLOOKUP($G99,EGR2023_MASTER!$B$4:$S$38,16,FALSE)</f>
        <v>#N/A</v>
      </c>
      <c r="BH99" s="23" t="e">
        <f t="shared" si="19"/>
        <v>#N/A</v>
      </c>
      <c r="BI99" s="23" t="e">
        <f t="shared" si="20"/>
        <v>#N/A</v>
      </c>
      <c r="BJ99" s="552">
        <f>(Table12[[#This Row],[Current Policies 2030 excl LULUCF]]/Table12[[#This Row],[GHG emissions excl LULUCF]])^(1/(2030-2021))-1</f>
        <v>-5.8547277936007891E-2</v>
      </c>
      <c r="BK99" s="552">
        <f>IF(Table12[[#This Row],[Net-zero target status]]&lt;=1,"",IF(Table12[[#This Row],[NZ GHG year]]="","",((MAX(Table12[[#This Row],[residual LULUCF emissions in 2050]],0.1)/Table12[[#This Row],[Current Policies 2030 excl LULUCF]])^(1/(Table12[[#This Row],[NZ GHG year]]-2021))-1)))</f>
        <v>-5.5379805866677678E-2</v>
      </c>
      <c r="BL99" s="552">
        <f>IF(Table12[[#This Row],[Net-zero target status]]&lt;=1,"",IF(Table12[[#This Row],[NZ GHG year]]="","",((MAX(Table12[[#This Row],[residual LULUCF emissions in 2050]],0.1)/Table12[[#This Row],[GHG emissions excl LULUCF]])^(1/(Table12[[#This Row],[NZ GHG year]]-2021))-1)))</f>
        <v>-7.2901815728563246E-2</v>
      </c>
      <c r="BM99" s="552" t="e">
        <f>IF(Table12[[#This Row],[Net-zero target status]]&lt;=1,"",IF(Table12[[#This Row],[NZ GHG year]]="","",((MAX(Table12[[#This Row],[residual LULUCF emissions in 2050]],0.1)/AVERAGE(Table12[[#This Row],[2030 conditional NDCs]:[2030 conditional NDCs2]]))^(1/(Table12[[#This Row],[NZ GHG year]]-2021))-1)))</f>
        <v>#DIV/0!</v>
      </c>
      <c r="BN99" s="23"/>
      <c r="BO99" s="23"/>
      <c r="BP99" s="23"/>
      <c r="BQ99" s="23"/>
      <c r="BR99" s="50" t="s">
        <v>227</v>
      </c>
      <c r="BT99" s="30">
        <f>IF(Table12[[#This Row],[Reduction rate 2021 to NZ target2]]="","",J99*(1+AN99)^(Table12[[#This Row],[NZ GHG year]]-2021))</f>
        <v>22.985009524767349</v>
      </c>
    </row>
    <row r="100" spans="1:72" ht="15" x14ac:dyDescent="0.25">
      <c r="A100">
        <v>0</v>
      </c>
      <c r="B100">
        <v>0</v>
      </c>
      <c r="C100">
        <v>352</v>
      </c>
      <c r="D100">
        <v>89</v>
      </c>
      <c r="E100">
        <v>11</v>
      </c>
      <c r="F100" t="str">
        <f>'input site'!M100</f>
        <v>incl</v>
      </c>
      <c r="G100" s="31" t="s">
        <v>228</v>
      </c>
      <c r="H100" s="1" t="s">
        <v>229</v>
      </c>
      <c r="I100" s="8">
        <f>VLOOKUP($G100,'NZT data'!$B$3:$C$200,2,FALSE)</f>
        <v>4</v>
      </c>
      <c r="J100" s="32">
        <f>'input site'!AS100</f>
        <v>14.032924920966096</v>
      </c>
      <c r="K100" s="32">
        <f>'input site'!BS100</f>
        <v>7.8296635554410114</v>
      </c>
      <c r="L100" s="32">
        <f t="shared" si="21"/>
        <v>0</v>
      </c>
      <c r="M100" s="32">
        <f t="shared" si="22"/>
        <v>0</v>
      </c>
      <c r="N100" s="32">
        <f>'input site'!EV100</f>
        <v>2.9090862298201881</v>
      </c>
      <c r="O100" s="8">
        <v>0</v>
      </c>
      <c r="P100" s="36">
        <f>O100-N100</f>
        <v>-2.9090862298201881</v>
      </c>
      <c r="Q100" s="32">
        <f t="shared" si="23"/>
        <v>0</v>
      </c>
      <c r="R100" s="32">
        <f>'input site'!EZ100</f>
        <v>1.609085130943321</v>
      </c>
      <c r="S100" s="37">
        <f>'input site'!FA100</f>
        <v>2040</v>
      </c>
      <c r="T100" s="37" t="str">
        <f>Table12[[#This Row],[(Mt CO2 equivalent)]]</f>
        <v>Iceland</v>
      </c>
      <c r="U100" s="8">
        <f>VLOOKUP($G100,'NZT data'!$B$3:$F$200,4,FALSE)</f>
        <v>2040</v>
      </c>
      <c r="V100" s="32">
        <f>VLOOKUP($G100,'NZT data'!$B$3:$F$200,5,FALSE)</f>
        <v>2040</v>
      </c>
      <c r="W100" s="32">
        <f>-IF('LUC NGHGI'!EC90="",MIN('LUC NGHGI'!DW90,0.1),MIN('LUC NGHGI'!EC90,0.1))</f>
        <v>-0.1</v>
      </c>
      <c r="X100" s="32">
        <f>'LUC NGHGI'!EC90</f>
        <v>9.4207806043338991</v>
      </c>
      <c r="Y100" s="32">
        <f>'LUC NGHGI'!DY90</f>
        <v>1</v>
      </c>
      <c r="Z100" s="32">
        <f>'LUC NGHGI'!DZ90</f>
        <v>1</v>
      </c>
      <c r="AA100" s="32">
        <f>Table12[[#This Row],[2021 emissions]]</f>
        <v>14.032924920966096</v>
      </c>
      <c r="AB100" s="32">
        <f>'LUC NGHGI'!DW90</f>
        <v>9.397830220966096</v>
      </c>
      <c r="AC100" s="32">
        <f>IF(F100="incl",Table12[[#This Row],[GHG emissions incl LULUCF]]-Table12[[#This Row],[LULUCF emis-sions in 20213]],Table12[[#This Row],[GHG emissions incl LULUCF]])</f>
        <v>4.6350946999999998</v>
      </c>
      <c r="AD100" s="32">
        <f>'input site'!BS100</f>
        <v>7.8296635554410114</v>
      </c>
      <c r="AE100" s="32">
        <f>'LUC NGHGI'!EH90</f>
        <v>9.0864484723451557</v>
      </c>
      <c r="AF100" s="32">
        <f>IF(F100="incl",Table12[[#This Row],[Current Policies 2030 incl LULUCF]]-Table12[[#This Row],[LULUCF CurPol 2030]],Table12[[#This Row],[Current Policies 2030 incl LULUCF]])</f>
        <v>-1.2567849169041443</v>
      </c>
      <c r="AG100" s="32">
        <f>IF(Table12[[#This Row],[Net-zero target status]]&lt;=1,"",IF(Table12[[#This Row],[NZ GHG year]]="","",1000000000*(Table12[[#This Row],[residual LULUCF emissions in 2050]]-Table12[[#This Row],[GHG emissions excl LULUCF]])/(Table12[[#This Row],[NZ GHG year]]-2021)/Table12[[#This Row],[Population]]))</f>
        <v>-721.54186832482344</v>
      </c>
      <c r="AH100" s="32">
        <f>IF(Table12[[#This Row],[Peak revised]]="Yes",IF(Table12[[#This Row],[Net-zero target status]]&lt;=1,"",IF(Table12[[#This Row],[NZ GHG year]]="","",1000000000*(Table12[[#This Row],[residual LULUCF emissions in 2050]]-Table12[[#This Row],[GHG emissions excl LULUCF]])/(Table12[[#This Row],[NZ GHG year]]-2021)/Table12[[#This Row],[Population]])),"")</f>
        <v>-721.54186832482344</v>
      </c>
      <c r="AI100" s="32">
        <f>MAX(0,(1000000*(Table12[[#This Row],[Current Policies 2030 excl LULUCF]]/2+Table12[[#This Row],[GHG emissions excl LULUCF]]/2)/Table12[[#This Row],[Population]]-$AI$8)*10)*$AI$10</f>
        <v>0</v>
      </c>
      <c r="AJ10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0" s="32" t="str">
        <f>IF(Table12[[#This Row],[Formule no Peak (2)]]="","",Table12[[#This Row],[Penalty (1)]]+Table12[[#This Row],[Formule no Peak (2)]])</f>
        <v/>
      </c>
      <c r="AL100" s="313">
        <f>(Table12[[#This Row],[Current Policies 2030 excl LULUCF]]-Table12[[#This Row],[GHG emissions excl LULUCF]])/(2030-2021)/Table12[[#This Row],[GHG emissions excl LULUCF]]</f>
        <v>-0.14123838521942758</v>
      </c>
      <c r="AM100" s="313">
        <f>IF(Table12[[#This Row],[Net-zero target status]]&lt;=1,"",IF(Table12[[#This Row],[NZ GHG year]]="","",(Table12[[#This Row],[residual LULUCF emissions in 2050]]-Table12[[#This Row],[Current Policies 2030 excl LULUCF]])/(Table12[[#This Row],[NZ GHG year]]-2030)/Table12[[#This Row],[Current Policies 2030 excl LULUCF]]))</f>
        <v>-9.204318904094333E-2</v>
      </c>
      <c r="AN100" s="313">
        <f>IF(Table12[[#This Row],[Net-zero target status]]&lt;=1,"",IF(Table12[[#This Row],[NZ GHG year]]="","",(Table12[[#This Row],[residual LULUCF emissions in 2050]]-Table12[[#This Row],[GHG emissions excl LULUCF]])/(Table12[[#This Row],[NZ GHG year]]-2021)/Table12[[#This Row],[GHG emissions excl LULUCF]]))</f>
        <v>-5.3767080643749472E-2</v>
      </c>
      <c r="AO100" s="313">
        <f>IF(Table12[[#This Row],[Net-zero target status]]&lt;=1,"",IF(Table12[[#This Row],[NZ GHG year]]="","",(Table12[[#This Row],[residual LULUCF emissions in 2050]]-Table12[[#This Row],[2030 conditional NDCs]])/(Table12[[#This Row],[NZ GHG year]]-2030)/Table12[[#This Row],[2030 conditional NDCs]]))</f>
        <v>-0.10167189400088336</v>
      </c>
      <c r="AP100" s="96">
        <f>MAX('input site'!AH100:AS100)</f>
        <v>14.471875639926271</v>
      </c>
      <c r="AQ100" s="95" t="str">
        <f>IF(Table12[[#This Row],[Current Policies 2030 incl LULUCF]]&gt;Table12[[#This Row],[Maximum inventory data]],"No","Yes")</f>
        <v>Yes</v>
      </c>
      <c r="AR100" s="34">
        <f>IF(Table12[[#This Row],[Net-zero target status]]&gt;=1.5,Table12[[#This Row],[residual LULUCF emissions in 2050]]/Table12[[#This Row],[GHG emissions excl LULUCF]],"")</f>
        <v>-2.1574532231240066E-2</v>
      </c>
      <c r="AS100" s="76">
        <f>'input site'!BE100</f>
        <v>5.9812404343315624</v>
      </c>
      <c r="AT100" s="76">
        <f>'input site'!BF100</f>
        <v>5.9812404343315624</v>
      </c>
      <c r="AU100" s="76">
        <f>'input site'!BG100</f>
        <v>5.9812404343315624</v>
      </c>
      <c r="AV100" s="77">
        <f>'input site'!BH100</f>
        <v>5.9812404343315624</v>
      </c>
      <c r="AW100" s="74">
        <f>IF(Table12[[#This Row],[2030 unconditional NDCs]]="","",IF(F100="incl",Table12[[#This Row],[2030 unconditional NDCs]]-Table12[[#This Row],[LULUCF NDC uncond]],Table12[[#This Row],[2030 unconditional NDCs]]))</f>
        <v>4.9812404343315624</v>
      </c>
      <c r="AX100" s="74">
        <f>IF(Table12[[#This Row],[2030 unconditional NDCs2]]="","",IF(F100="incl",Table12[[#This Row],[2030 unconditional NDCs2]]-Table12[[#This Row],[LULUCF NDC uncond]],Table12[[#This Row],[2030 unconditional NDCs2]]))</f>
        <v>4.9812404343315624</v>
      </c>
      <c r="AY100" s="74">
        <f>IF(Table12[[#This Row],[2030 conditional NDCs]]="","",IF(F100="incl",Table12[[#This Row],[2030 conditional NDCs]]-Table12[[#This Row],[LULUCF NDC cond]],Table12[[#This Row],[2030 conditional NDCs]]))</f>
        <v>4.9812404343315624</v>
      </c>
      <c r="AZ100" s="74">
        <f>IF(Table12[[#This Row],[2030 conditional NDCs2]]="","",IF(F100="incl",Table12[[#This Row],[2030 conditional NDCs2]]-Table12[[#This Row],[LULUCF NDC cond]],Table12[[#This Row],[2030 conditional NDCs2]]))</f>
        <v>4.9812404343315624</v>
      </c>
      <c r="BA100" s="8">
        <f>VLOOKUP($G100,'Population90 20'!$C$6:$AU$231,37,FALSE)</f>
        <v>345393</v>
      </c>
      <c r="BB100" s="8">
        <f>VLOOKUP($G100,'Overview GDP (PPP)'!$C$6:$AI$231,33,FALSE)</f>
        <v>17185668.306380466</v>
      </c>
      <c r="BC100" s="36">
        <f>Table12[[#This Row],[Income]]/Table12[[#This Row],[Population]]</f>
        <v>49.756851778641909</v>
      </c>
      <c r="BD100" s="36">
        <f>Table12[[#This Row],[GHG emissions excl LULUCF]]*1000000/Table12[[#This Row],[Population]]</f>
        <v>13.419770232749361</v>
      </c>
      <c r="BE100" s="23" t="e">
        <f>VLOOKUP($G100,EGR2023_MASTER!$B$4:$S$38,14,FALSE)</f>
        <v>#N/A</v>
      </c>
      <c r="BF100" s="23" t="e">
        <f>VLOOKUP($G100,EGR2023_MASTER!$B$4:$S$38,15,FALSE)</f>
        <v>#N/A</v>
      </c>
      <c r="BG100" s="23" t="e">
        <f>VLOOKUP($G100,EGR2023_MASTER!$B$4:$S$38,16,FALSE)</f>
        <v>#N/A</v>
      </c>
      <c r="BH100" s="23" t="e">
        <f t="shared" si="19"/>
        <v>#N/A</v>
      </c>
      <c r="BI100" s="23" t="e">
        <f t="shared" si="20"/>
        <v>#N/A</v>
      </c>
      <c r="BJ100" s="552">
        <f>(Table12[[#This Row],[Current Policies 2030 excl LULUCF]]/Table12[[#This Row],[GHG emissions excl LULUCF]])^(1/(2030-2021))-1</f>
        <v>-1.8650126987584676</v>
      </c>
      <c r="BK100" s="552">
        <f>IF(Table12[[#This Row],[Net-zero target status]]&lt;=1,"",IF(Table12[[#This Row],[NZ GHG year]]="","",((MAX(Table12[[#This Row],[residual LULUCF emissions in 2050]],0.1)/Table12[[#This Row],[Current Policies 2030 excl LULUCF]])^(1/(Table12[[#This Row],[NZ GHG year]]-2021))-1)))</f>
        <v>-1.8752742661409183</v>
      </c>
      <c r="BL100" s="552">
        <f>IF(Table12[[#This Row],[Net-zero target status]]&lt;=1,"",IF(Table12[[#This Row],[NZ GHG year]]="","",((MAX(Table12[[#This Row],[residual LULUCF emissions in 2050]],0.1)/Table12[[#This Row],[GHG emissions excl LULUCF]])^(1/(Table12[[#This Row],[NZ GHG year]]-2021))-1)))</f>
        <v>-0.18282945387622762</v>
      </c>
      <c r="BM100" s="552">
        <f>IF(Table12[[#This Row],[Net-zero target status]]&lt;=1,"",IF(Table12[[#This Row],[NZ GHG year]]="","",((MAX(Table12[[#This Row],[residual LULUCF emissions in 2050]],0.1)/AVERAGE(Table12[[#This Row],[2030 conditional NDCs]:[2030 conditional NDCs2]]))^(1/(Table12[[#This Row],[NZ GHG year]]-2021))-1)))</f>
        <v>-0.19372225872476079</v>
      </c>
      <c r="BN100" s="23"/>
      <c r="BO100" s="23"/>
      <c r="BP100" s="23"/>
      <c r="BQ100" s="23"/>
      <c r="BR100" s="50" t="s">
        <v>229</v>
      </c>
      <c r="BT100" s="30">
        <f>IF(Table12[[#This Row],[Reduction rate 2021 to NZ target2]]="","",J100*(1+AN100)^(Table12[[#This Row],[NZ GHG year]]-2021))</f>
        <v>4.9103359861296578</v>
      </c>
    </row>
    <row r="101" spans="1:72" ht="15" x14ac:dyDescent="0.25">
      <c r="A101">
        <v>1</v>
      </c>
      <c r="B101">
        <v>1</v>
      </c>
      <c r="C101">
        <v>356</v>
      </c>
      <c r="D101">
        <v>90</v>
      </c>
      <c r="E101">
        <v>18</v>
      </c>
      <c r="F101" t="str">
        <f>'input site'!M101</f>
        <v>incl</v>
      </c>
      <c r="G101" s="31" t="s">
        <v>230</v>
      </c>
      <c r="H101" s="1" t="s">
        <v>231</v>
      </c>
      <c r="I101" s="8">
        <f>VLOOKUP($G101,'NZT data'!$B$3:$C$200,2,FALSE)</f>
        <v>3</v>
      </c>
      <c r="J101" s="32">
        <f>'input site'!AS101</f>
        <v>3024.6467601999998</v>
      </c>
      <c r="K101" s="32">
        <f>'input site'!BS101</f>
        <v>4140.8871007765001</v>
      </c>
      <c r="L101" s="32">
        <f>IF(I101&gt;=1,O101,K101)</f>
        <v>2137.0735485211217</v>
      </c>
      <c r="M101" s="32">
        <f t="shared" si="22"/>
        <v>2137.0735485211217</v>
      </c>
      <c r="N101" s="32">
        <f>'input site'!EV101</f>
        <v>940.67819750153717</v>
      </c>
      <c r="O101" s="32">
        <f>'input site'!EW101</f>
        <v>2137.0735485211217</v>
      </c>
      <c r="P101" s="8"/>
      <c r="Q101" s="32">
        <f t="shared" si="23"/>
        <v>2137.0735485211217</v>
      </c>
      <c r="R101" s="32">
        <f>'input site'!EZ101</f>
        <v>-2.3746557187382988</v>
      </c>
      <c r="S101" s="37">
        <f>'input site'!FA101</f>
        <v>2070</v>
      </c>
      <c r="T101" s="37" t="str">
        <f>Table12[[#This Row],[(Mt CO2 equivalent)]]</f>
        <v>India</v>
      </c>
      <c r="U101" s="8">
        <f>VLOOKUP($G101,'NZT data'!$B$3:$F$200,4,FALSE)</f>
        <v>2070</v>
      </c>
      <c r="V101" s="32">
        <f>VLOOKUP($G101,'NZT data'!$B$3:$F$200,5,FALSE)</f>
        <v>2085</v>
      </c>
      <c r="W101" s="32">
        <f>-IF('LUC NGHGI'!EC91="",MIN('LUC NGHGI'!DW91,0.1),MIN('LUC NGHGI'!EC91,0.1))</f>
        <v>307.81900000000002</v>
      </c>
      <c r="X101" s="32">
        <f>'LUC NGHGI'!EC91</f>
        <v>-307.81900000000002</v>
      </c>
      <c r="Y101" s="32">
        <f>'LUC NGHGI'!DY91</f>
        <v>-571.09199999999998</v>
      </c>
      <c r="Z101" s="32">
        <f>'LUC NGHGI'!DZ91</f>
        <v>-571.09199999999998</v>
      </c>
      <c r="AA101" s="32">
        <f>Table12[[#This Row],[2021 emissions]]</f>
        <v>3024.6467601999998</v>
      </c>
      <c r="AB101" s="32">
        <f>'LUC NGHGI'!DW91</f>
        <v>-416.77871827956915</v>
      </c>
      <c r="AC101" s="32">
        <f>IF(F101="incl",Table12[[#This Row],[GHG emissions incl LULUCF]]-Table12[[#This Row],[LULUCF emis-sions in 20213]],Table12[[#This Row],[GHG emissions incl LULUCF]])</f>
        <v>3441.4254784795689</v>
      </c>
      <c r="AD101" s="32">
        <f>'input site'!BS101</f>
        <v>4140.8871007765001</v>
      </c>
      <c r="AE101" s="32">
        <f>'LUC NGHGI'!EH91</f>
        <v>-402.89495929999998</v>
      </c>
      <c r="AF101" s="32">
        <f>IF(F101="incl",Table12[[#This Row],[Current Policies 2030 incl LULUCF]]-Table12[[#This Row],[LULUCF CurPol 2030]],Table12[[#This Row],[Current Policies 2030 incl LULUCF]])</f>
        <v>4543.7820600764999</v>
      </c>
      <c r="AG101" s="32">
        <f>IF(Table12[[#This Row],[Net-zero target status]]&lt;=1,"",IF(Table12[[#This Row],[NZ GHG year]]="","",1000000000*(Table12[[#This Row],[residual LULUCF emissions in 2050]]-Table12[[#This Row],[GHG emissions excl LULUCF]])/(Table12[[#This Row],[NZ GHG year]]-2021)/Table12[[#This Row],[Population]]))</f>
        <v>-34.808399797050555</v>
      </c>
      <c r="AH101" s="32" t="str">
        <f>IF(Table12[[#This Row],[Peak revised]]="Yes",IF(Table12[[#This Row],[Net-zero target status]]&lt;=1,"",IF(Table12[[#This Row],[NZ GHG year]]="","",1000000000*(Table12[[#This Row],[residual LULUCF emissions in 2050]]-Table12[[#This Row],[GHG emissions excl LULUCF]])/(Table12[[#This Row],[NZ GHG year]]-2021)/Table12[[#This Row],[Population]])),"")</f>
        <v/>
      </c>
      <c r="AI101" s="32">
        <f>MAX(0,(1000000*(Table12[[#This Row],[Current Policies 2030 excl LULUCF]]/2+Table12[[#This Row],[GHG emissions excl LULUCF]]/2)/Table12[[#This Row],[Population]]-$AI$8)*10)*$AI$10</f>
        <v>0</v>
      </c>
      <c r="AJ101" s="32">
        <f>IF(Table12[[#This Row],[Peak revised]]="No",IF(Table12[[#This Row],[Net-zero target status]]&lt;=1,"",IF(Table12[[#This Row],[NZ GHG year]]="","",1000000000*(Table12[[#This Row],[residual LULUCF emissions in 2050]]-Table12[[#This Row],[Current Policies 2030 excl LULUCF]])/(Table12[[#This Row],[NZ GHG year]]-2021)/Table12[[#This Row],[Population]])),"")</f>
        <v>-47.053481901218831</v>
      </c>
      <c r="AK101" s="32">
        <f>IF(Table12[[#This Row],[Formule no Peak (2)]]="","",Table12[[#This Row],[Penalty (1)]]+Table12[[#This Row],[Formule no Peak (2)]])</f>
        <v>-47.053481901218831</v>
      </c>
      <c r="AL101" s="313">
        <f>(Table12[[#This Row],[Current Policies 2030 excl LULUCF]]-Table12[[#This Row],[GHG emissions excl LULUCF]])/(2030-2021)/Table12[[#This Row],[GHG emissions excl LULUCF]]</f>
        <v>3.5591084388668794E-2</v>
      </c>
      <c r="AM101" s="313">
        <f>IF(Table12[[#This Row],[Net-zero target status]]&lt;=1,"",IF(Table12[[#This Row],[NZ GHG year]]="","",(Table12[[#This Row],[residual LULUCF emissions in 2050]]-Table12[[#This Row],[Current Policies 2030 excl LULUCF]])/(Table12[[#This Row],[NZ GHG year]]-2030)/Table12[[#This Row],[Current Policies 2030 excl LULUCF]]))</f>
        <v>-1.6950088971017331E-2</v>
      </c>
      <c r="AN101" s="313">
        <f>IF(Table12[[#This Row],[Net-zero target status]]&lt;=1,"",IF(Table12[[#This Row],[NZ GHG year]]="","",(Table12[[#This Row],[residual LULUCF emissions in 2050]]-Table12[[#This Row],[GHG emissions excl LULUCF]])/(Table12[[#This Row],[NZ GHG year]]-2021)/Table12[[#This Row],[GHG emissions excl LULUCF]]))</f>
        <v>-1.4227418705540319E-2</v>
      </c>
      <c r="AO101" s="313">
        <f>IF(Table12[[#This Row],[Net-zero target status]]&lt;=1,"",IF(Table12[[#This Row],[NZ GHG year]]="","",(Table12[[#This Row],[residual LULUCF emissions in 2050]]-Table12[[#This Row],[2030 conditional NDCs]])/(Table12[[#This Row],[NZ GHG year]]-2030)/Table12[[#This Row],[2030 conditional NDCs]]))</f>
        <v>-1.6839772848669155E-2</v>
      </c>
      <c r="AP101" s="96">
        <f>MAX('input site'!AH101:AS101)</f>
        <v>3024.6467601999998</v>
      </c>
      <c r="AQ101" s="95" t="str">
        <f>IF(Table12[[#This Row],[Current Policies 2030 incl LULUCF]]&gt;Table12[[#This Row],[Maximum inventory data]],"No","Yes")</f>
        <v>No</v>
      </c>
      <c r="AR101" s="34">
        <f>IF(Table12[[#This Row],[Net-zero target status]]&gt;=1.5,Table12[[#This Row],[residual LULUCF emissions in 2050]]/Table12[[#This Row],[GHG emissions excl LULUCF]],"")</f>
        <v>8.9445202845419527E-2</v>
      </c>
      <c r="AS101" s="84">
        <f>'input site'!BE101</f>
        <v>4378.0110056792528</v>
      </c>
      <c r="AT101" s="84">
        <f>'input site'!BF101</f>
        <v>4512.7880006832766</v>
      </c>
      <c r="AU101" s="84">
        <f>'input site'!BG101</f>
        <v>4170.283188405233</v>
      </c>
      <c r="AV101" s="85">
        <f>'input site'!BH101</f>
        <v>4170.283188405233</v>
      </c>
      <c r="AW101" s="74">
        <f>IF(Table12[[#This Row],[2030 unconditional NDCs]]="","",IF(F101="incl",Table12[[#This Row],[2030 unconditional NDCs]]-Table12[[#This Row],[LULUCF NDC uncond]],Table12[[#This Row],[2030 unconditional NDCs]]))</f>
        <v>4949.1030056792524</v>
      </c>
      <c r="AX101" s="74">
        <f>IF(Table12[[#This Row],[2030 unconditional NDCs2]]="","",IF(F101="incl",Table12[[#This Row],[2030 unconditional NDCs2]]-Table12[[#This Row],[LULUCF NDC uncond]],Table12[[#This Row],[2030 unconditional NDCs2]]))</f>
        <v>5083.8800006832762</v>
      </c>
      <c r="AY101" s="74">
        <f>IF(Table12[[#This Row],[2030 conditional NDCs]]="","",IF(F101="incl",Table12[[#This Row],[2030 conditional NDCs]]-Table12[[#This Row],[LULUCF NDC cond]],Table12[[#This Row],[2030 conditional NDCs]]))</f>
        <v>4741.3751884052326</v>
      </c>
      <c r="AZ101" s="74">
        <f>IF(Table12[[#This Row],[2030 conditional NDCs2]]="","",IF(F101="incl",Table12[[#This Row],[2030 conditional NDCs2]]-Table12[[#This Row],[LULUCF NDC cond]],Table12[[#This Row],[2030 conditional NDCs2]]))</f>
        <v>4741.3751884052326</v>
      </c>
      <c r="BA101" s="8">
        <f>VLOOKUP($G101,'Population90 20'!$C$6:$AU$231,37,FALSE)</f>
        <v>1406631776</v>
      </c>
      <c r="BB101" s="8">
        <f>VLOOKUP($G101,'Overview GDP (PPP)'!$C$6:$AI$231,33,FALSE)</f>
        <v>9331996259.5788116</v>
      </c>
      <c r="BC101" s="36">
        <f>Table12[[#This Row],[Income]]/Table12[[#This Row],[Population]]</f>
        <v>6.6342851191062611</v>
      </c>
      <c r="BD101" s="36">
        <f>Table12[[#This Row],[GHG emissions excl LULUCF]]*1000000/Table12[[#This Row],[Population]]</f>
        <v>2.4465716879124226</v>
      </c>
      <c r="BE101" s="23" t="str">
        <f>VLOOKUP($G101,EGR2023_MASTER!$B$4:$S$38,14,FALSE)</f>
        <v>N</v>
      </c>
      <c r="BF101" s="23" t="str">
        <f>VLOOKUP($G101,EGR2023_MASTER!$B$4:$S$38,15,FALSE)</f>
        <v>None</v>
      </c>
      <c r="BG101" s="23" t="str">
        <f>VLOOKUP($G101,EGR2023_MASTER!$B$4:$S$38,16,FALSE)</f>
        <v>n</v>
      </c>
      <c r="BH101" s="23" t="str">
        <f t="shared" si="19"/>
        <v>much lower</v>
      </c>
      <c r="BI101" s="23" t="str">
        <f t="shared" si="20"/>
        <v>weak</v>
      </c>
      <c r="BJ101" s="552">
        <f>(Table12[[#This Row],[Current Policies 2030 excl LULUCF]]/Table12[[#This Row],[GHG emissions excl LULUCF]])^(1/(2030-2021))-1</f>
        <v>3.1356455852267873E-2</v>
      </c>
      <c r="BK101" s="552">
        <f>IF(Table12[[#This Row],[Net-zero target status]]&lt;=1,"",IF(Table12[[#This Row],[NZ GHG year]]="","",((MAX(Table12[[#This Row],[residual LULUCF emissions in 2050]],0.1)/Table12[[#This Row],[Current Policies 2030 excl LULUCF]])^(1/(Table12[[#This Row],[NZ GHG year]]-2021))-1)))</f>
        <v>-4.1190192597717945E-2</v>
      </c>
      <c r="BL101" s="552">
        <f>IF(Table12[[#This Row],[Net-zero target status]]&lt;=1,"",IF(Table12[[#This Row],[NZ GHG year]]="","",((MAX(Table12[[#This Row],[residual LULUCF emissions in 2050]],0.1)/Table12[[#This Row],[GHG emissions excl LULUCF]])^(1/(Table12[[#This Row],[NZ GHG year]]-2021))-1)))</f>
        <v>-3.7018200530139489E-2</v>
      </c>
      <c r="BM101" s="552">
        <f>IF(Table12[[#This Row],[Net-zero target status]]&lt;=1,"",IF(Table12[[#This Row],[NZ GHG year]]="","",((MAX(Table12[[#This Row],[residual LULUCF emissions in 2050]],0.1)/AVERAGE(Table12[[#This Row],[2030 conditional NDCs]:[2030 conditional NDCs2]]))^(1/(Table12[[#This Row],[NZ GHG year]]-2021))-1)))</f>
        <v>-3.9904289622003097E-2</v>
      </c>
      <c r="BN101" s="23"/>
      <c r="BO101" s="23"/>
      <c r="BP101" s="23"/>
      <c r="BQ101" s="23"/>
      <c r="BR101" s="50" t="s">
        <v>231</v>
      </c>
      <c r="BT101" s="30">
        <f>IF(Table12[[#This Row],[Reduction rate 2021 to NZ target2]]="","",J101*(1+AN101)^(Table12[[#This Row],[NZ GHG year]]-2021))</f>
        <v>1208.8868659674242</v>
      </c>
    </row>
    <row r="102" spans="1:72" ht="15" x14ac:dyDescent="0.25">
      <c r="A102">
        <v>1</v>
      </c>
      <c r="B102">
        <v>1</v>
      </c>
      <c r="C102">
        <v>360</v>
      </c>
      <c r="D102">
        <v>91</v>
      </c>
      <c r="E102">
        <v>22</v>
      </c>
      <c r="F102" t="str">
        <f>'input site'!M102</f>
        <v>incl</v>
      </c>
      <c r="G102" s="31" t="s">
        <v>232</v>
      </c>
      <c r="H102" s="1" t="s">
        <v>233</v>
      </c>
      <c r="I102" s="553">
        <v>2</v>
      </c>
      <c r="J102" s="32">
        <f>'input site'!AS102</f>
        <v>1836.9278589999999</v>
      </c>
      <c r="K102" s="32">
        <f>'input site'!BS102</f>
        <v>2125.2996099908401</v>
      </c>
      <c r="L102" s="32">
        <f t="shared" si="21"/>
        <v>0</v>
      </c>
      <c r="M102" s="32">
        <f t="shared" si="22"/>
        <v>0</v>
      </c>
      <c r="N102" s="32">
        <f>'input site'!EV102</f>
        <v>684.92552940515816</v>
      </c>
      <c r="O102" s="8">
        <f>'input site'!EW102</f>
        <v>0</v>
      </c>
      <c r="P102" s="8"/>
      <c r="Q102" s="32">
        <f t="shared" si="23"/>
        <v>0</v>
      </c>
      <c r="R102" s="32">
        <f>'input site'!EZ102</f>
        <v>-177.37235410949268</v>
      </c>
      <c r="S102" s="37">
        <f>'input site'!FA102</f>
        <v>2060</v>
      </c>
      <c r="T102" s="37" t="str">
        <f>Table12[[#This Row],[(Mt CO2 equivalent)]]</f>
        <v>Indonesia</v>
      </c>
      <c r="U102" s="8">
        <f>VLOOKUP($G102,'NZT data'!$B$3:$F$200,4,FALSE)</f>
        <v>2060</v>
      </c>
      <c r="V102" s="32">
        <f>VLOOKUP($G102,'NZT data'!$B$3:$F$200,5,FALSE)</f>
        <v>2075</v>
      </c>
      <c r="W102" s="550">
        <f>-IF('LUC NGHGI'!EC92="",MIN('LUC NGHGI'!DW92,0.1),MIN('LUC NGHGI'!EC92,0.1))</f>
        <v>-0.1</v>
      </c>
      <c r="X102" s="32">
        <f>'LUC NGHGI'!EC92</f>
        <v>669.97311724138126</v>
      </c>
      <c r="Y102" s="32">
        <f>'LUC NGHGI'!DY92</f>
        <v>214</v>
      </c>
      <c r="Z102" s="32">
        <f>'LUC NGHGI'!DZ92</f>
        <v>-15</v>
      </c>
      <c r="AA102" s="32">
        <f>Table12[[#This Row],[2021 emissions]]</f>
        <v>1836.9278589999999</v>
      </c>
      <c r="AB102" s="32">
        <f>'LUC NGHGI'!DW92</f>
        <v>679.58436996662567</v>
      </c>
      <c r="AC102" s="32">
        <f>IF(F102="incl",Table12[[#This Row],[GHG emissions incl LULUCF]]-Table12[[#This Row],[LULUCF emis-sions in 20213]],Table12[[#This Row],[GHG emissions incl LULUCF]])</f>
        <v>1157.3434890333742</v>
      </c>
      <c r="AD102" s="32">
        <f>'input site'!BS102</f>
        <v>2125.2996099908401</v>
      </c>
      <c r="AE102" s="32">
        <f>'LUC NGHGI'!EH92</f>
        <v>861.67909612806204</v>
      </c>
      <c r="AF102" s="32">
        <f>IF(F102="incl",Table12[[#This Row],[Current Policies 2030 incl LULUCF]]-Table12[[#This Row],[LULUCF CurPol 2030]],Table12[[#This Row],[Current Policies 2030 incl LULUCF]])</f>
        <v>1263.6205138627779</v>
      </c>
      <c r="AG102" s="32">
        <f>IF(Table12[[#This Row],[Net-zero target status]]&lt;=1,"",IF(Table12[[#This Row],[NZ GHG year]]="","",1000000000*(Table12[[#This Row],[residual LULUCF emissions in 2050]]-Table12[[#This Row],[GHG emissions excl LULUCF]])/(Table12[[#This Row],[NZ GHG year]]-2021)/Table12[[#This Row],[Population]]))</f>
        <v>-76.787850666485042</v>
      </c>
      <c r="AH102" s="32" t="str">
        <f>IF(Table12[[#This Row],[Peak revised]]="Yes",IF(Table12[[#This Row],[Net-zero target status]]&lt;=1,"",IF(Table12[[#This Row],[NZ GHG year]]="","",1000000000*(Table12[[#This Row],[residual LULUCF emissions in 2050]]-Table12[[#This Row],[GHG emissions excl LULUCF]])/(Table12[[#This Row],[NZ GHG year]]-2021)/Table12[[#This Row],[Population]])),"")</f>
        <v/>
      </c>
      <c r="AI102" s="32">
        <f>MAX(0,(1000000*(Table12[[#This Row],[Current Policies 2030 excl LULUCF]]/2+Table12[[#This Row],[GHG emissions excl LULUCF]]/2)/Table12[[#This Row],[Population]]-$AI$8)*10)*$AI$10</f>
        <v>0</v>
      </c>
      <c r="AJ102" s="32">
        <f>IF(Table12[[#This Row],[Peak revised]]="No",IF(Table12[[#This Row],[Net-zero target status]]&lt;=1,"",IF(Table12[[#This Row],[NZ GHG year]]="","",1000000000*(Table12[[#This Row],[residual LULUCF emissions in 2050]]-Table12[[#This Row],[Current Policies 2030 excl LULUCF]])/(Table12[[#This Row],[NZ GHG year]]-2021)/Table12[[#This Row],[Population]])),"")</f>
        <v>-83.838548509793114</v>
      </c>
      <c r="AK102" s="32">
        <f>IF(Table12[[#This Row],[Formule no Peak (2)]]="","",Table12[[#This Row],[Penalty (1)]]+Table12[[#This Row],[Formule no Peak (2)]])</f>
        <v>-83.838548509793114</v>
      </c>
      <c r="AL102" s="313">
        <f>(Table12[[#This Row],[Current Policies 2030 excl LULUCF]]-Table12[[#This Row],[GHG emissions excl LULUCF]])/(2030-2021)/Table12[[#This Row],[GHG emissions excl LULUCF]]</f>
        <v>1.0203157857863633E-2</v>
      </c>
      <c r="AM102" s="313">
        <f>IF(Table12[[#This Row],[Net-zero target status]]&lt;=1,"",IF(Table12[[#This Row],[NZ GHG year]]="","",(Table12[[#This Row],[residual LULUCF emissions in 2050]]-Table12[[#This Row],[Current Policies 2030 excl LULUCF]])/(Table12[[#This Row],[NZ GHG year]]-2030)/Table12[[#This Row],[Current Policies 2030 excl LULUCF]]))</f>
        <v>-2.2223980837406006E-2</v>
      </c>
      <c r="AN102" s="313">
        <f>IF(Table12[[#This Row],[Net-zero target status]]&lt;=1,"",IF(Table12[[#This Row],[NZ GHG year]]="","",(Table12[[#This Row],[residual LULUCF emissions in 2050]]-Table12[[#This Row],[GHG emissions excl LULUCF]])/(Table12[[#This Row],[NZ GHG year]]-2021)/Table12[[#This Row],[GHG emissions excl LULUCF]]))</f>
        <v>-1.8520118606884156E-2</v>
      </c>
      <c r="AO102" s="313">
        <f>IF(Table12[[#This Row],[Net-zero target status]]&lt;=1,"",IF(Table12[[#This Row],[NZ GHG year]]="","",(Table12[[#This Row],[residual LULUCF emissions in 2050]]-Table12[[#This Row],[2030 conditional NDCs]])/(Table12[[#This Row],[NZ GHG year]]-2030)/Table12[[#This Row],[2030 conditional NDCs]]))</f>
        <v>-2.2223585890074185E-2</v>
      </c>
      <c r="AP102" s="581">
        <f>MAX('input site'!AP102:AS102)</f>
        <v>1877.8106990000001</v>
      </c>
      <c r="AQ102" s="95" t="str">
        <f>IF(Table12[[#This Row],[Current Policies 2030 incl LULUCF]]&gt;Table12[[#This Row],[Maximum inventory data]],"No","Yes")</f>
        <v>No</v>
      </c>
      <c r="AR102" s="34">
        <f>IF(Table12[[#This Row],[Net-zero target status]]&gt;=1.5,Table12[[#This Row],[residual LULUCF emissions in 2050]]/Table12[[#This Row],[GHG emissions excl LULUCF]],"")</f>
        <v>-8.640477174457609E-5</v>
      </c>
      <c r="AS102" s="86">
        <f>'input site'!BE102</f>
        <v>1954.0759</v>
      </c>
      <c r="AT102" s="86">
        <f>'input site'!BF102</f>
        <v>1954.0759</v>
      </c>
      <c r="AU102" s="86">
        <f>'input site'!BG102</f>
        <v>1629.5920000000001</v>
      </c>
      <c r="AV102" s="87">
        <f>'input site'!BH102</f>
        <v>1629.5920000000001</v>
      </c>
      <c r="AW102" s="74">
        <f>IF(Table12[[#This Row],[2030 unconditional NDCs]]="","",IF(F102="incl",Table12[[#This Row],[2030 unconditional NDCs]]-Table12[[#This Row],[LULUCF NDC uncond]],Table12[[#This Row],[2030 unconditional NDCs]]))</f>
        <v>1740.0759</v>
      </c>
      <c r="AX102" s="74">
        <f>IF(Table12[[#This Row],[2030 unconditional NDCs2]]="","",IF(F102="incl",Table12[[#This Row],[2030 unconditional NDCs2]]-Table12[[#This Row],[LULUCF NDC uncond]],Table12[[#This Row],[2030 unconditional NDCs2]]))</f>
        <v>1740.0759</v>
      </c>
      <c r="AY102" s="74">
        <f>IF(Table12[[#This Row],[2030 conditional NDCs]]="","",IF(F102="incl",Table12[[#This Row],[2030 conditional NDCs]]-Table12[[#This Row],[LULUCF NDC cond]],Table12[[#This Row],[2030 conditional NDCs]]))</f>
        <v>1644.5920000000001</v>
      </c>
      <c r="AZ102" s="74">
        <f>IF(Table12[[#This Row],[2030 conditional NDCs2]]="","",IF(F102="incl",Table12[[#This Row],[2030 conditional NDCs2]]-Table12[[#This Row],[LULUCF NDC cond]],Table12[[#This Row],[2030 conditional NDCs2]]))</f>
        <v>1644.5920000000001</v>
      </c>
      <c r="BA102" s="8">
        <f>VLOOKUP($G102,'Population90 20'!$C$6:$AU$231,37,FALSE)</f>
        <v>279134505</v>
      </c>
      <c r="BB102" s="8">
        <f>VLOOKUP($G102,'Overview GDP (PPP)'!$C$6:$AI$231,33,FALSE)</f>
        <v>3106463105.0679264</v>
      </c>
      <c r="BC102" s="36">
        <f>Table12[[#This Row],[Income]]/Table12[[#This Row],[Population]]</f>
        <v>11.128911150084889</v>
      </c>
      <c r="BD102" s="36">
        <f>Table12[[#This Row],[GHG emissions excl LULUCF]]*1000000/Table12[[#This Row],[Population]]</f>
        <v>4.1461856857624042</v>
      </c>
      <c r="BE102" s="23" t="str">
        <f>VLOOKUP($G102,EGR2023_MASTER!$B$4:$S$38,14,FALSE)</f>
        <v>N</v>
      </c>
      <c r="BF102" s="23" t="str">
        <f>VLOOKUP($G102,EGR2023_MASTER!$B$4:$S$38,15,FALSE)</f>
        <v>None</v>
      </c>
      <c r="BG102" s="23" t="str">
        <f>VLOOKUP($G102,EGR2023_MASTER!$B$4:$S$38,16,FALSE)</f>
        <v>n</v>
      </c>
      <c r="BH102" s="23" t="str">
        <f t="shared" si="19"/>
        <v>much lower</v>
      </c>
      <c r="BI102" s="23" t="str">
        <f t="shared" si="20"/>
        <v>weak</v>
      </c>
      <c r="BJ102" s="552">
        <f>(Table12[[#This Row],[Current Policies 2030 excl LULUCF]]/Table12[[#This Row],[GHG emissions excl LULUCF]])^(1/(2030-2021))-1</f>
        <v>9.809325895149712E-3</v>
      </c>
      <c r="BK102" s="552">
        <f>IF(Table12[[#This Row],[Net-zero target status]]&lt;=1,"",IF(Table12[[#This Row],[NZ GHG year]]="","",((MAX(Table12[[#This Row],[residual LULUCF emissions in 2050]],0.1)/Table12[[#This Row],[Current Policies 2030 excl LULUCF]])^(1/(Table12[[#This Row],[NZ GHG year]]-2021))-1)))</f>
        <v>-0.16045469785228128</v>
      </c>
      <c r="BL102" s="552">
        <f>IF(Table12[[#This Row],[Net-zero target status]]&lt;=1,"",IF(Table12[[#This Row],[NZ GHG year]]="","",((MAX(Table12[[#This Row],[residual LULUCF emissions in 2050]],0.1)/Table12[[#This Row],[GHG emissions excl LULUCF]])^(1/(Table12[[#This Row],[NZ GHG year]]-2021))-1)))</f>
        <v>-0.15908771217202788</v>
      </c>
      <c r="BM102" s="552">
        <f>IF(Table12[[#This Row],[Net-zero target status]]&lt;=1,"",IF(Table12[[#This Row],[NZ GHG year]]="","",((MAX(Table12[[#This Row],[residual LULUCF emissions in 2050]],0.1)/AVERAGE(Table12[[#This Row],[2030 conditional NDCs]:[2030 conditional NDCs2]]))^(1/(Table12[[#This Row],[NZ GHG year]]-2021))-1)))</f>
        <v>-0.16439979243893355</v>
      </c>
      <c r="BN102" s="23"/>
      <c r="BO102" s="23"/>
      <c r="BP102" s="23"/>
      <c r="BQ102" s="23"/>
      <c r="BR102" s="50" t="s">
        <v>233</v>
      </c>
      <c r="BT102" s="30">
        <f>IF(Table12[[#This Row],[Reduction rate 2021 to NZ target2]]="","",J102*(1+AN102)^(Table12[[#This Row],[NZ GHG year]]-2021))</f>
        <v>669.40321767572982</v>
      </c>
    </row>
    <row r="103" spans="1:72" ht="15" x14ac:dyDescent="0.25">
      <c r="A103">
        <v>1</v>
      </c>
      <c r="B103">
        <v>0</v>
      </c>
      <c r="C103">
        <v>364</v>
      </c>
      <c r="D103">
        <v>92</v>
      </c>
      <c r="E103">
        <v>17</v>
      </c>
      <c r="F103" t="str">
        <f>'input site'!M103</f>
        <v>incl</v>
      </c>
      <c r="G103" s="31" t="s">
        <v>234</v>
      </c>
      <c r="H103" s="1" t="s">
        <v>235</v>
      </c>
      <c r="I103" s="8">
        <v>0</v>
      </c>
      <c r="J103" s="32">
        <f>'input site'!AS103</f>
        <v>1001.27838</v>
      </c>
      <c r="K103" s="32">
        <f>'input site'!BS103</f>
        <v>1349.5548199999998</v>
      </c>
      <c r="L103" s="32">
        <f t="shared" si="21"/>
        <v>1349.5548199999998</v>
      </c>
      <c r="M103" s="32">
        <f t="shared" si="22"/>
        <v>485.54877605715023</v>
      </c>
      <c r="N103" s="32">
        <f>'input site'!EV103</f>
        <v>485.54877605715023</v>
      </c>
      <c r="O103" s="8"/>
      <c r="P103" s="8"/>
      <c r="Q103" s="32">
        <f t="shared" si="23"/>
        <v>84.577251209365798</v>
      </c>
      <c r="R103" s="32">
        <f>'input site'!EZ103</f>
        <v>84.577251209365798</v>
      </c>
      <c r="S103" s="37">
        <f>'input site'!FA103</f>
        <v>0</v>
      </c>
      <c r="T103" s="37" t="str">
        <f>Table12[[#This Row],[(Mt CO2 equivalent)]]</f>
        <v>Iran</v>
      </c>
      <c r="U103" s="8">
        <f>VLOOKUP($G103,'NZT data'!$B$3:$F$200,4,FALSE)</f>
        <v>2110</v>
      </c>
      <c r="V103" s="32" t="str">
        <f>VLOOKUP($G103,'NZT data'!$B$3:$F$200,5,FALSE)</f>
        <v/>
      </c>
      <c r="W103" s="32">
        <f>-IF('LUC NGHGI'!EC93="",MIN('LUC NGHGI'!DW93,0.1),MIN('LUC NGHGI'!EC93,0.1))</f>
        <v>-0.1</v>
      </c>
      <c r="X103" s="32">
        <f>'LUC NGHGI'!EC93</f>
        <v>21.469699999999985</v>
      </c>
      <c r="Y103" s="32">
        <f>'LUC NGHGI'!DY93</f>
        <v>21.469699999999985</v>
      </c>
      <c r="Z103" s="32">
        <f>'LUC NGHGI'!DZ93</f>
        <v>21.469699999999985</v>
      </c>
      <c r="AA103" s="32">
        <f>Table12[[#This Row],[2021 emissions]]</f>
        <v>1001.27838</v>
      </c>
      <c r="AB103" s="32">
        <f>'LUC NGHGI'!DW93</f>
        <v>21.469699999999985</v>
      </c>
      <c r="AC103" s="32">
        <f>IF(F103="incl",Table12[[#This Row],[GHG emissions incl LULUCF]]-Table12[[#This Row],[LULUCF emis-sions in 20213]],Table12[[#This Row],[GHG emissions incl LULUCF]])</f>
        <v>979.80867999999998</v>
      </c>
      <c r="AD103" s="32">
        <f>'input site'!BS103</f>
        <v>1349.5548199999998</v>
      </c>
      <c r="AE103" s="32">
        <f>'LUC NGHGI'!EH93</f>
        <v>27.0495599999999</v>
      </c>
      <c r="AF103" s="32">
        <f>IF(F103="incl",Table12[[#This Row],[Current Policies 2030 incl LULUCF]]-Table12[[#This Row],[LULUCF CurPol 2030]],Table12[[#This Row],[Current Policies 2030 incl LULUCF]])</f>
        <v>1322.5052599999999</v>
      </c>
      <c r="AG103" s="32" t="str">
        <f>IF(Table12[[#This Row],[Net-zero target status]]&lt;=1,"",IF(Table12[[#This Row],[NZ GHG year]]="","",1000000000*(Table12[[#This Row],[residual LULUCF emissions in 2050]]-Table12[[#This Row],[GHG emissions excl LULUCF]])/(Table12[[#This Row],[NZ GHG year]]-2021)/Table12[[#This Row],[Population]]))</f>
        <v/>
      </c>
      <c r="AH103" s="32" t="str">
        <f>IF(Table12[[#This Row],[Peak revised]]="Yes",IF(Table12[[#This Row],[Net-zero target status]]&lt;=1,"",IF(Table12[[#This Row],[NZ GHG year]]="","",1000000000*(Table12[[#This Row],[residual LULUCF emissions in 2050]]-Table12[[#This Row],[GHG emissions excl LULUCF]])/(Table12[[#This Row],[NZ GHG year]]-2021)/Table12[[#This Row],[Population]])),"")</f>
        <v/>
      </c>
      <c r="AI103" s="32">
        <f>MAX(0,(1000000*(Table12[[#This Row],[Current Policies 2030 excl LULUCF]]/2+Table12[[#This Row],[GHG emissions excl LULUCF]]/2)/Table12[[#This Row],[Population]]-$AI$8)*10)*$AI$10</f>
        <v>-638.19926213314716</v>
      </c>
      <c r="AJ10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3" s="32" t="str">
        <f>IF(Table12[[#This Row],[Formule no Peak (2)]]="","",Table12[[#This Row],[Penalty (1)]]+Table12[[#This Row],[Formule no Peak (2)]])</f>
        <v/>
      </c>
      <c r="AL103" s="313">
        <f>(Table12[[#This Row],[Current Policies 2030 excl LULUCF]]-Table12[[#This Row],[GHG emissions excl LULUCF]])/(2030-2021)/Table12[[#This Row],[GHG emissions excl LULUCF]]</f>
        <v>3.8862074356983418E-2</v>
      </c>
      <c r="AM103" s="313" t="str">
        <f>IF(Table12[[#This Row],[Net-zero target status]]&lt;=1,"",IF(Table12[[#This Row],[NZ GHG year]]="","",(Table12[[#This Row],[residual LULUCF emissions in 2050]]-Table12[[#This Row],[Current Policies 2030 excl LULUCF]])/(Table12[[#This Row],[NZ GHG year]]-2030)/Table12[[#This Row],[Current Policies 2030 excl LULUCF]]))</f>
        <v/>
      </c>
      <c r="AN103" s="313" t="str">
        <f>IF(Table12[[#This Row],[Net-zero target status]]&lt;=1,"",IF(Table12[[#This Row],[NZ GHG year]]="","",(Table12[[#This Row],[residual LULUCF emissions in 2050]]-Table12[[#This Row],[GHG emissions excl LULUCF]])/(Table12[[#This Row],[NZ GHG year]]-2021)/Table12[[#This Row],[GHG emissions excl LULUCF]]))</f>
        <v/>
      </c>
      <c r="AO103" s="313" t="str">
        <f>IF(Table12[[#This Row],[Net-zero target status]]&lt;=1,"",IF(Table12[[#This Row],[NZ GHG year]]="","",(Table12[[#This Row],[residual LULUCF emissions in 2050]]-Table12[[#This Row],[2030 conditional NDCs]])/(Table12[[#This Row],[NZ GHG year]]-2030)/Table12[[#This Row],[2030 conditional NDCs]]))</f>
        <v/>
      </c>
      <c r="AP103" s="96">
        <f>MAX('input site'!AH103:AS103)</f>
        <v>1001.27838</v>
      </c>
      <c r="AQ103" s="95" t="str">
        <f>IF(Table12[[#This Row],[Current Policies 2030 incl LULUCF]]&gt;Table12[[#This Row],[Maximum inventory data]],"No","Yes")</f>
        <v>No</v>
      </c>
      <c r="AR103" s="34" t="str">
        <f>IF(Table12[[#This Row],[Net-zero target status]]&gt;=1.5,Table12[[#This Row],[residual LULUCF emissions in 2050]]/Table12[[#This Row],[GHG emissions excl LULUCF]],"")</f>
        <v/>
      </c>
      <c r="AS103" s="74">
        <f>'input site'!BE103</f>
        <v>1958.6718575693235</v>
      </c>
      <c r="AT103" s="74">
        <f>'input site'!BF103</f>
        <v>1958.6718575693235</v>
      </c>
      <c r="AU103" s="74">
        <f>'input site'!BG103</f>
        <v>1795.44920277188</v>
      </c>
      <c r="AV103" s="75">
        <f>'input site'!BH103</f>
        <v>1795.44920277188</v>
      </c>
      <c r="AW103" s="74">
        <f>IF(Table12[[#This Row],[2030 unconditional NDCs]]="","",IF(F103="incl",Table12[[#This Row],[2030 unconditional NDCs]]-Table12[[#This Row],[LULUCF NDC uncond]],Table12[[#This Row],[2030 unconditional NDCs]]))</f>
        <v>1937.2021575693236</v>
      </c>
      <c r="AX103" s="74">
        <f>IF(Table12[[#This Row],[2030 unconditional NDCs2]]="","",IF(F103="incl",Table12[[#This Row],[2030 unconditional NDCs2]]-Table12[[#This Row],[LULUCF NDC uncond]],Table12[[#This Row],[2030 unconditional NDCs2]]))</f>
        <v>1937.2021575693236</v>
      </c>
      <c r="AY103" s="74">
        <f>IF(Table12[[#This Row],[2030 conditional NDCs]]="","",IF(F103="incl",Table12[[#This Row],[2030 conditional NDCs]]-Table12[[#This Row],[LULUCF NDC cond]],Table12[[#This Row],[2030 conditional NDCs]]))</f>
        <v>1773.9795027718801</v>
      </c>
      <c r="AZ103" s="74">
        <f>IF(Table12[[#This Row],[2030 conditional NDCs2]]="","",IF(F103="incl",Table12[[#This Row],[2030 conditional NDCs2]]-Table12[[#This Row],[LULUCF NDC cond]],Table12[[#This Row],[2030 conditional NDCs2]]))</f>
        <v>1773.9795027718801</v>
      </c>
      <c r="BA103" s="8">
        <f>VLOOKUP($G103,'Population90 20'!$C$6:$AU$231,37,FALSE)</f>
        <v>86022837</v>
      </c>
      <c r="BB103" s="8">
        <f>VLOOKUP($G103,'Overview GDP (PPP)'!$C$6:$AI$231,33,FALSE)</f>
        <v>1480189408.9279113</v>
      </c>
      <c r="BC103" s="36">
        <f>Table12[[#This Row],[Income]]/Table12[[#This Row],[Population]]</f>
        <v>17.206935513274356</v>
      </c>
      <c r="BD103" s="36">
        <f>Table12[[#This Row],[GHG emissions excl LULUCF]]*1000000/Table12[[#This Row],[Population]]</f>
        <v>11.390099584834664</v>
      </c>
      <c r="BE103" s="23" t="str">
        <f>VLOOKUP($G103,EGR2023_MASTER!$B$4:$S$38,14,FALSE)</f>
        <v>No NZT</v>
      </c>
      <c r="BF103" s="23" t="str">
        <f>VLOOKUP($G103,EGR2023_MASTER!$B$4:$S$38,15,FALSE)</f>
        <v>None</v>
      </c>
      <c r="BG103" s="23" t="str">
        <f>VLOOKUP($G103,EGR2023_MASTER!$B$4:$S$38,16,FALSE)</f>
        <v>n</v>
      </c>
      <c r="BH103" s="23" t="str">
        <f t="shared" si="19"/>
        <v>much lower</v>
      </c>
      <c r="BI103" s="23" t="str">
        <f t="shared" si="20"/>
        <v>weak</v>
      </c>
      <c r="BJ103" s="552">
        <f>(Table12[[#This Row],[Current Policies 2030 excl LULUCF]]/Table12[[#This Row],[GHG emissions excl LULUCF]])^(1/(2030-2021))-1</f>
        <v>3.3886591142570088E-2</v>
      </c>
      <c r="BK103" s="552" t="str">
        <f>IF(Table12[[#This Row],[Net-zero target status]]&lt;=1,"",IF(Table12[[#This Row],[NZ GHG year]]="","",((MAX(Table12[[#This Row],[residual LULUCF emissions in 2050]],0.1)/Table12[[#This Row],[Current Policies 2030 excl LULUCF]])^(1/(Table12[[#This Row],[NZ GHG year]]-2021))-1)))</f>
        <v/>
      </c>
      <c r="BL103" s="552" t="str">
        <f>IF(Table12[[#This Row],[Net-zero target status]]&lt;=1,"",IF(Table12[[#This Row],[NZ GHG year]]="","",((MAX(Table12[[#This Row],[residual LULUCF emissions in 2050]],0.1)/Table12[[#This Row],[GHG emissions excl LULUCF]])^(1/(Table12[[#This Row],[NZ GHG year]]-2021))-1)))</f>
        <v/>
      </c>
      <c r="BM103" s="552" t="str">
        <f>IF(Table12[[#This Row],[Net-zero target status]]&lt;=1,"",IF(Table12[[#This Row],[NZ GHG year]]="","",((MAX(Table12[[#This Row],[residual LULUCF emissions in 2050]],0.1)/AVERAGE(Table12[[#This Row],[2030 conditional NDCs]:[2030 conditional NDCs2]]))^(1/(Table12[[#This Row],[NZ GHG year]]-2021))-1)))</f>
        <v/>
      </c>
      <c r="BN103" s="23"/>
      <c r="BO103" s="23"/>
      <c r="BP103" s="23"/>
      <c r="BQ103" s="23"/>
      <c r="BR103" s="50" t="s">
        <v>235</v>
      </c>
      <c r="BT103" s="30" t="str">
        <f>IF(Table12[[#This Row],[Reduction rate 2021 to NZ target2]]="","",J103*(1+AN103)^(Table12[[#This Row],[NZ GHG year]]-2021))</f>
        <v/>
      </c>
    </row>
    <row r="104" spans="1:72" ht="15" x14ac:dyDescent="0.25">
      <c r="A104">
        <v>0</v>
      </c>
      <c r="B104">
        <v>0</v>
      </c>
      <c r="C104">
        <v>368</v>
      </c>
      <c r="D104">
        <v>93</v>
      </c>
      <c r="E104">
        <v>17</v>
      </c>
      <c r="F104" t="str">
        <f>'input site'!M104</f>
        <v>excl</v>
      </c>
      <c r="G104" s="31" t="s">
        <v>236</v>
      </c>
      <c r="H104" s="1" t="s">
        <v>237</v>
      </c>
      <c r="I104" s="8">
        <f>VLOOKUP($G104,'NZT data'!$B$3:$C$200,2,FALSE)</f>
        <v>0</v>
      </c>
      <c r="J104" s="32">
        <f>'input site'!AS104</f>
        <v>360.89320000000004</v>
      </c>
      <c r="K104" s="32">
        <f>'input site'!BS104</f>
        <v>358.35678400386075</v>
      </c>
      <c r="L104" s="32">
        <f t="shared" si="21"/>
        <v>358.35678400386075</v>
      </c>
      <c r="M104" s="32">
        <f t="shared" si="22"/>
        <v>183.16865980716301</v>
      </c>
      <c r="N104" s="32">
        <f>'input site'!EV104</f>
        <v>183.16865980716301</v>
      </c>
      <c r="O104" s="8"/>
      <c r="P104" s="8"/>
      <c r="Q104" s="32">
        <f t="shared" si="23"/>
        <v>31.905963969250859</v>
      </c>
      <c r="R104" s="32">
        <f>'input site'!EZ104</f>
        <v>31.905963969250859</v>
      </c>
      <c r="S104" s="37">
        <f>'input site'!FA104</f>
        <v>0</v>
      </c>
      <c r="T104" s="37" t="str">
        <f>Table12[[#This Row],[(Mt CO2 equivalent)]]</f>
        <v>Iraq</v>
      </c>
      <c r="U104" s="8">
        <f>VLOOKUP($G104,'NZT data'!$B$3:$F$200,4,FALSE)</f>
        <v>2110</v>
      </c>
      <c r="V104" s="32" t="str">
        <f>VLOOKUP($G104,'NZT data'!$B$3:$F$200,5,FALSE)</f>
        <v/>
      </c>
      <c r="W104" s="32">
        <f>-IF('LUC NGHGI'!EC94="",MIN('LUC NGHGI'!DW94,0.1),MIN('LUC NGHGI'!EC94,0.1))</f>
        <v>0</v>
      </c>
      <c r="X104" s="32">
        <f>'LUC NGHGI'!EC94</f>
        <v>0</v>
      </c>
      <c r="Y104" s="32" t="str">
        <f>'LUC NGHGI'!DY94</f>
        <v/>
      </c>
      <c r="Z104" s="32" t="str">
        <f>'LUC NGHGI'!DZ94</f>
        <v/>
      </c>
      <c r="AA104" s="32">
        <f>Table12[[#This Row],[2021 emissions]]</f>
        <v>360.89320000000004</v>
      </c>
      <c r="AB104" s="32">
        <f>'LUC NGHGI'!DW94</f>
        <v>0</v>
      </c>
      <c r="AC104" s="32">
        <f>IF(F104="incl",Table12[[#This Row],[GHG emissions incl LULUCF]]-Table12[[#This Row],[LULUCF emis-sions in 20213]],Table12[[#This Row],[GHG emissions incl LULUCF]])</f>
        <v>360.89320000000004</v>
      </c>
      <c r="AD104" s="32">
        <f>'input site'!BS104</f>
        <v>358.35678400386075</v>
      </c>
      <c r="AE104" s="32">
        <f>'LUC NGHGI'!EH94</f>
        <v>0</v>
      </c>
      <c r="AF104" s="32">
        <f>IF(F104="incl",Table12[[#This Row],[Current Policies 2030 incl LULUCF]]-Table12[[#This Row],[LULUCF CurPol 2030]],Table12[[#This Row],[Current Policies 2030 incl LULUCF]])</f>
        <v>358.35678400386075</v>
      </c>
      <c r="AG104" s="32" t="str">
        <f>IF(Table12[[#This Row],[Net-zero target status]]&lt;=1,"",IF(Table12[[#This Row],[NZ GHG year]]="","",1000000000*(Table12[[#This Row],[residual LULUCF emissions in 2050]]-Table12[[#This Row],[GHG emissions excl LULUCF]])/(Table12[[#This Row],[NZ GHG year]]-2021)/Table12[[#This Row],[Population]]))</f>
        <v/>
      </c>
      <c r="AH104" s="32" t="str">
        <f>IF(Table12[[#This Row],[Peak revised]]="Yes",IF(Table12[[#This Row],[Net-zero target status]]&lt;=1,"",IF(Table12[[#This Row],[NZ GHG year]]="","",1000000000*(Table12[[#This Row],[residual LULUCF emissions in 2050]]-Table12[[#This Row],[GHG emissions excl LULUCF]])/(Table12[[#This Row],[NZ GHG year]]-2021)/Table12[[#This Row],[Population]])),"")</f>
        <v/>
      </c>
      <c r="AI104" s="32">
        <f>MAX(0,(1000000*(Table12[[#This Row],[Current Policies 2030 excl LULUCF]]/2+Table12[[#This Row],[GHG emissions excl LULUCF]]/2)/Table12[[#This Row],[Population]]-$AI$8)*10)*$AI$10</f>
        <v>-152.90001308415739</v>
      </c>
      <c r="AJ10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4" s="32" t="str">
        <f>IF(Table12[[#This Row],[Formule no Peak (2)]]="","",Table12[[#This Row],[Penalty (1)]]+Table12[[#This Row],[Formule no Peak (2)]])</f>
        <v/>
      </c>
      <c r="AL104" s="313">
        <f>(Table12[[#This Row],[Current Policies 2030 excl LULUCF]]-Table12[[#This Row],[GHG emissions excl LULUCF]])/(2030-2021)/Table12[[#This Row],[GHG emissions excl LULUCF]]</f>
        <v>-7.8090692640102777E-4</v>
      </c>
      <c r="AM104" s="313" t="str">
        <f>IF(Table12[[#This Row],[Net-zero target status]]&lt;=1,"",IF(Table12[[#This Row],[NZ GHG year]]="","",(Table12[[#This Row],[residual LULUCF emissions in 2050]]-Table12[[#This Row],[Current Policies 2030 excl LULUCF]])/(Table12[[#This Row],[NZ GHG year]]-2030)/Table12[[#This Row],[Current Policies 2030 excl LULUCF]]))</f>
        <v/>
      </c>
      <c r="AN104" s="313" t="str">
        <f>IF(Table12[[#This Row],[Net-zero target status]]&lt;=1,"",IF(Table12[[#This Row],[NZ GHG year]]="","",(Table12[[#This Row],[residual LULUCF emissions in 2050]]-Table12[[#This Row],[GHG emissions excl LULUCF]])/(Table12[[#This Row],[NZ GHG year]]-2021)/Table12[[#This Row],[GHG emissions excl LULUCF]]))</f>
        <v/>
      </c>
      <c r="AO104" s="313" t="str">
        <f>IF(Table12[[#This Row],[Net-zero target status]]&lt;=1,"",IF(Table12[[#This Row],[NZ GHG year]]="","",(Table12[[#This Row],[residual LULUCF emissions in 2050]]-Table12[[#This Row],[2030 conditional NDCs]])/(Table12[[#This Row],[NZ GHG year]]-2030)/Table12[[#This Row],[2030 conditional NDCs]]))</f>
        <v/>
      </c>
      <c r="AP104" s="96">
        <f>MAX('input site'!AH104:AS104)</f>
        <v>376.01115000000004</v>
      </c>
      <c r="AQ104" s="95" t="str">
        <f>IF(Table12[[#This Row],[Current Policies 2030 incl LULUCF]]&gt;Table12[[#This Row],[Maximum inventory data]],"No","Yes")</f>
        <v>Yes</v>
      </c>
      <c r="AR104" s="34" t="str">
        <f>IF(Table12[[#This Row],[Net-zero target status]]&gt;=1.5,Table12[[#This Row],[residual LULUCF emissions in 2050]]/Table12[[#This Row],[GHG emissions excl LULUCF]],"")</f>
        <v/>
      </c>
      <c r="AS104" s="74" t="str">
        <f>'input site'!BE104</f>
        <v/>
      </c>
      <c r="AT104" s="74" t="str">
        <f>'input site'!BF104</f>
        <v/>
      </c>
      <c r="AU104" s="74" t="str">
        <f>'input site'!BG104</f>
        <v/>
      </c>
      <c r="AV104" s="75" t="str">
        <f>'input site'!BH104</f>
        <v/>
      </c>
      <c r="AW104" s="74" t="str">
        <f>IF(Table12[[#This Row],[2030 unconditional NDCs]]="","",IF(F104="incl",Table12[[#This Row],[2030 unconditional NDCs]]-Table12[[#This Row],[LULUCF NDC uncond]],Table12[[#This Row],[2030 unconditional NDCs]]))</f>
        <v/>
      </c>
      <c r="AX104" s="74" t="str">
        <f>IF(Table12[[#This Row],[2030 unconditional NDCs2]]="","",IF(F104="incl",Table12[[#This Row],[2030 unconditional NDCs2]]-Table12[[#This Row],[LULUCF NDC uncond]],Table12[[#This Row],[2030 unconditional NDCs2]]))</f>
        <v/>
      </c>
      <c r="AY104" s="74" t="str">
        <f>IF(Table12[[#This Row],[2030 conditional NDCs]]="","",IF(F104="incl",Table12[[#This Row],[2030 conditional NDCs]]-Table12[[#This Row],[LULUCF NDC cond]],Table12[[#This Row],[2030 conditional NDCs]]))</f>
        <v/>
      </c>
      <c r="AZ104" s="74" t="str">
        <f>IF(Table12[[#This Row],[2030 conditional NDCs2]]="","",IF(F104="incl",Table12[[#This Row],[2030 conditional NDCs2]]-Table12[[#This Row],[LULUCF NDC cond]],Table12[[#This Row],[2030 conditional NDCs2]]))</f>
        <v/>
      </c>
      <c r="BA104" s="8">
        <f>VLOOKUP($G104,'Population90 20'!$C$6:$AU$231,37,FALSE)</f>
        <v>42164965</v>
      </c>
      <c r="BB104" s="8">
        <f>VLOOKUP($G104,'Overview GDP (PPP)'!$C$6:$AI$231,33,FALSE)</f>
        <v>598204684.86912513</v>
      </c>
      <c r="BC104" s="36">
        <f>Table12[[#This Row],[Income]]/Table12[[#This Row],[Population]]</f>
        <v>14.187244905079966</v>
      </c>
      <c r="BD104" s="36">
        <f>Table12[[#This Row],[GHG emissions excl LULUCF]]*1000000/Table12[[#This Row],[Population]]</f>
        <v>8.5590774236383229</v>
      </c>
      <c r="BE104" s="23" t="e">
        <f>VLOOKUP($G104,EGR2023_MASTER!$B$4:$S$38,14,FALSE)</f>
        <v>#N/A</v>
      </c>
      <c r="BF104" s="23" t="e">
        <f>VLOOKUP($G104,EGR2023_MASTER!$B$4:$S$38,15,FALSE)</f>
        <v>#N/A</v>
      </c>
      <c r="BG104" s="23" t="e">
        <f>VLOOKUP($G104,EGR2023_MASTER!$B$4:$S$38,16,FALSE)</f>
        <v>#N/A</v>
      </c>
      <c r="BH104" s="23" t="e">
        <f t="shared" si="19"/>
        <v>#N/A</v>
      </c>
      <c r="BI104" s="23" t="e">
        <f t="shared" si="20"/>
        <v>#N/A</v>
      </c>
      <c r="BJ104" s="552">
        <f>(Table12[[#This Row],[Current Policies 2030 excl LULUCF]]/Table12[[#This Row],[GHG emissions excl LULUCF]])^(1/(2030-2021))-1</f>
        <v>-7.8335703807896895E-4</v>
      </c>
      <c r="BK104" s="552" t="str">
        <f>IF(Table12[[#This Row],[Net-zero target status]]&lt;=1,"",IF(Table12[[#This Row],[NZ GHG year]]="","",((MAX(Table12[[#This Row],[residual LULUCF emissions in 2050]],0.1)/Table12[[#This Row],[Current Policies 2030 excl LULUCF]])^(1/(Table12[[#This Row],[NZ GHG year]]-2021))-1)))</f>
        <v/>
      </c>
      <c r="BL104" s="552" t="str">
        <f>IF(Table12[[#This Row],[Net-zero target status]]&lt;=1,"",IF(Table12[[#This Row],[NZ GHG year]]="","",((MAX(Table12[[#This Row],[residual LULUCF emissions in 2050]],0.1)/Table12[[#This Row],[GHG emissions excl LULUCF]])^(1/(Table12[[#This Row],[NZ GHG year]]-2021))-1)))</f>
        <v/>
      </c>
      <c r="BM104" s="552" t="str">
        <f>IF(Table12[[#This Row],[Net-zero target status]]&lt;=1,"",IF(Table12[[#This Row],[NZ GHG year]]="","",((MAX(Table12[[#This Row],[residual LULUCF emissions in 2050]],0.1)/AVERAGE(Table12[[#This Row],[2030 conditional NDCs]:[2030 conditional NDCs2]]))^(1/(Table12[[#This Row],[NZ GHG year]]-2021))-1)))</f>
        <v/>
      </c>
      <c r="BN104" s="23"/>
      <c r="BO104" s="23"/>
      <c r="BP104" s="23"/>
      <c r="BQ104" s="23"/>
      <c r="BR104" s="50" t="s">
        <v>237</v>
      </c>
      <c r="BT104" s="30" t="str">
        <f>IF(Table12[[#This Row],[Reduction rate 2021 to NZ target2]]="","",J104*(1+AN104)^(Table12[[#This Row],[NZ GHG year]]-2021))</f>
        <v/>
      </c>
    </row>
    <row r="105" spans="1:72" ht="15" x14ac:dyDescent="0.25">
      <c r="A105">
        <v>0</v>
      </c>
      <c r="B105">
        <v>0</v>
      </c>
      <c r="C105">
        <v>372</v>
      </c>
      <c r="D105">
        <v>94</v>
      </c>
      <c r="E105">
        <v>11</v>
      </c>
      <c r="F105" t="str">
        <f>'input site'!M105</f>
        <v>incl</v>
      </c>
      <c r="G105" s="31" t="s">
        <v>238</v>
      </c>
      <c r="H105" s="1" t="s">
        <v>239</v>
      </c>
      <c r="I105" s="8">
        <f>VLOOKUP($G105,'NZT data'!$B$3:$C$200,2,FALSE)</f>
        <v>4</v>
      </c>
      <c r="J105" s="32">
        <f>'input site'!AS105</f>
        <v>68.369680267266517</v>
      </c>
      <c r="K105" s="32">
        <f>'input site'!BS105</f>
        <v>38.146829467175515</v>
      </c>
      <c r="L105" s="32">
        <f t="shared" si="21"/>
        <v>0</v>
      </c>
      <c r="M105" s="32">
        <f t="shared" si="22"/>
        <v>0</v>
      </c>
      <c r="N105" s="32">
        <f>'input site'!EV105</f>
        <v>14.079246634347916</v>
      </c>
      <c r="O105" s="8"/>
      <c r="P105" s="8"/>
      <c r="Q105" s="32">
        <f t="shared" si="23"/>
        <v>0</v>
      </c>
      <c r="R105" s="32">
        <f>'input site'!EZ105</f>
        <v>7.7875678561832551</v>
      </c>
      <c r="S105" s="37" t="str">
        <f>'input site'!FA105</f>
        <v>2050 (part of the EU)</v>
      </c>
      <c r="T105" s="37" t="str">
        <f>Table12[[#This Row],[(Mt CO2 equivalent)]]</f>
        <v>Ireland</v>
      </c>
      <c r="U105" s="8">
        <f>VLOOKUP($G105,'NZT data'!$B$3:$F$200,4,FALSE)</f>
        <v>2050</v>
      </c>
      <c r="V105" s="32">
        <f>VLOOKUP($G105,'NZT data'!$B$3:$F$200,5,FALSE)</f>
        <v>2050</v>
      </c>
      <c r="W105" s="32">
        <f>-IF('LUC NGHGI'!EC95="",MIN('LUC NGHGI'!DW95,0.1),MIN('LUC NGHGI'!EC95,0.1))</f>
        <v>-0.1</v>
      </c>
      <c r="X105" s="32">
        <f>'LUC NGHGI'!EC95</f>
        <v>7.0424500858212173</v>
      </c>
      <c r="Y105" s="32">
        <f>'LUC NGHGI'!DY95</f>
        <v>7.0424500858212173</v>
      </c>
      <c r="Z105" s="32">
        <f>'LUC NGHGI'!DZ95</f>
        <v>7.0424500858212173</v>
      </c>
      <c r="AA105" s="32">
        <f>Table12[[#This Row],[2021 emissions]]</f>
        <v>68.369680267266517</v>
      </c>
      <c r="AB105" s="32">
        <f>'LUC NGHGI'!DW95</f>
        <v>7.3382512672665197</v>
      </c>
      <c r="AC105" s="32">
        <f>IF(F105="incl",Table12[[#This Row],[GHG emissions incl LULUCF]]-Table12[[#This Row],[LULUCF emis-sions in 20213]],Table12[[#This Row],[GHG emissions incl LULUCF]])</f>
        <v>61.031428999999996</v>
      </c>
      <c r="AD105" s="32">
        <f>'input site'!BS105</f>
        <v>38.146829467175515</v>
      </c>
      <c r="AE105" s="32">
        <f>'LUC NGHGI'!EH95</f>
        <v>5.4743153287628799</v>
      </c>
      <c r="AF105" s="32">
        <f>IF(F105="incl",Table12[[#This Row],[Current Policies 2030 incl LULUCF]]-Table12[[#This Row],[LULUCF CurPol 2030]],Table12[[#This Row],[Current Policies 2030 incl LULUCF]])</f>
        <v>32.672514138412637</v>
      </c>
      <c r="AG105" s="32">
        <f>IF(Table12[[#This Row],[Net-zero target status]]&lt;=1,"",IF(Table12[[#This Row],[NZ GHG year]]="","",1000000000*(Table12[[#This Row],[residual LULUCF emissions in 2050]]-Table12[[#This Row],[GHG emissions excl LULUCF]])/(Table12[[#This Row],[NZ GHG year]]-2021)/Table12[[#This Row],[Population]]))</f>
        <v>-419.89975105465493</v>
      </c>
      <c r="AH105" s="32">
        <f>IF(Table12[[#This Row],[Peak revised]]="Yes",IF(Table12[[#This Row],[Net-zero target status]]&lt;=1,"",IF(Table12[[#This Row],[NZ GHG year]]="","",1000000000*(Table12[[#This Row],[residual LULUCF emissions in 2050]]-Table12[[#This Row],[GHG emissions excl LULUCF]])/(Table12[[#This Row],[NZ GHG year]]-2021)/Table12[[#This Row],[Population]])),"")</f>
        <v>-419.89975105465493</v>
      </c>
      <c r="AI105" s="32">
        <f>MAX(0,(1000000*(Table12[[#This Row],[Current Policies 2030 excl LULUCF]]/2+Table12[[#This Row],[GHG emissions excl LULUCF]]/2)/Table12[[#This Row],[Population]]-$AI$8)*10)*$AI$10</f>
        <v>-233.26921042783991</v>
      </c>
      <c r="AJ10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5" s="32" t="str">
        <f>IF(Table12[[#This Row],[Formule no Peak (2)]]="","",Table12[[#This Row],[Penalty (1)]]+Table12[[#This Row],[Formule no Peak (2)]])</f>
        <v/>
      </c>
      <c r="AL105" s="313">
        <f>(Table12[[#This Row],[Current Policies 2030 excl LULUCF]]-Table12[[#This Row],[GHG emissions excl LULUCF]])/(2030-2021)/Table12[[#This Row],[GHG emissions excl LULUCF]]</f>
        <v>-5.162898185091444E-2</v>
      </c>
      <c r="AM105" s="313">
        <f>IF(Table12[[#This Row],[Net-zero target status]]&lt;=1,"",IF(Table12[[#This Row],[NZ GHG year]]="","",(Table12[[#This Row],[residual LULUCF emissions in 2050]]-Table12[[#This Row],[Current Policies 2030 excl LULUCF]])/(Table12[[#This Row],[NZ GHG year]]-2030)/Table12[[#This Row],[Current Policies 2030 excl LULUCF]]))</f>
        <v>-5.0153033830785669E-2</v>
      </c>
      <c r="AN105" s="313">
        <f>IF(Table12[[#This Row],[Net-zero target status]]&lt;=1,"",IF(Table12[[#This Row],[NZ GHG year]]="","",(Table12[[#This Row],[residual LULUCF emissions in 2050]]-Table12[[#This Row],[GHG emissions excl LULUCF]])/(Table12[[#This Row],[NZ GHG year]]-2021)/Table12[[#This Row],[GHG emissions excl LULUCF]]))</f>
        <v>-3.4539258622714335E-2</v>
      </c>
      <c r="AO105" s="313" t="e">
        <f>IF(Table12[[#This Row],[Net-zero target status]]&lt;=1,"",IF(Table12[[#This Row],[NZ GHG year]]="","",(Table12[[#This Row],[residual LULUCF emissions in 2050]]-Table12[[#This Row],[2030 conditional NDCs]])/(Table12[[#This Row],[NZ GHG year]]-2030)/Table12[[#This Row],[2030 conditional NDCs]]))</f>
        <v>#VALUE!</v>
      </c>
      <c r="AP105" s="96">
        <f>MAX('input site'!AH105:AS105)</f>
        <v>69.826483661015814</v>
      </c>
      <c r="AQ105" s="95" t="str">
        <f>IF(Table12[[#This Row],[Current Policies 2030 incl LULUCF]]&gt;Table12[[#This Row],[Maximum inventory data]],"No","Yes")</f>
        <v>Yes</v>
      </c>
      <c r="AR105" s="34">
        <f>IF(Table12[[#This Row],[Net-zero target status]]&gt;=1.5,Table12[[#This Row],[residual LULUCF emissions in 2050]]/Table12[[#This Row],[GHG emissions excl LULUCF]],"")</f>
        <v>-1.6385000587156497E-3</v>
      </c>
      <c r="AS105" s="74" t="str">
        <f>'input site'!BE105</f>
        <v/>
      </c>
      <c r="AT105" s="74" t="str">
        <f>'input site'!BF105</f>
        <v/>
      </c>
      <c r="AU105" s="74" t="str">
        <f>'input site'!BG105</f>
        <v/>
      </c>
      <c r="AV105" s="75" t="str">
        <f>'input site'!BH105</f>
        <v/>
      </c>
      <c r="AW105" s="74" t="str">
        <f>IF(Table12[[#This Row],[2030 unconditional NDCs]]="","",IF(F105="incl",Table12[[#This Row],[2030 unconditional NDCs]]-Table12[[#This Row],[LULUCF NDC uncond]],Table12[[#This Row],[2030 unconditional NDCs]]))</f>
        <v/>
      </c>
      <c r="AX105" s="74" t="str">
        <f>IF(Table12[[#This Row],[2030 unconditional NDCs2]]="","",IF(F105="incl",Table12[[#This Row],[2030 unconditional NDCs2]]-Table12[[#This Row],[LULUCF NDC uncond]],Table12[[#This Row],[2030 unconditional NDCs2]]))</f>
        <v/>
      </c>
      <c r="AY105" s="74" t="str">
        <f>IF(Table12[[#This Row],[2030 conditional NDCs]]="","",IF(F105="incl",Table12[[#This Row],[2030 conditional NDCs]]-Table12[[#This Row],[LULUCF NDC cond]],Table12[[#This Row],[2030 conditional NDCs]]))</f>
        <v/>
      </c>
      <c r="AZ105" s="74" t="str">
        <f>IF(Table12[[#This Row],[2030 conditional NDCs2]]="","",IF(F105="incl",Table12[[#This Row],[2030 conditional NDCs2]]-Table12[[#This Row],[LULUCF NDC cond]],Table12[[#This Row],[2030 conditional NDCs2]]))</f>
        <v/>
      </c>
      <c r="BA105" s="8">
        <f>VLOOKUP($G105,'Population90 20'!$C$6:$AU$231,37,FALSE)</f>
        <v>5020199</v>
      </c>
      <c r="BB105" s="8">
        <f>VLOOKUP($G105,'Overview GDP (PPP)'!$C$6:$AI$231,33,FALSE)</f>
        <v>341497772.99577093</v>
      </c>
      <c r="BC105" s="36">
        <f>Table12[[#This Row],[Income]]/Table12[[#This Row],[Population]]</f>
        <v>68.024748221289826</v>
      </c>
      <c r="BD105" s="36">
        <f>Table12[[#This Row],[GHG emissions excl LULUCF]]*1000000/Table12[[#This Row],[Population]]</f>
        <v>12.157173251498595</v>
      </c>
      <c r="BE105" s="23" t="e">
        <f>VLOOKUP($G105,EGR2023_MASTER!$B$4:$S$38,14,FALSE)</f>
        <v>#N/A</v>
      </c>
      <c r="BF105" s="23" t="e">
        <f>VLOOKUP($G105,EGR2023_MASTER!$B$4:$S$38,15,FALSE)</f>
        <v>#N/A</v>
      </c>
      <c r="BG105" s="23" t="e">
        <f>VLOOKUP($G105,EGR2023_MASTER!$B$4:$S$38,16,FALSE)</f>
        <v>#N/A</v>
      </c>
      <c r="BH105" s="23" t="e">
        <f t="shared" si="19"/>
        <v>#N/A</v>
      </c>
      <c r="BI105" s="23" t="e">
        <f t="shared" si="20"/>
        <v>#N/A</v>
      </c>
      <c r="BJ105" s="552">
        <f>(Table12[[#This Row],[Current Policies 2030 excl LULUCF]]/Table12[[#This Row],[GHG emissions excl LULUCF]])^(1/(2030-2021))-1</f>
        <v>-6.707298672641071E-2</v>
      </c>
      <c r="BK105" s="552">
        <f>IF(Table12[[#This Row],[Net-zero target status]]&lt;=1,"",IF(Table12[[#This Row],[NZ GHG year]]="","",((MAX(Table12[[#This Row],[residual LULUCF emissions in 2050]],0.1)/Table12[[#This Row],[Current Policies 2030 excl LULUCF]])^(1/(Table12[[#This Row],[NZ GHG year]]-2021))-1)))</f>
        <v>-0.18096200351911085</v>
      </c>
      <c r="BL105" s="552">
        <f>IF(Table12[[#This Row],[Net-zero target status]]&lt;=1,"",IF(Table12[[#This Row],[NZ GHG year]]="","",((MAX(Table12[[#This Row],[residual LULUCF emissions in 2050]],0.1)/Table12[[#This Row],[GHG emissions excl LULUCF]])^(1/(Table12[[#This Row],[NZ GHG year]]-2021))-1)))</f>
        <v>-0.19842081764366404</v>
      </c>
      <c r="BM105" s="552" t="e">
        <f>IF(Table12[[#This Row],[Net-zero target status]]&lt;=1,"",IF(Table12[[#This Row],[NZ GHG year]]="","",((MAX(Table12[[#This Row],[residual LULUCF emissions in 2050]],0.1)/AVERAGE(Table12[[#This Row],[2030 conditional NDCs]:[2030 conditional NDCs2]]))^(1/(Table12[[#This Row],[NZ GHG year]]-2021))-1)))</f>
        <v>#DIV/0!</v>
      </c>
      <c r="BN105" s="23"/>
      <c r="BO105" s="23"/>
      <c r="BP105" s="23"/>
      <c r="BQ105" s="23"/>
      <c r="BR105" s="50" t="s">
        <v>239</v>
      </c>
      <c r="BT105" s="30">
        <f>IF(Table12[[#This Row],[Reduction rate 2021 to NZ target2]]="","",J105*(1+AN105)^(Table12[[#This Row],[NZ GHG year]]-2021))</f>
        <v>24.669905829055988</v>
      </c>
    </row>
    <row r="106" spans="1:72" ht="15" x14ac:dyDescent="0.25">
      <c r="A106">
        <v>1</v>
      </c>
      <c r="B106">
        <v>0</v>
      </c>
      <c r="C106">
        <v>376</v>
      </c>
      <c r="D106">
        <v>95</v>
      </c>
      <c r="E106">
        <v>17</v>
      </c>
      <c r="F106" t="str">
        <f>'input site'!M106</f>
        <v>excl</v>
      </c>
      <c r="G106" s="31" t="s">
        <v>240</v>
      </c>
      <c r="H106" s="1" t="s">
        <v>241</v>
      </c>
      <c r="I106" s="553">
        <v>2</v>
      </c>
      <c r="J106" s="32">
        <f>'input site'!AS106</f>
        <v>84.770307000000003</v>
      </c>
      <c r="K106" s="32">
        <f>'input site'!BS106</f>
        <v>84.174527520995028</v>
      </c>
      <c r="L106" s="32">
        <f t="shared" si="21"/>
        <v>0</v>
      </c>
      <c r="M106" s="32">
        <f t="shared" si="22"/>
        <v>0</v>
      </c>
      <c r="N106" s="32">
        <f>'input site'!EV106</f>
        <v>42.687946930065067</v>
      </c>
      <c r="O106" s="8"/>
      <c r="P106" s="8"/>
      <c r="Q106" s="32">
        <f t="shared" si="23"/>
        <v>0</v>
      </c>
      <c r="R106" s="32">
        <f>'input site'!EZ106</f>
        <v>7.4357703883723358</v>
      </c>
      <c r="S106" s="37">
        <f>'input site'!FA106</f>
        <v>0</v>
      </c>
      <c r="T106" s="37" t="str">
        <f>Table12[[#This Row],[(Mt CO2 equivalent)]]</f>
        <v>Israel</v>
      </c>
      <c r="U106" s="8">
        <f>VLOOKUP($G106,'NZT data'!$B$3:$F$200,4,FALSE)</f>
        <v>2050</v>
      </c>
      <c r="V106" s="32">
        <f>VLOOKUP($G106,'NZT data'!$B$3:$F$200,5,FALSE)</f>
        <v>2065</v>
      </c>
      <c r="W106" s="32">
        <f>-IF('LUC NGHGI'!EC96="",MIN('LUC NGHGI'!DW96,0.1),MIN('LUC NGHGI'!EC96,0.1))</f>
        <v>0.26016000000000006</v>
      </c>
      <c r="X106" s="32">
        <f>'LUC NGHGI'!EC96</f>
        <v>-0.26016000000000006</v>
      </c>
      <c r="Y106" s="32">
        <f>'LUC NGHGI'!DY96</f>
        <v>-0.26016000000000006</v>
      </c>
      <c r="Z106" s="32">
        <f>'LUC NGHGI'!DZ96</f>
        <v>-0.26016000000000006</v>
      </c>
      <c r="AA106" s="32">
        <f>Table12[[#This Row],[2021 emissions]]</f>
        <v>84.770307000000003</v>
      </c>
      <c r="AB106" s="32">
        <f>'LUC NGHGI'!DW96</f>
        <v>-0.24496677180143323</v>
      </c>
      <c r="AC106" s="32">
        <f>IF(F106="incl",Table12[[#This Row],[GHG emissions incl LULUCF]]-Table12[[#This Row],[LULUCF emis-sions in 20213]],Table12[[#This Row],[GHG emissions incl LULUCF]])</f>
        <v>84.770307000000003</v>
      </c>
      <c r="AD106" s="32">
        <f>'input site'!BS106</f>
        <v>84.174527520995028</v>
      </c>
      <c r="AE106" s="32">
        <f>'LUC NGHGI'!EH96</f>
        <v>-0.32785456452948442</v>
      </c>
      <c r="AF106" s="32">
        <f>IF(F106="incl",Table12[[#This Row],[Current Policies 2030 incl LULUCF]]-Table12[[#This Row],[LULUCF CurPol 2030]],Table12[[#This Row],[Current Policies 2030 incl LULUCF]])</f>
        <v>84.174527520995028</v>
      </c>
      <c r="AG106" s="32">
        <f>IF(Table12[[#This Row],[Net-zero target status]]&lt;=1,"",IF(Table12[[#This Row],[NZ GHG year]]="","",1000000000*(Table12[[#This Row],[residual LULUCF emissions in 2050]]-Table12[[#This Row],[GHG emissions excl LULUCF]])/(Table12[[#This Row],[NZ GHG year]]-2021)/Table12[[#This Row],[Population]]))</f>
        <v>-215.25365981017242</v>
      </c>
      <c r="AH106" s="32">
        <f>IF(Table12[[#This Row],[Peak revised]]="Yes",IF(Table12[[#This Row],[Net-zero target status]]&lt;=1,"",IF(Table12[[#This Row],[NZ GHG year]]="","",1000000000*(Table12[[#This Row],[residual LULUCF emissions in 2050]]-Table12[[#This Row],[GHG emissions excl LULUCF]])/(Table12[[#This Row],[NZ GHG year]]-2021)/Table12[[#This Row],[Population]])),"")</f>
        <v>-215.25365981017242</v>
      </c>
      <c r="AI106" s="32">
        <f>MAX(0,(1000000*(Table12[[#This Row],[Current Policies 2030 excl LULUCF]]/2+Table12[[#This Row],[GHG emissions excl LULUCF]]/2)/Table12[[#This Row],[Population]]-$AI$8)*10)*$AI$10</f>
        <v>-246.69326111419389</v>
      </c>
      <c r="AJ10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6" s="32" t="str">
        <f>IF(Table12[[#This Row],[Formule no Peak (2)]]="","",Table12[[#This Row],[Penalty (1)]]+Table12[[#This Row],[Formule no Peak (2)]])</f>
        <v/>
      </c>
      <c r="AL106" s="313">
        <f>(Table12[[#This Row],[Current Policies 2030 excl LULUCF]]-Table12[[#This Row],[GHG emissions excl LULUCF]])/(2030-2021)/Table12[[#This Row],[GHG emissions excl LULUCF]]</f>
        <v>-7.8090692640102885E-4</v>
      </c>
      <c r="AM106" s="313">
        <f>IF(Table12[[#This Row],[Net-zero target status]]&lt;=1,"",IF(Table12[[#This Row],[NZ GHG year]]="","",(Table12[[#This Row],[residual LULUCF emissions in 2050]]-Table12[[#This Row],[Current Policies 2030 excl LULUCF]])/(Table12[[#This Row],[NZ GHG year]]-2030)/Table12[[#This Row],[Current Policies 2030 excl LULUCF]]))</f>
        <v>-2.8483122250311549E-2</v>
      </c>
      <c r="AN106" s="313">
        <f>IF(Table12[[#This Row],[Net-zero target status]]&lt;=1,"",IF(Table12[[#This Row],[NZ GHG year]]="","",(Table12[[#This Row],[residual LULUCF emissions in 2050]]-Table12[[#This Row],[GHG emissions excl LULUCF]])/(Table12[[#This Row],[NZ GHG year]]-2021)/Table12[[#This Row],[GHG emissions excl LULUCF]]))</f>
        <v>-2.2657522746625289E-2</v>
      </c>
      <c r="AO106" s="313">
        <f>IF(Table12[[#This Row],[Net-zero target status]]&lt;=1,"",IF(Table12[[#This Row],[NZ GHG year]]="","",(Table12[[#This Row],[residual LULUCF emissions in 2050]]-Table12[[#This Row],[2030 conditional NDCs]])/(Table12[[#This Row],[NZ GHG year]]-2030)/Table12[[#This Row],[2030 conditional NDCs]]))</f>
        <v>-2.844327093596059E-2</v>
      </c>
      <c r="AP106" s="96">
        <f>MAX('input site'!AH106:AS106)</f>
        <v>87.404626999999991</v>
      </c>
      <c r="AQ106" s="95" t="str">
        <f>IF(Table12[[#This Row],[Current Policies 2030 incl LULUCF]]&gt;Table12[[#This Row],[Maximum inventory data]],"No","Yes")</f>
        <v>Yes</v>
      </c>
      <c r="AR106" s="34">
        <f>IF(Table12[[#This Row],[Net-zero target status]]&gt;=1.5,Table12[[#This Row],[residual LULUCF emissions in 2050]]/Table12[[#This Row],[GHG emissions excl LULUCF]],"")</f>
        <v>3.068999148487218E-3</v>
      </c>
      <c r="AS106" s="76">
        <f>'input site'!BE106</f>
        <v>58</v>
      </c>
      <c r="AT106" s="76">
        <f>'input site'!BF106</f>
        <v>58</v>
      </c>
      <c r="AU106" s="76">
        <f>'input site'!BG106</f>
        <v>58</v>
      </c>
      <c r="AV106" s="77">
        <f>'input site'!BH106</f>
        <v>58</v>
      </c>
      <c r="AW106" s="74">
        <f>IF(Table12[[#This Row],[2030 unconditional NDCs]]="","",IF(F106="incl",Table12[[#This Row],[2030 unconditional NDCs]]-Table12[[#This Row],[LULUCF NDC uncond]],Table12[[#This Row],[2030 unconditional NDCs]]))</f>
        <v>58</v>
      </c>
      <c r="AX106" s="74">
        <f>IF(Table12[[#This Row],[2030 unconditional NDCs2]]="","",IF(F106="incl",Table12[[#This Row],[2030 unconditional NDCs2]]-Table12[[#This Row],[LULUCF NDC uncond]],Table12[[#This Row],[2030 unconditional NDCs2]]))</f>
        <v>58</v>
      </c>
      <c r="AY106" s="74">
        <f>IF(Table12[[#This Row],[2030 conditional NDCs]]="","",IF(F106="incl",Table12[[#This Row],[2030 conditional NDCs]]-Table12[[#This Row],[LULUCF NDC cond]],Table12[[#This Row],[2030 conditional NDCs]]))</f>
        <v>58</v>
      </c>
      <c r="AZ106" s="74">
        <f>IF(Table12[[#This Row],[2030 conditional NDCs2]]="","",IF(F106="incl",Table12[[#This Row],[2030 conditional NDCs2]]-Table12[[#This Row],[LULUCF NDC cond]],Table12[[#This Row],[2030 conditional NDCs2]]))</f>
        <v>58</v>
      </c>
      <c r="BA106" s="8">
        <f>VLOOKUP($G106,'Population90 20'!$C$6:$AU$231,37,FALSE)</f>
        <v>8922892</v>
      </c>
      <c r="BB106" s="8">
        <f>VLOOKUP($G106,'Overview GDP (PPP)'!$C$6:$AI$231,33,FALSE)</f>
        <v>299037478.84002501</v>
      </c>
      <c r="BC106" s="36">
        <f>Table12[[#This Row],[Income]]/Table12[[#This Row],[Population]]</f>
        <v>33.513515443202159</v>
      </c>
      <c r="BD106" s="36">
        <f>Table12[[#This Row],[GHG emissions excl LULUCF]]*1000000/Table12[[#This Row],[Population]]</f>
        <v>9.5003174979591822</v>
      </c>
      <c r="BE106" s="23" t="str">
        <f>VLOOKUP($G106,EGR2023_MASTER!$B$4:$S$38,14,FALSE)</f>
        <v>N</v>
      </c>
      <c r="BF106" s="23" t="str">
        <f>VLOOKUP($G106,EGR2023_MASTER!$B$4:$S$38,15,FALSE)</f>
        <v>None</v>
      </c>
      <c r="BG106" s="23" t="str">
        <f>VLOOKUP($G106,EGR2023_MASTER!$B$4:$S$38,16,FALSE)</f>
        <v>n</v>
      </c>
      <c r="BH106" s="23" t="str">
        <f t="shared" si="19"/>
        <v>much lower</v>
      </c>
      <c r="BI106" s="23" t="str">
        <f t="shared" si="20"/>
        <v>weak</v>
      </c>
      <c r="BJ106" s="552">
        <f>(Table12[[#This Row],[Current Policies 2030 excl LULUCF]]/Table12[[#This Row],[GHG emissions excl LULUCF]])^(1/(2030-2021))-1</f>
        <v>-7.8335703807896895E-4</v>
      </c>
      <c r="BK106" s="552">
        <f>IF(Table12[[#This Row],[Net-zero target status]]&lt;=1,"",IF(Table12[[#This Row],[NZ GHG year]]="","",((MAX(Table12[[#This Row],[residual LULUCF emissions in 2050]],0.1)/Table12[[#This Row],[Current Policies 2030 excl LULUCF]])^(1/(Table12[[#This Row],[NZ GHG year]]-2021))-1)))</f>
        <v>-0.12308821765204447</v>
      </c>
      <c r="BL106" s="552">
        <f>IF(Table12[[#This Row],[Net-zero target status]]&lt;=1,"",IF(Table12[[#This Row],[NZ GHG year]]="","",((MAX(Table12[[#This Row],[residual LULUCF emissions in 2050]],0.1)/Table12[[#This Row],[GHG emissions excl LULUCF]])^(1/(Table12[[#This Row],[NZ GHG year]]-2021))-1)))</f>
        <v>-0.12322877088523321</v>
      </c>
      <c r="BM106" s="552">
        <f>IF(Table12[[#This Row],[Net-zero target status]]&lt;=1,"",IF(Table12[[#This Row],[NZ GHG year]]="","",((MAX(Table12[[#This Row],[residual LULUCF emissions in 2050]],0.1)/AVERAGE(Table12[[#This Row],[2030 conditional NDCs]:[2030 conditional NDCs2]]))^(1/(Table12[[#This Row],[NZ GHG year]]-2021))-1)))</f>
        <v>-0.1156338667102671</v>
      </c>
      <c r="BN106" s="23"/>
      <c r="BO106" s="23"/>
      <c r="BP106" s="23"/>
      <c r="BQ106" s="23"/>
      <c r="BR106" s="50" t="s">
        <v>241</v>
      </c>
      <c r="BT106" s="30">
        <f>IF(Table12[[#This Row],[Reduction rate 2021 to NZ target2]]="","",J106*(1+AN106)^(Table12[[#This Row],[NZ GHG year]]-2021))</f>
        <v>30.924439247388374</v>
      </c>
    </row>
    <row r="107" spans="1:72" ht="15" x14ac:dyDescent="0.25">
      <c r="A107">
        <v>0</v>
      </c>
      <c r="B107">
        <v>0</v>
      </c>
      <c r="C107">
        <v>380</v>
      </c>
      <c r="D107">
        <v>96</v>
      </c>
      <c r="E107">
        <v>11</v>
      </c>
      <c r="F107" t="str">
        <f>'input site'!M107</f>
        <v>incl</v>
      </c>
      <c r="G107" s="31" t="s">
        <v>242</v>
      </c>
      <c r="H107" s="1" t="s">
        <v>243</v>
      </c>
      <c r="I107" s="8">
        <f>VLOOKUP($G107,'NZT data'!$B$3:$C$200,2,FALSE)</f>
        <v>3</v>
      </c>
      <c r="J107" s="32">
        <f>'input site'!AS107</f>
        <v>387.90105953726152</v>
      </c>
      <c r="K107" s="32">
        <f>'input site'!BS107</f>
        <v>216.4292053211355</v>
      </c>
      <c r="L107" s="32">
        <f t="shared" si="21"/>
        <v>0</v>
      </c>
      <c r="M107" s="32">
        <f t="shared" si="22"/>
        <v>0</v>
      </c>
      <c r="N107" s="32">
        <f>'input site'!EV107</f>
        <v>78.860477318501992</v>
      </c>
      <c r="O107" s="8"/>
      <c r="P107" s="8"/>
      <c r="Q107" s="32">
        <f t="shared" si="23"/>
        <v>0</v>
      </c>
      <c r="R107" s="32">
        <f>'input site'!EZ107</f>
        <v>43.619615043221977</v>
      </c>
      <c r="S107" s="37" t="str">
        <f>'input site'!FA107</f>
        <v>2050 (part of the EU)</v>
      </c>
      <c r="T107" s="37" t="str">
        <f>Table12[[#This Row],[(Mt CO2 equivalent)]]</f>
        <v>Italy</v>
      </c>
      <c r="U107" s="8">
        <f>VLOOKUP($G107,'NZT data'!$B$3:$F$200,4,FALSE)</f>
        <v>2050</v>
      </c>
      <c r="V107" s="32">
        <f>VLOOKUP($G107,'NZT data'!$B$3:$F$200,5,FALSE)</f>
        <v>2050</v>
      </c>
      <c r="W107" s="32">
        <f>-IF('LUC NGHGI'!EC97="",MIN('LUC NGHGI'!DW97,0.1),MIN('LUC NGHGI'!EC97,0.1))</f>
        <v>32.564824182957935</v>
      </c>
      <c r="X107" s="32">
        <f>'LUC NGHGI'!EC97</f>
        <v>-32.564824182957935</v>
      </c>
      <c r="Y107" s="32">
        <f>'LUC NGHGI'!DY97</f>
        <v>-32.564824182957935</v>
      </c>
      <c r="Z107" s="32">
        <f>'LUC NGHGI'!DZ97</f>
        <v>-32.564824182957935</v>
      </c>
      <c r="AA107" s="32">
        <f>Table12[[#This Row],[2021 emissions]]</f>
        <v>387.90105953726152</v>
      </c>
      <c r="AB107" s="32">
        <f>'LUC NGHGI'!DW97</f>
        <v>-27.493260462738466</v>
      </c>
      <c r="AC107" s="32">
        <f>IF(F107="incl",Table12[[#This Row],[GHG emissions incl LULUCF]]-Table12[[#This Row],[LULUCF emis-sions in 20213]],Table12[[#This Row],[GHG emissions incl LULUCF]])</f>
        <v>415.39431999999999</v>
      </c>
      <c r="AD107" s="32">
        <f>'input site'!BS107</f>
        <v>216.4292053211355</v>
      </c>
      <c r="AE107" s="32">
        <f>'LUC NGHGI'!EH97</f>
        <v>-36.185309306522605</v>
      </c>
      <c r="AF107" s="32">
        <f>IF(F107="incl",Table12[[#This Row],[Current Policies 2030 incl LULUCF]]-Table12[[#This Row],[LULUCF CurPol 2030]],Table12[[#This Row],[Current Policies 2030 incl LULUCF]])</f>
        <v>252.61451462765811</v>
      </c>
      <c r="AG107" s="32">
        <f>IF(Table12[[#This Row],[Net-zero target status]]&lt;=1,"",IF(Table12[[#This Row],[NZ GHG year]]="","",1000000000*(Table12[[#This Row],[residual LULUCF emissions in 2050]]-Table12[[#This Row],[GHG emissions excl LULUCF]])/(Table12[[#This Row],[NZ GHG year]]-2021)/Table12[[#This Row],[Population]]))</f>
        <v>-219.05758890836552</v>
      </c>
      <c r="AH107" s="32">
        <f>IF(Table12[[#This Row],[Peak revised]]="Yes",IF(Table12[[#This Row],[Net-zero target status]]&lt;=1,"",IF(Table12[[#This Row],[NZ GHG year]]="","",1000000000*(Table12[[#This Row],[residual LULUCF emissions in 2050]]-Table12[[#This Row],[GHG emissions excl LULUCF]])/(Table12[[#This Row],[NZ GHG year]]-2021)/Table12[[#This Row],[Population]])),"")</f>
        <v>-219.05758890836552</v>
      </c>
      <c r="AI107" s="32">
        <f>MAX(0,(1000000*(Table12[[#This Row],[Current Policies 2030 excl LULUCF]]/2+Table12[[#This Row],[GHG emissions excl LULUCF]]/2)/Table12[[#This Row],[Population]]-$AI$8)*10)*$AI$10</f>
        <v>0</v>
      </c>
      <c r="AJ10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7" s="32" t="str">
        <f>IF(Table12[[#This Row],[Formule no Peak (2)]]="","",Table12[[#This Row],[Penalty (1)]]+Table12[[#This Row],[Formule no Peak (2)]])</f>
        <v/>
      </c>
      <c r="AL107" s="313">
        <f>(Table12[[#This Row],[Current Policies 2030 excl LULUCF]]-Table12[[#This Row],[GHG emissions excl LULUCF]])/(2030-2021)/Table12[[#This Row],[GHG emissions excl LULUCF]]</f>
        <v>-4.3540906003171446E-2</v>
      </c>
      <c r="AM107" s="313">
        <f>IF(Table12[[#This Row],[Net-zero target status]]&lt;=1,"",IF(Table12[[#This Row],[NZ GHG year]]="","",(Table12[[#This Row],[residual LULUCF emissions in 2050]]-Table12[[#This Row],[Current Policies 2030 excl LULUCF]])/(Table12[[#This Row],[NZ GHG year]]-2030)/Table12[[#This Row],[Current Policies 2030 excl LULUCF]]))</f>
        <v>-4.3554443173830101E-2</v>
      </c>
      <c r="AN107" s="313">
        <f>IF(Table12[[#This Row],[Net-zero target status]]&lt;=1,"",IF(Table12[[#This Row],[NZ GHG year]]="","",(Table12[[#This Row],[residual LULUCF emissions in 2050]]-Table12[[#This Row],[GHG emissions excl LULUCF]])/(Table12[[#This Row],[NZ GHG year]]-2021)/Table12[[#This Row],[GHG emissions excl LULUCF]]))</f>
        <v>-3.1779483882060255E-2</v>
      </c>
      <c r="AO107" s="313" t="e">
        <f>IF(Table12[[#This Row],[Net-zero target status]]&lt;=1,"",IF(Table12[[#This Row],[NZ GHG year]]="","",(Table12[[#This Row],[residual LULUCF emissions in 2050]]-Table12[[#This Row],[2030 conditional NDCs]])/(Table12[[#This Row],[NZ GHG year]]-2030)/Table12[[#This Row],[2030 conditional NDCs]]))</f>
        <v>#DIV/0!</v>
      </c>
      <c r="AP107" s="96">
        <f>MAX('input site'!AH107:AS107)</f>
        <v>479.13208103621116</v>
      </c>
      <c r="AQ107" s="95" t="str">
        <f>IF(Table12[[#This Row],[Current Policies 2030 incl LULUCF]]&gt;Table12[[#This Row],[Maximum inventory data]],"No","Yes")</f>
        <v>Yes</v>
      </c>
      <c r="AR107" s="34">
        <f>IF(Table12[[#This Row],[Net-zero target status]]&gt;=1.5,Table12[[#This Row],[residual LULUCF emissions in 2050]]/Table12[[#This Row],[GHG emissions excl LULUCF]],"")</f>
        <v>7.8394967420252482E-2</v>
      </c>
      <c r="AS107" s="74" t="str">
        <f>'input site'!BE107</f>
        <v/>
      </c>
      <c r="AT107" s="74"/>
      <c r="AU107" s="74"/>
      <c r="AV107" s="75"/>
      <c r="AW107" s="74" t="str">
        <f>IF(Table12[[#This Row],[2030 unconditional NDCs]]="","",IF(F107="incl",Table12[[#This Row],[2030 unconditional NDCs]]-Table12[[#This Row],[LULUCF NDC uncond]],Table12[[#This Row],[2030 unconditional NDCs]]))</f>
        <v/>
      </c>
      <c r="AX107" s="74" t="str">
        <f>IF(Table12[[#This Row],[2030 unconditional NDCs2]]="","",IF(F107="incl",Table12[[#This Row],[2030 unconditional NDCs2]]-Table12[[#This Row],[LULUCF NDC uncond]],Table12[[#This Row],[2030 unconditional NDCs2]]))</f>
        <v/>
      </c>
      <c r="AY107" s="74" t="str">
        <f>IF(Table12[[#This Row],[2030 conditional NDCs]]="","",IF(F107="incl",Table12[[#This Row],[2030 conditional NDCs]]-Table12[[#This Row],[LULUCF NDC cond]],Table12[[#This Row],[2030 conditional NDCs]]))</f>
        <v/>
      </c>
      <c r="AZ107" s="74" t="str">
        <f>IF(Table12[[#This Row],[2030 conditional NDCs2]]="","",IF(F107="incl",Table12[[#This Row],[2030 conditional NDCs2]]-Table12[[#This Row],[LULUCF NDC cond]],Table12[[#This Row],[2030 conditional NDCs2]]))</f>
        <v/>
      </c>
      <c r="BA107" s="8">
        <f>VLOOKUP($G107,'Population90 20'!$C$6:$AU$231,37,FALSE)</f>
        <v>60262770</v>
      </c>
      <c r="BB107" s="8">
        <f>VLOOKUP($G107,'Overview GDP (PPP)'!$C$6:$AI$231,33,FALSE)</f>
        <v>2159753790.9575067</v>
      </c>
      <c r="BC107" s="36">
        <f>Table12[[#This Row],[Income]]/Table12[[#This Row],[Population]]</f>
        <v>35.838939878759419</v>
      </c>
      <c r="BD107" s="36">
        <f>Table12[[#This Row],[GHG emissions excl LULUCF]]*1000000/Table12[[#This Row],[Population]]</f>
        <v>6.8930505517751675</v>
      </c>
      <c r="BE107" s="23" t="e">
        <f>VLOOKUP($G107,EGR2023_MASTER!$B$4:$S$38,14,FALSE)</f>
        <v>#N/A</v>
      </c>
      <c r="BF107" s="23" t="e">
        <f>VLOOKUP($G107,EGR2023_MASTER!$B$4:$S$38,15,FALSE)</f>
        <v>#N/A</v>
      </c>
      <c r="BG107" s="23" t="e">
        <f>VLOOKUP($G107,EGR2023_MASTER!$B$4:$S$38,16,FALSE)</f>
        <v>#N/A</v>
      </c>
      <c r="BH107" s="23" t="e">
        <f t="shared" si="19"/>
        <v>#N/A</v>
      </c>
      <c r="BI107" s="23" t="e">
        <f t="shared" si="20"/>
        <v>#N/A</v>
      </c>
      <c r="BJ107" s="552">
        <f>(Table12[[#This Row],[Current Policies 2030 excl LULUCF]]/Table12[[#This Row],[GHG emissions excl LULUCF]])^(1/(2030-2021))-1</f>
        <v>-5.376338414098214E-2</v>
      </c>
      <c r="BK107" s="552">
        <f>IF(Table12[[#This Row],[Net-zero target status]]&lt;=1,"",IF(Table12[[#This Row],[NZ GHG year]]="","",((MAX(Table12[[#This Row],[residual LULUCF emissions in 2050]],0.1)/Table12[[#This Row],[Current Policies 2030 excl LULUCF]])^(1/(Table12[[#This Row],[NZ GHG year]]-2021))-1)))</f>
        <v>-6.8205033883997568E-2</v>
      </c>
      <c r="BL107" s="552">
        <f>IF(Table12[[#This Row],[Net-zero target status]]&lt;=1,"",IF(Table12[[#This Row],[NZ GHG year]]="","",((MAX(Table12[[#This Row],[residual LULUCF emissions in 2050]],0.1)/Table12[[#This Row],[GHG emissions excl LULUCF]])^(1/(Table12[[#This Row],[NZ GHG year]]-2021))-1)))</f>
        <v>-8.4049495190913537E-2</v>
      </c>
      <c r="BM107" s="552" t="e">
        <f>IF(Table12[[#This Row],[Net-zero target status]]&lt;=1,"",IF(Table12[[#This Row],[NZ GHG year]]="","",((MAX(Table12[[#This Row],[residual LULUCF emissions in 2050]],0.1)/AVERAGE(Table12[[#This Row],[2030 conditional NDCs]:[2030 conditional NDCs2]]))^(1/(Table12[[#This Row],[NZ GHG year]]-2021))-1)))</f>
        <v>#DIV/0!</v>
      </c>
      <c r="BN107" s="23"/>
      <c r="BO107" s="23"/>
      <c r="BP107" s="23"/>
      <c r="BQ107" s="23"/>
      <c r="BR107" s="50" t="s">
        <v>243</v>
      </c>
      <c r="BT107" s="30">
        <f>IF(Table12[[#This Row],[Reduction rate 2021 to NZ target2]]="","",J107*(1+AN107)^(Table12[[#This Row],[NZ GHG year]]-2021))</f>
        <v>152.04603934046673</v>
      </c>
    </row>
    <row r="108" spans="1:72" ht="15" x14ac:dyDescent="0.25">
      <c r="A108">
        <v>0</v>
      </c>
      <c r="B108">
        <v>0</v>
      </c>
      <c r="C108">
        <v>388</v>
      </c>
      <c r="D108">
        <v>98</v>
      </c>
      <c r="E108">
        <v>4</v>
      </c>
      <c r="F108" t="str">
        <f>'input site'!M108</f>
        <v>incl</v>
      </c>
      <c r="G108" s="31" t="s">
        <v>244</v>
      </c>
      <c r="H108" s="1" t="s">
        <v>245</v>
      </c>
      <c r="I108" s="8">
        <f>VLOOKUP($G108,'NZT data'!$B$3:$C$200,2,FALSE)</f>
        <v>1</v>
      </c>
      <c r="J108" s="32">
        <f>'input site'!AS108</f>
        <v>11.663805749670628</v>
      </c>
      <c r="K108" s="32">
        <f>'input site'!BS108</f>
        <v>14.382279494854403</v>
      </c>
      <c r="L108" s="32">
        <f t="shared" si="21"/>
        <v>0</v>
      </c>
      <c r="M108" s="32">
        <f t="shared" si="22"/>
        <v>0</v>
      </c>
      <c r="N108" s="32">
        <f>'input site'!EV108</f>
        <v>6.5014398750821627</v>
      </c>
      <c r="O108" s="8">
        <v>0</v>
      </c>
      <c r="P108" s="36">
        <f>O108-N108</f>
        <v>-6.5014398750821627</v>
      </c>
      <c r="Q108" s="32">
        <f t="shared" si="23"/>
        <v>0</v>
      </c>
      <c r="R108" s="32">
        <f>'input site'!EZ108</f>
        <v>1.3222654619489063</v>
      </c>
      <c r="S108" s="37">
        <f>'input site'!FA108</f>
        <v>2050</v>
      </c>
      <c r="T108" s="37" t="str">
        <f>Table12[[#This Row],[(Mt CO2 equivalent)]]</f>
        <v>Jamaica</v>
      </c>
      <c r="U108" s="8">
        <f>VLOOKUP($G108,'NZT data'!$B$3:$F$200,4,FALSE)</f>
        <v>2110</v>
      </c>
      <c r="V108" s="32">
        <f>VLOOKUP($G108,'NZT data'!$B$3:$F$200,5,FALSE)</f>
        <v>2110</v>
      </c>
      <c r="W108" s="32">
        <f>-IF('LUC NGHGI'!EC98="",MIN('LUC NGHGI'!DW98,0.1),MIN('LUC NGHGI'!EC98,0.1))</f>
        <v>2.6205846508563866</v>
      </c>
      <c r="X108" s="32">
        <f>'LUC NGHGI'!EC98</f>
        <v>-2.6205846508563866</v>
      </c>
      <c r="Y108" s="32">
        <f>'LUC NGHGI'!DY98</f>
        <v>-2.6205846508563866</v>
      </c>
      <c r="Z108" s="32">
        <f>'LUC NGHGI'!DZ98</f>
        <v>-2.6205846508563866</v>
      </c>
      <c r="AA108" s="32">
        <f>Table12[[#This Row],[2021 emissions]]</f>
        <v>11.663805749670628</v>
      </c>
      <c r="AB108" s="32">
        <f>'LUC NGHGI'!DW98</f>
        <v>-2.7070902503293723</v>
      </c>
      <c r="AC108" s="32">
        <f>IF(F108="incl",Table12[[#This Row],[GHG emissions incl LULUCF]]-Table12[[#This Row],[LULUCF emis-sions in 20213]],Table12[[#This Row],[GHG emissions incl LULUCF]])</f>
        <v>14.370896</v>
      </c>
      <c r="AD108" s="32">
        <f>'input site'!BS108</f>
        <v>14.382279494854403</v>
      </c>
      <c r="AE108" s="32">
        <f>'LUC NGHGI'!EH98</f>
        <v>-3.6830965024922326</v>
      </c>
      <c r="AF108" s="32">
        <f>IF(F108="incl",Table12[[#This Row],[Current Policies 2030 incl LULUCF]]-Table12[[#This Row],[LULUCF CurPol 2030]],Table12[[#This Row],[Current Policies 2030 incl LULUCF]])</f>
        <v>18.065375997346635</v>
      </c>
      <c r="AG108" s="32" t="str">
        <f>IF(Table12[[#This Row],[Net-zero target status]]&lt;=1,"",IF(Table12[[#This Row],[NZ GHG year]]="","",1000000000*(Table12[[#This Row],[residual LULUCF emissions in 2050]]-Table12[[#This Row],[GHG emissions excl LULUCF]])/(Table12[[#This Row],[NZ GHG year]]-2021)/Table12[[#This Row],[Population]]))</f>
        <v/>
      </c>
      <c r="AH108" s="32" t="str">
        <f>IF(Table12[[#This Row],[Peak revised]]="Yes",IF(Table12[[#This Row],[Net-zero target status]]&lt;=1,"",IF(Table12[[#This Row],[NZ GHG year]]="","",1000000000*(Table12[[#This Row],[residual LULUCF emissions in 2050]]-Table12[[#This Row],[GHG emissions excl LULUCF]])/(Table12[[#This Row],[NZ GHG year]]-2021)/Table12[[#This Row],[Population]])),"")</f>
        <v/>
      </c>
      <c r="AI108" s="32">
        <f>MAX(0,(1000000*(Table12[[#This Row],[Current Policies 2030 excl LULUCF]]/2+Table12[[#This Row],[GHG emissions excl LULUCF]]/2)/Table12[[#This Row],[Population]]-$AI$8)*10)*$AI$10</f>
        <v>0</v>
      </c>
      <c r="AJ10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8" s="32" t="str">
        <f>IF(Table12[[#This Row],[Formule no Peak (2)]]="","",Table12[[#This Row],[Penalty (1)]]+Table12[[#This Row],[Formule no Peak (2)]])</f>
        <v/>
      </c>
      <c r="AL108" s="313">
        <f>(Table12[[#This Row],[Current Policies 2030 excl LULUCF]]-Table12[[#This Row],[GHG emissions excl LULUCF]])/(2030-2021)/Table12[[#This Row],[GHG emissions excl LULUCF]]</f>
        <v>2.8564522176137065E-2</v>
      </c>
      <c r="AM108" s="313" t="str">
        <f>IF(Table12[[#This Row],[Net-zero target status]]&lt;=1,"",IF(Table12[[#This Row],[NZ GHG year]]="","",(Table12[[#This Row],[residual LULUCF emissions in 2050]]-Table12[[#This Row],[Current Policies 2030 excl LULUCF]])/(Table12[[#This Row],[NZ GHG year]]-2030)/Table12[[#This Row],[Current Policies 2030 excl LULUCF]]))</f>
        <v/>
      </c>
      <c r="AN108" s="313" t="str">
        <f>IF(Table12[[#This Row],[Net-zero target status]]&lt;=1,"",IF(Table12[[#This Row],[NZ GHG year]]="","",(Table12[[#This Row],[residual LULUCF emissions in 2050]]-Table12[[#This Row],[GHG emissions excl LULUCF]])/(Table12[[#This Row],[NZ GHG year]]-2021)/Table12[[#This Row],[GHG emissions excl LULUCF]]))</f>
        <v/>
      </c>
      <c r="AO108" s="313" t="str">
        <f>IF(Table12[[#This Row],[Net-zero target status]]&lt;=1,"",IF(Table12[[#This Row],[NZ GHG year]]="","",(Table12[[#This Row],[residual LULUCF emissions in 2050]]-Table12[[#This Row],[2030 conditional NDCs]])/(Table12[[#This Row],[NZ GHG year]]-2030)/Table12[[#This Row],[2030 conditional NDCs]]))</f>
        <v/>
      </c>
      <c r="AP108" s="96">
        <f>MAX('input site'!AH108:AS108)</f>
        <v>13.518265</v>
      </c>
      <c r="AQ108" s="95" t="str">
        <f>IF(Table12[[#This Row],[Current Policies 2030 incl LULUCF]]&gt;Table12[[#This Row],[Maximum inventory data]],"No","Yes")</f>
        <v>No</v>
      </c>
      <c r="AR108" s="34" t="str">
        <f>IF(Table12[[#This Row],[Net-zero target status]]&gt;=1.5,Table12[[#This Row],[residual LULUCF emissions in 2050]]/Table12[[#This Row],[GHG emissions excl LULUCF]],"")</f>
        <v/>
      </c>
      <c r="AS108" s="76">
        <f>'input site'!BE108</f>
        <v>13.361624000000001</v>
      </c>
      <c r="AT108" s="76">
        <f>'input site'!BF108</f>
        <v>13.361624000000001</v>
      </c>
      <c r="AU108" s="76">
        <f>'input site'!BG108</f>
        <v>13.042800000000002</v>
      </c>
      <c r="AV108" s="77">
        <f>'input site'!BH108</f>
        <v>13.042800000000002</v>
      </c>
      <c r="AW108" s="74">
        <f>IF(Table12[[#This Row],[2030 unconditional NDCs]]="","",IF(F108="incl",Table12[[#This Row],[2030 unconditional NDCs]]-Table12[[#This Row],[LULUCF NDC uncond]],Table12[[#This Row],[2030 unconditional NDCs]]))</f>
        <v>15.982208650856387</v>
      </c>
      <c r="AX108" s="74">
        <f>IF(Table12[[#This Row],[2030 unconditional NDCs2]]="","",IF(F108="incl",Table12[[#This Row],[2030 unconditional NDCs2]]-Table12[[#This Row],[LULUCF NDC uncond]],Table12[[#This Row],[2030 unconditional NDCs2]]))</f>
        <v>15.982208650856387</v>
      </c>
      <c r="AY108" s="74">
        <f>IF(Table12[[#This Row],[2030 conditional NDCs]]="","",IF(F108="incl",Table12[[#This Row],[2030 conditional NDCs]]-Table12[[#This Row],[LULUCF NDC cond]],Table12[[#This Row],[2030 conditional NDCs]]))</f>
        <v>15.663384650856388</v>
      </c>
      <c r="AZ108" s="74">
        <f>IF(Table12[[#This Row],[2030 conditional NDCs2]]="","",IF(F108="incl",Table12[[#This Row],[2030 conditional NDCs2]]-Table12[[#This Row],[LULUCF NDC cond]],Table12[[#This Row],[2030 conditional NDCs2]]))</f>
        <v>15.663384650856388</v>
      </c>
      <c r="BA108" s="8">
        <f>VLOOKUP($G108,'Population90 20'!$C$6:$AU$231,37,FALSE)</f>
        <v>2985094</v>
      </c>
      <c r="BB108" s="8">
        <f>VLOOKUP($G108,'Overview GDP (PPP)'!$C$6:$AI$231,33,FALSE)</f>
        <v>24258399.038572766</v>
      </c>
      <c r="BC108" s="36">
        <f>Table12[[#This Row],[Income]]/Table12[[#This Row],[Population]]</f>
        <v>8.1265109368658965</v>
      </c>
      <c r="BD108" s="36">
        <f>Table12[[#This Row],[GHG emissions excl LULUCF]]*1000000/Table12[[#This Row],[Population]]</f>
        <v>4.8142189157192368</v>
      </c>
      <c r="BE108" s="23" t="e">
        <f>VLOOKUP($G108,EGR2023_MASTER!$B$4:$S$38,14,FALSE)</f>
        <v>#N/A</v>
      </c>
      <c r="BF108" s="23" t="e">
        <f>VLOOKUP($G108,EGR2023_MASTER!$B$4:$S$38,15,FALSE)</f>
        <v>#N/A</v>
      </c>
      <c r="BG108" s="23" t="e">
        <f>VLOOKUP($G108,EGR2023_MASTER!$B$4:$S$38,16,FALSE)</f>
        <v>#N/A</v>
      </c>
      <c r="BH108" s="23" t="e">
        <f t="shared" si="19"/>
        <v>#N/A</v>
      </c>
      <c r="BI108" s="23" t="e">
        <f t="shared" si="20"/>
        <v>#N/A</v>
      </c>
      <c r="BJ108" s="552">
        <f>(Table12[[#This Row],[Current Policies 2030 excl LULUCF]]/Table12[[#This Row],[GHG emissions excl LULUCF]])^(1/(2030-2021))-1</f>
        <v>2.5747225536153495E-2</v>
      </c>
      <c r="BK108" s="552" t="str">
        <f>IF(Table12[[#This Row],[Net-zero target status]]&lt;=1,"",IF(Table12[[#This Row],[NZ GHG year]]="","",((MAX(Table12[[#This Row],[residual LULUCF emissions in 2050]],0.1)/Table12[[#This Row],[Current Policies 2030 excl LULUCF]])^(1/(Table12[[#This Row],[NZ GHG year]]-2021))-1)))</f>
        <v/>
      </c>
      <c r="BL108" s="552" t="str">
        <f>IF(Table12[[#This Row],[Net-zero target status]]&lt;=1,"",IF(Table12[[#This Row],[NZ GHG year]]="","",((MAX(Table12[[#This Row],[residual LULUCF emissions in 2050]],0.1)/Table12[[#This Row],[GHG emissions excl LULUCF]])^(1/(Table12[[#This Row],[NZ GHG year]]-2021))-1)))</f>
        <v/>
      </c>
      <c r="BM108" s="552" t="str">
        <f>IF(Table12[[#This Row],[Net-zero target status]]&lt;=1,"",IF(Table12[[#This Row],[NZ GHG year]]="","",((MAX(Table12[[#This Row],[residual LULUCF emissions in 2050]],0.1)/AVERAGE(Table12[[#This Row],[2030 conditional NDCs]:[2030 conditional NDCs2]]))^(1/(Table12[[#This Row],[NZ GHG year]]-2021))-1)))</f>
        <v/>
      </c>
      <c r="BN108" s="23"/>
      <c r="BO108" s="23"/>
      <c r="BP108" s="23"/>
      <c r="BQ108" s="23"/>
      <c r="BR108" s="50" t="s">
        <v>245</v>
      </c>
      <c r="BT108" s="30" t="str">
        <f>IF(Table12[[#This Row],[Reduction rate 2021 to NZ target2]]="","",J108*(1+AN108)^(Table12[[#This Row],[NZ GHG year]]-2021))</f>
        <v/>
      </c>
    </row>
    <row r="109" spans="1:72" ht="15" x14ac:dyDescent="0.25">
      <c r="A109">
        <v>1</v>
      </c>
      <c r="B109">
        <v>1</v>
      </c>
      <c r="C109">
        <v>392</v>
      </c>
      <c r="D109">
        <v>99</v>
      </c>
      <c r="E109">
        <v>23</v>
      </c>
      <c r="F109" t="str">
        <f>'input site'!M109</f>
        <v>incl</v>
      </c>
      <c r="G109" s="31" t="s">
        <v>246</v>
      </c>
      <c r="H109" s="1" t="s">
        <v>247</v>
      </c>
      <c r="I109" s="8">
        <f>VLOOKUP($G109,'NZT data'!$B$3:$C$200,2,FALSE)</f>
        <v>4</v>
      </c>
      <c r="J109" s="32">
        <f>'input site'!AS109</f>
        <v>1116.3998745199999</v>
      </c>
      <c r="K109" s="32">
        <f>'input site'!BS109</f>
        <v>849.02019737703495</v>
      </c>
      <c r="L109" s="32">
        <f t="shared" si="21"/>
        <v>0</v>
      </c>
      <c r="M109" s="32">
        <f t="shared" si="22"/>
        <v>0</v>
      </c>
      <c r="N109" s="32">
        <f>'input site'!EV109</f>
        <v>154.8871985055959</v>
      </c>
      <c r="O109" s="32">
        <f>'input site'!EW109</f>
        <v>0</v>
      </c>
      <c r="P109" s="36">
        <f>O109-N109</f>
        <v>-154.8871985055959</v>
      </c>
      <c r="Q109" s="32">
        <f t="shared" si="23"/>
        <v>0</v>
      </c>
      <c r="R109" s="32">
        <f>'input site'!EZ109</f>
        <v>-169.19244352719878</v>
      </c>
      <c r="S109" s="37" t="str">
        <f>'input site'!FA109</f>
        <v>The earliest possible time in the latter half of this century. Used CAT</v>
      </c>
      <c r="T109" s="37" t="str">
        <f>Table12[[#This Row],[(Mt CO2 equivalent)]]</f>
        <v>Japan</v>
      </c>
      <c r="U109" s="8">
        <f>VLOOKUP($G109,'NZT data'!$B$3:$F$200,4,FALSE)</f>
        <v>2050</v>
      </c>
      <c r="V109" s="32">
        <f>VLOOKUP($G109,'NZT data'!$B$3:$F$200,5,FALSE)</f>
        <v>2050</v>
      </c>
      <c r="W109" s="32">
        <f>-IF('LUC NGHGI'!EC99="",MIN('LUC NGHGI'!DW99,0.1),MIN('LUC NGHGI'!EC99,0.1))</f>
        <v>39.799999999999997</v>
      </c>
      <c r="X109" s="32">
        <f>'LUC NGHGI'!EC99</f>
        <v>-39.799999999999997</v>
      </c>
      <c r="Y109" s="32">
        <f>'LUC NGHGI'!DY99</f>
        <v>-39.799999999999997</v>
      </c>
      <c r="Z109" s="32">
        <f>'LUC NGHGI'!DZ99</f>
        <v>-39.799999999999997</v>
      </c>
      <c r="AA109" s="32">
        <f>Table12[[#This Row],[2021 emissions]]</f>
        <v>1116.3998745199999</v>
      </c>
      <c r="AB109" s="32">
        <f>'LUC NGHGI'!DW99</f>
        <v>-51.813895120403124</v>
      </c>
      <c r="AC109" s="32">
        <f>IF(F109="incl",Table12[[#This Row],[GHG emissions incl LULUCF]]-Table12[[#This Row],[LULUCF emis-sions in 20213]],Table12[[#This Row],[GHG emissions incl LULUCF]])</f>
        <v>1168.2137696404031</v>
      </c>
      <c r="AD109" s="32">
        <f>'input site'!BS109</f>
        <v>849.02019737703495</v>
      </c>
      <c r="AE109" s="32">
        <f>'LUC NGHGI'!EH99</f>
        <v>-34.000036735332799</v>
      </c>
      <c r="AF109" s="32">
        <f>IF(F109="incl",Table12[[#This Row],[Current Policies 2030 incl LULUCF]]-Table12[[#This Row],[LULUCF CurPol 2030]],Table12[[#This Row],[Current Policies 2030 incl LULUCF]])</f>
        <v>883.02023411236769</v>
      </c>
      <c r="AG109" s="32">
        <f>IF(Table12[[#This Row],[Net-zero target status]]&lt;=1,"",IF(Table12[[#This Row],[NZ GHG year]]="","",1000000000*(Table12[[#This Row],[residual LULUCF emissions in 2050]]-Table12[[#This Row],[GHG emissions excl LULUCF]])/(Table12[[#This Row],[NZ GHG year]]-2021)/Table12[[#This Row],[Population]]))</f>
        <v>-309.83692189635599</v>
      </c>
      <c r="AH109" s="32">
        <f>IF(Table12[[#This Row],[Peak revised]]="Yes",IF(Table12[[#This Row],[Net-zero target status]]&lt;=1,"",IF(Table12[[#This Row],[NZ GHG year]]="","",1000000000*(Table12[[#This Row],[residual LULUCF emissions in 2050]]-Table12[[#This Row],[GHG emissions excl LULUCF]])/(Table12[[#This Row],[NZ GHG year]]-2021)/Table12[[#This Row],[Population]])),"")</f>
        <v>-309.83692189635599</v>
      </c>
      <c r="AI109" s="32">
        <f>MAX(0,(1000000*(Table12[[#This Row],[Current Policies 2030 excl LULUCF]]/2+Table12[[#This Row],[GHG emissions excl LULUCF]]/2)/Table12[[#This Row],[Population]]-$AI$8)*10)*$AI$10</f>
        <v>-116.67263199112111</v>
      </c>
      <c r="AJ10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09" s="32" t="str">
        <f>IF(Table12[[#This Row],[Formule no Peak (2)]]="","",Table12[[#This Row],[Penalty (1)]]+Table12[[#This Row],[Formule no Peak (2)]])</f>
        <v/>
      </c>
      <c r="AL109" s="313">
        <f>(Table12[[#This Row],[Current Policies 2030 excl LULUCF]]-Table12[[#This Row],[GHG emissions excl LULUCF]])/(2030-2021)/Table12[[#This Row],[GHG emissions excl LULUCF]]</f>
        <v>-2.7125318531368056E-2</v>
      </c>
      <c r="AM109" s="313">
        <f>IF(Table12[[#This Row],[Net-zero target status]]&lt;=1,"",IF(Table12[[#This Row],[NZ GHG year]]="","",(Table12[[#This Row],[residual LULUCF emissions in 2050]]-Table12[[#This Row],[Current Policies 2030 excl LULUCF]])/(Table12[[#This Row],[NZ GHG year]]-2030)/Table12[[#This Row],[Current Policies 2030 excl LULUCF]]))</f>
        <v>-4.7746371008133927E-2</v>
      </c>
      <c r="AN109" s="313">
        <f>IF(Table12[[#This Row],[Net-zero target status]]&lt;=1,"",IF(Table12[[#This Row],[NZ GHG year]]="","",(Table12[[#This Row],[residual LULUCF emissions in 2050]]-Table12[[#This Row],[GHG emissions excl LULUCF]])/(Table12[[#This Row],[NZ GHG year]]-2021)/Table12[[#This Row],[GHG emissions excl LULUCF]]))</f>
        <v>-3.3307961825128941E-2</v>
      </c>
      <c r="AO109" s="313">
        <f>IF(Table12[[#This Row],[Net-zero target status]]&lt;=1,"",IF(Table12[[#This Row],[NZ GHG year]]="","",(Table12[[#This Row],[residual LULUCF emissions in 2050]]-Table12[[#This Row],[2030 conditional NDCs]])/(Table12[[#This Row],[NZ GHG year]]-2030)/Table12[[#This Row],[2030 conditional NDCs]]))</f>
        <v>-4.7537189673522939E-2</v>
      </c>
      <c r="AP109" s="96">
        <f>MAX('input site'!AH109:AS109)</f>
        <v>1340.6966684199999</v>
      </c>
      <c r="AQ109" s="95" t="str">
        <f>IF(Table12[[#This Row],[Current Policies 2030 incl LULUCF]]&gt;Table12[[#This Row],[Maximum inventory data]],"No","Yes")</f>
        <v>Yes</v>
      </c>
      <c r="AR109" s="34">
        <f>IF(Table12[[#This Row],[Net-zero target status]]&gt;=1.5,Table12[[#This Row],[residual LULUCF emissions in 2050]]/Table12[[#This Row],[GHG emissions excl LULUCF]],"")</f>
        <v>3.4069107071260714E-2</v>
      </c>
      <c r="AS109" s="82">
        <f>'input site'!BE109</f>
        <v>808.0200000000001</v>
      </c>
      <c r="AT109" s="82">
        <f>'input site'!BF109</f>
        <v>808.0200000000001</v>
      </c>
      <c r="AU109" s="82">
        <f>'input site'!BG109</f>
        <v>808.0200000000001</v>
      </c>
      <c r="AV109" s="83">
        <f>'input site'!BH109</f>
        <v>808.0200000000001</v>
      </c>
      <c r="AW109" s="74">
        <f>IF(Table12[[#This Row],[2030 unconditional NDCs]]="","",IF(F109="incl",Table12[[#This Row],[2030 unconditional NDCs]]-Table12[[#This Row],[LULUCF NDC uncond]],Table12[[#This Row],[2030 unconditional NDCs]]))</f>
        <v>847.82</v>
      </c>
      <c r="AX109" s="74">
        <f>IF(Table12[[#This Row],[2030 unconditional NDCs2]]="","",IF(F109="incl",Table12[[#This Row],[2030 unconditional NDCs2]]-Table12[[#This Row],[LULUCF NDC uncond]],Table12[[#This Row],[2030 unconditional NDCs2]]))</f>
        <v>847.82</v>
      </c>
      <c r="AY109" s="74">
        <f>IF(Table12[[#This Row],[2030 conditional NDCs]]="","",IF(F109="incl",Table12[[#This Row],[2030 conditional NDCs]]-Table12[[#This Row],[LULUCF NDC cond]],Table12[[#This Row],[2030 conditional NDCs]]))</f>
        <v>847.82</v>
      </c>
      <c r="AZ109" s="74">
        <f>IF(Table12[[#This Row],[2030 conditional NDCs2]]="","",IF(F109="incl",Table12[[#This Row],[2030 conditional NDCs2]]-Table12[[#This Row],[LULUCF NDC cond]],Table12[[#This Row],[2030 conditional NDCs2]]))</f>
        <v>847.82</v>
      </c>
      <c r="BA109" s="8">
        <f>VLOOKUP($G109,'Population90 20'!$C$6:$AU$231,37,FALSE)</f>
        <v>125584838</v>
      </c>
      <c r="BB109" s="8">
        <f>VLOOKUP($G109,'Overview GDP (PPP)'!$C$6:$AI$231,33,FALSE)</f>
        <v>4971771237.5678844</v>
      </c>
      <c r="BC109" s="36">
        <f>Table12[[#This Row],[Income]]/Table12[[#This Row],[Population]]</f>
        <v>39.588944945470921</v>
      </c>
      <c r="BD109" s="36">
        <f>Table12[[#This Row],[GHG emissions excl LULUCF]]*1000000/Table12[[#This Row],[Population]]</f>
        <v>9.3021879730449868</v>
      </c>
      <c r="BE109" s="23" t="str">
        <f>VLOOKUP($G109,EGR2023_MASTER!$B$4:$S$38,14,FALSE)</f>
        <v>Y</v>
      </c>
      <c r="BF109" s="23" t="str">
        <f>VLOOKUP($G109,EGR2023_MASTER!$B$4:$S$38,15,FALSE)</f>
        <v>Credible</v>
      </c>
      <c r="BG109" s="23" t="str">
        <f>VLOOKUP($G109,EGR2023_MASTER!$B$4:$S$38,16,FALSE)</f>
        <v>n</v>
      </c>
      <c r="BH109" s="23" t="str">
        <f t="shared" si="19"/>
        <v>lower</v>
      </c>
      <c r="BI109" s="23" t="str">
        <f t="shared" si="20"/>
        <v>weak</v>
      </c>
      <c r="BJ109" s="552">
        <f>(Table12[[#This Row],[Current Policies 2030 excl LULUCF]]/Table12[[#This Row],[GHG emissions excl LULUCF]])^(1/(2030-2021))-1</f>
        <v>-3.0619544299186896E-2</v>
      </c>
      <c r="BK109" s="552">
        <f>IF(Table12[[#This Row],[Net-zero target status]]&lt;=1,"",IF(Table12[[#This Row],[NZ GHG year]]="","",((MAX(Table12[[#This Row],[residual LULUCF emissions in 2050]],0.1)/Table12[[#This Row],[Current Policies 2030 excl LULUCF]])^(1/(Table12[[#This Row],[NZ GHG year]]-2021))-1)))</f>
        <v>-0.10136529524925264</v>
      </c>
      <c r="BL109" s="552">
        <f>IF(Table12[[#This Row],[Net-zero target status]]&lt;=1,"",IF(Table12[[#This Row],[NZ GHG year]]="","",((MAX(Table12[[#This Row],[residual LULUCF emissions in 2050]],0.1)/Table12[[#This Row],[GHG emissions excl LULUCF]])^(1/(Table12[[#This Row],[NZ GHG year]]-2021))-1)))</f>
        <v>-0.10999642725297343</v>
      </c>
      <c r="BM109" s="552">
        <f>IF(Table12[[#This Row],[Net-zero target status]]&lt;=1,"",IF(Table12[[#This Row],[NZ GHG year]]="","",((MAX(Table12[[#This Row],[residual LULUCF emissions in 2050]],0.1)/AVERAGE(Table12[[#This Row],[2030 conditional NDCs]:[2030 conditional NDCs2]]))^(1/(Table12[[#This Row],[NZ GHG year]]-2021))-1)))</f>
        <v>-9.8610599324898573E-2</v>
      </c>
      <c r="BN109" s="23"/>
      <c r="BO109" s="23"/>
      <c r="BP109" s="23"/>
      <c r="BQ109" s="23"/>
      <c r="BR109" s="50" t="s">
        <v>247</v>
      </c>
      <c r="BT109" s="30">
        <f>IF(Table12[[#This Row],[Reduction rate 2021 to NZ target2]]="","",J109*(1+AN109)^(Table12[[#This Row],[NZ GHG year]]-2021))</f>
        <v>417.9996210427534</v>
      </c>
    </row>
    <row r="110" spans="1:72" ht="15" x14ac:dyDescent="0.25">
      <c r="A110">
        <v>0</v>
      </c>
      <c r="B110">
        <v>0</v>
      </c>
      <c r="C110">
        <v>400</v>
      </c>
      <c r="D110">
        <v>101</v>
      </c>
      <c r="E110">
        <v>17</v>
      </c>
      <c r="F110" t="str">
        <f>'input site'!M110</f>
        <v>incl</v>
      </c>
      <c r="G110" s="31" t="s">
        <v>248</v>
      </c>
      <c r="H110" s="1" t="s">
        <v>249</v>
      </c>
      <c r="I110" s="8">
        <f>VLOOKUP($G110,'NZT data'!$B$3:$C$200,2,FALSE)</f>
        <v>0</v>
      </c>
      <c r="J110" s="32">
        <f>'input site'!AS110</f>
        <v>31.323069722738779</v>
      </c>
      <c r="K110" s="32">
        <f>'input site'!BS110</f>
        <v>31.102926103815118</v>
      </c>
      <c r="L110" s="32">
        <f t="shared" si="21"/>
        <v>31.102926103815118</v>
      </c>
      <c r="M110" s="32">
        <f t="shared" si="22"/>
        <v>15.738739927132135</v>
      </c>
      <c r="N110" s="32">
        <f>'input site'!EV110</f>
        <v>15.738739927132135</v>
      </c>
      <c r="O110" s="8"/>
      <c r="P110" s="8"/>
      <c r="Q110" s="32">
        <f t="shared" si="23"/>
        <v>2.7415152219006971</v>
      </c>
      <c r="R110" s="32">
        <f>'input site'!EZ110</f>
        <v>2.7415152219006971</v>
      </c>
      <c r="S110" s="37">
        <f>'input site'!FA110</f>
        <v>0</v>
      </c>
      <c r="T110" s="37" t="str">
        <f>Table12[[#This Row],[(Mt CO2 equivalent)]]</f>
        <v>Jordan</v>
      </c>
      <c r="U110" s="8">
        <f>VLOOKUP($G110,'NZT data'!$B$3:$F$200,4,FALSE)</f>
        <v>2110</v>
      </c>
      <c r="V110" s="32" t="str">
        <f>VLOOKUP($G110,'NZT data'!$B$3:$F$200,5,FALSE)</f>
        <v/>
      </c>
      <c r="W110" s="32">
        <f>-IF('LUC NGHGI'!EC100="",MIN('LUC NGHGI'!DW100,0.1),MIN('LUC NGHGI'!EC100,0.1))</f>
        <v>-0.1</v>
      </c>
      <c r="X110" s="32">
        <f>'LUC NGHGI'!EC100</f>
        <v>1.2246583563629088</v>
      </c>
      <c r="Y110" s="32">
        <f>'LUC NGHGI'!DY100</f>
        <v>1</v>
      </c>
      <c r="Z110" s="32">
        <f>'LUC NGHGI'!DZ100</f>
        <v>1</v>
      </c>
      <c r="AA110" s="32">
        <f>Table12[[#This Row],[2021 emissions]]</f>
        <v>31.323069722738779</v>
      </c>
      <c r="AB110" s="32">
        <f>'LUC NGHGI'!DW100</f>
        <v>1.3451907227387778</v>
      </c>
      <c r="AC110" s="32">
        <f>IF(F110="incl",Table12[[#This Row],[GHG emissions incl LULUCF]]-Table12[[#This Row],[LULUCF emis-sions in 20213]],Table12[[#This Row],[GHG emissions incl LULUCF]])</f>
        <v>29.977879000000001</v>
      </c>
      <c r="AD110" s="32">
        <f>'input site'!BS110</f>
        <v>31.102926103815118</v>
      </c>
      <c r="AE110" s="32">
        <f>'LUC NGHGI'!EH100</f>
        <v>0.90599786231547197</v>
      </c>
      <c r="AF110" s="32">
        <f>IF(F110="incl",Table12[[#This Row],[Current Policies 2030 incl LULUCF]]-Table12[[#This Row],[LULUCF CurPol 2030]],Table12[[#This Row],[Current Policies 2030 incl LULUCF]])</f>
        <v>30.196928241499645</v>
      </c>
      <c r="AG110" s="32" t="str">
        <f>IF(Table12[[#This Row],[Net-zero target status]]&lt;=1,"",IF(Table12[[#This Row],[NZ GHG year]]="","",1000000000*(Table12[[#This Row],[residual LULUCF emissions in 2050]]-Table12[[#This Row],[GHG emissions excl LULUCF]])/(Table12[[#This Row],[NZ GHG year]]-2021)/Table12[[#This Row],[Population]]))</f>
        <v/>
      </c>
      <c r="AH110" s="32" t="str">
        <f>IF(Table12[[#This Row],[Peak revised]]="Yes",IF(Table12[[#This Row],[Net-zero target status]]&lt;=1,"",IF(Table12[[#This Row],[NZ GHG year]]="","",1000000000*(Table12[[#This Row],[residual LULUCF emissions in 2050]]-Table12[[#This Row],[GHG emissions excl LULUCF]])/(Table12[[#This Row],[NZ GHG year]]-2021)/Table12[[#This Row],[Population]])),"")</f>
        <v/>
      </c>
      <c r="AI110" s="32">
        <f>MAX(0,(1000000*(Table12[[#This Row],[Current Policies 2030 excl LULUCF]]/2+Table12[[#This Row],[GHG emissions excl LULUCF]]/2)/Table12[[#This Row],[Population]]-$AI$8)*10)*$AI$10</f>
        <v>0</v>
      </c>
      <c r="AJ11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0" s="32" t="str">
        <f>IF(Table12[[#This Row],[Formule no Peak (2)]]="","",Table12[[#This Row],[Penalty (1)]]+Table12[[#This Row],[Formule no Peak (2)]])</f>
        <v/>
      </c>
      <c r="AL110" s="313">
        <f>(Table12[[#This Row],[Current Policies 2030 excl LULUCF]]-Table12[[#This Row],[GHG emissions excl LULUCF]])/(2030-2021)/Table12[[#This Row],[GHG emissions excl LULUCF]]</f>
        <v>8.1189214924349694E-4</v>
      </c>
      <c r="AM110" s="313" t="str">
        <f>IF(Table12[[#This Row],[Net-zero target status]]&lt;=1,"",IF(Table12[[#This Row],[NZ GHG year]]="","",(Table12[[#This Row],[residual LULUCF emissions in 2050]]-Table12[[#This Row],[Current Policies 2030 excl LULUCF]])/(Table12[[#This Row],[NZ GHG year]]-2030)/Table12[[#This Row],[Current Policies 2030 excl LULUCF]]))</f>
        <v/>
      </c>
      <c r="AN110" s="313" t="str">
        <f>IF(Table12[[#This Row],[Net-zero target status]]&lt;=1,"",IF(Table12[[#This Row],[NZ GHG year]]="","",(Table12[[#This Row],[residual LULUCF emissions in 2050]]-Table12[[#This Row],[GHG emissions excl LULUCF]])/(Table12[[#This Row],[NZ GHG year]]-2021)/Table12[[#This Row],[GHG emissions excl LULUCF]]))</f>
        <v/>
      </c>
      <c r="AO110" s="313" t="str">
        <f>IF(Table12[[#This Row],[Net-zero target status]]&lt;=1,"",IF(Table12[[#This Row],[NZ GHG year]]="","",(Table12[[#This Row],[residual LULUCF emissions in 2050]]-Table12[[#This Row],[2030 conditional NDCs]])/(Table12[[#This Row],[NZ GHG year]]-2030)/Table12[[#This Row],[2030 conditional NDCs]]))</f>
        <v/>
      </c>
      <c r="AP110" s="96">
        <f>MAX('input site'!AH110:AS110)</f>
        <v>34.818096560000001</v>
      </c>
      <c r="AQ110" s="95" t="str">
        <f>IF(Table12[[#This Row],[Current Policies 2030 incl LULUCF]]&gt;Table12[[#This Row],[Maximum inventory data]],"No","Yes")</f>
        <v>Yes</v>
      </c>
      <c r="AR110" s="34" t="str">
        <f>IF(Table12[[#This Row],[Net-zero target status]]&gt;=1.5,Table12[[#This Row],[residual LULUCF emissions in 2050]]/Table12[[#This Row],[GHG emissions excl LULUCF]],"")</f>
        <v/>
      </c>
      <c r="AS110" s="76">
        <f>'input site'!BE110</f>
        <v>44</v>
      </c>
      <c r="AT110" s="76">
        <f>'input site'!BF110</f>
        <v>44</v>
      </c>
      <c r="AU110" s="76">
        <f>'input site'!BG110</f>
        <v>31.957894736842103</v>
      </c>
      <c r="AV110" s="77">
        <f>'input site'!BH110</f>
        <v>31.957894736842103</v>
      </c>
      <c r="AW110" s="74">
        <f>IF(Table12[[#This Row],[2030 unconditional NDCs]]="","",IF(F110="incl",Table12[[#This Row],[2030 unconditional NDCs]]-Table12[[#This Row],[LULUCF NDC uncond]],Table12[[#This Row],[2030 unconditional NDCs]]))</f>
        <v>43</v>
      </c>
      <c r="AX110" s="74">
        <f>IF(Table12[[#This Row],[2030 unconditional NDCs2]]="","",IF(F110="incl",Table12[[#This Row],[2030 unconditional NDCs2]]-Table12[[#This Row],[LULUCF NDC uncond]],Table12[[#This Row],[2030 unconditional NDCs2]]))</f>
        <v>43</v>
      </c>
      <c r="AY110" s="74">
        <f>IF(Table12[[#This Row],[2030 conditional NDCs]]="","",IF(F110="incl",Table12[[#This Row],[2030 conditional NDCs]]-Table12[[#This Row],[LULUCF NDC cond]],Table12[[#This Row],[2030 conditional NDCs]]))</f>
        <v>30.957894736842103</v>
      </c>
      <c r="AZ110" s="74">
        <f>IF(Table12[[#This Row],[2030 conditional NDCs2]]="","",IF(F110="incl",Table12[[#This Row],[2030 conditional NDCs2]]-Table12[[#This Row],[LULUCF NDC cond]],Table12[[#This Row],[2030 conditional NDCs2]]))</f>
        <v>30.957894736842103</v>
      </c>
      <c r="BA110" s="8">
        <f>VLOOKUP($G110,'Population90 20'!$C$6:$AU$231,37,FALSE)</f>
        <v>10300869</v>
      </c>
      <c r="BB110" s="8">
        <f>VLOOKUP($G110,'Overview GDP (PPP)'!$C$6:$AI$231,33,FALSE)</f>
        <v>82727519.63479206</v>
      </c>
      <c r="BC110" s="36">
        <f>Table12[[#This Row],[Income]]/Table12[[#This Row],[Population]]</f>
        <v>8.0311204457402638</v>
      </c>
      <c r="BD110" s="36">
        <f>Table12[[#This Row],[GHG emissions excl LULUCF]]*1000000/Table12[[#This Row],[Population]]</f>
        <v>2.910228156478837</v>
      </c>
      <c r="BE110" s="23" t="e">
        <f>VLOOKUP($G110,EGR2023_MASTER!$B$4:$S$38,14,FALSE)</f>
        <v>#N/A</v>
      </c>
      <c r="BF110" s="23" t="e">
        <f>VLOOKUP($G110,EGR2023_MASTER!$B$4:$S$38,15,FALSE)</f>
        <v>#N/A</v>
      </c>
      <c r="BG110" s="23" t="e">
        <f>VLOOKUP($G110,EGR2023_MASTER!$B$4:$S$38,16,FALSE)</f>
        <v>#N/A</v>
      </c>
      <c r="BH110" s="23" t="e">
        <f t="shared" si="19"/>
        <v>#N/A</v>
      </c>
      <c r="BI110" s="23" t="e">
        <f t="shared" si="20"/>
        <v>#N/A</v>
      </c>
      <c r="BJ110" s="552">
        <f>(Table12[[#This Row],[Current Policies 2030 excl LULUCF]]/Table12[[#This Row],[GHG emissions excl LULUCF]])^(1/(2030-2021))-1</f>
        <v>8.0926754075139051E-4</v>
      </c>
      <c r="BK110" s="552" t="str">
        <f>IF(Table12[[#This Row],[Net-zero target status]]&lt;=1,"",IF(Table12[[#This Row],[NZ GHG year]]="","",((MAX(Table12[[#This Row],[residual LULUCF emissions in 2050]],0.1)/Table12[[#This Row],[Current Policies 2030 excl LULUCF]])^(1/(Table12[[#This Row],[NZ GHG year]]-2021))-1)))</f>
        <v/>
      </c>
      <c r="BL110" s="552" t="str">
        <f>IF(Table12[[#This Row],[Net-zero target status]]&lt;=1,"",IF(Table12[[#This Row],[NZ GHG year]]="","",((MAX(Table12[[#This Row],[residual LULUCF emissions in 2050]],0.1)/Table12[[#This Row],[GHG emissions excl LULUCF]])^(1/(Table12[[#This Row],[NZ GHG year]]-2021))-1)))</f>
        <v/>
      </c>
      <c r="BM110" s="552" t="str">
        <f>IF(Table12[[#This Row],[Net-zero target status]]&lt;=1,"",IF(Table12[[#This Row],[NZ GHG year]]="","",((MAX(Table12[[#This Row],[residual LULUCF emissions in 2050]],0.1)/AVERAGE(Table12[[#This Row],[2030 conditional NDCs]:[2030 conditional NDCs2]]))^(1/(Table12[[#This Row],[NZ GHG year]]-2021))-1)))</f>
        <v/>
      </c>
      <c r="BN110" s="23"/>
      <c r="BO110" s="23"/>
      <c r="BP110" s="23"/>
      <c r="BQ110" s="23"/>
      <c r="BR110" s="50" t="s">
        <v>249</v>
      </c>
      <c r="BT110" s="30" t="str">
        <f>IF(Table12[[#This Row],[Reduction rate 2021 to NZ target2]]="","",J110*(1+AN110)^(Table12[[#This Row],[NZ GHG year]]-2021))</f>
        <v/>
      </c>
    </row>
    <row r="111" spans="1:72" ht="15" x14ac:dyDescent="0.25">
      <c r="A111">
        <v>1</v>
      </c>
      <c r="B111">
        <v>0</v>
      </c>
      <c r="C111">
        <v>398</v>
      </c>
      <c r="D111">
        <v>100</v>
      </c>
      <c r="E111">
        <v>15</v>
      </c>
      <c r="F111" t="str">
        <f>'input site'!M111</f>
        <v>incl</v>
      </c>
      <c r="G111" s="31" t="s">
        <v>250</v>
      </c>
      <c r="H111" s="1" t="s">
        <v>251</v>
      </c>
      <c r="I111" s="8">
        <f>VLOOKUP($G111,'NZT data'!$B$3:$C$200,2,FALSE)</f>
        <v>3</v>
      </c>
      <c r="J111" s="32">
        <f>'input site'!AS111</f>
        <v>356.68552666355902</v>
      </c>
      <c r="K111" s="32">
        <f>'input site'!BS111</f>
        <v>425.6865967</v>
      </c>
      <c r="L111" s="32">
        <f t="shared" si="21"/>
        <v>0</v>
      </c>
      <c r="M111" s="32">
        <f t="shared" si="22"/>
        <v>0</v>
      </c>
      <c r="N111" s="32">
        <f>'input site'!EV111</f>
        <v>181.58881056176881</v>
      </c>
      <c r="O111" s="8"/>
      <c r="P111" s="8"/>
      <c r="Q111" s="32">
        <f t="shared" si="23"/>
        <v>0</v>
      </c>
      <c r="R111" s="32">
        <f>'input site'!EZ111</f>
        <v>115.36451449480445</v>
      </c>
      <c r="S111" s="37" t="str">
        <f>'input site'!FA111</f>
        <v>25% below 1992 by 2050</v>
      </c>
      <c r="T111" s="37" t="str">
        <f>Table12[[#This Row],[(Mt CO2 equivalent)]]</f>
        <v>Kazakhstan</v>
      </c>
      <c r="U111" s="8">
        <f>VLOOKUP($G111,'NZT data'!$B$3:$F$200,4,FALSE)</f>
        <v>2060</v>
      </c>
      <c r="V111" s="32">
        <f>VLOOKUP($G111,'NZT data'!$B$3:$F$200,5,FALSE)</f>
        <v>2060</v>
      </c>
      <c r="W111" s="32">
        <f>-IF('LUC NGHGI'!EC101="",MIN('LUC NGHGI'!DW101,0.1),MIN('LUC NGHGI'!EC101,0.1))</f>
        <v>-0.1</v>
      </c>
      <c r="X111" s="32">
        <f>'LUC NGHGI'!EC101</f>
        <v>8.1271580000000068</v>
      </c>
      <c r="Y111" s="32">
        <f>'LUC NGHGI'!DY101</f>
        <v>-6</v>
      </c>
      <c r="Z111" s="32">
        <f>'LUC NGHGI'!DZ101</f>
        <v>-6</v>
      </c>
      <c r="AA111" s="32">
        <f>Table12[[#This Row],[2021 emissions]]</f>
        <v>356.68552666355902</v>
      </c>
      <c r="AB111" s="32">
        <f>'LUC NGHGI'!DW101</f>
        <v>2.7143600000000152</v>
      </c>
      <c r="AC111" s="32">
        <f>IF(F111="incl",Table12[[#This Row],[GHG emissions incl LULUCF]]-Table12[[#This Row],[LULUCF emis-sions in 20213]],Table12[[#This Row],[GHG emissions incl LULUCF]])</f>
        <v>353.97116666355902</v>
      </c>
      <c r="AD111" s="32">
        <f>'input site'!BS111</f>
        <v>425.6865967</v>
      </c>
      <c r="AE111" s="32">
        <f>'LUC NGHGI'!EH101</f>
        <v>5.4280541483505154</v>
      </c>
      <c r="AF111" s="32">
        <f>IF(F111="incl",Table12[[#This Row],[Current Policies 2030 incl LULUCF]]-Table12[[#This Row],[LULUCF CurPol 2030]],Table12[[#This Row],[Current Policies 2030 incl LULUCF]])</f>
        <v>420.2585425516495</v>
      </c>
      <c r="AG111" s="32">
        <f>IF(Table12[[#This Row],[Net-zero target status]]&lt;=1,"",IF(Table12[[#This Row],[NZ GHG year]]="","",1000000000*(Table12[[#This Row],[residual LULUCF emissions in 2050]]-Table12[[#This Row],[GHG emissions excl LULUCF]])/(Table12[[#This Row],[NZ GHG year]]-2021)/Table12[[#This Row],[Population]]))</f>
        <v>-472.72728643034958</v>
      </c>
      <c r="AH111" s="32" t="str">
        <f>IF(Table12[[#This Row],[Peak revised]]="Yes",IF(Table12[[#This Row],[Net-zero target status]]&lt;=1,"",IF(Table12[[#This Row],[NZ GHG year]]="","",1000000000*(Table12[[#This Row],[residual LULUCF emissions in 2050]]-Table12[[#This Row],[GHG emissions excl LULUCF]])/(Table12[[#This Row],[NZ GHG year]]-2021)/Table12[[#This Row],[Population]])),"")</f>
        <v/>
      </c>
      <c r="AI111" s="32">
        <f>MAX(0,(1000000*(Table12[[#This Row],[Current Policies 2030 excl LULUCF]]/2+Table12[[#This Row],[GHG emissions excl LULUCF]]/2)/Table12[[#This Row],[Population]]-$AI$8)*10)*$AI$10</f>
        <v>-1315.6937665154105</v>
      </c>
      <c r="AJ111" s="32">
        <f>IF(Table12[[#This Row],[Peak revised]]="No",IF(Table12[[#This Row],[Net-zero target status]]&lt;=1,"",IF(Table12[[#This Row],[NZ GHG year]]="","",1000000000*(Table12[[#This Row],[residual LULUCF emissions in 2050]]-Table12[[#This Row],[Current Policies 2030 excl LULUCF]])/(Table12[[#This Row],[NZ GHG year]]-2021)/Table12[[#This Row],[Population]])),"")</f>
        <v>-561.22884848479714</v>
      </c>
      <c r="AK111" s="32">
        <f>IF(Table12[[#This Row],[Formule no Peak (2)]]="","",Table12[[#This Row],[Penalty (1)]]+Table12[[#This Row],[Formule no Peak (2)]])</f>
        <v>-1876.9226150002078</v>
      </c>
      <c r="AL111" s="313">
        <f>(Table12[[#This Row],[Current Policies 2030 excl LULUCF]]-Table12[[#This Row],[GHG emissions excl LULUCF]])/(2030-2021)/Table12[[#This Row],[GHG emissions excl LULUCF]]</f>
        <v>2.0807525248422599E-2</v>
      </c>
      <c r="AM111" s="313">
        <f>IF(Table12[[#This Row],[Net-zero target status]]&lt;=1,"",IF(Table12[[#This Row],[NZ GHG year]]="","",(Table12[[#This Row],[residual LULUCF emissions in 2050]]-Table12[[#This Row],[Current Policies 2030 excl LULUCF]])/(Table12[[#This Row],[NZ GHG year]]-2030)/Table12[[#This Row],[Current Policies 2030 excl LULUCF]]))</f>
        <v>-3.3341264958739673E-2</v>
      </c>
      <c r="AN111" s="313">
        <f>IF(Table12[[#This Row],[Net-zero target status]]&lt;=1,"",IF(Table12[[#This Row],[NZ GHG year]]="","",(Table12[[#This Row],[residual LULUCF emissions in 2050]]-Table12[[#This Row],[GHG emissions excl LULUCF]])/(Table12[[#This Row],[NZ GHG year]]-2021)/Table12[[#This Row],[GHG emissions excl LULUCF]]))</f>
        <v>-2.5648269458617541E-2</v>
      </c>
      <c r="AO111" s="313">
        <f>IF(Table12[[#This Row],[Net-zero target status]]&lt;=1,"",IF(Table12[[#This Row],[NZ GHG year]]="","",(Table12[[#This Row],[residual LULUCF emissions in 2050]]-Table12[[#This Row],[2030 conditional NDCs]])/(Table12[[#This Row],[NZ GHG year]]-2030)/Table12[[#This Row],[2030 conditional NDCs]]))</f>
        <v>-3.3345339504505321E-2</v>
      </c>
      <c r="AP111" s="96">
        <f>MAX('input site'!AH111:AS111)</f>
        <v>401.66176123039867</v>
      </c>
      <c r="AQ111" s="95" t="str">
        <f>IF(Table12[[#This Row],[Current Policies 2030 incl LULUCF]]&gt;Table12[[#This Row],[Maximum inventory data]],"No","Yes")</f>
        <v>No</v>
      </c>
      <c r="AR111" s="34">
        <f>IF(Table12[[#This Row],[Net-zero target status]]&gt;=1.5,Table12[[#This Row],[residual LULUCF emissions in 2050]]/Table12[[#This Row],[GHG emissions excl LULUCF]],"")</f>
        <v>-2.8250888608406788E-4</v>
      </c>
      <c r="AS111" s="74">
        <f>'input site'!BE111</f>
        <v>314.65300000000002</v>
      </c>
      <c r="AT111" s="74">
        <f>'input site'!BF111</f>
        <v>314.65300000000002</v>
      </c>
      <c r="AU111" s="74">
        <f>'input site'!BG111</f>
        <v>277.63499999999999</v>
      </c>
      <c r="AV111" s="75">
        <f>'input site'!BH111</f>
        <v>277.63499999999999</v>
      </c>
      <c r="AW111" s="74">
        <f>IF(Table12[[#This Row],[2030 unconditional NDCs]]="","",IF(F111="incl",Table12[[#This Row],[2030 unconditional NDCs]]-Table12[[#This Row],[LULUCF NDC uncond]],Table12[[#This Row],[2030 unconditional NDCs]]))</f>
        <v>320.65300000000002</v>
      </c>
      <c r="AX111" s="74">
        <f>IF(Table12[[#This Row],[2030 unconditional NDCs2]]="","",IF(F111="incl",Table12[[#This Row],[2030 unconditional NDCs2]]-Table12[[#This Row],[LULUCF NDC uncond]],Table12[[#This Row],[2030 unconditional NDCs2]]))</f>
        <v>320.65300000000002</v>
      </c>
      <c r="AY111" s="74">
        <f>IF(Table12[[#This Row],[2030 conditional NDCs]]="","",IF(F111="incl",Table12[[#This Row],[2030 conditional NDCs]]-Table12[[#This Row],[LULUCF NDC cond]],Table12[[#This Row],[2030 conditional NDCs]]))</f>
        <v>283.63499999999999</v>
      </c>
      <c r="AZ111" s="74">
        <f>IF(Table12[[#This Row],[2030 conditional NDCs2]]="","",IF(F111="incl",Table12[[#This Row],[2030 conditional NDCs2]]-Table12[[#This Row],[LULUCF NDC cond]],Table12[[#This Row],[2030 conditional NDCs2]]))</f>
        <v>283.63499999999999</v>
      </c>
      <c r="BA111" s="8">
        <f>VLOOKUP($G111,'Population90 20'!$C$6:$AU$231,37,FALSE)</f>
        <v>19205043</v>
      </c>
      <c r="BB111" s="8">
        <f>VLOOKUP($G111,'Overview GDP (PPP)'!$C$6:$AI$231,33,FALSE)</f>
        <v>452130663.56112492</v>
      </c>
      <c r="BC111" s="36">
        <f>Table12[[#This Row],[Income]]/Table12[[#This Row],[Population]]</f>
        <v>23.54228853125322</v>
      </c>
      <c r="BD111" s="36">
        <f>Table12[[#This Row],[GHG emissions excl LULUCF]]*1000000/Table12[[#This Row],[Population]]</f>
        <v>18.431157205092383</v>
      </c>
      <c r="BE111" s="23" t="str">
        <f>VLOOKUP($G111,EGR2023_MASTER!$B$4:$S$38,14,FALSE)</f>
        <v>N</v>
      </c>
      <c r="BF111" s="23" t="str">
        <f>VLOOKUP($G111,EGR2023_MASTER!$B$4:$S$38,15,FALSE)</f>
        <v>Credible</v>
      </c>
      <c r="BG111" s="23" t="str">
        <f>VLOOKUP($G111,EGR2023_MASTER!$B$4:$S$38,16,FALSE)</f>
        <v>n</v>
      </c>
      <c r="BH111" s="23" t="str">
        <f t="shared" si="19"/>
        <v>lower</v>
      </c>
      <c r="BI111" s="23" t="str">
        <f t="shared" si="20"/>
        <v>weak</v>
      </c>
      <c r="BJ111" s="552">
        <f>(Table12[[#This Row],[Current Policies 2030 excl LULUCF]]/Table12[[#This Row],[GHG emissions excl LULUCF]])^(1/(2030-2021))-1</f>
        <v>1.9255784285372668E-2</v>
      </c>
      <c r="BK111" s="552">
        <f>IF(Table12[[#This Row],[Net-zero target status]]&lt;=1,"",IF(Table12[[#This Row],[NZ GHG year]]="","",((MAX(Table12[[#This Row],[residual LULUCF emissions in 2050]],0.1)/Table12[[#This Row],[Current Policies 2030 excl LULUCF]])^(1/(Table12[[#This Row],[NZ GHG year]]-2021))-1)))</f>
        <v>-0.19259893258371619</v>
      </c>
      <c r="BL111" s="552">
        <f>IF(Table12[[#This Row],[Net-zero target status]]&lt;=1,"",IF(Table12[[#This Row],[NZ GHG year]]="","",((MAX(Table12[[#This Row],[residual LULUCF emissions in 2050]],0.1)/Table12[[#This Row],[GHG emissions excl LULUCF]])^(1/(Table12[[#This Row],[NZ GHG year]]-2021))-1)))</f>
        <v>-0.18903740459729856</v>
      </c>
      <c r="BM111" s="552">
        <f>IF(Table12[[#This Row],[Net-zero target status]]&lt;=1,"",IF(Table12[[#This Row],[NZ GHG year]]="","",((MAX(Table12[[#This Row],[residual LULUCF emissions in 2050]],0.1)/AVERAGE(Table12[[#This Row],[2030 conditional NDCs]:[2030 conditional NDCs2]]))^(1/(Table12[[#This Row],[NZ GHG year]]-2021))-1)))</f>
        <v>-0.1839706309550031</v>
      </c>
      <c r="BN111" s="23"/>
      <c r="BO111" s="23"/>
      <c r="BP111" s="23"/>
      <c r="BQ111" s="23"/>
      <c r="BR111" s="50" t="s">
        <v>251</v>
      </c>
      <c r="BT111" s="30">
        <f>IF(Table12[[#This Row],[Reduction rate 2021 to NZ target2]]="","",J111*(1+AN111)^(Table12[[#This Row],[NZ GHG year]]-2021))</f>
        <v>129.47924548240138</v>
      </c>
    </row>
    <row r="112" spans="1:72" ht="15" x14ac:dyDescent="0.25">
      <c r="A112">
        <v>0</v>
      </c>
      <c r="B112">
        <v>0</v>
      </c>
      <c r="C112">
        <v>404</v>
      </c>
      <c r="D112">
        <v>102</v>
      </c>
      <c r="E112">
        <v>9</v>
      </c>
      <c r="F112" t="str">
        <f>'input site'!M112</f>
        <v>incl</v>
      </c>
      <c r="G112" s="31" t="s">
        <v>252</v>
      </c>
      <c r="H112" s="1" t="s">
        <v>253</v>
      </c>
      <c r="I112" s="8">
        <f>VLOOKUP($G112,'NZT data'!$B$3:$C$200,2,FALSE)</f>
        <v>0</v>
      </c>
      <c r="J112" s="32">
        <f>'input site'!AS112</f>
        <v>146.72881959783535</v>
      </c>
      <c r="K112" s="32">
        <f>'input site'!BS112</f>
        <v>230.41371264824079</v>
      </c>
      <c r="L112" s="32">
        <f t="shared" si="21"/>
        <v>230.41371264824079</v>
      </c>
      <c r="M112" s="32">
        <f t="shared" si="22"/>
        <v>150.37560219008702</v>
      </c>
      <c r="N112" s="32">
        <f>'input site'!EV112</f>
        <v>150.37560219008702</v>
      </c>
      <c r="O112" s="8"/>
      <c r="P112" s="8"/>
      <c r="Q112" s="32">
        <f t="shared" si="23"/>
        <v>137.39414383493627</v>
      </c>
      <c r="R112" s="32">
        <f>'input site'!EZ112</f>
        <v>137.39414383493627</v>
      </c>
      <c r="S112" s="37">
        <f>'input site'!FA112</f>
        <v>0</v>
      </c>
      <c r="T112" s="37" t="str">
        <f>Table12[[#This Row],[(Mt CO2 equivalent)]]</f>
        <v>Kenya</v>
      </c>
      <c r="U112" s="8">
        <f>VLOOKUP($G112,'NZT data'!$B$3:$F$200,4,FALSE)</f>
        <v>2110</v>
      </c>
      <c r="V112" s="32" t="str">
        <f>VLOOKUP($G112,'NZT data'!$B$3:$F$200,5,FALSE)</f>
        <v/>
      </c>
      <c r="W112" s="32">
        <f>-IF('LUC NGHGI'!EC102="",MIN('LUC NGHGI'!DW102,0.1),MIN('LUC NGHGI'!EC102,0.1))</f>
        <v>-0.1</v>
      </c>
      <c r="X112" s="32">
        <f>'LUC NGHGI'!EC102</f>
        <v>58.862856971862129</v>
      </c>
      <c r="Y112" s="32">
        <f>'LUC NGHGI'!DY102</f>
        <v>-28</v>
      </c>
      <c r="Z112" s="32">
        <f>'LUC NGHGI'!DZ102</f>
        <v>-28</v>
      </c>
      <c r="AA112" s="32">
        <f>Table12[[#This Row],[2021 emissions]]</f>
        <v>146.72881959783535</v>
      </c>
      <c r="AB112" s="32">
        <f>'LUC NGHGI'!DW102</f>
        <v>61.463288597835344</v>
      </c>
      <c r="AC112" s="32">
        <f>IF(F112="incl",Table12[[#This Row],[GHG emissions incl LULUCF]]-Table12[[#This Row],[LULUCF emis-sions in 20213]],Table12[[#This Row],[GHG emissions incl LULUCF]])</f>
        <v>85.26553100000001</v>
      </c>
      <c r="AD112" s="32">
        <f>'input site'!BS112</f>
        <v>230.41371264824079</v>
      </c>
      <c r="AE112" s="32">
        <f>'LUC NGHGI'!EH102</f>
        <v>44.997316312942033</v>
      </c>
      <c r="AF112" s="32">
        <f>IF(F112="incl",Table12[[#This Row],[Current Policies 2030 incl LULUCF]]-Table12[[#This Row],[LULUCF CurPol 2030]],Table12[[#This Row],[Current Policies 2030 incl LULUCF]])</f>
        <v>185.41639633529877</v>
      </c>
      <c r="AG112" s="32" t="str">
        <f>IF(Table12[[#This Row],[Net-zero target status]]&lt;=1,"",IF(Table12[[#This Row],[NZ GHG year]]="","",1000000000*(Table12[[#This Row],[residual LULUCF emissions in 2050]]-Table12[[#This Row],[GHG emissions excl LULUCF]])/(Table12[[#This Row],[NZ GHG year]]-2021)/Table12[[#This Row],[Population]]))</f>
        <v/>
      </c>
      <c r="AH112" s="32" t="str">
        <f>IF(Table12[[#This Row],[Peak revised]]="Yes",IF(Table12[[#This Row],[Net-zero target status]]&lt;=1,"",IF(Table12[[#This Row],[NZ GHG year]]="","",1000000000*(Table12[[#This Row],[residual LULUCF emissions in 2050]]-Table12[[#This Row],[GHG emissions excl LULUCF]])/(Table12[[#This Row],[NZ GHG year]]-2021)/Table12[[#This Row],[Population]])),"")</f>
        <v/>
      </c>
      <c r="AI112" s="32">
        <f>MAX(0,(1000000*(Table12[[#This Row],[Current Policies 2030 excl LULUCF]]/2+Table12[[#This Row],[GHG emissions excl LULUCF]]/2)/Table12[[#This Row],[Population]]-$AI$8)*10)*$AI$10</f>
        <v>0</v>
      </c>
      <c r="AJ11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2" s="32" t="str">
        <f>IF(Table12[[#This Row],[Formule no Peak (2)]]="","",Table12[[#This Row],[Penalty (1)]]+Table12[[#This Row],[Formule no Peak (2)]])</f>
        <v/>
      </c>
      <c r="AL112" s="313">
        <f>(Table12[[#This Row],[Current Policies 2030 excl LULUCF]]-Table12[[#This Row],[GHG emissions excl LULUCF]])/(2030-2021)/Table12[[#This Row],[GHG emissions excl LULUCF]]</f>
        <v>0.13050846919776182</v>
      </c>
      <c r="AM112" s="313" t="str">
        <f>IF(Table12[[#This Row],[Net-zero target status]]&lt;=1,"",IF(Table12[[#This Row],[NZ GHG year]]="","",(Table12[[#This Row],[residual LULUCF emissions in 2050]]-Table12[[#This Row],[Current Policies 2030 excl LULUCF]])/(Table12[[#This Row],[NZ GHG year]]-2030)/Table12[[#This Row],[Current Policies 2030 excl LULUCF]]))</f>
        <v/>
      </c>
      <c r="AN112" s="313" t="str">
        <f>IF(Table12[[#This Row],[Net-zero target status]]&lt;=1,"",IF(Table12[[#This Row],[NZ GHG year]]="","",(Table12[[#This Row],[residual LULUCF emissions in 2050]]-Table12[[#This Row],[GHG emissions excl LULUCF]])/(Table12[[#This Row],[NZ GHG year]]-2021)/Table12[[#This Row],[GHG emissions excl LULUCF]]))</f>
        <v/>
      </c>
      <c r="AO112" s="313" t="str">
        <f>IF(Table12[[#This Row],[Net-zero target status]]&lt;=1,"",IF(Table12[[#This Row],[NZ GHG year]]="","",(Table12[[#This Row],[residual LULUCF emissions in 2050]]-Table12[[#This Row],[2030 conditional NDCs]])/(Table12[[#This Row],[NZ GHG year]]-2030)/Table12[[#This Row],[2030 conditional NDCs]]))</f>
        <v/>
      </c>
      <c r="AP112" s="96">
        <f>MAX('input site'!AH112:AS112)</f>
        <v>146.72881959783535</v>
      </c>
      <c r="AQ112" s="95" t="str">
        <f>IF(Table12[[#This Row],[Current Policies 2030 incl LULUCF]]&gt;Table12[[#This Row],[Maximum inventory data]],"No","Yes")</f>
        <v>No</v>
      </c>
      <c r="AR112" s="34" t="str">
        <f>IF(Table12[[#This Row],[Net-zero target status]]&gt;=1.5,Table12[[#This Row],[residual LULUCF emissions in 2050]]/Table12[[#This Row],[GHG emissions excl LULUCF]],"")</f>
        <v/>
      </c>
      <c r="AS112" s="74" t="str">
        <f>'input site'!BE112</f>
        <v/>
      </c>
      <c r="AT112" s="74" t="str">
        <f>'input site'!BF112</f>
        <v/>
      </c>
      <c r="AU112" s="76">
        <f>'input site'!BG112</f>
        <v>97.24</v>
      </c>
      <c r="AV112" s="77">
        <f>'input site'!BH112</f>
        <v>97.24</v>
      </c>
      <c r="AW112" s="74" t="str">
        <f>IF(Table12[[#This Row],[2030 unconditional NDCs]]="","",IF(F112="incl",Table12[[#This Row],[2030 unconditional NDCs]]-Table12[[#This Row],[LULUCF NDC uncond]],Table12[[#This Row],[2030 unconditional NDCs]]))</f>
        <v/>
      </c>
      <c r="AX112" s="74" t="str">
        <f>IF(Table12[[#This Row],[2030 unconditional NDCs2]]="","",IF(F112="incl",Table12[[#This Row],[2030 unconditional NDCs2]]-Table12[[#This Row],[LULUCF NDC uncond]],Table12[[#This Row],[2030 unconditional NDCs2]]))</f>
        <v/>
      </c>
      <c r="AY112" s="74">
        <f>IF(Table12[[#This Row],[2030 conditional NDCs]]="","",IF(F112="incl",Table12[[#This Row],[2030 conditional NDCs]]-Table12[[#This Row],[LULUCF NDC cond]],Table12[[#This Row],[2030 conditional NDCs]]))</f>
        <v>125.24</v>
      </c>
      <c r="AZ112" s="74">
        <f>IF(Table12[[#This Row],[2030 conditional NDCs2]]="","",IF(F112="incl",Table12[[#This Row],[2030 conditional NDCs2]]-Table12[[#This Row],[LULUCF NDC cond]],Table12[[#This Row],[2030 conditional NDCs2]]))</f>
        <v>125.24</v>
      </c>
      <c r="BA112" s="8">
        <f>VLOOKUP($G112,'Population90 20'!$C$6:$AU$231,37,FALSE)</f>
        <v>56215221</v>
      </c>
      <c r="BB112" s="8">
        <f>VLOOKUP($G112,'Overview GDP (PPP)'!$C$6:$AI$231,33,FALSE)</f>
        <v>158128316.49614143</v>
      </c>
      <c r="BC112" s="36">
        <f>Table12[[#This Row],[Income]]/Table12[[#This Row],[Population]]</f>
        <v>2.8129092740939581</v>
      </c>
      <c r="BD112" s="36">
        <f>Table12[[#This Row],[GHG emissions excl LULUCF]]*1000000/Table12[[#This Row],[Population]]</f>
        <v>1.5167694706741439</v>
      </c>
      <c r="BE112" s="23" t="e">
        <f>VLOOKUP($G112,EGR2023_MASTER!$B$4:$S$38,14,FALSE)</f>
        <v>#N/A</v>
      </c>
      <c r="BF112" s="23" t="e">
        <f>VLOOKUP($G112,EGR2023_MASTER!$B$4:$S$38,15,FALSE)</f>
        <v>#N/A</v>
      </c>
      <c r="BG112" s="23" t="e">
        <f>VLOOKUP($G112,EGR2023_MASTER!$B$4:$S$38,16,FALSE)</f>
        <v>#N/A</v>
      </c>
      <c r="BH112" s="23" t="e">
        <f t="shared" si="19"/>
        <v>#N/A</v>
      </c>
      <c r="BI112" s="23" t="e">
        <f t="shared" si="20"/>
        <v>#N/A</v>
      </c>
      <c r="BJ112" s="552">
        <f>(Table12[[#This Row],[Current Policies 2030 excl LULUCF]]/Table12[[#This Row],[GHG emissions excl LULUCF]])^(1/(2030-2021))-1</f>
        <v>9.0149526679787373E-2</v>
      </c>
      <c r="BK112" s="552" t="str">
        <f>IF(Table12[[#This Row],[Net-zero target status]]&lt;=1,"",IF(Table12[[#This Row],[NZ GHG year]]="","",((MAX(Table12[[#This Row],[residual LULUCF emissions in 2050]],0.1)/Table12[[#This Row],[Current Policies 2030 excl LULUCF]])^(1/(Table12[[#This Row],[NZ GHG year]]-2021))-1)))</f>
        <v/>
      </c>
      <c r="BL112" s="552" t="str">
        <f>IF(Table12[[#This Row],[Net-zero target status]]&lt;=1,"",IF(Table12[[#This Row],[NZ GHG year]]="","",((MAX(Table12[[#This Row],[residual LULUCF emissions in 2050]],0.1)/Table12[[#This Row],[GHG emissions excl LULUCF]])^(1/(Table12[[#This Row],[NZ GHG year]]-2021))-1)))</f>
        <v/>
      </c>
      <c r="BM112" s="552" t="str">
        <f>IF(Table12[[#This Row],[Net-zero target status]]&lt;=1,"",IF(Table12[[#This Row],[NZ GHG year]]="","",((MAX(Table12[[#This Row],[residual LULUCF emissions in 2050]],0.1)/AVERAGE(Table12[[#This Row],[2030 conditional NDCs]:[2030 conditional NDCs2]]))^(1/(Table12[[#This Row],[NZ GHG year]]-2021))-1)))</f>
        <v/>
      </c>
      <c r="BN112" s="23"/>
      <c r="BO112" s="23"/>
      <c r="BP112" s="23"/>
      <c r="BQ112" s="23"/>
      <c r="BR112" s="50" t="s">
        <v>253</v>
      </c>
      <c r="BT112" s="30" t="str">
        <f>IF(Table12[[#This Row],[Reduction rate 2021 to NZ target2]]="","",J112*(1+AN112)^(Table12[[#This Row],[NZ GHG year]]-2021))</f>
        <v/>
      </c>
    </row>
    <row r="113" spans="1:72" ht="15" x14ac:dyDescent="0.25">
      <c r="A113">
        <v>0</v>
      </c>
      <c r="B113">
        <v>0</v>
      </c>
      <c r="C113">
        <v>296</v>
      </c>
      <c r="D113">
        <v>76</v>
      </c>
      <c r="E113">
        <v>24</v>
      </c>
      <c r="F113" t="str">
        <f>'input site'!M113</f>
        <v>excl</v>
      </c>
      <c r="G113" s="31" t="s">
        <v>254</v>
      </c>
      <c r="H113" s="1" t="s">
        <v>255</v>
      </c>
      <c r="I113" s="8">
        <f>VLOOKUP($G113,'NZT data'!$B$3:$C$200,2,FALSE)</f>
        <v>1</v>
      </c>
      <c r="J113" s="32">
        <f>'input site'!AS113</f>
        <v>0.10605450000000001</v>
      </c>
      <c r="K113" s="32">
        <f>'input site'!BS113</f>
        <v>0.11117996870011101</v>
      </c>
      <c r="L113" s="32">
        <f t="shared" si="21"/>
        <v>0</v>
      </c>
      <c r="M113" s="32">
        <f t="shared" si="22"/>
        <v>0</v>
      </c>
      <c r="N113" s="32">
        <f>'input site'!EV113</f>
        <v>3.8411106262530206E-2</v>
      </c>
      <c r="O113" s="8">
        <v>0</v>
      </c>
      <c r="P113" s="36">
        <f>O113-N113</f>
        <v>-3.8411106262530206E-2</v>
      </c>
      <c r="Q113" s="32">
        <f t="shared" si="23"/>
        <v>0</v>
      </c>
      <c r="R113" s="32">
        <f>'input site'!EZ113</f>
        <v>1.6615249499694739E-2</v>
      </c>
      <c r="S113" s="37">
        <f>'input site'!FA113</f>
        <v>2050</v>
      </c>
      <c r="T113" s="37" t="str">
        <f>Table12[[#This Row],[(Mt CO2 equivalent)]]</f>
        <v>Kiribati</v>
      </c>
      <c r="U113" s="8">
        <f>VLOOKUP($G113,'NZT data'!$B$3:$F$200,4,FALSE)</f>
        <v>2110</v>
      </c>
      <c r="V113" s="32">
        <f>VLOOKUP($G113,'NZT data'!$B$3:$F$200,5,FALSE)</f>
        <v>2125</v>
      </c>
      <c r="W113" s="32">
        <f>-IF('LUC NGHGI'!EC103="",MIN('LUC NGHGI'!DW103,0.1),MIN('LUC NGHGI'!EC103,0.1))</f>
        <v>0</v>
      </c>
      <c r="X113" s="32">
        <f>'LUC NGHGI'!EC103</f>
        <v>0</v>
      </c>
      <c r="Y113" s="32" t="str">
        <f>'LUC NGHGI'!DY103</f>
        <v/>
      </c>
      <c r="Z113" s="32" t="str">
        <f>'LUC NGHGI'!DZ103</f>
        <v/>
      </c>
      <c r="AA113" s="32">
        <f>Table12[[#This Row],[2021 emissions]]</f>
        <v>0.10605450000000001</v>
      </c>
      <c r="AB113" s="32">
        <f>'LUC NGHGI'!DW103</f>
        <v>0</v>
      </c>
      <c r="AC113" s="32">
        <f>IF(F113="incl",Table12[[#This Row],[GHG emissions incl LULUCF]]-Table12[[#This Row],[LULUCF emis-sions in 20213]],Table12[[#This Row],[GHG emissions incl LULUCF]])</f>
        <v>0.10605450000000001</v>
      </c>
      <c r="AD113" s="32">
        <f>'input site'!BS113</f>
        <v>0.11117996870011101</v>
      </c>
      <c r="AE113" s="32">
        <f>'LUC NGHGI'!EH103</f>
        <v>0</v>
      </c>
      <c r="AF113" s="32">
        <f>IF(F113="incl",Table12[[#This Row],[Current Policies 2030 incl LULUCF]]-Table12[[#This Row],[LULUCF CurPol 2030]],Table12[[#This Row],[Current Policies 2030 incl LULUCF]])</f>
        <v>0.11117996870011101</v>
      </c>
      <c r="AG113" s="32" t="str">
        <f>IF(Table12[[#This Row],[Net-zero target status]]&lt;=1,"",IF(Table12[[#This Row],[NZ GHG year]]="","",1000000000*(Table12[[#This Row],[residual LULUCF emissions in 2050]]-Table12[[#This Row],[GHG emissions excl LULUCF]])/(Table12[[#This Row],[NZ GHG year]]-2021)/Table12[[#This Row],[Population]]))</f>
        <v/>
      </c>
      <c r="AH113" s="32" t="str">
        <f>IF(Table12[[#This Row],[Peak revised]]="Yes",IF(Table12[[#This Row],[Net-zero target status]]&lt;=1,"",IF(Table12[[#This Row],[NZ GHG year]]="","",1000000000*(Table12[[#This Row],[residual LULUCF emissions in 2050]]-Table12[[#This Row],[GHG emissions excl LULUCF]])/(Table12[[#This Row],[NZ GHG year]]-2021)/Table12[[#This Row],[Population]])),"")</f>
        <v/>
      </c>
      <c r="AI113" s="32">
        <f>MAX(0,(1000000*(Table12[[#This Row],[Current Policies 2030 excl LULUCF]]/2+Table12[[#This Row],[GHG emissions excl LULUCF]]/2)/Table12[[#This Row],[Population]]-$AI$8)*10)*$AI$10</f>
        <v>0</v>
      </c>
      <c r="AJ11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3" s="32" t="str">
        <f>IF(Table12[[#This Row],[Formule no Peak (2)]]="","",Table12[[#This Row],[Penalty (1)]]+Table12[[#This Row],[Formule no Peak (2)]])</f>
        <v/>
      </c>
      <c r="AL113" s="313">
        <f>(Table12[[#This Row],[Current Policies 2030 excl LULUCF]]-Table12[[#This Row],[GHG emissions excl LULUCF]])/(2030-2021)/Table12[[#This Row],[GHG emissions excl LULUCF]]</f>
        <v>5.3698477880198964E-3</v>
      </c>
      <c r="AM113" s="313" t="str">
        <f>IF(Table12[[#This Row],[Net-zero target status]]&lt;=1,"",IF(Table12[[#This Row],[NZ GHG year]]="","",(Table12[[#This Row],[residual LULUCF emissions in 2050]]-Table12[[#This Row],[Current Policies 2030 excl LULUCF]])/(Table12[[#This Row],[NZ GHG year]]-2030)/Table12[[#This Row],[Current Policies 2030 excl LULUCF]]))</f>
        <v/>
      </c>
      <c r="AN113" s="313" t="str">
        <f>IF(Table12[[#This Row],[Net-zero target status]]&lt;=1,"",IF(Table12[[#This Row],[NZ GHG year]]="","",(Table12[[#This Row],[residual LULUCF emissions in 2050]]-Table12[[#This Row],[GHG emissions excl LULUCF]])/(Table12[[#This Row],[NZ GHG year]]-2021)/Table12[[#This Row],[GHG emissions excl LULUCF]]))</f>
        <v/>
      </c>
      <c r="AO113" s="313" t="str">
        <f>IF(Table12[[#This Row],[Net-zero target status]]&lt;=1,"",IF(Table12[[#This Row],[NZ GHG year]]="","",(Table12[[#This Row],[residual LULUCF emissions in 2050]]-Table12[[#This Row],[2030 conditional NDCs]])/(Table12[[#This Row],[NZ GHG year]]-2030)/Table12[[#This Row],[2030 conditional NDCs]]))</f>
        <v/>
      </c>
      <c r="AP113" s="96">
        <f>MAX('input site'!AH113:AS113)</f>
        <v>0.10605450000000001</v>
      </c>
      <c r="AQ113" s="95" t="str">
        <f>IF(Table12[[#This Row],[Current Policies 2030 incl LULUCF]]&gt;Table12[[#This Row],[Maximum inventory data]],"No","Yes")</f>
        <v>No</v>
      </c>
      <c r="AR113" s="34" t="str">
        <f>IF(Table12[[#This Row],[Net-zero target status]]&gt;=1.5,Table12[[#This Row],[residual LULUCF emissions in 2050]]/Table12[[#This Row],[GHG emissions excl LULUCF]],"")</f>
        <v/>
      </c>
      <c r="AS113" s="74">
        <f>'input site'!BE113</f>
        <v>0.10464</v>
      </c>
      <c r="AT113" s="74">
        <f>'input site'!BF113</f>
        <v>0.10464</v>
      </c>
      <c r="AU113" s="74">
        <f>'input site'!BG113</f>
        <v>4.5839999999999999E-2</v>
      </c>
      <c r="AV113" s="75">
        <f>'input site'!BH113</f>
        <v>4.5839999999999999E-2</v>
      </c>
      <c r="AW113" s="74">
        <f>IF(Table12[[#This Row],[2030 unconditional NDCs]]="","",IF(F113="incl",Table12[[#This Row],[2030 unconditional NDCs]]-Table12[[#This Row],[LULUCF NDC uncond]],Table12[[#This Row],[2030 unconditional NDCs]]))</f>
        <v>0.10464</v>
      </c>
      <c r="AX113" s="74">
        <f>IF(Table12[[#This Row],[2030 unconditional NDCs2]]="","",IF(F113="incl",Table12[[#This Row],[2030 unconditional NDCs2]]-Table12[[#This Row],[LULUCF NDC uncond]],Table12[[#This Row],[2030 unconditional NDCs2]]))</f>
        <v>0.10464</v>
      </c>
      <c r="AY113" s="74">
        <f>IF(Table12[[#This Row],[2030 conditional NDCs]]="","",IF(F113="incl",Table12[[#This Row],[2030 conditional NDCs]]-Table12[[#This Row],[LULUCF NDC cond]],Table12[[#This Row],[2030 conditional NDCs]]))</f>
        <v>4.5839999999999999E-2</v>
      </c>
      <c r="AZ113" s="74">
        <f>IF(Table12[[#This Row],[2030 conditional NDCs2]]="","",IF(F113="incl",Table12[[#This Row],[2030 conditional NDCs2]]-Table12[[#This Row],[LULUCF NDC cond]],Table12[[#This Row],[2030 conditional NDCs2]]))</f>
        <v>4.5839999999999999E-2</v>
      </c>
      <c r="BA113" s="8">
        <f>VLOOKUP($G113,'Population90 20'!$C$6:$AU$231,37,FALSE)</f>
        <v>123419</v>
      </c>
      <c r="BB113" s="8">
        <f>VLOOKUP($G113,'Overview GDP (PPP)'!$C$6:$AI$231,33,FALSE)</f>
        <v>235800.74459327478</v>
      </c>
      <c r="BC113" s="36">
        <f>Table12[[#This Row],[Income]]/Table12[[#This Row],[Population]]</f>
        <v>1.9105708569448365</v>
      </c>
      <c r="BD113" s="36">
        <f>Table12[[#This Row],[GHG emissions excl LULUCF]]*1000000/Table12[[#This Row],[Population]]</f>
        <v>0.85930448310227769</v>
      </c>
      <c r="BE113" s="23" t="e">
        <f>VLOOKUP($G113,EGR2023_MASTER!$B$4:$S$38,14,FALSE)</f>
        <v>#N/A</v>
      </c>
      <c r="BF113" s="23" t="e">
        <f>VLOOKUP($G113,EGR2023_MASTER!$B$4:$S$38,15,FALSE)</f>
        <v>#N/A</v>
      </c>
      <c r="BG113" s="23" t="e">
        <f>VLOOKUP($G113,EGR2023_MASTER!$B$4:$S$38,16,FALSE)</f>
        <v>#N/A</v>
      </c>
      <c r="BH113" s="23" t="e">
        <f t="shared" si="19"/>
        <v>#N/A</v>
      </c>
      <c r="BI113" s="23" t="e">
        <f t="shared" si="20"/>
        <v>#N/A</v>
      </c>
      <c r="BJ113" s="552">
        <f>(Table12[[#This Row],[Current Policies 2030 excl LULUCF]]/Table12[[#This Row],[GHG emissions excl LULUCF]])^(1/(2030-2021))-1</f>
        <v>5.2578983828655002E-3</v>
      </c>
      <c r="BK113" s="552" t="str">
        <f>IF(Table12[[#This Row],[Net-zero target status]]&lt;=1,"",IF(Table12[[#This Row],[NZ GHG year]]="","",((MAX(Table12[[#This Row],[residual LULUCF emissions in 2050]],0.1)/Table12[[#This Row],[Current Policies 2030 excl LULUCF]])^(1/(Table12[[#This Row],[NZ GHG year]]-2021))-1)))</f>
        <v/>
      </c>
      <c r="BL113" s="552" t="str">
        <f>IF(Table12[[#This Row],[Net-zero target status]]&lt;=1,"",IF(Table12[[#This Row],[NZ GHG year]]="","",((MAX(Table12[[#This Row],[residual LULUCF emissions in 2050]],0.1)/Table12[[#This Row],[GHG emissions excl LULUCF]])^(1/(Table12[[#This Row],[NZ GHG year]]-2021))-1)))</f>
        <v/>
      </c>
      <c r="BM113" s="552" t="str">
        <f>IF(Table12[[#This Row],[Net-zero target status]]&lt;=1,"",IF(Table12[[#This Row],[NZ GHG year]]="","",((MAX(Table12[[#This Row],[residual LULUCF emissions in 2050]],0.1)/AVERAGE(Table12[[#This Row],[2030 conditional NDCs]:[2030 conditional NDCs2]]))^(1/(Table12[[#This Row],[NZ GHG year]]-2021))-1)))</f>
        <v/>
      </c>
      <c r="BN113" s="23"/>
      <c r="BO113" s="23"/>
      <c r="BP113" s="23"/>
      <c r="BQ113" s="23"/>
      <c r="BR113" s="50" t="s">
        <v>255</v>
      </c>
      <c r="BT113" s="30" t="str">
        <f>IF(Table12[[#This Row],[Reduction rate 2021 to NZ target2]]="","",J113*(1+AN113)^(Table12[[#This Row],[NZ GHG year]]-2021))</f>
        <v/>
      </c>
    </row>
    <row r="114" spans="1:72" ht="15" x14ac:dyDescent="0.25">
      <c r="A114">
        <v>0</v>
      </c>
      <c r="B114">
        <v>0</v>
      </c>
      <c r="C114">
        <v>408</v>
      </c>
      <c r="D114">
        <v>103</v>
      </c>
      <c r="E114">
        <v>19</v>
      </c>
      <c r="F114" t="str">
        <f>'input site'!M114</f>
        <v>incl</v>
      </c>
      <c r="G114" s="31" t="s">
        <v>256</v>
      </c>
      <c r="H114" s="1" t="s">
        <v>257</v>
      </c>
      <c r="I114" s="8">
        <f>VLOOKUP($G114,'NZT data'!$B$3:$C$200,2,FALSE)</f>
        <v>0</v>
      </c>
      <c r="J114" s="32">
        <f>'input site'!AS114</f>
        <v>28.155086150183244</v>
      </c>
      <c r="K114" s="32">
        <f>'input site'!BS114</f>
        <v>20.019937680039099</v>
      </c>
      <c r="L114" s="32">
        <f t="shared" si="21"/>
        <v>20.019937680039099</v>
      </c>
      <c r="M114" s="32">
        <f t="shared" si="22"/>
        <v>4.6218283875130268</v>
      </c>
      <c r="N114" s="32">
        <f>'input site'!EV114</f>
        <v>4.6218283875130268</v>
      </c>
      <c r="O114" s="8"/>
      <c r="P114" s="8"/>
      <c r="Q114" s="32">
        <f t="shared" si="23"/>
        <v>0.60518191378076935</v>
      </c>
      <c r="R114" s="32">
        <f>'input site'!EZ114</f>
        <v>0.60518191378076935</v>
      </c>
      <c r="S114" s="37">
        <f>'input site'!FA114</f>
        <v>0</v>
      </c>
      <c r="T114" s="37" t="str">
        <f>Table12[[#This Row],[(Mt CO2 equivalent)]]</f>
        <v>North Korea</v>
      </c>
      <c r="U114" s="8">
        <f>VLOOKUP($G114,'NZT data'!$B$3:$F$200,4,FALSE)</f>
        <v>2110</v>
      </c>
      <c r="V114" s="32" t="str">
        <f>VLOOKUP($G114,'NZT data'!$B$3:$F$200,5,FALSE)</f>
        <v/>
      </c>
      <c r="W114" s="32">
        <f>-IF('LUC NGHGI'!EC104="",MIN('LUC NGHGI'!DW104,0.1),MIN('LUC NGHGI'!EC104,0.1))</f>
        <v>22.781478021977932</v>
      </c>
      <c r="X114" s="32">
        <f>'LUC NGHGI'!EC104</f>
        <v>-22.781478021977932</v>
      </c>
      <c r="Y114" s="32">
        <f>'LUC NGHGI'!DY104</f>
        <v>-22.781478021977932</v>
      </c>
      <c r="Z114" s="32">
        <f>'LUC NGHGI'!DZ104</f>
        <v>-22.781478021977932</v>
      </c>
      <c r="AA114" s="32">
        <f>Table12[[#This Row],[2021 emissions]]</f>
        <v>28.155086150183244</v>
      </c>
      <c r="AB114" s="32">
        <f>'LUC NGHGI'!DW104</f>
        <v>-23.112066849816756</v>
      </c>
      <c r="AC114" s="32">
        <f>IF(F114="incl",Table12[[#This Row],[GHG emissions incl LULUCF]]-Table12[[#This Row],[LULUCF emis-sions in 20213]],Table12[[#This Row],[GHG emissions incl LULUCF]])</f>
        <v>51.267153</v>
      </c>
      <c r="AD114" s="32">
        <f>'input site'!BS114</f>
        <v>20.019937680039099</v>
      </c>
      <c r="AE114" s="32">
        <f>'LUC NGHGI'!EH104</f>
        <v>-37.204466380888157</v>
      </c>
      <c r="AF114" s="32">
        <f>IF(F114="incl",Table12[[#This Row],[Current Policies 2030 incl LULUCF]]-Table12[[#This Row],[LULUCF CurPol 2030]],Table12[[#This Row],[Current Policies 2030 incl LULUCF]])</f>
        <v>57.224404060927256</v>
      </c>
      <c r="AG114" s="32" t="str">
        <f>IF(Table12[[#This Row],[Net-zero target status]]&lt;=1,"",IF(Table12[[#This Row],[NZ GHG year]]="","",1000000000*(Table12[[#This Row],[residual LULUCF emissions in 2050]]-Table12[[#This Row],[GHG emissions excl LULUCF]])/(Table12[[#This Row],[NZ GHG year]]-2021)/Table12[[#This Row],[Population]]))</f>
        <v/>
      </c>
      <c r="AH114" s="32" t="str">
        <f>IF(Table12[[#This Row],[Peak revised]]="Yes",IF(Table12[[#This Row],[Net-zero target status]]&lt;=1,"",IF(Table12[[#This Row],[NZ GHG year]]="","",1000000000*(Table12[[#This Row],[residual LULUCF emissions in 2050]]-Table12[[#This Row],[GHG emissions excl LULUCF]])/(Table12[[#This Row],[NZ GHG year]]-2021)/Table12[[#This Row],[Population]])),"")</f>
        <v/>
      </c>
      <c r="AI114" s="32">
        <f>MAX(0,(1000000*(Table12[[#This Row],[Current Policies 2030 excl LULUCF]]/2+Table12[[#This Row],[GHG emissions excl LULUCF]]/2)/Table12[[#This Row],[Population]]-$AI$8)*10)*$AI$10</f>
        <v>0</v>
      </c>
      <c r="AJ11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4" s="32" t="str">
        <f>IF(Table12[[#This Row],[Formule no Peak (2)]]="","",Table12[[#This Row],[Penalty (1)]]+Table12[[#This Row],[Formule no Peak (2)]])</f>
        <v/>
      </c>
      <c r="AL114" s="313">
        <f>(Table12[[#This Row],[Current Policies 2030 excl LULUCF]]-Table12[[#This Row],[GHG emissions excl LULUCF]])/(2030-2021)/Table12[[#This Row],[GHG emissions excl LULUCF]]</f>
        <v>1.2911128194449823E-2</v>
      </c>
      <c r="AM114" s="313" t="str">
        <f>IF(Table12[[#This Row],[Net-zero target status]]&lt;=1,"",IF(Table12[[#This Row],[NZ GHG year]]="","",(Table12[[#This Row],[residual LULUCF emissions in 2050]]-Table12[[#This Row],[Current Policies 2030 excl LULUCF]])/(Table12[[#This Row],[NZ GHG year]]-2030)/Table12[[#This Row],[Current Policies 2030 excl LULUCF]]))</f>
        <v/>
      </c>
      <c r="AN114" s="313" t="str">
        <f>IF(Table12[[#This Row],[Net-zero target status]]&lt;=1,"",IF(Table12[[#This Row],[NZ GHG year]]="","",(Table12[[#This Row],[residual LULUCF emissions in 2050]]-Table12[[#This Row],[GHG emissions excl LULUCF]])/(Table12[[#This Row],[NZ GHG year]]-2021)/Table12[[#This Row],[GHG emissions excl LULUCF]]))</f>
        <v/>
      </c>
      <c r="AO114" s="313" t="str">
        <f>IF(Table12[[#This Row],[Net-zero target status]]&lt;=1,"",IF(Table12[[#This Row],[NZ GHG year]]="","",(Table12[[#This Row],[residual LULUCF emissions in 2050]]-Table12[[#This Row],[2030 conditional NDCs]])/(Table12[[#This Row],[NZ GHG year]]-2030)/Table12[[#This Row],[2030 conditional NDCs]]))</f>
        <v/>
      </c>
      <c r="AP114" s="96">
        <f>MAX('input site'!AH114:AS114)</f>
        <v>52.086628256410307</v>
      </c>
      <c r="AQ114" s="95" t="str">
        <f>IF(Table12[[#This Row],[Current Policies 2030 incl LULUCF]]&gt;Table12[[#This Row],[Maximum inventory data]],"No","Yes")</f>
        <v>Yes</v>
      </c>
      <c r="AR114" s="34" t="str">
        <f>IF(Table12[[#This Row],[Net-zero target status]]&gt;=1.5,Table12[[#This Row],[residual LULUCF emissions in 2050]]/Table12[[#This Row],[GHG emissions excl LULUCF]],"")</f>
        <v/>
      </c>
      <c r="AS114" s="76">
        <f>'input site'!BE114</f>
        <v>157.16800000000001</v>
      </c>
      <c r="AT114" s="76">
        <f>'input site'!BF114</f>
        <v>157.16800000000001</v>
      </c>
      <c r="AU114" s="76">
        <f>'input site'!BG114</f>
        <v>90.24</v>
      </c>
      <c r="AV114" s="77">
        <f>'input site'!BH114</f>
        <v>90.24</v>
      </c>
      <c r="AW114" s="74">
        <f>IF(Table12[[#This Row],[2030 unconditional NDCs]]="","",IF(F114="incl",Table12[[#This Row],[2030 unconditional NDCs]]-Table12[[#This Row],[LULUCF NDC uncond]],Table12[[#This Row],[2030 unconditional NDCs]]))</f>
        <v>179.94947802197794</v>
      </c>
      <c r="AX114" s="74">
        <f>IF(Table12[[#This Row],[2030 unconditional NDCs2]]="","",IF(F114="incl",Table12[[#This Row],[2030 unconditional NDCs2]]-Table12[[#This Row],[LULUCF NDC uncond]],Table12[[#This Row],[2030 unconditional NDCs2]]))</f>
        <v>179.94947802197794</v>
      </c>
      <c r="AY114" s="74">
        <f>IF(Table12[[#This Row],[2030 conditional NDCs]]="","",IF(F114="incl",Table12[[#This Row],[2030 conditional NDCs]]-Table12[[#This Row],[LULUCF NDC cond]],Table12[[#This Row],[2030 conditional NDCs]]))</f>
        <v>113.02147802197793</v>
      </c>
      <c r="AZ114" s="74">
        <f>IF(Table12[[#This Row],[2030 conditional NDCs2]]="","",IF(F114="incl",Table12[[#This Row],[2030 conditional NDCs2]]-Table12[[#This Row],[LULUCF NDC cond]],Table12[[#This Row],[2030 conditional NDCs2]]))</f>
        <v>113.02147802197793</v>
      </c>
      <c r="BA114" s="8">
        <f>VLOOKUP($G114,'Population90 20'!$C$6:$AU$231,37,FALSE)</f>
        <v>25990679</v>
      </c>
      <c r="BB114" s="8">
        <f>VLOOKUP($G114,'Overview GDP (PPP)'!$C$6:$AI$231,33,FALSE)</f>
        <v>116583603.06679963</v>
      </c>
      <c r="BC114" s="36">
        <f>Table12[[#This Row],[Income]]/Table12[[#This Row],[Population]]</f>
        <v>4.4855928183638305</v>
      </c>
      <c r="BD114" s="36">
        <f>Table12[[#This Row],[GHG emissions excl LULUCF]]*1000000/Table12[[#This Row],[Population]]</f>
        <v>1.9725207256032056</v>
      </c>
      <c r="BE114" s="23" t="e">
        <f>VLOOKUP($G114,EGR2023_MASTER!$B$4:$S$38,14,FALSE)</f>
        <v>#N/A</v>
      </c>
      <c r="BF114" s="23" t="e">
        <f>VLOOKUP($G114,EGR2023_MASTER!$B$4:$S$38,15,FALSE)</f>
        <v>#N/A</v>
      </c>
      <c r="BG114" s="23" t="e">
        <f>VLOOKUP($G114,EGR2023_MASTER!$B$4:$S$38,16,FALSE)</f>
        <v>#N/A</v>
      </c>
      <c r="BH114" s="23" t="e">
        <f t="shared" si="19"/>
        <v>#N/A</v>
      </c>
      <c r="BI114" s="23" t="e">
        <f t="shared" si="20"/>
        <v>#N/A</v>
      </c>
      <c r="BJ114" s="552">
        <f>(Table12[[#This Row],[Current Policies 2030 excl LULUCF]]/Table12[[#This Row],[GHG emissions excl LULUCF]])^(1/(2030-2021))-1</f>
        <v>1.2289367589232603E-2</v>
      </c>
      <c r="BK114" s="552" t="str">
        <f>IF(Table12[[#This Row],[Net-zero target status]]&lt;=1,"",IF(Table12[[#This Row],[NZ GHG year]]="","",((MAX(Table12[[#This Row],[residual LULUCF emissions in 2050]],0.1)/Table12[[#This Row],[Current Policies 2030 excl LULUCF]])^(1/(Table12[[#This Row],[NZ GHG year]]-2021))-1)))</f>
        <v/>
      </c>
      <c r="BL114" s="552" t="str">
        <f>IF(Table12[[#This Row],[Net-zero target status]]&lt;=1,"",IF(Table12[[#This Row],[NZ GHG year]]="","",((MAX(Table12[[#This Row],[residual LULUCF emissions in 2050]],0.1)/Table12[[#This Row],[GHG emissions excl LULUCF]])^(1/(Table12[[#This Row],[NZ GHG year]]-2021))-1)))</f>
        <v/>
      </c>
      <c r="BM114" s="552" t="str">
        <f>IF(Table12[[#This Row],[Net-zero target status]]&lt;=1,"",IF(Table12[[#This Row],[NZ GHG year]]="","",((MAX(Table12[[#This Row],[residual LULUCF emissions in 2050]],0.1)/AVERAGE(Table12[[#This Row],[2030 conditional NDCs]:[2030 conditional NDCs2]]))^(1/(Table12[[#This Row],[NZ GHG year]]-2021))-1)))</f>
        <v/>
      </c>
      <c r="BN114" s="23"/>
      <c r="BO114" s="23"/>
      <c r="BP114" s="23"/>
      <c r="BQ114" s="23"/>
      <c r="BR114" s="50" t="s">
        <v>257</v>
      </c>
      <c r="BT114" s="30" t="str">
        <f>IF(Table12[[#This Row],[Reduction rate 2021 to NZ target2]]="","",J114*(1+AN114)^(Table12[[#This Row],[NZ GHG year]]-2021))</f>
        <v/>
      </c>
    </row>
    <row r="115" spans="1:72" ht="15" x14ac:dyDescent="0.25">
      <c r="A115">
        <v>1</v>
      </c>
      <c r="B115">
        <v>1</v>
      </c>
      <c r="C115">
        <v>410</v>
      </c>
      <c r="D115">
        <v>104</v>
      </c>
      <c r="E115">
        <v>19</v>
      </c>
      <c r="F115" t="str">
        <f>'input site'!M115</f>
        <v>incl</v>
      </c>
      <c r="G115" s="31" t="s">
        <v>258</v>
      </c>
      <c r="H115" s="1" t="s">
        <v>259</v>
      </c>
      <c r="I115" s="8">
        <f>VLOOKUP($G115,'NZT data'!$B$3:$C$200,2,FALSE)</f>
        <v>4</v>
      </c>
      <c r="J115" s="32">
        <f>'input site'!AS115</f>
        <v>642.91492472999903</v>
      </c>
      <c r="K115" s="32">
        <f>'input site'!BS115</f>
        <v>417.40889260295597</v>
      </c>
      <c r="L115" s="32">
        <f t="shared" si="21"/>
        <v>0</v>
      </c>
      <c r="M115" s="32">
        <f t="shared" si="22"/>
        <v>0</v>
      </c>
      <c r="N115" s="32">
        <f>'input site'!EV115</f>
        <v>134.78948976479214</v>
      </c>
      <c r="O115" s="8">
        <v>0</v>
      </c>
      <c r="P115" s="36">
        <f>O115-N115</f>
        <v>-134.78948976479214</v>
      </c>
      <c r="Q115" s="32">
        <f t="shared" si="23"/>
        <v>0</v>
      </c>
      <c r="R115" s="32">
        <f>'input site'!EZ115</f>
        <v>17.64932717834721</v>
      </c>
      <c r="S115" s="37">
        <f>'input site'!FA115</f>
        <v>2050</v>
      </c>
      <c r="T115" s="37" t="str">
        <f>Table12[[#This Row],[(Mt CO2 equivalent)]]</f>
        <v>South Korea</v>
      </c>
      <c r="U115" s="8">
        <f>VLOOKUP($G115,'NZT data'!$B$3:$F$200,4,FALSE)</f>
        <v>2050</v>
      </c>
      <c r="V115" s="32">
        <f>VLOOKUP($G115,'NZT data'!$B$3:$F$200,5,FALSE)</f>
        <v>2050</v>
      </c>
      <c r="W115" s="32">
        <f>-IF('LUC NGHGI'!EC105="",MIN('LUC NGHGI'!DW105,0.1),MIN('LUC NGHGI'!EC105,0.1))</f>
        <v>26.7</v>
      </c>
      <c r="X115" s="32">
        <f>'LUC NGHGI'!EC105</f>
        <v>-26.7</v>
      </c>
      <c r="Y115" s="32">
        <f>'LUC NGHGI'!DY105</f>
        <v>-26.7</v>
      </c>
      <c r="Z115" s="32">
        <f>'LUC NGHGI'!DZ105</f>
        <v>-26.7</v>
      </c>
      <c r="AA115" s="32">
        <f>Table12[[#This Row],[2021 emissions]]</f>
        <v>642.91492472999903</v>
      </c>
      <c r="AB115" s="32">
        <f>'LUC NGHGI'!DW105</f>
        <v>-53.070682339901509</v>
      </c>
      <c r="AC115" s="32">
        <f>IF(F115="incl",Table12[[#This Row],[GHG emissions incl LULUCF]]-Table12[[#This Row],[LULUCF emis-sions in 20213]],Table12[[#This Row],[GHG emissions incl LULUCF]])</f>
        <v>695.98560706990054</v>
      </c>
      <c r="AD115" s="32">
        <f>'input site'!BS115</f>
        <v>417.40889260295597</v>
      </c>
      <c r="AE115" s="32">
        <f>'LUC NGHGI'!EH105</f>
        <v>-43.404440270000002</v>
      </c>
      <c r="AF115" s="32">
        <f>IF(F115="incl",Table12[[#This Row],[Current Policies 2030 incl LULUCF]]-Table12[[#This Row],[LULUCF CurPol 2030]],Table12[[#This Row],[Current Policies 2030 incl LULUCF]])</f>
        <v>460.81333287295598</v>
      </c>
      <c r="AG115" s="32">
        <f>IF(Table12[[#This Row],[Net-zero target status]]&lt;=1,"",IF(Table12[[#This Row],[NZ GHG year]]="","",1000000000*(Table12[[#This Row],[residual LULUCF emissions in 2050]]-Table12[[#This Row],[GHG emissions excl LULUCF]])/(Table12[[#This Row],[NZ GHG year]]-2021)/Table12[[#This Row],[Population]]))</f>
        <v>-449.61736700267267</v>
      </c>
      <c r="AH115" s="32">
        <f>IF(Table12[[#This Row],[Peak revised]]="Yes",IF(Table12[[#This Row],[Net-zero target status]]&lt;=1,"",IF(Table12[[#This Row],[NZ GHG year]]="","",1000000000*(Table12[[#This Row],[residual LULUCF emissions in 2050]]-Table12[[#This Row],[GHG emissions excl LULUCF]])/(Table12[[#This Row],[NZ GHG year]]-2021)/Table12[[#This Row],[Population]])),"")</f>
        <v>-449.61736700267267</v>
      </c>
      <c r="AI115" s="32">
        <f>MAX(0,(1000000*(Table12[[#This Row],[Current Policies 2030 excl LULUCF]]/2+Table12[[#This Row],[GHG emissions excl LULUCF]]/2)/Table12[[#This Row],[Population]]-$AI$8)*10)*$AI$10</f>
        <v>-426.82760192344858</v>
      </c>
      <c r="AJ11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5" s="32" t="str">
        <f>IF(Table12[[#This Row],[Formule no Peak (2)]]="","",Table12[[#This Row],[Penalty (1)]]+Table12[[#This Row],[Formule no Peak (2)]])</f>
        <v/>
      </c>
      <c r="AL115" s="313">
        <f>(Table12[[#This Row],[Current Policies 2030 excl LULUCF]]-Table12[[#This Row],[GHG emissions excl LULUCF]])/(2030-2021)/Table12[[#This Row],[GHG emissions excl LULUCF]]</f>
        <v>-3.7544242902605073E-2</v>
      </c>
      <c r="AM115" s="313">
        <f>IF(Table12[[#This Row],[Net-zero target status]]&lt;=1,"",IF(Table12[[#This Row],[NZ GHG year]]="","",(Table12[[#This Row],[residual LULUCF emissions in 2050]]-Table12[[#This Row],[Current Policies 2030 excl LULUCF]])/(Table12[[#This Row],[NZ GHG year]]-2030)/Table12[[#This Row],[Current Policies 2030 excl LULUCF]]))</f>
        <v>-4.7102948407163267E-2</v>
      </c>
      <c r="AN115" s="313">
        <f>IF(Table12[[#This Row],[Net-zero target status]]&lt;=1,"",IF(Table12[[#This Row],[NZ GHG year]]="","",(Table12[[#This Row],[residual LULUCF emissions in 2050]]-Table12[[#This Row],[GHG emissions excl LULUCF]])/(Table12[[#This Row],[NZ GHG year]]-2021)/Table12[[#This Row],[GHG emissions excl LULUCF]]))</f>
        <v>-3.3159901300337129E-2</v>
      </c>
      <c r="AO115" s="313">
        <f>IF(Table12[[#This Row],[Net-zero target status]]&lt;=1,"",IF(Table12[[#This Row],[NZ GHG year]]="","",(Table12[[#This Row],[residual LULUCF emissions in 2050]]-Table12[[#This Row],[2030 conditional NDCs]])/(Table12[[#This Row],[NZ GHG year]]-2030)/Table12[[#This Row],[2030 conditional NDCs]]))</f>
        <v>-4.6942001099505228E-2</v>
      </c>
      <c r="AP115" s="96">
        <f>MAX('input site'!AH115:AS115)</f>
        <v>692.14052632999994</v>
      </c>
      <c r="AQ115" s="95" t="str">
        <f>IF(Table12[[#This Row],[Current Policies 2030 incl LULUCF]]&gt;Table12[[#This Row],[Maximum inventory data]],"No","Yes")</f>
        <v>Yes</v>
      </c>
      <c r="AR115" s="34">
        <f>IF(Table12[[#This Row],[Net-zero target status]]&gt;=1.5,Table12[[#This Row],[residual LULUCF emissions in 2050]]/Table12[[#This Row],[GHG emissions excl LULUCF]],"")</f>
        <v>3.8362862290223218E-2</v>
      </c>
      <c r="AS115" s="88">
        <f>'input site'!BE115</f>
        <v>436.56</v>
      </c>
      <c r="AT115" s="88">
        <f>'input site'!BF115</f>
        <v>436.56</v>
      </c>
      <c r="AU115" s="88">
        <f>'input site'!BG115</f>
        <v>436.56</v>
      </c>
      <c r="AV115" s="89">
        <f>'input site'!BH115</f>
        <v>436.56</v>
      </c>
      <c r="AW115" s="74">
        <f>IF(Table12[[#This Row],[2030 unconditional NDCs]]="","",IF(F115="incl",Table12[[#This Row],[2030 unconditional NDCs]]-Table12[[#This Row],[LULUCF NDC uncond]],Table12[[#This Row],[2030 unconditional NDCs]]))</f>
        <v>463.26</v>
      </c>
      <c r="AX115" s="74">
        <f>IF(Table12[[#This Row],[2030 unconditional NDCs2]]="","",IF(F115="incl",Table12[[#This Row],[2030 unconditional NDCs2]]-Table12[[#This Row],[LULUCF NDC uncond]],Table12[[#This Row],[2030 unconditional NDCs2]]))</f>
        <v>463.26</v>
      </c>
      <c r="AY115" s="74">
        <f>IF(Table12[[#This Row],[2030 conditional NDCs]]="","",IF(F115="incl",Table12[[#This Row],[2030 conditional NDCs]]-Table12[[#This Row],[LULUCF NDC cond]],Table12[[#This Row],[2030 conditional NDCs]]))</f>
        <v>463.26</v>
      </c>
      <c r="AZ115" s="74">
        <f>IF(Table12[[#This Row],[2030 conditional NDCs2]]="","",IF(F115="incl",Table12[[#This Row],[2030 conditional NDCs2]]-Table12[[#This Row],[LULUCF NDC cond]],Table12[[#This Row],[2030 conditional NDCs2]]))</f>
        <v>463.26</v>
      </c>
      <c r="BA115" s="8">
        <f>VLOOKUP($G115,'Population90 20'!$C$6:$AU$231,37,FALSE)</f>
        <v>51329899</v>
      </c>
      <c r="BB115" s="8">
        <f>VLOOKUP($G115,'Overview GDP (PPP)'!$C$6:$AI$231,33,FALSE)</f>
        <v>1898964987.9920409</v>
      </c>
      <c r="BC115" s="36">
        <f>Table12[[#This Row],[Income]]/Table12[[#This Row],[Population]]</f>
        <v>36.995299523033175</v>
      </c>
      <c r="BD115" s="36">
        <f>Table12[[#This Row],[GHG emissions excl LULUCF]]*1000000/Table12[[#This Row],[Population]]</f>
        <v>13.559068313574912</v>
      </c>
      <c r="BE115" s="23" t="str">
        <f>VLOOKUP($G115,EGR2023_MASTER!$B$4:$S$38,14,FALSE)</f>
        <v>Y</v>
      </c>
      <c r="BF115" s="23" t="str">
        <f>VLOOKUP($G115,EGR2023_MASTER!$B$4:$S$38,15,FALSE)</f>
        <v>Credible</v>
      </c>
      <c r="BG115" s="23" t="str">
        <f>VLOOKUP($G115,EGR2023_MASTER!$B$4:$S$38,16,FALSE)</f>
        <v>n</v>
      </c>
      <c r="BH115" s="23" t="str">
        <f t="shared" si="19"/>
        <v>lower</v>
      </c>
      <c r="BI115" s="23" t="str">
        <f t="shared" si="20"/>
        <v>weak</v>
      </c>
      <c r="BJ115" s="552">
        <f>(Table12[[#This Row],[Current Policies 2030 excl LULUCF]]/Table12[[#This Row],[GHG emissions excl LULUCF]])^(1/(2030-2021))-1</f>
        <v>-4.478143820130942E-2</v>
      </c>
      <c r="BK115" s="552">
        <f>IF(Table12[[#This Row],[Net-zero target status]]&lt;=1,"",IF(Table12[[#This Row],[NZ GHG year]]="","",((MAX(Table12[[#This Row],[residual LULUCF emissions in 2050]],0.1)/Table12[[#This Row],[Current Policies 2030 excl LULUCF]])^(1/(Table12[[#This Row],[NZ GHG year]]-2021))-1)))</f>
        <v>-9.354895789620965E-2</v>
      </c>
      <c r="BL115" s="552">
        <f>IF(Table12[[#This Row],[Net-zero target status]]&lt;=1,"",IF(Table12[[#This Row],[NZ GHG year]]="","",((MAX(Table12[[#This Row],[residual LULUCF emissions in 2050]],0.1)/Table12[[#This Row],[GHG emissions excl LULUCF]])^(1/(Table12[[#This Row],[NZ GHG year]]-2021))-1)))</f>
        <v>-0.10634612075524374</v>
      </c>
      <c r="BM115" s="552">
        <f>IF(Table12[[#This Row],[Net-zero target status]]&lt;=1,"",IF(Table12[[#This Row],[NZ GHG year]]="","",((MAX(Table12[[#This Row],[residual LULUCF emissions in 2050]],0.1)/AVERAGE(Table12[[#This Row],[2030 conditional NDCs]:[2030 conditional NDCs2]]))^(1/(Table12[[#This Row],[NZ GHG year]]-2021))-1)))</f>
        <v>-9.1857406078916237E-2</v>
      </c>
      <c r="BN115" s="23"/>
      <c r="BO115" s="23"/>
      <c r="BP115" s="23"/>
      <c r="BQ115" s="23"/>
      <c r="BR115" s="50" t="s">
        <v>259</v>
      </c>
      <c r="BT115" s="30">
        <f>IF(Table12[[#This Row],[Reduction rate 2021 to NZ target2]]="","",J115*(1+AN115)^(Table12[[#This Row],[NZ GHG year]]-2021))</f>
        <v>241.7900774834666</v>
      </c>
    </row>
    <row r="116" spans="1:72" ht="15" x14ac:dyDescent="0.25">
      <c r="A116">
        <v>0</v>
      </c>
      <c r="B116">
        <v>0</v>
      </c>
      <c r="C116">
        <v>414</v>
      </c>
      <c r="D116">
        <v>105</v>
      </c>
      <c r="E116">
        <v>17</v>
      </c>
      <c r="F116" t="str">
        <f>'input site'!M116</f>
        <v>excl</v>
      </c>
      <c r="G116" s="31" t="s">
        <v>260</v>
      </c>
      <c r="H116" s="1" t="s">
        <v>261</v>
      </c>
      <c r="I116" s="8">
        <f>VLOOKUP($G116,'NZT data'!$B$3:$C$200,2,FALSE)</f>
        <v>2</v>
      </c>
      <c r="J116" s="32">
        <f>'input site'!AS116</f>
        <v>97.586861999999996</v>
      </c>
      <c r="K116" s="32">
        <f>'input site'!BS116</f>
        <v>96.901005691846123</v>
      </c>
      <c r="L116" s="32">
        <f t="shared" si="21"/>
        <v>0</v>
      </c>
      <c r="M116" s="32">
        <f t="shared" si="22"/>
        <v>0</v>
      </c>
      <c r="N116" s="32">
        <f>'input site'!EV116</f>
        <v>51.748736529631472</v>
      </c>
      <c r="O116" s="8"/>
      <c r="P116" s="8"/>
      <c r="Q116" s="32">
        <f t="shared" si="23"/>
        <v>0</v>
      </c>
      <c r="R116" s="32">
        <f>'input site'!EZ116</f>
        <v>9.0140601831498994</v>
      </c>
      <c r="S116" s="37">
        <f>'input site'!FA116</f>
        <v>0</v>
      </c>
      <c r="T116" s="37" t="str">
        <f>Table12[[#This Row],[(Mt CO2 equivalent)]]</f>
        <v>Kuwait</v>
      </c>
      <c r="U116" s="8">
        <f>VLOOKUP($G116,'NZT data'!$B$3:$F$200,4,FALSE)</f>
        <v>2060</v>
      </c>
      <c r="V116" s="32">
        <f>VLOOKUP($G116,'NZT data'!$B$3:$F$200,5,FALSE)</f>
        <v>2075</v>
      </c>
      <c r="W116" s="32">
        <f>-IF('LUC NGHGI'!EC106="",MIN('LUC NGHGI'!DW106,0.1),MIN('LUC NGHGI'!EC106,0.1))</f>
        <v>-0.1</v>
      </c>
      <c r="X116" s="32">
        <f>'LUC NGHGI'!EC106</f>
        <v>0.15279527879527866</v>
      </c>
      <c r="Y116" s="32">
        <f>'LUC NGHGI'!DY106</f>
        <v>0.15279527879527866</v>
      </c>
      <c r="Z116" s="32">
        <f>'LUC NGHGI'!DZ106</f>
        <v>0.15279527879527866</v>
      </c>
      <c r="AA116" s="32">
        <f>Table12[[#This Row],[2021 emissions]]</f>
        <v>97.586861999999996</v>
      </c>
      <c r="AB116" s="32">
        <f>'LUC NGHGI'!DW106</f>
        <v>0.15599674399674424</v>
      </c>
      <c r="AC116" s="32">
        <f>IF(F116="incl",Table12[[#This Row],[GHG emissions incl LULUCF]]-Table12[[#This Row],[LULUCF emis-sions in 20213]],Table12[[#This Row],[GHG emissions incl LULUCF]])</f>
        <v>97.586861999999996</v>
      </c>
      <c r="AD116" s="32">
        <f>'input site'!BS116</f>
        <v>96.901005691846123</v>
      </c>
      <c r="AE116" s="32">
        <f>'LUC NGHGI'!EH106</f>
        <v>0.11303739956631363</v>
      </c>
      <c r="AF116" s="32">
        <f>IF(F116="incl",Table12[[#This Row],[Current Policies 2030 incl LULUCF]]-Table12[[#This Row],[LULUCF CurPol 2030]],Table12[[#This Row],[Current Policies 2030 incl LULUCF]])</f>
        <v>96.901005691846123</v>
      </c>
      <c r="AG116" s="32">
        <f>IF(Table12[[#This Row],[Net-zero target status]]&lt;=1,"",IF(Table12[[#This Row],[NZ GHG year]]="","",1000000000*(Table12[[#This Row],[residual LULUCF emissions in 2050]]-Table12[[#This Row],[GHG emissions excl LULUCF]])/(Table12[[#This Row],[NZ GHG year]]-2021)/Table12[[#This Row],[Population]]))</f>
        <v>-412.98660486981169</v>
      </c>
      <c r="AH116" s="32">
        <f>IF(Table12[[#This Row],[Peak revised]]="Yes",IF(Table12[[#This Row],[Net-zero target status]]&lt;=1,"",IF(Table12[[#This Row],[NZ GHG year]]="","",1000000000*(Table12[[#This Row],[residual LULUCF emissions in 2050]]-Table12[[#This Row],[GHG emissions excl LULUCF]])/(Table12[[#This Row],[NZ GHG year]]-2021)/Table12[[#This Row],[Population]])),"")</f>
        <v>-412.98660486981169</v>
      </c>
      <c r="AI116" s="32">
        <f>MAX(0,(1000000*(Table12[[#This Row],[Current Policies 2030 excl LULUCF]]/2+Table12[[#This Row],[GHG emissions excl LULUCF]]/2)/Table12[[#This Row],[Population]]-$AI$8)*10)*$AI$10</f>
        <v>-1520.0159039743403</v>
      </c>
      <c r="AJ11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6" s="32" t="str">
        <f>IF(Table12[[#This Row],[Formule no Peak (2)]]="","",Table12[[#This Row],[Penalty (1)]]+Table12[[#This Row],[Formule no Peak (2)]])</f>
        <v/>
      </c>
      <c r="AL116" s="313">
        <f>(Table12[[#This Row],[Current Policies 2030 excl LULUCF]]-Table12[[#This Row],[GHG emissions excl LULUCF]])/(2030-2021)/Table12[[#This Row],[GHG emissions excl LULUCF]]</f>
        <v>-7.8090692640103015E-4</v>
      </c>
      <c r="AM116" s="313">
        <f>IF(Table12[[#This Row],[Net-zero target status]]&lt;=1,"",IF(Table12[[#This Row],[NZ GHG year]]="","",(Table12[[#This Row],[residual LULUCF emissions in 2050]]-Table12[[#This Row],[Current Policies 2030 excl LULUCF]])/(Table12[[#This Row],[NZ GHG year]]-2030)/Table12[[#This Row],[Current Policies 2030 excl LULUCF]]))</f>
        <v>-2.2245155134077533E-2</v>
      </c>
      <c r="AN116" s="313">
        <f>IF(Table12[[#This Row],[Net-zero target status]]&lt;=1,"",IF(Table12[[#This Row],[NZ GHG year]]="","",(Table12[[#This Row],[residual LULUCF emissions in 2050]]-Table12[[#This Row],[GHG emissions excl LULUCF]])/(Table12[[#This Row],[NZ GHG year]]-2021)/Table12[[#This Row],[GHG emissions excl LULUCF]]))</f>
        <v>-1.8537494964875115E-2</v>
      </c>
      <c r="AO116" s="313">
        <f>IF(Table12[[#This Row],[Net-zero target status]]&lt;=1,"",IF(Table12[[#This Row],[NZ GHG year]]="","",(Table12[[#This Row],[residual LULUCF emissions in 2050]]-Table12[[#This Row],[2030 conditional NDCs]])/(Table12[[#This Row],[NZ GHG year]]-2030)/Table12[[#This Row],[2030 conditional NDCs]]))</f>
        <v>-2.2239122278668411E-2</v>
      </c>
      <c r="AP116" s="96">
        <f>MAX('input site'!AH116:AS116)</f>
        <v>102.78371000000001</v>
      </c>
      <c r="AQ116" s="95" t="str">
        <f>IF(Table12[[#This Row],[Current Policies 2030 incl LULUCF]]&gt;Table12[[#This Row],[Maximum inventory data]],"No","Yes")</f>
        <v>Yes</v>
      </c>
      <c r="AR116" s="34">
        <f>IF(Table12[[#This Row],[Net-zero target status]]&gt;=1.5,Table12[[#This Row],[residual LULUCF emissions in 2050]]/Table12[[#This Row],[GHG emissions excl LULUCF]],"")</f>
        <v>-1.0247281032563585E-3</v>
      </c>
      <c r="AS116" s="76">
        <f>'input site'!BE116</f>
        <v>131.49200000000002</v>
      </c>
      <c r="AT116" s="76">
        <f>'input site'!BF116</f>
        <v>131.49200000000002</v>
      </c>
      <c r="AU116" s="76">
        <f>'input site'!BG116</f>
        <v>131.49200000000002</v>
      </c>
      <c r="AV116" s="77">
        <f>'input site'!BH116</f>
        <v>131.49200000000002</v>
      </c>
      <c r="AW116" s="74">
        <f>IF(Table12[[#This Row],[2030 unconditional NDCs]]="","",IF(F116="incl",Table12[[#This Row],[2030 unconditional NDCs]]-Table12[[#This Row],[LULUCF NDC uncond]],Table12[[#This Row],[2030 unconditional NDCs]]))</f>
        <v>131.49200000000002</v>
      </c>
      <c r="AX116" s="74">
        <f>IF(Table12[[#This Row],[2030 unconditional NDCs2]]="","",IF(F116="incl",Table12[[#This Row],[2030 unconditional NDCs2]]-Table12[[#This Row],[LULUCF NDC uncond]],Table12[[#This Row],[2030 unconditional NDCs2]]))</f>
        <v>131.49200000000002</v>
      </c>
      <c r="AY116" s="74">
        <f>IF(Table12[[#This Row],[2030 conditional NDCs]]="","",IF(F116="incl",Table12[[#This Row],[2030 conditional NDCs]]-Table12[[#This Row],[LULUCF NDC cond]],Table12[[#This Row],[2030 conditional NDCs]]))</f>
        <v>131.49200000000002</v>
      </c>
      <c r="AZ116" s="74">
        <f>IF(Table12[[#This Row],[2030 conditional NDCs2]]="","",IF(F116="incl",Table12[[#This Row],[2030 conditional NDCs2]]-Table12[[#This Row],[LULUCF NDC cond]],Table12[[#This Row],[2030 conditional NDCs2]]))</f>
        <v>131.49200000000002</v>
      </c>
      <c r="BA116" s="8">
        <f>VLOOKUP($G116,'Population90 20'!$C$6:$AU$231,37,FALSE)</f>
        <v>4380326</v>
      </c>
      <c r="BB116" s="8">
        <f>VLOOKUP($G116,'Overview GDP (PPP)'!$C$6:$AI$231,33,FALSE)</f>
        <v>271057312.15269017</v>
      </c>
      <c r="BC116" s="36">
        <f>Table12[[#This Row],[Income]]/Table12[[#This Row],[Population]]</f>
        <v>61.880625358178861</v>
      </c>
      <c r="BD116" s="36">
        <f>Table12[[#This Row],[GHG emissions excl LULUCF]]*1000000/Table12[[#This Row],[Population]]</f>
        <v>22.278447311912402</v>
      </c>
      <c r="BE116" s="23" t="e">
        <f>VLOOKUP($G116,EGR2023_MASTER!$B$4:$S$38,14,FALSE)</f>
        <v>#N/A</v>
      </c>
      <c r="BF116" s="23" t="e">
        <f>VLOOKUP($G116,EGR2023_MASTER!$B$4:$S$38,15,FALSE)</f>
        <v>#N/A</v>
      </c>
      <c r="BG116" s="23" t="e">
        <f>VLOOKUP($G116,EGR2023_MASTER!$B$4:$S$38,16,FALSE)</f>
        <v>#N/A</v>
      </c>
      <c r="BH116" s="23" t="e">
        <f t="shared" si="19"/>
        <v>#N/A</v>
      </c>
      <c r="BI116" s="23" t="e">
        <f t="shared" si="20"/>
        <v>#N/A</v>
      </c>
      <c r="BJ116" s="552">
        <f>(Table12[[#This Row],[Current Policies 2030 excl LULUCF]]/Table12[[#This Row],[GHG emissions excl LULUCF]])^(1/(2030-2021))-1</f>
        <v>-7.8335703807896895E-4</v>
      </c>
      <c r="BK116" s="552">
        <f>IF(Table12[[#This Row],[Net-zero target status]]&lt;=1,"",IF(Table12[[#This Row],[NZ GHG year]]="","",((MAX(Table12[[#This Row],[residual LULUCF emissions in 2050]],0.1)/Table12[[#This Row],[Current Policies 2030 excl LULUCF]])^(1/(Table12[[#This Row],[NZ GHG year]]-2021))-1)))</f>
        <v>-0.11956433992603965</v>
      </c>
      <c r="BL116" s="552">
        <f>IF(Table12[[#This Row],[Net-zero target status]]&lt;=1,"",IF(Table12[[#This Row],[NZ GHG year]]="","",((MAX(Table12[[#This Row],[residual LULUCF emissions in 2050]],0.1)/Table12[[#This Row],[GHG emissions excl LULUCF]])^(1/(Table12[[#This Row],[NZ GHG year]]-2021))-1)))</f>
        <v>-0.11967932670845161</v>
      </c>
      <c r="BM116" s="552">
        <f>IF(Table12[[#This Row],[Net-zero target status]]&lt;=1,"",IF(Table12[[#This Row],[NZ GHG year]]="","",((MAX(Table12[[#This Row],[residual LULUCF emissions in 2050]],0.1)/AVERAGE(Table12[[#This Row],[2030 conditional NDCs]:[2030 conditional NDCs2]]))^(1/(Table12[[#This Row],[NZ GHG year]]-2021))-1)))</f>
        <v>-0.12452730600448658</v>
      </c>
      <c r="BN116" s="23"/>
      <c r="BO116" s="23"/>
      <c r="BP116" s="23"/>
      <c r="BQ116" s="23"/>
      <c r="BR116" s="50" t="s">
        <v>261</v>
      </c>
      <c r="BT116" s="30">
        <f>IF(Table12[[#This Row],[Reduction rate 2021 to NZ target2]]="","",J116*(1+AN116)^(Table12[[#This Row],[NZ GHG year]]-2021))</f>
        <v>35.528088833161604</v>
      </c>
    </row>
    <row r="117" spans="1:72" ht="15" x14ac:dyDescent="0.25">
      <c r="A117">
        <v>0</v>
      </c>
      <c r="B117">
        <v>0</v>
      </c>
      <c r="C117">
        <v>417</v>
      </c>
      <c r="D117">
        <v>106</v>
      </c>
      <c r="E117">
        <v>15</v>
      </c>
      <c r="F117" t="str">
        <f>'input site'!M117</f>
        <v>incl</v>
      </c>
      <c r="G117" s="31" t="s">
        <v>262</v>
      </c>
      <c r="H117" s="1" t="s">
        <v>263</v>
      </c>
      <c r="I117" s="8">
        <f>VLOOKUP($G117,'NZT data'!$B$3:$C$200,2,FALSE)</f>
        <v>1</v>
      </c>
      <c r="J117" s="32">
        <f>'input site'!AS117</f>
        <v>8.6301657408867012</v>
      </c>
      <c r="K117" s="32">
        <f>'input site'!BS117</f>
        <v>10.609305453758994</v>
      </c>
      <c r="L117" s="32">
        <f t="shared" si="21"/>
        <v>0</v>
      </c>
      <c r="M117" s="32">
        <f t="shared" si="22"/>
        <v>0</v>
      </c>
      <c r="N117" s="32">
        <f>'input site'!EV117</f>
        <v>3.3439193679446553</v>
      </c>
      <c r="O117" s="8"/>
      <c r="P117" s="8"/>
      <c r="Q117" s="32">
        <f t="shared" si="23"/>
        <v>0</v>
      </c>
      <c r="R117" s="32">
        <f>'input site'!EZ117</f>
        <v>2.1244130252259459</v>
      </c>
      <c r="S117" s="37">
        <f>'input site'!FA117</f>
        <v>0</v>
      </c>
      <c r="T117" s="37" t="str">
        <f>Table12[[#This Row],[(Mt CO2 equivalent)]]</f>
        <v>Kyrgyzstan</v>
      </c>
      <c r="U117" s="8">
        <f>VLOOKUP($G117,'NZT data'!$B$3:$F$200,4,FALSE)</f>
        <v>2110</v>
      </c>
      <c r="V117" s="32">
        <f>VLOOKUP($G117,'NZT data'!$B$3:$F$200,5,FALSE)</f>
        <v>2125</v>
      </c>
      <c r="W117" s="32">
        <f>-IF('LUC NGHGI'!EC107="",MIN('LUC NGHGI'!DW107,0.1),MIN('LUC NGHGI'!EC107,0.1))</f>
        <v>10.391905742857144</v>
      </c>
      <c r="X117" s="32">
        <f>'LUC NGHGI'!EC107</f>
        <v>-10.391905742857144</v>
      </c>
      <c r="Y117" s="32">
        <f>'LUC NGHGI'!DY107</f>
        <v>-10.391905742857144</v>
      </c>
      <c r="Z117" s="32">
        <f>'LUC NGHGI'!DZ107</f>
        <v>-10.391905742857144</v>
      </c>
      <c r="AA117" s="32">
        <f>Table12[[#This Row],[2021 emissions]]</f>
        <v>8.6301657408867012</v>
      </c>
      <c r="AB117" s="32">
        <f>'LUC NGHGI'!DW107</f>
        <v>-10.398086259113301</v>
      </c>
      <c r="AC117" s="32">
        <f>IF(F117="incl",Table12[[#This Row],[GHG emissions incl LULUCF]]-Table12[[#This Row],[LULUCF emis-sions in 20213]],Table12[[#This Row],[GHG emissions incl LULUCF]])</f>
        <v>19.028252000000002</v>
      </c>
      <c r="AD117" s="32">
        <f>'input site'!BS117</f>
        <v>10.609305453758994</v>
      </c>
      <c r="AE117" s="32">
        <f>'LUC NGHGI'!EH107</f>
        <v>-13.843153130507805</v>
      </c>
      <c r="AF117" s="32">
        <f>IF(F117="incl",Table12[[#This Row],[Current Policies 2030 incl LULUCF]]-Table12[[#This Row],[LULUCF CurPol 2030]],Table12[[#This Row],[Current Policies 2030 incl LULUCF]])</f>
        <v>24.4524585842668</v>
      </c>
      <c r="AG117" s="32" t="str">
        <f>IF(Table12[[#This Row],[Net-zero target status]]&lt;=1,"",IF(Table12[[#This Row],[NZ GHG year]]="","",1000000000*(Table12[[#This Row],[residual LULUCF emissions in 2050]]-Table12[[#This Row],[GHG emissions excl LULUCF]])/(Table12[[#This Row],[NZ GHG year]]-2021)/Table12[[#This Row],[Population]]))</f>
        <v/>
      </c>
      <c r="AH117" s="32" t="str">
        <f>IF(Table12[[#This Row],[Peak revised]]="Yes",IF(Table12[[#This Row],[Net-zero target status]]&lt;=1,"",IF(Table12[[#This Row],[NZ GHG year]]="","",1000000000*(Table12[[#This Row],[residual LULUCF emissions in 2050]]-Table12[[#This Row],[GHG emissions excl LULUCF]])/(Table12[[#This Row],[NZ GHG year]]-2021)/Table12[[#This Row],[Population]])),"")</f>
        <v/>
      </c>
      <c r="AI117" s="32">
        <f>MAX(0,(1000000*(Table12[[#This Row],[Current Policies 2030 excl LULUCF]]/2+Table12[[#This Row],[GHG emissions excl LULUCF]]/2)/Table12[[#This Row],[Population]]-$AI$8)*10)*$AI$10</f>
        <v>0</v>
      </c>
      <c r="AJ11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7" s="32" t="str">
        <f>IF(Table12[[#This Row],[Formule no Peak (2)]]="","",Table12[[#This Row],[Penalty (1)]]+Table12[[#This Row],[Formule no Peak (2)]])</f>
        <v/>
      </c>
      <c r="AL117" s="313">
        <f>(Table12[[#This Row],[Current Policies 2030 excl LULUCF]]-Table12[[#This Row],[GHG emissions excl LULUCF]])/(2030-2021)/Table12[[#This Row],[GHG emissions excl LULUCF]]</f>
        <v>3.1673409647617064E-2</v>
      </c>
      <c r="AM117" s="313" t="str">
        <f>IF(Table12[[#This Row],[Net-zero target status]]&lt;=1,"",IF(Table12[[#This Row],[NZ GHG year]]="","",(Table12[[#This Row],[residual LULUCF emissions in 2050]]-Table12[[#This Row],[Current Policies 2030 excl LULUCF]])/(Table12[[#This Row],[NZ GHG year]]-2030)/Table12[[#This Row],[Current Policies 2030 excl LULUCF]]))</f>
        <v/>
      </c>
      <c r="AN117" s="313" t="str">
        <f>IF(Table12[[#This Row],[Net-zero target status]]&lt;=1,"",IF(Table12[[#This Row],[NZ GHG year]]="","",(Table12[[#This Row],[residual LULUCF emissions in 2050]]-Table12[[#This Row],[GHG emissions excl LULUCF]])/(Table12[[#This Row],[NZ GHG year]]-2021)/Table12[[#This Row],[GHG emissions excl LULUCF]]))</f>
        <v/>
      </c>
      <c r="AO117" s="313" t="str">
        <f>IF(Table12[[#This Row],[Net-zero target status]]&lt;=1,"",IF(Table12[[#This Row],[NZ GHG year]]="","",(Table12[[#This Row],[residual LULUCF emissions in 2050]]-Table12[[#This Row],[2030 conditional NDCs]])/(Table12[[#This Row],[NZ GHG year]]-2030)/Table12[[#This Row],[2030 conditional NDCs]]))</f>
        <v/>
      </c>
      <c r="AP117" s="96">
        <f>MAX('input site'!AH117:AS117)</f>
        <v>8.6301657408867012</v>
      </c>
      <c r="AQ117" s="95" t="str">
        <f>IF(Table12[[#This Row],[Current Policies 2030 incl LULUCF]]&gt;Table12[[#This Row],[Maximum inventory data]],"No","Yes")</f>
        <v>No</v>
      </c>
      <c r="AR117" s="34" t="str">
        <f>IF(Table12[[#This Row],[Net-zero target status]]&gt;=1.5,Table12[[#This Row],[residual LULUCF emissions in 2050]]/Table12[[#This Row],[GHG emissions excl LULUCF]],"")</f>
        <v/>
      </c>
      <c r="AS117" s="80">
        <f>'input site'!BE117</f>
        <v>8.9149993727936838</v>
      </c>
      <c r="AT117" s="80">
        <f>'input site'!BF117</f>
        <v>8.9149993727936838</v>
      </c>
      <c r="AU117" s="80">
        <f>'input site'!BG117</f>
        <v>5.9815264148293217</v>
      </c>
      <c r="AV117" s="81">
        <f>'input site'!BH117</f>
        <v>5.9815264148293217</v>
      </c>
      <c r="AW117" s="74">
        <f>IF(Table12[[#This Row],[2030 unconditional NDCs]]="","",IF(F117="incl",Table12[[#This Row],[2030 unconditional NDCs]]-Table12[[#This Row],[LULUCF NDC uncond]],Table12[[#This Row],[2030 unconditional NDCs]]))</f>
        <v>19.306905115650828</v>
      </c>
      <c r="AX117" s="74">
        <f>IF(Table12[[#This Row],[2030 unconditional NDCs2]]="","",IF(F117="incl",Table12[[#This Row],[2030 unconditional NDCs2]]-Table12[[#This Row],[LULUCF NDC uncond]],Table12[[#This Row],[2030 unconditional NDCs2]]))</f>
        <v>19.306905115650828</v>
      </c>
      <c r="AY117" s="74">
        <f>IF(Table12[[#This Row],[2030 conditional NDCs]]="","",IF(F117="incl",Table12[[#This Row],[2030 conditional NDCs]]-Table12[[#This Row],[LULUCF NDC cond]],Table12[[#This Row],[2030 conditional NDCs]]))</f>
        <v>16.373432157686466</v>
      </c>
      <c r="AZ117" s="74">
        <f>IF(Table12[[#This Row],[2030 conditional NDCs2]]="","",IF(F117="incl",Table12[[#This Row],[2030 conditional NDCs2]]-Table12[[#This Row],[LULUCF NDC cond]],Table12[[#This Row],[2030 conditional NDCs2]]))</f>
        <v>16.373432157686466</v>
      </c>
      <c r="BA117" s="8">
        <f>VLOOKUP($G117,'Population90 20'!$C$6:$AU$231,37,FALSE)</f>
        <v>6728271</v>
      </c>
      <c r="BB117" s="8">
        <f>VLOOKUP($G117,'Overview GDP (PPP)'!$C$6:$AI$231,33,FALSE)</f>
        <v>21770524.328876708</v>
      </c>
      <c r="BC117" s="36">
        <f>Table12[[#This Row],[Income]]/Table12[[#This Row],[Population]]</f>
        <v>3.23567887335048</v>
      </c>
      <c r="BD117" s="36">
        <f>Table12[[#This Row],[GHG emissions excl LULUCF]]*1000000/Table12[[#This Row],[Population]]</f>
        <v>2.8281042782016366</v>
      </c>
      <c r="BE117" s="23" t="e">
        <f>VLOOKUP($G117,EGR2023_MASTER!$B$4:$S$38,14,FALSE)</f>
        <v>#N/A</v>
      </c>
      <c r="BF117" s="23" t="e">
        <f>VLOOKUP($G117,EGR2023_MASTER!$B$4:$S$38,15,FALSE)</f>
        <v>#N/A</v>
      </c>
      <c r="BG117" s="23" t="e">
        <f>VLOOKUP($G117,EGR2023_MASTER!$B$4:$S$38,16,FALSE)</f>
        <v>#N/A</v>
      </c>
      <c r="BH117" s="23" t="e">
        <f t="shared" si="19"/>
        <v>#N/A</v>
      </c>
      <c r="BI117" s="23" t="e">
        <f t="shared" si="20"/>
        <v>#N/A</v>
      </c>
      <c r="BJ117" s="552">
        <f>(Table12[[#This Row],[Current Policies 2030 excl LULUCF]]/Table12[[#This Row],[GHG emissions excl LULUCF]])^(1/(2030-2021))-1</f>
        <v>2.8259253283994035E-2</v>
      </c>
      <c r="BK117" s="552" t="str">
        <f>IF(Table12[[#This Row],[Net-zero target status]]&lt;=1,"",IF(Table12[[#This Row],[NZ GHG year]]="","",((MAX(Table12[[#This Row],[residual LULUCF emissions in 2050]],0.1)/Table12[[#This Row],[Current Policies 2030 excl LULUCF]])^(1/(Table12[[#This Row],[NZ GHG year]]-2021))-1)))</f>
        <v/>
      </c>
      <c r="BL117" s="552" t="str">
        <f>IF(Table12[[#This Row],[Net-zero target status]]&lt;=1,"",IF(Table12[[#This Row],[NZ GHG year]]="","",((MAX(Table12[[#This Row],[residual LULUCF emissions in 2050]],0.1)/Table12[[#This Row],[GHG emissions excl LULUCF]])^(1/(Table12[[#This Row],[NZ GHG year]]-2021))-1)))</f>
        <v/>
      </c>
      <c r="BM117" s="552" t="str">
        <f>IF(Table12[[#This Row],[Net-zero target status]]&lt;=1,"",IF(Table12[[#This Row],[NZ GHG year]]="","",((MAX(Table12[[#This Row],[residual LULUCF emissions in 2050]],0.1)/AVERAGE(Table12[[#This Row],[2030 conditional NDCs]:[2030 conditional NDCs2]]))^(1/(Table12[[#This Row],[NZ GHG year]]-2021))-1)))</f>
        <v/>
      </c>
      <c r="BN117" s="23"/>
      <c r="BO117" s="23"/>
      <c r="BP117" s="23"/>
      <c r="BQ117" s="23"/>
      <c r="BR117" s="50" t="s">
        <v>263</v>
      </c>
      <c r="BT117" s="30" t="str">
        <f>IF(Table12[[#This Row],[Reduction rate 2021 to NZ target2]]="","",J117*(1+AN117)^(Table12[[#This Row],[NZ GHG year]]-2021))</f>
        <v/>
      </c>
    </row>
    <row r="118" spans="1:72" ht="15" x14ac:dyDescent="0.25">
      <c r="A118">
        <v>0</v>
      </c>
      <c r="B118">
        <v>0</v>
      </c>
      <c r="C118">
        <v>418</v>
      </c>
      <c r="D118">
        <v>107</v>
      </c>
      <c r="E118">
        <v>21</v>
      </c>
      <c r="F118" t="str">
        <f>'input site'!M118</f>
        <v>excl</v>
      </c>
      <c r="G118" s="31" t="s">
        <v>264</v>
      </c>
      <c r="H118" s="1" t="s">
        <v>265</v>
      </c>
      <c r="I118" s="8">
        <f>VLOOKUP($G118,'NZT data'!$B$3:$C$200,2,FALSE)</f>
        <v>3</v>
      </c>
      <c r="J118" s="32">
        <f>'input site'!AS118</f>
        <v>36.771836999999998</v>
      </c>
      <c r="K118" s="32">
        <f>'input site'!BS118</f>
        <v>42.473641460448988</v>
      </c>
      <c r="L118" s="32">
        <f t="shared" si="21"/>
        <v>0</v>
      </c>
      <c r="M118" s="32">
        <f t="shared" si="22"/>
        <v>0</v>
      </c>
      <c r="N118" s="32">
        <f>'input site'!EV118</f>
        <v>9.7329817285762097</v>
      </c>
      <c r="O118" s="8">
        <v>0</v>
      </c>
      <c r="P118" s="36">
        <f>O118-N118</f>
        <v>-9.7329817285762097</v>
      </c>
      <c r="Q118" s="32">
        <f t="shared" si="23"/>
        <v>0</v>
      </c>
      <c r="R118" s="32">
        <f>'input site'!EZ118</f>
        <v>0.65351854089404171</v>
      </c>
      <c r="S118" s="37">
        <f>'input site'!FA118</f>
        <v>2050</v>
      </c>
      <c r="T118" s="37" t="str">
        <f>Table12[[#This Row],[(Mt CO2 equivalent)]]</f>
        <v>Laos</v>
      </c>
      <c r="U118" s="8">
        <f>VLOOKUP($G118,'NZT data'!$B$3:$F$200,4,FALSE)</f>
        <v>2050</v>
      </c>
      <c r="V118" s="32">
        <f>VLOOKUP($G118,'NZT data'!$B$3:$F$200,5,FALSE)</f>
        <v>2050</v>
      </c>
      <c r="W118" s="32">
        <f>-IF('LUC NGHGI'!EC108="",MIN('LUC NGHGI'!DW108,0.1),MIN('LUC NGHGI'!EC108,0.1))</f>
        <v>-0.1</v>
      </c>
      <c r="X118" s="32">
        <f>'LUC NGHGI'!EC108</f>
        <v>75.986788538462861</v>
      </c>
      <c r="Y118" s="32">
        <f>'LUC NGHGI'!DY108</f>
        <v>74.986788538462861</v>
      </c>
      <c r="Z118" s="32">
        <f>'LUC NGHGI'!DZ108</f>
        <v>30.986788538462861</v>
      </c>
      <c r="AA118" s="32">
        <f>Table12[[#This Row],[2021 emissions]]</f>
        <v>36.771836999999998</v>
      </c>
      <c r="AB118" s="32">
        <f>'LUC NGHGI'!DW108</f>
        <v>80.183281146153604</v>
      </c>
      <c r="AC118" s="32">
        <f>IF(F118="incl",Table12[[#This Row],[GHG emissions incl LULUCF]]-Table12[[#This Row],[LULUCF emis-sions in 20213]],Table12[[#This Row],[GHG emissions incl LULUCF]])</f>
        <v>36.771836999999998</v>
      </c>
      <c r="AD118" s="32">
        <f>'input site'!BS118</f>
        <v>42.473641460448988</v>
      </c>
      <c r="AE118" s="32">
        <f>'LUC NGHGI'!EH108</f>
        <v>27.879437230355343</v>
      </c>
      <c r="AF118" s="32">
        <f>IF(F118="incl",Table12[[#This Row],[Current Policies 2030 incl LULUCF]]-Table12[[#This Row],[LULUCF CurPol 2030]],Table12[[#This Row],[Current Policies 2030 incl LULUCF]])</f>
        <v>42.473641460448988</v>
      </c>
      <c r="AG118" s="32">
        <f>IF(Table12[[#This Row],[Net-zero target status]]&lt;=1,"",IF(Table12[[#This Row],[NZ GHG year]]="","",1000000000*(Table12[[#This Row],[residual LULUCF emissions in 2050]]-Table12[[#This Row],[GHG emissions excl LULUCF]])/(Table12[[#This Row],[NZ GHG year]]-2021)/Table12[[#This Row],[Population]]))</f>
        <v>-169.95572065109462</v>
      </c>
      <c r="AH118" s="32" t="str">
        <f>IF(Table12[[#This Row],[Peak revised]]="Yes",IF(Table12[[#This Row],[Net-zero target status]]&lt;=1,"",IF(Table12[[#This Row],[NZ GHG year]]="","",1000000000*(Table12[[#This Row],[residual LULUCF emissions in 2050]]-Table12[[#This Row],[GHG emissions excl LULUCF]])/(Table12[[#This Row],[NZ GHG year]]-2021)/Table12[[#This Row],[Population]])),"")</f>
        <v/>
      </c>
      <c r="AI118" s="32">
        <f>MAX(0,(1000000*(Table12[[#This Row],[Current Policies 2030 excl LULUCF]]/2+Table12[[#This Row],[GHG emissions excl LULUCF]]/2)/Table12[[#This Row],[Population]]-$AI$8)*10)*$AI$10</f>
        <v>0</v>
      </c>
      <c r="AJ118" s="32">
        <f>IF(Table12[[#This Row],[Peak revised]]="No",IF(Table12[[#This Row],[Net-zero target status]]&lt;=1,"",IF(Table12[[#This Row],[NZ GHG year]]="","",1000000000*(Table12[[#This Row],[residual LULUCF emissions in 2050]]-Table12[[#This Row],[Current Policies 2030 excl LULUCF]])/(Table12[[#This Row],[NZ GHG year]]-2021)/Table12[[#This Row],[Population]])),"")</f>
        <v>-196.23741326345981</v>
      </c>
      <c r="AK118" s="32">
        <f>IF(Table12[[#This Row],[Formule no Peak (2)]]="","",Table12[[#This Row],[Penalty (1)]]+Table12[[#This Row],[Formule no Peak (2)]])</f>
        <v>-196.23741326345981</v>
      </c>
      <c r="AL118" s="313">
        <f>(Table12[[#This Row],[Current Policies 2030 excl LULUCF]]-Table12[[#This Row],[GHG emissions excl LULUCF]])/(2030-2021)/Table12[[#This Row],[GHG emissions excl LULUCF]]</f>
        <v>1.7228778343023131E-2</v>
      </c>
      <c r="AM118" s="313">
        <f>IF(Table12[[#This Row],[Net-zero target status]]&lt;=1,"",IF(Table12[[#This Row],[NZ GHG year]]="","",(Table12[[#This Row],[residual LULUCF emissions in 2050]]-Table12[[#This Row],[Current Policies 2030 excl LULUCF]])/(Table12[[#This Row],[NZ GHG year]]-2030)/Table12[[#This Row],[Current Policies 2030 excl LULUCF]]))</f>
        <v>-5.0117720068919826E-2</v>
      </c>
      <c r="AN118" s="313">
        <f>IF(Table12[[#This Row],[Net-zero target status]]&lt;=1,"",IF(Table12[[#This Row],[NZ GHG year]]="","",(Table12[[#This Row],[residual LULUCF emissions in 2050]]-Table12[[#This Row],[GHG emissions excl LULUCF]])/(Table12[[#This Row],[NZ GHG year]]-2021)/Table12[[#This Row],[GHG emissions excl LULUCF]]))</f>
        <v>-3.4576533534955406E-2</v>
      </c>
      <c r="AO118" s="313" t="e">
        <f>IF(Table12[[#This Row],[Net-zero target status]]&lt;=1,"",IF(Table12[[#This Row],[NZ GHG year]]="","",(Table12[[#This Row],[residual LULUCF emissions in 2050]]-Table12[[#This Row],[2030 conditional NDCs]])/(Table12[[#This Row],[NZ GHG year]]-2030)/Table12[[#This Row],[2030 conditional NDCs]]))</f>
        <v>#DIV/0!</v>
      </c>
      <c r="AP118" s="96">
        <f>MAX('input site'!AH118:AS118)</f>
        <v>36.771836999999998</v>
      </c>
      <c r="AQ118" s="95" t="str">
        <f>IF(Table12[[#This Row],[Current Policies 2030 incl LULUCF]]&gt;Table12[[#This Row],[Maximum inventory data]],"No","Yes")</f>
        <v>No</v>
      </c>
      <c r="AR118" s="34">
        <f>IF(Table12[[#This Row],[Net-zero target status]]&gt;=1.5,Table12[[#This Row],[residual LULUCF emissions in 2050]]/Table12[[#This Row],[GHG emissions excl LULUCF]],"")</f>
        <v>-2.7194725137066177E-3</v>
      </c>
      <c r="AS118" s="74" t="str">
        <f>'input site'!BE118</f>
        <v/>
      </c>
      <c r="AT118" s="74"/>
      <c r="AU118" s="74"/>
      <c r="AV118" s="75"/>
      <c r="AW118" s="74" t="str">
        <f>IF(Table12[[#This Row],[2030 unconditional NDCs]]="","",IF(F118="incl",Table12[[#This Row],[2030 unconditional NDCs]]-Table12[[#This Row],[LULUCF NDC uncond]],Table12[[#This Row],[2030 unconditional NDCs]]))</f>
        <v/>
      </c>
      <c r="AX118" s="74" t="str">
        <f>IF(Table12[[#This Row],[2030 unconditional NDCs2]]="","",IF(F118="incl",Table12[[#This Row],[2030 unconditional NDCs2]]-Table12[[#This Row],[LULUCF NDC uncond]],Table12[[#This Row],[2030 unconditional NDCs2]]))</f>
        <v/>
      </c>
      <c r="AY118" s="74" t="str">
        <f>IF(Table12[[#This Row],[2030 conditional NDCs]]="","",IF(F118="incl",Table12[[#This Row],[2030 conditional NDCs]]-Table12[[#This Row],[LULUCF NDC cond]],Table12[[#This Row],[2030 conditional NDCs]]))</f>
        <v/>
      </c>
      <c r="AZ118" s="74" t="str">
        <f>IF(Table12[[#This Row],[2030 conditional NDCs2]]="","",IF(F118="incl",Table12[[#This Row],[2030 conditional NDCs2]]-Table12[[#This Row],[LULUCF NDC cond]],Table12[[#This Row],[2030 conditional NDCs2]]))</f>
        <v/>
      </c>
      <c r="BA118" s="8">
        <f>VLOOKUP($G118,'Population90 20'!$C$6:$AU$231,37,FALSE)</f>
        <v>7481023</v>
      </c>
      <c r="BB118" s="8">
        <f>VLOOKUP($G118,'Overview GDP (PPP)'!$C$6:$AI$231,33,FALSE)</f>
        <v>46708255.004247256</v>
      </c>
      <c r="BC118" s="36">
        <f>Table12[[#This Row],[Income]]/Table12[[#This Row],[Population]]</f>
        <v>6.2435652188540596</v>
      </c>
      <c r="BD118" s="36">
        <f>Table12[[#This Row],[GHG emissions excl LULUCF]]*1000000/Table12[[#This Row],[Population]]</f>
        <v>4.9153487430796563</v>
      </c>
      <c r="BE118" s="23" t="e">
        <f>VLOOKUP($G118,EGR2023_MASTER!$B$4:$S$38,14,FALSE)</f>
        <v>#N/A</v>
      </c>
      <c r="BF118" s="23" t="e">
        <f>VLOOKUP($G118,EGR2023_MASTER!$B$4:$S$38,15,FALSE)</f>
        <v>#N/A</v>
      </c>
      <c r="BG118" s="23" t="e">
        <f>VLOOKUP($G118,EGR2023_MASTER!$B$4:$S$38,16,FALSE)</f>
        <v>#N/A</v>
      </c>
      <c r="BH118" s="23" t="e">
        <f t="shared" si="19"/>
        <v>#N/A</v>
      </c>
      <c r="BI118" s="23" t="e">
        <f t="shared" si="20"/>
        <v>#N/A</v>
      </c>
      <c r="BJ118" s="552">
        <f>(Table12[[#This Row],[Current Policies 2030 excl LULUCF]]/Table12[[#This Row],[GHG emissions excl LULUCF]])^(1/(2030-2021))-1</f>
        <v>1.6145782403305331E-2</v>
      </c>
      <c r="BK118" s="552">
        <f>IF(Table12[[#This Row],[Net-zero target status]]&lt;=1,"",IF(Table12[[#This Row],[NZ GHG year]]="","",((MAX(Table12[[#This Row],[residual LULUCF emissions in 2050]],0.1)/Table12[[#This Row],[Current Policies 2030 excl LULUCF]])^(1/(Table12[[#This Row],[NZ GHG year]]-2021))-1)))</f>
        <v>-0.18833804500873486</v>
      </c>
      <c r="BL118" s="552">
        <f>IF(Table12[[#This Row],[Net-zero target status]]&lt;=1,"",IF(Table12[[#This Row],[NZ GHG year]]="","",((MAX(Table12[[#This Row],[residual LULUCF emissions in 2050]],0.1)/Table12[[#This Row],[GHG emissions excl LULUCF]])^(1/(Table12[[#This Row],[NZ GHG year]]-2021))-1)))</f>
        <v>-0.18429344131451275</v>
      </c>
      <c r="BM118" s="552" t="e">
        <f>IF(Table12[[#This Row],[Net-zero target status]]&lt;=1,"",IF(Table12[[#This Row],[NZ GHG year]]="","",((MAX(Table12[[#This Row],[residual LULUCF emissions in 2050]],0.1)/AVERAGE(Table12[[#This Row],[2030 conditional NDCs]:[2030 conditional NDCs2]]))^(1/(Table12[[#This Row],[NZ GHG year]]-2021))-1)))</f>
        <v>#DIV/0!</v>
      </c>
      <c r="BN118" s="23"/>
      <c r="BO118" s="23"/>
      <c r="BP118" s="23"/>
      <c r="BQ118" s="23"/>
      <c r="BR118" s="50" t="s">
        <v>265</v>
      </c>
      <c r="BT118" s="30">
        <f>IF(Table12[[#This Row],[Reduction rate 2021 to NZ target2]]="","",J118*(1+AN118)^(Table12[[#This Row],[NZ GHG year]]-2021))</f>
        <v>13.253573914046498</v>
      </c>
    </row>
    <row r="119" spans="1:72" ht="15" x14ac:dyDescent="0.25">
      <c r="A119">
        <v>0</v>
      </c>
      <c r="B119">
        <v>0</v>
      </c>
      <c r="C119">
        <v>428</v>
      </c>
      <c r="D119">
        <v>110</v>
      </c>
      <c r="E119">
        <v>12</v>
      </c>
      <c r="F119" t="str">
        <f>'input site'!M119</f>
        <v>incl</v>
      </c>
      <c r="G119" s="31" t="s">
        <v>266</v>
      </c>
      <c r="H119" s="1" t="s">
        <v>267</v>
      </c>
      <c r="I119" s="8">
        <f>VLOOKUP($G119,'NZT data'!$B$3:$C$200,2,FALSE)</f>
        <v>3</v>
      </c>
      <c r="J119" s="32">
        <f>'input site'!AS119</f>
        <v>13.093225537572163</v>
      </c>
      <c r="K119" s="32">
        <f>'input site'!BS119</f>
        <v>6.7088796882789499</v>
      </c>
      <c r="L119" s="32">
        <f t="shared" si="21"/>
        <v>0</v>
      </c>
      <c r="M119" s="32">
        <f t="shared" si="22"/>
        <v>0</v>
      </c>
      <c r="N119" s="32">
        <f>'input site'!EV119</f>
        <v>2.4157469803418823</v>
      </c>
      <c r="O119" s="8"/>
      <c r="P119" s="8"/>
      <c r="Q119" s="32">
        <f t="shared" si="23"/>
        <v>0</v>
      </c>
      <c r="R119" s="32">
        <f>'input site'!EZ119</f>
        <v>1.1785084886313701</v>
      </c>
      <c r="S119" s="37" t="str">
        <f>'input site'!FA119</f>
        <v>2050 (part of the EU)</v>
      </c>
      <c r="T119" s="37" t="str">
        <f>Table12[[#This Row],[(Mt CO2 equivalent)]]</f>
        <v>Latvia</v>
      </c>
      <c r="U119" s="8">
        <f>VLOOKUP($G119,'NZT data'!$B$3:$F$200,4,FALSE)</f>
        <v>2050</v>
      </c>
      <c r="V119" s="32">
        <f>VLOOKUP($G119,'NZT data'!$B$3:$F$200,5,FALSE)</f>
        <v>2050</v>
      </c>
      <c r="W119" s="32">
        <f>-IF('LUC NGHGI'!EC109="",MIN('LUC NGHGI'!DW109,0.1),MIN('LUC NGHGI'!EC109,0.1))</f>
        <v>-0.1</v>
      </c>
      <c r="X119" s="32">
        <f>'LUC NGHGI'!EC109</f>
        <v>0.79911149037883067</v>
      </c>
      <c r="Y119" s="32">
        <f>'LUC NGHGI'!DY109</f>
        <v>0.79911149037883067</v>
      </c>
      <c r="Z119" s="32">
        <f>'LUC NGHGI'!DZ109</f>
        <v>0.79911149037883067</v>
      </c>
      <c r="AA119" s="32">
        <f>Table12[[#This Row],[2021 emissions]]</f>
        <v>13.093225537572163</v>
      </c>
      <c r="AB119" s="32">
        <f>'LUC NGHGI'!DW109</f>
        <v>2.3919355375721612</v>
      </c>
      <c r="AC119" s="32">
        <f>IF(F119="incl",Table12[[#This Row],[GHG emissions incl LULUCF]]-Table12[[#This Row],[LULUCF emis-sions in 20213]],Table12[[#This Row],[GHG emissions incl LULUCF]])</f>
        <v>10.701290000000002</v>
      </c>
      <c r="AD119" s="32">
        <f>'input site'!BS119</f>
        <v>6.7088796882789499</v>
      </c>
      <c r="AE119" s="32">
        <f>'LUC NGHGI'!EH109</f>
        <v>0.53395506835831597</v>
      </c>
      <c r="AF119" s="32">
        <f>IF(F119="incl",Table12[[#This Row],[Current Policies 2030 incl LULUCF]]-Table12[[#This Row],[LULUCF CurPol 2030]],Table12[[#This Row],[Current Policies 2030 incl LULUCF]])</f>
        <v>6.1749246199206338</v>
      </c>
      <c r="AG119" s="32">
        <f>IF(Table12[[#This Row],[Net-zero target status]]&lt;=1,"",IF(Table12[[#This Row],[NZ GHG year]]="","",1000000000*(Table12[[#This Row],[residual LULUCF emissions in 2050]]-Table12[[#This Row],[GHG emissions excl LULUCF]])/(Table12[[#This Row],[NZ GHG year]]-2021)/Table12[[#This Row],[Population]]))</f>
        <v>-201.45544245494276</v>
      </c>
      <c r="AH119" s="32">
        <f>IF(Table12[[#This Row],[Peak revised]]="Yes",IF(Table12[[#This Row],[Net-zero target status]]&lt;=1,"",IF(Table12[[#This Row],[NZ GHG year]]="","",1000000000*(Table12[[#This Row],[residual LULUCF emissions in 2050]]-Table12[[#This Row],[GHG emissions excl LULUCF]])/(Table12[[#This Row],[NZ GHG year]]-2021)/Table12[[#This Row],[Population]])),"")</f>
        <v>-201.45544245494276</v>
      </c>
      <c r="AI119" s="32">
        <f>MAX(0,(1000000*(Table12[[#This Row],[Current Policies 2030 excl LULUCF]]/2+Table12[[#This Row],[GHG emissions excl LULUCF]]/2)/Table12[[#This Row],[Population]]-$AI$8)*10)*$AI$10</f>
        <v>0</v>
      </c>
      <c r="AJ11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19" s="32" t="str">
        <f>IF(Table12[[#This Row],[Formule no Peak (2)]]="","",Table12[[#This Row],[Penalty (1)]]+Table12[[#This Row],[Formule no Peak (2)]])</f>
        <v/>
      </c>
      <c r="AL119" s="313">
        <f>(Table12[[#This Row],[Current Policies 2030 excl LULUCF]]-Table12[[#This Row],[GHG emissions excl LULUCF]])/(2030-2021)/Table12[[#This Row],[GHG emissions excl LULUCF]]</f>
        <v>-4.6997089759784588E-2</v>
      </c>
      <c r="AM119" s="313">
        <f>IF(Table12[[#This Row],[Net-zero target status]]&lt;=1,"",IF(Table12[[#This Row],[NZ GHG year]]="","",(Table12[[#This Row],[residual LULUCF emissions in 2050]]-Table12[[#This Row],[Current Policies 2030 excl LULUCF]])/(Table12[[#This Row],[NZ GHG year]]-2030)/Table12[[#This Row],[Current Policies 2030 excl LULUCF]]))</f>
        <v>-5.0809726483764632E-2</v>
      </c>
      <c r="AN119" s="313">
        <f>IF(Table12[[#This Row],[Net-zero target status]]&lt;=1,"",IF(Table12[[#This Row],[NZ GHG year]]="","",(Table12[[#This Row],[residual LULUCF emissions in 2050]]-Table12[[#This Row],[GHG emissions excl LULUCF]])/(Table12[[#This Row],[NZ GHG year]]-2021)/Table12[[#This Row],[GHG emissions excl LULUCF]]))</f>
        <v>-3.4804988544565089E-2</v>
      </c>
      <c r="AO119" s="313" t="e">
        <f>IF(Table12[[#This Row],[Net-zero target status]]&lt;=1,"",IF(Table12[[#This Row],[NZ GHG year]]="","",(Table12[[#This Row],[residual LULUCF emissions in 2050]]-Table12[[#This Row],[2030 conditional NDCs]])/(Table12[[#This Row],[NZ GHG year]]-2030)/Table12[[#This Row],[2030 conditional NDCs]]))</f>
        <v>#DIV/0!</v>
      </c>
      <c r="AP119" s="96">
        <f>MAX('input site'!AH119:AS119)</f>
        <v>13.093225537572163</v>
      </c>
      <c r="AQ119" s="95" t="str">
        <f>IF(Table12[[#This Row],[Current Policies 2030 incl LULUCF]]&gt;Table12[[#This Row],[Maximum inventory data]],"No","Yes")</f>
        <v>Yes</v>
      </c>
      <c r="AR119" s="34">
        <f>IF(Table12[[#This Row],[Net-zero target status]]&gt;=1.5,Table12[[#This Row],[residual LULUCF emissions in 2050]]/Table12[[#This Row],[GHG emissions excl LULUCF]],"")</f>
        <v>-9.344667792387646E-3</v>
      </c>
      <c r="AS119" s="74" t="str">
        <f>'input site'!BE119</f>
        <v/>
      </c>
      <c r="AT119" s="74"/>
      <c r="AU119" s="74"/>
      <c r="AV119" s="75"/>
      <c r="AW119" s="74" t="str">
        <f>IF(Table12[[#This Row],[2030 unconditional NDCs]]="","",IF(F119="incl",Table12[[#This Row],[2030 unconditional NDCs]]-Table12[[#This Row],[LULUCF NDC uncond]],Table12[[#This Row],[2030 unconditional NDCs]]))</f>
        <v/>
      </c>
      <c r="AX119" s="74" t="str">
        <f>IF(Table12[[#This Row],[2030 unconditional NDCs2]]="","",IF(F119="incl",Table12[[#This Row],[2030 unconditional NDCs2]]-Table12[[#This Row],[LULUCF NDC uncond]],Table12[[#This Row],[2030 unconditional NDCs2]]))</f>
        <v/>
      </c>
      <c r="AY119" s="74" t="str">
        <f>IF(Table12[[#This Row],[2030 conditional NDCs]]="","",IF(F119="incl",Table12[[#This Row],[2030 conditional NDCs]]-Table12[[#This Row],[LULUCF NDC cond]],Table12[[#This Row],[2030 conditional NDCs]]))</f>
        <v/>
      </c>
      <c r="AZ119" s="74" t="str">
        <f>IF(Table12[[#This Row],[2030 conditional NDCs2]]="","",IF(F119="incl",Table12[[#This Row],[2030 conditional NDCs2]]-Table12[[#This Row],[LULUCF NDC cond]],Table12[[#This Row],[2030 conditional NDCs2]]))</f>
        <v/>
      </c>
      <c r="BA119" s="8">
        <f>VLOOKUP($G119,'Population90 20'!$C$6:$AU$231,37,FALSE)</f>
        <v>1848837</v>
      </c>
      <c r="BB119" s="8">
        <f>VLOOKUP($G119,'Overview GDP (PPP)'!$C$6:$AI$231,33,FALSE)</f>
        <v>50932817.675792031</v>
      </c>
      <c r="BC119" s="36">
        <f>Table12[[#This Row],[Income]]/Table12[[#This Row],[Population]]</f>
        <v>27.548571169763495</v>
      </c>
      <c r="BD119" s="36">
        <f>Table12[[#This Row],[GHG emissions excl LULUCF]]*1000000/Table12[[#This Row],[Population]]</f>
        <v>5.7881197747556987</v>
      </c>
      <c r="BE119" s="23" t="e">
        <f>VLOOKUP($G119,EGR2023_MASTER!$B$4:$S$38,14,FALSE)</f>
        <v>#N/A</v>
      </c>
      <c r="BF119" s="23" t="e">
        <f>VLOOKUP($G119,EGR2023_MASTER!$B$4:$S$38,15,FALSE)</f>
        <v>#N/A</v>
      </c>
      <c r="BG119" s="23" t="e">
        <f>VLOOKUP($G119,EGR2023_MASTER!$B$4:$S$38,16,FALSE)</f>
        <v>#N/A</v>
      </c>
      <c r="BH119" s="23" t="e">
        <f t="shared" si="19"/>
        <v>#N/A</v>
      </c>
      <c r="BI119" s="23" t="e">
        <f t="shared" si="20"/>
        <v>#N/A</v>
      </c>
      <c r="BJ119" s="552">
        <f>(Table12[[#This Row],[Current Policies 2030 excl LULUCF]]/Table12[[#This Row],[GHG emissions excl LULUCF]])^(1/(2030-2021))-1</f>
        <v>-5.9267453283526339E-2</v>
      </c>
      <c r="BK119" s="552">
        <f>IF(Table12[[#This Row],[Net-zero target status]]&lt;=1,"",IF(Table12[[#This Row],[NZ GHG year]]="","",((MAX(Table12[[#This Row],[residual LULUCF emissions in 2050]],0.1)/Table12[[#This Row],[Current Policies 2030 excl LULUCF]])^(1/(Table12[[#This Row],[NZ GHG year]]-2021))-1)))</f>
        <v>-0.13253076640267714</v>
      </c>
      <c r="BL119" s="552">
        <f>IF(Table12[[#This Row],[Net-zero target status]]&lt;=1,"",IF(Table12[[#This Row],[NZ GHG year]]="","",((MAX(Table12[[#This Row],[residual LULUCF emissions in 2050]],0.1)/Table12[[#This Row],[GHG emissions excl LULUCF]])^(1/(Table12[[#This Row],[NZ GHG year]]-2021))-1)))</f>
        <v>-0.14882385488311789</v>
      </c>
      <c r="BM119" s="552" t="e">
        <f>IF(Table12[[#This Row],[Net-zero target status]]&lt;=1,"",IF(Table12[[#This Row],[NZ GHG year]]="","",((MAX(Table12[[#This Row],[residual LULUCF emissions in 2050]],0.1)/AVERAGE(Table12[[#This Row],[2030 conditional NDCs]:[2030 conditional NDCs2]]))^(1/(Table12[[#This Row],[NZ GHG year]]-2021))-1)))</f>
        <v>#DIV/0!</v>
      </c>
      <c r="BN119" s="23"/>
      <c r="BO119" s="23"/>
      <c r="BP119" s="23"/>
      <c r="BQ119" s="23"/>
      <c r="BR119" s="50" t="s">
        <v>267</v>
      </c>
      <c r="BT119" s="30">
        <f>IF(Table12[[#This Row],[Reduction rate 2021 to NZ target2]]="","",J119*(1+AN119)^(Table12[[#This Row],[NZ GHG year]]-2021))</f>
        <v>4.6868778917853113</v>
      </c>
    </row>
    <row r="120" spans="1:72" ht="15" x14ac:dyDescent="0.25">
      <c r="A120">
        <v>0</v>
      </c>
      <c r="B120">
        <v>0</v>
      </c>
      <c r="C120">
        <v>422</v>
      </c>
      <c r="D120">
        <v>108</v>
      </c>
      <c r="E120">
        <v>17</v>
      </c>
      <c r="F120" t="str">
        <f>'input site'!M120</f>
        <v>incl</v>
      </c>
      <c r="G120" s="31" t="s">
        <v>268</v>
      </c>
      <c r="H120" s="1" t="s">
        <v>269</v>
      </c>
      <c r="I120" s="8">
        <f>VLOOKUP($G120,'NZT data'!$B$3:$C$200,2,FALSE)</f>
        <v>3</v>
      </c>
      <c r="J120" s="32">
        <f>'input site'!AS120</f>
        <v>27.532883817656646</v>
      </c>
      <c r="K120" s="32">
        <f>'input site'!BS120</f>
        <v>27.339378240563619</v>
      </c>
      <c r="L120" s="32">
        <f t="shared" si="21"/>
        <v>0</v>
      </c>
      <c r="M120" s="32">
        <f t="shared" si="22"/>
        <v>0</v>
      </c>
      <c r="N120" s="32">
        <f>'input site'!EV120</f>
        <v>16.694971700642032</v>
      </c>
      <c r="O120" s="8">
        <v>0</v>
      </c>
      <c r="P120" s="36">
        <f>O120-N120</f>
        <v>-16.694971700642032</v>
      </c>
      <c r="Q120" s="32">
        <f t="shared" si="23"/>
        <v>0</v>
      </c>
      <c r="R120" s="32">
        <f>'input site'!EZ120</f>
        <v>2.9080802693492047</v>
      </c>
      <c r="S120" s="37">
        <f>'input site'!FA120</f>
        <v>2050</v>
      </c>
      <c r="T120" s="37" t="str">
        <f>Table12[[#This Row],[(Mt CO2 equivalent)]]</f>
        <v>Lebanon</v>
      </c>
      <c r="U120" s="8">
        <f>VLOOKUP($G120,'NZT data'!$B$3:$F$200,4,FALSE)</f>
        <v>2050</v>
      </c>
      <c r="V120" s="32">
        <f>VLOOKUP($G120,'NZT data'!$B$3:$F$200,5,FALSE)</f>
        <v>2050</v>
      </c>
      <c r="W120" s="32">
        <f>-IF('LUC NGHGI'!EC110="",MIN('LUC NGHGI'!DW110,0.1),MIN('LUC NGHGI'!EC110,0.1))</f>
        <v>2.2228131314942345</v>
      </c>
      <c r="X120" s="32">
        <f>'LUC NGHGI'!EC110</f>
        <v>-2.2228131314942345</v>
      </c>
      <c r="Y120" s="32">
        <f>'LUC NGHGI'!DY110</f>
        <v>-2.2228131314942345</v>
      </c>
      <c r="Z120" s="32">
        <f>'LUC NGHGI'!DZ110</f>
        <v>-2.2228131314942345</v>
      </c>
      <c r="AA120" s="32">
        <f>Table12[[#This Row],[2021 emissions]]</f>
        <v>27.532883817656646</v>
      </c>
      <c r="AB120" s="32">
        <f>'LUC NGHGI'!DW110</f>
        <v>-2.301846182343354</v>
      </c>
      <c r="AC120" s="32">
        <f>IF(F120="incl",Table12[[#This Row],[GHG emissions incl LULUCF]]-Table12[[#This Row],[LULUCF emis-sions in 20213]],Table12[[#This Row],[GHG emissions incl LULUCF]])</f>
        <v>29.83473</v>
      </c>
      <c r="AD120" s="32">
        <f>'input site'!BS120</f>
        <v>27.339378240563619</v>
      </c>
      <c r="AE120" s="32">
        <f>'LUC NGHGI'!EH110</f>
        <v>-2.8011970758627833</v>
      </c>
      <c r="AF120" s="32">
        <f>IF(F120="incl",Table12[[#This Row],[Current Policies 2030 incl LULUCF]]-Table12[[#This Row],[LULUCF CurPol 2030]],Table12[[#This Row],[Current Policies 2030 incl LULUCF]])</f>
        <v>30.140575316426403</v>
      </c>
      <c r="AG120" s="32">
        <f>IF(Table12[[#This Row],[Net-zero target status]]&lt;=1,"",IF(Table12[[#This Row],[NZ GHG year]]="","",1000000000*(Table12[[#This Row],[residual LULUCF emissions in 2050]]-Table12[[#This Row],[GHG emissions excl LULUCF]])/(Table12[[#This Row],[NZ GHG year]]-2021)/Table12[[#This Row],[Population]]))</f>
        <v>-142.4317982995926</v>
      </c>
      <c r="AH120" s="32">
        <f>IF(Table12[[#This Row],[Peak revised]]="Yes",IF(Table12[[#This Row],[Net-zero target status]]&lt;=1,"",IF(Table12[[#This Row],[NZ GHG year]]="","",1000000000*(Table12[[#This Row],[residual LULUCF emissions in 2050]]-Table12[[#This Row],[GHG emissions excl LULUCF]])/(Table12[[#This Row],[NZ GHG year]]-2021)/Table12[[#This Row],[Population]])),"")</f>
        <v>-142.4317982995926</v>
      </c>
      <c r="AI120" s="32">
        <f>MAX(0,(1000000*(Table12[[#This Row],[Current Policies 2030 excl LULUCF]]/2+Table12[[#This Row],[GHG emissions excl LULUCF]]/2)/Table12[[#This Row],[Population]]-$AI$8)*10)*$AI$10</f>
        <v>0</v>
      </c>
      <c r="AJ12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0" s="32" t="str">
        <f>IF(Table12[[#This Row],[Formule no Peak (2)]]="","",Table12[[#This Row],[Penalty (1)]]+Table12[[#This Row],[Formule no Peak (2)]])</f>
        <v/>
      </c>
      <c r="AL120" s="313">
        <f>(Table12[[#This Row],[Current Policies 2030 excl LULUCF]]-Table12[[#This Row],[GHG emissions excl LULUCF]])/(2030-2021)/Table12[[#This Row],[GHG emissions excl LULUCF]]</f>
        <v>1.1390353771013515E-3</v>
      </c>
      <c r="AM120" s="313">
        <f>IF(Table12[[#This Row],[Net-zero target status]]&lt;=1,"",IF(Table12[[#This Row],[NZ GHG year]]="","",(Table12[[#This Row],[residual LULUCF emissions in 2050]]-Table12[[#This Row],[Current Policies 2030 excl LULUCF]])/(Table12[[#This Row],[NZ GHG year]]-2030)/Table12[[#This Row],[Current Policies 2030 excl LULUCF]]))</f>
        <v>-4.6312590074744163E-2</v>
      </c>
      <c r="AN120" s="313">
        <f>IF(Table12[[#This Row],[Net-zero target status]]&lt;=1,"",IF(Table12[[#This Row],[NZ GHG year]]="","",(Table12[[#This Row],[residual LULUCF emissions in 2050]]-Table12[[#This Row],[GHG emissions excl LULUCF]])/(Table12[[#This Row],[NZ GHG year]]-2021)/Table12[[#This Row],[GHG emissions excl LULUCF]]))</f>
        <v>-3.1913647766587241E-2</v>
      </c>
      <c r="AO120" s="313">
        <f>IF(Table12[[#This Row],[Net-zero target status]]&lt;=1,"",IF(Table12[[#This Row],[NZ GHG year]]="","",(Table12[[#This Row],[residual LULUCF emissions in 2050]]-Table12[[#This Row],[2030 conditional NDCs]])/(Table12[[#This Row],[NZ GHG year]]-2030)/Table12[[#This Row],[2030 conditional NDCs]]))</f>
        <v>-4.5864610646324286E-2</v>
      </c>
      <c r="AP120" s="96">
        <f>MAX('input site'!AH120:AS120)</f>
        <v>33.159672</v>
      </c>
      <c r="AQ120" s="95" t="str">
        <f>IF(Table12[[#This Row],[Current Policies 2030 incl LULUCF]]&gt;Table12[[#This Row],[Maximum inventory data]],"No","Yes")</f>
        <v>Yes</v>
      </c>
      <c r="AR120" s="34">
        <f>IF(Table12[[#This Row],[Net-zero target status]]&gt;=1.5,Table12[[#This Row],[residual LULUCF emissions in 2050]]/Table12[[#This Row],[GHG emissions excl LULUCF]],"")</f>
        <v>7.4504214768970067E-2</v>
      </c>
      <c r="AS120" s="80">
        <f>'input site'!BE120</f>
        <v>31.160000000000004</v>
      </c>
      <c r="AT120" s="80">
        <f>'input site'!BF120</f>
        <v>31.160000000000004</v>
      </c>
      <c r="AU120" s="80">
        <f>'input site'!BG120</f>
        <v>26.875499999999999</v>
      </c>
      <c r="AV120" s="81">
        <f>'input site'!BH120</f>
        <v>26.875499999999999</v>
      </c>
      <c r="AW120" s="74">
        <f>IF(Table12[[#This Row],[2030 unconditional NDCs]]="","",IF(F120="incl",Table12[[#This Row],[2030 unconditional NDCs]]-Table12[[#This Row],[LULUCF NDC uncond]],Table12[[#This Row],[2030 unconditional NDCs]]))</f>
        <v>33.382813131494238</v>
      </c>
      <c r="AX120" s="74">
        <f>IF(Table12[[#This Row],[2030 unconditional NDCs2]]="","",IF(F120="incl",Table12[[#This Row],[2030 unconditional NDCs2]]-Table12[[#This Row],[LULUCF NDC uncond]],Table12[[#This Row],[2030 unconditional NDCs2]]))</f>
        <v>33.382813131494238</v>
      </c>
      <c r="AY120" s="74">
        <f>IF(Table12[[#This Row],[2030 conditional NDCs]]="","",IF(F120="incl",Table12[[#This Row],[2030 conditional NDCs]]-Table12[[#This Row],[LULUCF NDC cond]],Table12[[#This Row],[2030 conditional NDCs]]))</f>
        <v>29.098313131494233</v>
      </c>
      <c r="AZ120" s="74">
        <f>IF(Table12[[#This Row],[2030 conditional NDCs2]]="","",IF(F120="incl",Table12[[#This Row],[2030 conditional NDCs2]]-Table12[[#This Row],[LULUCF NDC cond]],Table12[[#This Row],[2030 conditional NDCs2]]))</f>
        <v>29.098313131494233</v>
      </c>
      <c r="BA120" s="8">
        <f>VLOOKUP($G120,'Population90 20'!$C$6:$AU$231,37,FALSE)</f>
        <v>6684849</v>
      </c>
      <c r="BB120" s="8">
        <f>VLOOKUP($G120,'Overview GDP (PPP)'!$C$6:$AI$231,33,FALSE)</f>
        <v>79496676.653709188</v>
      </c>
      <c r="BC120" s="36">
        <f>Table12[[#This Row],[Income]]/Table12[[#This Row],[Population]]</f>
        <v>11.892067667303957</v>
      </c>
      <c r="BD120" s="36">
        <f>Table12[[#This Row],[GHG emissions excl LULUCF]]*1000000/Table12[[#This Row],[Population]]</f>
        <v>4.463037235396043</v>
      </c>
      <c r="BE120" s="23" t="e">
        <f>VLOOKUP($G120,EGR2023_MASTER!$B$4:$S$38,14,FALSE)</f>
        <v>#N/A</v>
      </c>
      <c r="BF120" s="23" t="e">
        <f>VLOOKUP($G120,EGR2023_MASTER!$B$4:$S$38,15,FALSE)</f>
        <v>#N/A</v>
      </c>
      <c r="BG120" s="23" t="e">
        <f>VLOOKUP($G120,EGR2023_MASTER!$B$4:$S$38,16,FALSE)</f>
        <v>#N/A</v>
      </c>
      <c r="BH120" s="23" t="e">
        <f t="shared" si="19"/>
        <v>#N/A</v>
      </c>
      <c r="BI120" s="23" t="e">
        <f t="shared" si="20"/>
        <v>#N/A</v>
      </c>
      <c r="BJ120" s="552">
        <f>(Table12[[#This Row],[Current Policies 2030 excl LULUCF]]/Table12[[#This Row],[GHG emissions excl LULUCF]])^(1/(2030-2021))-1</f>
        <v>1.1338790211918859E-3</v>
      </c>
      <c r="BK120" s="552">
        <f>IF(Table12[[#This Row],[Net-zero target status]]&lt;=1,"",IF(Table12[[#This Row],[NZ GHG year]]="","",((MAX(Table12[[#This Row],[residual LULUCF emissions in 2050]],0.1)/Table12[[#This Row],[Current Policies 2030 excl LULUCF]])^(1/(Table12[[#This Row],[NZ GHG year]]-2021))-1)))</f>
        <v>-8.5977376417168849E-2</v>
      </c>
      <c r="BL120" s="552">
        <f>IF(Table12[[#This Row],[Net-zero target status]]&lt;=1,"",IF(Table12[[#This Row],[NZ GHG year]]="","",((MAX(Table12[[#This Row],[residual LULUCF emissions in 2050]],0.1)/Table12[[#This Row],[GHG emissions excl LULUCF]])^(1/(Table12[[#This Row],[NZ GHG year]]-2021))-1)))</f>
        <v>-8.5655863484943917E-2</v>
      </c>
      <c r="BM120" s="552">
        <f>IF(Table12[[#This Row],[Net-zero target status]]&lt;=1,"",IF(Table12[[#This Row],[NZ GHG year]]="","",((MAX(Table12[[#This Row],[residual LULUCF emissions in 2050]],0.1)/AVERAGE(Table12[[#This Row],[2030 conditional NDCs]:[2030 conditional NDCs2]]))^(1/(Table12[[#This Row],[NZ GHG year]]-2021))-1)))</f>
        <v>-8.2356455335932499E-2</v>
      </c>
      <c r="BN120" s="23"/>
      <c r="BO120" s="23"/>
      <c r="BP120" s="23"/>
      <c r="BQ120" s="23"/>
      <c r="BR120" s="50" t="s">
        <v>269</v>
      </c>
      <c r="BT120" s="30">
        <f>IF(Table12[[#This Row],[Reduction rate 2021 to NZ target2]]="","",J120*(1+AN120)^(Table12[[#This Row],[NZ GHG year]]-2021))</f>
        <v>10.748813639584146</v>
      </c>
    </row>
    <row r="121" spans="1:72" ht="15" x14ac:dyDescent="0.25">
      <c r="A121">
        <v>0</v>
      </c>
      <c r="B121">
        <v>0</v>
      </c>
      <c r="C121">
        <v>426</v>
      </c>
      <c r="D121">
        <v>109</v>
      </c>
      <c r="E121">
        <v>26</v>
      </c>
      <c r="F121" t="str">
        <f>'input site'!M121</f>
        <v>excl</v>
      </c>
      <c r="G121" s="31" t="s">
        <v>270</v>
      </c>
      <c r="H121" s="1" t="s">
        <v>271</v>
      </c>
      <c r="I121" s="8">
        <f>VLOOKUP($G121,'NZT data'!$B$3:$C$200,2,FALSE)</f>
        <v>1</v>
      </c>
      <c r="J121" s="32">
        <f>'input site'!AS121</f>
        <v>4.7360575000000003</v>
      </c>
      <c r="K121" s="32">
        <f>'input site'!BS121</f>
        <v>5.7639671430536978</v>
      </c>
      <c r="L121" s="32">
        <f t="shared" si="21"/>
        <v>0</v>
      </c>
      <c r="M121" s="32">
        <f t="shared" si="22"/>
        <v>0</v>
      </c>
      <c r="N121" s="32">
        <f>'input site'!EV121</f>
        <v>3.4925977492372566</v>
      </c>
      <c r="O121" s="8"/>
      <c r="P121" s="36"/>
      <c r="Q121" s="32">
        <f t="shared" si="23"/>
        <v>0</v>
      </c>
      <c r="R121" s="32">
        <f>'input site'!EZ121</f>
        <v>3.2568111530156769</v>
      </c>
      <c r="S121" s="37">
        <f>'input site'!FA121</f>
        <v>2050</v>
      </c>
      <c r="T121" s="37" t="str">
        <f>Table12[[#This Row],[(Mt CO2 equivalent)]]</f>
        <v>Lesotho</v>
      </c>
      <c r="U121" s="8">
        <f>VLOOKUP($G121,'NZT data'!$B$3:$F$200,4,FALSE)</f>
        <v>2110</v>
      </c>
      <c r="V121" s="32">
        <f>VLOOKUP($G121,'NZT data'!$B$3:$F$200,5,FALSE)</f>
        <v>2125</v>
      </c>
      <c r="W121" s="32">
        <f>-IF('LUC NGHGI'!EC111="",MIN('LUC NGHGI'!DW111,0.1),MIN('LUC NGHGI'!EC111,0.1))</f>
        <v>-0.1</v>
      </c>
      <c r="X121" s="32">
        <f>'LUC NGHGI'!EC111</f>
        <v>0.49973859058565751</v>
      </c>
      <c r="Y121" s="32">
        <f>'LUC NGHGI'!DY111</f>
        <v>-1.5002614094143425</v>
      </c>
      <c r="Z121" s="32">
        <f>'LUC NGHGI'!DZ111</f>
        <v>-1.5002614094143425</v>
      </c>
      <c r="AA121" s="32">
        <f>Table12[[#This Row],[2021 emissions]]</f>
        <v>4.7360575000000003</v>
      </c>
      <c r="AB121" s="32">
        <f>'LUC NGHGI'!DW111</f>
        <v>0.50890849434409446</v>
      </c>
      <c r="AC121" s="32">
        <f>IF(F121="incl",Table12[[#This Row],[GHG emissions incl LULUCF]]-Table12[[#This Row],[LULUCF emis-sions in 20213]],Table12[[#This Row],[GHG emissions incl LULUCF]])</f>
        <v>4.7360575000000003</v>
      </c>
      <c r="AD121" s="32">
        <f>'input site'!BS121</f>
        <v>5.7639671430536978</v>
      </c>
      <c r="AE121" s="32">
        <f>'LUC NGHGI'!EH111</f>
        <v>0.40065870561768419</v>
      </c>
      <c r="AF121" s="32">
        <f>IF(F121="incl",Table12[[#This Row],[Current Policies 2030 incl LULUCF]]-Table12[[#This Row],[LULUCF CurPol 2030]],Table12[[#This Row],[Current Policies 2030 incl LULUCF]])</f>
        <v>5.7639671430536978</v>
      </c>
      <c r="AG121" s="32" t="str">
        <f>IF(Table12[[#This Row],[Net-zero target status]]&lt;=1,"",IF(Table12[[#This Row],[NZ GHG year]]="","",1000000000*(Table12[[#This Row],[residual LULUCF emissions in 2050]]-Table12[[#This Row],[GHG emissions excl LULUCF]])/(Table12[[#This Row],[NZ GHG year]]-2021)/Table12[[#This Row],[Population]]))</f>
        <v/>
      </c>
      <c r="AH121" s="32" t="str">
        <f>IF(Table12[[#This Row],[Peak revised]]="Yes",IF(Table12[[#This Row],[Net-zero target status]]&lt;=1,"",IF(Table12[[#This Row],[NZ GHG year]]="","",1000000000*(Table12[[#This Row],[residual LULUCF emissions in 2050]]-Table12[[#This Row],[GHG emissions excl LULUCF]])/(Table12[[#This Row],[NZ GHG year]]-2021)/Table12[[#This Row],[Population]])),"")</f>
        <v/>
      </c>
      <c r="AI121" s="32">
        <f>MAX(0,(1000000*(Table12[[#This Row],[Current Policies 2030 excl LULUCF]]/2+Table12[[#This Row],[GHG emissions excl LULUCF]]/2)/Table12[[#This Row],[Population]]-$AI$8)*10)*$AI$10</f>
        <v>0</v>
      </c>
      <c r="AJ12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1" s="32" t="str">
        <f>IF(Table12[[#This Row],[Formule no Peak (2)]]="","",Table12[[#This Row],[Penalty (1)]]+Table12[[#This Row],[Formule no Peak (2)]])</f>
        <v/>
      </c>
      <c r="AL121" s="313">
        <f>(Table12[[#This Row],[Current Policies 2030 excl LULUCF]]-Table12[[#This Row],[GHG emissions excl LULUCF]])/(2030-2021)/Table12[[#This Row],[GHG emissions excl LULUCF]]</f>
        <v>2.4115455220195689E-2</v>
      </c>
      <c r="AM121" s="313" t="str">
        <f>IF(Table12[[#This Row],[Net-zero target status]]&lt;=1,"",IF(Table12[[#This Row],[NZ GHG year]]="","",(Table12[[#This Row],[residual LULUCF emissions in 2050]]-Table12[[#This Row],[Current Policies 2030 excl LULUCF]])/(Table12[[#This Row],[NZ GHG year]]-2030)/Table12[[#This Row],[Current Policies 2030 excl LULUCF]]))</f>
        <v/>
      </c>
      <c r="AN121" s="313" t="str">
        <f>IF(Table12[[#This Row],[Net-zero target status]]&lt;=1,"",IF(Table12[[#This Row],[NZ GHG year]]="","",(Table12[[#This Row],[residual LULUCF emissions in 2050]]-Table12[[#This Row],[GHG emissions excl LULUCF]])/(Table12[[#This Row],[NZ GHG year]]-2021)/Table12[[#This Row],[GHG emissions excl LULUCF]]))</f>
        <v/>
      </c>
      <c r="AO121" s="313" t="str">
        <f>IF(Table12[[#This Row],[Net-zero target status]]&lt;=1,"",IF(Table12[[#This Row],[NZ GHG year]]="","",(Table12[[#This Row],[residual LULUCF emissions in 2050]]-Table12[[#This Row],[2030 conditional NDCs]])/(Table12[[#This Row],[NZ GHG year]]-2030)/Table12[[#This Row],[2030 conditional NDCs]]))</f>
        <v/>
      </c>
      <c r="AP121" s="96">
        <f>MAX('input site'!AH121:AS121)</f>
        <v>5.2911163999999999</v>
      </c>
      <c r="AQ121" s="95" t="str">
        <f>IF(Table12[[#This Row],[Current Policies 2030 incl LULUCF]]&gt;Table12[[#This Row],[Maximum inventory data]],"No","Yes")</f>
        <v>No</v>
      </c>
      <c r="AR121" s="34" t="str">
        <f>IF(Table12[[#This Row],[Net-zero target status]]&gt;=1.5,Table12[[#This Row],[residual LULUCF emissions in 2050]]/Table12[[#This Row],[GHG emissions excl LULUCF]],"")</f>
        <v/>
      </c>
      <c r="AS121" s="74">
        <f>'input site'!BE121</f>
        <v>2.696958</v>
      </c>
      <c r="AT121" s="74">
        <f>'input site'!BF121</f>
        <v>2.696958</v>
      </c>
      <c r="AU121" s="74">
        <f>'input site'!BG121</f>
        <v>1.9478030000000002</v>
      </c>
      <c r="AV121" s="75">
        <f>'input site'!BH121</f>
        <v>1.9478030000000002</v>
      </c>
      <c r="AW121" s="74">
        <f>IF(Table12[[#This Row],[2030 unconditional NDCs]]="","",IF(F121="incl",Table12[[#This Row],[2030 unconditional NDCs]]-Table12[[#This Row],[LULUCF NDC uncond]],Table12[[#This Row],[2030 unconditional NDCs]]))</f>
        <v>2.696958</v>
      </c>
      <c r="AX121" s="74">
        <f>IF(Table12[[#This Row],[2030 unconditional NDCs2]]="","",IF(F121="incl",Table12[[#This Row],[2030 unconditional NDCs2]]-Table12[[#This Row],[LULUCF NDC uncond]],Table12[[#This Row],[2030 unconditional NDCs2]]))</f>
        <v>2.696958</v>
      </c>
      <c r="AY121" s="74">
        <f>IF(Table12[[#This Row],[2030 conditional NDCs]]="","",IF(F121="incl",Table12[[#This Row],[2030 conditional NDCs]]-Table12[[#This Row],[LULUCF NDC cond]],Table12[[#This Row],[2030 conditional NDCs]]))</f>
        <v>1.9478030000000002</v>
      </c>
      <c r="AZ121" s="74">
        <f>IF(Table12[[#This Row],[2030 conditional NDCs2]]="","",IF(F121="incl",Table12[[#This Row],[2030 conditional NDCs2]]-Table12[[#This Row],[LULUCF NDC cond]],Table12[[#This Row],[2030 conditional NDCs2]]))</f>
        <v>1.9478030000000002</v>
      </c>
      <c r="BA121" s="8">
        <f>VLOOKUP($G121,'Population90 20'!$C$6:$AU$231,37,FALSE)</f>
        <v>2175699</v>
      </c>
      <c r="BB121" s="8">
        <f>VLOOKUP($G121,'Overview GDP (PPP)'!$C$6:$AI$231,33,FALSE)</f>
        <v>6039618.8501208378</v>
      </c>
      <c r="BC121" s="36">
        <f>Table12[[#This Row],[Income]]/Table12[[#This Row],[Population]]</f>
        <v>2.7759441219216621</v>
      </c>
      <c r="BD121" s="36">
        <f>Table12[[#This Row],[GHG emissions excl LULUCF]]*1000000/Table12[[#This Row],[Population]]</f>
        <v>2.1767981232698088</v>
      </c>
      <c r="BE121" s="23" t="e">
        <f>VLOOKUP($G121,EGR2023_MASTER!$B$4:$S$38,14,FALSE)</f>
        <v>#N/A</v>
      </c>
      <c r="BF121" s="23" t="e">
        <f>VLOOKUP($G121,EGR2023_MASTER!$B$4:$S$38,15,FALSE)</f>
        <v>#N/A</v>
      </c>
      <c r="BG121" s="23" t="e">
        <f>VLOOKUP($G121,EGR2023_MASTER!$B$4:$S$38,16,FALSE)</f>
        <v>#N/A</v>
      </c>
      <c r="BH121" s="23" t="e">
        <f t="shared" si="19"/>
        <v>#N/A</v>
      </c>
      <c r="BI121" s="23" t="e">
        <f t="shared" si="20"/>
        <v>#N/A</v>
      </c>
      <c r="BJ121" s="552">
        <f>(Table12[[#This Row],[Current Policies 2030 excl LULUCF]]/Table12[[#This Row],[GHG emissions excl LULUCF]])^(1/(2030-2021))-1</f>
        <v>2.2064446304015162E-2</v>
      </c>
      <c r="BK121" s="552" t="str">
        <f>IF(Table12[[#This Row],[Net-zero target status]]&lt;=1,"",IF(Table12[[#This Row],[NZ GHG year]]="","",((MAX(Table12[[#This Row],[residual LULUCF emissions in 2050]],0.1)/Table12[[#This Row],[Current Policies 2030 excl LULUCF]])^(1/(Table12[[#This Row],[NZ GHG year]]-2021))-1)))</f>
        <v/>
      </c>
      <c r="BL121" s="552" t="str">
        <f>IF(Table12[[#This Row],[Net-zero target status]]&lt;=1,"",IF(Table12[[#This Row],[NZ GHG year]]="","",((MAX(Table12[[#This Row],[residual LULUCF emissions in 2050]],0.1)/Table12[[#This Row],[GHG emissions excl LULUCF]])^(1/(Table12[[#This Row],[NZ GHG year]]-2021))-1)))</f>
        <v/>
      </c>
      <c r="BM121" s="552" t="str">
        <f>IF(Table12[[#This Row],[Net-zero target status]]&lt;=1,"",IF(Table12[[#This Row],[NZ GHG year]]="","",((MAX(Table12[[#This Row],[residual LULUCF emissions in 2050]],0.1)/AVERAGE(Table12[[#This Row],[2030 conditional NDCs]:[2030 conditional NDCs2]]))^(1/(Table12[[#This Row],[NZ GHG year]]-2021))-1)))</f>
        <v/>
      </c>
      <c r="BN121" s="23"/>
      <c r="BO121" s="23"/>
      <c r="BP121" s="23"/>
      <c r="BQ121" s="23"/>
      <c r="BR121" s="50" t="s">
        <v>271</v>
      </c>
      <c r="BT121" s="30" t="str">
        <f>IF(Table12[[#This Row],[Reduction rate 2021 to NZ target2]]="","",J121*(1+AN121)^(Table12[[#This Row],[NZ GHG year]]-2021))</f>
        <v/>
      </c>
    </row>
    <row r="122" spans="1:72" ht="15" x14ac:dyDescent="0.25">
      <c r="A122">
        <v>0</v>
      </c>
      <c r="B122">
        <v>0</v>
      </c>
      <c r="C122">
        <v>430</v>
      </c>
      <c r="D122">
        <v>111</v>
      </c>
      <c r="E122">
        <v>8</v>
      </c>
      <c r="F122" t="str">
        <f>'input site'!M122</f>
        <v>excl</v>
      </c>
      <c r="G122" s="31" t="s">
        <v>272</v>
      </c>
      <c r="H122" s="1" t="s">
        <v>273</v>
      </c>
      <c r="I122" s="8">
        <f>VLOOKUP($G122,'NZT data'!$B$3:$C$200,2,FALSE)</f>
        <v>3</v>
      </c>
      <c r="J122" s="32">
        <f>'input site'!AS122</f>
        <v>4.8343685000000001</v>
      </c>
      <c r="K122" s="32">
        <f>'input site'!BS122</f>
        <v>5.7576679256233039</v>
      </c>
      <c r="L122" s="32">
        <f t="shared" si="21"/>
        <v>0</v>
      </c>
      <c r="M122" s="32">
        <f t="shared" si="22"/>
        <v>0</v>
      </c>
      <c r="N122" s="32">
        <f>'input site'!EV122</f>
        <v>4.1447562013555768</v>
      </c>
      <c r="O122" s="8"/>
      <c r="P122" s="36"/>
      <c r="Q122" s="32">
        <f t="shared" si="23"/>
        <v>0</v>
      </c>
      <c r="R122" s="32">
        <f>'input site'!EZ122</f>
        <v>2.3608543133303006</v>
      </c>
      <c r="S122" s="37">
        <f>'input site'!FA122</f>
        <v>2050</v>
      </c>
      <c r="T122" s="37" t="str">
        <f>Table12[[#This Row],[(Mt CO2 equivalent)]]</f>
        <v>Liberia</v>
      </c>
      <c r="U122" s="8">
        <f>VLOOKUP($G122,'NZT data'!$B$3:$F$200,4,FALSE)</f>
        <v>2050</v>
      </c>
      <c r="V122" s="32">
        <f>VLOOKUP($G122,'NZT data'!$B$3:$F$200,5,FALSE)</f>
        <v>2065</v>
      </c>
      <c r="W122" s="32">
        <f>-IF('LUC NGHGI'!EC112="",MIN('LUC NGHGI'!DW112,0.1),MIN('LUC NGHGI'!EC112,0.1))</f>
        <v>13.060012115384779</v>
      </c>
      <c r="X122" s="32">
        <f>'LUC NGHGI'!EC112</f>
        <v>-13.060012115384779</v>
      </c>
      <c r="Y122" s="32">
        <f>'LUC NGHGI'!DY112</f>
        <v>-13.060012115384779</v>
      </c>
      <c r="Z122" s="32">
        <f>'LUC NGHGI'!DZ112</f>
        <v>-13.060012115384779</v>
      </c>
      <c r="AA122" s="32">
        <f>Table12[[#This Row],[2021 emissions]]</f>
        <v>4.8343685000000001</v>
      </c>
      <c r="AB122" s="32">
        <f>'LUC NGHGI'!DW112</f>
        <v>-9.6805862884621092</v>
      </c>
      <c r="AC122" s="32">
        <f>IF(F122="incl",Table12[[#This Row],[GHG emissions incl LULUCF]]-Table12[[#This Row],[LULUCF emis-sions in 20213]],Table12[[#This Row],[GHG emissions incl LULUCF]])</f>
        <v>4.8343685000000001</v>
      </c>
      <c r="AD122" s="32">
        <f>'input site'!BS122</f>
        <v>5.7576679256233039</v>
      </c>
      <c r="AE122" s="32">
        <f>'LUC NGHGI'!EH112</f>
        <v>-16.947933356765859</v>
      </c>
      <c r="AF122" s="32">
        <f>IF(F122="incl",Table12[[#This Row],[Current Policies 2030 incl LULUCF]]-Table12[[#This Row],[LULUCF CurPol 2030]],Table12[[#This Row],[Current Policies 2030 incl LULUCF]])</f>
        <v>5.7576679256233039</v>
      </c>
      <c r="AG122" s="32">
        <f>IF(Table12[[#This Row],[Net-zero target status]]&lt;=1,"",IF(Table12[[#This Row],[NZ GHG year]]="","",1000000000*(Table12[[#This Row],[residual LULUCF emissions in 2050]]-Table12[[#This Row],[GHG emissions excl LULUCF]])/(Table12[[#This Row],[NZ GHG year]]-2021)/Table12[[#This Row],[Population]]))</f>
        <v>35.238892149635817</v>
      </c>
      <c r="AH122" s="32" t="str">
        <f>IF(Table12[[#This Row],[Peak revised]]="Yes",IF(Table12[[#This Row],[Net-zero target status]]&lt;=1,"",IF(Table12[[#This Row],[NZ GHG year]]="","",1000000000*(Table12[[#This Row],[residual LULUCF emissions in 2050]]-Table12[[#This Row],[GHG emissions excl LULUCF]])/(Table12[[#This Row],[NZ GHG year]]-2021)/Table12[[#This Row],[Population]])),"")</f>
        <v/>
      </c>
      <c r="AI122" s="32">
        <f>MAX(0,(1000000*(Table12[[#This Row],[Current Policies 2030 excl LULUCF]]/2+Table12[[#This Row],[GHG emissions excl LULUCF]]/2)/Table12[[#This Row],[Population]]-$AI$8)*10)*$AI$10</f>
        <v>0</v>
      </c>
      <c r="AJ122" s="32">
        <f>IF(Table12[[#This Row],[Peak revised]]="No",IF(Table12[[#This Row],[Net-zero target status]]&lt;=1,"",IF(Table12[[#This Row],[NZ GHG year]]="","",1000000000*(Table12[[#This Row],[residual LULUCF emissions in 2050]]-Table12[[#This Row],[Current Policies 2030 excl LULUCF]])/(Table12[[#This Row],[NZ GHG year]]-2021)/Table12[[#This Row],[Population]])),"")</f>
        <v>31.283451043421749</v>
      </c>
      <c r="AK122" s="32">
        <f>IF(Table12[[#This Row],[Formule no Peak (2)]]="","",Table12[[#This Row],[Penalty (1)]]+Table12[[#This Row],[Formule no Peak (2)]])</f>
        <v>31.283451043421749</v>
      </c>
      <c r="AL122" s="313">
        <f>(Table12[[#This Row],[Current Policies 2030 excl LULUCF]]-Table12[[#This Row],[GHG emissions excl LULUCF]])/(2030-2021)/Table12[[#This Row],[GHG emissions excl LULUCF]]</f>
        <v>2.1220729257452341E-2</v>
      </c>
      <c r="AM122" s="313">
        <f>IF(Table12[[#This Row],[Net-zero target status]]&lt;=1,"",IF(Table12[[#This Row],[NZ GHG year]]="","",(Table12[[#This Row],[residual LULUCF emissions in 2050]]-Table12[[#This Row],[Current Policies 2030 excl LULUCF]])/(Table12[[#This Row],[NZ GHG year]]-2030)/Table12[[#This Row],[Current Policies 2030 excl LULUCF]]))</f>
        <v>3.6236616650511332E-2</v>
      </c>
      <c r="AN122" s="313">
        <f>IF(Table12[[#This Row],[Net-zero target status]]&lt;=1,"",IF(Table12[[#This Row],[NZ GHG year]]="","",(Table12[[#This Row],[residual LULUCF emissions in 2050]]-Table12[[#This Row],[GHG emissions excl LULUCF]])/(Table12[[#This Row],[NZ GHG year]]-2021)/Table12[[#This Row],[GHG emissions excl LULUCF]]))</f>
        <v>3.8670292884003261E-2</v>
      </c>
      <c r="AO122" s="313">
        <f>IF(Table12[[#This Row],[Net-zero target status]]&lt;=1,"",IF(Table12[[#This Row],[NZ GHG year]]="","",(Table12[[#This Row],[residual LULUCF emissions in 2050]]-Table12[[#This Row],[2030 conditional NDCs]])/(Table12[[#This Row],[NZ GHG year]]-2030)/Table12[[#This Row],[2030 conditional NDCs]]))</f>
        <v>5.4226007090299087E-2</v>
      </c>
      <c r="AP122" s="96">
        <f>MAX('input site'!AH122:AS122)</f>
        <v>4.8343685000000001</v>
      </c>
      <c r="AQ122" s="95" t="str">
        <f>IF(Table12[[#This Row],[Current Policies 2030 incl LULUCF]]&gt;Table12[[#This Row],[Maximum inventory data]],"No","Yes")</f>
        <v>No</v>
      </c>
      <c r="AR122" s="34">
        <f>IF(Table12[[#This Row],[Net-zero target status]]&gt;=1.5,Table12[[#This Row],[residual LULUCF emissions in 2050]]/Table12[[#This Row],[GHG emissions excl LULUCF]],"")</f>
        <v>2.7014928868961436</v>
      </c>
      <c r="AS122" s="74" t="str">
        <f>'input site'!BE122</f>
        <v/>
      </c>
      <c r="AT122" s="74" t="str">
        <f>'input site'!BF122</f>
        <v/>
      </c>
      <c r="AU122" s="74">
        <f>'input site'!BG122</f>
        <v>4.5066999999999995</v>
      </c>
      <c r="AV122" s="75">
        <f>'input site'!BH122</f>
        <v>4.5066999999999995</v>
      </c>
      <c r="AW122" s="74" t="str">
        <f>IF(Table12[[#This Row],[2030 unconditional NDCs]]="","",IF(F122="incl",Table12[[#This Row],[2030 unconditional NDCs]]-Table12[[#This Row],[LULUCF NDC uncond]],Table12[[#This Row],[2030 unconditional NDCs]]))</f>
        <v/>
      </c>
      <c r="AX122" s="74" t="str">
        <f>IF(Table12[[#This Row],[2030 unconditional NDCs2]]="","",IF(F122="incl",Table12[[#This Row],[2030 unconditional NDCs2]]-Table12[[#This Row],[LULUCF NDC uncond]],Table12[[#This Row],[2030 unconditional NDCs2]]))</f>
        <v/>
      </c>
      <c r="AY122" s="74">
        <f>IF(Table12[[#This Row],[2030 conditional NDCs]]="","",IF(F122="incl",Table12[[#This Row],[2030 conditional NDCs]]-Table12[[#This Row],[LULUCF NDC cond]],Table12[[#This Row],[2030 conditional NDCs]]))</f>
        <v>4.5066999999999995</v>
      </c>
      <c r="AZ122" s="74">
        <f>IF(Table12[[#This Row],[2030 conditional NDCs2]]="","",IF(F122="incl",Table12[[#This Row],[2030 conditional NDCs2]]-Table12[[#This Row],[LULUCF NDC cond]],Table12[[#This Row],[2030 conditional NDCs2]]))</f>
        <v>4.5066999999999995</v>
      </c>
      <c r="BA122" s="8">
        <f>VLOOKUP($G122,'Population90 20'!$C$6:$AU$231,37,FALSE)</f>
        <v>5305117</v>
      </c>
      <c r="BB122" s="8">
        <f>VLOOKUP($G122,'Overview GDP (PPP)'!$C$6:$AI$231,33,FALSE)</f>
        <v>5595689.6717935028</v>
      </c>
      <c r="BC122" s="36">
        <f>Table12[[#This Row],[Income]]/Table12[[#This Row],[Population]]</f>
        <v>1.0547721514517969</v>
      </c>
      <c r="BD122" s="36">
        <f>Table12[[#This Row],[GHG emissions excl LULUCF]]*1000000/Table12[[#This Row],[Population]]</f>
        <v>0.91126519924065763</v>
      </c>
      <c r="BE122" s="23" t="e">
        <f>VLOOKUP($G122,EGR2023_MASTER!$B$4:$S$38,14,FALSE)</f>
        <v>#N/A</v>
      </c>
      <c r="BF122" s="23" t="e">
        <f>VLOOKUP($G122,EGR2023_MASTER!$B$4:$S$38,15,FALSE)</f>
        <v>#N/A</v>
      </c>
      <c r="BG122" s="23" t="e">
        <f>VLOOKUP($G122,EGR2023_MASTER!$B$4:$S$38,16,FALSE)</f>
        <v>#N/A</v>
      </c>
      <c r="BH122" s="23" t="e">
        <f t="shared" si="19"/>
        <v>#N/A</v>
      </c>
      <c r="BI122" s="23" t="e">
        <f t="shared" si="20"/>
        <v>#N/A</v>
      </c>
      <c r="BJ122" s="552">
        <f>(Table12[[#This Row],[Current Policies 2030 excl LULUCF]]/Table12[[#This Row],[GHG emissions excl LULUCF]])^(1/(2030-2021))-1</f>
        <v>1.9610022352633871E-2</v>
      </c>
      <c r="BK122" s="552">
        <f>IF(Table12[[#This Row],[Net-zero target status]]&lt;=1,"",IF(Table12[[#This Row],[NZ GHG year]]="","",((MAX(Table12[[#This Row],[residual LULUCF emissions in 2050]],0.1)/Table12[[#This Row],[Current Policies 2030 excl LULUCF]])^(1/(Table12[[#This Row],[NZ GHG year]]-2021))-1)))</f>
        <v>1.8788471680988295E-2</v>
      </c>
      <c r="BL122" s="552">
        <f>IF(Table12[[#This Row],[Net-zero target status]]&lt;=1,"",IF(Table12[[#This Row],[NZ GHG year]]="","",((MAX(Table12[[#This Row],[residual LULUCF emissions in 2050]],0.1)/Table12[[#This Row],[GHG emissions excl LULUCF]])^(1/(Table12[[#This Row],[NZ GHG year]]-2021))-1)))</f>
        <v>2.2843472391177455E-2</v>
      </c>
      <c r="BM122" s="552">
        <f>IF(Table12[[#This Row],[Net-zero target status]]&lt;=1,"",IF(Table12[[#This Row],[NZ GHG year]]="","",((MAX(Table12[[#This Row],[residual LULUCF emissions in 2050]],0.1)/AVERAGE(Table12[[#This Row],[2030 conditional NDCs]:[2030 conditional NDCs2]]))^(1/(Table12[[#This Row],[NZ GHG year]]-2021))-1)))</f>
        <v>2.4476333636240799E-2</v>
      </c>
      <c r="BN122" s="23"/>
      <c r="BO122" s="23"/>
      <c r="BP122" s="23"/>
      <c r="BQ122" s="23"/>
      <c r="BR122" s="50" t="s">
        <v>273</v>
      </c>
      <c r="BT122" s="30">
        <f>IF(Table12[[#This Row],[Reduction rate 2021 to NZ target2]]="","",J122*(1+AN122)^(Table12[[#This Row],[NZ GHG year]]-2021))</f>
        <v>25.666048661640819</v>
      </c>
    </row>
    <row r="123" spans="1:72" ht="15" x14ac:dyDescent="0.25">
      <c r="A123">
        <v>0</v>
      </c>
      <c r="B123">
        <v>0</v>
      </c>
      <c r="C123">
        <v>434</v>
      </c>
      <c r="D123">
        <v>112</v>
      </c>
      <c r="E123">
        <v>7</v>
      </c>
      <c r="F123" t="str">
        <f>'input site'!M123</f>
        <v>excl</v>
      </c>
      <c r="G123" s="31" t="s">
        <v>274</v>
      </c>
      <c r="H123" s="1" t="s">
        <v>275</v>
      </c>
      <c r="I123" s="8">
        <f>VLOOKUP($G123,'NZT data'!$B$3:$C$200,2,FALSE)</f>
        <v>0</v>
      </c>
      <c r="J123" s="32">
        <f>'input site'!AS123</f>
        <v>95.512130999999997</v>
      </c>
      <c r="K123" s="32">
        <f>'input site'!BS123</f>
        <v>95.239143210969232</v>
      </c>
      <c r="L123" s="32">
        <f t="shared" si="21"/>
        <v>95.239143210969232</v>
      </c>
      <c r="M123" s="32">
        <f t="shared" si="22"/>
        <v>38.582277775424437</v>
      </c>
      <c r="N123" s="32">
        <f>'input site'!EV123</f>
        <v>38.582277775424437</v>
      </c>
      <c r="O123" s="8"/>
      <c r="P123" s="8"/>
      <c r="Q123" s="32">
        <f t="shared" si="23"/>
        <v>11.489061554047442</v>
      </c>
      <c r="R123" s="32">
        <f>'input site'!EZ123</f>
        <v>11.489061554047442</v>
      </c>
      <c r="S123" s="37">
        <f>'input site'!FA123</f>
        <v>0</v>
      </c>
      <c r="T123" s="37" t="str">
        <f>Table12[[#This Row],[(Mt CO2 equivalent)]]</f>
        <v>Libya</v>
      </c>
      <c r="U123" s="35">
        <v>2100</v>
      </c>
      <c r="V123" s="35">
        <v>2100</v>
      </c>
      <c r="W123" s="32">
        <f>-IF('LUC NGHGI'!EC113="",MIN('LUC NGHGI'!DW113,0.1),MIN('LUC NGHGI'!EC113,0.1))</f>
        <v>0</v>
      </c>
      <c r="X123" s="32" t="str">
        <f>'LUC NGHGI'!EC113</f>
        <v/>
      </c>
      <c r="Y123" s="32" t="str">
        <f>'LUC NGHGI'!DY113</f>
        <v/>
      </c>
      <c r="Z123" s="32" t="str">
        <f>'LUC NGHGI'!DZ113</f>
        <v/>
      </c>
      <c r="AA123" s="32">
        <f>Table12[[#This Row],[2021 emissions]]</f>
        <v>95.512130999999997</v>
      </c>
      <c r="AB123" s="32">
        <f>'LUC NGHGI'!DW113</f>
        <v>0</v>
      </c>
      <c r="AC123" s="32">
        <f>IF(F123="incl",Table12[[#This Row],[GHG emissions incl LULUCF]]-Table12[[#This Row],[LULUCF emis-sions in 20213]],Table12[[#This Row],[GHG emissions incl LULUCF]])</f>
        <v>95.512130999999997</v>
      </c>
      <c r="AD123" s="32">
        <f>'input site'!BS123</f>
        <v>95.239143210969232</v>
      </c>
      <c r="AE123" s="32">
        <f>'LUC NGHGI'!EH113</f>
        <v>0</v>
      </c>
      <c r="AF123" s="32">
        <f>IF(F123="incl",Table12[[#This Row],[Current Policies 2030 incl LULUCF]]-Table12[[#This Row],[LULUCF CurPol 2030]],Table12[[#This Row],[Current Policies 2030 incl LULUCF]])</f>
        <v>95.239143210969232</v>
      </c>
      <c r="AG123" s="32" t="str">
        <f>IF(Table12[[#This Row],[Net-zero target status]]&lt;=1,"",IF(Table12[[#This Row],[NZ GHG year]]="","",1000000000*(Table12[[#This Row],[residual LULUCF emissions in 2050]]-Table12[[#This Row],[GHG emissions excl LULUCF]])/(Table12[[#This Row],[NZ GHG year]]-2021)/Table12[[#This Row],[Population]]))</f>
        <v/>
      </c>
      <c r="AH123" s="32" t="str">
        <f>IF(Table12[[#This Row],[Peak revised]]="Yes",IF(Table12[[#This Row],[Net-zero target status]]&lt;=1,"",IF(Table12[[#This Row],[NZ GHG year]]="","",1000000000*(Table12[[#This Row],[residual LULUCF emissions in 2050]]-Table12[[#This Row],[GHG emissions excl LULUCF]])/(Table12[[#This Row],[NZ GHG year]]-2021)/Table12[[#This Row],[Population]])),"")</f>
        <v/>
      </c>
      <c r="AI123" s="32">
        <f>MAX(0,(1000000*(Table12[[#This Row],[Current Policies 2030 excl LULUCF]]/2+Table12[[#This Row],[GHG emissions excl LULUCF]]/2)/Table12[[#This Row],[Population]]-$AI$8)*10)*$AI$10</f>
        <v>-654.62422095225179</v>
      </c>
      <c r="AJ12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3" s="32" t="str">
        <f>IF(Table12[[#This Row],[Formule no Peak (2)]]="","",Table12[[#This Row],[Penalty (1)]]+Table12[[#This Row],[Formule no Peak (2)]])</f>
        <v/>
      </c>
      <c r="AL123" s="313">
        <f>(Table12[[#This Row],[Current Policies 2030 excl LULUCF]]-Table12[[#This Row],[GHG emissions excl LULUCF]])/(2030-2021)/Table12[[#This Row],[GHG emissions excl LULUCF]]</f>
        <v>-3.1757198003438817E-4</v>
      </c>
      <c r="AM123" s="313" t="str">
        <f>IF(Table12[[#This Row],[Net-zero target status]]&lt;=1,"",IF(Table12[[#This Row],[NZ GHG year]]="","",(Table12[[#This Row],[residual LULUCF emissions in 2050]]-Table12[[#This Row],[Current Policies 2030 excl LULUCF]])/(Table12[[#This Row],[NZ GHG year]]-2030)/Table12[[#This Row],[Current Policies 2030 excl LULUCF]]))</f>
        <v/>
      </c>
      <c r="AN123" s="313" t="str">
        <f>IF(Table12[[#This Row],[Net-zero target status]]&lt;=1,"",IF(Table12[[#This Row],[NZ GHG year]]="","",(Table12[[#This Row],[residual LULUCF emissions in 2050]]-Table12[[#This Row],[GHG emissions excl LULUCF]])/(Table12[[#This Row],[NZ GHG year]]-2021)/Table12[[#This Row],[GHG emissions excl LULUCF]]))</f>
        <v/>
      </c>
      <c r="AO123" s="313" t="str">
        <f>IF(Table12[[#This Row],[Net-zero target status]]&lt;=1,"",IF(Table12[[#This Row],[NZ GHG year]]="","",(Table12[[#This Row],[residual LULUCF emissions in 2050]]-Table12[[#This Row],[2030 conditional NDCs]])/(Table12[[#This Row],[NZ GHG year]]-2030)/Table12[[#This Row],[2030 conditional NDCs]]))</f>
        <v/>
      </c>
      <c r="AP123" s="96">
        <f>MAX('input site'!AH123:AS123)</f>
        <v>103.5278</v>
      </c>
      <c r="AQ123" s="95" t="str">
        <f>IF(Table12[[#This Row],[Current Policies 2030 incl LULUCF]]&gt;Table12[[#This Row],[Maximum inventory data]],"No","Yes")</f>
        <v>Yes</v>
      </c>
      <c r="AR123" s="34" t="str">
        <f>IF(Table12[[#This Row],[Net-zero target status]]&gt;=1.5,Table12[[#This Row],[residual LULUCF emissions in 2050]]/Table12[[#This Row],[GHG emissions excl LULUCF]],"")</f>
        <v/>
      </c>
      <c r="AS123" s="74" t="str">
        <f>'input site'!BE123</f>
        <v/>
      </c>
      <c r="AT123" s="74" t="str">
        <f>'input site'!BF123</f>
        <v/>
      </c>
      <c r="AU123" s="74" t="str">
        <f>'input site'!BG123</f>
        <v/>
      </c>
      <c r="AV123" s="75" t="str">
        <f>'input site'!BH123</f>
        <v/>
      </c>
      <c r="AW123" s="74" t="str">
        <f>IF(Table12[[#This Row],[2030 unconditional NDCs]]="","",IF(F123="incl",Table12[[#This Row],[2030 unconditional NDCs]]-Table12[[#This Row],[LULUCF NDC uncond]],Table12[[#This Row],[2030 unconditional NDCs]]))</f>
        <v/>
      </c>
      <c r="AX123" s="74" t="str">
        <f>IF(Table12[[#This Row],[2030 unconditional NDCs2]]="","",IF(F123="incl",Table12[[#This Row],[2030 unconditional NDCs2]]-Table12[[#This Row],[LULUCF NDC uncond]],Table12[[#This Row],[2030 unconditional NDCs2]]))</f>
        <v/>
      </c>
      <c r="AY123" s="74" t="str">
        <f>IF(Table12[[#This Row],[2030 conditional NDCs]]="","",IF(F123="incl",Table12[[#This Row],[2030 conditional NDCs]]-Table12[[#This Row],[LULUCF NDC cond]],Table12[[#This Row],[2030 conditional NDCs]]))</f>
        <v/>
      </c>
      <c r="AZ123" s="74" t="str">
        <f>IF(Table12[[#This Row],[2030 conditional NDCs2]]="","",IF(F123="incl",Table12[[#This Row],[2030 conditional NDCs2]]-Table12[[#This Row],[LULUCF NDC cond]],Table12[[#This Row],[2030 conditional NDCs2]]))</f>
        <v/>
      </c>
      <c r="BA123" s="8">
        <f>VLOOKUP($G123,'Population90 20'!$C$6:$AU$231,37,FALSE)</f>
        <v>7040745</v>
      </c>
      <c r="BB123" s="8">
        <f>VLOOKUP($G123,'Overview GDP (PPP)'!$C$6:$AI$231,33,FALSE)</f>
        <v>122922391.8425038</v>
      </c>
      <c r="BC123" s="36">
        <f>Table12[[#This Row],[Income]]/Table12[[#This Row],[Population]]</f>
        <v>17.45871947393405</v>
      </c>
      <c r="BD123" s="36">
        <f>Table12[[#This Row],[GHG emissions excl LULUCF]]*1000000/Table12[[#This Row],[Population]]</f>
        <v>13.565628495279974</v>
      </c>
      <c r="BE123" s="23" t="e">
        <f>VLOOKUP($G123,EGR2023_MASTER!$B$4:$S$38,14,FALSE)</f>
        <v>#N/A</v>
      </c>
      <c r="BF123" s="23" t="e">
        <f>VLOOKUP($G123,EGR2023_MASTER!$B$4:$S$38,15,FALSE)</f>
        <v>#N/A</v>
      </c>
      <c r="BG123" s="23" t="e">
        <f>VLOOKUP($G123,EGR2023_MASTER!$B$4:$S$38,16,FALSE)</f>
        <v>#N/A</v>
      </c>
      <c r="BH123" s="23" t="e">
        <f t="shared" si="19"/>
        <v>#N/A</v>
      </c>
      <c r="BI123" s="23" t="e">
        <f t="shared" si="20"/>
        <v>#N/A</v>
      </c>
      <c r="BJ123" s="552">
        <f>(Table12[[#This Row],[Current Policies 2030 excl LULUCF]]/Table12[[#This Row],[GHG emissions excl LULUCF]])^(1/(2030-2021))-1</f>
        <v>-3.1797611534878367E-4</v>
      </c>
      <c r="BK123" s="552" t="str">
        <f>IF(Table12[[#This Row],[Net-zero target status]]&lt;=1,"",IF(Table12[[#This Row],[NZ GHG year]]="","",((MAX(Table12[[#This Row],[residual LULUCF emissions in 2050]],0.1)/Table12[[#This Row],[Current Policies 2030 excl LULUCF]])^(1/(Table12[[#This Row],[NZ GHG year]]-2021))-1)))</f>
        <v/>
      </c>
      <c r="BL123" s="552" t="str">
        <f>IF(Table12[[#This Row],[Net-zero target status]]&lt;=1,"",IF(Table12[[#This Row],[NZ GHG year]]="","",((MAX(Table12[[#This Row],[residual LULUCF emissions in 2050]],0.1)/Table12[[#This Row],[GHG emissions excl LULUCF]])^(1/(Table12[[#This Row],[NZ GHG year]]-2021))-1)))</f>
        <v/>
      </c>
      <c r="BM123" s="552" t="str">
        <f>IF(Table12[[#This Row],[Net-zero target status]]&lt;=1,"",IF(Table12[[#This Row],[NZ GHG year]]="","",((MAX(Table12[[#This Row],[residual LULUCF emissions in 2050]],0.1)/AVERAGE(Table12[[#This Row],[2030 conditional NDCs]:[2030 conditional NDCs2]]))^(1/(Table12[[#This Row],[NZ GHG year]]-2021))-1)))</f>
        <v/>
      </c>
      <c r="BN123" s="23"/>
      <c r="BO123" s="23"/>
      <c r="BP123" s="23"/>
      <c r="BQ123" s="23"/>
      <c r="BR123" s="50" t="s">
        <v>275</v>
      </c>
      <c r="BT123" s="30" t="str">
        <f>IF(Table12[[#This Row],[Reduction rate 2021 to NZ target2]]="","",J123*(1+AN123)^(Table12[[#This Row],[NZ GHG year]]-2021))</f>
        <v/>
      </c>
    </row>
    <row r="124" spans="1:72" ht="15" x14ac:dyDescent="0.25">
      <c r="A124">
        <v>0</v>
      </c>
      <c r="B124">
        <v>0</v>
      </c>
      <c r="C124">
        <v>438</v>
      </c>
      <c r="D124">
        <v>113</v>
      </c>
      <c r="E124">
        <v>11</v>
      </c>
      <c r="F124" t="str">
        <f>'input site'!M124</f>
        <v>excl</v>
      </c>
      <c r="G124" s="31" t="s">
        <v>276</v>
      </c>
      <c r="H124" s="1" t="s">
        <v>277</v>
      </c>
      <c r="I124" s="8">
        <f>VLOOKUP($G124,'NZT data'!$B$3:$C$200,2,FALSE)</f>
        <v>0</v>
      </c>
      <c r="J124" s="32">
        <f>'input site'!AS124</f>
        <v>0.18306301</v>
      </c>
      <c r="K124" s="32">
        <f>'input site'!BS124</f>
        <v>0.10213991636233</v>
      </c>
      <c r="L124" s="32">
        <f t="shared" si="21"/>
        <v>0.10213991636233</v>
      </c>
      <c r="M124" s="32">
        <f t="shared" si="22"/>
        <v>3.6948693596044822E-2</v>
      </c>
      <c r="N124" s="32">
        <f>'input site'!EV124</f>
        <v>3.6948693596044822E-2</v>
      </c>
      <c r="O124" s="8"/>
      <c r="P124" s="8"/>
      <c r="Q124" s="32">
        <f t="shared" si="23"/>
        <v>2.0437205629635559E-2</v>
      </c>
      <c r="R124" s="32">
        <f>'input site'!EZ124</f>
        <v>2.0437205629635559E-2</v>
      </c>
      <c r="S124" s="37">
        <f>'input site'!FA124</f>
        <v>0</v>
      </c>
      <c r="T124" s="37" t="str">
        <f>Table12[[#This Row],[(Mt CO2 equivalent)]]</f>
        <v>Liechtenstein</v>
      </c>
      <c r="U124" s="8">
        <f>VLOOKUP($G124,'NZT data'!$B$3:$F$200,4,FALSE)</f>
        <v>2110</v>
      </c>
      <c r="V124" s="32" t="str">
        <f>VLOOKUP($G124,'NZT data'!$B$3:$F$200,5,FALSE)</f>
        <v/>
      </c>
      <c r="W124" s="32">
        <f>-IF('LUC NGHGI'!EC114="",MIN('LUC NGHGI'!DW114,0.1),MIN('LUC NGHGI'!EC114,0.1))</f>
        <v>-4.7327409462026805E-3</v>
      </c>
      <c r="X124" s="32">
        <f>'LUC NGHGI'!EC114</f>
        <v>4.7327409462026805E-3</v>
      </c>
      <c r="Y124" s="32">
        <f>'LUC NGHGI'!DY114</f>
        <v>1.235E-2</v>
      </c>
      <c r="Z124" s="32">
        <f>'LUC NGHGI'!DZ114</f>
        <v>1.235E-2</v>
      </c>
      <c r="AA124" s="32">
        <f>Table12[[#This Row],[2021 emissions]]</f>
        <v>0.18306301</v>
      </c>
      <c r="AB124" s="32">
        <f>'LUC NGHGI'!DW114</f>
        <v>2.2544911418519119E-4</v>
      </c>
      <c r="AC124" s="32">
        <f>IF(F124="incl",Table12[[#This Row],[GHG emissions incl LULUCF]]-Table12[[#This Row],[LULUCF emis-sions in 20213]],Table12[[#This Row],[GHG emissions incl LULUCF]])</f>
        <v>0.18306301</v>
      </c>
      <c r="AD124" s="32">
        <f>'input site'!BS124</f>
        <v>0.10213991636233</v>
      </c>
      <c r="AE124" s="32">
        <f>'LUC NGHGI'!EH114</f>
        <v>4.5647816828305512E-3</v>
      </c>
      <c r="AF124" s="32">
        <f>IF(F124="incl",Table12[[#This Row],[Current Policies 2030 incl LULUCF]]-Table12[[#This Row],[LULUCF CurPol 2030]],Table12[[#This Row],[Current Policies 2030 incl LULUCF]])</f>
        <v>0.10213991636233</v>
      </c>
      <c r="AG124" s="32" t="str">
        <f>IF(Table12[[#This Row],[Net-zero target status]]&lt;=1,"",IF(Table12[[#This Row],[NZ GHG year]]="","",1000000000*(Table12[[#This Row],[residual LULUCF emissions in 2050]]-Table12[[#This Row],[GHG emissions excl LULUCF]])/(Table12[[#This Row],[NZ GHG year]]-2021)/Table12[[#This Row],[Population]]))</f>
        <v/>
      </c>
      <c r="AH124" s="32" t="str">
        <f>IF(Table12[[#This Row],[Peak revised]]="Yes",IF(Table12[[#This Row],[Net-zero target status]]&lt;=1,"",IF(Table12[[#This Row],[NZ GHG year]]="","",1000000000*(Table12[[#This Row],[residual LULUCF emissions in 2050]]-Table12[[#This Row],[GHG emissions excl LULUCF]])/(Table12[[#This Row],[NZ GHG year]]-2021)/Table12[[#This Row],[Population]])),"")</f>
        <v/>
      </c>
      <c r="AI124" s="32">
        <f>MAX(0,(1000000*(Table12[[#This Row],[Current Policies 2030 excl LULUCF]]/2+Table12[[#This Row],[GHG emissions excl LULUCF]]/2)/Table12[[#This Row],[Population]]-$AI$8)*10)*$AI$10</f>
        <v>0</v>
      </c>
      <c r="AJ12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4" s="32" t="str">
        <f>IF(Table12[[#This Row],[Formule no Peak (2)]]="","",Table12[[#This Row],[Penalty (1)]]+Table12[[#This Row],[Formule no Peak (2)]])</f>
        <v/>
      </c>
      <c r="AL124" s="313">
        <f>(Table12[[#This Row],[Current Policies 2030 excl LULUCF]]-Table12[[#This Row],[GHG emissions excl LULUCF]])/(2030-2021)/Table12[[#This Row],[GHG emissions excl LULUCF]]</f>
        <v>-4.9116721333435961E-2</v>
      </c>
      <c r="AM124" s="313" t="str">
        <f>IF(Table12[[#This Row],[Net-zero target status]]&lt;=1,"",IF(Table12[[#This Row],[NZ GHG year]]="","",(Table12[[#This Row],[residual LULUCF emissions in 2050]]-Table12[[#This Row],[Current Policies 2030 excl LULUCF]])/(Table12[[#This Row],[NZ GHG year]]-2030)/Table12[[#This Row],[Current Policies 2030 excl LULUCF]]))</f>
        <v/>
      </c>
      <c r="AN124" s="313" t="str">
        <f>IF(Table12[[#This Row],[Net-zero target status]]&lt;=1,"",IF(Table12[[#This Row],[NZ GHG year]]="","",(Table12[[#This Row],[residual LULUCF emissions in 2050]]-Table12[[#This Row],[GHG emissions excl LULUCF]])/(Table12[[#This Row],[NZ GHG year]]-2021)/Table12[[#This Row],[GHG emissions excl LULUCF]]))</f>
        <v/>
      </c>
      <c r="AO124" s="313" t="str">
        <f>IF(Table12[[#This Row],[Net-zero target status]]&lt;=1,"",IF(Table12[[#This Row],[NZ GHG year]]="","",(Table12[[#This Row],[residual LULUCF emissions in 2050]]-Table12[[#This Row],[2030 conditional NDCs]])/(Table12[[#This Row],[NZ GHG year]]-2030)/Table12[[#This Row],[2030 conditional NDCs]]))</f>
        <v/>
      </c>
      <c r="AP124" s="96">
        <f>MAX('input site'!AH124:AS124)</f>
        <v>0.23051462</v>
      </c>
      <c r="AQ124" s="95" t="str">
        <f>IF(Table12[[#This Row],[Current Policies 2030 incl LULUCF]]&gt;Table12[[#This Row],[Maximum inventory data]],"No","Yes")</f>
        <v>Yes</v>
      </c>
      <c r="AR124" s="34" t="str">
        <f>IF(Table12[[#This Row],[Net-zero target status]]&gt;=1.5,Table12[[#This Row],[residual LULUCF emissions in 2050]]/Table12[[#This Row],[GHG emissions excl LULUCF]],"")</f>
        <v/>
      </c>
      <c r="AS124" s="74">
        <f>'input site'!BE124</f>
        <v>0.14230725033771408</v>
      </c>
      <c r="AT124" s="74">
        <f>'input site'!BF124</f>
        <v>0.14230725033771408</v>
      </c>
      <c r="AU124" s="74">
        <f>'input site'!BG124</f>
        <v>0.14230725033771408</v>
      </c>
      <c r="AV124" s="75">
        <f>'input site'!BH124</f>
        <v>0.14230725033771408</v>
      </c>
      <c r="AW124" s="74">
        <f>IF(Table12[[#This Row],[2030 unconditional NDCs]]="","",IF(F124="incl",Table12[[#This Row],[2030 unconditional NDCs]]-Table12[[#This Row],[LULUCF NDC uncond]],Table12[[#This Row],[2030 unconditional NDCs]]))</f>
        <v>0.14230725033771408</v>
      </c>
      <c r="AX124" s="74">
        <f>IF(Table12[[#This Row],[2030 unconditional NDCs2]]="","",IF(F124="incl",Table12[[#This Row],[2030 unconditional NDCs2]]-Table12[[#This Row],[LULUCF NDC uncond]],Table12[[#This Row],[2030 unconditional NDCs2]]))</f>
        <v>0.14230725033771408</v>
      </c>
      <c r="AY124" s="74">
        <f>IF(Table12[[#This Row],[2030 conditional NDCs]]="","",IF(F124="incl",Table12[[#This Row],[2030 conditional NDCs]]-Table12[[#This Row],[LULUCF NDC cond]],Table12[[#This Row],[2030 conditional NDCs]]))</f>
        <v>0.14230725033771408</v>
      </c>
      <c r="AZ124" s="74">
        <f>IF(Table12[[#This Row],[2030 conditional NDCs2]]="","",IF(F124="incl",Table12[[#This Row],[2030 conditional NDCs2]]-Table12[[#This Row],[LULUCF NDC cond]],Table12[[#This Row],[2030 conditional NDCs2]]))</f>
        <v>0.14230725033771408</v>
      </c>
      <c r="BA124" s="8">
        <f>VLOOKUP($G124,'Population90 20'!$C$6:$AU$231,37,FALSE)</f>
        <v>38387</v>
      </c>
      <c r="BB124" s="8">
        <f>VLOOKUP($G124,'Overview GDP (PPP)'!$C$6:$AI$231,33,FALSE)</f>
        <v>0</v>
      </c>
      <c r="BC124" s="36">
        <f>Table12[[#This Row],[Income]]/Table12[[#This Row],[Population]]</f>
        <v>0</v>
      </c>
      <c r="BD124" s="36">
        <f>Table12[[#This Row],[GHG emissions excl LULUCF]]*1000000/Table12[[#This Row],[Population]]</f>
        <v>4.76888035011853</v>
      </c>
      <c r="BE124" s="23" t="e">
        <f>VLOOKUP($G124,EGR2023_MASTER!$B$4:$S$38,14,FALSE)</f>
        <v>#N/A</v>
      </c>
      <c r="BF124" s="23" t="e">
        <f>VLOOKUP($G124,EGR2023_MASTER!$B$4:$S$38,15,FALSE)</f>
        <v>#N/A</v>
      </c>
      <c r="BG124" s="23" t="e">
        <f>VLOOKUP($G124,EGR2023_MASTER!$B$4:$S$38,16,FALSE)</f>
        <v>#N/A</v>
      </c>
      <c r="BH124" s="23" t="e">
        <f t="shared" si="19"/>
        <v>#N/A</v>
      </c>
      <c r="BI124" s="23" t="e">
        <f t="shared" si="20"/>
        <v>#N/A</v>
      </c>
      <c r="BJ124" s="552">
        <f>(Table12[[#This Row],[Current Policies 2030 excl LULUCF]]/Table12[[#This Row],[GHG emissions excl LULUCF]])^(1/(2030-2021))-1</f>
        <v>-6.2774971949692504E-2</v>
      </c>
      <c r="BK124" s="552" t="str">
        <f>IF(Table12[[#This Row],[Net-zero target status]]&lt;=1,"",IF(Table12[[#This Row],[NZ GHG year]]="","",((MAX(Table12[[#This Row],[residual LULUCF emissions in 2050]],0.1)/Table12[[#This Row],[Current Policies 2030 excl LULUCF]])^(1/(Table12[[#This Row],[NZ GHG year]]-2021))-1)))</f>
        <v/>
      </c>
      <c r="BL124" s="552" t="str">
        <f>IF(Table12[[#This Row],[Net-zero target status]]&lt;=1,"",IF(Table12[[#This Row],[NZ GHG year]]="","",((MAX(Table12[[#This Row],[residual LULUCF emissions in 2050]],0.1)/Table12[[#This Row],[GHG emissions excl LULUCF]])^(1/(Table12[[#This Row],[NZ GHG year]]-2021))-1)))</f>
        <v/>
      </c>
      <c r="BM124" s="552" t="str">
        <f>IF(Table12[[#This Row],[Net-zero target status]]&lt;=1,"",IF(Table12[[#This Row],[NZ GHG year]]="","",((MAX(Table12[[#This Row],[residual LULUCF emissions in 2050]],0.1)/AVERAGE(Table12[[#This Row],[2030 conditional NDCs]:[2030 conditional NDCs2]]))^(1/(Table12[[#This Row],[NZ GHG year]]-2021))-1)))</f>
        <v/>
      </c>
      <c r="BN124" s="23"/>
      <c r="BO124" s="23"/>
      <c r="BP124" s="23"/>
      <c r="BQ124" s="23"/>
      <c r="BR124" s="50" t="s">
        <v>277</v>
      </c>
      <c r="BT124" s="30" t="str">
        <f>IF(Table12[[#This Row],[Reduction rate 2021 to NZ target2]]="","",J124*(1+AN124)^(Table12[[#This Row],[NZ GHG year]]-2021))</f>
        <v/>
      </c>
    </row>
    <row r="125" spans="1:72" ht="15" x14ac:dyDescent="0.25">
      <c r="A125">
        <v>0</v>
      </c>
      <c r="B125">
        <v>0</v>
      </c>
      <c r="C125">
        <v>440</v>
      </c>
      <c r="D125">
        <v>114</v>
      </c>
      <c r="E125">
        <v>12</v>
      </c>
      <c r="F125" t="str">
        <f>'input site'!M125</f>
        <v>incl</v>
      </c>
      <c r="G125" s="31" t="s">
        <v>278</v>
      </c>
      <c r="H125" s="1" t="s">
        <v>279</v>
      </c>
      <c r="I125" s="8">
        <f>VLOOKUP($G125,'NZT data'!$B$3:$C$200,2,FALSE)</f>
        <v>3</v>
      </c>
      <c r="J125" s="32">
        <f>'input site'!AS125</f>
        <v>14.137642817164455</v>
      </c>
      <c r="K125" s="32">
        <f>'input site'!BS125</f>
        <v>7.2440319968554316</v>
      </c>
      <c r="L125" s="32">
        <f t="shared" si="21"/>
        <v>0</v>
      </c>
      <c r="M125" s="32">
        <f t="shared" si="22"/>
        <v>0</v>
      </c>
      <c r="N125" s="32">
        <f>'input site'!EV125</f>
        <v>3.2721812909606518</v>
      </c>
      <c r="O125" s="8"/>
      <c r="P125" s="8"/>
      <c r="Q125" s="32">
        <f t="shared" si="23"/>
        <v>0</v>
      </c>
      <c r="R125" s="32">
        <f>'input site'!EZ125</f>
        <v>1.5963151187266025</v>
      </c>
      <c r="S125" s="37" t="str">
        <f>'input site'!FA125</f>
        <v>2050 (part of the EU)</v>
      </c>
      <c r="T125" s="37" t="str">
        <f>Table12[[#This Row],[(Mt CO2 equivalent)]]</f>
        <v>Lithuania</v>
      </c>
      <c r="U125" s="8">
        <f>VLOOKUP($G125,'NZT data'!$B$3:$F$200,4,FALSE)</f>
        <v>2050</v>
      </c>
      <c r="V125" s="32">
        <f>VLOOKUP($G125,'NZT data'!$B$3:$F$200,5,FALSE)</f>
        <v>2050</v>
      </c>
      <c r="W125" s="32">
        <f>-IF('LUC NGHGI'!EC115="",MIN('LUC NGHGI'!DW115,0.1),MIN('LUC NGHGI'!EC115,0.1))</f>
        <v>6.6541020944350695</v>
      </c>
      <c r="X125" s="32">
        <f>'LUC NGHGI'!EC115</f>
        <v>-6.6541020944350695</v>
      </c>
      <c r="Y125" s="32">
        <f>'LUC NGHGI'!DY115</f>
        <v>-6.6541020944350695</v>
      </c>
      <c r="Z125" s="32">
        <f>'LUC NGHGI'!DZ115</f>
        <v>-6.6541020944350695</v>
      </c>
      <c r="AA125" s="32">
        <f>Table12[[#This Row],[2021 emissions]]</f>
        <v>14.137642817164455</v>
      </c>
      <c r="AB125" s="32">
        <f>'LUC NGHGI'!DW115</f>
        <v>-6.1123031828355474</v>
      </c>
      <c r="AC125" s="32">
        <f>IF(F125="incl",Table12[[#This Row],[GHG emissions incl LULUCF]]-Table12[[#This Row],[LULUCF emis-sions in 20213]],Table12[[#This Row],[GHG emissions incl LULUCF]])</f>
        <v>20.249946000000001</v>
      </c>
      <c r="AD125" s="32">
        <f>'input site'!BS125</f>
        <v>7.2440319968554316</v>
      </c>
      <c r="AE125" s="32">
        <f>'LUC NGHGI'!EH115</f>
        <v>-8.8620266761266517</v>
      </c>
      <c r="AF125" s="32">
        <f>IF(F125="incl",Table12[[#This Row],[Current Policies 2030 incl LULUCF]]-Table12[[#This Row],[LULUCF CurPol 2030]],Table12[[#This Row],[Current Policies 2030 incl LULUCF]])</f>
        <v>16.106058672982083</v>
      </c>
      <c r="AG125" s="32">
        <f>IF(Table12[[#This Row],[Net-zero target status]]&lt;=1,"",IF(Table12[[#This Row],[NZ GHG year]]="","",1000000000*(Table12[[#This Row],[residual LULUCF emissions in 2050]]-Table12[[#This Row],[GHG emissions excl LULUCF]])/(Table12[[#This Row],[NZ GHG year]]-2021)/Table12[[#This Row],[Population]]))</f>
        <v>-176.13585097996099</v>
      </c>
      <c r="AH125" s="32">
        <f>IF(Table12[[#This Row],[Peak revised]]="Yes",IF(Table12[[#This Row],[Net-zero target status]]&lt;=1,"",IF(Table12[[#This Row],[NZ GHG year]]="","",1000000000*(Table12[[#This Row],[residual LULUCF emissions in 2050]]-Table12[[#This Row],[GHG emissions excl LULUCF]])/(Table12[[#This Row],[NZ GHG year]]-2021)/Table12[[#This Row],[Population]])),"")</f>
        <v>-176.13585097996099</v>
      </c>
      <c r="AI125" s="32">
        <f>MAX(0,(1000000*(Table12[[#This Row],[Current Policies 2030 excl LULUCF]]/2+Table12[[#This Row],[GHG emissions excl LULUCF]]/2)/Table12[[#This Row],[Population]]-$AI$8)*10)*$AI$10</f>
        <v>0</v>
      </c>
      <c r="AJ12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5" s="32" t="str">
        <f>IF(Table12[[#This Row],[Formule no Peak (2)]]="","",Table12[[#This Row],[Penalty (1)]]+Table12[[#This Row],[Formule no Peak (2)]])</f>
        <v/>
      </c>
      <c r="AL125" s="313">
        <f>(Table12[[#This Row],[Current Policies 2030 excl LULUCF]]-Table12[[#This Row],[GHG emissions excl LULUCF]])/(2030-2021)/Table12[[#This Row],[GHG emissions excl LULUCF]]</f>
        <v>-2.2737439656590346E-2</v>
      </c>
      <c r="AM125" s="313">
        <f>IF(Table12[[#This Row],[Net-zero target status]]&lt;=1,"",IF(Table12[[#This Row],[NZ GHG year]]="","",(Table12[[#This Row],[residual LULUCF emissions in 2050]]-Table12[[#This Row],[Current Policies 2030 excl LULUCF]])/(Table12[[#This Row],[NZ GHG year]]-2030)/Table12[[#This Row],[Current Policies 2030 excl LULUCF]]))</f>
        <v>-2.934286025668922E-2</v>
      </c>
      <c r="AN125" s="313">
        <f>IF(Table12[[#This Row],[Net-zero target status]]&lt;=1,"",IF(Table12[[#This Row],[NZ GHG year]]="","",(Table12[[#This Row],[residual LULUCF emissions in 2050]]-Table12[[#This Row],[GHG emissions excl LULUCF]])/(Table12[[#This Row],[NZ GHG year]]-2021)/Table12[[#This Row],[GHG emissions excl LULUCF]]))</f>
        <v>-2.3151775498076392E-2</v>
      </c>
      <c r="AO125" s="313" t="e">
        <f>IF(Table12[[#This Row],[Net-zero target status]]&lt;=1,"",IF(Table12[[#This Row],[NZ GHG year]]="","",(Table12[[#This Row],[residual LULUCF emissions in 2050]]-Table12[[#This Row],[2030 conditional NDCs]])/(Table12[[#This Row],[NZ GHG year]]-2030)/Table12[[#This Row],[2030 conditional NDCs]]))</f>
        <v>#VALUE!</v>
      </c>
      <c r="AP125" s="96">
        <f>MAX('input site'!AH125:AS125)</f>
        <v>14.376395587241113</v>
      </c>
      <c r="AQ125" s="95" t="str">
        <f>IF(Table12[[#This Row],[Current Policies 2030 incl LULUCF]]&gt;Table12[[#This Row],[Maximum inventory data]],"No","Yes")</f>
        <v>Yes</v>
      </c>
      <c r="AR125" s="34">
        <f>IF(Table12[[#This Row],[Net-zero target status]]&gt;=1.5,Table12[[#This Row],[residual LULUCF emissions in 2050]]/Table12[[#This Row],[GHG emissions excl LULUCF]],"")</f>
        <v>0.32859851055578465</v>
      </c>
      <c r="AS125" s="74" t="str">
        <f>'input site'!BE125</f>
        <v/>
      </c>
      <c r="AT125" s="74" t="str">
        <f>'input site'!BF125</f>
        <v/>
      </c>
      <c r="AU125" s="74" t="str">
        <f>'input site'!BG125</f>
        <v/>
      </c>
      <c r="AV125" s="75" t="str">
        <f>'input site'!BH125</f>
        <v/>
      </c>
      <c r="AW125" s="74" t="str">
        <f>IF(Table12[[#This Row],[2030 unconditional NDCs]]="","",IF(F125="incl",Table12[[#This Row],[2030 unconditional NDCs]]-Table12[[#This Row],[LULUCF NDC uncond]],Table12[[#This Row],[2030 unconditional NDCs]]))</f>
        <v/>
      </c>
      <c r="AX125" s="74" t="str">
        <f>IF(Table12[[#This Row],[2030 unconditional NDCs2]]="","",IF(F125="incl",Table12[[#This Row],[2030 unconditional NDCs2]]-Table12[[#This Row],[LULUCF NDC uncond]],Table12[[#This Row],[2030 unconditional NDCs2]]))</f>
        <v/>
      </c>
      <c r="AY125" s="74" t="str">
        <f>IF(Table12[[#This Row],[2030 conditional NDCs]]="","",IF(F125="incl",Table12[[#This Row],[2030 conditional NDCs]]-Table12[[#This Row],[LULUCF NDC cond]],Table12[[#This Row],[2030 conditional NDCs]]))</f>
        <v/>
      </c>
      <c r="AZ125" s="74" t="str">
        <f>IF(Table12[[#This Row],[2030 conditional NDCs2]]="","",IF(F125="incl",Table12[[#This Row],[2030 conditional NDCs2]]-Table12[[#This Row],[LULUCF NDC cond]],Table12[[#This Row],[2030 conditional NDCs2]]))</f>
        <v/>
      </c>
      <c r="BA125" s="8">
        <f>VLOOKUP($G125,'Population90 20'!$C$6:$AU$231,37,FALSE)</f>
        <v>2661708</v>
      </c>
      <c r="BB125" s="8">
        <f>VLOOKUP($G125,'Overview GDP (PPP)'!$C$6:$AI$231,33,FALSE)</f>
        <v>86657019.458812833</v>
      </c>
      <c r="BC125" s="36">
        <f>Table12[[#This Row],[Income]]/Table12[[#This Row],[Population]]</f>
        <v>32.556921893315433</v>
      </c>
      <c r="BD125" s="36">
        <f>Table12[[#This Row],[GHG emissions excl LULUCF]]*1000000/Table12[[#This Row],[Population]]</f>
        <v>7.6078765965312503</v>
      </c>
      <c r="BE125" s="23" t="e">
        <f>VLOOKUP($G125,EGR2023_MASTER!$B$4:$S$38,14,FALSE)</f>
        <v>#N/A</v>
      </c>
      <c r="BF125" s="23" t="e">
        <f>VLOOKUP($G125,EGR2023_MASTER!$B$4:$S$38,15,FALSE)</f>
        <v>#N/A</v>
      </c>
      <c r="BG125" s="23" t="e">
        <f>VLOOKUP($G125,EGR2023_MASTER!$B$4:$S$38,16,FALSE)</f>
        <v>#N/A</v>
      </c>
      <c r="BH125" s="23" t="e">
        <f t="shared" si="19"/>
        <v>#N/A</v>
      </c>
      <c r="BI125" s="23" t="e">
        <f t="shared" si="20"/>
        <v>#N/A</v>
      </c>
      <c r="BJ125" s="552">
        <f>(Table12[[#This Row],[Current Policies 2030 excl LULUCF]]/Table12[[#This Row],[GHG emissions excl LULUCF]])^(1/(2030-2021))-1</f>
        <v>-2.5118762795368066E-2</v>
      </c>
      <c r="BK125" s="552">
        <f>IF(Table12[[#This Row],[Net-zero target status]]&lt;=1,"",IF(Table12[[#This Row],[NZ GHG year]]="","",((MAX(Table12[[#This Row],[residual LULUCF emissions in 2050]],0.1)/Table12[[#This Row],[Current Policies 2030 excl LULUCF]])^(1/(Table12[[#This Row],[NZ GHG year]]-2021))-1)))</f>
        <v>-3.0021573176918781E-2</v>
      </c>
      <c r="BL125" s="552">
        <f>IF(Table12[[#This Row],[Net-zero target status]]&lt;=1,"",IF(Table12[[#This Row],[NZ GHG year]]="","",((MAX(Table12[[#This Row],[residual LULUCF emissions in 2050]],0.1)/Table12[[#This Row],[GHG emissions excl LULUCF]])^(1/(Table12[[#This Row],[NZ GHG year]]-2021))-1)))</f>
        <v>-3.7649455826662903E-2</v>
      </c>
      <c r="BM125" s="552" t="e">
        <f>IF(Table12[[#This Row],[Net-zero target status]]&lt;=1,"",IF(Table12[[#This Row],[NZ GHG year]]="","",((MAX(Table12[[#This Row],[residual LULUCF emissions in 2050]],0.1)/AVERAGE(Table12[[#This Row],[2030 conditional NDCs]:[2030 conditional NDCs2]]))^(1/(Table12[[#This Row],[NZ GHG year]]-2021))-1)))</f>
        <v>#DIV/0!</v>
      </c>
      <c r="BN125" s="23"/>
      <c r="BO125" s="23"/>
      <c r="BP125" s="23"/>
      <c r="BQ125" s="23"/>
      <c r="BR125" s="50" t="s">
        <v>279</v>
      </c>
      <c r="BT125" s="30">
        <f>IF(Table12[[#This Row],[Reduction rate 2021 to NZ target2]]="","",J125*(1+AN125)^(Table12[[#This Row],[NZ GHG year]]-2021))</f>
        <v>7.167416760824997</v>
      </c>
    </row>
    <row r="126" spans="1:72" ht="15" x14ac:dyDescent="0.25">
      <c r="A126">
        <v>0</v>
      </c>
      <c r="B126">
        <v>0</v>
      </c>
      <c r="C126">
        <v>442</v>
      </c>
      <c r="D126">
        <v>115</v>
      </c>
      <c r="E126">
        <v>11</v>
      </c>
      <c r="F126" t="str">
        <f>'input site'!M126</f>
        <v>incl</v>
      </c>
      <c r="G126" s="31" t="s">
        <v>280</v>
      </c>
      <c r="H126" s="1" t="s">
        <v>281</v>
      </c>
      <c r="I126" s="8">
        <f>VLOOKUP($G126,'NZT data'!$B$3:$C$200,2,FALSE)</f>
        <v>4</v>
      </c>
      <c r="J126" s="32">
        <f>'input site'!AS126</f>
        <v>8.7451728822077666</v>
      </c>
      <c r="K126" s="32">
        <f>'input site'!BS126</f>
        <v>4.8793649069946881</v>
      </c>
      <c r="L126" s="32">
        <f t="shared" si="21"/>
        <v>0</v>
      </c>
      <c r="M126" s="32">
        <f t="shared" si="22"/>
        <v>0</v>
      </c>
      <c r="N126" s="32">
        <f>'input site'!EV126</f>
        <v>2.0992775744079721</v>
      </c>
      <c r="O126" s="8"/>
      <c r="P126" s="8"/>
      <c r="Q126" s="32">
        <f t="shared" si="23"/>
        <v>0</v>
      </c>
      <c r="R126" s="32">
        <f>'input site'!EZ126</f>
        <v>1.1611606064050635</v>
      </c>
      <c r="S126" s="37" t="str">
        <f>'input site'!FA126</f>
        <v>2050 (part of the EU)</v>
      </c>
      <c r="T126" s="37" t="str">
        <f>Table12[[#This Row],[(Mt CO2 equivalent)]]</f>
        <v>Luxembourg</v>
      </c>
      <c r="U126" s="8">
        <f>VLOOKUP($G126,'NZT data'!$B$3:$F$200,4,FALSE)</f>
        <v>2050</v>
      </c>
      <c r="V126" s="32">
        <f>VLOOKUP($G126,'NZT data'!$B$3:$F$200,5,FALSE)</f>
        <v>2050</v>
      </c>
      <c r="W126" s="32">
        <f>-IF('LUC NGHGI'!EC116="",MIN('LUC NGHGI'!DW116,0.1),MIN('LUC NGHGI'!EC116,0.1))</f>
        <v>0.45059124885155472</v>
      </c>
      <c r="X126" s="32">
        <f>'LUC NGHGI'!EC116</f>
        <v>-0.45059124885155472</v>
      </c>
      <c r="Y126" s="32">
        <f>'LUC NGHGI'!DY116</f>
        <v>-0.45059124885155472</v>
      </c>
      <c r="Z126" s="32">
        <f>'LUC NGHGI'!DZ116</f>
        <v>-0.45059124885155472</v>
      </c>
      <c r="AA126" s="32">
        <f>Table12[[#This Row],[2021 emissions]]</f>
        <v>8.7451728822077666</v>
      </c>
      <c r="AB126" s="32">
        <f>'LUC NGHGI'!DW116</f>
        <v>-0.60829031779223308</v>
      </c>
      <c r="AC126" s="32">
        <f>IF(F126="incl",Table12[[#This Row],[GHG emissions incl LULUCF]]-Table12[[#This Row],[LULUCF emis-sions in 20213]],Table12[[#This Row],[GHG emissions incl LULUCF]])</f>
        <v>9.3534632000000002</v>
      </c>
      <c r="AD126" s="32">
        <f>'input site'!BS126</f>
        <v>4.8793649069946881</v>
      </c>
      <c r="AE126" s="32">
        <f>'LUC NGHGI'!EH116</f>
        <v>-0.77984953695305803</v>
      </c>
      <c r="AF126" s="32">
        <f>IF(F126="incl",Table12[[#This Row],[Current Policies 2030 incl LULUCF]]-Table12[[#This Row],[LULUCF CurPol 2030]],Table12[[#This Row],[Current Policies 2030 incl LULUCF]])</f>
        <v>5.6592144439477465</v>
      </c>
      <c r="AG126" s="32">
        <f>IF(Table12[[#This Row],[Net-zero target status]]&lt;=1,"",IF(Table12[[#This Row],[NZ GHG year]]="","",1000000000*(Table12[[#This Row],[residual LULUCF emissions in 2050]]-Table12[[#This Row],[GHG emissions excl LULUCF]])/(Table12[[#This Row],[NZ GHG year]]-2021)/Table12[[#This Row],[Population]]))</f>
        <v>-477.91009326753573</v>
      </c>
      <c r="AH126" s="32">
        <f>IF(Table12[[#This Row],[Peak revised]]="Yes",IF(Table12[[#This Row],[Net-zero target status]]&lt;=1,"",IF(Table12[[#This Row],[NZ GHG year]]="","",1000000000*(Table12[[#This Row],[residual LULUCF emissions in 2050]]-Table12[[#This Row],[GHG emissions excl LULUCF]])/(Table12[[#This Row],[NZ GHG year]]-2021)/Table12[[#This Row],[Population]])),"")</f>
        <v>-477.91009326753573</v>
      </c>
      <c r="AI126" s="32">
        <f>MAX(0,(1000000*(Table12[[#This Row],[Current Policies 2030 excl LULUCF]]/2+Table12[[#This Row],[GHG emissions excl LULUCF]]/2)/Table12[[#This Row],[Population]]-$AI$8)*10)*$AI$10</f>
        <v>-468.53637881751723</v>
      </c>
      <c r="AJ12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6" s="32" t="str">
        <f>IF(Table12[[#This Row],[Formule no Peak (2)]]="","",Table12[[#This Row],[Penalty (1)]]+Table12[[#This Row],[Formule no Peak (2)]])</f>
        <v/>
      </c>
      <c r="AL126" s="313">
        <f>(Table12[[#This Row],[Current Policies 2030 excl LULUCF]]-Table12[[#This Row],[GHG emissions excl LULUCF]])/(2030-2021)/Table12[[#This Row],[GHG emissions excl LULUCF]]</f>
        <v>-4.3884503015504027E-2</v>
      </c>
      <c r="AM126" s="313">
        <f>IF(Table12[[#This Row],[Net-zero target status]]&lt;=1,"",IF(Table12[[#This Row],[NZ GHG year]]="","",(Table12[[#This Row],[residual LULUCF emissions in 2050]]-Table12[[#This Row],[Current Policies 2030 excl LULUCF]])/(Table12[[#This Row],[NZ GHG year]]-2030)/Table12[[#This Row],[Current Policies 2030 excl LULUCF]]))</f>
        <v>-4.6018959404043783E-2</v>
      </c>
      <c r="AN126" s="313">
        <f>IF(Table12[[#This Row],[Net-zero target status]]&lt;=1,"",IF(Table12[[#This Row],[NZ GHG year]]="","",(Table12[[#This Row],[residual LULUCF emissions in 2050]]-Table12[[#This Row],[GHG emissions excl LULUCF]])/(Table12[[#This Row],[NZ GHG year]]-2021)/Table12[[#This Row],[GHG emissions excl LULUCF]]))</f>
        <v>-3.2821595376818301E-2</v>
      </c>
      <c r="AO126" s="313" t="e">
        <f>IF(Table12[[#This Row],[Net-zero target status]]&lt;=1,"",IF(Table12[[#This Row],[NZ GHG year]]="","",(Table12[[#This Row],[residual LULUCF emissions in 2050]]-Table12[[#This Row],[2030 conditional NDCs]])/(Table12[[#This Row],[NZ GHG year]]-2030)/Table12[[#This Row],[2030 conditional NDCs]]))</f>
        <v>#VALUE!</v>
      </c>
      <c r="AP126" s="96">
        <f>MAX('input site'!AH126:AS126)</f>
        <v>11.907655058666187</v>
      </c>
      <c r="AQ126" s="95" t="str">
        <f>IF(Table12[[#This Row],[Current Policies 2030 incl LULUCF]]&gt;Table12[[#This Row],[Maximum inventory data]],"No","Yes")</f>
        <v>Yes</v>
      </c>
      <c r="AR126" s="34">
        <f>IF(Table12[[#This Row],[Net-zero target status]]&gt;=1.5,Table12[[#This Row],[residual LULUCF emissions in 2050]]/Table12[[#This Row],[GHG emissions excl LULUCF]],"")</f>
        <v>4.8173734072269048E-2</v>
      </c>
      <c r="AS126" s="74" t="str">
        <f>'input site'!BE126</f>
        <v/>
      </c>
      <c r="AT126" s="74" t="str">
        <f>'input site'!BF126</f>
        <v/>
      </c>
      <c r="AU126" s="74" t="str">
        <f>'input site'!BG126</f>
        <v/>
      </c>
      <c r="AV126" s="75" t="str">
        <f>'input site'!BH126</f>
        <v/>
      </c>
      <c r="AW126" s="74" t="str">
        <f>IF(Table12[[#This Row],[2030 unconditional NDCs]]="","",IF(F126="incl",Table12[[#This Row],[2030 unconditional NDCs]]-Table12[[#This Row],[LULUCF NDC uncond]],Table12[[#This Row],[2030 unconditional NDCs]]))</f>
        <v/>
      </c>
      <c r="AX126" s="74" t="str">
        <f>IF(Table12[[#This Row],[2030 unconditional NDCs2]]="","",IF(F126="incl",Table12[[#This Row],[2030 unconditional NDCs2]]-Table12[[#This Row],[LULUCF NDC uncond]],Table12[[#This Row],[2030 unconditional NDCs2]]))</f>
        <v/>
      </c>
      <c r="AY126" s="74" t="str">
        <f>IF(Table12[[#This Row],[2030 conditional NDCs]]="","",IF(F126="incl",Table12[[#This Row],[2030 conditional NDCs]]-Table12[[#This Row],[LULUCF NDC cond]],Table12[[#This Row],[2030 conditional NDCs]]))</f>
        <v/>
      </c>
      <c r="AZ126" s="74" t="str">
        <f>IF(Table12[[#This Row],[2030 conditional NDCs2]]="","",IF(F126="incl",Table12[[#This Row],[2030 conditional NDCs2]]-Table12[[#This Row],[LULUCF NDC cond]],Table12[[#This Row],[2030 conditional NDCs2]]))</f>
        <v/>
      </c>
      <c r="BA126" s="8">
        <f>VLOOKUP($G126,'Population90 20'!$C$6:$AU$231,37,FALSE)</f>
        <v>642371</v>
      </c>
      <c r="BB126" s="8">
        <f>VLOOKUP($G126,'Overview GDP (PPP)'!$C$6:$AI$231,33,FALSE)</f>
        <v>56964949.206429824</v>
      </c>
      <c r="BC126" s="36">
        <f>Table12[[#This Row],[Income]]/Table12[[#This Row],[Population]]</f>
        <v>88.679204395014452</v>
      </c>
      <c r="BD126" s="36">
        <f>Table12[[#This Row],[GHG emissions excl LULUCF]]*1000000/Table12[[#This Row],[Population]]</f>
        <v>14.560842877402624</v>
      </c>
      <c r="BE126" s="23" t="e">
        <f>VLOOKUP($G126,EGR2023_MASTER!$B$4:$S$38,14,FALSE)</f>
        <v>#N/A</v>
      </c>
      <c r="BF126" s="23" t="e">
        <f>VLOOKUP($G126,EGR2023_MASTER!$B$4:$S$38,15,FALSE)</f>
        <v>#N/A</v>
      </c>
      <c r="BG126" s="23" t="e">
        <f>VLOOKUP($G126,EGR2023_MASTER!$B$4:$S$38,16,FALSE)</f>
        <v>#N/A</v>
      </c>
      <c r="BH126" s="23" t="e">
        <f t="shared" si="19"/>
        <v>#N/A</v>
      </c>
      <c r="BI126" s="23" t="e">
        <f t="shared" si="20"/>
        <v>#N/A</v>
      </c>
      <c r="BJ126" s="552">
        <f>(Table12[[#This Row],[Current Policies 2030 excl LULUCF]]/Table12[[#This Row],[GHG emissions excl LULUCF]])^(1/(2030-2021))-1</f>
        <v>-5.429922389901054E-2</v>
      </c>
      <c r="BK126" s="552">
        <f>IF(Table12[[#This Row],[Net-zero target status]]&lt;=1,"",IF(Table12[[#This Row],[NZ GHG year]]="","",((MAX(Table12[[#This Row],[residual LULUCF emissions in 2050]],0.1)/Table12[[#This Row],[Current Policies 2030 excl LULUCF]])^(1/(Table12[[#This Row],[NZ GHG year]]-2021))-1)))</f>
        <v>-8.3559305891672708E-2</v>
      </c>
      <c r="BL126" s="552">
        <f>IF(Table12[[#This Row],[Net-zero target status]]&lt;=1,"",IF(Table12[[#This Row],[NZ GHG year]]="","",((MAX(Table12[[#This Row],[residual LULUCF emissions in 2050]],0.1)/Table12[[#This Row],[GHG emissions excl LULUCF]])^(1/(Table12[[#This Row],[NZ GHG year]]-2021))-1)))</f>
        <v>-9.9301030435509641E-2</v>
      </c>
      <c r="BM126" s="552" t="e">
        <f>IF(Table12[[#This Row],[Net-zero target status]]&lt;=1,"",IF(Table12[[#This Row],[NZ GHG year]]="","",((MAX(Table12[[#This Row],[residual LULUCF emissions in 2050]],0.1)/AVERAGE(Table12[[#This Row],[2030 conditional NDCs]:[2030 conditional NDCs2]]))^(1/(Table12[[#This Row],[NZ GHG year]]-2021))-1)))</f>
        <v>#DIV/0!</v>
      </c>
      <c r="BN126" s="23"/>
      <c r="BO126" s="23"/>
      <c r="BP126" s="23"/>
      <c r="BQ126" s="23"/>
      <c r="BR126" s="50" t="s">
        <v>281</v>
      </c>
      <c r="BT126" s="30">
        <f>IF(Table12[[#This Row],[Reduction rate 2021 to NZ target2]]="","",J126*(1+AN126)^(Table12[[#This Row],[NZ GHG year]]-2021))</f>
        <v>3.3224582825481019</v>
      </c>
    </row>
    <row r="127" spans="1:72" ht="15" x14ac:dyDescent="0.25">
      <c r="A127">
        <v>0</v>
      </c>
      <c r="B127">
        <v>0</v>
      </c>
      <c r="C127">
        <v>446</v>
      </c>
      <c r="D127">
        <v>116</v>
      </c>
      <c r="E127">
        <v>20</v>
      </c>
      <c r="F127" t="str">
        <f>'input site'!M127</f>
        <v>excl</v>
      </c>
      <c r="G127" s="31" t="s">
        <v>282</v>
      </c>
      <c r="H127" s="1" t="s">
        <v>283</v>
      </c>
      <c r="I127" s="8">
        <v>0</v>
      </c>
      <c r="J127" s="32">
        <f>'input site'!AS127</f>
        <v>2.3732487</v>
      </c>
      <c r="K127" s="32">
        <f>'input site'!BS127</f>
        <v>2.3835560777639051</v>
      </c>
      <c r="L127" s="32">
        <f t="shared" si="21"/>
        <v>2.3835560777639051</v>
      </c>
      <c r="M127" s="32">
        <f t="shared" si="22"/>
        <v>0.37685872266085946</v>
      </c>
      <c r="N127" s="32">
        <f>'input site'!EV127</f>
        <v>0.37685872266085946</v>
      </c>
      <c r="O127" s="8"/>
      <c r="P127" s="8"/>
      <c r="Q127" s="32">
        <f t="shared" si="23"/>
        <v>0.17728481702529117</v>
      </c>
      <c r="R127" s="32">
        <f>'input site'!EZ127</f>
        <v>0.17728481702529117</v>
      </c>
      <c r="S127" s="37">
        <f>'input site'!FA127</f>
        <v>0</v>
      </c>
      <c r="T127" s="37" t="str">
        <f>Table12[[#This Row],[(Mt CO2 equivalent)]]</f>
        <v>Macao</v>
      </c>
      <c r="U127" s="35">
        <v>2100</v>
      </c>
      <c r="V127" s="35">
        <v>2100</v>
      </c>
      <c r="W127" s="32">
        <f>-IF('LUC NGHGI'!EC117="",MIN('LUC NGHGI'!DW117,0.1),MIN('LUC NGHGI'!EC117,0.1))</f>
        <v>0</v>
      </c>
      <c r="X127" s="32" t="str">
        <f>'LUC NGHGI'!EC117</f>
        <v/>
      </c>
      <c r="Y127" s="32" t="str">
        <f>'LUC NGHGI'!DY117</f>
        <v/>
      </c>
      <c r="Z127" s="32" t="str">
        <f>'LUC NGHGI'!DZ117</f>
        <v/>
      </c>
      <c r="AA127" s="32">
        <f>Table12[[#This Row],[2021 emissions]]</f>
        <v>2.3732487</v>
      </c>
      <c r="AB127" s="32">
        <f>'LUC NGHGI'!DW117</f>
        <v>0</v>
      </c>
      <c r="AC127" s="32">
        <f>IF(F127="incl",Table12[[#This Row],[GHG emissions incl LULUCF]]-Table12[[#This Row],[LULUCF emis-sions in 20213]],Table12[[#This Row],[GHG emissions incl LULUCF]])</f>
        <v>2.3732487</v>
      </c>
      <c r="AD127" s="32">
        <f>'input site'!BS127</f>
        <v>2.3835560777639051</v>
      </c>
      <c r="AE127" s="32">
        <f>'LUC NGHGI'!EH117</f>
        <v>0</v>
      </c>
      <c r="AF127" s="32">
        <f>IF(F127="incl",Table12[[#This Row],[Current Policies 2030 incl LULUCF]]-Table12[[#This Row],[LULUCF CurPol 2030]],Table12[[#This Row],[Current Policies 2030 incl LULUCF]])</f>
        <v>2.3835560777639051</v>
      </c>
      <c r="AG127" s="32" t="str">
        <f>IF(Table12[[#This Row],[Net-zero target status]]&lt;=1,"",IF(Table12[[#This Row],[NZ GHG year]]="","",1000000000*(Table12[[#This Row],[residual LULUCF emissions in 2050]]-Table12[[#This Row],[GHG emissions excl LULUCF]])/(Table12[[#This Row],[NZ GHG year]]-2021)/Table12[[#This Row],[Population]]))</f>
        <v/>
      </c>
      <c r="AH127" s="32" t="str">
        <f>IF(Table12[[#This Row],[Peak revised]]="Yes",IF(Table12[[#This Row],[Net-zero target status]]&lt;=1,"",IF(Table12[[#This Row],[NZ GHG year]]="","",1000000000*(Table12[[#This Row],[residual LULUCF emissions in 2050]]-Table12[[#This Row],[GHG emissions excl LULUCF]])/(Table12[[#This Row],[NZ GHG year]]-2021)/Table12[[#This Row],[Population]])),"")</f>
        <v/>
      </c>
      <c r="AI127" s="32">
        <f>MAX(0,(1000000*(Table12[[#This Row],[Current Policies 2030 excl LULUCF]]/2+Table12[[#This Row],[GHG emissions excl LULUCF]]/2)/Table12[[#This Row],[Population]]-$AI$8)*10)*$AI$10</f>
        <v>0</v>
      </c>
      <c r="AJ12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7" s="32" t="str">
        <f>IF(Table12[[#This Row],[Formule no Peak (2)]]="","",Table12[[#This Row],[Penalty (1)]]+Table12[[#This Row],[Formule no Peak (2)]])</f>
        <v/>
      </c>
      <c r="AL127" s="313">
        <f>(Table12[[#This Row],[Current Policies 2030 excl LULUCF]]-Table12[[#This Row],[GHG emissions excl LULUCF]])/(2030-2021)/Table12[[#This Row],[GHG emissions excl LULUCF]]</f>
        <v>4.8257234734373051E-4</v>
      </c>
      <c r="AM127" s="313" t="str">
        <f>IF(Table12[[#This Row],[Net-zero target status]]&lt;=1,"",IF(Table12[[#This Row],[NZ GHG year]]="","",(Table12[[#This Row],[residual LULUCF emissions in 2050]]-Table12[[#This Row],[Current Policies 2030 excl LULUCF]])/(Table12[[#This Row],[NZ GHG year]]-2030)/Table12[[#This Row],[Current Policies 2030 excl LULUCF]]))</f>
        <v/>
      </c>
      <c r="AN127" s="313" t="str">
        <f>IF(Table12[[#This Row],[Net-zero target status]]&lt;=1,"",IF(Table12[[#This Row],[NZ GHG year]]="","",(Table12[[#This Row],[residual LULUCF emissions in 2050]]-Table12[[#This Row],[GHG emissions excl LULUCF]])/(Table12[[#This Row],[NZ GHG year]]-2021)/Table12[[#This Row],[GHG emissions excl LULUCF]]))</f>
        <v/>
      </c>
      <c r="AO127" s="313" t="str">
        <f>IF(Table12[[#This Row],[Net-zero target status]]&lt;=1,"",IF(Table12[[#This Row],[NZ GHG year]]="","",(Table12[[#This Row],[residual LULUCF emissions in 2050]]-Table12[[#This Row],[2030 conditional NDCs]])/(Table12[[#This Row],[NZ GHG year]]-2030)/Table12[[#This Row],[2030 conditional NDCs]]))</f>
        <v/>
      </c>
      <c r="AP127" s="96">
        <f>MAX('input site'!AH127:AS127)</f>
        <v>2.3732487</v>
      </c>
      <c r="AQ127" s="95" t="str">
        <f>IF(Table12[[#This Row],[Current Policies 2030 incl LULUCF]]&gt;Table12[[#This Row],[Maximum inventory data]],"No","Yes")</f>
        <v>No</v>
      </c>
      <c r="AR127" s="34" t="str">
        <f>IF(Table12[[#This Row],[Net-zero target status]]&gt;=1.5,Table12[[#This Row],[residual LULUCF emissions in 2050]]/Table12[[#This Row],[GHG emissions excl LULUCF]],"")</f>
        <v/>
      </c>
      <c r="AS127" s="74" t="str">
        <f>'input site'!BE127</f>
        <v/>
      </c>
      <c r="AT127" s="74" t="str">
        <f>'input site'!BF127</f>
        <v/>
      </c>
      <c r="AU127" s="74" t="str">
        <f>'input site'!BG127</f>
        <v/>
      </c>
      <c r="AV127" s="75" t="str">
        <f>'input site'!BH127</f>
        <v/>
      </c>
      <c r="AW127" s="74" t="str">
        <f>IF(Table12[[#This Row],[2030 unconditional NDCs]]="","",IF(F127="incl",Table12[[#This Row],[2030 unconditional NDCs]]-Table12[[#This Row],[LULUCF NDC uncond]],Table12[[#This Row],[2030 unconditional NDCs]]))</f>
        <v/>
      </c>
      <c r="AX127" s="74" t="str">
        <f>IF(Table12[[#This Row],[2030 unconditional NDCs2]]="","",IF(F127="incl",Table12[[#This Row],[2030 unconditional NDCs2]]-Table12[[#This Row],[LULUCF NDC uncond]],Table12[[#This Row],[2030 unconditional NDCs2]]))</f>
        <v/>
      </c>
      <c r="AY127" s="74" t="str">
        <f>IF(Table12[[#This Row],[2030 conditional NDCs]]="","",IF(F127="incl",Table12[[#This Row],[2030 conditional NDCs]]-Table12[[#This Row],[LULUCF NDC cond]],Table12[[#This Row],[2030 conditional NDCs]]))</f>
        <v/>
      </c>
      <c r="AZ127" s="74" t="str">
        <f>IF(Table12[[#This Row],[2030 conditional NDCs2]]="","",IF(F127="incl",Table12[[#This Row],[2030 conditional NDCs2]]-Table12[[#This Row],[LULUCF NDC cond]],Table12[[#This Row],[2030 conditional NDCs2]]))</f>
        <v/>
      </c>
      <c r="BA127" s="8">
        <f>VLOOKUP($G127,'Population90 20'!$C$6:$AU$231,37,FALSE)</f>
        <v>667490</v>
      </c>
      <c r="BB127" s="8">
        <f>VLOOKUP($G127,'Overview GDP (PPP)'!$C$6:$AI$231,33,FALSE)</f>
        <v>68741735.568564251</v>
      </c>
      <c r="BC127" s="36">
        <f>Table12[[#This Row],[Income]]/Table12[[#This Row],[Population]]</f>
        <v>102.98541636363728</v>
      </c>
      <c r="BD127" s="36">
        <f>Table12[[#This Row],[GHG emissions excl LULUCF]]*1000000/Table12[[#This Row],[Population]]</f>
        <v>3.5554820296933292</v>
      </c>
      <c r="BE127" s="23" t="e">
        <f>VLOOKUP($G127,EGR2023_MASTER!$B$4:$S$38,14,FALSE)</f>
        <v>#N/A</v>
      </c>
      <c r="BF127" s="23" t="e">
        <f>VLOOKUP($G127,EGR2023_MASTER!$B$4:$S$38,15,FALSE)</f>
        <v>#N/A</v>
      </c>
      <c r="BG127" s="23" t="e">
        <f>VLOOKUP($G127,EGR2023_MASTER!$B$4:$S$38,16,FALSE)</f>
        <v>#N/A</v>
      </c>
      <c r="BH127" s="23" t="e">
        <f t="shared" si="19"/>
        <v>#N/A</v>
      </c>
      <c r="BI127" s="23" t="e">
        <f t="shared" si="20"/>
        <v>#N/A</v>
      </c>
      <c r="BJ127" s="552">
        <f>(Table12[[#This Row],[Current Policies 2030 excl LULUCF]]/Table12[[#This Row],[GHG emissions excl LULUCF]])^(1/(2030-2021))-1</f>
        <v>4.8164338236866833E-4</v>
      </c>
      <c r="BK127" s="552" t="str">
        <f>IF(Table12[[#This Row],[Net-zero target status]]&lt;=1,"",IF(Table12[[#This Row],[NZ GHG year]]="","",((MAX(Table12[[#This Row],[residual LULUCF emissions in 2050]],0.1)/Table12[[#This Row],[Current Policies 2030 excl LULUCF]])^(1/(Table12[[#This Row],[NZ GHG year]]-2021))-1)))</f>
        <v/>
      </c>
      <c r="BL127" s="552" t="str">
        <f>IF(Table12[[#This Row],[Net-zero target status]]&lt;=1,"",IF(Table12[[#This Row],[NZ GHG year]]="","",((MAX(Table12[[#This Row],[residual LULUCF emissions in 2050]],0.1)/Table12[[#This Row],[GHG emissions excl LULUCF]])^(1/(Table12[[#This Row],[NZ GHG year]]-2021))-1)))</f>
        <v/>
      </c>
      <c r="BM127" s="552" t="str">
        <f>IF(Table12[[#This Row],[Net-zero target status]]&lt;=1,"",IF(Table12[[#This Row],[NZ GHG year]]="","",((MAX(Table12[[#This Row],[residual LULUCF emissions in 2050]],0.1)/AVERAGE(Table12[[#This Row],[2030 conditional NDCs]:[2030 conditional NDCs2]]))^(1/(Table12[[#This Row],[NZ GHG year]]-2021))-1)))</f>
        <v/>
      </c>
      <c r="BN127" s="23"/>
      <c r="BO127" s="23"/>
      <c r="BP127" s="23"/>
      <c r="BQ127" s="23"/>
      <c r="BR127" s="50" t="s">
        <v>283</v>
      </c>
      <c r="BT127" s="30" t="str">
        <f>IF(Table12[[#This Row],[Reduction rate 2021 to NZ target2]]="","",J127*(1+AN127)^(Table12[[#This Row],[NZ GHG year]]-2021))</f>
        <v/>
      </c>
    </row>
    <row r="128" spans="1:72" ht="15" x14ac:dyDescent="0.25">
      <c r="A128">
        <v>0</v>
      </c>
      <c r="B128">
        <v>0</v>
      </c>
      <c r="C128">
        <v>807</v>
      </c>
      <c r="D128">
        <v>210</v>
      </c>
      <c r="E128">
        <v>12</v>
      </c>
      <c r="F128" t="str">
        <f>'input site'!M128</f>
        <v>excl</v>
      </c>
      <c r="G128" s="31" t="s">
        <v>284</v>
      </c>
      <c r="H128" s="1" t="s">
        <v>285</v>
      </c>
      <c r="I128" s="8">
        <f>VLOOKUP($G128,'NZT data'!$B$3:$C$200,2,FALSE)</f>
        <v>0</v>
      </c>
      <c r="J128" s="32">
        <f>'input site'!AS128</f>
        <v>10.147200000000002</v>
      </c>
      <c r="K128" s="32">
        <f>'input site'!BS128</f>
        <v>5.1993562455296525</v>
      </c>
      <c r="L128" s="32">
        <f t="shared" si="21"/>
        <v>5.1993562455296525</v>
      </c>
      <c r="M128" s="32">
        <f t="shared" si="22"/>
        <v>2.4067009578800653</v>
      </c>
      <c r="N128" s="32">
        <f>'input site'!EV128</f>
        <v>2.4067009578800653</v>
      </c>
      <c r="O128" s="8"/>
      <c r="P128" s="8"/>
      <c r="Q128" s="32">
        <f t="shared" si="23"/>
        <v>1.1740954377835977</v>
      </c>
      <c r="R128" s="32">
        <f>'input site'!EZ128</f>
        <v>1.1740954377835977</v>
      </c>
      <c r="S128" s="37">
        <f>'input site'!FA128</f>
        <v>0</v>
      </c>
      <c r="T128" s="37" t="str">
        <f>Table12[[#This Row],[(Mt CO2 equivalent)]]</f>
        <v>Macedonia</v>
      </c>
      <c r="U128" s="8">
        <f>VLOOKUP($G128,'NZT data'!$B$3:$F$200,4,FALSE)</f>
        <v>2110</v>
      </c>
      <c r="V128" s="32" t="str">
        <f>VLOOKUP($G128,'NZT data'!$B$3:$F$200,5,FALSE)</f>
        <v/>
      </c>
      <c r="W128" s="32">
        <f>-IF('LUC NGHGI'!EC118="",MIN('LUC NGHGI'!DW118,0.1),MIN('LUC NGHGI'!EC118,0.1))</f>
        <v>2.3489712643677763</v>
      </c>
      <c r="X128" s="32">
        <f>'LUC NGHGI'!EC118</f>
        <v>-2.3489712643677763</v>
      </c>
      <c r="Y128" s="32">
        <f>'LUC NGHGI'!DY118</f>
        <v>-2.3489712643677763</v>
      </c>
      <c r="Z128" s="32">
        <f>'LUC NGHGI'!DZ118</f>
        <v>-2.3489712643677763</v>
      </c>
      <c r="AA128" s="32">
        <f>Table12[[#This Row],[2021 emissions]]</f>
        <v>10.147200000000002</v>
      </c>
      <c r="AB128" s="32">
        <f>'LUC NGHGI'!DW118</f>
        <v>-2.5768309158324314</v>
      </c>
      <c r="AC128" s="32">
        <f>IF(F128="incl",Table12[[#This Row],[GHG emissions incl LULUCF]]-Table12[[#This Row],[LULUCF emis-sions in 20213]],Table12[[#This Row],[GHG emissions incl LULUCF]])</f>
        <v>10.147200000000002</v>
      </c>
      <c r="AD128" s="32">
        <f>'input site'!BS128</f>
        <v>5.1993562455296525</v>
      </c>
      <c r="AE128" s="32">
        <f>'LUC NGHGI'!EH118</f>
        <v>-2.1273084592905191</v>
      </c>
      <c r="AF128" s="32">
        <f>IF(F128="incl",Table12[[#This Row],[Current Policies 2030 incl LULUCF]]-Table12[[#This Row],[LULUCF CurPol 2030]],Table12[[#This Row],[Current Policies 2030 incl LULUCF]])</f>
        <v>5.1993562455296525</v>
      </c>
      <c r="AG128" s="32" t="str">
        <f>IF(Table12[[#This Row],[Net-zero target status]]&lt;=1,"",IF(Table12[[#This Row],[NZ GHG year]]="","",1000000000*(Table12[[#This Row],[residual LULUCF emissions in 2050]]-Table12[[#This Row],[GHG emissions excl LULUCF]])/(Table12[[#This Row],[NZ GHG year]]-2021)/Table12[[#This Row],[Population]]))</f>
        <v/>
      </c>
      <c r="AH128" s="32" t="str">
        <f>IF(Table12[[#This Row],[Peak revised]]="Yes",IF(Table12[[#This Row],[Net-zero target status]]&lt;=1,"",IF(Table12[[#This Row],[NZ GHG year]]="","",1000000000*(Table12[[#This Row],[residual LULUCF emissions in 2050]]-Table12[[#This Row],[GHG emissions excl LULUCF]])/(Table12[[#This Row],[NZ GHG year]]-2021)/Table12[[#This Row],[Population]])),"")</f>
        <v/>
      </c>
      <c r="AI128" s="32">
        <f>MAX(0,(1000000*(Table12[[#This Row],[Current Policies 2030 excl LULUCF]]/2+Table12[[#This Row],[GHG emissions excl LULUCF]]/2)/Table12[[#This Row],[Population]]-$AI$8)*10)*$AI$10</f>
        <v>0</v>
      </c>
      <c r="AJ12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8" s="32" t="str">
        <f>IF(Table12[[#This Row],[Formule no Peak (2)]]="","",Table12[[#This Row],[Penalty (1)]]+Table12[[#This Row],[Formule no Peak (2)]])</f>
        <v/>
      </c>
      <c r="AL128" s="313">
        <f>(Table12[[#This Row],[Current Policies 2030 excl LULUCF]]-Table12[[#This Row],[GHG emissions excl LULUCF]])/(2030-2021)/Table12[[#This Row],[GHG emissions excl LULUCF]]</f>
        <v>-5.4178533700269239E-2</v>
      </c>
      <c r="AM128" s="313" t="str">
        <f>IF(Table12[[#This Row],[Net-zero target status]]&lt;=1,"",IF(Table12[[#This Row],[NZ GHG year]]="","",(Table12[[#This Row],[residual LULUCF emissions in 2050]]-Table12[[#This Row],[Current Policies 2030 excl LULUCF]])/(Table12[[#This Row],[NZ GHG year]]-2030)/Table12[[#This Row],[Current Policies 2030 excl LULUCF]]))</f>
        <v/>
      </c>
      <c r="AN128" s="313" t="str">
        <f>IF(Table12[[#This Row],[Net-zero target status]]&lt;=1,"",IF(Table12[[#This Row],[NZ GHG year]]="","",(Table12[[#This Row],[residual LULUCF emissions in 2050]]-Table12[[#This Row],[GHG emissions excl LULUCF]])/(Table12[[#This Row],[NZ GHG year]]-2021)/Table12[[#This Row],[GHG emissions excl LULUCF]]))</f>
        <v/>
      </c>
      <c r="AO128" s="313" t="str">
        <f>IF(Table12[[#This Row],[Net-zero target status]]&lt;=1,"",IF(Table12[[#This Row],[NZ GHG year]]="","",(Table12[[#This Row],[residual LULUCF emissions in 2050]]-Table12[[#This Row],[2030 conditional NDCs]])/(Table12[[#This Row],[NZ GHG year]]-2030)/Table12[[#This Row],[2030 conditional NDCs]]))</f>
        <v/>
      </c>
      <c r="AP128" s="96">
        <f>MAX('input site'!AH128:AS128)</f>
        <v>12.596437</v>
      </c>
      <c r="AQ128" s="95" t="str">
        <f>IF(Table12[[#This Row],[Current Policies 2030 incl LULUCF]]&gt;Table12[[#This Row],[Maximum inventory data]],"No","Yes")</f>
        <v>Yes</v>
      </c>
      <c r="AR128" s="34" t="str">
        <f>IF(Table12[[#This Row],[Net-zero target status]]&gt;=1.5,Table12[[#This Row],[residual LULUCF emissions in 2050]]/Table12[[#This Row],[GHG emissions excl LULUCF]],"")</f>
        <v/>
      </c>
      <c r="AS128" s="74">
        <f>'input site'!BE128</f>
        <v>8.5530619999999988</v>
      </c>
      <c r="AT128" s="74">
        <f>'input site'!BF128</f>
        <v>8.5530619999999988</v>
      </c>
      <c r="AU128" s="74">
        <f>'input site'!BG128</f>
        <v>7.8199424000000004</v>
      </c>
      <c r="AV128" s="75">
        <f>'input site'!BH128</f>
        <v>7.8199424000000004</v>
      </c>
      <c r="AW128" s="74">
        <f>IF(Table12[[#This Row],[2030 unconditional NDCs]]="","",IF(F128="incl",Table12[[#This Row],[2030 unconditional NDCs]]-Table12[[#This Row],[LULUCF NDC uncond]],Table12[[#This Row],[2030 unconditional NDCs]]))</f>
        <v>8.5530619999999988</v>
      </c>
      <c r="AX128" s="74">
        <f>IF(Table12[[#This Row],[2030 unconditional NDCs2]]="","",IF(F128="incl",Table12[[#This Row],[2030 unconditional NDCs2]]-Table12[[#This Row],[LULUCF NDC uncond]],Table12[[#This Row],[2030 unconditional NDCs2]]))</f>
        <v>8.5530619999999988</v>
      </c>
      <c r="AY128" s="74">
        <f>IF(Table12[[#This Row],[2030 conditional NDCs]]="","",IF(F128="incl",Table12[[#This Row],[2030 conditional NDCs]]-Table12[[#This Row],[LULUCF NDC cond]],Table12[[#This Row],[2030 conditional NDCs]]))</f>
        <v>7.8199424000000004</v>
      </c>
      <c r="AZ128" s="74">
        <f>IF(Table12[[#This Row],[2030 conditional NDCs2]]="","",IF(F128="incl",Table12[[#This Row],[2030 conditional NDCs2]]-Table12[[#This Row],[LULUCF NDC cond]],Table12[[#This Row],[2030 conditional NDCs2]]))</f>
        <v>7.8199424000000004</v>
      </c>
      <c r="BA128" s="8">
        <f>VLOOKUP($G128,'Population90 20'!$C$6:$AU$231,37,FALSE)</f>
        <v>2081304</v>
      </c>
      <c r="BB128" s="8">
        <f>VLOOKUP($G128,'Overview GDP (PPP)'!$C$6:$AI$231,33,FALSE)</f>
        <v>28085398.475803949</v>
      </c>
      <c r="BC128" s="36">
        <f>Table12[[#This Row],[Income]]/Table12[[#This Row],[Population]]</f>
        <v>13.494135636026236</v>
      </c>
      <c r="BD128" s="36">
        <f>Table12[[#This Row],[GHG emissions excl LULUCF]]*1000000/Table12[[#This Row],[Population]]</f>
        <v>4.8754050345360413</v>
      </c>
      <c r="BE128" s="23" t="e">
        <f>VLOOKUP($G128,EGR2023_MASTER!$B$4:$S$38,14,FALSE)</f>
        <v>#N/A</v>
      </c>
      <c r="BF128" s="23" t="e">
        <f>VLOOKUP($G128,EGR2023_MASTER!$B$4:$S$38,15,FALSE)</f>
        <v>#N/A</v>
      </c>
      <c r="BG128" s="23" t="e">
        <f>VLOOKUP($G128,EGR2023_MASTER!$B$4:$S$38,16,FALSE)</f>
        <v>#N/A</v>
      </c>
      <c r="BH128" s="23" t="e">
        <f t="shared" si="19"/>
        <v>#N/A</v>
      </c>
      <c r="BI128" s="23" t="e">
        <f t="shared" si="20"/>
        <v>#N/A</v>
      </c>
      <c r="BJ128" s="552">
        <f>(Table12[[#This Row],[Current Policies 2030 excl LULUCF]]/Table12[[#This Row],[GHG emissions excl LULUCF]])^(1/(2030-2021))-1</f>
        <v>-7.1603047740136261E-2</v>
      </c>
      <c r="BK128" s="552" t="str">
        <f>IF(Table12[[#This Row],[Net-zero target status]]&lt;=1,"",IF(Table12[[#This Row],[NZ GHG year]]="","",((MAX(Table12[[#This Row],[residual LULUCF emissions in 2050]],0.1)/Table12[[#This Row],[Current Policies 2030 excl LULUCF]])^(1/(Table12[[#This Row],[NZ GHG year]]-2021))-1)))</f>
        <v/>
      </c>
      <c r="BL128" s="552" t="str">
        <f>IF(Table12[[#This Row],[Net-zero target status]]&lt;=1,"",IF(Table12[[#This Row],[NZ GHG year]]="","",((MAX(Table12[[#This Row],[residual LULUCF emissions in 2050]],0.1)/Table12[[#This Row],[GHG emissions excl LULUCF]])^(1/(Table12[[#This Row],[NZ GHG year]]-2021))-1)))</f>
        <v/>
      </c>
      <c r="BM128" s="552" t="str">
        <f>IF(Table12[[#This Row],[Net-zero target status]]&lt;=1,"",IF(Table12[[#This Row],[NZ GHG year]]="","",((MAX(Table12[[#This Row],[residual LULUCF emissions in 2050]],0.1)/AVERAGE(Table12[[#This Row],[2030 conditional NDCs]:[2030 conditional NDCs2]]))^(1/(Table12[[#This Row],[NZ GHG year]]-2021))-1)))</f>
        <v/>
      </c>
      <c r="BN128" s="23"/>
      <c r="BO128" s="23"/>
      <c r="BP128" s="23"/>
      <c r="BQ128" s="23"/>
      <c r="BR128" s="50" t="s">
        <v>285</v>
      </c>
      <c r="BT128" s="30" t="str">
        <f>IF(Table12[[#This Row],[Reduction rate 2021 to NZ target2]]="","",J128*(1+AN128)^(Table12[[#This Row],[NZ GHG year]]-2021))</f>
        <v/>
      </c>
    </row>
    <row r="129" spans="1:72" ht="15" x14ac:dyDescent="0.25">
      <c r="A129">
        <v>0</v>
      </c>
      <c r="B129">
        <v>0</v>
      </c>
      <c r="C129">
        <v>450</v>
      </c>
      <c r="D129">
        <v>117</v>
      </c>
      <c r="E129">
        <v>9</v>
      </c>
      <c r="F129" t="str">
        <f>'input site'!M129</f>
        <v>excl</v>
      </c>
      <c r="G129" s="31" t="s">
        <v>286</v>
      </c>
      <c r="H129" s="1" t="s">
        <v>287</v>
      </c>
      <c r="I129" s="8">
        <f>VLOOKUP($G129,'NZT data'!$B$3:$C$200,2,FALSE)</f>
        <v>1</v>
      </c>
      <c r="J129" s="32">
        <f>'input site'!AS129</f>
        <v>34.974571000000005</v>
      </c>
      <c r="K129" s="32">
        <f>'input site'!BS129</f>
        <v>55.046343089362374</v>
      </c>
      <c r="L129" s="32">
        <f t="shared" si="21"/>
        <v>0</v>
      </c>
      <c r="M129" s="32">
        <f t="shared" si="22"/>
        <v>0</v>
      </c>
      <c r="N129" s="32">
        <f>'input site'!EV129</f>
        <v>39.512857759293944</v>
      </c>
      <c r="O129" s="8"/>
      <c r="P129" s="36"/>
      <c r="Q129" s="32">
        <f t="shared" si="23"/>
        <v>0</v>
      </c>
      <c r="R129" s="32">
        <f>'input site'!EZ129</f>
        <v>36.101835558718619</v>
      </c>
      <c r="S129" s="37">
        <f>'input site'!FA129</f>
        <v>2050</v>
      </c>
      <c r="T129" s="37" t="str">
        <f>Table12[[#This Row],[(Mt CO2 equivalent)]]</f>
        <v>Madagascar</v>
      </c>
      <c r="U129" s="8">
        <f>VLOOKUP($G129,'NZT data'!$B$3:$F$200,4,FALSE)</f>
        <v>2110</v>
      </c>
      <c r="V129" s="32">
        <f>VLOOKUP($G129,'NZT data'!$B$3:$F$200,5,FALSE)</f>
        <v>2125</v>
      </c>
      <c r="W129" s="32">
        <f>-IF('LUC NGHGI'!EC119="",MIN('LUC NGHGI'!DW119,0.1),MIN('LUC NGHGI'!EC119,0.1))</f>
        <v>92.497017099567529</v>
      </c>
      <c r="X129" s="32">
        <f>'LUC NGHGI'!EC119</f>
        <v>-92.497017099567529</v>
      </c>
      <c r="Y129" s="32">
        <f>'LUC NGHGI'!DY119</f>
        <v>-128.19701709956752</v>
      </c>
      <c r="Z129" s="32">
        <f>'LUC NGHGI'!DZ119</f>
        <v>-128.19701709956752</v>
      </c>
      <c r="AA129" s="32">
        <f>Table12[[#This Row],[2021 emissions]]</f>
        <v>34.974571000000005</v>
      </c>
      <c r="AB129" s="32">
        <f>'LUC NGHGI'!DW119</f>
        <v>-86.820845692640432</v>
      </c>
      <c r="AC129" s="32">
        <f>IF(F129="incl",Table12[[#This Row],[GHG emissions incl LULUCF]]-Table12[[#This Row],[LULUCF emis-sions in 20213]],Table12[[#This Row],[GHG emissions incl LULUCF]])</f>
        <v>34.974571000000005</v>
      </c>
      <c r="AD129" s="32">
        <f>'input site'!BS129</f>
        <v>55.046343089362374</v>
      </c>
      <c r="AE129" s="32">
        <f>'LUC NGHGI'!EH119</f>
        <v>-110.83579258489792</v>
      </c>
      <c r="AF129" s="32">
        <f>IF(F129="incl",Table12[[#This Row],[Current Policies 2030 incl LULUCF]]-Table12[[#This Row],[LULUCF CurPol 2030]],Table12[[#This Row],[Current Policies 2030 incl LULUCF]])</f>
        <v>55.046343089362374</v>
      </c>
      <c r="AG129" s="32" t="str">
        <f>IF(Table12[[#This Row],[Net-zero target status]]&lt;=1,"",IF(Table12[[#This Row],[NZ GHG year]]="","",1000000000*(Table12[[#This Row],[residual LULUCF emissions in 2050]]-Table12[[#This Row],[GHG emissions excl LULUCF]])/(Table12[[#This Row],[NZ GHG year]]-2021)/Table12[[#This Row],[Population]]))</f>
        <v/>
      </c>
      <c r="AH129" s="32" t="str">
        <f>IF(Table12[[#This Row],[Peak revised]]="Yes",IF(Table12[[#This Row],[Net-zero target status]]&lt;=1,"",IF(Table12[[#This Row],[NZ GHG year]]="","",1000000000*(Table12[[#This Row],[residual LULUCF emissions in 2050]]-Table12[[#This Row],[GHG emissions excl LULUCF]])/(Table12[[#This Row],[NZ GHG year]]-2021)/Table12[[#This Row],[Population]])),"")</f>
        <v/>
      </c>
      <c r="AI129" s="32">
        <f>MAX(0,(1000000*(Table12[[#This Row],[Current Policies 2030 excl LULUCF]]/2+Table12[[#This Row],[GHG emissions excl LULUCF]]/2)/Table12[[#This Row],[Population]]-$AI$8)*10)*$AI$10</f>
        <v>0</v>
      </c>
      <c r="AJ12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29" s="32" t="str">
        <f>IF(Table12[[#This Row],[Formule no Peak (2)]]="","",Table12[[#This Row],[Penalty (1)]]+Table12[[#This Row],[Formule no Peak (2)]])</f>
        <v/>
      </c>
      <c r="AL129" s="313">
        <f>(Table12[[#This Row],[Current Policies 2030 excl LULUCF]]-Table12[[#This Row],[GHG emissions excl LULUCF]])/(2030-2021)/Table12[[#This Row],[GHG emissions excl LULUCF]]</f>
        <v>6.3766240301218871E-2</v>
      </c>
      <c r="AM129" s="313" t="str">
        <f>IF(Table12[[#This Row],[Net-zero target status]]&lt;=1,"",IF(Table12[[#This Row],[NZ GHG year]]="","",(Table12[[#This Row],[residual LULUCF emissions in 2050]]-Table12[[#This Row],[Current Policies 2030 excl LULUCF]])/(Table12[[#This Row],[NZ GHG year]]-2030)/Table12[[#This Row],[Current Policies 2030 excl LULUCF]]))</f>
        <v/>
      </c>
      <c r="AN129" s="313" t="str">
        <f>IF(Table12[[#This Row],[Net-zero target status]]&lt;=1,"",IF(Table12[[#This Row],[NZ GHG year]]="","",(Table12[[#This Row],[residual LULUCF emissions in 2050]]-Table12[[#This Row],[GHG emissions excl LULUCF]])/(Table12[[#This Row],[NZ GHG year]]-2021)/Table12[[#This Row],[GHG emissions excl LULUCF]]))</f>
        <v/>
      </c>
      <c r="AO129" s="313" t="str">
        <f>IF(Table12[[#This Row],[Net-zero target status]]&lt;=1,"",IF(Table12[[#This Row],[NZ GHG year]]="","",(Table12[[#This Row],[residual LULUCF emissions in 2050]]-Table12[[#This Row],[2030 conditional NDCs]])/(Table12[[#This Row],[NZ GHG year]]-2030)/Table12[[#This Row],[2030 conditional NDCs]]))</f>
        <v/>
      </c>
      <c r="AP129" s="96">
        <f>MAX('input site'!AH129:AS129)</f>
        <v>34.974571000000005</v>
      </c>
      <c r="AQ129" s="95" t="str">
        <f>IF(Table12[[#This Row],[Current Policies 2030 incl LULUCF]]&gt;Table12[[#This Row],[Maximum inventory data]],"No","Yes")</f>
        <v>No</v>
      </c>
      <c r="AR129" s="34" t="str">
        <f>IF(Table12[[#This Row],[Net-zero target status]]&gt;=1.5,Table12[[#This Row],[residual LULUCF emissions in 2050]]/Table12[[#This Row],[GHG emissions excl LULUCF]],"")</f>
        <v/>
      </c>
      <c r="AS129" s="90">
        <f>'input site'!BE129</f>
        <v>0</v>
      </c>
      <c r="AT129" s="90">
        <f>'input site'!BF129</f>
        <v>0</v>
      </c>
      <c r="AU129" s="90">
        <f>'input site'!BG129</f>
        <v>0</v>
      </c>
      <c r="AV129" s="91">
        <f>'input site'!BH129</f>
        <v>0</v>
      </c>
      <c r="AW129" s="74">
        <f>IF(Table12[[#This Row],[2030 unconditional NDCs]]="","",IF(F129="incl",Table12[[#This Row],[2030 unconditional NDCs]]-Table12[[#This Row],[LULUCF NDC uncond]],Table12[[#This Row],[2030 unconditional NDCs]]))</f>
        <v>0</v>
      </c>
      <c r="AX129" s="74">
        <f>IF(Table12[[#This Row],[2030 unconditional NDCs2]]="","",IF(F129="incl",Table12[[#This Row],[2030 unconditional NDCs2]]-Table12[[#This Row],[LULUCF NDC uncond]],Table12[[#This Row],[2030 unconditional NDCs2]]))</f>
        <v>0</v>
      </c>
      <c r="AY129" s="74">
        <f>IF(Table12[[#This Row],[2030 conditional NDCs]]="","",IF(F129="incl",Table12[[#This Row],[2030 conditional NDCs]]-Table12[[#This Row],[LULUCF NDC cond]],Table12[[#This Row],[2030 conditional NDCs]]))</f>
        <v>0</v>
      </c>
      <c r="AZ129" s="74">
        <f>IF(Table12[[#This Row],[2030 conditional NDCs2]]="","",IF(F129="incl",Table12[[#This Row],[2030 conditional NDCs2]]-Table12[[#This Row],[LULUCF NDC cond]],Table12[[#This Row],[2030 conditional NDCs2]]))</f>
        <v>0</v>
      </c>
      <c r="BA129" s="8">
        <f>VLOOKUP($G129,'Population90 20'!$C$6:$AU$231,37,FALSE)</f>
        <v>29178077</v>
      </c>
      <c r="BB129" s="8">
        <f>VLOOKUP($G129,'Overview GDP (PPP)'!$C$6:$AI$231,33,FALSE)</f>
        <v>38148368.88588538</v>
      </c>
      <c r="BC129" s="36">
        <f>Table12[[#This Row],[Income]]/Table12[[#This Row],[Population]]</f>
        <v>1.307432593514829</v>
      </c>
      <c r="BD129" s="36">
        <f>Table12[[#This Row],[GHG emissions excl LULUCF]]*1000000/Table12[[#This Row],[Population]]</f>
        <v>1.1986592193858425</v>
      </c>
      <c r="BE129" s="23" t="e">
        <f>VLOOKUP($G129,EGR2023_MASTER!$B$4:$S$38,14,FALSE)</f>
        <v>#N/A</v>
      </c>
      <c r="BF129" s="23" t="e">
        <f>VLOOKUP($G129,EGR2023_MASTER!$B$4:$S$38,15,FALSE)</f>
        <v>#N/A</v>
      </c>
      <c r="BG129" s="23" t="e">
        <f>VLOOKUP($G129,EGR2023_MASTER!$B$4:$S$38,16,FALSE)</f>
        <v>#N/A</v>
      </c>
      <c r="BH129" s="23" t="e">
        <f t="shared" si="19"/>
        <v>#N/A</v>
      </c>
      <c r="BI129" s="23" t="e">
        <f t="shared" si="20"/>
        <v>#N/A</v>
      </c>
      <c r="BJ129" s="552">
        <f>(Table12[[#This Row],[Current Policies 2030 excl LULUCF]]/Table12[[#This Row],[GHG emissions excl LULUCF]])^(1/(2030-2021))-1</f>
        <v>5.1686334369222875E-2</v>
      </c>
      <c r="BK129" s="552" t="str">
        <f>IF(Table12[[#This Row],[Net-zero target status]]&lt;=1,"",IF(Table12[[#This Row],[NZ GHG year]]="","",((MAX(Table12[[#This Row],[residual LULUCF emissions in 2050]],0.1)/Table12[[#This Row],[Current Policies 2030 excl LULUCF]])^(1/(Table12[[#This Row],[NZ GHG year]]-2021))-1)))</f>
        <v/>
      </c>
      <c r="BL129" s="552" t="str">
        <f>IF(Table12[[#This Row],[Net-zero target status]]&lt;=1,"",IF(Table12[[#This Row],[NZ GHG year]]="","",((MAX(Table12[[#This Row],[residual LULUCF emissions in 2050]],0.1)/Table12[[#This Row],[GHG emissions excl LULUCF]])^(1/(Table12[[#This Row],[NZ GHG year]]-2021))-1)))</f>
        <v/>
      </c>
      <c r="BM129" s="552" t="str">
        <f>IF(Table12[[#This Row],[Net-zero target status]]&lt;=1,"",IF(Table12[[#This Row],[NZ GHG year]]="","",((MAX(Table12[[#This Row],[residual LULUCF emissions in 2050]],0.1)/AVERAGE(Table12[[#This Row],[2030 conditional NDCs]:[2030 conditional NDCs2]]))^(1/(Table12[[#This Row],[NZ GHG year]]-2021))-1)))</f>
        <v/>
      </c>
      <c r="BN129" s="23"/>
      <c r="BO129" s="23"/>
      <c r="BP129" s="23"/>
      <c r="BQ129" s="23"/>
      <c r="BR129" s="50" t="s">
        <v>287</v>
      </c>
      <c r="BT129" s="30" t="str">
        <f>IF(Table12[[#This Row],[Reduction rate 2021 to NZ target2]]="","",J129*(1+AN129)^(Table12[[#This Row],[NZ GHG year]]-2021))</f>
        <v/>
      </c>
    </row>
    <row r="130" spans="1:72" ht="15" x14ac:dyDescent="0.25">
      <c r="A130">
        <v>0</v>
      </c>
      <c r="B130">
        <v>0</v>
      </c>
      <c r="C130">
        <v>454</v>
      </c>
      <c r="D130">
        <v>118</v>
      </c>
      <c r="E130">
        <v>26</v>
      </c>
      <c r="F130" t="str">
        <f>'input site'!M130</f>
        <v>excl</v>
      </c>
      <c r="G130" s="31" t="s">
        <v>288</v>
      </c>
      <c r="H130" s="1" t="s">
        <v>289</v>
      </c>
      <c r="I130" s="8">
        <f>VLOOKUP($G130,'NZT data'!$B$3:$C$200,2,FALSE)</f>
        <v>1</v>
      </c>
      <c r="J130" s="32">
        <f>'input site'!AS130</f>
        <v>16.402851999999999</v>
      </c>
      <c r="K130" s="32">
        <f>'input site'!BS130</f>
        <v>19.962912186005475</v>
      </c>
      <c r="L130" s="32">
        <f t="shared" si="21"/>
        <v>0</v>
      </c>
      <c r="M130" s="32">
        <f t="shared" si="22"/>
        <v>0</v>
      </c>
      <c r="N130" s="32">
        <f>'input site'!EV130</f>
        <v>9.8580996761176785</v>
      </c>
      <c r="O130" s="8"/>
      <c r="P130" s="36"/>
      <c r="Q130" s="32">
        <f t="shared" si="23"/>
        <v>0</v>
      </c>
      <c r="R130" s="32">
        <f>'input site'!EZ130</f>
        <v>9.1925756350647205</v>
      </c>
      <c r="S130" s="37">
        <f>'input site'!FA130</f>
        <v>2050</v>
      </c>
      <c r="T130" s="37" t="str">
        <f>Table12[[#This Row],[(Mt CO2 equivalent)]]</f>
        <v>Malawi</v>
      </c>
      <c r="U130" s="8">
        <f>VLOOKUP($G130,'NZT data'!$B$3:$F$200,4,FALSE)</f>
        <v>2110</v>
      </c>
      <c r="V130" s="32">
        <f>VLOOKUP($G130,'NZT data'!$B$3:$F$200,5,FALSE)</f>
        <v>2110</v>
      </c>
      <c r="W130" s="32">
        <f>-IF('LUC NGHGI'!EC120="",MIN('LUC NGHGI'!DW120,0.1),MIN('LUC NGHGI'!EC120,0.1))</f>
        <v>4.2148737662337226</v>
      </c>
      <c r="X130" s="32">
        <f>'LUC NGHGI'!EC120</f>
        <v>-4.2148737662337226</v>
      </c>
      <c r="Y130" s="32">
        <f>'LUC NGHGI'!DY120</f>
        <v>-9.2148737662337226</v>
      </c>
      <c r="Z130" s="32">
        <f>'LUC NGHGI'!DZ120</f>
        <v>-9.2148737662337226</v>
      </c>
      <c r="AA130" s="32">
        <f>Table12[[#This Row],[2021 emissions]]</f>
        <v>16.402851999999999</v>
      </c>
      <c r="AB130" s="32">
        <f>'LUC NGHGI'!DW120</f>
        <v>-5.0968977402599194</v>
      </c>
      <c r="AC130" s="32">
        <f>IF(F130="incl",Table12[[#This Row],[GHG emissions incl LULUCF]]-Table12[[#This Row],[LULUCF emis-sions in 20213]],Table12[[#This Row],[GHG emissions incl LULUCF]])</f>
        <v>16.402851999999999</v>
      </c>
      <c r="AD130" s="32">
        <f>'input site'!BS130</f>
        <v>19.962912186005475</v>
      </c>
      <c r="AE130" s="32">
        <f>'LUC NGHGI'!EH120</f>
        <v>-5.0505290783911407</v>
      </c>
      <c r="AF130" s="32">
        <f>IF(F130="incl",Table12[[#This Row],[Current Policies 2030 incl LULUCF]]-Table12[[#This Row],[LULUCF CurPol 2030]],Table12[[#This Row],[Current Policies 2030 incl LULUCF]])</f>
        <v>19.962912186005475</v>
      </c>
      <c r="AG130" s="32" t="str">
        <f>IF(Table12[[#This Row],[Net-zero target status]]&lt;=1,"",IF(Table12[[#This Row],[NZ GHG year]]="","",1000000000*(Table12[[#This Row],[residual LULUCF emissions in 2050]]-Table12[[#This Row],[GHG emissions excl LULUCF]])/(Table12[[#This Row],[NZ GHG year]]-2021)/Table12[[#This Row],[Population]]))</f>
        <v/>
      </c>
      <c r="AH130" s="32" t="str">
        <f>IF(Table12[[#This Row],[Peak revised]]="Yes",IF(Table12[[#This Row],[Net-zero target status]]&lt;=1,"",IF(Table12[[#This Row],[NZ GHG year]]="","",1000000000*(Table12[[#This Row],[residual LULUCF emissions in 2050]]-Table12[[#This Row],[GHG emissions excl LULUCF]])/(Table12[[#This Row],[NZ GHG year]]-2021)/Table12[[#This Row],[Population]])),"")</f>
        <v/>
      </c>
      <c r="AI130" s="32">
        <f>MAX(0,(1000000*(Table12[[#This Row],[Current Policies 2030 excl LULUCF]]/2+Table12[[#This Row],[GHG emissions excl LULUCF]]/2)/Table12[[#This Row],[Population]]-$AI$8)*10)*$AI$10</f>
        <v>0</v>
      </c>
      <c r="AJ13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0" s="32" t="str">
        <f>IF(Table12[[#This Row],[Formule no Peak (2)]]="","",Table12[[#This Row],[Penalty (1)]]+Table12[[#This Row],[Formule no Peak (2)]])</f>
        <v/>
      </c>
      <c r="AL130" s="313">
        <f>(Table12[[#This Row],[Current Policies 2030 excl LULUCF]]-Table12[[#This Row],[GHG emissions excl LULUCF]])/(2030-2021)/Table12[[#This Row],[GHG emissions excl LULUCF]]</f>
        <v>2.4115455220195692E-2</v>
      </c>
      <c r="AM130" s="313" t="str">
        <f>IF(Table12[[#This Row],[Net-zero target status]]&lt;=1,"",IF(Table12[[#This Row],[NZ GHG year]]="","",(Table12[[#This Row],[residual LULUCF emissions in 2050]]-Table12[[#This Row],[Current Policies 2030 excl LULUCF]])/(Table12[[#This Row],[NZ GHG year]]-2030)/Table12[[#This Row],[Current Policies 2030 excl LULUCF]]))</f>
        <v/>
      </c>
      <c r="AN130" s="313" t="str">
        <f>IF(Table12[[#This Row],[Net-zero target status]]&lt;=1,"",IF(Table12[[#This Row],[NZ GHG year]]="","",(Table12[[#This Row],[residual LULUCF emissions in 2050]]-Table12[[#This Row],[GHG emissions excl LULUCF]])/(Table12[[#This Row],[NZ GHG year]]-2021)/Table12[[#This Row],[GHG emissions excl LULUCF]]))</f>
        <v/>
      </c>
      <c r="AO130" s="313" t="str">
        <f>IF(Table12[[#This Row],[Net-zero target status]]&lt;=1,"",IF(Table12[[#This Row],[NZ GHG year]]="","",(Table12[[#This Row],[residual LULUCF emissions in 2050]]-Table12[[#This Row],[2030 conditional NDCs]])/(Table12[[#This Row],[NZ GHG year]]-2030)/Table12[[#This Row],[2030 conditional NDCs]]))</f>
        <v/>
      </c>
      <c r="AP130" s="96">
        <f>MAX('input site'!AH130:AS130)</f>
        <v>16.402851999999999</v>
      </c>
      <c r="AQ130" s="95" t="str">
        <f>IF(Table12[[#This Row],[Current Policies 2030 incl LULUCF]]&gt;Table12[[#This Row],[Maximum inventory data]],"No","Yes")</f>
        <v>No</v>
      </c>
      <c r="AR130" s="34" t="str">
        <f>IF(Table12[[#This Row],[Net-zero target status]]&gt;=1.5,Table12[[#This Row],[residual LULUCF emissions in 2050]]/Table12[[#This Row],[GHG emissions excl LULUCF]],"")</f>
        <v/>
      </c>
      <c r="AS130" s="74" t="str">
        <f>'input site'!BE130</f>
        <v/>
      </c>
      <c r="AT130" s="74" t="str">
        <f>'input site'!BF130</f>
        <v/>
      </c>
      <c r="AU130" s="74" t="str">
        <f>'input site'!BG130</f>
        <v/>
      </c>
      <c r="AV130" s="75" t="str">
        <f>'input site'!BH130</f>
        <v/>
      </c>
      <c r="AW130" s="74" t="str">
        <f>IF(Table12[[#This Row],[2030 unconditional NDCs]]="","",IF(F130="incl",Table12[[#This Row],[2030 unconditional NDCs]]-Table12[[#This Row],[LULUCF NDC uncond]],Table12[[#This Row],[2030 unconditional NDCs]]))</f>
        <v/>
      </c>
      <c r="AX130" s="74" t="str">
        <f>IF(Table12[[#This Row],[2030 unconditional NDCs2]]="","",IF(F130="incl",Table12[[#This Row],[2030 unconditional NDCs2]]-Table12[[#This Row],[LULUCF NDC uncond]],Table12[[#This Row],[2030 unconditional NDCs2]]))</f>
        <v/>
      </c>
      <c r="AY130" s="74" t="str">
        <f>IF(Table12[[#This Row],[2030 conditional NDCs]]="","",IF(F130="incl",Table12[[#This Row],[2030 conditional NDCs]]-Table12[[#This Row],[LULUCF NDC cond]],Table12[[#This Row],[2030 conditional NDCs]]))</f>
        <v/>
      </c>
      <c r="AZ130" s="74" t="str">
        <f>IF(Table12[[#This Row],[2030 conditional NDCs2]]="","",IF(F130="incl",Table12[[#This Row],[2030 conditional NDCs2]]-Table12[[#This Row],[LULUCF NDC cond]],Table12[[#This Row],[2030 conditional NDCs2]]))</f>
        <v/>
      </c>
      <c r="BA130" s="8">
        <f>VLOOKUP($G130,'Population90 20'!$C$6:$AU$231,37,FALSE)</f>
        <v>20180839</v>
      </c>
      <c r="BB130" s="8">
        <f>VLOOKUP($G130,'Overview GDP (PPP)'!$C$6:$AI$231,33,FALSE)</f>
        <v>21105707.229371995</v>
      </c>
      <c r="BC130" s="36">
        <f>Table12[[#This Row],[Income]]/Table12[[#This Row],[Population]]</f>
        <v>1.0458290276916631</v>
      </c>
      <c r="BD130" s="36">
        <f>Table12[[#This Row],[GHG emissions excl LULUCF]]*1000000/Table12[[#This Row],[Population]]</f>
        <v>0.81279336305096139</v>
      </c>
      <c r="BE130" s="23" t="e">
        <f>VLOOKUP($G130,EGR2023_MASTER!$B$4:$S$38,14,FALSE)</f>
        <v>#N/A</v>
      </c>
      <c r="BF130" s="23" t="e">
        <f>VLOOKUP($G130,EGR2023_MASTER!$B$4:$S$38,15,FALSE)</f>
        <v>#N/A</v>
      </c>
      <c r="BG130" s="23" t="e">
        <f>VLOOKUP($G130,EGR2023_MASTER!$B$4:$S$38,16,FALSE)</f>
        <v>#N/A</v>
      </c>
      <c r="BH130" s="23" t="e">
        <f t="shared" si="19"/>
        <v>#N/A</v>
      </c>
      <c r="BI130" s="23" t="e">
        <f t="shared" si="20"/>
        <v>#N/A</v>
      </c>
      <c r="BJ130" s="552">
        <f>(Table12[[#This Row],[Current Policies 2030 excl LULUCF]]/Table12[[#This Row],[GHG emissions excl LULUCF]])^(1/(2030-2021))-1</f>
        <v>2.2064446304015162E-2</v>
      </c>
      <c r="BK130" s="552" t="str">
        <f>IF(Table12[[#This Row],[Net-zero target status]]&lt;=1,"",IF(Table12[[#This Row],[NZ GHG year]]="","",((MAX(Table12[[#This Row],[residual LULUCF emissions in 2050]],0.1)/Table12[[#This Row],[Current Policies 2030 excl LULUCF]])^(1/(Table12[[#This Row],[NZ GHG year]]-2021))-1)))</f>
        <v/>
      </c>
      <c r="BL130" s="552" t="str">
        <f>IF(Table12[[#This Row],[Net-zero target status]]&lt;=1,"",IF(Table12[[#This Row],[NZ GHG year]]="","",((MAX(Table12[[#This Row],[residual LULUCF emissions in 2050]],0.1)/Table12[[#This Row],[GHG emissions excl LULUCF]])^(1/(Table12[[#This Row],[NZ GHG year]]-2021))-1)))</f>
        <v/>
      </c>
      <c r="BM130" s="552" t="str">
        <f>IF(Table12[[#This Row],[Net-zero target status]]&lt;=1,"",IF(Table12[[#This Row],[NZ GHG year]]="","",((MAX(Table12[[#This Row],[residual LULUCF emissions in 2050]],0.1)/AVERAGE(Table12[[#This Row],[2030 conditional NDCs]:[2030 conditional NDCs2]]))^(1/(Table12[[#This Row],[NZ GHG year]]-2021))-1)))</f>
        <v/>
      </c>
      <c r="BN130" s="23"/>
      <c r="BO130" s="23"/>
      <c r="BP130" s="23"/>
      <c r="BQ130" s="23"/>
      <c r="BR130" s="50" t="s">
        <v>289</v>
      </c>
      <c r="BT130" s="30" t="str">
        <f>IF(Table12[[#This Row],[Reduction rate 2021 to NZ target2]]="","",J130*(1+AN130)^(Table12[[#This Row],[NZ GHG year]]-2021))</f>
        <v/>
      </c>
    </row>
    <row r="131" spans="1:72" ht="15" x14ac:dyDescent="0.25">
      <c r="A131">
        <v>1</v>
      </c>
      <c r="B131">
        <v>0</v>
      </c>
      <c r="C131">
        <v>458</v>
      </c>
      <c r="D131">
        <v>119</v>
      </c>
      <c r="E131">
        <v>21</v>
      </c>
      <c r="F131" t="str">
        <f>'input site'!M131</f>
        <v>incl</v>
      </c>
      <c r="G131" s="31" t="s">
        <v>290</v>
      </c>
      <c r="H131" s="1" t="s">
        <v>291</v>
      </c>
      <c r="I131" s="8">
        <f>VLOOKUP($G131,'NZT data'!$B$3:$C$200,2,FALSE)</f>
        <v>3</v>
      </c>
      <c r="J131" s="32">
        <f>'input site'!AS131</f>
        <v>76.377223769373757</v>
      </c>
      <c r="K131" s="32">
        <f>'input site'!BS131</f>
        <v>158.19484041533053</v>
      </c>
      <c r="L131" s="32">
        <f t="shared" si="21"/>
        <v>0</v>
      </c>
      <c r="M131" s="32">
        <f t="shared" si="22"/>
        <v>0</v>
      </c>
      <c r="N131" s="32">
        <f>'input site'!EV131</f>
        <v>26.1364224517257</v>
      </c>
      <c r="O131" s="8"/>
      <c r="P131" s="8"/>
      <c r="Q131" s="32">
        <f t="shared" si="23"/>
        <v>0</v>
      </c>
      <c r="R131" s="32">
        <f>'input site'!EZ131</f>
        <v>1.7549233257772381</v>
      </c>
      <c r="S131" s="37">
        <f>'input site'!FA131</f>
        <v>0</v>
      </c>
      <c r="T131" s="37" t="str">
        <f>Table12[[#This Row],[(Mt CO2 equivalent)]]</f>
        <v>Malaysia</v>
      </c>
      <c r="U131" s="8">
        <f>VLOOKUP($G131,'NZT data'!$B$3:$F$200,4,FALSE)</f>
        <v>2050</v>
      </c>
      <c r="V131" s="32">
        <f>VLOOKUP($G131,'NZT data'!$B$3:$F$200,5,FALSE)</f>
        <v>2050</v>
      </c>
      <c r="W131" s="32">
        <f>-IF('LUC NGHGI'!EC121="",MIN('LUC NGHGI'!DW121,0.1),MIN('LUC NGHGI'!EC121,0.1))</f>
        <v>254.86890928735647</v>
      </c>
      <c r="X131" s="32">
        <f>'LUC NGHGI'!EC121</f>
        <v>-254.86890928735647</v>
      </c>
      <c r="Y131" s="32">
        <f>'LUC NGHGI'!DY121</f>
        <v>-254.86890928735647</v>
      </c>
      <c r="Z131" s="32">
        <f>'LUC NGHGI'!DZ121</f>
        <v>-254.86890928735647</v>
      </c>
      <c r="AA131" s="32">
        <f>Table12[[#This Row],[2021 emissions]]</f>
        <v>76.377223769373757</v>
      </c>
      <c r="AB131" s="32">
        <f>'LUC NGHGI'!DW121</f>
        <v>-257.31970623062625</v>
      </c>
      <c r="AC131" s="32">
        <f>IF(F131="incl",Table12[[#This Row],[GHG emissions incl LULUCF]]-Table12[[#This Row],[LULUCF emis-sions in 20213]],Table12[[#This Row],[GHG emissions incl LULUCF]])</f>
        <v>333.69693000000001</v>
      </c>
      <c r="AD131" s="32">
        <f>'input site'!BS131</f>
        <v>158.19484041533053</v>
      </c>
      <c r="AE131" s="32">
        <f>'LUC NGHGI'!EH121</f>
        <v>-260.08590928735646</v>
      </c>
      <c r="AF131" s="32">
        <f>IF(F131="incl",Table12[[#This Row],[Current Policies 2030 incl LULUCF]]-Table12[[#This Row],[LULUCF CurPol 2030]],Table12[[#This Row],[Current Policies 2030 incl LULUCF]])</f>
        <v>418.28074970268699</v>
      </c>
      <c r="AG131" s="32">
        <f>IF(Table12[[#This Row],[Net-zero target status]]&lt;=1,"",IF(Table12[[#This Row],[NZ GHG year]]="","",1000000000*(Table12[[#This Row],[residual LULUCF emissions in 2050]]-Table12[[#This Row],[GHG emissions excl LULUCF]])/(Table12[[#This Row],[NZ GHG year]]-2021)/Table12[[#This Row],[Population]]))</f>
        <v>-81.920427730026674</v>
      </c>
      <c r="AH131" s="32" t="str">
        <f>IF(Table12[[#This Row],[Peak revised]]="Yes",IF(Table12[[#This Row],[Net-zero target status]]&lt;=1,"",IF(Table12[[#This Row],[NZ GHG year]]="","",1000000000*(Table12[[#This Row],[residual LULUCF emissions in 2050]]-Table12[[#This Row],[GHG emissions excl LULUCF]])/(Table12[[#This Row],[NZ GHG year]]-2021)/Table12[[#This Row],[Population]])),"")</f>
        <v/>
      </c>
      <c r="AI131" s="32">
        <f>MAX(0,(1000000*(Table12[[#This Row],[Current Policies 2030 excl LULUCF]]/2+Table12[[#This Row],[GHG emissions excl LULUCF]]/2)/Table12[[#This Row],[Population]]-$AI$8)*10)*$AI$10</f>
        <v>-433.1425333435385</v>
      </c>
      <c r="AJ131" s="32">
        <f>IF(Table12[[#This Row],[Peak revised]]="No",IF(Table12[[#This Row],[Net-zero target status]]&lt;=1,"",IF(Table12[[#This Row],[NZ GHG year]]="","",1000000000*(Table12[[#This Row],[residual LULUCF emissions in 2050]]-Table12[[#This Row],[Current Policies 2030 excl LULUCF]])/(Table12[[#This Row],[NZ GHG year]]-2021)/Table12[[#This Row],[Population]])),"")</f>
        <v>-169.82245325902974</v>
      </c>
      <c r="AK131" s="32">
        <f>IF(Table12[[#This Row],[Formule no Peak (2)]]="","",Table12[[#This Row],[Penalty (1)]]+Table12[[#This Row],[Formule no Peak (2)]])</f>
        <v>-602.96498660256827</v>
      </c>
      <c r="AL131" s="313">
        <f>(Table12[[#This Row],[Current Policies 2030 excl LULUCF]]-Table12[[#This Row],[GHG emissions excl LULUCF]])/(2030-2021)/Table12[[#This Row],[GHG emissions excl LULUCF]]</f>
        <v>2.8163885682698495E-2</v>
      </c>
      <c r="AM131" s="313">
        <f>IF(Table12[[#This Row],[Net-zero target status]]&lt;=1,"",IF(Table12[[#This Row],[NZ GHG year]]="","",(Table12[[#This Row],[residual LULUCF emissions in 2050]]-Table12[[#This Row],[Current Policies 2030 excl LULUCF]])/(Table12[[#This Row],[NZ GHG year]]-2030)/Table12[[#This Row],[Current Policies 2030 excl LULUCF]]))</f>
        <v>-1.9533751019080281E-2</v>
      </c>
      <c r="AN131" s="313">
        <f>IF(Table12[[#This Row],[Net-zero target status]]&lt;=1,"",IF(Table12[[#This Row],[NZ GHG year]]="","",(Table12[[#This Row],[residual LULUCF emissions in 2050]]-Table12[[#This Row],[GHG emissions excl LULUCF]])/(Table12[[#This Row],[NZ GHG year]]-2021)/Table12[[#This Row],[GHG emissions excl LULUCF]]))</f>
        <v>-8.1457375432875921E-3</v>
      </c>
      <c r="AO131" s="313">
        <f>IF(Table12[[#This Row],[Net-zero target status]]&lt;=1,"",IF(Table12[[#This Row],[NZ GHG year]]="","",(Table12[[#This Row],[residual LULUCF emissions in 2050]]-Table12[[#This Row],[2030 conditional NDCs]])/(Table12[[#This Row],[NZ GHG year]]-2030)/Table12[[#This Row],[2030 conditional NDCs]]))</f>
        <v>-2.4518201064853595E-2</v>
      </c>
      <c r="AP131" s="96">
        <f>MAX('input site'!AH131:AS131)</f>
        <v>116.70996000000002</v>
      </c>
      <c r="AQ131" s="95" t="str">
        <f>IF(Table12[[#This Row],[Current Policies 2030 incl LULUCF]]&gt;Table12[[#This Row],[Maximum inventory data]],"No","Yes")</f>
        <v>No</v>
      </c>
      <c r="AR131" s="443">
        <f>IF(Table12[[#This Row],[Net-zero target status]]&gt;=1.5,Table12[[#This Row],[residual LULUCF emissions in 2050]]/Table12[[#This Row],[GHG emissions excl LULUCF]],"")</f>
        <v>0.76377361124465981</v>
      </c>
      <c r="AS131" s="74">
        <f>'input site'!BE131</f>
        <v>591.02717147751491</v>
      </c>
      <c r="AT131" s="74">
        <f>'input site'!BF131</f>
        <v>591.02717147751491</v>
      </c>
      <c r="AU131" s="74">
        <f>'input site'!BG131</f>
        <v>500.09991432712815</v>
      </c>
      <c r="AV131" s="75">
        <f>'input site'!BH131</f>
        <v>500.09991432712815</v>
      </c>
      <c r="AW131" s="74">
        <f>IF(Table12[[#This Row],[2030 unconditional NDCs]]="","",IF(F131="incl",Table12[[#This Row],[2030 unconditional NDCs]]-Table12[[#This Row],[LULUCF NDC uncond]],Table12[[#This Row],[2030 unconditional NDCs]]))</f>
        <v>845.89608076487139</v>
      </c>
      <c r="AX131" s="74">
        <f>IF(Table12[[#This Row],[2030 unconditional NDCs2]]="","",IF(F131="incl",Table12[[#This Row],[2030 unconditional NDCs2]]-Table12[[#This Row],[LULUCF NDC uncond]],Table12[[#This Row],[2030 unconditional NDCs2]]))</f>
        <v>845.89608076487139</v>
      </c>
      <c r="AY131" s="74">
        <f>IF(Table12[[#This Row],[2030 conditional NDCs]]="","",IF(F131="incl",Table12[[#This Row],[2030 conditional NDCs]]-Table12[[#This Row],[LULUCF NDC cond]],Table12[[#This Row],[2030 conditional NDCs]]))</f>
        <v>754.96882361448456</v>
      </c>
      <c r="AZ131" s="74">
        <f>IF(Table12[[#This Row],[2030 conditional NDCs2]]="","",IF(F131="incl",Table12[[#This Row],[2030 conditional NDCs2]]-Table12[[#This Row],[LULUCF NDC cond]],Table12[[#This Row],[2030 conditional NDCs2]]))</f>
        <v>754.96882361448456</v>
      </c>
      <c r="BA131" s="8">
        <f>VLOOKUP($G131,'Population90 20'!$C$6:$AU$231,37,FALSE)</f>
        <v>33181072</v>
      </c>
      <c r="BB131" s="8">
        <f>VLOOKUP($G131,'Overview GDP (PPP)'!$C$6:$AI$231,33,FALSE)</f>
        <v>888362148.71467376</v>
      </c>
      <c r="BC131" s="36">
        <f>Table12[[#This Row],[Income]]/Table12[[#This Row],[Population]]</f>
        <v>26.773159972488948</v>
      </c>
      <c r="BD131" s="36">
        <f>Table12[[#This Row],[GHG emissions excl LULUCF]]*1000000/Table12[[#This Row],[Population]]</f>
        <v>10.056845963264839</v>
      </c>
      <c r="BE131" s="23" t="str">
        <f>VLOOKUP($G131,EGR2023_MASTER!$B$4:$S$38,14,FALSE)</f>
        <v>N</v>
      </c>
      <c r="BF131" s="23" t="str">
        <f>VLOOKUP($G131,EGR2023_MASTER!$B$4:$S$38,15,FALSE)</f>
        <v>None</v>
      </c>
      <c r="BG131" s="23" t="str">
        <f>VLOOKUP($G131,EGR2023_MASTER!$B$4:$S$38,16,FALSE)</f>
        <v>n</v>
      </c>
      <c r="BH131" s="23" t="str">
        <f t="shared" si="19"/>
        <v>much lower</v>
      </c>
      <c r="BI131" s="23" t="str">
        <f t="shared" si="20"/>
        <v>weak</v>
      </c>
      <c r="BJ131" s="552">
        <f>(Table12[[#This Row],[Current Policies 2030 excl LULUCF]]/Table12[[#This Row],[GHG emissions excl LULUCF]])^(1/(2030-2021))-1</f>
        <v>2.5419898414258402E-2</v>
      </c>
      <c r="BK131" s="552">
        <f>IF(Table12[[#This Row],[Net-zero target status]]&lt;=1,"",IF(Table12[[#This Row],[NZ GHG year]]="","",((MAX(Table12[[#This Row],[residual LULUCF emissions in 2050]],0.1)/Table12[[#This Row],[Current Policies 2030 excl LULUCF]])^(1/(Table12[[#This Row],[NZ GHG year]]-2021))-1)))</f>
        <v>-1.6937795117723309E-2</v>
      </c>
      <c r="BL131" s="552">
        <f>IF(Table12[[#This Row],[Net-zero target status]]&lt;=1,"",IF(Table12[[#This Row],[NZ GHG year]]="","",((MAX(Table12[[#This Row],[residual LULUCF emissions in 2050]],0.1)/Table12[[#This Row],[GHG emissions excl LULUCF]])^(1/(Table12[[#This Row],[NZ GHG year]]-2021))-1)))</f>
        <v>-9.2495044079828892E-3</v>
      </c>
      <c r="BM131" s="552">
        <f>IF(Table12[[#This Row],[Net-zero target status]]&lt;=1,"",IF(Table12[[#This Row],[NZ GHG year]]="","",((MAX(Table12[[#This Row],[residual LULUCF emissions in 2050]],0.1)/AVERAGE(Table12[[#This Row],[2030 conditional NDCs]:[2030 conditional NDCs2]]))^(1/(Table12[[#This Row],[NZ GHG year]]-2021))-1)))</f>
        <v>-2.2975352139437244E-2</v>
      </c>
      <c r="BN131" s="23"/>
      <c r="BO131" s="23"/>
      <c r="BP131" s="23"/>
      <c r="BQ131" s="23"/>
      <c r="BR131" s="50" t="s">
        <v>291</v>
      </c>
      <c r="BT131" s="30">
        <f>IF(Table12[[#This Row],[Reduction rate 2021 to NZ target2]]="","",J131*(1+AN131)^(Table12[[#This Row],[NZ GHG year]]-2021))</f>
        <v>60.249288837761902</v>
      </c>
    </row>
    <row r="132" spans="1:72" ht="15" x14ac:dyDescent="0.25">
      <c r="A132">
        <v>0</v>
      </c>
      <c r="B132">
        <v>0</v>
      </c>
      <c r="C132">
        <v>462</v>
      </c>
      <c r="D132">
        <v>120</v>
      </c>
      <c r="E132">
        <v>25</v>
      </c>
      <c r="F132" t="str">
        <f>'input site'!M132</f>
        <v>excl</v>
      </c>
      <c r="G132" s="31" t="s">
        <v>292</v>
      </c>
      <c r="H132" s="1" t="s">
        <v>293</v>
      </c>
      <c r="I132" s="8">
        <f>VLOOKUP($G132,'NZT data'!$B$3:$C$200,2,FALSE)</f>
        <v>4</v>
      </c>
      <c r="J132" s="32">
        <f>'input site'!AS132</f>
        <v>2.4517085999999999</v>
      </c>
      <c r="K132" s="32">
        <f>'input site'!BS132</f>
        <v>2.9823302211901419</v>
      </c>
      <c r="L132" s="32">
        <f t="shared" si="21"/>
        <v>0</v>
      </c>
      <c r="M132" s="32">
        <f t="shared" si="22"/>
        <v>0</v>
      </c>
      <c r="N132" s="32">
        <f>'input site'!EV132</f>
        <v>1.3301993117285718</v>
      </c>
      <c r="O132" s="8">
        <v>0</v>
      </c>
      <c r="P132" s="36">
        <f>O132-N132</f>
        <v>-1.3301993117285718</v>
      </c>
      <c r="Q132" s="32">
        <f t="shared" si="23"/>
        <v>0</v>
      </c>
      <c r="R132" s="32">
        <f>'input site'!EZ132</f>
        <v>0.55747515765957767</v>
      </c>
      <c r="S132" s="37">
        <f>'input site'!FA132</f>
        <v>2050</v>
      </c>
      <c r="T132" s="37" t="str">
        <f>Table12[[#This Row],[(Mt CO2 equivalent)]]</f>
        <v>Maldives</v>
      </c>
      <c r="U132" s="8">
        <f>VLOOKUP($G132,'NZT data'!$B$3:$F$200,4,FALSE)</f>
        <v>2030</v>
      </c>
      <c r="V132" s="32">
        <f>VLOOKUP($G132,'NZT data'!$B$3:$F$200,5,FALSE)</f>
        <v>2045</v>
      </c>
      <c r="W132" s="32">
        <f>-IF('LUC NGHGI'!EC122="",MIN('LUC NGHGI'!DW122,0.1),MIN('LUC NGHGI'!EC122,0.1))</f>
        <v>0</v>
      </c>
      <c r="X132" s="32" t="str">
        <f>'LUC NGHGI'!EC122</f>
        <v/>
      </c>
      <c r="Y132" s="32" t="str">
        <f>'LUC NGHGI'!DY122</f>
        <v/>
      </c>
      <c r="Z132" s="32" t="str">
        <f>'LUC NGHGI'!DZ122</f>
        <v/>
      </c>
      <c r="AA132" s="32">
        <f>Table12[[#This Row],[2021 emissions]]</f>
        <v>2.4517085999999999</v>
      </c>
      <c r="AB132" s="32">
        <f>'LUC NGHGI'!DW122</f>
        <v>0</v>
      </c>
      <c r="AC132" s="32">
        <f>IF(F132="incl",Table12[[#This Row],[GHG emissions incl LULUCF]]-Table12[[#This Row],[LULUCF emis-sions in 20213]],Table12[[#This Row],[GHG emissions incl LULUCF]])</f>
        <v>2.4517085999999999</v>
      </c>
      <c r="AD132" s="32">
        <f>'input site'!BS132</f>
        <v>2.9823302211901419</v>
      </c>
      <c r="AE132" s="32">
        <f>'LUC NGHGI'!EH122</f>
        <v>0</v>
      </c>
      <c r="AF132" s="32">
        <f>IF(F132="incl",Table12[[#This Row],[Current Policies 2030 incl LULUCF]]-Table12[[#This Row],[LULUCF CurPol 2030]],Table12[[#This Row],[Current Policies 2030 incl LULUCF]])</f>
        <v>2.9823302211901419</v>
      </c>
      <c r="AG132" s="32">
        <f>IF(Table12[[#This Row],[Net-zero target status]]&lt;=1,"",IF(Table12[[#This Row],[NZ GHG year]]="","",1000000000*(Table12[[#This Row],[residual LULUCF emissions in 2050]]-Table12[[#This Row],[GHG emissions excl LULUCF]])/(Table12[[#This Row],[NZ GHG year]]-2021)/Table12[[#This Row],[Population]]))</f>
        <v>-188.83060528480456</v>
      </c>
      <c r="AH132" s="32" t="str">
        <f>IF(Table12[[#This Row],[Peak revised]]="Yes",IF(Table12[[#This Row],[Net-zero target status]]&lt;=1,"",IF(Table12[[#This Row],[NZ GHG year]]="","",1000000000*(Table12[[#This Row],[residual LULUCF emissions in 2050]]-Table12[[#This Row],[GHG emissions excl LULUCF]])/(Table12[[#This Row],[NZ GHG year]]-2021)/Table12[[#This Row],[Population]])),"")</f>
        <v/>
      </c>
      <c r="AI132" s="32">
        <f>MAX(0,(1000000*(Table12[[#This Row],[Current Policies 2030 excl LULUCF]]/2+Table12[[#This Row],[GHG emissions excl LULUCF]]/2)/Table12[[#This Row],[Population]]-$AI$8)*10)*$AI$10</f>
        <v>0</v>
      </c>
      <c r="AJ132" s="32">
        <f>IF(Table12[[#This Row],[Peak revised]]="No",IF(Table12[[#This Row],[Net-zero target status]]&lt;=1,"",IF(Table12[[#This Row],[NZ GHG year]]="","",1000000000*(Table12[[#This Row],[residual LULUCF emissions in 2050]]-Table12[[#This Row],[Current Policies 2030 excl LULUCF]])/(Table12[[#This Row],[NZ GHG year]]-2021)/Table12[[#This Row],[Population]])),"")</f>
        <v>-229.6990844778615</v>
      </c>
      <c r="AK132" s="32">
        <f>IF(Table12[[#This Row],[Formule no Peak (2)]]="","",Table12[[#This Row],[Penalty (1)]]+Table12[[#This Row],[Formule no Peak (2)]])</f>
        <v>-229.6990844778615</v>
      </c>
      <c r="AL132" s="313">
        <f>(Table12[[#This Row],[Current Policies 2030 excl LULUCF]]-Table12[[#This Row],[GHG emissions excl LULUCF]])/(2030-2021)/Table12[[#This Row],[GHG emissions excl LULUCF]]</f>
        <v>2.404770204338957E-2</v>
      </c>
      <c r="AM132" s="313">
        <f>IF(Table12[[#This Row],[Net-zero target status]]&lt;=1,"",IF(Table12[[#This Row],[NZ GHG year]]="","",(Table12[[#This Row],[residual LULUCF emissions in 2050]]-Table12[[#This Row],[Current Policies 2030 excl LULUCF]])/(Table12[[#This Row],[NZ GHG year]]-2030)/Table12[[#This Row],[Current Policies 2030 excl LULUCF]]))</f>
        <v>-6.6666666666666666E-2</v>
      </c>
      <c r="AN132" s="313">
        <f>IF(Table12[[#This Row],[Net-zero target status]]&lt;=1,"",IF(Table12[[#This Row],[NZ GHG year]]="","",(Table12[[#This Row],[residual LULUCF emissions in 2050]]-Table12[[#This Row],[GHG emissions excl LULUCF]])/(Table12[[#This Row],[NZ GHG year]]-2021)/Table12[[#This Row],[GHG emissions excl LULUCF]]))</f>
        <v>-4.1666666666666664E-2</v>
      </c>
      <c r="AO132" s="313">
        <f>IF(Table12[[#This Row],[Net-zero target status]]&lt;=1,"",IF(Table12[[#This Row],[NZ GHG year]]="","",(Table12[[#This Row],[residual LULUCF emissions in 2050]]-Table12[[#This Row],[2030 conditional NDCs]])/(Table12[[#This Row],[NZ GHG year]]-2030)/Table12[[#This Row],[2030 conditional NDCs]]))</f>
        <v>-6.6666666666666666E-2</v>
      </c>
      <c r="AP132" s="96">
        <f>MAX('input site'!AH132:AS132)</f>
        <v>2.4517085999999999</v>
      </c>
      <c r="AQ132" s="95" t="str">
        <f>IF(Table12[[#This Row],[Current Policies 2030 incl LULUCF]]&gt;Table12[[#This Row],[Maximum inventory data]],"No","Yes")</f>
        <v>No</v>
      </c>
      <c r="AR132" s="34">
        <f>IF(Table12[[#This Row],[Net-zero target status]]&gt;=1.5,Table12[[#This Row],[residual LULUCF emissions in 2050]]/Table12[[#This Row],[GHG emissions excl LULUCF]],"")</f>
        <v>0</v>
      </c>
      <c r="AS132" s="76">
        <f>'input site'!BE132</f>
        <v>2.4419999999999997</v>
      </c>
      <c r="AT132" s="76">
        <f>'input site'!BF132</f>
        <v>2.4419999999999997</v>
      </c>
      <c r="AU132" s="76">
        <f>'input site'!BG132</f>
        <v>2.4419999999999997</v>
      </c>
      <c r="AV132" s="77">
        <f>'input site'!BH132</f>
        <v>2.4419999999999997</v>
      </c>
      <c r="AW132" s="74">
        <f>IF(Table12[[#This Row],[2030 unconditional NDCs]]="","",IF(F132="incl",Table12[[#This Row],[2030 unconditional NDCs]]-Table12[[#This Row],[LULUCF NDC uncond]],Table12[[#This Row],[2030 unconditional NDCs]]))</f>
        <v>2.4419999999999997</v>
      </c>
      <c r="AX132" s="74">
        <f>IF(Table12[[#This Row],[2030 unconditional NDCs2]]="","",IF(F132="incl",Table12[[#This Row],[2030 unconditional NDCs2]]-Table12[[#This Row],[LULUCF NDC uncond]],Table12[[#This Row],[2030 unconditional NDCs2]]))</f>
        <v>2.4419999999999997</v>
      </c>
      <c r="AY132" s="74">
        <f>IF(Table12[[#This Row],[2030 conditional NDCs]]="","",IF(F132="incl",Table12[[#This Row],[2030 conditional NDCs]]-Table12[[#This Row],[LULUCF NDC cond]],Table12[[#This Row],[2030 conditional NDCs]]))</f>
        <v>2.4419999999999997</v>
      </c>
      <c r="AZ132" s="74">
        <f>IF(Table12[[#This Row],[2030 conditional NDCs2]]="","",IF(F132="incl",Table12[[#This Row],[2030 conditional NDCs2]]-Table12[[#This Row],[LULUCF NDC cond]],Table12[[#This Row],[2030 conditional NDCs2]]))</f>
        <v>2.4419999999999997</v>
      </c>
      <c r="BA132" s="8">
        <f>VLOOKUP($G132,'Population90 20'!$C$6:$AU$231,37,FALSE)</f>
        <v>540985</v>
      </c>
      <c r="BB132" s="8">
        <f>VLOOKUP($G132,'Overview GDP (PPP)'!$C$6:$AI$231,33,FALSE)</f>
        <v>7019130.494660466</v>
      </c>
      <c r="BC132" s="36">
        <f>Table12[[#This Row],[Income]]/Table12[[#This Row],[Population]]</f>
        <v>12.9747229491769</v>
      </c>
      <c r="BD132" s="36">
        <f>Table12[[#This Row],[GHG emissions excl LULUCF]]*1000000/Table12[[#This Row],[Population]]</f>
        <v>4.5319345268353102</v>
      </c>
      <c r="BE132" s="23" t="e">
        <f>VLOOKUP($G132,EGR2023_MASTER!$B$4:$S$38,14,FALSE)</f>
        <v>#N/A</v>
      </c>
      <c r="BF132" s="23" t="e">
        <f>VLOOKUP($G132,EGR2023_MASTER!$B$4:$S$38,15,FALSE)</f>
        <v>#N/A</v>
      </c>
      <c r="BG132" s="23" t="e">
        <f>VLOOKUP($G132,EGR2023_MASTER!$B$4:$S$38,16,FALSE)</f>
        <v>#N/A</v>
      </c>
      <c r="BH132" s="23" t="e">
        <f t="shared" si="19"/>
        <v>#N/A</v>
      </c>
      <c r="BI132" s="23" t="e">
        <f t="shared" si="20"/>
        <v>#N/A</v>
      </c>
      <c r="BJ132" s="552">
        <f>(Table12[[#This Row],[Current Policies 2030 excl LULUCF]]/Table12[[#This Row],[GHG emissions excl LULUCF]])^(1/(2030-2021))-1</f>
        <v>2.2007534789434846E-2</v>
      </c>
      <c r="BK132" s="552">
        <f>IF(Table12[[#This Row],[Net-zero target status]]&lt;=1,"",IF(Table12[[#This Row],[NZ GHG year]]="","",((MAX(Table12[[#This Row],[residual LULUCF emissions in 2050]],0.1)/Table12[[#This Row],[Current Policies 2030 excl LULUCF]])^(1/(Table12[[#This Row],[NZ GHG year]]-2021))-1)))</f>
        <v>-0.1319191455658022</v>
      </c>
      <c r="BL132" s="552">
        <f>IF(Table12[[#This Row],[Net-zero target status]]&lt;=1,"",IF(Table12[[#This Row],[NZ GHG year]]="","",((MAX(Table12[[#This Row],[residual LULUCF emissions in 2050]],0.1)/Table12[[#This Row],[GHG emissions excl LULUCF]])^(1/(Table12[[#This Row],[NZ GHG year]]-2021))-1)))</f>
        <v>-0.12480371691902237</v>
      </c>
      <c r="BM132" s="552">
        <f>IF(Table12[[#This Row],[Net-zero target status]]&lt;=1,"",IF(Table12[[#This Row],[NZ GHG year]]="","",((MAX(Table12[[#This Row],[residual LULUCF emissions in 2050]],0.1)/AVERAGE(Table12[[#This Row],[2030 conditional NDCs]:[2030 conditional NDCs2]]))^(1/(Table12[[#This Row],[NZ GHG year]]-2021))-1)))</f>
        <v>-0.1246590133671075</v>
      </c>
      <c r="BN132" s="23"/>
      <c r="BO132" s="23"/>
      <c r="BP132" s="23"/>
      <c r="BQ132" s="23"/>
      <c r="BR132" s="50" t="s">
        <v>293</v>
      </c>
      <c r="BT132" s="30">
        <f>IF(Table12[[#This Row],[Reduction rate 2021 to NZ target2]]="","",J132*(1+AN132)^(Table12[[#This Row],[NZ GHG year]]-2021))</f>
        <v>0.88280973539406415</v>
      </c>
    </row>
    <row r="133" spans="1:72" ht="15" x14ac:dyDescent="0.25">
      <c r="A133">
        <v>0</v>
      </c>
      <c r="B133">
        <v>0</v>
      </c>
      <c r="C133">
        <v>466</v>
      </c>
      <c r="D133">
        <v>121</v>
      </c>
      <c r="E133">
        <v>8</v>
      </c>
      <c r="F133" t="str">
        <f>'input site'!M133</f>
        <v>excl</v>
      </c>
      <c r="G133" s="31" t="s">
        <v>294</v>
      </c>
      <c r="H133" s="1" t="s">
        <v>295</v>
      </c>
      <c r="I133" s="8">
        <f>VLOOKUP($G133,'NZT data'!$B$3:$C$200,2,FALSE)</f>
        <v>1</v>
      </c>
      <c r="J133" s="32">
        <f>'input site'!AS133</f>
        <v>83.895925000000005</v>
      </c>
      <c r="K133" s="32">
        <f>'input site'!BS133</f>
        <v>99.91891939205675</v>
      </c>
      <c r="L133" s="32">
        <f t="shared" si="21"/>
        <v>0</v>
      </c>
      <c r="M133" s="32">
        <f t="shared" si="22"/>
        <v>0</v>
      </c>
      <c r="N133" s="32">
        <f>'input site'!EV133</f>
        <v>69.530630876843503</v>
      </c>
      <c r="O133" s="8"/>
      <c r="P133" s="36"/>
      <c r="Q133" s="32">
        <f t="shared" si="23"/>
        <v>0</v>
      </c>
      <c r="R133" s="32">
        <f>'input site'!EZ133</f>
        <v>39.604667160033635</v>
      </c>
      <c r="S133" s="37">
        <f>'input site'!FA133</f>
        <v>2050</v>
      </c>
      <c r="T133" s="37" t="str">
        <f>Table12[[#This Row],[(Mt CO2 equivalent)]]</f>
        <v>Mali</v>
      </c>
      <c r="U133" s="8">
        <f>VLOOKUP($G133,'NZT data'!$B$3:$F$200,4,FALSE)</f>
        <v>2110</v>
      </c>
      <c r="V133" s="32">
        <f>VLOOKUP($G133,'NZT data'!$B$3:$F$200,5,FALSE)</f>
        <v>2110</v>
      </c>
      <c r="W133" s="32">
        <f>-IF('LUC NGHGI'!EC123="",MIN('LUC NGHGI'!DW123,0.1),MIN('LUC NGHGI'!EC123,0.1))</f>
        <v>373.73425402299108</v>
      </c>
      <c r="X133" s="32">
        <f>'LUC NGHGI'!EC123</f>
        <v>-373.73425402299108</v>
      </c>
      <c r="Y133" s="32">
        <f>'LUC NGHGI'!DY123</f>
        <v>-373.34925402299109</v>
      </c>
      <c r="Z133" s="32">
        <f>'LUC NGHGI'!DZ123</f>
        <v>-502.80425402299107</v>
      </c>
      <c r="AA133" s="32">
        <f>Table12[[#This Row],[2021 emissions]]</f>
        <v>83.895925000000005</v>
      </c>
      <c r="AB133" s="32">
        <f>'LUC NGHGI'!DW123</f>
        <v>-387.65984503952495</v>
      </c>
      <c r="AC133" s="32">
        <f>IF(F133="incl",Table12[[#This Row],[GHG emissions incl LULUCF]]-Table12[[#This Row],[LULUCF emis-sions in 20213]],Table12[[#This Row],[GHG emissions incl LULUCF]])</f>
        <v>83.895925000000005</v>
      </c>
      <c r="AD133" s="32">
        <f>'input site'!BS133</f>
        <v>99.91891939205675</v>
      </c>
      <c r="AE133" s="32">
        <f>'LUC NGHGI'!EH123</f>
        <v>-484.99367185584265</v>
      </c>
      <c r="AF133" s="32">
        <f>IF(F133="incl",Table12[[#This Row],[Current Policies 2030 incl LULUCF]]-Table12[[#This Row],[LULUCF CurPol 2030]],Table12[[#This Row],[Current Policies 2030 incl LULUCF]])</f>
        <v>99.91891939205675</v>
      </c>
      <c r="AG133" s="32" t="str">
        <f>IF(Table12[[#This Row],[Net-zero target status]]&lt;=1,"",IF(Table12[[#This Row],[NZ GHG year]]="","",1000000000*(Table12[[#This Row],[residual LULUCF emissions in 2050]]-Table12[[#This Row],[GHG emissions excl LULUCF]])/(Table12[[#This Row],[NZ GHG year]]-2021)/Table12[[#This Row],[Population]]))</f>
        <v/>
      </c>
      <c r="AH133" s="32" t="str">
        <f>IF(Table12[[#This Row],[Peak revised]]="Yes",IF(Table12[[#This Row],[Net-zero target status]]&lt;=1,"",IF(Table12[[#This Row],[NZ GHG year]]="","",1000000000*(Table12[[#This Row],[residual LULUCF emissions in 2050]]-Table12[[#This Row],[GHG emissions excl LULUCF]])/(Table12[[#This Row],[NZ GHG year]]-2021)/Table12[[#This Row],[Population]])),"")</f>
        <v/>
      </c>
      <c r="AI133" s="32">
        <f>MAX(0,(1000000*(Table12[[#This Row],[Current Policies 2030 excl LULUCF]]/2+Table12[[#This Row],[GHG emissions excl LULUCF]]/2)/Table12[[#This Row],[Population]]-$AI$8)*10)*$AI$10</f>
        <v>0</v>
      </c>
      <c r="AJ13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3" s="32" t="str">
        <f>IF(Table12[[#This Row],[Formule no Peak (2)]]="","",Table12[[#This Row],[Penalty (1)]]+Table12[[#This Row],[Formule no Peak (2)]])</f>
        <v/>
      </c>
      <c r="AL133" s="313">
        <f>(Table12[[#This Row],[Current Policies 2030 excl LULUCF]]-Table12[[#This Row],[GHG emissions excl LULUCF]])/(2030-2021)/Table12[[#This Row],[GHG emissions excl LULUCF]]</f>
        <v>2.1220729257452338E-2</v>
      </c>
      <c r="AM133" s="313" t="str">
        <f>IF(Table12[[#This Row],[Net-zero target status]]&lt;=1,"",IF(Table12[[#This Row],[NZ GHG year]]="","",(Table12[[#This Row],[residual LULUCF emissions in 2050]]-Table12[[#This Row],[Current Policies 2030 excl LULUCF]])/(Table12[[#This Row],[NZ GHG year]]-2030)/Table12[[#This Row],[Current Policies 2030 excl LULUCF]]))</f>
        <v/>
      </c>
      <c r="AN133" s="313" t="str">
        <f>IF(Table12[[#This Row],[Net-zero target status]]&lt;=1,"",IF(Table12[[#This Row],[NZ GHG year]]="","",(Table12[[#This Row],[residual LULUCF emissions in 2050]]-Table12[[#This Row],[GHG emissions excl LULUCF]])/(Table12[[#This Row],[NZ GHG year]]-2021)/Table12[[#This Row],[GHG emissions excl LULUCF]]))</f>
        <v/>
      </c>
      <c r="AO133" s="313" t="str">
        <f>IF(Table12[[#This Row],[Net-zero target status]]&lt;=1,"",IF(Table12[[#This Row],[NZ GHG year]]="","",(Table12[[#This Row],[residual LULUCF emissions in 2050]]-Table12[[#This Row],[2030 conditional NDCs]])/(Table12[[#This Row],[NZ GHG year]]-2030)/Table12[[#This Row],[2030 conditional NDCs]]))</f>
        <v/>
      </c>
      <c r="AP133" s="96">
        <f>MAX('input site'!AH133:AS133)</f>
        <v>83.895925000000005</v>
      </c>
      <c r="AQ133" s="95" t="str">
        <f>IF(Table12[[#This Row],[Current Policies 2030 incl LULUCF]]&gt;Table12[[#This Row],[Maximum inventory data]],"No","Yes")</f>
        <v>No</v>
      </c>
      <c r="AR133" s="34" t="str">
        <f>IF(Table12[[#This Row],[Net-zero target status]]&gt;=1.5,Table12[[#This Row],[residual LULUCF emissions in 2050]]/Table12[[#This Row],[GHG emissions excl LULUCF]],"")</f>
        <v/>
      </c>
      <c r="AS133" s="74" t="str">
        <f>'input site'!BE133</f>
        <v/>
      </c>
      <c r="AT133" s="74"/>
      <c r="AU133" s="74"/>
      <c r="AV133" s="75"/>
      <c r="AW133" s="74" t="str">
        <f>IF(Table12[[#This Row],[2030 unconditional NDCs]]="","",IF(F133="incl",Table12[[#This Row],[2030 unconditional NDCs]]-Table12[[#This Row],[LULUCF NDC uncond]],Table12[[#This Row],[2030 unconditional NDCs]]))</f>
        <v/>
      </c>
      <c r="AX133" s="74" t="str">
        <f>IF(Table12[[#This Row],[2030 unconditional NDCs2]]="","",IF(F133="incl",Table12[[#This Row],[2030 unconditional NDCs2]]-Table12[[#This Row],[LULUCF NDC uncond]],Table12[[#This Row],[2030 unconditional NDCs2]]))</f>
        <v/>
      </c>
      <c r="AY133" s="74" t="str">
        <f>IF(Table12[[#This Row],[2030 conditional NDCs]]="","",IF(F133="incl",Table12[[#This Row],[2030 conditional NDCs]]-Table12[[#This Row],[LULUCF NDC cond]],Table12[[#This Row],[2030 conditional NDCs]]))</f>
        <v/>
      </c>
      <c r="AZ133" s="74" t="str">
        <f>IF(Table12[[#This Row],[2030 conditional NDCs2]]="","",IF(F133="incl",Table12[[#This Row],[2030 conditional NDCs2]]-Table12[[#This Row],[LULUCF NDC cond]],Table12[[#This Row],[2030 conditional NDCs2]]))</f>
        <v/>
      </c>
      <c r="BA133" s="8">
        <f>VLOOKUP($G133,'Population90 20'!$C$6:$AU$231,37,FALSE)</f>
        <v>21473764</v>
      </c>
      <c r="BB133" s="8">
        <f>VLOOKUP($G133,'Overview GDP (PPP)'!$C$6:$AI$231,33,FALSE)</f>
        <v>39216536.677832574</v>
      </c>
      <c r="BC133" s="36">
        <f>Table12[[#This Row],[Income]]/Table12[[#This Row],[Population]]</f>
        <v>1.826253500682627</v>
      </c>
      <c r="BD133" s="36">
        <f>Table12[[#This Row],[GHG emissions excl LULUCF]]*1000000/Table12[[#This Row],[Population]]</f>
        <v>3.9069035591524615</v>
      </c>
      <c r="BE133" s="23" t="e">
        <f>VLOOKUP($G133,EGR2023_MASTER!$B$4:$S$38,14,FALSE)</f>
        <v>#N/A</v>
      </c>
      <c r="BF133" s="23" t="e">
        <f>VLOOKUP($G133,EGR2023_MASTER!$B$4:$S$38,15,FALSE)</f>
        <v>#N/A</v>
      </c>
      <c r="BG133" s="23" t="e">
        <f>VLOOKUP($G133,EGR2023_MASTER!$B$4:$S$38,16,FALSE)</f>
        <v>#N/A</v>
      </c>
      <c r="BH133" s="23" t="e">
        <f t="shared" si="19"/>
        <v>#N/A</v>
      </c>
      <c r="BI133" s="23" t="e">
        <f t="shared" si="20"/>
        <v>#N/A</v>
      </c>
      <c r="BJ133" s="552">
        <f>(Table12[[#This Row],[Current Policies 2030 excl LULUCF]]/Table12[[#This Row],[GHG emissions excl LULUCF]])^(1/(2030-2021))-1</f>
        <v>1.9610022352633871E-2</v>
      </c>
      <c r="BK133" s="552" t="str">
        <f>IF(Table12[[#This Row],[Net-zero target status]]&lt;=1,"",IF(Table12[[#This Row],[NZ GHG year]]="","",((MAX(Table12[[#This Row],[residual LULUCF emissions in 2050]],0.1)/Table12[[#This Row],[Current Policies 2030 excl LULUCF]])^(1/(Table12[[#This Row],[NZ GHG year]]-2021))-1)))</f>
        <v/>
      </c>
      <c r="BL133" s="552" t="str">
        <f>IF(Table12[[#This Row],[Net-zero target status]]&lt;=1,"",IF(Table12[[#This Row],[NZ GHG year]]="","",((MAX(Table12[[#This Row],[residual LULUCF emissions in 2050]],0.1)/Table12[[#This Row],[GHG emissions excl LULUCF]])^(1/(Table12[[#This Row],[NZ GHG year]]-2021))-1)))</f>
        <v/>
      </c>
      <c r="BM133" s="552" t="str">
        <f>IF(Table12[[#This Row],[Net-zero target status]]&lt;=1,"",IF(Table12[[#This Row],[NZ GHG year]]="","",((MAX(Table12[[#This Row],[residual LULUCF emissions in 2050]],0.1)/AVERAGE(Table12[[#This Row],[2030 conditional NDCs]:[2030 conditional NDCs2]]))^(1/(Table12[[#This Row],[NZ GHG year]]-2021))-1)))</f>
        <v/>
      </c>
      <c r="BN133" s="23"/>
      <c r="BO133" s="23"/>
      <c r="BP133" s="23"/>
      <c r="BQ133" s="23"/>
      <c r="BR133" s="50" t="s">
        <v>295</v>
      </c>
      <c r="BT133" s="30" t="str">
        <f>IF(Table12[[#This Row],[Reduction rate 2021 to NZ target2]]="","",J133*(1+AN133)^(Table12[[#This Row],[NZ GHG year]]-2021))</f>
        <v/>
      </c>
    </row>
    <row r="134" spans="1:72" ht="15" x14ac:dyDescent="0.25">
      <c r="A134">
        <v>0</v>
      </c>
      <c r="B134">
        <v>0</v>
      </c>
      <c r="C134">
        <v>470</v>
      </c>
      <c r="D134">
        <v>122</v>
      </c>
      <c r="E134">
        <v>11</v>
      </c>
      <c r="F134" t="str">
        <f>'input site'!M134</f>
        <v>incl</v>
      </c>
      <c r="G134" s="31" t="s">
        <v>296</v>
      </c>
      <c r="H134" s="1" t="s">
        <v>297</v>
      </c>
      <c r="I134" s="8">
        <f>VLOOKUP($G134,'NZT data'!$B$3:$C$200,2,FALSE)</f>
        <v>3</v>
      </c>
      <c r="J134" s="32">
        <f>'input site'!AS134</f>
        <v>2.1329758069526554</v>
      </c>
      <c r="K134" s="32">
        <f>'input site'!BS134</f>
        <v>1.1900928020631671</v>
      </c>
      <c r="L134" s="32">
        <f t="shared" si="21"/>
        <v>0</v>
      </c>
      <c r="M134" s="32">
        <f t="shared" si="22"/>
        <v>0</v>
      </c>
      <c r="N134" s="32">
        <f>'input site'!EV134</f>
        <v>0.41603231568460869</v>
      </c>
      <c r="O134" s="8"/>
      <c r="P134" s="8"/>
      <c r="Q134" s="32">
        <f t="shared" si="23"/>
        <v>0</v>
      </c>
      <c r="R134" s="32">
        <f>'input site'!EZ134</f>
        <v>0.23011741841746625</v>
      </c>
      <c r="S134" s="37" t="str">
        <f>'input site'!FA134</f>
        <v>2050 (part of the EU)</v>
      </c>
      <c r="T134" s="37" t="str">
        <f>Table12[[#This Row],[(Mt CO2 equivalent)]]</f>
        <v>Malta</v>
      </c>
      <c r="U134" s="8">
        <f>VLOOKUP($G134,'NZT data'!$B$3:$F$200,4,FALSE)</f>
        <v>2050</v>
      </c>
      <c r="V134" s="32">
        <f>VLOOKUP($G134,'NZT data'!$B$3:$F$200,5,FALSE)</f>
        <v>2050</v>
      </c>
      <c r="W134" s="32">
        <f>-IF('LUC NGHGI'!EC124="",MIN('LUC NGHGI'!DW124,0.1),MIN('LUC NGHGI'!EC124,0.1))</f>
        <v>-8.2808090524830683E-3</v>
      </c>
      <c r="X134" s="32">
        <f>'LUC NGHGI'!EC124</f>
        <v>8.2808090524830683E-3</v>
      </c>
      <c r="Y134" s="32">
        <f>'LUC NGHGI'!DY124</f>
        <v>8.2808090524830683E-3</v>
      </c>
      <c r="Z134" s="32">
        <f>'LUC NGHGI'!DZ124</f>
        <v>8.2808090524830683E-3</v>
      </c>
      <c r="AA134" s="32">
        <f>Table12[[#This Row],[2021 emissions]]</f>
        <v>2.1329758069526554</v>
      </c>
      <c r="AB134" s="32">
        <f>'LUC NGHGI'!DW124</f>
        <v>6.3840695265536106E-4</v>
      </c>
      <c r="AC134" s="32">
        <f>IF(F134="incl",Table12[[#This Row],[GHG emissions incl LULUCF]]-Table12[[#This Row],[LULUCF emis-sions in 20213]],Table12[[#This Row],[GHG emissions incl LULUCF]])</f>
        <v>2.1323373999999999</v>
      </c>
      <c r="AD134" s="32">
        <f>'input site'!BS134</f>
        <v>1.1900928020631671</v>
      </c>
      <c r="AE134" s="32">
        <f>'LUC NGHGI'!EH124</f>
        <v>7.3601670180855902E-3</v>
      </c>
      <c r="AF134" s="32">
        <f>IF(F134="incl",Table12[[#This Row],[Current Policies 2030 incl LULUCF]]-Table12[[#This Row],[LULUCF CurPol 2030]],Table12[[#This Row],[Current Policies 2030 incl LULUCF]])</f>
        <v>1.1827326350450815</v>
      </c>
      <c r="AG134" s="32">
        <f>IF(Table12[[#This Row],[Net-zero target status]]&lt;=1,"",IF(Table12[[#This Row],[NZ GHG year]]="","",1000000000*(Table12[[#This Row],[residual LULUCF emissions in 2050]]-Table12[[#This Row],[GHG emissions excl LULUCF]])/(Table12[[#This Row],[NZ GHG year]]-2021)/Table12[[#This Row],[Population]]))</f>
        <v>-166.23634054633268</v>
      </c>
      <c r="AH134" s="32">
        <f>IF(Table12[[#This Row],[Peak revised]]="Yes",IF(Table12[[#This Row],[Net-zero target status]]&lt;=1,"",IF(Table12[[#This Row],[NZ GHG year]]="","",1000000000*(Table12[[#This Row],[residual LULUCF emissions in 2050]]-Table12[[#This Row],[GHG emissions excl LULUCF]])/(Table12[[#This Row],[NZ GHG year]]-2021)/Table12[[#This Row],[Population]])),"")</f>
        <v>-166.23634054633268</v>
      </c>
      <c r="AI134" s="32">
        <f>MAX(0,(1000000*(Table12[[#This Row],[Current Policies 2030 excl LULUCF]]/2+Table12[[#This Row],[GHG emissions excl LULUCF]]/2)/Table12[[#This Row],[Population]]-$AI$8)*10)*$AI$10</f>
        <v>0</v>
      </c>
      <c r="AJ13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4" s="32" t="str">
        <f>IF(Table12[[#This Row],[Formule no Peak (2)]]="","",Table12[[#This Row],[Penalty (1)]]+Table12[[#This Row],[Formule no Peak (2)]])</f>
        <v/>
      </c>
      <c r="AL134" s="313">
        <f>(Table12[[#This Row],[Current Policies 2030 excl LULUCF]]-Table12[[#This Row],[GHG emissions excl LULUCF]])/(2030-2021)/Table12[[#This Row],[GHG emissions excl LULUCF]]</f>
        <v>-4.9481681721920037E-2</v>
      </c>
      <c r="AM134" s="313">
        <f>IF(Table12[[#This Row],[Net-zero target status]]&lt;=1,"",IF(Table12[[#This Row],[NZ GHG year]]="","",(Table12[[#This Row],[residual LULUCF emissions in 2050]]-Table12[[#This Row],[Current Policies 2030 excl LULUCF]])/(Table12[[#This Row],[NZ GHG year]]-2030)/Table12[[#This Row],[Current Policies 2030 excl LULUCF]]))</f>
        <v>-5.0350071047636537E-2</v>
      </c>
      <c r="AN134" s="313">
        <f>IF(Table12[[#This Row],[Net-zero target status]]&lt;=1,"",IF(Table12[[#This Row],[NZ GHG year]]="","",(Table12[[#This Row],[residual LULUCF emissions in 2050]]-Table12[[#This Row],[GHG emissions excl LULUCF]])/(Table12[[#This Row],[NZ GHG year]]-2021)/Table12[[#This Row],[GHG emissions excl LULUCF]]))</f>
        <v>-3.4616670420830095E-2</v>
      </c>
      <c r="AO134" s="313" t="e">
        <f>IF(Table12[[#This Row],[Net-zero target status]]&lt;=1,"",IF(Table12[[#This Row],[NZ GHG year]]="","",(Table12[[#This Row],[residual LULUCF emissions in 2050]]-Table12[[#This Row],[2030 conditional NDCs]])/(Table12[[#This Row],[NZ GHG year]]-2030)/Table12[[#This Row],[2030 conditional NDCs]]))</f>
        <v>#DIV/0!</v>
      </c>
      <c r="AP134" s="96">
        <f>MAX('input site'!AH134:AS134)</f>
        <v>3.1360052888813033</v>
      </c>
      <c r="AQ134" s="95" t="str">
        <f>IF(Table12[[#This Row],[Current Policies 2030 incl LULUCF]]&gt;Table12[[#This Row],[Maximum inventory data]],"No","Yes")</f>
        <v>Yes</v>
      </c>
      <c r="AR134" s="34">
        <f>IF(Table12[[#This Row],[Net-zero target status]]&gt;=1.5,Table12[[#This Row],[residual LULUCF emissions in 2050]]/Table12[[#This Row],[GHG emissions excl LULUCF]],"")</f>
        <v>-3.8834422040728961E-3</v>
      </c>
      <c r="AS134" s="74" t="str">
        <f>'input site'!BE134</f>
        <v/>
      </c>
      <c r="AT134" s="74"/>
      <c r="AU134" s="74"/>
      <c r="AV134" s="75"/>
      <c r="AW134" s="74" t="str">
        <f>IF(Table12[[#This Row],[2030 unconditional NDCs]]="","",IF(F134="incl",Table12[[#This Row],[2030 unconditional NDCs]]-Table12[[#This Row],[LULUCF NDC uncond]],Table12[[#This Row],[2030 unconditional NDCs]]))</f>
        <v/>
      </c>
      <c r="AX134" s="74" t="str">
        <f>IF(Table12[[#This Row],[2030 unconditional NDCs2]]="","",IF(F134="incl",Table12[[#This Row],[2030 unconditional NDCs2]]-Table12[[#This Row],[LULUCF NDC uncond]],Table12[[#This Row],[2030 unconditional NDCs2]]))</f>
        <v/>
      </c>
      <c r="AY134" s="74" t="str">
        <f>IF(Table12[[#This Row],[2030 conditional NDCs]]="","",IF(F134="incl",Table12[[#This Row],[2030 conditional NDCs]]-Table12[[#This Row],[LULUCF NDC cond]],Table12[[#This Row],[2030 conditional NDCs]]))</f>
        <v/>
      </c>
      <c r="AZ134" s="74" t="str">
        <f>IF(Table12[[#This Row],[2030 conditional NDCs2]]="","",IF(F134="incl",Table12[[#This Row],[2030 conditional NDCs2]]-Table12[[#This Row],[LULUCF NDC cond]],Table12[[#This Row],[2030 conditional NDCs2]]))</f>
        <v/>
      </c>
      <c r="BA134" s="8">
        <f>VLOOKUP($G134,'Population90 20'!$C$6:$AU$231,37,FALSE)</f>
        <v>444033</v>
      </c>
      <c r="BB134" s="8">
        <f>VLOOKUP($G134,'Overview GDP (PPP)'!$C$6:$AI$231,33,FALSE)</f>
        <v>18445105.611681536</v>
      </c>
      <c r="BC134" s="36">
        <f>Table12[[#This Row],[Income]]/Table12[[#This Row],[Population]]</f>
        <v>41.539943228727452</v>
      </c>
      <c r="BD134" s="36">
        <f>Table12[[#This Row],[GHG emissions excl LULUCF]]*1000000/Table12[[#This Row],[Population]]</f>
        <v>4.8022047910853471</v>
      </c>
      <c r="BE134" s="23" t="e">
        <f>VLOOKUP($G134,EGR2023_MASTER!$B$4:$S$38,14,FALSE)</f>
        <v>#N/A</v>
      </c>
      <c r="BF134" s="23" t="e">
        <f>VLOOKUP($G134,EGR2023_MASTER!$B$4:$S$38,15,FALSE)</f>
        <v>#N/A</v>
      </c>
      <c r="BG134" s="23" t="e">
        <f>VLOOKUP($G134,EGR2023_MASTER!$B$4:$S$38,16,FALSE)</f>
        <v>#N/A</v>
      </c>
      <c r="BH134" s="23" t="e">
        <f t="shared" si="19"/>
        <v>#N/A</v>
      </c>
      <c r="BI134" s="23" t="e">
        <f t="shared" si="20"/>
        <v>#N/A</v>
      </c>
      <c r="BJ134" s="552">
        <f>(Table12[[#This Row],[Current Policies 2030 excl LULUCF]]/Table12[[#This Row],[GHG emissions excl LULUCF]])^(1/(2030-2021))-1</f>
        <v>-6.338963024808475E-2</v>
      </c>
      <c r="BK134" s="552">
        <f>IF(Table12[[#This Row],[Net-zero target status]]&lt;=1,"",IF(Table12[[#This Row],[NZ GHG year]]="","",((MAX(Table12[[#This Row],[residual LULUCF emissions in 2050]],0.1)/Table12[[#This Row],[Current Policies 2030 excl LULUCF]])^(1/(Table12[[#This Row],[NZ GHG year]]-2021))-1)))</f>
        <v>-8.1659133475689871E-2</v>
      </c>
      <c r="BL134" s="552">
        <f>IF(Table12[[#This Row],[Net-zero target status]]&lt;=1,"",IF(Table12[[#This Row],[NZ GHG year]]="","",((MAX(Table12[[#This Row],[residual LULUCF emissions in 2050]],0.1)/Table12[[#This Row],[GHG emissions excl LULUCF]])^(1/(Table12[[#This Row],[NZ GHG year]]-2021))-1)))</f>
        <v>-0.10013495536596573</v>
      </c>
      <c r="BM134" s="552" t="e">
        <f>IF(Table12[[#This Row],[Net-zero target status]]&lt;=1,"",IF(Table12[[#This Row],[NZ GHG year]]="","",((MAX(Table12[[#This Row],[residual LULUCF emissions in 2050]],0.1)/AVERAGE(Table12[[#This Row],[2030 conditional NDCs]:[2030 conditional NDCs2]]))^(1/(Table12[[#This Row],[NZ GHG year]]-2021))-1)))</f>
        <v>#DIV/0!</v>
      </c>
      <c r="BN134" s="23"/>
      <c r="BO134" s="23"/>
      <c r="BP134" s="23"/>
      <c r="BQ134" s="23"/>
      <c r="BR134" s="50" t="s">
        <v>297</v>
      </c>
      <c r="BT134" s="30">
        <f>IF(Table12[[#This Row],[Reduction rate 2021 to NZ target2]]="","",J134*(1+AN134)^(Table12[[#This Row],[NZ GHG year]]-2021))</f>
        <v>0.76785636130055168</v>
      </c>
    </row>
    <row r="135" spans="1:72" ht="15" x14ac:dyDescent="0.25">
      <c r="A135">
        <v>0</v>
      </c>
      <c r="B135">
        <v>0</v>
      </c>
      <c r="C135">
        <v>584</v>
      </c>
      <c r="D135">
        <v>150</v>
      </c>
      <c r="E135">
        <v>24</v>
      </c>
      <c r="F135" t="str">
        <f>'input site'!M135</f>
        <v>excl</v>
      </c>
      <c r="G135" s="31" t="s">
        <v>298</v>
      </c>
      <c r="H135" s="1" t="s">
        <v>299</v>
      </c>
      <c r="I135" s="8">
        <f>VLOOKUP($G135,'NZT data'!$B$3:$C$200,2,FALSE)</f>
        <v>3</v>
      </c>
      <c r="J135" s="32">
        <f>'input site'!AS135</f>
        <v>0.21442496</v>
      </c>
      <c r="K135" s="32">
        <f>'input site'!BS135</f>
        <v>0.22478782457437027</v>
      </c>
      <c r="L135" s="32">
        <f t="shared" si="21"/>
        <v>0</v>
      </c>
      <c r="M135" s="32">
        <f t="shared" si="22"/>
        <v>0</v>
      </c>
      <c r="N135" s="32"/>
      <c r="O135" s="8">
        <v>0</v>
      </c>
      <c r="P135" s="36">
        <f>O135-N135</f>
        <v>0</v>
      </c>
      <c r="Q135" s="32">
        <f t="shared" si="23"/>
        <v>0</v>
      </c>
      <c r="R135" s="32">
        <f>'input site'!EZ135</f>
        <v>3.3511568407889408E-2</v>
      </c>
      <c r="S135" s="37">
        <f>'input site'!FA135</f>
        <v>2050</v>
      </c>
      <c r="T135" s="37" t="str">
        <f>Table12[[#This Row],[(Mt CO2 equivalent)]]</f>
        <v>Marshall Islands</v>
      </c>
      <c r="U135" s="8">
        <f>VLOOKUP($G135,'NZT data'!$B$3:$F$200,4,FALSE)</f>
        <v>2050</v>
      </c>
      <c r="V135" s="32">
        <f>VLOOKUP($G135,'NZT data'!$B$3:$F$200,5,FALSE)</f>
        <v>2050</v>
      </c>
      <c r="W135" s="32">
        <f>-IF('LUC NGHGI'!EC125="",MIN('LUC NGHGI'!DW125,0.1),MIN('LUC NGHGI'!EC125,0.1))</f>
        <v>0</v>
      </c>
      <c r="X135" s="32" t="str">
        <f>'LUC NGHGI'!EC125</f>
        <v/>
      </c>
      <c r="Y135" s="32" t="str">
        <f>'LUC NGHGI'!DY125</f>
        <v/>
      </c>
      <c r="Z135" s="32" t="str">
        <f>'LUC NGHGI'!DZ125</f>
        <v/>
      </c>
      <c r="AA135" s="32">
        <f>Table12[[#This Row],[2021 emissions]]</f>
        <v>0.21442496</v>
      </c>
      <c r="AB135" s="32">
        <f>'LUC NGHGI'!DW125</f>
        <v>0</v>
      </c>
      <c r="AC135" s="32">
        <f>IF(F135="incl",Table12[[#This Row],[GHG emissions incl LULUCF]]-Table12[[#This Row],[LULUCF emis-sions in 20213]],Table12[[#This Row],[GHG emissions incl LULUCF]])</f>
        <v>0.21442496</v>
      </c>
      <c r="AD135" s="32">
        <f>'input site'!BS135</f>
        <v>0.22478782457437027</v>
      </c>
      <c r="AE135" s="32">
        <f>'LUC NGHGI'!EH125</f>
        <v>0</v>
      </c>
      <c r="AF135" s="32">
        <f>IF(F135="incl",Table12[[#This Row],[Current Policies 2030 incl LULUCF]]-Table12[[#This Row],[LULUCF CurPol 2030]],Table12[[#This Row],[Current Policies 2030 incl LULUCF]])</f>
        <v>0.22478782457437027</v>
      </c>
      <c r="AG135" s="32">
        <f>IF(Table12[[#This Row],[Net-zero target status]]&lt;=1,"",IF(Table12[[#This Row],[NZ GHG year]]="","",1000000000*(Table12[[#This Row],[residual LULUCF emissions in 2050]]-Table12[[#This Row],[GHG emissions excl LULUCF]])/(Table12[[#This Row],[NZ GHG year]]-2021)/Table12[[#This Row],[Population]]))</f>
        <v>-123.11577564532087</v>
      </c>
      <c r="AH135" s="32" t="str">
        <f>IF(Table12[[#This Row],[Peak revised]]="Yes",IF(Table12[[#This Row],[Net-zero target status]]&lt;=1,"",IF(Table12[[#This Row],[NZ GHG year]]="","",1000000000*(Table12[[#This Row],[residual LULUCF emissions in 2050]]-Table12[[#This Row],[GHG emissions excl LULUCF]])/(Table12[[#This Row],[NZ GHG year]]-2021)/Table12[[#This Row],[Population]])),"")</f>
        <v/>
      </c>
      <c r="AI135" s="32">
        <f>MAX(0,(1000000*(Table12[[#This Row],[Current Policies 2030 excl LULUCF]]/2+Table12[[#This Row],[GHG emissions excl LULUCF]]/2)/Table12[[#This Row],[Population]]-$AI$8)*10)*$AI$10</f>
        <v>0</v>
      </c>
      <c r="AJ135" s="32">
        <f>IF(Table12[[#This Row],[Peak revised]]="No",IF(Table12[[#This Row],[Net-zero target status]]&lt;=1,"",IF(Table12[[#This Row],[NZ GHG year]]="","",1000000000*(Table12[[#This Row],[residual LULUCF emissions in 2050]]-Table12[[#This Row],[Current Policies 2030 excl LULUCF]])/(Table12[[#This Row],[NZ GHG year]]-2021)/Table12[[#This Row],[Population]])),"")</f>
        <v>-129.06579242499524</v>
      </c>
      <c r="AK135" s="32">
        <f>IF(Table12[[#This Row],[Formule no Peak (2)]]="","",Table12[[#This Row],[Penalty (1)]]+Table12[[#This Row],[Formule no Peak (2)]])</f>
        <v>-129.06579242499524</v>
      </c>
      <c r="AL135" s="313">
        <f>(Table12[[#This Row],[Current Policies 2030 excl LULUCF]]-Table12[[#This Row],[GHG emissions excl LULUCF]])/(2030-2021)/Table12[[#This Row],[GHG emissions excl LULUCF]]</f>
        <v>5.369847788019886E-3</v>
      </c>
      <c r="AM135" s="313">
        <f>IF(Table12[[#This Row],[Net-zero target status]]&lt;=1,"",IF(Table12[[#This Row],[NZ GHG year]]="","",(Table12[[#This Row],[residual LULUCF emissions in 2050]]-Table12[[#This Row],[Current Policies 2030 excl LULUCF]])/(Table12[[#This Row],[NZ GHG year]]-2030)/Table12[[#This Row],[Current Policies 2030 excl LULUCF]]))</f>
        <v>-0.05</v>
      </c>
      <c r="AN135" s="313">
        <f>IF(Table12[[#This Row],[Net-zero target status]]&lt;=1,"",IF(Table12[[#This Row],[NZ GHG year]]="","",(Table12[[#This Row],[residual LULUCF emissions in 2050]]-Table12[[#This Row],[GHG emissions excl LULUCF]])/(Table12[[#This Row],[NZ GHG year]]-2021)/Table12[[#This Row],[GHG emissions excl LULUCF]]))</f>
        <v>-3.4482758620689655E-2</v>
      </c>
      <c r="AO135" s="313">
        <f>IF(Table12[[#This Row],[Net-zero target status]]&lt;=1,"",IF(Table12[[#This Row],[NZ GHG year]]="","",(Table12[[#This Row],[residual LULUCF emissions in 2050]]-Table12[[#This Row],[2030 conditional NDCs]])/(Table12[[#This Row],[NZ GHG year]]-2030)/Table12[[#This Row],[2030 conditional NDCs]]))</f>
        <v>-4.9999999999999996E-2</v>
      </c>
      <c r="AP135" s="96">
        <f>MAX('input site'!AH135:AS135)</f>
        <v>0.21442496</v>
      </c>
      <c r="AQ135" s="95" t="str">
        <f>IF(Table12[[#This Row],[Current Policies 2030 incl LULUCF]]&gt;Table12[[#This Row],[Maximum inventory data]],"No","Yes")</f>
        <v>No</v>
      </c>
      <c r="AR135" s="34">
        <f>IF(Table12[[#This Row],[Net-zero target status]]&gt;=1.5,Table12[[#This Row],[residual LULUCF emissions in 2050]]/Table12[[#This Row],[GHG emissions excl LULUCF]],"")</f>
        <v>0</v>
      </c>
      <c r="AS135" s="76">
        <f>'input site'!BE135</f>
        <v>9.3401000000000012E-2</v>
      </c>
      <c r="AT135" s="76">
        <f>'input site'!BF135</f>
        <v>9.3401000000000012E-2</v>
      </c>
      <c r="AU135" s="76">
        <f>'input site'!BG135</f>
        <v>9.3401000000000012E-2</v>
      </c>
      <c r="AV135" s="77">
        <f>'input site'!BH135</f>
        <v>9.3401000000000012E-2</v>
      </c>
      <c r="AW135" s="74">
        <f>IF(Table12[[#This Row],[2030 unconditional NDCs]]="","",IF(F135="incl",Table12[[#This Row],[2030 unconditional NDCs]]-Table12[[#This Row],[LULUCF NDC uncond]],Table12[[#This Row],[2030 unconditional NDCs]]))</f>
        <v>9.3401000000000012E-2</v>
      </c>
      <c r="AX135" s="74">
        <f>IF(Table12[[#This Row],[2030 unconditional NDCs2]]="","",IF(F135="incl",Table12[[#This Row],[2030 unconditional NDCs2]]-Table12[[#This Row],[LULUCF NDC uncond]],Table12[[#This Row],[2030 unconditional NDCs2]]))</f>
        <v>9.3401000000000012E-2</v>
      </c>
      <c r="AY135" s="74">
        <f>IF(Table12[[#This Row],[2030 conditional NDCs]]="","",IF(F135="incl",Table12[[#This Row],[2030 conditional NDCs]]-Table12[[#This Row],[LULUCF NDC cond]],Table12[[#This Row],[2030 conditional NDCs]]))</f>
        <v>9.3401000000000012E-2</v>
      </c>
      <c r="AZ135" s="74">
        <f>IF(Table12[[#This Row],[2030 conditional NDCs2]]="","",IF(F135="incl",Table12[[#This Row],[2030 conditional NDCs2]]-Table12[[#This Row],[LULUCF NDC cond]],Table12[[#This Row],[2030 conditional NDCs2]]))</f>
        <v>9.3401000000000012E-2</v>
      </c>
      <c r="BA135" s="8">
        <f>VLOOKUP($G135,'Population90 20'!$C$6:$AU$231,37,FALSE)</f>
        <v>60057</v>
      </c>
      <c r="BB135" s="8">
        <f>VLOOKUP($G135,'Overview GDP (PPP)'!$C$6:$AI$231,33,FALSE)</f>
        <v>210207.19130127606</v>
      </c>
      <c r="BC135" s="36">
        <f>Table12[[#This Row],[Income]]/Table12[[#This Row],[Population]]</f>
        <v>3.5001280666912442</v>
      </c>
      <c r="BD135" s="36">
        <f>Table12[[#This Row],[GHG emissions excl LULUCF]]*1000000/Table12[[#This Row],[Population]]</f>
        <v>3.5703574937143046</v>
      </c>
      <c r="BE135" s="23" t="e">
        <f>VLOOKUP($G135,EGR2023_MASTER!$B$4:$S$38,14,FALSE)</f>
        <v>#N/A</v>
      </c>
      <c r="BF135" s="23" t="e">
        <f>VLOOKUP($G135,EGR2023_MASTER!$B$4:$S$38,15,FALSE)</f>
        <v>#N/A</v>
      </c>
      <c r="BG135" s="23" t="e">
        <f>VLOOKUP($G135,EGR2023_MASTER!$B$4:$S$38,16,FALSE)</f>
        <v>#N/A</v>
      </c>
      <c r="BH135" s="23" t="e">
        <f t="shared" si="19"/>
        <v>#N/A</v>
      </c>
      <c r="BI135" s="23" t="e">
        <f t="shared" si="20"/>
        <v>#N/A</v>
      </c>
      <c r="BJ135" s="552">
        <f>(Table12[[#This Row],[Current Policies 2030 excl LULUCF]]/Table12[[#This Row],[GHG emissions excl LULUCF]])^(1/(2030-2021))-1</f>
        <v>5.2578983828655002E-3</v>
      </c>
      <c r="BK135" s="552">
        <f>IF(Table12[[#This Row],[Net-zero target status]]&lt;=1,"",IF(Table12[[#This Row],[NZ GHG year]]="","",((MAX(Table12[[#This Row],[residual LULUCF emissions in 2050]],0.1)/Table12[[#This Row],[Current Policies 2030 excl LULUCF]])^(1/(Table12[[#This Row],[NZ GHG year]]-2021))-1)))</f>
        <v>-2.754412595909661E-2</v>
      </c>
      <c r="BL135" s="552">
        <f>IF(Table12[[#This Row],[Net-zero target status]]&lt;=1,"",IF(Table12[[#This Row],[NZ GHG year]]="","",((MAX(Table12[[#This Row],[residual LULUCF emissions in 2050]],0.1)/Table12[[#This Row],[GHG emissions excl LULUCF]])^(1/(Table12[[#This Row],[NZ GHG year]]-2021))-1)))</f>
        <v>-2.5960178354514918E-2</v>
      </c>
      <c r="BM135" s="552">
        <f>IF(Table12[[#This Row],[Net-zero target status]]&lt;=1,"",IF(Table12[[#This Row],[NZ GHG year]]="","",((MAX(Table12[[#This Row],[residual LULUCF emissions in 2050]],0.1)/AVERAGE(Table12[[#This Row],[2030 conditional NDCs]:[2030 conditional NDCs2]]))^(1/(Table12[[#This Row],[NZ GHG year]]-2021))-1)))</f>
        <v>2.3568465989207699E-3</v>
      </c>
      <c r="BN135" s="23"/>
      <c r="BO135" s="23"/>
      <c r="BP135" s="23"/>
      <c r="BQ135" s="23"/>
      <c r="BR135" s="50" t="s">
        <v>299</v>
      </c>
      <c r="BT135" s="30">
        <f>IF(Table12[[#This Row],[Reduction rate 2021 to NZ target2]]="","",J135*(1+AN135)^(Table12[[#This Row],[NZ GHG year]]-2021))</f>
        <v>7.7502606325805967E-2</v>
      </c>
    </row>
    <row r="136" spans="1:72" ht="15" x14ac:dyDescent="0.25">
      <c r="A136">
        <v>0</v>
      </c>
      <c r="B136">
        <v>0</v>
      </c>
      <c r="C136">
        <v>474</v>
      </c>
      <c r="D136">
        <v>123</v>
      </c>
      <c r="E136">
        <v>4</v>
      </c>
      <c r="F136" t="str">
        <f>'input site'!M136</f>
        <v>excl</v>
      </c>
      <c r="G136" s="31" t="s">
        <v>300</v>
      </c>
      <c r="H136" s="1" t="s">
        <v>301</v>
      </c>
      <c r="I136" s="8">
        <v>0</v>
      </c>
      <c r="J136" s="32">
        <f>'input site'!AS136</f>
        <v>0</v>
      </c>
      <c r="K136" s="32">
        <f>'input site'!BS136</f>
        <v>0</v>
      </c>
      <c r="L136" s="32">
        <f t="shared" si="21"/>
        <v>0</v>
      </c>
      <c r="M136" s="32">
        <f t="shared" si="22"/>
        <v>0</v>
      </c>
      <c r="N136" s="32">
        <f>'input site'!EV136</f>
        <v>0</v>
      </c>
      <c r="O136" s="8"/>
      <c r="P136" s="8"/>
      <c r="Q136" s="32">
        <f t="shared" si="23"/>
        <v>0</v>
      </c>
      <c r="R136" s="32">
        <f>'input site'!EZ136</f>
        <v>0</v>
      </c>
      <c r="S136" s="37">
        <f>'input site'!FA136</f>
        <v>0</v>
      </c>
      <c r="T136" s="37" t="str">
        <f>Table12[[#This Row],[(Mt CO2 equivalent)]]</f>
        <v>Martinique</v>
      </c>
      <c r="U136" s="35">
        <v>2100</v>
      </c>
      <c r="V136" s="35">
        <v>2100</v>
      </c>
      <c r="W136" s="32">
        <f>-IF('LUC NGHGI'!EC126="",MIN('LUC NGHGI'!DW126,0.1),MIN('LUC NGHGI'!EC126,0.1))</f>
        <v>0</v>
      </c>
      <c r="X136" s="32" t="str">
        <f>'LUC NGHGI'!EC126</f>
        <v/>
      </c>
      <c r="Y136" s="32" t="str">
        <f>'LUC NGHGI'!DY126</f>
        <v/>
      </c>
      <c r="Z136" s="32" t="str">
        <f>'LUC NGHGI'!DZ126</f>
        <v/>
      </c>
      <c r="AA136" s="32">
        <f>Table12[[#This Row],[2021 emissions]]</f>
        <v>0</v>
      </c>
      <c r="AB136" s="32">
        <f>'LUC NGHGI'!DW126</f>
        <v>0</v>
      </c>
      <c r="AC136" s="32">
        <f>IF(F136="incl",Table12[[#This Row],[GHG emissions incl LULUCF]]-Table12[[#This Row],[LULUCF emis-sions in 20213]],Table12[[#This Row],[GHG emissions incl LULUCF]])</f>
        <v>0</v>
      </c>
      <c r="AD136" s="32">
        <f>'input site'!BS136</f>
        <v>0</v>
      </c>
      <c r="AE136" s="32">
        <f>'LUC NGHGI'!EH126</f>
        <v>0</v>
      </c>
      <c r="AF136" s="32">
        <f>IF(F136="incl",Table12[[#This Row],[Current Policies 2030 incl LULUCF]]-Table12[[#This Row],[LULUCF CurPol 2030]],Table12[[#This Row],[Current Policies 2030 incl LULUCF]])</f>
        <v>0</v>
      </c>
      <c r="AG136" s="32" t="str">
        <f>IF(Table12[[#This Row],[Net-zero target status]]&lt;=1,"",IF(Table12[[#This Row],[NZ GHG year]]="","",1000000000*(Table12[[#This Row],[residual LULUCF emissions in 2050]]-Table12[[#This Row],[GHG emissions excl LULUCF]])/(Table12[[#This Row],[NZ GHG year]]-2021)/Table12[[#This Row],[Population]]))</f>
        <v/>
      </c>
      <c r="AH136" s="32" t="str">
        <f>IF(Table12[[#This Row],[Peak revised]]="Yes",IF(Table12[[#This Row],[Net-zero target status]]&lt;=1,"",IF(Table12[[#This Row],[NZ GHG year]]="","",1000000000*(Table12[[#This Row],[residual LULUCF emissions in 2050]]-Table12[[#This Row],[GHG emissions excl LULUCF]])/(Table12[[#This Row],[NZ GHG year]]-2021)/Table12[[#This Row],[Population]])),"")</f>
        <v/>
      </c>
      <c r="AI136" s="32" t="e">
        <f>MAX(0,(1000000*(Table12[[#This Row],[Current Policies 2030 excl LULUCF]]/2+Table12[[#This Row],[GHG emissions excl LULUCF]]/2)/Table12[[#This Row],[Population]]-$AI$8)*10)*$AI$10</f>
        <v>#DIV/0!</v>
      </c>
      <c r="AJ13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6" s="32" t="str">
        <f>IF(Table12[[#This Row],[Formule no Peak (2)]]="","",Table12[[#This Row],[Penalty (1)]]+Table12[[#This Row],[Formule no Peak (2)]])</f>
        <v/>
      </c>
      <c r="AL136" s="313" t="e">
        <f>(Table12[[#This Row],[Current Policies 2030 excl LULUCF]]-Table12[[#This Row],[GHG emissions excl LULUCF]])/(2030-2021)/Table12[[#This Row],[GHG emissions excl LULUCF]]</f>
        <v>#DIV/0!</v>
      </c>
      <c r="AM136" s="313" t="str">
        <f>IF(Table12[[#This Row],[Net-zero target status]]&lt;=1,"",IF(Table12[[#This Row],[NZ GHG year]]="","",(Table12[[#This Row],[residual LULUCF emissions in 2050]]-Table12[[#This Row],[Current Policies 2030 excl LULUCF]])/(Table12[[#This Row],[NZ GHG year]]-2030)/Table12[[#This Row],[Current Policies 2030 excl LULUCF]]))</f>
        <v/>
      </c>
      <c r="AN136" s="313" t="str">
        <f>IF(Table12[[#This Row],[Net-zero target status]]&lt;=1,"",IF(Table12[[#This Row],[NZ GHG year]]="","",(Table12[[#This Row],[residual LULUCF emissions in 2050]]-Table12[[#This Row],[GHG emissions excl LULUCF]])/(Table12[[#This Row],[NZ GHG year]]-2021)/Table12[[#This Row],[GHG emissions excl LULUCF]]))</f>
        <v/>
      </c>
      <c r="AO136" s="313" t="str">
        <f>IF(Table12[[#This Row],[Net-zero target status]]&lt;=1,"",IF(Table12[[#This Row],[NZ GHG year]]="","",(Table12[[#This Row],[residual LULUCF emissions in 2050]]-Table12[[#This Row],[2030 conditional NDCs]])/(Table12[[#This Row],[NZ GHG year]]-2030)/Table12[[#This Row],[2030 conditional NDCs]]))</f>
        <v/>
      </c>
      <c r="AP136" s="96">
        <f>MAX('input site'!AH136:AS136)</f>
        <v>0</v>
      </c>
      <c r="AQ136" s="95" t="str">
        <f>IF(Table12[[#This Row],[Current Policies 2030 incl LULUCF]]&gt;Table12[[#This Row],[Maximum inventory data]],"No","Yes")</f>
        <v>Yes</v>
      </c>
      <c r="AR136" s="34" t="str">
        <f>IF(Table12[[#This Row],[Net-zero target status]]&gt;=1.5,Table12[[#This Row],[residual LULUCF emissions in 2050]]/Table12[[#This Row],[GHG emissions excl LULUCF]],"")</f>
        <v/>
      </c>
      <c r="AS136" s="74" t="str">
        <f>'input site'!BE136</f>
        <v/>
      </c>
      <c r="AT136" s="74"/>
      <c r="AU136" s="74"/>
      <c r="AV136" s="75"/>
      <c r="AW136" s="74" t="str">
        <f>IF(Table12[[#This Row],[2030 unconditional NDCs]]="","",IF(F136="incl",Table12[[#This Row],[2030 unconditional NDCs]]-Table12[[#This Row],[LULUCF NDC uncond]],Table12[[#This Row],[2030 unconditional NDCs]]))</f>
        <v/>
      </c>
      <c r="AX136" s="74" t="str">
        <f>IF(Table12[[#This Row],[2030 unconditional NDCs2]]="","",IF(F136="incl",Table12[[#This Row],[2030 unconditional NDCs2]]-Table12[[#This Row],[LULUCF NDC uncond]],Table12[[#This Row],[2030 unconditional NDCs2]]))</f>
        <v/>
      </c>
      <c r="AY136" s="74" t="str">
        <f>IF(Table12[[#This Row],[2030 conditional NDCs]]="","",IF(F136="incl",Table12[[#This Row],[2030 conditional NDCs]]-Table12[[#This Row],[LULUCF NDC cond]],Table12[[#This Row],[2030 conditional NDCs]]))</f>
        <v/>
      </c>
      <c r="AZ136" s="74" t="str">
        <f>IF(Table12[[#This Row],[2030 conditional NDCs2]]="","",IF(F136="incl",Table12[[#This Row],[2030 conditional NDCs2]]-Table12[[#This Row],[LULUCF NDC cond]],Table12[[#This Row],[2030 conditional NDCs2]]))</f>
        <v/>
      </c>
      <c r="BA136" s="8"/>
      <c r="BB136" s="8"/>
      <c r="BC136" s="36"/>
      <c r="BD136" s="36" t="e">
        <f>Table12[[#This Row],[GHG emissions excl LULUCF]]*1000000/Table12[[#This Row],[Population]]</f>
        <v>#DIV/0!</v>
      </c>
      <c r="BE136" s="23" t="e">
        <f>VLOOKUP($G136,EGR2023_MASTER!$B$4:$S$38,14,FALSE)</f>
        <v>#N/A</v>
      </c>
      <c r="BF136" s="23" t="e">
        <f>VLOOKUP($G136,EGR2023_MASTER!$B$4:$S$38,15,FALSE)</f>
        <v>#N/A</v>
      </c>
      <c r="BG136" s="23" t="e">
        <f>VLOOKUP($G136,EGR2023_MASTER!$B$4:$S$38,16,FALSE)</f>
        <v>#N/A</v>
      </c>
      <c r="BH136" s="23" t="e">
        <f t="shared" si="19"/>
        <v>#N/A</v>
      </c>
      <c r="BI136" s="23" t="e">
        <f t="shared" si="20"/>
        <v>#N/A</v>
      </c>
      <c r="BJ136" s="552" t="e">
        <f>(Table12[[#This Row],[Current Policies 2030 excl LULUCF]]/Table12[[#This Row],[GHG emissions excl LULUCF]])^(1/(2030-2021))-1</f>
        <v>#DIV/0!</v>
      </c>
      <c r="BK136" s="552" t="str">
        <f>IF(Table12[[#This Row],[Net-zero target status]]&lt;=1,"",IF(Table12[[#This Row],[NZ GHG year]]="","",((MAX(Table12[[#This Row],[residual LULUCF emissions in 2050]],0.1)/Table12[[#This Row],[Current Policies 2030 excl LULUCF]])^(1/(Table12[[#This Row],[NZ GHG year]]-2021))-1)))</f>
        <v/>
      </c>
      <c r="BL136" s="552" t="str">
        <f>IF(Table12[[#This Row],[Net-zero target status]]&lt;=1,"",IF(Table12[[#This Row],[NZ GHG year]]="","",((MAX(Table12[[#This Row],[residual LULUCF emissions in 2050]],0.1)/Table12[[#This Row],[GHG emissions excl LULUCF]])^(1/(Table12[[#This Row],[NZ GHG year]]-2021))-1)))</f>
        <v/>
      </c>
      <c r="BM136" s="552" t="str">
        <f>IF(Table12[[#This Row],[Net-zero target status]]&lt;=1,"",IF(Table12[[#This Row],[NZ GHG year]]="","",((MAX(Table12[[#This Row],[residual LULUCF emissions in 2050]],0.1)/AVERAGE(Table12[[#This Row],[2030 conditional NDCs]:[2030 conditional NDCs2]]))^(1/(Table12[[#This Row],[NZ GHG year]]-2021))-1)))</f>
        <v/>
      </c>
      <c r="BN136" s="23"/>
      <c r="BO136" s="23"/>
      <c r="BP136" s="23"/>
      <c r="BQ136" s="23"/>
      <c r="BR136" s="50" t="s">
        <v>301</v>
      </c>
      <c r="BT136" s="30" t="str">
        <f>IF(Table12[[#This Row],[Reduction rate 2021 to NZ target2]]="","",J136*(1+AN136)^(Table12[[#This Row],[NZ GHG year]]-2021))</f>
        <v/>
      </c>
    </row>
    <row r="137" spans="1:72" ht="15" x14ac:dyDescent="0.25">
      <c r="A137">
        <v>0</v>
      </c>
      <c r="B137">
        <v>0</v>
      </c>
      <c r="C137">
        <v>478</v>
      </c>
      <c r="D137">
        <v>124</v>
      </c>
      <c r="E137">
        <v>8</v>
      </c>
      <c r="F137" t="str">
        <f>'input site'!M137</f>
        <v>incl</v>
      </c>
      <c r="G137" s="31" t="s">
        <v>302</v>
      </c>
      <c r="H137" s="1" t="s">
        <v>303</v>
      </c>
      <c r="I137" s="8">
        <f>VLOOKUP($G137,'NZT data'!$B$3:$C$200,2,FALSE)</f>
        <v>1</v>
      </c>
      <c r="J137" s="32">
        <f>'input site'!AS137</f>
        <v>10.057451019704448</v>
      </c>
      <c r="K137" s="32">
        <f>'input site'!BS137</f>
        <v>11.978289025687573</v>
      </c>
      <c r="L137" s="32">
        <f t="shared" si="21"/>
        <v>0</v>
      </c>
      <c r="M137" s="32">
        <f t="shared" si="22"/>
        <v>0</v>
      </c>
      <c r="N137" s="32">
        <f>'input site'!EV137</f>
        <v>9.5343823957303719</v>
      </c>
      <c r="O137" s="8"/>
      <c r="P137" s="36"/>
      <c r="Q137" s="32">
        <f t="shared" si="23"/>
        <v>0</v>
      </c>
      <c r="R137" s="32">
        <f>'input site'!EZ137</f>
        <v>5.4307869294070148</v>
      </c>
      <c r="S137" s="37">
        <f>'input site'!FA137</f>
        <v>2050</v>
      </c>
      <c r="T137" s="37" t="str">
        <f>Table12[[#This Row],[(Mt CO2 equivalent)]]</f>
        <v>Mauritania</v>
      </c>
      <c r="U137" s="8">
        <f>VLOOKUP($G137,'NZT data'!$B$3:$F$200,4,FALSE)</f>
        <v>2110</v>
      </c>
      <c r="V137" s="32">
        <f>VLOOKUP($G137,'NZT data'!$B$3:$F$200,5,FALSE)</f>
        <v>2110</v>
      </c>
      <c r="W137" s="32">
        <f>-IF('LUC NGHGI'!EC127="",MIN('LUC NGHGI'!DW127,0.1),MIN('LUC NGHGI'!EC127,0.1))</f>
        <v>0.99390007881774523</v>
      </c>
      <c r="X137" s="32">
        <f>'LUC NGHGI'!EC127</f>
        <v>-0.99390007881774523</v>
      </c>
      <c r="Y137" s="32">
        <f>'LUC NGHGI'!DY127</f>
        <v>-0.99390007881774523</v>
      </c>
      <c r="Z137" s="32">
        <f>'LUC NGHGI'!DZ127</f>
        <v>-0.99390007881774523</v>
      </c>
      <c r="AA137" s="32">
        <f>Table12[[#This Row],[2021 emissions]]</f>
        <v>10.057451019704448</v>
      </c>
      <c r="AB137" s="32">
        <f>'LUC NGHGI'!DW127</f>
        <v>-1.0723569802955524</v>
      </c>
      <c r="AC137" s="32">
        <f>IF(F137="incl",Table12[[#This Row],[GHG emissions incl LULUCF]]-Table12[[#This Row],[LULUCF emis-sions in 20213]],Table12[[#This Row],[GHG emissions incl LULUCF]])</f>
        <v>11.129808000000001</v>
      </c>
      <c r="AD137" s="32">
        <f>'input site'!BS137</f>
        <v>11.978289025687573</v>
      </c>
      <c r="AE137" s="32">
        <f>'LUC NGHGI'!EH127</f>
        <v>-1.2897807559645742</v>
      </c>
      <c r="AF137" s="32">
        <f>IF(F137="incl",Table12[[#This Row],[Current Policies 2030 incl LULUCF]]-Table12[[#This Row],[LULUCF CurPol 2030]],Table12[[#This Row],[Current Policies 2030 incl LULUCF]])</f>
        <v>13.268069781652148</v>
      </c>
      <c r="AG137" s="32" t="str">
        <f>IF(Table12[[#This Row],[Net-zero target status]]&lt;=1,"",IF(Table12[[#This Row],[NZ GHG year]]="","",1000000000*(Table12[[#This Row],[residual LULUCF emissions in 2050]]-Table12[[#This Row],[GHG emissions excl LULUCF]])/(Table12[[#This Row],[NZ GHG year]]-2021)/Table12[[#This Row],[Population]]))</f>
        <v/>
      </c>
      <c r="AH137" s="32" t="str">
        <f>IF(Table12[[#This Row],[Peak revised]]="Yes",IF(Table12[[#This Row],[Net-zero target status]]&lt;=1,"",IF(Table12[[#This Row],[NZ GHG year]]="","",1000000000*(Table12[[#This Row],[residual LULUCF emissions in 2050]]-Table12[[#This Row],[GHG emissions excl LULUCF]])/(Table12[[#This Row],[NZ GHG year]]-2021)/Table12[[#This Row],[Population]])),"")</f>
        <v/>
      </c>
      <c r="AI137" s="32">
        <f>MAX(0,(1000000*(Table12[[#This Row],[Current Policies 2030 excl LULUCF]]/2+Table12[[#This Row],[GHG emissions excl LULUCF]]/2)/Table12[[#This Row],[Population]]-$AI$8)*10)*$AI$10</f>
        <v>0</v>
      </c>
      <c r="AJ13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7" s="32" t="str">
        <f>IF(Table12[[#This Row],[Formule no Peak (2)]]="","",Table12[[#This Row],[Penalty (1)]]+Table12[[#This Row],[Formule no Peak (2)]])</f>
        <v/>
      </c>
      <c r="AL137" s="313">
        <f>(Table12[[#This Row],[Current Policies 2030 excl LULUCF]]-Table12[[#This Row],[GHG emissions excl LULUCF]])/(2030-2021)/Table12[[#This Row],[GHG emissions excl LULUCF]]</f>
        <v>2.1346697302037389E-2</v>
      </c>
      <c r="AM137" s="313" t="str">
        <f>IF(Table12[[#This Row],[Net-zero target status]]&lt;=1,"",IF(Table12[[#This Row],[NZ GHG year]]="","",(Table12[[#This Row],[residual LULUCF emissions in 2050]]-Table12[[#This Row],[Current Policies 2030 excl LULUCF]])/(Table12[[#This Row],[NZ GHG year]]-2030)/Table12[[#This Row],[Current Policies 2030 excl LULUCF]]))</f>
        <v/>
      </c>
      <c r="AN137" s="313" t="str">
        <f>IF(Table12[[#This Row],[Net-zero target status]]&lt;=1,"",IF(Table12[[#This Row],[NZ GHG year]]="","",(Table12[[#This Row],[residual LULUCF emissions in 2050]]-Table12[[#This Row],[GHG emissions excl LULUCF]])/(Table12[[#This Row],[NZ GHG year]]-2021)/Table12[[#This Row],[GHG emissions excl LULUCF]]))</f>
        <v/>
      </c>
      <c r="AO137" s="313" t="str">
        <f>IF(Table12[[#This Row],[Net-zero target status]]&lt;=1,"",IF(Table12[[#This Row],[NZ GHG year]]="","",(Table12[[#This Row],[residual LULUCF emissions in 2050]]-Table12[[#This Row],[2030 conditional NDCs]])/(Table12[[#This Row],[NZ GHG year]]-2030)/Table12[[#This Row],[2030 conditional NDCs]]))</f>
        <v/>
      </c>
      <c r="AP137" s="96">
        <f>MAX('input site'!AH137:AS137)</f>
        <v>10.057451019704448</v>
      </c>
      <c r="AQ137" s="95" t="str">
        <f>IF(Table12[[#This Row],[Current Policies 2030 incl LULUCF]]&gt;Table12[[#This Row],[Maximum inventory data]],"No","Yes")</f>
        <v>No</v>
      </c>
      <c r="AR137" s="34" t="str">
        <f>IF(Table12[[#This Row],[Net-zero target status]]&gt;=1.5,Table12[[#This Row],[residual LULUCF emissions in 2050]]/Table12[[#This Row],[GHG emissions excl LULUCF]],"")</f>
        <v/>
      </c>
      <c r="AS137" s="74">
        <f>'input site'!BE137</f>
        <v>18.330099483999998</v>
      </c>
      <c r="AT137" s="74">
        <f>'input site'!BF137</f>
        <v>18.330099483999998</v>
      </c>
      <c r="AU137" s="74">
        <f>'input site'!BG137</f>
        <v>14.6340957</v>
      </c>
      <c r="AV137" s="75">
        <f>'input site'!BH137</f>
        <v>14.6340957</v>
      </c>
      <c r="AW137" s="74">
        <f>IF(Table12[[#This Row],[2030 unconditional NDCs]]="","",IF(F137="incl",Table12[[#This Row],[2030 unconditional NDCs]]-Table12[[#This Row],[LULUCF NDC uncond]],Table12[[#This Row],[2030 unconditional NDCs]]))</f>
        <v>19.323999562817743</v>
      </c>
      <c r="AX137" s="74">
        <f>IF(Table12[[#This Row],[2030 unconditional NDCs2]]="","",IF(F137="incl",Table12[[#This Row],[2030 unconditional NDCs2]]-Table12[[#This Row],[LULUCF NDC uncond]],Table12[[#This Row],[2030 unconditional NDCs2]]))</f>
        <v>19.323999562817743</v>
      </c>
      <c r="AY137" s="74">
        <f>IF(Table12[[#This Row],[2030 conditional NDCs]]="","",IF(F137="incl",Table12[[#This Row],[2030 conditional NDCs]]-Table12[[#This Row],[LULUCF NDC cond]],Table12[[#This Row],[2030 conditional NDCs]]))</f>
        <v>15.627995778817745</v>
      </c>
      <c r="AZ137" s="74">
        <f>IF(Table12[[#This Row],[2030 conditional NDCs2]]="","",IF(F137="incl",Table12[[#This Row],[2030 conditional NDCs2]]-Table12[[#This Row],[LULUCF NDC cond]],Table12[[#This Row],[2030 conditional NDCs2]]))</f>
        <v>15.627995778817745</v>
      </c>
      <c r="BA137" s="8">
        <f>VLOOKUP($G137,'Population90 20'!$C$6:$AU$231,37,FALSE)</f>
        <v>4901981</v>
      </c>
      <c r="BB137" s="8">
        <f>VLOOKUP($G137,'Overview GDP (PPP)'!$C$6:$AI$231,33,FALSE)</f>
        <v>16399782.304739855</v>
      </c>
      <c r="BC137" s="36">
        <f>Table12[[#This Row],[Income]]/Table12[[#This Row],[Population]]</f>
        <v>3.3455417931525755</v>
      </c>
      <c r="BD137" s="36">
        <f>Table12[[#This Row],[GHG emissions excl LULUCF]]*1000000/Table12[[#This Row],[Population]]</f>
        <v>2.2704714685756637</v>
      </c>
      <c r="BE137" s="23" t="e">
        <f>VLOOKUP($G137,EGR2023_MASTER!$B$4:$S$38,14,FALSE)</f>
        <v>#N/A</v>
      </c>
      <c r="BF137" s="23" t="e">
        <f>VLOOKUP($G137,EGR2023_MASTER!$B$4:$S$38,15,FALSE)</f>
        <v>#N/A</v>
      </c>
      <c r="BG137" s="23" t="e">
        <f>VLOOKUP($G137,EGR2023_MASTER!$B$4:$S$38,16,FALSE)</f>
        <v>#N/A</v>
      </c>
      <c r="BH137" s="23" t="e">
        <f t="shared" si="19"/>
        <v>#N/A</v>
      </c>
      <c r="BI137" s="23" t="e">
        <f t="shared" si="20"/>
        <v>#N/A</v>
      </c>
      <c r="BJ137" s="552">
        <f>(Table12[[#This Row],[Current Policies 2030 excl LULUCF]]/Table12[[#This Row],[GHG emissions excl LULUCF]])^(1/(2030-2021))-1</f>
        <v>1.9717818677722931E-2</v>
      </c>
      <c r="BK137" s="552" t="str">
        <f>IF(Table12[[#This Row],[Net-zero target status]]&lt;=1,"",IF(Table12[[#This Row],[NZ GHG year]]="","",((MAX(Table12[[#This Row],[residual LULUCF emissions in 2050]],0.1)/Table12[[#This Row],[Current Policies 2030 excl LULUCF]])^(1/(Table12[[#This Row],[NZ GHG year]]-2021))-1)))</f>
        <v/>
      </c>
      <c r="BL137" s="552" t="str">
        <f>IF(Table12[[#This Row],[Net-zero target status]]&lt;=1,"",IF(Table12[[#This Row],[NZ GHG year]]="","",((MAX(Table12[[#This Row],[residual LULUCF emissions in 2050]],0.1)/Table12[[#This Row],[GHG emissions excl LULUCF]])^(1/(Table12[[#This Row],[NZ GHG year]]-2021))-1)))</f>
        <v/>
      </c>
      <c r="BM137" s="552" t="str">
        <f>IF(Table12[[#This Row],[Net-zero target status]]&lt;=1,"",IF(Table12[[#This Row],[NZ GHG year]]="","",((MAX(Table12[[#This Row],[residual LULUCF emissions in 2050]],0.1)/AVERAGE(Table12[[#This Row],[2030 conditional NDCs]:[2030 conditional NDCs2]]))^(1/(Table12[[#This Row],[NZ GHG year]]-2021))-1)))</f>
        <v/>
      </c>
      <c r="BN137" s="23"/>
      <c r="BO137" s="23"/>
      <c r="BP137" s="23"/>
      <c r="BQ137" s="23"/>
      <c r="BR137" s="50" t="s">
        <v>303</v>
      </c>
      <c r="BT137" s="30" t="str">
        <f>IF(Table12[[#This Row],[Reduction rate 2021 to NZ target2]]="","",J137*(1+AN137)^(Table12[[#This Row],[NZ GHG year]]-2021))</f>
        <v/>
      </c>
    </row>
    <row r="138" spans="1:72" ht="15" x14ac:dyDescent="0.25">
      <c r="A138">
        <v>0</v>
      </c>
      <c r="B138">
        <v>0</v>
      </c>
      <c r="C138">
        <v>480</v>
      </c>
      <c r="D138">
        <v>125</v>
      </c>
      <c r="E138">
        <v>9</v>
      </c>
      <c r="F138" t="str">
        <f>'input site'!M138</f>
        <v>incl</v>
      </c>
      <c r="G138" s="31" t="s">
        <v>304</v>
      </c>
      <c r="H138" s="1" t="s">
        <v>305</v>
      </c>
      <c r="I138" s="8">
        <f>VLOOKUP($G138,'NZT data'!$B$3:$C$200,2,FALSE)</f>
        <v>1</v>
      </c>
      <c r="J138" s="32">
        <f>'input site'!AS138</f>
        <v>5.3837297181522175</v>
      </c>
      <c r="K138" s="32">
        <f>'input site'!BS138</f>
        <v>8.4734315444727866</v>
      </c>
      <c r="L138" s="32">
        <f t="shared" si="21"/>
        <v>0</v>
      </c>
      <c r="M138" s="32">
        <f t="shared" si="22"/>
        <v>0</v>
      </c>
      <c r="N138" s="32">
        <f>'input site'!EV138</f>
        <v>6.2723049669147963</v>
      </c>
      <c r="O138" s="8">
        <v>0</v>
      </c>
      <c r="P138" s="36">
        <f>O138-N138</f>
        <v>-6.2723049669147963</v>
      </c>
      <c r="Q138" s="32">
        <f t="shared" si="23"/>
        <v>0</v>
      </c>
      <c r="R138" s="32">
        <f>'input site'!EZ138</f>
        <v>5.7308363740516839</v>
      </c>
      <c r="S138" s="37">
        <f>'input site'!FA138</f>
        <v>2050</v>
      </c>
      <c r="T138" s="37" t="str">
        <f>Table12[[#This Row],[(Mt CO2 equivalent)]]</f>
        <v>Mauritius</v>
      </c>
      <c r="U138" s="8">
        <f>VLOOKUP($G138,'NZT data'!$B$3:$F$200,4,FALSE)</f>
        <v>2110</v>
      </c>
      <c r="V138" s="32">
        <f>VLOOKUP($G138,'NZT data'!$B$3:$F$200,5,FALSE)</f>
        <v>2125</v>
      </c>
      <c r="W138" s="32">
        <f>-IF('LUC NGHGI'!EC128="",MIN('LUC NGHGI'!DW128,0.1),MIN('LUC NGHGI'!EC128,0.1))</f>
        <v>0.27142483923483907</v>
      </c>
      <c r="X138" s="32">
        <f>'LUC NGHGI'!EC128</f>
        <v>-0.27142483923483907</v>
      </c>
      <c r="Y138" s="32">
        <f>'LUC NGHGI'!DY128</f>
        <v>-0.27142483923483907</v>
      </c>
      <c r="Z138" s="32">
        <f>'LUC NGHGI'!DZ128</f>
        <v>-0.27142483923483907</v>
      </c>
      <c r="AA138" s="32">
        <f>Table12[[#This Row],[2021 emissions]]</f>
        <v>5.3837297181522175</v>
      </c>
      <c r="AB138" s="32">
        <f>'LUC NGHGI'!DW128</f>
        <v>-0.27302778184778198</v>
      </c>
      <c r="AC138" s="32">
        <f>IF(F138="incl",Table12[[#This Row],[GHG emissions incl LULUCF]]-Table12[[#This Row],[LULUCF emis-sions in 20213]],Table12[[#This Row],[GHG emissions incl LULUCF]])</f>
        <v>5.6567574999999994</v>
      </c>
      <c r="AD138" s="32">
        <f>'input site'!BS138</f>
        <v>8.4734315444727866</v>
      </c>
      <c r="AE138" s="32">
        <f>'LUC NGHGI'!EH128</f>
        <v>-0.3252384577054922</v>
      </c>
      <c r="AF138" s="32">
        <f>IF(F138="incl",Table12[[#This Row],[Current Policies 2030 incl LULUCF]]-Table12[[#This Row],[LULUCF CurPol 2030]],Table12[[#This Row],[Current Policies 2030 incl LULUCF]])</f>
        <v>8.7986700021782784</v>
      </c>
      <c r="AG138" s="32" t="str">
        <f>IF(Table12[[#This Row],[Net-zero target status]]&lt;=1,"",IF(Table12[[#This Row],[NZ GHG year]]="","",1000000000*(Table12[[#This Row],[residual LULUCF emissions in 2050]]-Table12[[#This Row],[GHG emissions excl LULUCF]])/(Table12[[#This Row],[NZ GHG year]]-2021)/Table12[[#This Row],[Population]]))</f>
        <v/>
      </c>
      <c r="AH138" s="32" t="str">
        <f>IF(Table12[[#This Row],[Peak revised]]="Yes",IF(Table12[[#This Row],[Net-zero target status]]&lt;=1,"",IF(Table12[[#This Row],[NZ GHG year]]="","",1000000000*(Table12[[#This Row],[residual LULUCF emissions in 2050]]-Table12[[#This Row],[GHG emissions excl LULUCF]])/(Table12[[#This Row],[NZ GHG year]]-2021)/Table12[[#This Row],[Population]])),"")</f>
        <v/>
      </c>
      <c r="AI138" s="32">
        <f>MAX(0,(1000000*(Table12[[#This Row],[Current Policies 2030 excl LULUCF]]/2+Table12[[#This Row],[GHG emissions excl LULUCF]]/2)/Table12[[#This Row],[Population]]-$AI$8)*10)*$AI$10</f>
        <v>0</v>
      </c>
      <c r="AJ13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8" s="32" t="str">
        <f>IF(Table12[[#This Row],[Formule no Peak (2)]]="","",Table12[[#This Row],[Penalty (1)]]+Table12[[#This Row],[Formule no Peak (2)]])</f>
        <v/>
      </c>
      <c r="AL138" s="313">
        <f>(Table12[[#This Row],[Current Policies 2030 excl LULUCF]]-Table12[[#This Row],[GHG emissions excl LULUCF]])/(2030-2021)/Table12[[#This Row],[GHG emissions excl LULUCF]]</f>
        <v>6.1714045392774905E-2</v>
      </c>
      <c r="AM138" s="313" t="str">
        <f>IF(Table12[[#This Row],[Net-zero target status]]&lt;=1,"",IF(Table12[[#This Row],[NZ GHG year]]="","",(Table12[[#This Row],[residual LULUCF emissions in 2050]]-Table12[[#This Row],[Current Policies 2030 excl LULUCF]])/(Table12[[#This Row],[NZ GHG year]]-2030)/Table12[[#This Row],[Current Policies 2030 excl LULUCF]]))</f>
        <v/>
      </c>
      <c r="AN138" s="313" t="str">
        <f>IF(Table12[[#This Row],[Net-zero target status]]&lt;=1,"",IF(Table12[[#This Row],[NZ GHG year]]="","",(Table12[[#This Row],[residual LULUCF emissions in 2050]]-Table12[[#This Row],[GHG emissions excl LULUCF]])/(Table12[[#This Row],[NZ GHG year]]-2021)/Table12[[#This Row],[GHG emissions excl LULUCF]]))</f>
        <v/>
      </c>
      <c r="AO138" s="313" t="str">
        <f>IF(Table12[[#This Row],[Net-zero target status]]&lt;=1,"",IF(Table12[[#This Row],[NZ GHG year]]="","",(Table12[[#This Row],[residual LULUCF emissions in 2050]]-Table12[[#This Row],[2030 conditional NDCs]])/(Table12[[#This Row],[NZ GHG year]]-2030)/Table12[[#This Row],[2030 conditional NDCs]]))</f>
        <v/>
      </c>
      <c r="AP138" s="96">
        <f>MAX('input site'!AH138:AS138)</f>
        <v>5.4206487033781023</v>
      </c>
      <c r="AQ138" s="95" t="str">
        <f>IF(Table12[[#This Row],[Current Policies 2030 incl LULUCF]]&gt;Table12[[#This Row],[Maximum inventory data]],"No","Yes")</f>
        <v>No</v>
      </c>
      <c r="AR138" s="34" t="str">
        <f>IF(Table12[[#This Row],[Net-zero target status]]&gt;=1.5,Table12[[#This Row],[residual LULUCF emissions in 2050]]/Table12[[#This Row],[GHG emissions excl LULUCF]],"")</f>
        <v/>
      </c>
      <c r="AS138" s="74" t="str">
        <f>'input site'!BE138</f>
        <v/>
      </c>
      <c r="AT138" s="74"/>
      <c r="AU138" s="74">
        <f>'input site'!BG138</f>
        <v>4.8999999999999995</v>
      </c>
      <c r="AV138" s="75">
        <f>'input site'!BH138</f>
        <v>4.8999999999999995</v>
      </c>
      <c r="AW138" s="74" t="str">
        <f>IF(Table12[[#This Row],[2030 unconditional NDCs]]="","",IF(F138="incl",Table12[[#This Row],[2030 unconditional NDCs]]-Table12[[#This Row],[LULUCF NDC uncond]],Table12[[#This Row],[2030 unconditional NDCs]]))</f>
        <v/>
      </c>
      <c r="AX138" s="74" t="str">
        <f>IF(Table12[[#This Row],[2030 unconditional NDCs2]]="","",IF(F138="incl",Table12[[#This Row],[2030 unconditional NDCs2]]-Table12[[#This Row],[LULUCF NDC uncond]],Table12[[#This Row],[2030 unconditional NDCs2]]))</f>
        <v/>
      </c>
      <c r="AY138" s="74">
        <f>IF(Table12[[#This Row],[2030 conditional NDCs]]="","",IF(F138="incl",Table12[[#This Row],[2030 conditional NDCs]]-Table12[[#This Row],[LULUCF NDC cond]],Table12[[#This Row],[2030 conditional NDCs]]))</f>
        <v>5.1714248392348381</v>
      </c>
      <c r="AZ138" s="74">
        <f>IF(Table12[[#This Row],[2030 conditional NDCs2]]="","",IF(F138="incl",Table12[[#This Row],[2030 conditional NDCs2]]-Table12[[#This Row],[LULUCF NDC cond]],Table12[[#This Row],[2030 conditional NDCs2]]))</f>
        <v>5.1714248392348381</v>
      </c>
      <c r="BA138" s="8">
        <f>VLOOKUP($G138,'Population90 20'!$C$6:$AU$231,37,FALSE)</f>
        <v>1274727</v>
      </c>
      <c r="BB138" s="8">
        <f>VLOOKUP($G138,'Overview GDP (PPP)'!$C$6:$AI$231,33,FALSE)</f>
        <v>26666024.161327668</v>
      </c>
      <c r="BC138" s="36">
        <f>Table12[[#This Row],[Income]]/Table12[[#This Row],[Population]]</f>
        <v>20.91900788272914</v>
      </c>
      <c r="BD138" s="36">
        <f>Table12[[#This Row],[GHG emissions excl LULUCF]]*1000000/Table12[[#This Row],[Population]]</f>
        <v>4.437622722355453</v>
      </c>
      <c r="BE138" s="23" t="e">
        <f>VLOOKUP($G138,EGR2023_MASTER!$B$4:$S$38,14,FALSE)</f>
        <v>#N/A</v>
      </c>
      <c r="BF138" s="23" t="e">
        <f>VLOOKUP($G138,EGR2023_MASTER!$B$4:$S$38,15,FALSE)</f>
        <v>#N/A</v>
      </c>
      <c r="BG138" s="23" t="e">
        <f>VLOOKUP($G138,EGR2023_MASTER!$B$4:$S$38,16,FALSE)</f>
        <v>#N/A</v>
      </c>
      <c r="BH138" s="23" t="e">
        <f t="shared" si="19"/>
        <v>#N/A</v>
      </c>
      <c r="BI138" s="23" t="e">
        <f t="shared" si="20"/>
        <v>#N/A</v>
      </c>
      <c r="BJ138" s="552">
        <f>(Table12[[#This Row],[Current Policies 2030 excl LULUCF]]/Table12[[#This Row],[GHG emissions excl LULUCF]])^(1/(2030-2021))-1</f>
        <v>5.0307840743815113E-2</v>
      </c>
      <c r="BK138" s="552" t="str">
        <f>IF(Table12[[#This Row],[Net-zero target status]]&lt;=1,"",IF(Table12[[#This Row],[NZ GHG year]]="","",((MAX(Table12[[#This Row],[residual LULUCF emissions in 2050]],0.1)/Table12[[#This Row],[Current Policies 2030 excl LULUCF]])^(1/(Table12[[#This Row],[NZ GHG year]]-2021))-1)))</f>
        <v/>
      </c>
      <c r="BL138" s="552" t="str">
        <f>IF(Table12[[#This Row],[Net-zero target status]]&lt;=1,"",IF(Table12[[#This Row],[NZ GHG year]]="","",((MAX(Table12[[#This Row],[residual LULUCF emissions in 2050]],0.1)/Table12[[#This Row],[GHG emissions excl LULUCF]])^(1/(Table12[[#This Row],[NZ GHG year]]-2021))-1)))</f>
        <v/>
      </c>
      <c r="BM138" s="552" t="str">
        <f>IF(Table12[[#This Row],[Net-zero target status]]&lt;=1,"",IF(Table12[[#This Row],[NZ GHG year]]="","",((MAX(Table12[[#This Row],[residual LULUCF emissions in 2050]],0.1)/AVERAGE(Table12[[#This Row],[2030 conditional NDCs]:[2030 conditional NDCs2]]))^(1/(Table12[[#This Row],[NZ GHG year]]-2021))-1)))</f>
        <v/>
      </c>
      <c r="BN138" s="23"/>
      <c r="BO138" s="23"/>
      <c r="BP138" s="23"/>
      <c r="BQ138" s="23"/>
      <c r="BR138" s="50" t="s">
        <v>305</v>
      </c>
      <c r="BT138" s="30" t="str">
        <f>IF(Table12[[#This Row],[Reduction rate 2021 to NZ target2]]="","",J138*(1+AN138)^(Table12[[#This Row],[NZ GHG year]]-2021))</f>
        <v/>
      </c>
    </row>
    <row r="139" spans="1:72" ht="15" x14ac:dyDescent="0.25">
      <c r="A139">
        <v>1</v>
      </c>
      <c r="B139">
        <v>1</v>
      </c>
      <c r="C139">
        <v>484</v>
      </c>
      <c r="D139">
        <v>126</v>
      </c>
      <c r="E139">
        <v>3</v>
      </c>
      <c r="F139" t="str">
        <f>'input site'!M139</f>
        <v>incl</v>
      </c>
      <c r="G139" s="31" t="s">
        <v>306</v>
      </c>
      <c r="H139" s="1" t="s">
        <v>307</v>
      </c>
      <c r="I139" s="8">
        <f>VLOOKUP($G139,'NZT data'!$B$3:$C$200,2,FALSE)</f>
        <v>1</v>
      </c>
      <c r="J139" s="32">
        <f>'input site'!AS139</f>
        <v>491.96987281520001</v>
      </c>
      <c r="K139" s="32">
        <f>'input site'!BS139</f>
        <v>423.42324717699211</v>
      </c>
      <c r="L139" s="32">
        <f t="shared" si="21"/>
        <v>0</v>
      </c>
      <c r="M139" s="32">
        <f t="shared" si="22"/>
        <v>0</v>
      </c>
      <c r="N139" s="32">
        <f>'input site'!EV139</f>
        <v>248.56440983378144</v>
      </c>
      <c r="O139" s="8">
        <v>0</v>
      </c>
      <c r="P139" s="36">
        <f>O139-N139</f>
        <v>-248.56440983378144</v>
      </c>
      <c r="Q139" s="32">
        <f t="shared" si="23"/>
        <v>0</v>
      </c>
      <c r="R139" s="32">
        <f>'input site'!EZ139</f>
        <v>93.357481944430972</v>
      </c>
      <c r="S139" s="37">
        <f>'input site'!FA139</f>
        <v>2050</v>
      </c>
      <c r="T139" s="37" t="str">
        <f>Table12[[#This Row],[(Mt CO2 equivalent)]]</f>
        <v>Mexico</v>
      </c>
      <c r="U139" s="8">
        <f>VLOOKUP($G139,'NZT data'!$B$3:$F$200,4,FALSE)</f>
        <v>2110</v>
      </c>
      <c r="V139" s="32">
        <f>VLOOKUP($G139,'NZT data'!$B$3:$F$200,5,FALSE)</f>
        <v>2125</v>
      </c>
      <c r="W139" s="32">
        <f>-IF('LUC NGHGI'!EC129="",MIN('LUC NGHGI'!DW129,0.1),MIN('LUC NGHGI'!EC129,0.1))</f>
        <v>261.5332084772017</v>
      </c>
      <c r="X139" s="32">
        <f>'LUC NGHGI'!EC129</f>
        <v>-261.5332084772017</v>
      </c>
      <c r="Y139" s="32">
        <f>'LUC NGHGI'!DY129</f>
        <v>-261.5332084772017</v>
      </c>
      <c r="Z139" s="32">
        <f>'LUC NGHGI'!DZ129</f>
        <v>-269.96094793636439</v>
      </c>
      <c r="AA139" s="32">
        <f>Table12[[#This Row],[2021 emissions]]</f>
        <v>491.96987281520001</v>
      </c>
      <c r="AB139" s="32">
        <f>'LUC NGHGI'!DW129</f>
        <v>-269.96094793636439</v>
      </c>
      <c r="AC139" s="32">
        <f>IF(F139="incl",Table12[[#This Row],[GHG emissions incl LULUCF]]-Table12[[#This Row],[LULUCF emis-sions in 20213]],Table12[[#This Row],[GHG emissions incl LULUCF]])</f>
        <v>761.9308207515644</v>
      </c>
      <c r="AD139" s="32">
        <f>'input site'!BS139</f>
        <v>423.42324717699211</v>
      </c>
      <c r="AE139" s="32">
        <f>'LUC NGHGI'!EH129</f>
        <v>-265.04369359999998</v>
      </c>
      <c r="AF139" s="32">
        <f>IF(F139="incl",Table12[[#This Row],[Current Policies 2030 incl LULUCF]]-Table12[[#This Row],[LULUCF CurPol 2030]],Table12[[#This Row],[Current Policies 2030 incl LULUCF]])</f>
        <v>688.46694077699203</v>
      </c>
      <c r="AG139" s="32" t="str">
        <f>IF(Table12[[#This Row],[Net-zero target status]]&lt;=1,"",IF(Table12[[#This Row],[NZ GHG year]]="","",1000000000*(Table12[[#This Row],[residual LULUCF emissions in 2050]]-Table12[[#This Row],[GHG emissions excl LULUCF]])/(Table12[[#This Row],[NZ GHG year]]-2021)/Table12[[#This Row],[Population]]))</f>
        <v/>
      </c>
      <c r="AH139" s="32" t="str">
        <f>IF(Table12[[#This Row],[Peak revised]]="Yes",IF(Table12[[#This Row],[Net-zero target status]]&lt;=1,"",IF(Table12[[#This Row],[NZ GHG year]]="","",1000000000*(Table12[[#This Row],[residual LULUCF emissions in 2050]]-Table12[[#This Row],[GHG emissions excl LULUCF]])/(Table12[[#This Row],[NZ GHG year]]-2021)/Table12[[#This Row],[Population]])),"")</f>
        <v/>
      </c>
      <c r="AI139" s="32">
        <f>MAX(0,(1000000*(Table12[[#This Row],[Current Policies 2030 excl LULUCF]]/2+Table12[[#This Row],[GHG emissions excl LULUCF]]/2)/Table12[[#This Row],[Population]]-$AI$8)*10)*$AI$10</f>
        <v>0</v>
      </c>
      <c r="AJ13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39" s="32" t="str">
        <f>IF(Table12[[#This Row],[Formule no Peak (2)]]="","",Table12[[#This Row],[Penalty (1)]]+Table12[[#This Row],[Formule no Peak (2)]])</f>
        <v/>
      </c>
      <c r="AL139" s="313">
        <f>(Table12[[#This Row],[Current Policies 2030 excl LULUCF]]-Table12[[#This Row],[GHG emissions excl LULUCF]])/(2030-2021)/Table12[[#This Row],[GHG emissions excl LULUCF]]</f>
        <v>-1.0713116083762624E-2</v>
      </c>
      <c r="AM139" s="313" t="str">
        <f>IF(Table12[[#This Row],[Net-zero target status]]&lt;=1,"",IF(Table12[[#This Row],[NZ GHG year]]="","",(Table12[[#This Row],[residual LULUCF emissions in 2050]]-Table12[[#This Row],[Current Policies 2030 excl LULUCF]])/(Table12[[#This Row],[NZ GHG year]]-2030)/Table12[[#This Row],[Current Policies 2030 excl LULUCF]]))</f>
        <v/>
      </c>
      <c r="AN139" s="313" t="str">
        <f>IF(Table12[[#This Row],[Net-zero target status]]&lt;=1,"",IF(Table12[[#This Row],[NZ GHG year]]="","",(Table12[[#This Row],[residual LULUCF emissions in 2050]]-Table12[[#This Row],[GHG emissions excl LULUCF]])/(Table12[[#This Row],[NZ GHG year]]-2021)/Table12[[#This Row],[GHG emissions excl LULUCF]]))</f>
        <v/>
      </c>
      <c r="AO139" s="313" t="str">
        <f>IF(Table12[[#This Row],[Net-zero target status]]&lt;=1,"",IF(Table12[[#This Row],[NZ GHG year]]="","",(Table12[[#This Row],[residual LULUCF emissions in 2050]]-Table12[[#This Row],[2030 conditional NDCs]])/(Table12[[#This Row],[NZ GHG year]]-2030)/Table12[[#This Row],[2030 conditional NDCs]]))</f>
        <v/>
      </c>
      <c r="AP139" s="96">
        <f>MAX('input site'!AH139:AS139)</f>
        <v>593.19659219080006</v>
      </c>
      <c r="AQ139" s="95" t="str">
        <f>IF(Table12[[#This Row],[Current Policies 2030 incl LULUCF]]&gt;Table12[[#This Row],[Maximum inventory data]],"No","Yes")</f>
        <v>Yes</v>
      </c>
      <c r="AR139" s="34" t="str">
        <f>IF(Table12[[#This Row],[Net-zero target status]]&gt;=1.5,Table12[[#This Row],[residual LULUCF emissions in 2050]]/Table12[[#This Row],[GHG emissions excl LULUCF]],"")</f>
        <v/>
      </c>
      <c r="AS139" s="86">
        <f>'input site'!BE139</f>
        <v>661.58463308794182</v>
      </c>
      <c r="AT139" s="86">
        <f>'input site'!BF139</f>
        <v>661.58463308794182</v>
      </c>
      <c r="AU139" s="86">
        <f>'input site'!BG139</f>
        <v>567.07254264680728</v>
      </c>
      <c r="AV139" s="87">
        <f>'input site'!BH139</f>
        <v>567.07254264680728</v>
      </c>
      <c r="AW139" s="74">
        <f>IF(Table12[[#This Row],[2030 unconditional NDCs]]="","",IF(F139="incl",Table12[[#This Row],[2030 unconditional NDCs]]-Table12[[#This Row],[LULUCF NDC uncond]],Table12[[#This Row],[2030 unconditional NDCs]]))</f>
        <v>923.11784156514352</v>
      </c>
      <c r="AX139" s="74">
        <f>IF(Table12[[#This Row],[2030 unconditional NDCs2]]="","",IF(F139="incl",Table12[[#This Row],[2030 unconditional NDCs2]]-Table12[[#This Row],[LULUCF NDC uncond]],Table12[[#This Row],[2030 unconditional NDCs2]]))</f>
        <v>923.11784156514352</v>
      </c>
      <c r="AY139" s="74">
        <f>IF(Table12[[#This Row],[2030 conditional NDCs]]="","",IF(F139="incl",Table12[[#This Row],[2030 conditional NDCs]]-Table12[[#This Row],[LULUCF NDC cond]],Table12[[#This Row],[2030 conditional NDCs]]))</f>
        <v>837.03349058317167</v>
      </c>
      <c r="AZ139" s="74">
        <f>IF(Table12[[#This Row],[2030 conditional NDCs2]]="","",IF(F139="incl",Table12[[#This Row],[2030 conditional NDCs2]]-Table12[[#This Row],[LULUCF NDC cond]],Table12[[#This Row],[2030 conditional NDCs2]]))</f>
        <v>837.03349058317167</v>
      </c>
      <c r="BA139" s="8">
        <f>VLOOKUP($G139,'Population90 20'!$C$6:$AU$231,37,FALSE)</f>
        <v>131562772</v>
      </c>
      <c r="BB139" s="8">
        <f>VLOOKUP($G139,'Overview GDP (PPP)'!$C$6:$AI$231,33,FALSE)</f>
        <v>2284293545.4781671</v>
      </c>
      <c r="BC139" s="36">
        <f>Table12[[#This Row],[Income]]/Table12[[#This Row],[Population]]</f>
        <v>17.362765399000313</v>
      </c>
      <c r="BD139" s="36">
        <f>Table12[[#This Row],[GHG emissions excl LULUCF]]*1000000/Table12[[#This Row],[Population]]</f>
        <v>5.7913861890319884</v>
      </c>
      <c r="BE139" s="23" t="str">
        <f>VLOOKUP($G139,EGR2023_MASTER!$B$4:$S$38,14,FALSE)</f>
        <v>No NZT</v>
      </c>
      <c r="BF139" s="23" t="str">
        <f>VLOOKUP($G139,EGR2023_MASTER!$B$4:$S$38,15,FALSE)</f>
        <v>None</v>
      </c>
      <c r="BG139" s="23" t="str">
        <f>VLOOKUP($G139,EGR2023_MASTER!$B$4:$S$38,16,FALSE)</f>
        <v>n</v>
      </c>
      <c r="BH139" s="23" t="str">
        <f t="shared" si="19"/>
        <v>much lower</v>
      </c>
      <c r="BI139" s="23" t="str">
        <f t="shared" si="20"/>
        <v>weak</v>
      </c>
      <c r="BJ139" s="552">
        <f>(Table12[[#This Row],[Current Policies 2030 excl LULUCF]]/Table12[[#This Row],[GHG emissions excl LULUCF]])^(1/(2030-2021))-1</f>
        <v>-1.120216809833896E-2</v>
      </c>
      <c r="BK139" s="552" t="str">
        <f>IF(Table12[[#This Row],[Net-zero target status]]&lt;=1,"",IF(Table12[[#This Row],[NZ GHG year]]="","",((MAX(Table12[[#This Row],[residual LULUCF emissions in 2050]],0.1)/Table12[[#This Row],[Current Policies 2030 excl LULUCF]])^(1/(Table12[[#This Row],[NZ GHG year]]-2021))-1)))</f>
        <v/>
      </c>
      <c r="BL139" s="552" t="str">
        <f>IF(Table12[[#This Row],[Net-zero target status]]&lt;=1,"",IF(Table12[[#This Row],[NZ GHG year]]="","",((MAX(Table12[[#This Row],[residual LULUCF emissions in 2050]],0.1)/Table12[[#This Row],[GHG emissions excl LULUCF]])^(1/(Table12[[#This Row],[NZ GHG year]]-2021))-1)))</f>
        <v/>
      </c>
      <c r="BM139" s="552" t="str">
        <f>IF(Table12[[#This Row],[Net-zero target status]]&lt;=1,"",IF(Table12[[#This Row],[NZ GHG year]]="","",((MAX(Table12[[#This Row],[residual LULUCF emissions in 2050]],0.1)/AVERAGE(Table12[[#This Row],[2030 conditional NDCs]:[2030 conditional NDCs2]]))^(1/(Table12[[#This Row],[NZ GHG year]]-2021))-1)))</f>
        <v/>
      </c>
      <c r="BN139" s="23"/>
      <c r="BO139" s="23"/>
      <c r="BP139" s="23"/>
      <c r="BQ139" s="23"/>
      <c r="BR139" s="50" t="s">
        <v>307</v>
      </c>
      <c r="BT139" s="30" t="str">
        <f>IF(Table12[[#This Row],[Reduction rate 2021 to NZ target2]]="","",J139*(1+AN139)^(Table12[[#This Row],[NZ GHG year]]-2021))</f>
        <v/>
      </c>
    </row>
    <row r="140" spans="1:72" ht="15" x14ac:dyDescent="0.25">
      <c r="A140">
        <v>0</v>
      </c>
      <c r="B140">
        <v>0</v>
      </c>
      <c r="C140">
        <v>583</v>
      </c>
      <c r="D140">
        <v>149</v>
      </c>
      <c r="E140">
        <v>24</v>
      </c>
      <c r="F140" t="str">
        <f>'input site'!M140</f>
        <v>excl</v>
      </c>
      <c r="G140" s="31" t="s">
        <v>308</v>
      </c>
      <c r="H140" s="1" t="s">
        <v>309</v>
      </c>
      <c r="I140" s="8">
        <f>VLOOKUP($G140,'NZT data'!$B$3:$C$200,2,FALSE)</f>
        <v>2</v>
      </c>
      <c r="J140" s="32">
        <f>'input site'!AS140</f>
        <v>0.23633991000000001</v>
      </c>
      <c r="K140" s="32">
        <f>'input site'!BS140</f>
        <v>0.24776189408640889</v>
      </c>
      <c r="L140" s="32">
        <f t="shared" si="21"/>
        <v>0</v>
      </c>
      <c r="M140" s="32">
        <f t="shared" si="22"/>
        <v>0</v>
      </c>
      <c r="N140" s="32">
        <f>'input site'!EV140</f>
        <v>8.5230979273731758E-2</v>
      </c>
      <c r="O140" s="8"/>
      <c r="P140" s="36"/>
      <c r="Q140" s="32">
        <f t="shared" si="23"/>
        <v>0</v>
      </c>
      <c r="R140" s="32">
        <f>'input site'!EZ140</f>
        <v>3.686782609325142E-2</v>
      </c>
      <c r="S140" s="37">
        <f>'input site'!FA140</f>
        <v>2050</v>
      </c>
      <c r="T140" s="37" t="str">
        <f>Table12[[#This Row],[(Mt CO2 equivalent)]]</f>
        <v>Micronesia (Federated States)</v>
      </c>
      <c r="U140" s="8">
        <f>VLOOKUP($G140,'NZT data'!$B$3:$F$200,4,FALSE)</f>
        <v>2050</v>
      </c>
      <c r="V140" s="32">
        <f>VLOOKUP($G140,'NZT data'!$B$3:$F$200,5,FALSE)</f>
        <v>2065</v>
      </c>
      <c r="W140" s="32">
        <f>-IF('LUC NGHGI'!EC130="",MIN('LUC NGHGI'!DW130,0.1),MIN('LUC NGHGI'!EC130,0.1))</f>
        <v>0.56799999999999995</v>
      </c>
      <c r="X140" s="32">
        <f>'LUC NGHGI'!EC130</f>
        <v>-0.56799999999999995</v>
      </c>
      <c r="Y140" s="32">
        <f>'LUC NGHGI'!DY130</f>
        <v>-0.56799999999999995</v>
      </c>
      <c r="Z140" s="32">
        <f>'LUC NGHGI'!DZ130</f>
        <v>-0.56799999999999995</v>
      </c>
      <c r="AA140" s="32">
        <f>Table12[[#This Row],[2021 emissions]]</f>
        <v>0.23633991000000001</v>
      </c>
      <c r="AB140" s="32">
        <f>'LUC NGHGI'!DW130</f>
        <v>-0.56799999999999995</v>
      </c>
      <c r="AC140" s="32">
        <f>IF(F140="incl",Table12[[#This Row],[GHG emissions incl LULUCF]]-Table12[[#This Row],[LULUCF emis-sions in 20213]],Table12[[#This Row],[GHG emissions incl LULUCF]])</f>
        <v>0.23633991000000001</v>
      </c>
      <c r="AD140" s="32">
        <f>'input site'!BS140</f>
        <v>0.24776189408640889</v>
      </c>
      <c r="AE140" s="32">
        <f>'LUC NGHGI'!EH130</f>
        <v>-0.52999759686037162</v>
      </c>
      <c r="AF140" s="32">
        <f>IF(F140="incl",Table12[[#This Row],[Current Policies 2030 incl LULUCF]]-Table12[[#This Row],[LULUCF CurPol 2030]],Table12[[#This Row],[Current Policies 2030 incl LULUCF]])</f>
        <v>0.24776189408640889</v>
      </c>
      <c r="AG140" s="32">
        <f>IF(Table12[[#This Row],[Net-zero target status]]&lt;=1,"",IF(Table12[[#This Row],[NZ GHG year]]="","",1000000000*(Table12[[#This Row],[residual LULUCF emissions in 2050]]-Table12[[#This Row],[GHG emissions excl LULUCF]])/(Table12[[#This Row],[NZ GHG year]]-2021)/Table12[[#This Row],[Population]]))</f>
        <v>64.156893991623193</v>
      </c>
      <c r="AH140" s="32" t="str">
        <f>IF(Table12[[#This Row],[Peak revised]]="Yes",IF(Table12[[#This Row],[Net-zero target status]]&lt;=1,"",IF(Table12[[#This Row],[NZ GHG year]]="","",1000000000*(Table12[[#This Row],[residual LULUCF emissions in 2050]]-Table12[[#This Row],[GHG emissions excl LULUCF]])/(Table12[[#This Row],[NZ GHG year]]-2021)/Table12[[#This Row],[Population]])),"")</f>
        <v/>
      </c>
      <c r="AI140" s="32">
        <f>MAX(0,(1000000*(Table12[[#This Row],[Current Policies 2030 excl LULUCF]]/2+Table12[[#This Row],[GHG emissions excl LULUCF]]/2)/Table12[[#This Row],[Population]]-$AI$8)*10)*$AI$10</f>
        <v>0</v>
      </c>
      <c r="AJ140" s="32">
        <f>IF(Table12[[#This Row],[Peak revised]]="No",IF(Table12[[#This Row],[Net-zero target status]]&lt;=1,"",IF(Table12[[#This Row],[NZ GHG year]]="","",1000000000*(Table12[[#This Row],[residual LULUCF emissions in 2050]]-Table12[[#This Row],[Current Policies 2030 excl LULUCF]])/(Table12[[#This Row],[NZ GHG year]]-2021)/Table12[[#This Row],[Population]])),"")</f>
        <v>61.947405891304143</v>
      </c>
      <c r="AK140" s="32">
        <f>IF(Table12[[#This Row],[Formule no Peak (2)]]="","",Table12[[#This Row],[Penalty (1)]]+Table12[[#This Row],[Formule no Peak (2)]])</f>
        <v>61.947405891304143</v>
      </c>
      <c r="AL140" s="313">
        <f>(Table12[[#This Row],[Current Policies 2030 excl LULUCF]]-Table12[[#This Row],[GHG emissions excl LULUCF]])/(2030-2021)/Table12[[#This Row],[GHG emissions excl LULUCF]]</f>
        <v>5.3698477880198886E-3</v>
      </c>
      <c r="AM140" s="313">
        <f>IF(Table12[[#This Row],[Net-zero target status]]&lt;=1,"",IF(Table12[[#This Row],[NZ GHG year]]="","",(Table12[[#This Row],[residual LULUCF emissions in 2050]]-Table12[[#This Row],[Current Policies 2030 excl LULUCF]])/(Table12[[#This Row],[NZ GHG year]]-2030)/Table12[[#This Row],[Current Policies 2030 excl LULUCF]]))</f>
        <v>3.6929246939679632E-2</v>
      </c>
      <c r="AN140" s="313">
        <f>IF(Table12[[#This Row],[Net-zero target status]]&lt;=1,"",IF(Table12[[#This Row],[NZ GHG year]]="","",(Table12[[#This Row],[residual LULUCF emissions in 2050]]-Table12[[#This Row],[GHG emissions excl LULUCF]])/(Table12[[#This Row],[NZ GHG year]]-2021)/Table12[[#This Row],[GHG emissions excl LULUCF]]))</f>
        <v>3.1893594772807593E-2</v>
      </c>
      <c r="AO140" s="313">
        <f>IF(Table12[[#This Row],[Net-zero target status]]&lt;=1,"",IF(Table12[[#This Row],[NZ GHG year]]="","",(Table12[[#This Row],[residual LULUCF emissions in 2050]]-Table12[[#This Row],[2030 conditional NDCs]])/(Table12[[#This Row],[NZ GHG year]]-2030)/Table12[[#This Row],[2030 conditional NDCs]]))</f>
        <v>0.13787545787545785</v>
      </c>
      <c r="AP140" s="96">
        <f>MAX('input site'!AH140:AS140)</f>
        <v>0.23633991000000001</v>
      </c>
      <c r="AQ140" s="95" t="str">
        <f>IF(Table12[[#This Row],[Current Policies 2030 incl LULUCF]]&gt;Table12[[#This Row],[Maximum inventory data]],"No","Yes")</f>
        <v>No</v>
      </c>
      <c r="AR140" s="34">
        <f>IF(Table12[[#This Row],[Net-zero target status]]&gt;=1.5,Table12[[#This Row],[residual LULUCF emissions in 2050]]/Table12[[#This Row],[GHG emissions excl LULUCF]],"")</f>
        <v>2.403318170003534</v>
      </c>
      <c r="AS140" s="74">
        <f>'input site'!BE140</f>
        <v>0.108</v>
      </c>
      <c r="AT140" s="74">
        <f>'input site'!BF140</f>
        <v>0.108</v>
      </c>
      <c r="AU140" s="74">
        <f>'input site'!BG140</f>
        <v>9.7500000000000003E-2</v>
      </c>
      <c r="AV140" s="75">
        <f>'input site'!BH140</f>
        <v>9.7500000000000003E-2</v>
      </c>
      <c r="AW140" s="74">
        <f>IF(Table12[[#This Row],[2030 unconditional NDCs]]="","",IF(F140="incl",Table12[[#This Row],[2030 unconditional NDCs]]-Table12[[#This Row],[LULUCF NDC uncond]],Table12[[#This Row],[2030 unconditional NDCs]]))</f>
        <v>0.108</v>
      </c>
      <c r="AX140" s="74">
        <f>IF(Table12[[#This Row],[2030 unconditional NDCs2]]="","",IF(F140="incl",Table12[[#This Row],[2030 unconditional NDCs2]]-Table12[[#This Row],[LULUCF NDC uncond]],Table12[[#This Row],[2030 unconditional NDCs2]]))</f>
        <v>0.108</v>
      </c>
      <c r="AY140" s="74">
        <f>IF(Table12[[#This Row],[2030 conditional NDCs]]="","",IF(F140="incl",Table12[[#This Row],[2030 conditional NDCs]]-Table12[[#This Row],[LULUCF NDC cond]],Table12[[#This Row],[2030 conditional NDCs]]))</f>
        <v>9.7500000000000003E-2</v>
      </c>
      <c r="AZ140" s="74">
        <f>IF(Table12[[#This Row],[2030 conditional NDCs2]]="","",IF(F140="incl",Table12[[#This Row],[2030 conditional NDCs2]]-Table12[[#This Row],[LULUCF NDC cond]],Table12[[#This Row],[2030 conditional NDCs2]]))</f>
        <v>9.7500000000000003E-2</v>
      </c>
      <c r="BA140" s="8">
        <f>VLOOKUP($G140,'Population90 20'!$C$6:$AU$231,37,FALSE)</f>
        <v>117489</v>
      </c>
      <c r="BB140" s="8">
        <f>VLOOKUP($G140,'Overview GDP (PPP)'!$C$6:$AI$231,33,FALSE)</f>
        <v>359998.59469044709</v>
      </c>
      <c r="BC140" s="36">
        <f>Table12[[#This Row],[Income]]/Table12[[#This Row],[Population]]</f>
        <v>3.0641046795057161</v>
      </c>
      <c r="BD140" s="36">
        <f>Table12[[#This Row],[GHG emissions excl LULUCF]]*1000000/Table12[[#This Row],[Population]]</f>
        <v>2.0115918085948472</v>
      </c>
      <c r="BE140" s="23" t="e">
        <f>VLOOKUP($G140,EGR2023_MASTER!$B$4:$S$38,14,FALSE)</f>
        <v>#N/A</v>
      </c>
      <c r="BF140" s="23" t="e">
        <f>VLOOKUP($G140,EGR2023_MASTER!$B$4:$S$38,15,FALSE)</f>
        <v>#N/A</v>
      </c>
      <c r="BG140" s="23" t="e">
        <f>VLOOKUP($G140,EGR2023_MASTER!$B$4:$S$38,16,FALSE)</f>
        <v>#N/A</v>
      </c>
      <c r="BH140" s="23" t="e">
        <f t="shared" ref="BH140:BH203" si="24">IF(AND(BE140="Y",AND(BF140="credible",BG140="Y")),"higher",IF(BG140="Y","lower",IF(AND(BG140="N",OR(BE140="Y",BF140="credible")),"lower","much lower")))</f>
        <v>#N/A</v>
      </c>
      <c r="BI140" s="23" t="e">
        <f t="shared" ref="BI140:BI203" si="25">IF(AND($BF140="credible",BG140="Y"),"stronger","weak")</f>
        <v>#N/A</v>
      </c>
      <c r="BJ140" s="552">
        <f>(Table12[[#This Row],[Current Policies 2030 excl LULUCF]]/Table12[[#This Row],[GHG emissions excl LULUCF]])^(1/(2030-2021))-1</f>
        <v>5.2578983828655002E-3</v>
      </c>
      <c r="BK140" s="552">
        <f>IF(Table12[[#This Row],[Net-zero target status]]&lt;=1,"",IF(Table12[[#This Row],[NZ GHG year]]="","",((MAX(Table12[[#This Row],[residual LULUCF emissions in 2050]],0.1)/Table12[[#This Row],[Current Policies 2030 excl LULUCF]])^(1/(Table12[[#This Row],[NZ GHG year]]-2021))-1)))</f>
        <v>1.9034647785338477E-2</v>
      </c>
      <c r="BL140" s="552">
        <f>IF(Table12[[#This Row],[Net-zero target status]]&lt;=1,"",IF(Table12[[#This Row],[NZ GHG year]]="","",((MAX(Table12[[#This Row],[residual LULUCF emissions in 2050]],0.1)/Table12[[#This Row],[GHG emissions excl LULUCF]])^(1/(Table12[[#This Row],[NZ GHG year]]-2021))-1)))</f>
        <v>2.0128313691279098E-2</v>
      </c>
      <c r="BM140" s="552">
        <f>IF(Table12[[#This Row],[Net-zero target status]]&lt;=1,"",IF(Table12[[#This Row],[NZ GHG year]]="","",((MAX(Table12[[#This Row],[residual LULUCF emissions in 2050]],0.1)/AVERAGE(Table12[[#This Row],[2030 conditional NDCs]:[2030 conditional NDCs2]]))^(1/(Table12[[#This Row],[NZ GHG year]]-2021))-1)))</f>
        <v>4.08644492587662E-2</v>
      </c>
      <c r="BN140" s="23"/>
      <c r="BO140" s="23"/>
      <c r="BP140" s="23"/>
      <c r="BQ140" s="23"/>
      <c r="BR140" s="50" t="s">
        <v>309</v>
      </c>
      <c r="BT140" s="30">
        <f>IF(Table12[[#This Row],[Reduction rate 2021 to NZ target2]]="","",J140*(1+AN140)^(Table12[[#This Row],[NZ GHG year]]-2021))</f>
        <v>0.94074820850791685</v>
      </c>
    </row>
    <row r="141" spans="1:72" ht="15" x14ac:dyDescent="0.25">
      <c r="A141">
        <v>0</v>
      </c>
      <c r="B141">
        <v>0</v>
      </c>
      <c r="C141">
        <v>498</v>
      </c>
      <c r="D141">
        <v>129</v>
      </c>
      <c r="E141">
        <v>14</v>
      </c>
      <c r="F141" t="str">
        <f>'input site'!M141</f>
        <v>incl</v>
      </c>
      <c r="G141" s="31" t="s">
        <v>310</v>
      </c>
      <c r="H141" s="1" t="s">
        <v>311</v>
      </c>
      <c r="I141" s="8">
        <f>VLOOKUP($G141,'NZT data'!$B$3:$C$200,2,FALSE)</f>
        <v>0</v>
      </c>
      <c r="J141" s="32">
        <f>'input site'!AS141</f>
        <v>13.833572838709664</v>
      </c>
      <c r="K141" s="32">
        <f>'input site'!BS141</f>
        <v>15.94975002530029</v>
      </c>
      <c r="L141" s="32">
        <f t="shared" ref="L141:L204" si="26">IF(I141&gt;=1,O141,K141)</f>
        <v>15.94975002530029</v>
      </c>
      <c r="M141" s="32">
        <f t="shared" ref="M141:M204" si="27">IF(I141&gt;=1,O141,N141)</f>
        <v>1.9011328921833346</v>
      </c>
      <c r="N141" s="32">
        <f>'input site'!EV141</f>
        <v>1.9011328921833346</v>
      </c>
      <c r="O141" s="8"/>
      <c r="P141" s="8"/>
      <c r="Q141" s="32">
        <f t="shared" si="23"/>
        <v>-2.2790721370525353</v>
      </c>
      <c r="R141" s="32">
        <f>'input site'!EZ141</f>
        <v>-2.2790721370525353</v>
      </c>
      <c r="S141" s="37">
        <f>'input site'!FA141</f>
        <v>0</v>
      </c>
      <c r="T141" s="37" t="str">
        <f>Table12[[#This Row],[(Mt CO2 equivalent)]]</f>
        <v>Moldova</v>
      </c>
      <c r="U141" s="8">
        <f>VLOOKUP($G141,'NZT data'!$B$3:$F$200,4,FALSE)</f>
        <v>2110</v>
      </c>
      <c r="V141" s="32" t="str">
        <f>VLOOKUP($G141,'NZT data'!$B$3:$F$200,5,FALSE)</f>
        <v/>
      </c>
      <c r="W141" s="32">
        <f>-IF('LUC NGHGI'!EC131="",MIN('LUC NGHGI'!DW131,0.1),MIN('LUC NGHGI'!EC131,0.1))</f>
        <v>3.5000000000000001E-3</v>
      </c>
      <c r="X141" s="32">
        <f>'LUC NGHGI'!EC131</f>
        <v>-3.5000000000000001E-3</v>
      </c>
      <c r="Y141" s="32">
        <f>'LUC NGHGI'!DY131</f>
        <v>-6</v>
      </c>
      <c r="Z141" s="32">
        <f>'LUC NGHGI'!DZ131</f>
        <v>-6</v>
      </c>
      <c r="AA141" s="32">
        <f>Table12[[#This Row],[2021 emissions]]</f>
        <v>13.833572838709664</v>
      </c>
      <c r="AB141" s="32">
        <f>'LUC NGHGI'!DW131</f>
        <v>-0.56162516129033691</v>
      </c>
      <c r="AC141" s="32">
        <f>IF(F141="incl",Table12[[#This Row],[GHG emissions incl LULUCF]]-Table12[[#This Row],[LULUCF emis-sions in 20213]],Table12[[#This Row],[GHG emissions incl LULUCF]])</f>
        <v>14.395198000000001</v>
      </c>
      <c r="AD141" s="32">
        <f>'input site'!BS141</f>
        <v>15.94975002530029</v>
      </c>
      <c r="AE141" s="32">
        <f>'LUC NGHGI'!EH131</f>
        <v>-4.6623821612392933E-3</v>
      </c>
      <c r="AF141" s="32">
        <f>IF(F141="incl",Table12[[#This Row],[Current Policies 2030 incl LULUCF]]-Table12[[#This Row],[LULUCF CurPol 2030]],Table12[[#This Row],[Current Policies 2030 incl LULUCF]])</f>
        <v>15.954412407461529</v>
      </c>
      <c r="AG141" s="32" t="str">
        <f>IF(Table12[[#This Row],[Net-zero target status]]&lt;=1,"",IF(Table12[[#This Row],[NZ GHG year]]="","",1000000000*(Table12[[#This Row],[residual LULUCF emissions in 2050]]-Table12[[#This Row],[GHG emissions excl LULUCF]])/(Table12[[#This Row],[NZ GHG year]]-2021)/Table12[[#This Row],[Population]]))</f>
        <v/>
      </c>
      <c r="AH141" s="32" t="str">
        <f>IF(Table12[[#This Row],[Peak revised]]="Yes",IF(Table12[[#This Row],[Net-zero target status]]&lt;=1,"",IF(Table12[[#This Row],[NZ GHG year]]="","",1000000000*(Table12[[#This Row],[residual LULUCF emissions in 2050]]-Table12[[#This Row],[GHG emissions excl LULUCF]])/(Table12[[#This Row],[NZ GHG year]]-2021)/Table12[[#This Row],[Population]])),"")</f>
        <v/>
      </c>
      <c r="AI141" s="32">
        <f>MAX(0,(1000000*(Table12[[#This Row],[Current Policies 2030 excl LULUCF]]/2+Table12[[#This Row],[GHG emissions excl LULUCF]]/2)/Table12[[#This Row],[Population]]-$AI$8)*10)*$AI$10</f>
        <v>0</v>
      </c>
      <c r="AJ14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1" s="32" t="str">
        <f>IF(Table12[[#This Row],[Formule no Peak (2)]]="","",Table12[[#This Row],[Penalty (1)]]+Table12[[#This Row],[Formule no Peak (2)]])</f>
        <v/>
      </c>
      <c r="AL141" s="313">
        <f>(Table12[[#This Row],[Current Policies 2030 excl LULUCF]]-Table12[[#This Row],[GHG emissions excl LULUCF]])/(2030-2021)/Table12[[#This Row],[GHG emissions excl LULUCF]]</f>
        <v>1.2034988700641919E-2</v>
      </c>
      <c r="AM141" s="313" t="str">
        <f>IF(Table12[[#This Row],[Net-zero target status]]&lt;=1,"",IF(Table12[[#This Row],[NZ GHG year]]="","",(Table12[[#This Row],[residual LULUCF emissions in 2050]]-Table12[[#This Row],[Current Policies 2030 excl LULUCF]])/(Table12[[#This Row],[NZ GHG year]]-2030)/Table12[[#This Row],[Current Policies 2030 excl LULUCF]]))</f>
        <v/>
      </c>
      <c r="AN141" s="313" t="str">
        <f>IF(Table12[[#This Row],[Net-zero target status]]&lt;=1,"",IF(Table12[[#This Row],[NZ GHG year]]="","",(Table12[[#This Row],[residual LULUCF emissions in 2050]]-Table12[[#This Row],[GHG emissions excl LULUCF]])/(Table12[[#This Row],[NZ GHG year]]-2021)/Table12[[#This Row],[GHG emissions excl LULUCF]]))</f>
        <v/>
      </c>
      <c r="AO141" s="313" t="str">
        <f>IF(Table12[[#This Row],[Net-zero target status]]&lt;=1,"",IF(Table12[[#This Row],[NZ GHG year]]="","",(Table12[[#This Row],[residual LULUCF emissions in 2050]]-Table12[[#This Row],[2030 conditional NDCs]])/(Table12[[#This Row],[NZ GHG year]]-2030)/Table12[[#This Row],[2030 conditional NDCs]]))</f>
        <v/>
      </c>
      <c r="AP141" s="96">
        <f>MAX('input site'!AH141:AS141)</f>
        <v>13.833572838709664</v>
      </c>
      <c r="AQ141" s="95" t="str">
        <f>IF(Table12[[#This Row],[Current Policies 2030 incl LULUCF]]&gt;Table12[[#This Row],[Maximum inventory data]],"No","Yes")</f>
        <v>No</v>
      </c>
      <c r="AR141" s="34" t="str">
        <f>IF(Table12[[#This Row],[Net-zero target status]]&gt;=1.5,Table12[[#This Row],[residual LULUCF emissions in 2050]]/Table12[[#This Row],[GHG emissions excl LULUCF]],"")</f>
        <v/>
      </c>
      <c r="AS141" s="76">
        <f>'input site'!BE141</f>
        <v>11.250000000000002</v>
      </c>
      <c r="AT141" s="76">
        <f>'input site'!BF141</f>
        <v>11.250000000000002</v>
      </c>
      <c r="AU141" s="76">
        <f>'input site'!BG141</f>
        <v>4.5</v>
      </c>
      <c r="AV141" s="77">
        <f>'input site'!BH141</f>
        <v>4.5</v>
      </c>
      <c r="AW141" s="74">
        <f>IF(Table12[[#This Row],[2030 unconditional NDCs]]="","",IF(F141="incl",Table12[[#This Row],[2030 unconditional NDCs]]-Table12[[#This Row],[LULUCF NDC uncond]],Table12[[#This Row],[2030 unconditional NDCs]]))</f>
        <v>17.25</v>
      </c>
      <c r="AX141" s="74">
        <f>IF(Table12[[#This Row],[2030 unconditional NDCs2]]="","",IF(F141="incl",Table12[[#This Row],[2030 unconditional NDCs2]]-Table12[[#This Row],[LULUCF NDC uncond]],Table12[[#This Row],[2030 unconditional NDCs2]]))</f>
        <v>17.25</v>
      </c>
      <c r="AY141" s="74">
        <f>IF(Table12[[#This Row],[2030 conditional NDCs]]="","",IF(F141="incl",Table12[[#This Row],[2030 conditional NDCs]]-Table12[[#This Row],[LULUCF NDC cond]],Table12[[#This Row],[2030 conditional NDCs]]))</f>
        <v>10.5</v>
      </c>
      <c r="AZ141" s="74">
        <f>IF(Table12[[#This Row],[2030 conditional NDCs2]]="","",IF(F141="incl",Table12[[#This Row],[2030 conditional NDCs2]]-Table12[[#This Row],[LULUCF NDC cond]],Table12[[#This Row],[2030 conditional NDCs2]]))</f>
        <v>10.5</v>
      </c>
      <c r="BA141" s="8">
        <f>VLOOKUP($G141,'Population90 20'!$C$6:$AU$231,37,FALSE)</f>
        <v>4013171</v>
      </c>
      <c r="BB141" s="8">
        <f>VLOOKUP($G141,'Overview GDP (PPP)'!$C$6:$AI$231,33,FALSE)</f>
        <v>23011860.918651838</v>
      </c>
      <c r="BC141" s="36">
        <f>Table12[[#This Row],[Income]]/Table12[[#This Row],[Population]]</f>
        <v>5.7340843235067327</v>
      </c>
      <c r="BD141" s="36">
        <f>Table12[[#This Row],[GHG emissions excl LULUCF]]*1000000/Table12[[#This Row],[Population]]</f>
        <v>3.5869884438016721</v>
      </c>
      <c r="BE141" s="23" t="e">
        <f>VLOOKUP($G141,EGR2023_MASTER!$B$4:$S$38,14,FALSE)</f>
        <v>#N/A</v>
      </c>
      <c r="BF141" s="23" t="e">
        <f>VLOOKUP($G141,EGR2023_MASTER!$B$4:$S$38,15,FALSE)</f>
        <v>#N/A</v>
      </c>
      <c r="BG141" s="23" t="e">
        <f>VLOOKUP($G141,EGR2023_MASTER!$B$4:$S$38,16,FALSE)</f>
        <v>#N/A</v>
      </c>
      <c r="BH141" s="23" t="e">
        <f t="shared" si="24"/>
        <v>#N/A</v>
      </c>
      <c r="BI141" s="23" t="e">
        <f t="shared" si="25"/>
        <v>#N/A</v>
      </c>
      <c r="BJ141" s="552">
        <f>(Table12[[#This Row],[Current Policies 2030 excl LULUCF]]/Table12[[#This Row],[GHG emissions excl LULUCF]])^(1/(2030-2021))-1</f>
        <v>1.1492284932624219E-2</v>
      </c>
      <c r="BK141" s="552" t="str">
        <f>IF(Table12[[#This Row],[Net-zero target status]]&lt;=1,"",IF(Table12[[#This Row],[NZ GHG year]]="","",((MAX(Table12[[#This Row],[residual LULUCF emissions in 2050]],0.1)/Table12[[#This Row],[Current Policies 2030 excl LULUCF]])^(1/(Table12[[#This Row],[NZ GHG year]]-2021))-1)))</f>
        <v/>
      </c>
      <c r="BL141" s="552" t="str">
        <f>IF(Table12[[#This Row],[Net-zero target status]]&lt;=1,"",IF(Table12[[#This Row],[NZ GHG year]]="","",((MAX(Table12[[#This Row],[residual LULUCF emissions in 2050]],0.1)/Table12[[#This Row],[GHG emissions excl LULUCF]])^(1/(Table12[[#This Row],[NZ GHG year]]-2021))-1)))</f>
        <v/>
      </c>
      <c r="BM141" s="552" t="str">
        <f>IF(Table12[[#This Row],[Net-zero target status]]&lt;=1,"",IF(Table12[[#This Row],[NZ GHG year]]="","",((MAX(Table12[[#This Row],[residual LULUCF emissions in 2050]],0.1)/AVERAGE(Table12[[#This Row],[2030 conditional NDCs]:[2030 conditional NDCs2]]))^(1/(Table12[[#This Row],[NZ GHG year]]-2021))-1)))</f>
        <v/>
      </c>
      <c r="BN141" s="23"/>
      <c r="BO141" s="23"/>
      <c r="BP141" s="23"/>
      <c r="BQ141" s="23"/>
      <c r="BR141" s="50" t="s">
        <v>311</v>
      </c>
      <c r="BT141" s="30" t="str">
        <f>IF(Table12[[#This Row],[Reduction rate 2021 to NZ target2]]="","",J141*(1+AN141)^(Table12[[#This Row],[NZ GHG year]]-2021))</f>
        <v/>
      </c>
    </row>
    <row r="142" spans="1:72" ht="15" x14ac:dyDescent="0.25">
      <c r="A142">
        <v>0</v>
      </c>
      <c r="B142">
        <v>0</v>
      </c>
      <c r="C142">
        <v>492</v>
      </c>
      <c r="D142">
        <v>127</v>
      </c>
      <c r="E142">
        <v>11</v>
      </c>
      <c r="F142" t="str">
        <f>'input site'!M142</f>
        <v>excl</v>
      </c>
      <c r="G142" s="31" t="s">
        <v>312</v>
      </c>
      <c r="H142" s="1" t="s">
        <v>313</v>
      </c>
      <c r="I142" s="8">
        <f>VLOOKUP($G142,'NZT data'!$B$3:$C$200,2,FALSE)</f>
        <v>3</v>
      </c>
      <c r="J142" s="32">
        <f>'input site'!AS142</f>
        <v>7.3632762000000004E-2</v>
      </c>
      <c r="K142" s="32">
        <f>'input site'!BS142</f>
        <v>4.1083363330513094E-2</v>
      </c>
      <c r="L142" s="32">
        <f t="shared" si="26"/>
        <v>0</v>
      </c>
      <c r="M142" s="32">
        <f t="shared" si="27"/>
        <v>0</v>
      </c>
      <c r="N142" s="32">
        <f>'input site'!EV142</f>
        <v>1.7694283440721881E-2</v>
      </c>
      <c r="O142" s="8">
        <v>0</v>
      </c>
      <c r="P142" s="36">
        <f>O142-N142</f>
        <v>-1.7694283440721881E-2</v>
      </c>
      <c r="Q142" s="32">
        <f t="shared" ref="Q142:Q205" si="28">IF(I142&gt;=1,O142,R142)</f>
        <v>0</v>
      </c>
      <c r="R142" s="32">
        <f>'input site'!EZ142</f>
        <v>9.7871311256806735E-3</v>
      </c>
      <c r="S142" s="37">
        <f>'input site'!FA142</f>
        <v>2050</v>
      </c>
      <c r="T142" s="37" t="str">
        <f>Table12[[#This Row],[(Mt CO2 equivalent)]]</f>
        <v>Monaco</v>
      </c>
      <c r="U142" s="8">
        <f>VLOOKUP($G142,'NZT data'!$B$3:$F$200,4,FALSE)</f>
        <v>2050</v>
      </c>
      <c r="V142" s="32">
        <f>VLOOKUP($G142,'NZT data'!$B$3:$F$200,5,FALSE)</f>
        <v>2050</v>
      </c>
      <c r="W142" s="32">
        <f>-IF('LUC NGHGI'!EC132="",MIN('LUC NGHGI'!DW132,0.1),MIN('LUC NGHGI'!EC132,0.1))</f>
        <v>6.7311174951220007E-2</v>
      </c>
      <c r="X142" s="32">
        <f>'LUC NGHGI'!EC132</f>
        <v>-6.7311174951220007E-2</v>
      </c>
      <c r="Y142" s="32">
        <f>'LUC NGHGI'!DY132</f>
        <v>-2.0000000000000002E-5</v>
      </c>
      <c r="Z142" s="32">
        <f>'LUC NGHGI'!DZ132</f>
        <v>-2.0000000000000002E-5</v>
      </c>
      <c r="AA142" s="32">
        <f>Table12[[#This Row],[2021 emissions]]</f>
        <v>7.3632762000000004E-2</v>
      </c>
      <c r="AB142" s="32">
        <f>'LUC NGHGI'!DW132</f>
        <v>-7.2830155686500003E-2</v>
      </c>
      <c r="AC142" s="32">
        <f>IF(F142="incl",Table12[[#This Row],[GHG emissions incl LULUCF]]-Table12[[#This Row],[LULUCF emis-sions in 20213]],Table12[[#This Row],[GHG emissions incl LULUCF]])</f>
        <v>7.3632762000000004E-2</v>
      </c>
      <c r="AD142" s="32">
        <f>'input site'!BS142</f>
        <v>4.1083363330513094E-2</v>
      </c>
      <c r="AE142" s="32">
        <f>'LUC NGHGI'!EH132</f>
        <v>-6.9699967300099877E-2</v>
      </c>
      <c r="AF142" s="32">
        <f>IF(F142="incl",Table12[[#This Row],[Current Policies 2030 incl LULUCF]]-Table12[[#This Row],[LULUCF CurPol 2030]],Table12[[#This Row],[Current Policies 2030 incl LULUCF]])</f>
        <v>4.1083363330513094E-2</v>
      </c>
      <c r="AG142" s="32"/>
      <c r="AH142" s="32" t="e">
        <f>IF(Table12[[#This Row],[Peak revised]]="Yes",IF(Table12[[#This Row],[Net-zero target status]]&lt;=1,"",IF(Table12[[#This Row],[NZ GHG year]]="","",1000000000*(Table12[[#This Row],[residual LULUCF emissions in 2050]]-Table12[[#This Row],[GHG emissions excl LULUCF]])/(Table12[[#This Row],[NZ GHG year]]-2021)/Table12[[#This Row],[Population]])),"")</f>
        <v>#DIV/0!</v>
      </c>
      <c r="AI142" s="32" t="e">
        <f>MAX(0,(1000000*(Table12[[#This Row],[Current Policies 2030 excl LULUCF]]/2+Table12[[#This Row],[GHG emissions excl LULUCF]]/2)/Table12[[#This Row],[Population]]-$AI$8)*10)*$AI$10</f>
        <v>#DIV/0!</v>
      </c>
      <c r="AJ14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2" s="32" t="str">
        <f>IF(Table12[[#This Row],[Formule no Peak (2)]]="","",Table12[[#This Row],[Penalty (1)]]+Table12[[#This Row],[Formule no Peak (2)]])</f>
        <v/>
      </c>
      <c r="AL142" s="313">
        <f>(Table12[[#This Row],[Current Policies 2030 excl LULUCF]]-Table12[[#This Row],[GHG emissions excl LULUCF]])/(2030-2021)/Table12[[#This Row],[GHG emissions excl LULUCF]]</f>
        <v>-4.9116721333435955E-2</v>
      </c>
      <c r="AM142" s="313">
        <f>IF(Table12[[#This Row],[Net-zero target status]]&lt;=1,"",IF(Table12[[#This Row],[NZ GHG year]]="","",(Table12[[#This Row],[residual LULUCF emissions in 2050]]-Table12[[#This Row],[Current Policies 2030 excl LULUCF]])/(Table12[[#This Row],[NZ GHG year]]-2030)/Table12[[#This Row],[Current Policies 2030 excl LULUCF]]))</f>
        <v>3.1920234243854144E-2</v>
      </c>
      <c r="AN142" s="313">
        <f>IF(Table12[[#This Row],[Net-zero target status]]&lt;=1,"",IF(Table12[[#This Row],[NZ GHG year]]="","",(Table12[[#This Row],[residual LULUCF emissions in 2050]]-Table12[[#This Row],[GHG emissions excl LULUCF]])/(Table12[[#This Row],[NZ GHG year]]-2021)/Table12[[#This Row],[GHG emissions excl LULUCF]]))</f>
        <v>-2.9604452472224052E-3</v>
      </c>
      <c r="AO142" s="313" t="e">
        <f>IF(Table12[[#This Row],[Net-zero target status]]&lt;=1,"",IF(Table12[[#This Row],[NZ GHG year]]="","",(Table12[[#This Row],[residual LULUCF emissions in 2050]]-Table12[[#This Row],[2030 conditional NDCs]])/(Table12[[#This Row],[NZ GHG year]]-2030)/Table12[[#This Row],[2030 conditional NDCs]]))</f>
        <v>#DIV/0!</v>
      </c>
      <c r="AP142" s="96">
        <f>MAX('input site'!AH142:AS142)</f>
        <v>9.1126657E-2</v>
      </c>
      <c r="AQ142" s="95" t="str">
        <f>IF(Table12[[#This Row],[Current Policies 2030 incl LULUCF]]&gt;Table12[[#This Row],[Maximum inventory data]],"No","Yes")</f>
        <v>Yes</v>
      </c>
      <c r="AR142" s="34">
        <f>IF(Table12[[#This Row],[Net-zero target status]]&gt;=1.5,Table12[[#This Row],[residual LULUCF emissions in 2050]]/Table12[[#This Row],[GHG emissions excl LULUCF]],"")</f>
        <v>0.91414708783055021</v>
      </c>
      <c r="AS142" s="74"/>
      <c r="AT142" s="74"/>
      <c r="AU142" s="74"/>
      <c r="AV142" s="75"/>
      <c r="AW142" s="74" t="str">
        <f>IF(Table12[[#This Row],[2030 unconditional NDCs]]="","",IF(F142="incl",Table12[[#This Row],[2030 unconditional NDCs]]-Table12[[#This Row],[LULUCF NDC uncond]],Table12[[#This Row],[2030 unconditional NDCs]]))</f>
        <v/>
      </c>
      <c r="AX142" s="74" t="str">
        <f>IF(Table12[[#This Row],[2030 unconditional NDCs2]]="","",IF(F142="incl",Table12[[#This Row],[2030 unconditional NDCs2]]-Table12[[#This Row],[LULUCF NDC uncond]],Table12[[#This Row],[2030 unconditional NDCs2]]))</f>
        <v/>
      </c>
      <c r="AY142" s="74" t="str">
        <f>IF(Table12[[#This Row],[2030 conditional NDCs]]="","",IF(F142="incl",Table12[[#This Row],[2030 conditional NDCs]]-Table12[[#This Row],[LULUCF NDC cond]],Table12[[#This Row],[2030 conditional NDCs]]))</f>
        <v/>
      </c>
      <c r="AZ142" s="74" t="str">
        <f>IF(Table12[[#This Row],[2030 conditional NDCs2]]="","",IF(F142="incl",Table12[[#This Row],[2030 conditional NDCs2]]-Table12[[#This Row],[LULUCF NDC cond]],Table12[[#This Row],[2030 conditional NDCs2]]))</f>
        <v/>
      </c>
      <c r="BA142" s="8"/>
      <c r="BB142" s="8"/>
      <c r="BC142" s="36"/>
      <c r="BD142" s="36" t="e">
        <f>Table12[[#This Row],[GHG emissions excl LULUCF]]*1000000/Table12[[#This Row],[Population]]</f>
        <v>#DIV/0!</v>
      </c>
      <c r="BE142" s="23" t="e">
        <f>VLOOKUP($G142,EGR2023_MASTER!$B$4:$S$38,14,FALSE)</f>
        <v>#N/A</v>
      </c>
      <c r="BF142" s="23" t="e">
        <f>VLOOKUP($G142,EGR2023_MASTER!$B$4:$S$38,15,FALSE)</f>
        <v>#N/A</v>
      </c>
      <c r="BG142" s="23" t="e">
        <f>VLOOKUP($G142,EGR2023_MASTER!$B$4:$S$38,16,FALSE)</f>
        <v>#N/A</v>
      </c>
      <c r="BH142" s="23" t="e">
        <f t="shared" si="24"/>
        <v>#N/A</v>
      </c>
      <c r="BI142" s="23" t="e">
        <f t="shared" si="25"/>
        <v>#N/A</v>
      </c>
      <c r="BJ142" s="552">
        <f>(Table12[[#This Row],[Current Policies 2030 excl LULUCF]]/Table12[[#This Row],[GHG emissions excl LULUCF]])^(1/(2030-2021))-1</f>
        <v>-6.2774971949692504E-2</v>
      </c>
      <c r="BK142" s="552">
        <f>IF(Table12[[#This Row],[Net-zero target status]]&lt;=1,"",IF(Table12[[#This Row],[NZ GHG year]]="","",((MAX(Table12[[#This Row],[residual LULUCF emissions in 2050]],0.1)/Table12[[#This Row],[Current Policies 2030 excl LULUCF]])^(1/(Table12[[#This Row],[NZ GHG year]]-2021))-1)))</f>
        <v>3.115003867913213E-2</v>
      </c>
      <c r="BL142" s="552">
        <f>IF(Table12[[#This Row],[Net-zero target status]]&lt;=1,"",IF(Table12[[#This Row],[NZ GHG year]]="","",((MAX(Table12[[#This Row],[residual LULUCF emissions in 2050]],0.1)/Table12[[#This Row],[GHG emissions excl LULUCF]])^(1/(Table12[[#This Row],[NZ GHG year]]-2021))-1)))</f>
        <v>1.0610382087664849E-2</v>
      </c>
      <c r="BM142" s="552" t="e">
        <f>IF(Table12[[#This Row],[Net-zero target status]]&lt;=1,"",IF(Table12[[#This Row],[NZ GHG year]]="","",((MAX(Table12[[#This Row],[residual LULUCF emissions in 2050]],0.1)/AVERAGE(Table12[[#This Row],[2030 conditional NDCs]:[2030 conditional NDCs2]]))^(1/(Table12[[#This Row],[NZ GHG year]]-2021))-1)))</f>
        <v>#DIV/0!</v>
      </c>
      <c r="BN142" s="23"/>
      <c r="BO142" s="23"/>
      <c r="BP142" s="23"/>
      <c r="BQ142" s="23"/>
      <c r="BR142" s="50" t="s">
        <v>313</v>
      </c>
      <c r="BT142" s="30">
        <f>IF(Table12[[#This Row],[Reduction rate 2021 to NZ target2]]="","",J142*(1+AN142)^(Table12[[#This Row],[NZ GHG year]]-2021))</f>
        <v>6.7566332402267171E-2</v>
      </c>
    </row>
    <row r="143" spans="1:72" ht="15" x14ac:dyDescent="0.25">
      <c r="A143">
        <v>0</v>
      </c>
      <c r="B143">
        <v>0</v>
      </c>
      <c r="C143">
        <v>496</v>
      </c>
      <c r="D143">
        <v>128</v>
      </c>
      <c r="E143">
        <v>20</v>
      </c>
      <c r="F143" t="str">
        <f>'input site'!M143</f>
        <v>excl</v>
      </c>
      <c r="G143" s="31" t="s">
        <v>314</v>
      </c>
      <c r="H143" s="1" t="s">
        <v>315</v>
      </c>
      <c r="I143" s="8">
        <f>VLOOKUP($G143,'NZT data'!$B$3:$C$200,2,FALSE)</f>
        <v>0</v>
      </c>
      <c r="J143" s="32">
        <f>'input site'!AS143</f>
        <v>49.997776000000002</v>
      </c>
      <c r="K143" s="32">
        <f>'input site'!BS143</f>
        <v>50.214923897136579</v>
      </c>
      <c r="L143" s="32">
        <f t="shared" si="26"/>
        <v>50.214923897136579</v>
      </c>
      <c r="M143" s="32">
        <f t="shared" si="27"/>
        <v>8.1094368605964515</v>
      </c>
      <c r="N143" s="32">
        <f>'input site'!EV143</f>
        <v>8.1094368605964515</v>
      </c>
      <c r="O143" s="8"/>
      <c r="P143" s="8"/>
      <c r="Q143" s="32">
        <f t="shared" si="28"/>
        <v>3.8149044816000779</v>
      </c>
      <c r="R143" s="32">
        <f>'input site'!EZ143</f>
        <v>3.8149044816000779</v>
      </c>
      <c r="S143" s="37">
        <f>'input site'!FA143</f>
        <v>0</v>
      </c>
      <c r="T143" s="37" t="str">
        <f>Table12[[#This Row],[(Mt CO2 equivalent)]]</f>
        <v>Mongolia</v>
      </c>
      <c r="U143" s="8">
        <f>VLOOKUP($G143,'NZT data'!$B$3:$F$200,4,FALSE)</f>
        <v>2110</v>
      </c>
      <c r="V143" s="32" t="str">
        <f>VLOOKUP($G143,'NZT data'!$B$3:$F$200,5,FALSE)</f>
        <v/>
      </c>
      <c r="W143" s="32">
        <f>-IF('LUC NGHGI'!EC133="",MIN('LUC NGHGI'!DW133,0.1),MIN('LUC NGHGI'!EC133,0.1))</f>
        <v>30.172519999999999</v>
      </c>
      <c r="X143" s="32">
        <f>'LUC NGHGI'!EC133</f>
        <v>-30.172519999999999</v>
      </c>
      <c r="Y143" s="32">
        <f>'LUC NGHGI'!DY133</f>
        <v>-30.172519999999999</v>
      </c>
      <c r="Z143" s="32">
        <f>'LUC NGHGI'!DZ133</f>
        <v>-13</v>
      </c>
      <c r="AA143" s="32">
        <f>Table12[[#This Row],[2021 emissions]]</f>
        <v>49.997776000000002</v>
      </c>
      <c r="AB143" s="32">
        <f>'LUC NGHGI'!DW133</f>
        <v>-29.713348516129038</v>
      </c>
      <c r="AC143" s="32">
        <f>IF(F143="incl",Table12[[#This Row],[GHG emissions incl LULUCF]]-Table12[[#This Row],[LULUCF emis-sions in 20213]],Table12[[#This Row],[GHG emissions incl LULUCF]])</f>
        <v>49.997776000000002</v>
      </c>
      <c r="AD143" s="32">
        <f>'input site'!BS143</f>
        <v>50.214923897136579</v>
      </c>
      <c r="AE143" s="32">
        <f>'LUC NGHGI'!EH133</f>
        <v>-49.274788268070992</v>
      </c>
      <c r="AF143" s="32">
        <f>IF(F143="incl",Table12[[#This Row],[Current Policies 2030 incl LULUCF]]-Table12[[#This Row],[LULUCF CurPol 2030]],Table12[[#This Row],[Current Policies 2030 incl LULUCF]])</f>
        <v>50.214923897136579</v>
      </c>
      <c r="AG143" s="32" t="str">
        <f>IF(Table12[[#This Row],[Net-zero target status]]&lt;=1,"",IF(Table12[[#This Row],[NZ GHG year]]="","",1000000000*(Table12[[#This Row],[residual LULUCF emissions in 2050]]-Table12[[#This Row],[GHG emissions excl LULUCF]])/(Table12[[#This Row],[NZ GHG year]]-2021)/Table12[[#This Row],[Population]]))</f>
        <v/>
      </c>
      <c r="AH143" s="32" t="str">
        <f>IF(Table12[[#This Row],[Peak revised]]="Yes",IF(Table12[[#This Row],[Net-zero target status]]&lt;=1,"",IF(Table12[[#This Row],[NZ GHG year]]="","",1000000000*(Table12[[#This Row],[residual LULUCF emissions in 2050]]-Table12[[#This Row],[GHG emissions excl LULUCF]])/(Table12[[#This Row],[NZ GHG year]]-2021)/Table12[[#This Row],[Population]])),"")</f>
        <v/>
      </c>
      <c r="AI143" s="32">
        <f>MAX(0,(1000000*(Table12[[#This Row],[Current Policies 2030 excl LULUCF]]/2+Table12[[#This Row],[GHG emissions excl LULUCF]]/2)/Table12[[#This Row],[Population]]-$AI$8)*10)*$AI$10</f>
        <v>-783.27983985474259</v>
      </c>
      <c r="AJ14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3" s="32" t="str">
        <f>IF(Table12[[#This Row],[Formule no Peak (2)]]="","",Table12[[#This Row],[Penalty (1)]]+Table12[[#This Row],[Formule no Peak (2)]])</f>
        <v/>
      </c>
      <c r="AL143" s="313">
        <f>(Table12[[#This Row],[Current Policies 2030 excl LULUCF]]-Table12[[#This Row],[GHG emissions excl LULUCF]])/(2030-2021)/Table12[[#This Row],[GHG emissions excl LULUCF]]</f>
        <v>4.8257234734373696E-4</v>
      </c>
      <c r="AM143" s="313" t="str">
        <f>IF(Table12[[#This Row],[Net-zero target status]]&lt;=1,"",IF(Table12[[#This Row],[NZ GHG year]]="","",(Table12[[#This Row],[residual LULUCF emissions in 2050]]-Table12[[#This Row],[Current Policies 2030 excl LULUCF]])/(Table12[[#This Row],[NZ GHG year]]-2030)/Table12[[#This Row],[Current Policies 2030 excl LULUCF]]))</f>
        <v/>
      </c>
      <c r="AN143" s="313" t="str">
        <f>IF(Table12[[#This Row],[Net-zero target status]]&lt;=1,"",IF(Table12[[#This Row],[NZ GHG year]]="","",(Table12[[#This Row],[residual LULUCF emissions in 2050]]-Table12[[#This Row],[GHG emissions excl LULUCF]])/(Table12[[#This Row],[NZ GHG year]]-2021)/Table12[[#This Row],[GHG emissions excl LULUCF]]))</f>
        <v/>
      </c>
      <c r="AO143" s="313" t="str">
        <f>IF(Table12[[#This Row],[Net-zero target status]]&lt;=1,"",IF(Table12[[#This Row],[NZ GHG year]]="","",(Table12[[#This Row],[residual LULUCF emissions in 2050]]-Table12[[#This Row],[2030 conditional NDCs]])/(Table12[[#This Row],[NZ GHG year]]-2030)/Table12[[#This Row],[2030 conditional NDCs]]))</f>
        <v/>
      </c>
      <c r="AP143" s="96">
        <f>MAX('input site'!AH143:AS143)</f>
        <v>49.997776000000002</v>
      </c>
      <c r="AQ143" s="95" t="str">
        <f>IF(Table12[[#This Row],[Current Policies 2030 incl LULUCF]]&gt;Table12[[#This Row],[Maximum inventory data]],"No","Yes")</f>
        <v>No</v>
      </c>
      <c r="AR143" s="34" t="str">
        <f>IF(Table12[[#This Row],[Net-zero target status]]&gt;=1.5,Table12[[#This Row],[residual LULUCF emissions in 2050]]/Table12[[#This Row],[GHG emissions excl LULUCF]],"")</f>
        <v/>
      </c>
      <c r="AS143" s="76">
        <f>'input site'!BE143</f>
        <v>57.433900000000001</v>
      </c>
      <c r="AT143" s="76">
        <f>'input site'!BF143</f>
        <v>57.433900000000001</v>
      </c>
      <c r="AU143" s="76">
        <f>'input site'!BG143</f>
        <v>54.090399999999995</v>
      </c>
      <c r="AV143" s="77">
        <f>'input site'!BH143</f>
        <v>54.090399999999995</v>
      </c>
      <c r="AW143" s="74">
        <f>IF(Table12[[#This Row],[2030 unconditional NDCs]]="","",IF(F143="incl",Table12[[#This Row],[2030 unconditional NDCs]]-Table12[[#This Row],[LULUCF NDC uncond]],Table12[[#This Row],[2030 unconditional NDCs]]))</f>
        <v>57.433900000000001</v>
      </c>
      <c r="AX143" s="74">
        <f>IF(Table12[[#This Row],[2030 unconditional NDCs2]]="","",IF(F143="incl",Table12[[#This Row],[2030 unconditional NDCs2]]-Table12[[#This Row],[LULUCF NDC uncond]],Table12[[#This Row],[2030 unconditional NDCs2]]))</f>
        <v>57.433900000000001</v>
      </c>
      <c r="AY143" s="74">
        <f>IF(Table12[[#This Row],[2030 conditional NDCs]]="","",IF(F143="incl",Table12[[#This Row],[2030 conditional NDCs]]-Table12[[#This Row],[LULUCF NDC cond]],Table12[[#This Row],[2030 conditional NDCs]]))</f>
        <v>54.090399999999995</v>
      </c>
      <c r="AZ143" s="74">
        <f>IF(Table12[[#This Row],[2030 conditional NDCs2]]="","",IF(F143="incl",Table12[[#This Row],[2030 conditional NDCs2]]-Table12[[#This Row],[LULUCF NDC cond]],Table12[[#This Row],[2030 conditional NDCs2]]))</f>
        <v>54.090399999999995</v>
      </c>
      <c r="BA143" s="8">
        <f>VLOOKUP($G143,'Population90 20'!$C$6:$AU$231,37,FALSE)</f>
        <v>3378078</v>
      </c>
      <c r="BB143" s="8">
        <f>VLOOKUP($G143,'Overview GDP (PPP)'!$C$6:$AI$231,33,FALSE)</f>
        <v>38705851.805942312</v>
      </c>
      <c r="BC143" s="36">
        <f>Table12[[#This Row],[Income]]/Table12[[#This Row],[Population]]</f>
        <v>11.457950883887912</v>
      </c>
      <c r="BD143" s="36">
        <f>Table12[[#This Row],[GHG emissions excl LULUCF]]*1000000/Table12[[#This Row],[Population]]</f>
        <v>14.800657652073161</v>
      </c>
      <c r="BE143" s="23" t="e">
        <f>VLOOKUP($G143,EGR2023_MASTER!$B$4:$S$38,14,FALSE)</f>
        <v>#N/A</v>
      </c>
      <c r="BF143" s="23" t="e">
        <f>VLOOKUP($G143,EGR2023_MASTER!$B$4:$S$38,15,FALSE)</f>
        <v>#N/A</v>
      </c>
      <c r="BG143" s="23" t="e">
        <f>VLOOKUP($G143,EGR2023_MASTER!$B$4:$S$38,16,FALSE)</f>
        <v>#N/A</v>
      </c>
      <c r="BH143" s="23" t="e">
        <f t="shared" si="24"/>
        <v>#N/A</v>
      </c>
      <c r="BI143" s="23" t="e">
        <f t="shared" si="25"/>
        <v>#N/A</v>
      </c>
      <c r="BJ143" s="552">
        <f>(Table12[[#This Row],[Current Policies 2030 excl LULUCF]]/Table12[[#This Row],[GHG emissions excl LULUCF]])^(1/(2030-2021))-1</f>
        <v>4.8164338236866833E-4</v>
      </c>
      <c r="BK143" s="552" t="str">
        <f>IF(Table12[[#This Row],[Net-zero target status]]&lt;=1,"",IF(Table12[[#This Row],[NZ GHG year]]="","",((MAX(Table12[[#This Row],[residual LULUCF emissions in 2050]],0.1)/Table12[[#This Row],[Current Policies 2030 excl LULUCF]])^(1/(Table12[[#This Row],[NZ GHG year]]-2021))-1)))</f>
        <v/>
      </c>
      <c r="BL143" s="552" t="str">
        <f>IF(Table12[[#This Row],[Net-zero target status]]&lt;=1,"",IF(Table12[[#This Row],[NZ GHG year]]="","",((MAX(Table12[[#This Row],[residual LULUCF emissions in 2050]],0.1)/Table12[[#This Row],[GHG emissions excl LULUCF]])^(1/(Table12[[#This Row],[NZ GHG year]]-2021))-1)))</f>
        <v/>
      </c>
      <c r="BM143" s="552" t="str">
        <f>IF(Table12[[#This Row],[Net-zero target status]]&lt;=1,"",IF(Table12[[#This Row],[NZ GHG year]]="","",((MAX(Table12[[#This Row],[residual LULUCF emissions in 2050]],0.1)/AVERAGE(Table12[[#This Row],[2030 conditional NDCs]:[2030 conditional NDCs2]]))^(1/(Table12[[#This Row],[NZ GHG year]]-2021))-1)))</f>
        <v/>
      </c>
      <c r="BN143" s="23"/>
      <c r="BO143" s="23"/>
      <c r="BP143" s="23"/>
      <c r="BQ143" s="23"/>
      <c r="BR143" s="50" t="s">
        <v>315</v>
      </c>
      <c r="BT143" s="30" t="str">
        <f>IF(Table12[[#This Row],[Reduction rate 2021 to NZ target2]]="","",J143*(1+AN143)^(Table12[[#This Row],[NZ GHG year]]-2021))</f>
        <v/>
      </c>
    </row>
    <row r="144" spans="1:72" ht="15" x14ac:dyDescent="0.25">
      <c r="A144">
        <v>0</v>
      </c>
      <c r="B144">
        <v>0</v>
      </c>
      <c r="C144">
        <v>500</v>
      </c>
      <c r="D144">
        <v>130</v>
      </c>
      <c r="E144">
        <v>4</v>
      </c>
      <c r="F144" t="str">
        <f>'input site'!M144</f>
        <v>excl</v>
      </c>
      <c r="G144" s="31" t="s">
        <v>316</v>
      </c>
      <c r="H144" s="1" t="s">
        <v>317</v>
      </c>
      <c r="I144" s="8">
        <v>0</v>
      </c>
      <c r="J144" s="32">
        <f>'input site'!AS144</f>
        <v>0</v>
      </c>
      <c r="K144" s="32">
        <f>'input site'!BS144</f>
        <v>0</v>
      </c>
      <c r="L144" s="32">
        <f t="shared" si="26"/>
        <v>0</v>
      </c>
      <c r="M144" s="32">
        <f t="shared" si="27"/>
        <v>0</v>
      </c>
      <c r="N144" s="32">
        <f>'input site'!EV144</f>
        <v>0</v>
      </c>
      <c r="O144" s="8"/>
      <c r="P144" s="8"/>
      <c r="Q144" s="32">
        <f t="shared" si="28"/>
        <v>0</v>
      </c>
      <c r="R144" s="32">
        <f>'input site'!EZ144</f>
        <v>0</v>
      </c>
      <c r="S144" s="37">
        <f>'input site'!FA144</f>
        <v>0</v>
      </c>
      <c r="T144" s="37" t="str">
        <f>Table12[[#This Row],[(Mt CO2 equivalent)]]</f>
        <v>Montserrat</v>
      </c>
      <c r="U144" s="35">
        <v>2100</v>
      </c>
      <c r="V144" s="35">
        <v>2100</v>
      </c>
      <c r="W144" s="32">
        <f>-IF('LUC NGHGI'!EC134="",MIN('LUC NGHGI'!DW134,0.1),MIN('LUC NGHGI'!EC134,0.1))</f>
        <v>0</v>
      </c>
      <c r="X144" s="32" t="str">
        <f>'LUC NGHGI'!EC134</f>
        <v/>
      </c>
      <c r="Y144" s="32" t="str">
        <f>'LUC NGHGI'!DY134</f>
        <v/>
      </c>
      <c r="Z144" s="32" t="str">
        <f>'LUC NGHGI'!DZ134</f>
        <v/>
      </c>
      <c r="AA144" s="32">
        <f>Table12[[#This Row],[2021 emissions]]</f>
        <v>0</v>
      </c>
      <c r="AB144" s="32">
        <f>'LUC NGHGI'!DW134</f>
        <v>0</v>
      </c>
      <c r="AC144" s="32">
        <f>IF(F144="incl",Table12[[#This Row],[GHG emissions incl LULUCF]]-Table12[[#This Row],[LULUCF emis-sions in 20213]],Table12[[#This Row],[GHG emissions incl LULUCF]])</f>
        <v>0</v>
      </c>
      <c r="AD144" s="32">
        <f>'input site'!BS144</f>
        <v>0</v>
      </c>
      <c r="AE144" s="32">
        <f>'LUC NGHGI'!EH134</f>
        <v>0</v>
      </c>
      <c r="AF144" s="32">
        <f>IF(F144="incl",Table12[[#This Row],[Current Policies 2030 incl LULUCF]]-Table12[[#This Row],[LULUCF CurPol 2030]],Table12[[#This Row],[Current Policies 2030 incl LULUCF]])</f>
        <v>0</v>
      </c>
      <c r="AG144" s="32" t="str">
        <f>IF(Table12[[#This Row],[Net-zero target status]]&lt;=1,"",IF(Table12[[#This Row],[NZ GHG year]]="","",1000000000*(Table12[[#This Row],[residual LULUCF emissions in 2050]]-Table12[[#This Row],[GHG emissions excl LULUCF]])/(Table12[[#This Row],[NZ GHG year]]-2021)/Table12[[#This Row],[Population]]))</f>
        <v/>
      </c>
      <c r="AH144" s="32" t="str">
        <f>IF(Table12[[#This Row],[Peak revised]]="Yes",IF(Table12[[#This Row],[Net-zero target status]]&lt;=1,"",IF(Table12[[#This Row],[NZ GHG year]]="","",1000000000*(Table12[[#This Row],[residual LULUCF emissions in 2050]]-Table12[[#This Row],[GHG emissions excl LULUCF]])/(Table12[[#This Row],[NZ GHG year]]-2021)/Table12[[#This Row],[Population]])),"")</f>
        <v/>
      </c>
      <c r="AI144" s="32">
        <f>MAX(0,(1000000*(Table12[[#This Row],[Current Policies 2030 excl LULUCF]]/2+Table12[[#This Row],[GHG emissions excl LULUCF]]/2)/Table12[[#This Row],[Population]]-$AI$8)*10)*$AI$10</f>
        <v>0</v>
      </c>
      <c r="AJ14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4" s="32" t="str">
        <f>IF(Table12[[#This Row],[Formule no Peak (2)]]="","",Table12[[#This Row],[Penalty (1)]]+Table12[[#This Row],[Formule no Peak (2)]])</f>
        <v/>
      </c>
      <c r="AL144" s="313" t="e">
        <f>(Table12[[#This Row],[Current Policies 2030 excl LULUCF]]-Table12[[#This Row],[GHG emissions excl LULUCF]])/(2030-2021)/Table12[[#This Row],[GHG emissions excl LULUCF]]</f>
        <v>#DIV/0!</v>
      </c>
      <c r="AM144" s="313" t="str">
        <f>IF(Table12[[#This Row],[Net-zero target status]]&lt;=1,"",IF(Table12[[#This Row],[NZ GHG year]]="","",(Table12[[#This Row],[residual LULUCF emissions in 2050]]-Table12[[#This Row],[Current Policies 2030 excl LULUCF]])/(Table12[[#This Row],[NZ GHG year]]-2030)/Table12[[#This Row],[Current Policies 2030 excl LULUCF]]))</f>
        <v/>
      </c>
      <c r="AN144" s="313" t="str">
        <f>IF(Table12[[#This Row],[Net-zero target status]]&lt;=1,"",IF(Table12[[#This Row],[NZ GHG year]]="","",(Table12[[#This Row],[residual LULUCF emissions in 2050]]-Table12[[#This Row],[GHG emissions excl LULUCF]])/(Table12[[#This Row],[NZ GHG year]]-2021)/Table12[[#This Row],[GHG emissions excl LULUCF]]))</f>
        <v/>
      </c>
      <c r="AO144" s="313" t="str">
        <f>IF(Table12[[#This Row],[Net-zero target status]]&lt;=1,"",IF(Table12[[#This Row],[NZ GHG year]]="","",(Table12[[#This Row],[residual LULUCF emissions in 2050]]-Table12[[#This Row],[2030 conditional NDCs]])/(Table12[[#This Row],[NZ GHG year]]-2030)/Table12[[#This Row],[2030 conditional NDCs]]))</f>
        <v/>
      </c>
      <c r="AP144" s="96">
        <f>MAX('input site'!AH144:AS144)</f>
        <v>0</v>
      </c>
      <c r="AQ144" s="95" t="str">
        <f>IF(Table12[[#This Row],[Current Policies 2030 incl LULUCF]]&gt;Table12[[#This Row],[Maximum inventory data]],"No","Yes")</f>
        <v>Yes</v>
      </c>
      <c r="AR144" s="34" t="str">
        <f>IF(Table12[[#This Row],[Net-zero target status]]&gt;=1.5,Table12[[#This Row],[residual LULUCF emissions in 2050]]/Table12[[#This Row],[GHG emissions excl LULUCF]],"")</f>
        <v/>
      </c>
      <c r="AS144" s="74"/>
      <c r="AT144" s="74"/>
      <c r="AU144" s="74"/>
      <c r="AV144" s="75"/>
      <c r="AW144" s="74" t="str">
        <f>IF(Table12[[#This Row],[2030 unconditional NDCs]]="","",IF(F144="incl",Table12[[#This Row],[2030 unconditional NDCs]]-Table12[[#This Row],[LULUCF NDC uncond]],Table12[[#This Row],[2030 unconditional NDCs]]))</f>
        <v/>
      </c>
      <c r="AX144" s="74" t="str">
        <f>IF(Table12[[#This Row],[2030 unconditional NDCs2]]="","",IF(F144="incl",Table12[[#This Row],[2030 unconditional NDCs2]]-Table12[[#This Row],[LULUCF NDC uncond]],Table12[[#This Row],[2030 unconditional NDCs2]]))</f>
        <v/>
      </c>
      <c r="AY144" s="74" t="str">
        <f>IF(Table12[[#This Row],[2030 conditional NDCs]]="","",IF(F144="incl",Table12[[#This Row],[2030 conditional NDCs]]-Table12[[#This Row],[LULUCF NDC cond]],Table12[[#This Row],[2030 conditional NDCs]]))</f>
        <v/>
      </c>
      <c r="AZ144" s="74" t="str">
        <f>IF(Table12[[#This Row],[2030 conditional NDCs2]]="","",IF(F144="incl",Table12[[#This Row],[2030 conditional NDCs2]]-Table12[[#This Row],[LULUCF NDC cond]],Table12[[#This Row],[2030 conditional NDCs2]]))</f>
        <v/>
      </c>
      <c r="BA144" s="8">
        <f>VLOOKUP($G144,'Population90 20'!$C$6:$AU$231,37,FALSE)</f>
        <v>4965</v>
      </c>
      <c r="BB144" s="8">
        <f>VLOOKUP($G144,'Overview GDP (PPP)'!$C$6:$AI$231,33,FALSE)</f>
        <v>102280.03296049638</v>
      </c>
      <c r="BC144" s="36">
        <f>Table12[[#This Row],[Income]]/Table12[[#This Row],[Population]]</f>
        <v>20.600208048438343</v>
      </c>
      <c r="BD144" s="36">
        <f>Table12[[#This Row],[GHG emissions excl LULUCF]]*1000000/Table12[[#This Row],[Population]]</f>
        <v>0</v>
      </c>
      <c r="BE144" s="23" t="e">
        <f>VLOOKUP($G144,EGR2023_MASTER!$B$4:$S$38,14,FALSE)</f>
        <v>#N/A</v>
      </c>
      <c r="BF144" s="23" t="e">
        <f>VLOOKUP($G144,EGR2023_MASTER!$B$4:$S$38,15,FALSE)</f>
        <v>#N/A</v>
      </c>
      <c r="BG144" s="23" t="e">
        <f>VLOOKUP($G144,EGR2023_MASTER!$B$4:$S$38,16,FALSE)</f>
        <v>#N/A</v>
      </c>
      <c r="BH144" s="23" t="e">
        <f t="shared" si="24"/>
        <v>#N/A</v>
      </c>
      <c r="BI144" s="23" t="e">
        <f t="shared" si="25"/>
        <v>#N/A</v>
      </c>
      <c r="BJ144" s="552" t="e">
        <f>(Table12[[#This Row],[Current Policies 2030 excl LULUCF]]/Table12[[#This Row],[GHG emissions excl LULUCF]])^(1/(2030-2021))-1</f>
        <v>#DIV/0!</v>
      </c>
      <c r="BK144" s="552" t="str">
        <f>IF(Table12[[#This Row],[Net-zero target status]]&lt;=1,"",IF(Table12[[#This Row],[NZ GHG year]]="","",((MAX(Table12[[#This Row],[residual LULUCF emissions in 2050]],0.1)/Table12[[#This Row],[Current Policies 2030 excl LULUCF]])^(1/(Table12[[#This Row],[NZ GHG year]]-2021))-1)))</f>
        <v/>
      </c>
      <c r="BL144" s="552" t="str">
        <f>IF(Table12[[#This Row],[Net-zero target status]]&lt;=1,"",IF(Table12[[#This Row],[NZ GHG year]]="","",((MAX(Table12[[#This Row],[residual LULUCF emissions in 2050]],0.1)/Table12[[#This Row],[GHG emissions excl LULUCF]])^(1/(Table12[[#This Row],[NZ GHG year]]-2021))-1)))</f>
        <v/>
      </c>
      <c r="BM144" s="552" t="str">
        <f>IF(Table12[[#This Row],[Net-zero target status]]&lt;=1,"",IF(Table12[[#This Row],[NZ GHG year]]="","",((MAX(Table12[[#This Row],[residual LULUCF emissions in 2050]],0.1)/AVERAGE(Table12[[#This Row],[2030 conditional NDCs]:[2030 conditional NDCs2]]))^(1/(Table12[[#This Row],[NZ GHG year]]-2021))-1)))</f>
        <v/>
      </c>
      <c r="BN144" s="23"/>
      <c r="BO144" s="23"/>
      <c r="BP144" s="23"/>
      <c r="BQ144" s="23"/>
      <c r="BR144" s="50" t="s">
        <v>317</v>
      </c>
      <c r="BT144" s="30" t="str">
        <f>IF(Table12[[#This Row],[Reduction rate 2021 to NZ target2]]="","",J144*(1+AN144)^(Table12[[#This Row],[NZ GHG year]]-2021))</f>
        <v/>
      </c>
    </row>
    <row r="145" spans="1:72" ht="15" x14ac:dyDescent="0.25">
      <c r="A145">
        <v>1</v>
      </c>
      <c r="B145">
        <v>0</v>
      </c>
      <c r="C145">
        <v>504</v>
      </c>
      <c r="D145">
        <v>131</v>
      </c>
      <c r="E145">
        <v>7</v>
      </c>
      <c r="F145" t="str">
        <f>'input site'!M145</f>
        <v>incl</v>
      </c>
      <c r="G145" s="31" t="s">
        <v>318</v>
      </c>
      <c r="H145" s="1" t="s">
        <v>319</v>
      </c>
      <c r="I145" s="8">
        <f>VLOOKUP($G145,'NZT data'!$B$3:$C$200,2,FALSE)</f>
        <v>0</v>
      </c>
      <c r="J145" s="32">
        <f>'input site'!AS145</f>
        <v>97.071928400000004</v>
      </c>
      <c r="K145" s="32">
        <f>'input site'!BS145</f>
        <v>103.8706591</v>
      </c>
      <c r="L145" s="32">
        <f t="shared" si="26"/>
        <v>103.8706591</v>
      </c>
      <c r="M145" s="32">
        <f t="shared" si="27"/>
        <v>42.513647693955022</v>
      </c>
      <c r="N145" s="32">
        <f>'input site'!EV145</f>
        <v>42.513647693955022</v>
      </c>
      <c r="O145" s="8"/>
      <c r="P145" s="8"/>
      <c r="Q145" s="32">
        <f t="shared" si="28"/>
        <v>12.659748034732587</v>
      </c>
      <c r="R145" s="32">
        <f>'input site'!EZ145</f>
        <v>12.659748034732587</v>
      </c>
      <c r="S145" s="37">
        <f>'input site'!FA145</f>
        <v>0</v>
      </c>
      <c r="T145" s="37" t="str">
        <f>Table12[[#This Row],[(Mt CO2 equivalent)]]</f>
        <v>Morocco</v>
      </c>
      <c r="U145" s="8">
        <f>VLOOKUP($G145,'NZT data'!$B$3:$F$200,4,FALSE)</f>
        <v>2110</v>
      </c>
      <c r="V145" s="32" t="str">
        <f>VLOOKUP($G145,'NZT data'!$B$3:$F$200,5,FALSE)</f>
        <v/>
      </c>
      <c r="W145" s="32">
        <f>-IF('LUC NGHGI'!EC135="",MIN('LUC NGHGI'!DW135,0.1),MIN('LUC NGHGI'!EC135,0.1))</f>
        <v>1.8704507881773367</v>
      </c>
      <c r="X145" s="32">
        <f>'LUC NGHGI'!EC135</f>
        <v>-1.8704507881773367</v>
      </c>
      <c r="Y145" s="32">
        <f>'LUC NGHGI'!DY135</f>
        <v>0</v>
      </c>
      <c r="Z145" s="32">
        <f>'LUC NGHGI'!DZ135</f>
        <v>0</v>
      </c>
      <c r="AA145" s="32">
        <f>Table12[[#This Row],[2021 emissions]]</f>
        <v>97.071928400000004</v>
      </c>
      <c r="AB145" s="32">
        <f>'LUC NGHGI'!DW135</f>
        <v>-1.8523275615763524</v>
      </c>
      <c r="AC145" s="32">
        <f>IF(F145="incl",Table12[[#This Row],[GHG emissions incl LULUCF]]-Table12[[#This Row],[LULUCF emis-sions in 20213]],Table12[[#This Row],[GHG emissions incl LULUCF]])</f>
        <v>98.924255961576364</v>
      </c>
      <c r="AD145" s="32">
        <f>'input site'!BS145</f>
        <v>103.8706591</v>
      </c>
      <c r="AE145" s="32">
        <f>'LUC NGHGI'!EH135</f>
        <v>-2.0548126</v>
      </c>
      <c r="AF145" s="32">
        <f>IF(F145="incl",Table12[[#This Row],[Current Policies 2030 incl LULUCF]]-Table12[[#This Row],[LULUCF CurPol 2030]],Table12[[#This Row],[Current Policies 2030 incl LULUCF]])</f>
        <v>105.9254717</v>
      </c>
      <c r="AG145" s="32" t="str">
        <f>IF(Table12[[#This Row],[Net-zero target status]]&lt;=1,"",IF(Table12[[#This Row],[NZ GHG year]]="","",1000000000*(Table12[[#This Row],[residual LULUCF emissions in 2050]]-Table12[[#This Row],[GHG emissions excl LULUCF]])/(Table12[[#This Row],[NZ GHG year]]-2021)/Table12[[#This Row],[Population]]))</f>
        <v/>
      </c>
      <c r="AH145" s="32" t="str">
        <f>IF(Table12[[#This Row],[Peak revised]]="Yes",IF(Table12[[#This Row],[Net-zero target status]]&lt;=1,"",IF(Table12[[#This Row],[NZ GHG year]]="","",1000000000*(Table12[[#This Row],[residual LULUCF emissions in 2050]]-Table12[[#This Row],[GHG emissions excl LULUCF]])/(Table12[[#This Row],[NZ GHG year]]-2021)/Table12[[#This Row],[Population]])),"")</f>
        <v/>
      </c>
      <c r="AI145" s="32">
        <f>MAX(0,(1000000*(Table12[[#This Row],[Current Policies 2030 excl LULUCF]]/2+Table12[[#This Row],[GHG emissions excl LULUCF]]/2)/Table12[[#This Row],[Population]]-$AI$8)*10)*$AI$10</f>
        <v>0</v>
      </c>
      <c r="AJ14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5" s="32" t="str">
        <f>IF(Table12[[#This Row],[Formule no Peak (2)]]="","",Table12[[#This Row],[Penalty (1)]]+Table12[[#This Row],[Formule no Peak (2)]])</f>
        <v/>
      </c>
      <c r="AL145" s="313">
        <f>(Table12[[#This Row],[Current Policies 2030 excl LULUCF]]-Table12[[#This Row],[GHG emissions excl LULUCF]])/(2030-2021)/Table12[[#This Row],[GHG emissions excl LULUCF]]</f>
        <v>7.8637221201542477E-3</v>
      </c>
      <c r="AM145" s="313" t="str">
        <f>IF(Table12[[#This Row],[Net-zero target status]]&lt;=1,"",IF(Table12[[#This Row],[NZ GHG year]]="","",(Table12[[#This Row],[residual LULUCF emissions in 2050]]-Table12[[#This Row],[Current Policies 2030 excl LULUCF]])/(Table12[[#This Row],[NZ GHG year]]-2030)/Table12[[#This Row],[Current Policies 2030 excl LULUCF]]))</f>
        <v/>
      </c>
      <c r="AN145" s="313" t="str">
        <f>IF(Table12[[#This Row],[Net-zero target status]]&lt;=1,"",IF(Table12[[#This Row],[NZ GHG year]]="","",(Table12[[#This Row],[residual LULUCF emissions in 2050]]-Table12[[#This Row],[GHG emissions excl LULUCF]])/(Table12[[#This Row],[NZ GHG year]]-2021)/Table12[[#This Row],[GHG emissions excl LULUCF]]))</f>
        <v/>
      </c>
      <c r="AO145" s="313" t="str">
        <f>IF(Table12[[#This Row],[Net-zero target status]]&lt;=1,"",IF(Table12[[#This Row],[NZ GHG year]]="","",(Table12[[#This Row],[residual LULUCF emissions in 2050]]-Table12[[#This Row],[2030 conditional NDCs]])/(Table12[[#This Row],[NZ GHG year]]-2030)/Table12[[#This Row],[2030 conditional NDCs]]))</f>
        <v/>
      </c>
      <c r="AP145" s="96">
        <f>MAX('input site'!AH145:AS145)</f>
        <v>97.071928400000004</v>
      </c>
      <c r="AQ145" s="95" t="str">
        <f>IF(Table12[[#This Row],[Current Policies 2030 incl LULUCF]]&gt;Table12[[#This Row],[Maximum inventory data]],"No","Yes")</f>
        <v>No</v>
      </c>
      <c r="AR145" s="34" t="str">
        <f>IF(Table12[[#This Row],[Net-zero target status]]&gt;=1.5,Table12[[#This Row],[residual LULUCF emissions in 2050]]/Table12[[#This Row],[GHG emissions excl LULUCF]],"")</f>
        <v/>
      </c>
      <c r="AS145" s="76">
        <f>'input site'!BE145</f>
        <v>116.29994999999998</v>
      </c>
      <c r="AT145" s="76">
        <f>'input site'!BF145</f>
        <v>116.29994999999998</v>
      </c>
      <c r="AU145" s="76">
        <f>'input site'!BG145</f>
        <v>77.580749999999981</v>
      </c>
      <c r="AV145" s="77">
        <f>'input site'!BH145</f>
        <v>77.580749999999981</v>
      </c>
      <c r="AW145" s="74">
        <f>IF(Table12[[#This Row],[2030 unconditional NDCs]]="","",IF(F145="incl",Table12[[#This Row],[2030 unconditional NDCs]]-Table12[[#This Row],[LULUCF NDC uncond]],Table12[[#This Row],[2030 unconditional NDCs]]))</f>
        <v>116.29994999999998</v>
      </c>
      <c r="AX145" s="74">
        <f>IF(Table12[[#This Row],[2030 unconditional NDCs2]]="","",IF(F145="incl",Table12[[#This Row],[2030 unconditional NDCs2]]-Table12[[#This Row],[LULUCF NDC uncond]],Table12[[#This Row],[2030 unconditional NDCs2]]))</f>
        <v>116.29994999999998</v>
      </c>
      <c r="AY145" s="74">
        <f>IF(Table12[[#This Row],[2030 conditional NDCs]]="","",IF(F145="incl",Table12[[#This Row],[2030 conditional NDCs]]-Table12[[#This Row],[LULUCF NDC cond]],Table12[[#This Row],[2030 conditional NDCs]]))</f>
        <v>77.580749999999981</v>
      </c>
      <c r="AZ145" s="74">
        <f>IF(Table12[[#This Row],[2030 conditional NDCs2]]="","",IF(F145="incl",Table12[[#This Row],[2030 conditional NDCs2]]-Table12[[#This Row],[LULUCF NDC cond]],Table12[[#This Row],[2030 conditional NDCs2]]))</f>
        <v>77.580749999999981</v>
      </c>
      <c r="BA145" s="8">
        <f>VLOOKUP($G145,'Population90 20'!$C$6:$AU$231,37,FALSE)</f>
        <v>37772756</v>
      </c>
      <c r="BB145" s="8">
        <f>VLOOKUP($G145,'Overview GDP (PPP)'!$C$6:$AI$231,33,FALSE)</f>
        <v>279326302.06305313</v>
      </c>
      <c r="BC145" s="36">
        <f>Table12[[#This Row],[Income]]/Table12[[#This Row],[Population]]</f>
        <v>7.3949145268365681</v>
      </c>
      <c r="BD145" s="36">
        <f>Table12[[#This Row],[GHG emissions excl LULUCF]]*1000000/Table12[[#This Row],[Population]]</f>
        <v>2.6189313790493962</v>
      </c>
      <c r="BE145" s="23" t="str">
        <f>VLOOKUP($G145,EGR2023_MASTER!$B$4:$S$38,14,FALSE)</f>
        <v>N</v>
      </c>
      <c r="BF145" s="23" t="str">
        <f>VLOOKUP($G145,EGR2023_MASTER!$B$4:$S$38,15,FALSE)</f>
        <v>None</v>
      </c>
      <c r="BG145" s="23" t="str">
        <f>VLOOKUP($G145,EGR2023_MASTER!$B$4:$S$38,16,FALSE)</f>
        <v>n</v>
      </c>
      <c r="BH145" s="23" t="str">
        <f t="shared" si="24"/>
        <v>much lower</v>
      </c>
      <c r="BI145" s="23" t="str">
        <f t="shared" si="25"/>
        <v>weak</v>
      </c>
      <c r="BJ145" s="552">
        <f>(Table12[[#This Row],[Current Policies 2030 excl LULUCF]]/Table12[[#This Row],[GHG emissions excl LULUCF]])^(1/(2030-2021))-1</f>
        <v>7.6268578442530988E-3</v>
      </c>
      <c r="BK145" s="552" t="str">
        <f>IF(Table12[[#This Row],[Net-zero target status]]&lt;=1,"",IF(Table12[[#This Row],[NZ GHG year]]="","",((MAX(Table12[[#This Row],[residual LULUCF emissions in 2050]],0.1)/Table12[[#This Row],[Current Policies 2030 excl LULUCF]])^(1/(Table12[[#This Row],[NZ GHG year]]-2021))-1)))</f>
        <v/>
      </c>
      <c r="BL145" s="552" t="str">
        <f>IF(Table12[[#This Row],[Net-zero target status]]&lt;=1,"",IF(Table12[[#This Row],[NZ GHG year]]="","",((MAX(Table12[[#This Row],[residual LULUCF emissions in 2050]],0.1)/Table12[[#This Row],[GHG emissions excl LULUCF]])^(1/(Table12[[#This Row],[NZ GHG year]]-2021))-1)))</f>
        <v/>
      </c>
      <c r="BM145" s="552" t="str">
        <f>IF(Table12[[#This Row],[Net-zero target status]]&lt;=1,"",IF(Table12[[#This Row],[NZ GHG year]]="","",((MAX(Table12[[#This Row],[residual LULUCF emissions in 2050]],0.1)/AVERAGE(Table12[[#This Row],[2030 conditional NDCs]:[2030 conditional NDCs2]]))^(1/(Table12[[#This Row],[NZ GHG year]]-2021))-1)))</f>
        <v/>
      </c>
      <c r="BN145" s="23"/>
      <c r="BO145" s="23"/>
      <c r="BP145" s="23"/>
      <c r="BQ145" s="23"/>
      <c r="BR145" s="50" t="s">
        <v>319</v>
      </c>
      <c r="BT145" s="30" t="str">
        <f>IF(Table12[[#This Row],[Reduction rate 2021 to NZ target2]]="","",J145*(1+AN145)^(Table12[[#This Row],[NZ GHG year]]-2021))</f>
        <v/>
      </c>
    </row>
    <row r="146" spans="1:72" ht="15" x14ac:dyDescent="0.25">
      <c r="A146">
        <v>0</v>
      </c>
      <c r="B146">
        <v>0</v>
      </c>
      <c r="C146">
        <v>508</v>
      </c>
      <c r="D146">
        <v>132</v>
      </c>
      <c r="E146">
        <v>26</v>
      </c>
      <c r="F146" t="str">
        <f>'input site'!M146</f>
        <v>excl</v>
      </c>
      <c r="G146" s="31" t="s">
        <v>320</v>
      </c>
      <c r="H146" s="1" t="s">
        <v>321</v>
      </c>
      <c r="I146" s="8">
        <f>VLOOKUP($G146,'NZT data'!$B$3:$C$200,2,FALSE)</f>
        <v>1</v>
      </c>
      <c r="J146" s="32">
        <f>'input site'!AS146</f>
        <v>43.220188</v>
      </c>
      <c r="K146" s="32">
        <f>'input site'!BS146</f>
        <v>52.600658574901956</v>
      </c>
      <c r="L146" s="32">
        <f t="shared" si="26"/>
        <v>0</v>
      </c>
      <c r="M146" s="32">
        <f t="shared" si="27"/>
        <v>0</v>
      </c>
      <c r="N146" s="32">
        <f>'input site'!EV146</f>
        <v>32.436997038556292</v>
      </c>
      <c r="O146" s="8"/>
      <c r="P146" s="36"/>
      <c r="Q146" s="32">
        <f t="shared" si="28"/>
        <v>0</v>
      </c>
      <c r="R146" s="32">
        <f>'input site'!EZ146</f>
        <v>30.247163089015174</v>
      </c>
      <c r="S146" s="37">
        <f>'input site'!FA146</f>
        <v>2050</v>
      </c>
      <c r="T146" s="37" t="str">
        <f>Table12[[#This Row],[(Mt CO2 equivalent)]]</f>
        <v>Mozambique</v>
      </c>
      <c r="U146" s="8">
        <f>VLOOKUP($G146,'NZT data'!$B$3:$F$200,4,FALSE)</f>
        <v>2110</v>
      </c>
      <c r="V146" s="32">
        <f>VLOOKUP($G146,'NZT data'!$B$3:$F$200,5,FALSE)</f>
        <v>2125</v>
      </c>
      <c r="W146" s="32">
        <f>-IF('LUC NGHGI'!EC136="",MIN('LUC NGHGI'!DW136,0.1),MIN('LUC NGHGI'!EC136,0.1))</f>
        <v>-0.1</v>
      </c>
      <c r="X146" s="32">
        <f>'LUC NGHGI'!EC136</f>
        <v>74.252172364673243</v>
      </c>
      <c r="Y146" s="32">
        <f>'LUC NGHGI'!DY136</f>
        <v>0</v>
      </c>
      <c r="Z146" s="32">
        <f>'LUC NGHGI'!DZ136</f>
        <v>0</v>
      </c>
      <c r="AA146" s="32">
        <f>Table12[[#This Row],[2021 emissions]]</f>
        <v>43.220188</v>
      </c>
      <c r="AB146" s="32">
        <f>'LUC NGHGI'!DW136</f>
        <v>78.753192307693098</v>
      </c>
      <c r="AC146" s="32">
        <f>IF(F146="incl",Table12[[#This Row],[GHG emissions incl LULUCF]]-Table12[[#This Row],[LULUCF emis-sions in 20213]],Table12[[#This Row],[GHG emissions incl LULUCF]])</f>
        <v>43.220188</v>
      </c>
      <c r="AD146" s="32">
        <f>'input site'!BS146</f>
        <v>52.600658574901956</v>
      </c>
      <c r="AE146" s="32">
        <f>'LUC NGHGI'!EH136</f>
        <v>59.530682299452941</v>
      </c>
      <c r="AF146" s="32">
        <f>IF(F146="incl",Table12[[#This Row],[Current Policies 2030 incl LULUCF]]-Table12[[#This Row],[LULUCF CurPol 2030]],Table12[[#This Row],[Current Policies 2030 incl LULUCF]])</f>
        <v>52.600658574901956</v>
      </c>
      <c r="AG146" s="32" t="str">
        <f>IF(Table12[[#This Row],[Net-zero target status]]&lt;=1,"",IF(Table12[[#This Row],[NZ GHG year]]="","",1000000000*(Table12[[#This Row],[residual LULUCF emissions in 2050]]-Table12[[#This Row],[GHG emissions excl LULUCF]])/(Table12[[#This Row],[NZ GHG year]]-2021)/Table12[[#This Row],[Population]]))</f>
        <v/>
      </c>
      <c r="AH146" s="32" t="str">
        <f>IF(Table12[[#This Row],[Peak revised]]="Yes",IF(Table12[[#This Row],[Net-zero target status]]&lt;=1,"",IF(Table12[[#This Row],[NZ GHG year]]="","",1000000000*(Table12[[#This Row],[residual LULUCF emissions in 2050]]-Table12[[#This Row],[GHG emissions excl LULUCF]])/(Table12[[#This Row],[NZ GHG year]]-2021)/Table12[[#This Row],[Population]])),"")</f>
        <v/>
      </c>
      <c r="AI146" s="32">
        <f>MAX(0,(1000000*(Table12[[#This Row],[Current Policies 2030 excl LULUCF]]/2+Table12[[#This Row],[GHG emissions excl LULUCF]]/2)/Table12[[#This Row],[Population]]-$AI$8)*10)*$AI$10</f>
        <v>0</v>
      </c>
      <c r="AJ14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6" s="32" t="str">
        <f>IF(Table12[[#This Row],[Formule no Peak (2)]]="","",Table12[[#This Row],[Penalty (1)]]+Table12[[#This Row],[Formule no Peak (2)]])</f>
        <v/>
      </c>
      <c r="AL146" s="313">
        <f>(Table12[[#This Row],[Current Policies 2030 excl LULUCF]]-Table12[[#This Row],[GHG emissions excl LULUCF]])/(2030-2021)/Table12[[#This Row],[GHG emissions excl LULUCF]]</f>
        <v>2.4115455220195703E-2</v>
      </c>
      <c r="AM146" s="313" t="str">
        <f>IF(Table12[[#This Row],[Net-zero target status]]&lt;=1,"",IF(Table12[[#This Row],[NZ GHG year]]="","",(Table12[[#This Row],[residual LULUCF emissions in 2050]]-Table12[[#This Row],[Current Policies 2030 excl LULUCF]])/(Table12[[#This Row],[NZ GHG year]]-2030)/Table12[[#This Row],[Current Policies 2030 excl LULUCF]]))</f>
        <v/>
      </c>
      <c r="AN146" s="313" t="str">
        <f>IF(Table12[[#This Row],[Net-zero target status]]&lt;=1,"",IF(Table12[[#This Row],[NZ GHG year]]="","",(Table12[[#This Row],[residual LULUCF emissions in 2050]]-Table12[[#This Row],[GHG emissions excl LULUCF]])/(Table12[[#This Row],[NZ GHG year]]-2021)/Table12[[#This Row],[GHG emissions excl LULUCF]]))</f>
        <v/>
      </c>
      <c r="AO146" s="313" t="str">
        <f>IF(Table12[[#This Row],[Net-zero target status]]&lt;=1,"",IF(Table12[[#This Row],[NZ GHG year]]="","",(Table12[[#This Row],[residual LULUCF emissions in 2050]]-Table12[[#This Row],[2030 conditional NDCs]])/(Table12[[#This Row],[NZ GHG year]]-2030)/Table12[[#This Row],[2030 conditional NDCs]]))</f>
        <v/>
      </c>
      <c r="AP146" s="96">
        <f>MAX('input site'!AH146:AS146)</f>
        <v>45.623353000000002</v>
      </c>
      <c r="AQ146" s="95" t="str">
        <f>IF(Table12[[#This Row],[Current Policies 2030 incl LULUCF]]&gt;Table12[[#This Row],[Maximum inventory data]],"No","Yes")</f>
        <v>No</v>
      </c>
      <c r="AR146" s="34" t="str">
        <f>IF(Table12[[#This Row],[Net-zero target status]]&gt;=1.5,Table12[[#This Row],[residual LULUCF emissions in 2050]]/Table12[[#This Row],[GHG emissions excl LULUCF]],"")</f>
        <v/>
      </c>
      <c r="AS146" s="74"/>
      <c r="AT146" s="74"/>
      <c r="AU146" s="74"/>
      <c r="AV146" s="75"/>
      <c r="AW146" s="74" t="str">
        <f>IF(Table12[[#This Row],[2030 unconditional NDCs]]="","",IF(F146="incl",Table12[[#This Row],[2030 unconditional NDCs]]-Table12[[#This Row],[LULUCF NDC uncond]],Table12[[#This Row],[2030 unconditional NDCs]]))</f>
        <v/>
      </c>
      <c r="AX146" s="74" t="str">
        <f>IF(Table12[[#This Row],[2030 unconditional NDCs2]]="","",IF(F146="incl",Table12[[#This Row],[2030 unconditional NDCs2]]-Table12[[#This Row],[LULUCF NDC uncond]],Table12[[#This Row],[2030 unconditional NDCs2]]))</f>
        <v/>
      </c>
      <c r="AY146" s="74" t="str">
        <f>IF(Table12[[#This Row],[2030 conditional NDCs]]="","",IF(F146="incl",Table12[[#This Row],[2030 conditional NDCs]]-Table12[[#This Row],[LULUCF NDC cond]],Table12[[#This Row],[2030 conditional NDCs]]))</f>
        <v/>
      </c>
      <c r="AZ146" s="74" t="str">
        <f>IF(Table12[[#This Row],[2030 conditional NDCs2]]="","",IF(F146="incl",Table12[[#This Row],[2030 conditional NDCs2]]-Table12[[#This Row],[LULUCF NDC cond]],Table12[[#This Row],[2030 conditional NDCs2]]))</f>
        <v/>
      </c>
      <c r="BA146" s="8">
        <f>VLOOKUP($G146,'Population90 20'!$C$6:$AU$231,37,FALSE)</f>
        <v>33089461.000000004</v>
      </c>
      <c r="BB146" s="8">
        <f>VLOOKUP($G146,'Overview GDP (PPP)'!$C$6:$AI$231,33,FALSE)</f>
        <v>34816246.687805705</v>
      </c>
      <c r="BC146" s="36">
        <f>Table12[[#This Row],[Income]]/Table12[[#This Row],[Population]]</f>
        <v>1.0521853676554509</v>
      </c>
      <c r="BD146" s="36">
        <f>Table12[[#This Row],[GHG emissions excl LULUCF]]*1000000/Table12[[#This Row],[Population]]</f>
        <v>1.306161741347192</v>
      </c>
      <c r="BE146" s="23" t="e">
        <f>VLOOKUP($G146,EGR2023_MASTER!$B$4:$S$38,14,FALSE)</f>
        <v>#N/A</v>
      </c>
      <c r="BF146" s="23" t="e">
        <f>VLOOKUP($G146,EGR2023_MASTER!$B$4:$S$38,15,FALSE)</f>
        <v>#N/A</v>
      </c>
      <c r="BG146" s="23" t="e">
        <f>VLOOKUP($G146,EGR2023_MASTER!$B$4:$S$38,16,FALSE)</f>
        <v>#N/A</v>
      </c>
      <c r="BH146" s="23" t="e">
        <f t="shared" si="24"/>
        <v>#N/A</v>
      </c>
      <c r="BI146" s="23" t="e">
        <f t="shared" si="25"/>
        <v>#N/A</v>
      </c>
      <c r="BJ146" s="552">
        <f>(Table12[[#This Row],[Current Policies 2030 excl LULUCF]]/Table12[[#This Row],[GHG emissions excl LULUCF]])^(1/(2030-2021))-1</f>
        <v>2.2064446304015162E-2</v>
      </c>
      <c r="BK146" s="552" t="str">
        <f>IF(Table12[[#This Row],[Net-zero target status]]&lt;=1,"",IF(Table12[[#This Row],[NZ GHG year]]="","",((MAX(Table12[[#This Row],[residual LULUCF emissions in 2050]],0.1)/Table12[[#This Row],[Current Policies 2030 excl LULUCF]])^(1/(Table12[[#This Row],[NZ GHG year]]-2021))-1)))</f>
        <v/>
      </c>
      <c r="BL146" s="552" t="str">
        <f>IF(Table12[[#This Row],[Net-zero target status]]&lt;=1,"",IF(Table12[[#This Row],[NZ GHG year]]="","",((MAX(Table12[[#This Row],[residual LULUCF emissions in 2050]],0.1)/Table12[[#This Row],[GHG emissions excl LULUCF]])^(1/(Table12[[#This Row],[NZ GHG year]]-2021))-1)))</f>
        <v/>
      </c>
      <c r="BM146" s="552" t="str">
        <f>IF(Table12[[#This Row],[Net-zero target status]]&lt;=1,"",IF(Table12[[#This Row],[NZ GHG year]]="","",((MAX(Table12[[#This Row],[residual LULUCF emissions in 2050]],0.1)/AVERAGE(Table12[[#This Row],[2030 conditional NDCs]:[2030 conditional NDCs2]]))^(1/(Table12[[#This Row],[NZ GHG year]]-2021))-1)))</f>
        <v/>
      </c>
      <c r="BN146" s="23"/>
      <c r="BO146" s="23"/>
      <c r="BP146" s="23"/>
      <c r="BQ146" s="23"/>
      <c r="BR146" s="50" t="s">
        <v>321</v>
      </c>
      <c r="BT146" s="30" t="str">
        <f>IF(Table12[[#This Row],[Reduction rate 2021 to NZ target2]]="","",J146*(1+AN146)^(Table12[[#This Row],[NZ GHG year]]-2021))</f>
        <v/>
      </c>
    </row>
    <row r="147" spans="1:72" ht="15" x14ac:dyDescent="0.25">
      <c r="A147">
        <v>0</v>
      </c>
      <c r="B147">
        <v>0</v>
      </c>
      <c r="C147">
        <v>104</v>
      </c>
      <c r="D147">
        <v>28</v>
      </c>
      <c r="E147">
        <v>21</v>
      </c>
      <c r="F147" t="str">
        <f>'input site'!M147</f>
        <v>excl</v>
      </c>
      <c r="G147" s="31" t="s">
        <v>322</v>
      </c>
      <c r="H147" s="1" t="s">
        <v>323</v>
      </c>
      <c r="I147" s="8">
        <f>VLOOKUP($G147,'NZT data'!$B$3:$C$200,2,FALSE)</f>
        <v>1</v>
      </c>
      <c r="J147" s="32">
        <f>'input site'!AS147</f>
        <v>72.235592999999994</v>
      </c>
      <c r="K147" s="32">
        <f>'input site'!BS147</f>
        <v>83.436372182464495</v>
      </c>
      <c r="L147" s="32">
        <f t="shared" si="26"/>
        <v>0</v>
      </c>
      <c r="M147" s="32">
        <f t="shared" si="27"/>
        <v>0</v>
      </c>
      <c r="N147" s="32">
        <f>'input site'!EV147</f>
        <v>21.794495163918604</v>
      </c>
      <c r="O147" s="8"/>
      <c r="P147" s="36"/>
      <c r="Q147" s="32">
        <f t="shared" si="28"/>
        <v>0</v>
      </c>
      <c r="R147" s="32">
        <f>'input site'!EZ147</f>
        <v>1.4633857410035322</v>
      </c>
      <c r="S147" s="37">
        <f>'input site'!FA147</f>
        <v>2050</v>
      </c>
      <c r="T147" s="37" t="str">
        <f>Table12[[#This Row],[(Mt CO2 equivalent)]]</f>
        <v>Myanmar</v>
      </c>
      <c r="U147" s="8">
        <f>VLOOKUP($G147,'NZT data'!$B$3:$F$200,4,FALSE)</f>
        <v>2110</v>
      </c>
      <c r="V147" s="32">
        <f>VLOOKUP($G147,'NZT data'!$B$3:$F$200,5,FALSE)</f>
        <v>2110</v>
      </c>
      <c r="W147" s="32">
        <f>-IF('LUC NGHGI'!EC137="",MIN('LUC NGHGI'!DW137,0.1),MIN('LUC NGHGI'!EC137,0.1))</f>
        <v>90.637900573529578</v>
      </c>
      <c r="X147" s="32">
        <f>'LUC NGHGI'!EC137</f>
        <v>-90.637900573529578</v>
      </c>
      <c r="Y147" s="32">
        <f>'LUC NGHGI'!DY137</f>
        <v>38.094000000000001</v>
      </c>
      <c r="Z147" s="32">
        <f>'LUC NGHGI'!DZ137</f>
        <v>24.798999999999999</v>
      </c>
      <c r="AA147" s="32">
        <f>Table12[[#This Row],[2021 emissions]]</f>
        <v>72.235592999999994</v>
      </c>
      <c r="AB147" s="32">
        <f>'LUC NGHGI'!DW137</f>
        <v>-90.118234507353009</v>
      </c>
      <c r="AC147" s="32">
        <f>IF(F147="incl",Table12[[#This Row],[GHG emissions incl LULUCF]]-Table12[[#This Row],[LULUCF emis-sions in 20213]],Table12[[#This Row],[GHG emissions incl LULUCF]])</f>
        <v>72.235592999999994</v>
      </c>
      <c r="AD147" s="32">
        <f>'input site'!BS147</f>
        <v>83.436372182464495</v>
      </c>
      <c r="AE147" s="32">
        <f>'LUC NGHGI'!EH137</f>
        <v>-100.7516973920046</v>
      </c>
      <c r="AF147" s="32">
        <f>IF(F147="incl",Table12[[#This Row],[Current Policies 2030 incl LULUCF]]-Table12[[#This Row],[LULUCF CurPol 2030]],Table12[[#This Row],[Current Policies 2030 incl LULUCF]])</f>
        <v>83.436372182464495</v>
      </c>
      <c r="AG147" s="32" t="str">
        <f>IF(Table12[[#This Row],[Net-zero target status]]&lt;=1,"",IF(Table12[[#This Row],[NZ GHG year]]="","",1000000000*(Table12[[#This Row],[residual LULUCF emissions in 2050]]-Table12[[#This Row],[GHG emissions excl LULUCF]])/(Table12[[#This Row],[NZ GHG year]]-2021)/Table12[[#This Row],[Population]]))</f>
        <v/>
      </c>
      <c r="AH147" s="32" t="str">
        <f>IF(Table12[[#This Row],[Peak revised]]="Yes",IF(Table12[[#This Row],[Net-zero target status]]&lt;=1,"",IF(Table12[[#This Row],[NZ GHG year]]="","",1000000000*(Table12[[#This Row],[residual LULUCF emissions in 2050]]-Table12[[#This Row],[GHG emissions excl LULUCF]])/(Table12[[#This Row],[NZ GHG year]]-2021)/Table12[[#This Row],[Population]])),"")</f>
        <v/>
      </c>
      <c r="AI147" s="32">
        <f>MAX(0,(1000000*(Table12[[#This Row],[Current Policies 2030 excl LULUCF]]/2+Table12[[#This Row],[GHG emissions excl LULUCF]]/2)/Table12[[#This Row],[Population]]-$AI$8)*10)*$AI$10</f>
        <v>0</v>
      </c>
      <c r="AJ14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7" s="32" t="str">
        <f>IF(Table12[[#This Row],[Formule no Peak (2)]]="","",Table12[[#This Row],[Penalty (1)]]+Table12[[#This Row],[Formule no Peak (2)]])</f>
        <v/>
      </c>
      <c r="AL147" s="313">
        <f>(Table12[[#This Row],[Current Policies 2030 excl LULUCF]]-Table12[[#This Row],[GHG emissions excl LULUCF]])/(2030-2021)/Table12[[#This Row],[GHG emissions excl LULUCF]]</f>
        <v>1.7228778343023138E-2</v>
      </c>
      <c r="AM147" s="313" t="str">
        <f>IF(Table12[[#This Row],[Net-zero target status]]&lt;=1,"",IF(Table12[[#This Row],[NZ GHG year]]="","",(Table12[[#This Row],[residual LULUCF emissions in 2050]]-Table12[[#This Row],[Current Policies 2030 excl LULUCF]])/(Table12[[#This Row],[NZ GHG year]]-2030)/Table12[[#This Row],[Current Policies 2030 excl LULUCF]]))</f>
        <v/>
      </c>
      <c r="AN147" s="313" t="str">
        <f>IF(Table12[[#This Row],[Net-zero target status]]&lt;=1,"",IF(Table12[[#This Row],[NZ GHG year]]="","",(Table12[[#This Row],[residual LULUCF emissions in 2050]]-Table12[[#This Row],[GHG emissions excl LULUCF]])/(Table12[[#This Row],[NZ GHG year]]-2021)/Table12[[#This Row],[GHG emissions excl LULUCF]]))</f>
        <v/>
      </c>
      <c r="AO147" s="313" t="str">
        <f>IF(Table12[[#This Row],[Net-zero target status]]&lt;=1,"",IF(Table12[[#This Row],[NZ GHG year]]="","",(Table12[[#This Row],[residual LULUCF emissions in 2050]]-Table12[[#This Row],[2030 conditional NDCs]])/(Table12[[#This Row],[NZ GHG year]]-2030)/Table12[[#This Row],[2030 conditional NDCs]]))</f>
        <v/>
      </c>
      <c r="AP147" s="96">
        <f>MAX('input site'!AH147:AS147)</f>
        <v>72.235592999999994</v>
      </c>
      <c r="AQ147" s="95" t="str">
        <f>IF(Table12[[#This Row],[Current Policies 2030 incl LULUCF]]&gt;Table12[[#This Row],[Maximum inventory data]],"No","Yes")</f>
        <v>No</v>
      </c>
      <c r="AR147" s="34" t="str">
        <f>IF(Table12[[#This Row],[Net-zero target status]]&gt;=1.5,Table12[[#This Row],[residual LULUCF emissions in 2050]]/Table12[[#This Row],[GHG emissions excl LULUCF]],"")</f>
        <v/>
      </c>
      <c r="AS147" s="74"/>
      <c r="AT147" s="74"/>
      <c r="AU147" s="74"/>
      <c r="AV147" s="75"/>
      <c r="AW147" s="74" t="str">
        <f>IF(Table12[[#This Row],[2030 unconditional NDCs]]="","",IF(F147="incl",Table12[[#This Row],[2030 unconditional NDCs]]-Table12[[#This Row],[LULUCF NDC uncond]],Table12[[#This Row],[2030 unconditional NDCs]]))</f>
        <v/>
      </c>
      <c r="AX147" s="74" t="str">
        <f>IF(Table12[[#This Row],[2030 unconditional NDCs2]]="","",IF(F147="incl",Table12[[#This Row],[2030 unconditional NDCs2]]-Table12[[#This Row],[LULUCF NDC uncond]],Table12[[#This Row],[2030 unconditional NDCs2]]))</f>
        <v/>
      </c>
      <c r="AY147" s="74" t="str">
        <f>IF(Table12[[#This Row],[2030 conditional NDCs]]="","",IF(F147="incl",Table12[[#This Row],[2030 conditional NDCs]]-Table12[[#This Row],[LULUCF NDC cond]],Table12[[#This Row],[2030 conditional NDCs]]))</f>
        <v/>
      </c>
      <c r="AZ147" s="74" t="str">
        <f>IF(Table12[[#This Row],[2030 conditional NDCs2]]="","",IF(F147="incl",Table12[[#This Row],[2030 conditional NDCs2]]-Table12[[#This Row],[LULUCF NDC cond]],Table12[[#This Row],[2030 conditional NDCs2]]))</f>
        <v/>
      </c>
      <c r="BA147" s="8">
        <f>VLOOKUP($G147,'Population90 20'!$C$6:$AU$231,37,FALSE)</f>
        <v>55227143</v>
      </c>
      <c r="BB147" s="8">
        <f>VLOOKUP($G147,'Overview GDP (PPP)'!$C$6:$AI$231,33,FALSE)</f>
        <v>318062369.68586773</v>
      </c>
      <c r="BC147" s="36">
        <f>Table12[[#This Row],[Income]]/Table12[[#This Row],[Population]]</f>
        <v>5.7591675471220327</v>
      </c>
      <c r="BD147" s="36">
        <f>Table12[[#This Row],[GHG emissions excl LULUCF]]*1000000/Table12[[#This Row],[Population]]</f>
        <v>1.3079726575752797</v>
      </c>
      <c r="BE147" s="23" t="e">
        <f>VLOOKUP($G147,EGR2023_MASTER!$B$4:$S$38,14,FALSE)</f>
        <v>#N/A</v>
      </c>
      <c r="BF147" s="23" t="e">
        <f>VLOOKUP($G147,EGR2023_MASTER!$B$4:$S$38,15,FALSE)</f>
        <v>#N/A</v>
      </c>
      <c r="BG147" s="23" t="e">
        <f>VLOOKUP($G147,EGR2023_MASTER!$B$4:$S$38,16,FALSE)</f>
        <v>#N/A</v>
      </c>
      <c r="BH147" s="23" t="e">
        <f t="shared" si="24"/>
        <v>#N/A</v>
      </c>
      <c r="BI147" s="23" t="e">
        <f t="shared" si="25"/>
        <v>#N/A</v>
      </c>
      <c r="BJ147" s="552">
        <f>(Table12[[#This Row],[Current Policies 2030 excl LULUCF]]/Table12[[#This Row],[GHG emissions excl LULUCF]])^(1/(2030-2021))-1</f>
        <v>1.6145782403305331E-2</v>
      </c>
      <c r="BK147" s="552" t="str">
        <f>IF(Table12[[#This Row],[Net-zero target status]]&lt;=1,"",IF(Table12[[#This Row],[NZ GHG year]]="","",((MAX(Table12[[#This Row],[residual LULUCF emissions in 2050]],0.1)/Table12[[#This Row],[Current Policies 2030 excl LULUCF]])^(1/(Table12[[#This Row],[NZ GHG year]]-2021))-1)))</f>
        <v/>
      </c>
      <c r="BL147" s="552" t="str">
        <f>IF(Table12[[#This Row],[Net-zero target status]]&lt;=1,"",IF(Table12[[#This Row],[NZ GHG year]]="","",((MAX(Table12[[#This Row],[residual LULUCF emissions in 2050]],0.1)/Table12[[#This Row],[GHG emissions excl LULUCF]])^(1/(Table12[[#This Row],[NZ GHG year]]-2021))-1)))</f>
        <v/>
      </c>
      <c r="BM147" s="552" t="str">
        <f>IF(Table12[[#This Row],[Net-zero target status]]&lt;=1,"",IF(Table12[[#This Row],[NZ GHG year]]="","",((MAX(Table12[[#This Row],[residual LULUCF emissions in 2050]],0.1)/AVERAGE(Table12[[#This Row],[2030 conditional NDCs]:[2030 conditional NDCs2]]))^(1/(Table12[[#This Row],[NZ GHG year]]-2021))-1)))</f>
        <v/>
      </c>
      <c r="BN147" s="23"/>
      <c r="BO147" s="23"/>
      <c r="BP147" s="23"/>
      <c r="BQ147" s="23"/>
      <c r="BR147" s="50" t="s">
        <v>323</v>
      </c>
      <c r="BT147" s="30" t="str">
        <f>IF(Table12[[#This Row],[Reduction rate 2021 to NZ target2]]="","",J147*(1+AN147)^(Table12[[#This Row],[NZ GHG year]]-2021))</f>
        <v/>
      </c>
    </row>
    <row r="148" spans="1:72" ht="15" x14ac:dyDescent="0.25">
      <c r="A148">
        <v>0</v>
      </c>
      <c r="B148">
        <v>0</v>
      </c>
      <c r="C148">
        <v>516</v>
      </c>
      <c r="D148">
        <v>134</v>
      </c>
      <c r="E148">
        <v>26</v>
      </c>
      <c r="F148" t="str">
        <f>'input site'!M148</f>
        <v>incl</v>
      </c>
      <c r="G148" s="31" t="s">
        <v>324</v>
      </c>
      <c r="H148" s="1" t="s">
        <v>325</v>
      </c>
      <c r="I148" s="8">
        <f>VLOOKUP($G148,'NZT data'!$B$3:$C$200,2,FALSE)</f>
        <v>3</v>
      </c>
      <c r="J148" s="32">
        <f>'input site'!AS148</f>
        <v>-103.97546895767189</v>
      </c>
      <c r="K148" s="32">
        <f>'input site'!BS148</f>
        <v>-102.11317095188474</v>
      </c>
      <c r="L148" s="32">
        <f t="shared" si="26"/>
        <v>0</v>
      </c>
      <c r="M148" s="32">
        <f t="shared" si="27"/>
        <v>0</v>
      </c>
      <c r="N148" s="32">
        <f>'input site'!EV148</f>
        <v>-72.277513825884924</v>
      </c>
      <c r="O148" s="8">
        <v>0</v>
      </c>
      <c r="P148" s="36">
        <f>O148-N148</f>
        <v>72.277513825884924</v>
      </c>
      <c r="Q148" s="32">
        <f t="shared" si="28"/>
        <v>0</v>
      </c>
      <c r="R148" s="32">
        <f>'input site'!EZ148</f>
        <v>-67.398031505859564</v>
      </c>
      <c r="S148" s="37">
        <f>'input site'!FA148</f>
        <v>2050</v>
      </c>
      <c r="T148" s="37" t="str">
        <f>Table12[[#This Row],[(Mt CO2 equivalent)]]</f>
        <v>Namibia</v>
      </c>
      <c r="U148" s="8">
        <f>VLOOKUP($G148,'NZT data'!$B$3:$F$200,4,FALSE)</f>
        <v>2050</v>
      </c>
      <c r="V148" s="32">
        <f>VLOOKUP($G148,'NZT data'!$B$3:$F$200,5,FALSE)</f>
        <v>2050</v>
      </c>
      <c r="W148" s="32">
        <f>-IF('LUC NGHGI'!EC138="",MIN('LUC NGHGI'!DW138,0.1),MIN('LUC NGHGI'!EC138,0.1))</f>
        <v>114.89662433862418</v>
      </c>
      <c r="X148" s="32">
        <f>'LUC NGHGI'!EC138</f>
        <v>-114.89662433862418</v>
      </c>
      <c r="Y148" s="32">
        <f>'LUC NGHGI'!DY138</f>
        <v>-116.31062433862418</v>
      </c>
      <c r="Z148" s="32">
        <f>'LUC NGHGI'!DZ138</f>
        <v>-133.92662433862418</v>
      </c>
      <c r="AA148" s="32">
        <f>Table12[[#This Row],[2021 emissions]]</f>
        <v>-103.97546895767189</v>
      </c>
      <c r="AB148" s="32">
        <f>'LUC NGHGI'!DW138</f>
        <v>-115.86167195767189</v>
      </c>
      <c r="AC148" s="32">
        <f>IF(F148="incl",Table12[[#This Row],[GHG emissions incl LULUCF]]-Table12[[#This Row],[LULUCF emis-sions in 20213]],Table12[[#This Row],[GHG emissions incl LULUCF]])</f>
        <v>11.886202999999995</v>
      </c>
      <c r="AD148" s="32">
        <f>'input site'!BS148</f>
        <v>-102.11317095188474</v>
      </c>
      <c r="AE148" s="32">
        <f>'LUC NGHGI'!EH138</f>
        <v>-137.67642269147535</v>
      </c>
      <c r="AF148" s="32">
        <f>IF(F148="incl",Table12[[#This Row],[Current Policies 2030 incl LULUCF]]-Table12[[#This Row],[LULUCF CurPol 2030]],Table12[[#This Row],[Current Policies 2030 incl LULUCF]])</f>
        <v>35.563251739590612</v>
      </c>
      <c r="AG148" s="32">
        <f>IF(Table12[[#This Row],[Net-zero target status]]&lt;=1,"",IF(Table12[[#This Row],[NZ GHG year]]="","",1000000000*(Table12[[#This Row],[residual LULUCF emissions in 2050]]-Table12[[#This Row],[GHG emissions excl LULUCF]])/(Table12[[#This Row],[NZ GHG year]]-2021)/Table12[[#This Row],[Population]]))</f>
        <v>1348.6155732716588</v>
      </c>
      <c r="AH148" s="32">
        <f>IF(Table12[[#This Row],[Peak revised]]="Yes",IF(Table12[[#This Row],[Net-zero target status]]&lt;=1,"",IF(Table12[[#This Row],[NZ GHG year]]="","",1000000000*(Table12[[#This Row],[residual LULUCF emissions in 2050]]-Table12[[#This Row],[GHG emissions excl LULUCF]])/(Table12[[#This Row],[NZ GHG year]]-2021)/Table12[[#This Row],[Population]])),"")</f>
        <v>1348.6155732716588</v>
      </c>
      <c r="AI148" s="32">
        <f>MAX(0,(1000000*(Table12[[#This Row],[Current Policies 2030 excl LULUCF]]/2+Table12[[#This Row],[GHG emissions excl LULUCF]]/2)/Table12[[#This Row],[Population]]-$AI$8)*10)*$AI$10</f>
        <v>-200.75407440884803</v>
      </c>
      <c r="AJ14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8" s="32" t="str">
        <f>IF(Table12[[#This Row],[Formule no Peak (2)]]="","",Table12[[#This Row],[Penalty (1)]]+Table12[[#This Row],[Formule no Peak (2)]])</f>
        <v/>
      </c>
      <c r="AL148" s="313">
        <f>(Table12[[#This Row],[Current Policies 2030 excl LULUCF]]-Table12[[#This Row],[GHG emissions excl LULUCF]])/(2030-2021)/Table12[[#This Row],[GHG emissions excl LULUCF]]</f>
        <v>0.22133083149327396</v>
      </c>
      <c r="AM148" s="313">
        <f>IF(Table12[[#This Row],[Net-zero target status]]&lt;=1,"",IF(Table12[[#This Row],[NZ GHG year]]="","",(Table12[[#This Row],[residual LULUCF emissions in 2050]]-Table12[[#This Row],[Current Policies 2030 excl LULUCF]])/(Table12[[#This Row],[NZ GHG year]]-2030)/Table12[[#This Row],[Current Policies 2030 excl LULUCF]]))</f>
        <v>0.11153841215075966</v>
      </c>
      <c r="AN148" s="313">
        <f>IF(Table12[[#This Row],[Net-zero target status]]&lt;=1,"",IF(Table12[[#This Row],[NZ GHG year]]="","",(Table12[[#This Row],[residual LULUCF emissions in 2050]]-Table12[[#This Row],[GHG emissions excl LULUCF]])/(Table12[[#This Row],[NZ GHG year]]-2021)/Table12[[#This Row],[GHG emissions excl LULUCF]]))</f>
        <v>0.2988408909418187</v>
      </c>
      <c r="AO148" s="313">
        <f>IF(Table12[[#This Row],[Net-zero target status]]&lt;=1,"",IF(Table12[[#This Row],[NZ GHG year]]="","",(Table12[[#This Row],[residual LULUCF emissions in 2050]]-Table12[[#This Row],[2030 conditional NDCs]])/(Table12[[#This Row],[NZ GHG year]]-2030)/Table12[[#This Row],[2030 conditional NDCs]]))</f>
        <v>-0.10598432214521473</v>
      </c>
      <c r="AP148" s="96">
        <f>MAX('input site'!AH148:AS148)</f>
        <v>-84.961634000000004</v>
      </c>
      <c r="AQ148" s="95" t="str">
        <f>IF(Table12[[#This Row],[Current Policies 2030 incl LULUCF]]&gt;Table12[[#This Row],[Maximum inventory data]],"No","Yes")</f>
        <v>Yes</v>
      </c>
      <c r="AR148" s="34">
        <f>IF(Table12[[#This Row],[Net-zero target status]]&gt;=1.5,Table12[[#This Row],[residual LULUCF emissions in 2050]]/Table12[[#This Row],[GHG emissions excl LULUCF]],"")</f>
        <v>9.6663858373127418</v>
      </c>
      <c r="AS148" s="74">
        <f>'input site'!BE148</f>
        <v>0</v>
      </c>
      <c r="AT148" s="74">
        <f>'input site'!BF148</f>
        <v>0</v>
      </c>
      <c r="AU148" s="74">
        <f>'input site'!BG148</f>
        <v>-102.61499999999999</v>
      </c>
      <c r="AV148" s="75">
        <f>'input site'!BH148</f>
        <v>-102.61499999999999</v>
      </c>
      <c r="AW148" s="74">
        <f>IF(Table12[[#This Row],[2030 unconditional NDCs]]="","",IF(F148="incl",Table12[[#This Row],[2030 unconditional NDCs]]-Table12[[#This Row],[LULUCF NDC uncond]],Table12[[#This Row],[2030 unconditional NDCs]]))</f>
        <v>116.31062433862418</v>
      </c>
      <c r="AX148" s="74">
        <f>IF(Table12[[#This Row],[2030 unconditional NDCs2]]="","",IF(F148="incl",Table12[[#This Row],[2030 unconditional NDCs2]]-Table12[[#This Row],[LULUCF NDC uncond]],Table12[[#This Row],[2030 unconditional NDCs2]]))</f>
        <v>116.31062433862418</v>
      </c>
      <c r="AY148" s="74">
        <f>IF(Table12[[#This Row],[2030 conditional NDCs]]="","",IF(F148="incl",Table12[[#This Row],[2030 conditional NDCs]]-Table12[[#This Row],[LULUCF NDC cond]],Table12[[#This Row],[2030 conditional NDCs]]))</f>
        <v>31.311624338624185</v>
      </c>
      <c r="AZ148" s="74">
        <f>IF(Table12[[#This Row],[2030 conditional NDCs2]]="","",IF(F148="incl",Table12[[#This Row],[2030 conditional NDCs2]]-Table12[[#This Row],[LULUCF NDC cond]],Table12[[#This Row],[2030 conditional NDCs2]]))</f>
        <v>31.311624338624185</v>
      </c>
      <c r="BA148" s="8">
        <f>VLOOKUP($G148,'Population90 20'!$C$6:$AU$231,37,FALSE)</f>
        <v>2633874</v>
      </c>
      <c r="BB148" s="8">
        <f>VLOOKUP($G148,'Overview GDP (PPP)'!$C$6:$AI$231,33,FALSE)</f>
        <v>24231923.170438509</v>
      </c>
      <c r="BC148" s="36">
        <f>Table12[[#This Row],[Income]]/Table12[[#This Row],[Population]]</f>
        <v>9.2001072072690295</v>
      </c>
      <c r="BD148" s="36">
        <f>Table12[[#This Row],[GHG emissions excl LULUCF]]*1000000/Table12[[#This Row],[Population]]</f>
        <v>4.512821418184771</v>
      </c>
      <c r="BE148" s="23" t="e">
        <f>VLOOKUP($G148,EGR2023_MASTER!$B$4:$S$38,14,FALSE)</f>
        <v>#N/A</v>
      </c>
      <c r="BF148" s="23" t="e">
        <f>VLOOKUP($G148,EGR2023_MASTER!$B$4:$S$38,15,FALSE)</f>
        <v>#N/A</v>
      </c>
      <c r="BG148" s="23" t="e">
        <f>VLOOKUP($G148,EGR2023_MASTER!$B$4:$S$38,16,FALSE)</f>
        <v>#N/A</v>
      </c>
      <c r="BH148" s="23" t="e">
        <f t="shared" si="24"/>
        <v>#N/A</v>
      </c>
      <c r="BI148" s="23" t="e">
        <f t="shared" si="25"/>
        <v>#N/A</v>
      </c>
      <c r="BJ148" s="552">
        <f>(Table12[[#This Row],[Current Policies 2030 excl LULUCF]]/Table12[[#This Row],[GHG emissions excl LULUCF]])^(1/(2030-2021))-1</f>
        <v>0.1294948572930652</v>
      </c>
      <c r="BK148" s="552">
        <f>IF(Table12[[#This Row],[Net-zero target status]]&lt;=1,"",IF(Table12[[#This Row],[NZ GHG year]]="","",((MAX(Table12[[#This Row],[residual LULUCF emissions in 2050]],0.1)/Table12[[#This Row],[Current Policies 2030 excl LULUCF]])^(1/(Table12[[#This Row],[NZ GHG year]]-2021))-1)))</f>
        <v>4.1267393853827494E-2</v>
      </c>
      <c r="BL148" s="552">
        <f>IF(Table12[[#This Row],[Net-zero target status]]&lt;=1,"",IF(Table12[[#This Row],[NZ GHG year]]="","",((MAX(Table12[[#This Row],[residual LULUCF emissions in 2050]],0.1)/Table12[[#This Row],[GHG emissions excl LULUCF]])^(1/(Table12[[#This Row],[NZ GHG year]]-2021))-1)))</f>
        <v>8.1370767116876186E-2</v>
      </c>
      <c r="BM148" s="552">
        <f>IF(Table12[[#This Row],[Net-zero target status]]&lt;=1,"",IF(Table12[[#This Row],[NZ GHG year]]="","",((MAX(Table12[[#This Row],[residual LULUCF emissions in 2050]],0.1)/AVERAGE(Table12[[#This Row],[2030 conditional NDCs]:[2030 conditional NDCs2]]))^(1/(Table12[[#This Row],[NZ GHG year]]-2021))-1)))</f>
        <v>-2.0039058384803488</v>
      </c>
      <c r="BN148" s="23"/>
      <c r="BO148" s="23"/>
      <c r="BP148" s="23"/>
      <c r="BQ148" s="23"/>
      <c r="BR148" s="50" t="s">
        <v>325</v>
      </c>
      <c r="BT148" s="30">
        <f>IF(Table12[[#This Row],[Reduction rate 2021 to NZ target2]]="","",J148*(1+AN148)^(Table12[[#This Row],[NZ GHG year]]-2021))</f>
        <v>-204198.95823904258</v>
      </c>
    </row>
    <row r="149" spans="1:72" ht="15" x14ac:dyDescent="0.25">
      <c r="A149">
        <v>0</v>
      </c>
      <c r="B149">
        <v>0</v>
      </c>
      <c r="C149">
        <v>520</v>
      </c>
      <c r="D149">
        <v>135</v>
      </c>
      <c r="E149">
        <v>24</v>
      </c>
      <c r="F149" t="str">
        <f>'input site'!M149</f>
        <v>excl</v>
      </c>
      <c r="G149" s="31" t="s">
        <v>326</v>
      </c>
      <c r="H149" s="1" t="s">
        <v>327</v>
      </c>
      <c r="I149" s="8">
        <f>VLOOKUP($G149,'NZT data'!$B$3:$C$200,2,FALSE)</f>
        <v>1</v>
      </c>
      <c r="J149" s="32">
        <f>'input site'!AS149</f>
        <v>5.4048246000000001E-2</v>
      </c>
      <c r="K149" s="32">
        <f>'input site'!BS149</f>
        <v>5.6660323688065097E-2</v>
      </c>
      <c r="L149" s="32">
        <f t="shared" si="26"/>
        <v>0</v>
      </c>
      <c r="M149" s="32">
        <f t="shared" si="27"/>
        <v>0</v>
      </c>
      <c r="N149" s="32">
        <f>'input site'!EV149</f>
        <v>1.934087289592987E-2</v>
      </c>
      <c r="O149" s="8">
        <v>0</v>
      </c>
      <c r="P149" s="36">
        <f>O149-N149</f>
        <v>-1.934087289592987E-2</v>
      </c>
      <c r="Q149" s="32">
        <f t="shared" si="28"/>
        <v>0</v>
      </c>
      <c r="R149" s="32">
        <f>'input site'!EZ149</f>
        <v>8.3661591653046603E-3</v>
      </c>
      <c r="S149" s="37">
        <f>'input site'!FA149</f>
        <v>2050</v>
      </c>
      <c r="T149" s="37" t="str">
        <f>Table12[[#This Row],[(Mt CO2 equivalent)]]</f>
        <v>Nauru</v>
      </c>
      <c r="U149" s="8">
        <f>VLOOKUP($G149,'NZT data'!$B$3:$F$200,4,FALSE)</f>
        <v>2110</v>
      </c>
      <c r="V149" s="32">
        <f>VLOOKUP($G149,'NZT data'!$B$3:$F$200,5,FALSE)</f>
        <v>2110</v>
      </c>
      <c r="W149" s="32">
        <f>-IF('LUC NGHGI'!EC139="",MIN('LUC NGHGI'!DW139,0.1),MIN('LUC NGHGI'!EC139,0.1))</f>
        <v>9.0530000000000107E-3</v>
      </c>
      <c r="X149" s="32">
        <f>'LUC NGHGI'!EC139</f>
        <v>-9.0530000000000107E-3</v>
      </c>
      <c r="Y149" s="32">
        <f>'LUC NGHGI'!DY139</f>
        <v>-9.0530000000000107E-3</v>
      </c>
      <c r="Z149" s="32">
        <f>'LUC NGHGI'!DZ139</f>
        <v>-9.0530000000000107E-3</v>
      </c>
      <c r="AA149" s="32">
        <f>Table12[[#This Row],[2021 emissions]]</f>
        <v>5.4048246000000001E-2</v>
      </c>
      <c r="AB149" s="32">
        <f>'LUC NGHGI'!DW139</f>
        <v>-9.0530000000000124E-3</v>
      </c>
      <c r="AC149" s="32">
        <f>IF(F149="incl",Table12[[#This Row],[GHG emissions incl LULUCF]]-Table12[[#This Row],[LULUCF emis-sions in 20213]],Table12[[#This Row],[GHG emissions incl LULUCF]])</f>
        <v>5.4048246000000001E-2</v>
      </c>
      <c r="AD149" s="32">
        <f>'input site'!BS149</f>
        <v>5.6660323688065097E-2</v>
      </c>
      <c r="AE149" s="32">
        <f>'LUC NGHGI'!EH139</f>
        <v>-8.447303247142518E-3</v>
      </c>
      <c r="AF149" s="32">
        <f>IF(F149="incl",Table12[[#This Row],[Current Policies 2030 incl LULUCF]]-Table12[[#This Row],[LULUCF CurPol 2030]],Table12[[#This Row],[Current Policies 2030 incl LULUCF]])</f>
        <v>5.6660323688065097E-2</v>
      </c>
      <c r="AG149" s="32" t="str">
        <f>IF(Table12[[#This Row],[Net-zero target status]]&lt;=1,"",IF(Table12[[#This Row],[NZ GHG year]]="","",1000000000*(Table12[[#This Row],[residual LULUCF emissions in 2050]]-Table12[[#This Row],[GHG emissions excl LULUCF]])/(Table12[[#This Row],[NZ GHG year]]-2021)/Table12[[#This Row],[Population]]))</f>
        <v/>
      </c>
      <c r="AH149" s="32" t="str">
        <f>IF(Table12[[#This Row],[Peak revised]]="Yes",IF(Table12[[#This Row],[Net-zero target status]]&lt;=1,"",IF(Table12[[#This Row],[NZ GHG year]]="","",1000000000*(Table12[[#This Row],[residual LULUCF emissions in 2050]]-Table12[[#This Row],[GHG emissions excl LULUCF]])/(Table12[[#This Row],[NZ GHG year]]-2021)/Table12[[#This Row],[Population]])),"")</f>
        <v/>
      </c>
      <c r="AI149" s="32">
        <f>MAX(0,(1000000*(Table12[[#This Row],[Current Policies 2030 excl LULUCF]]/2+Table12[[#This Row],[GHG emissions excl LULUCF]]/2)/Table12[[#This Row],[Population]]-$AI$8)*10)*$AI$10</f>
        <v>0</v>
      </c>
      <c r="AJ14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49" s="32" t="str">
        <f>IF(Table12[[#This Row],[Formule no Peak (2)]]="","",Table12[[#This Row],[Penalty (1)]]+Table12[[#This Row],[Formule no Peak (2)]])</f>
        <v/>
      </c>
      <c r="AL149" s="313">
        <f>(Table12[[#This Row],[Current Policies 2030 excl LULUCF]]-Table12[[#This Row],[GHG emissions excl LULUCF]])/(2030-2021)/Table12[[#This Row],[GHG emissions excl LULUCF]]</f>
        <v>5.3698477880198929E-3</v>
      </c>
      <c r="AM149" s="313" t="str">
        <f>IF(Table12[[#This Row],[Net-zero target status]]&lt;=1,"",IF(Table12[[#This Row],[NZ GHG year]]="","",(Table12[[#This Row],[residual LULUCF emissions in 2050]]-Table12[[#This Row],[Current Policies 2030 excl LULUCF]])/(Table12[[#This Row],[NZ GHG year]]-2030)/Table12[[#This Row],[Current Policies 2030 excl LULUCF]]))</f>
        <v/>
      </c>
      <c r="AN149" s="313" t="str">
        <f>IF(Table12[[#This Row],[Net-zero target status]]&lt;=1,"",IF(Table12[[#This Row],[NZ GHG year]]="","",(Table12[[#This Row],[residual LULUCF emissions in 2050]]-Table12[[#This Row],[GHG emissions excl LULUCF]])/(Table12[[#This Row],[NZ GHG year]]-2021)/Table12[[#This Row],[GHG emissions excl LULUCF]]))</f>
        <v/>
      </c>
      <c r="AO149" s="313" t="str">
        <f>IF(Table12[[#This Row],[Net-zero target status]]&lt;=1,"",IF(Table12[[#This Row],[NZ GHG year]]="","",(Table12[[#This Row],[residual LULUCF emissions in 2050]]-Table12[[#This Row],[2030 conditional NDCs]])/(Table12[[#This Row],[NZ GHG year]]-2030)/Table12[[#This Row],[2030 conditional NDCs]]))</f>
        <v/>
      </c>
      <c r="AP149" s="96">
        <f>MAX('input site'!AH149:AS149)</f>
        <v>5.4048246000000001E-2</v>
      </c>
      <c r="AQ149" s="95" t="str">
        <f>IF(Table12[[#This Row],[Current Policies 2030 incl LULUCF]]&gt;Table12[[#This Row],[Maximum inventory data]],"No","Yes")</f>
        <v>No</v>
      </c>
      <c r="AR149" s="34" t="str">
        <f>IF(Table12[[#This Row],[Net-zero target status]]&gt;=1.5,Table12[[#This Row],[residual LULUCF emissions in 2050]]/Table12[[#This Row],[GHG emissions excl LULUCF]],"")</f>
        <v/>
      </c>
      <c r="AS149" s="74" t="str">
        <f>'input site'!BE149</f>
        <v/>
      </c>
      <c r="AT149" s="74"/>
      <c r="AU149" s="74"/>
      <c r="AV149" s="75"/>
      <c r="AW149" s="74" t="str">
        <f>IF(Table12[[#This Row],[2030 unconditional NDCs]]="","",IF(F149="incl",Table12[[#This Row],[2030 unconditional NDCs]]-Table12[[#This Row],[LULUCF NDC uncond]],Table12[[#This Row],[2030 unconditional NDCs]]))</f>
        <v/>
      </c>
      <c r="AX149" s="74" t="str">
        <f>IF(Table12[[#This Row],[2030 unconditional NDCs2]]="","",IF(F149="incl",Table12[[#This Row],[2030 unconditional NDCs2]]-Table12[[#This Row],[LULUCF NDC uncond]],Table12[[#This Row],[2030 unconditional NDCs2]]))</f>
        <v/>
      </c>
      <c r="AY149" s="74" t="str">
        <f>IF(Table12[[#This Row],[2030 conditional NDCs]]="","",IF(F149="incl",Table12[[#This Row],[2030 conditional NDCs]]-Table12[[#This Row],[LULUCF NDC cond]],Table12[[#This Row],[2030 conditional NDCs]]))</f>
        <v/>
      </c>
      <c r="AZ149" s="74" t="str">
        <f>IF(Table12[[#This Row],[2030 conditional NDCs2]]="","",IF(F149="incl",Table12[[#This Row],[2030 conditional NDCs2]]-Table12[[#This Row],[LULUCF NDC cond]],Table12[[#This Row],[2030 conditional NDCs2]]))</f>
        <v/>
      </c>
      <c r="BA149" s="8">
        <f>VLOOKUP($G149,'Population90 20'!$C$6:$AU$231,37,FALSE)</f>
        <v>10903</v>
      </c>
      <c r="BB149" s="8">
        <f>VLOOKUP($G149,'Overview GDP (PPP)'!$C$6:$AI$231,33,FALSE)</f>
        <v>169890.34094092276</v>
      </c>
      <c r="BC149" s="36">
        <f>Table12[[#This Row],[Income]]/Table12[[#This Row],[Population]]</f>
        <v>15.58198119241702</v>
      </c>
      <c r="BD149" s="36">
        <f>Table12[[#This Row],[GHG emissions excl LULUCF]]*1000000/Table12[[#This Row],[Population]]</f>
        <v>4.9571903145923137</v>
      </c>
      <c r="BE149" s="23" t="e">
        <f>VLOOKUP($G149,EGR2023_MASTER!$B$4:$S$38,14,FALSE)</f>
        <v>#N/A</v>
      </c>
      <c r="BF149" s="23" t="e">
        <f>VLOOKUP($G149,EGR2023_MASTER!$B$4:$S$38,15,FALSE)</f>
        <v>#N/A</v>
      </c>
      <c r="BG149" s="23" t="e">
        <f>VLOOKUP($G149,EGR2023_MASTER!$B$4:$S$38,16,FALSE)</f>
        <v>#N/A</v>
      </c>
      <c r="BH149" s="23" t="e">
        <f t="shared" si="24"/>
        <v>#N/A</v>
      </c>
      <c r="BI149" s="23" t="e">
        <f t="shared" si="25"/>
        <v>#N/A</v>
      </c>
      <c r="BJ149" s="552">
        <f>(Table12[[#This Row],[Current Policies 2030 excl LULUCF]]/Table12[[#This Row],[GHG emissions excl LULUCF]])^(1/(2030-2021))-1</f>
        <v>5.2578983828655002E-3</v>
      </c>
      <c r="BK149" s="552" t="str">
        <f>IF(Table12[[#This Row],[Net-zero target status]]&lt;=1,"",IF(Table12[[#This Row],[NZ GHG year]]="","",((MAX(Table12[[#This Row],[residual LULUCF emissions in 2050]],0.1)/Table12[[#This Row],[Current Policies 2030 excl LULUCF]])^(1/(Table12[[#This Row],[NZ GHG year]]-2021))-1)))</f>
        <v/>
      </c>
      <c r="BL149" s="552" t="str">
        <f>IF(Table12[[#This Row],[Net-zero target status]]&lt;=1,"",IF(Table12[[#This Row],[NZ GHG year]]="","",((MAX(Table12[[#This Row],[residual LULUCF emissions in 2050]],0.1)/Table12[[#This Row],[GHG emissions excl LULUCF]])^(1/(Table12[[#This Row],[NZ GHG year]]-2021))-1)))</f>
        <v/>
      </c>
      <c r="BM149" s="552" t="str">
        <f>IF(Table12[[#This Row],[Net-zero target status]]&lt;=1,"",IF(Table12[[#This Row],[NZ GHG year]]="","",((MAX(Table12[[#This Row],[residual LULUCF emissions in 2050]],0.1)/AVERAGE(Table12[[#This Row],[2030 conditional NDCs]:[2030 conditional NDCs2]]))^(1/(Table12[[#This Row],[NZ GHG year]]-2021))-1)))</f>
        <v/>
      </c>
      <c r="BN149" s="23"/>
      <c r="BO149" s="23"/>
      <c r="BP149" s="23"/>
      <c r="BQ149" s="23"/>
      <c r="BR149" s="50" t="s">
        <v>327</v>
      </c>
      <c r="BT149" s="30" t="str">
        <f>IF(Table12[[#This Row],[Reduction rate 2021 to NZ target2]]="","",J149*(1+AN149)^(Table12[[#This Row],[NZ GHG year]]-2021))</f>
        <v/>
      </c>
    </row>
    <row r="150" spans="1:72" ht="15" x14ac:dyDescent="0.25">
      <c r="A150">
        <v>1</v>
      </c>
      <c r="B150">
        <v>0</v>
      </c>
      <c r="C150">
        <v>524</v>
      </c>
      <c r="D150">
        <v>136</v>
      </c>
      <c r="E150">
        <v>25</v>
      </c>
      <c r="F150" t="str">
        <f>'input site'!M150</f>
        <v>excl</v>
      </c>
      <c r="G150" s="31" t="s">
        <v>328</v>
      </c>
      <c r="H150" s="1" t="s">
        <v>329</v>
      </c>
      <c r="I150" s="8">
        <f>VLOOKUP($G150,'NZT data'!$B$3:$C$200,2,FALSE)</f>
        <v>3</v>
      </c>
      <c r="J150" s="32">
        <f>'input site'!AS150</f>
        <v>48.827477000000002</v>
      </c>
      <c r="K150" s="32">
        <f>'input site'!BS150</f>
        <v>59.395174565838118</v>
      </c>
      <c r="L150" s="32">
        <f t="shared" si="26"/>
        <v>0</v>
      </c>
      <c r="M150" s="32">
        <f t="shared" si="27"/>
        <v>0</v>
      </c>
      <c r="N150" s="32">
        <f>'input site'!EV150</f>
        <v>30.519979213571318</v>
      </c>
      <c r="O150" s="8"/>
      <c r="P150" s="36"/>
      <c r="Q150" s="32">
        <f t="shared" si="28"/>
        <v>0</v>
      </c>
      <c r="R150" s="32">
        <f>'input site'!EZ150</f>
        <v>12.790662326943416</v>
      </c>
      <c r="S150" s="37">
        <f>'input site'!FA150</f>
        <v>2050</v>
      </c>
      <c r="T150" s="37" t="str">
        <f>Table12[[#This Row],[(Mt CO2 equivalent)]]</f>
        <v>Nepal</v>
      </c>
      <c r="U150" s="8">
        <f>VLOOKUP($G150,'NZT data'!$B$3:$F$200,4,FALSE)</f>
        <v>2045</v>
      </c>
      <c r="V150" s="32">
        <f>VLOOKUP($G150,'NZT data'!$B$3:$F$200,5,FALSE)</f>
        <v>2045</v>
      </c>
      <c r="W150" s="32">
        <f>-IF('LUC NGHGI'!EC140="",MIN('LUC NGHGI'!DW140,0.1),MIN('LUC NGHGI'!EC140,0.1))</f>
        <v>34.949589610389467</v>
      </c>
      <c r="X150" s="32">
        <f>'LUC NGHGI'!EC140</f>
        <v>-34.949589610389467</v>
      </c>
      <c r="Y150" s="32">
        <f>'LUC NGHGI'!DY140</f>
        <v>-34.949589610389467</v>
      </c>
      <c r="Z150" s="32">
        <f>'LUC NGHGI'!DZ140</f>
        <v>-34.949589610389467</v>
      </c>
      <c r="AA150" s="32">
        <f>Table12[[#This Row],[2021 emissions]]</f>
        <v>48.827477000000002</v>
      </c>
      <c r="AB150" s="32">
        <f>'LUC NGHGI'!DW140</f>
        <v>-36.40061047619065</v>
      </c>
      <c r="AC150" s="32">
        <f>IF(F150="incl",Table12[[#This Row],[GHG emissions incl LULUCF]]-Table12[[#This Row],[LULUCF emis-sions in 20213]],Table12[[#This Row],[GHG emissions incl LULUCF]])</f>
        <v>48.827477000000002</v>
      </c>
      <c r="AD150" s="32">
        <f>'input site'!BS150</f>
        <v>59.395174565838118</v>
      </c>
      <c r="AE150" s="32">
        <f>'LUC NGHGI'!EH140</f>
        <v>-37.451706528770067</v>
      </c>
      <c r="AF150" s="32">
        <f>IF(F150="incl",Table12[[#This Row],[Current Policies 2030 incl LULUCF]]-Table12[[#This Row],[LULUCF CurPol 2030]],Table12[[#This Row],[Current Policies 2030 incl LULUCF]])</f>
        <v>59.395174565838118</v>
      </c>
      <c r="AG150" s="32">
        <f>IF(Table12[[#This Row],[Net-zero target status]]&lt;=1,"",IF(Table12[[#This Row],[NZ GHG year]]="","",1000000000*(Table12[[#This Row],[residual LULUCF emissions in 2050]]-Table12[[#This Row],[GHG emissions excl LULUCF]])/(Table12[[#This Row],[NZ GHG year]]-2021)/Table12[[#This Row],[Population]]))</f>
        <v>-19.130990030247851</v>
      </c>
      <c r="AH150" s="32" t="str">
        <f>IF(Table12[[#This Row],[Peak revised]]="Yes",IF(Table12[[#This Row],[Net-zero target status]]&lt;=1,"",IF(Table12[[#This Row],[NZ GHG year]]="","",1000000000*(Table12[[#This Row],[residual LULUCF emissions in 2050]]-Table12[[#This Row],[GHG emissions excl LULUCF]])/(Table12[[#This Row],[NZ GHG year]]-2021)/Table12[[#This Row],[Population]])),"")</f>
        <v/>
      </c>
      <c r="AI150" s="32">
        <f>MAX(0,(1000000*(Table12[[#This Row],[Current Policies 2030 excl LULUCF]]/2+Table12[[#This Row],[GHG emissions excl LULUCF]]/2)/Table12[[#This Row],[Population]]-$AI$8)*10)*$AI$10</f>
        <v>0</v>
      </c>
      <c r="AJ150" s="32">
        <f>IF(Table12[[#This Row],[Peak revised]]="No",IF(Table12[[#This Row],[Net-zero target status]]&lt;=1,"",IF(Table12[[#This Row],[NZ GHG year]]="","",1000000000*(Table12[[#This Row],[residual LULUCF emissions in 2050]]-Table12[[#This Row],[Current Policies 2030 excl LULUCF]])/(Table12[[#This Row],[NZ GHG year]]-2021)/Table12[[#This Row],[Population]])),"")</f>
        <v>-33.698806521256081</v>
      </c>
      <c r="AK150" s="32">
        <f>IF(Table12[[#This Row],[Formule no Peak (2)]]="","",Table12[[#This Row],[Penalty (1)]]+Table12[[#This Row],[Formule no Peak (2)]])</f>
        <v>-33.698806521256081</v>
      </c>
      <c r="AL150" s="313">
        <f>(Table12[[#This Row],[Current Policies 2030 excl LULUCF]]-Table12[[#This Row],[GHG emissions excl LULUCF]])/(2030-2021)/Table12[[#This Row],[GHG emissions excl LULUCF]]</f>
        <v>2.4047702043389574E-2</v>
      </c>
      <c r="AM150" s="313">
        <f>IF(Table12[[#This Row],[Net-zero target status]]&lt;=1,"",IF(Table12[[#This Row],[NZ GHG year]]="","",(Table12[[#This Row],[residual LULUCF emissions in 2050]]-Table12[[#This Row],[Current Policies 2030 excl LULUCF]])/(Table12[[#This Row],[NZ GHG year]]-2030)/Table12[[#This Row],[Current Policies 2030 excl LULUCF]]))</f>
        <v>-2.7438351273639028E-2</v>
      </c>
      <c r="AN150" s="313">
        <f>IF(Table12[[#This Row],[Net-zero target status]]&lt;=1,"",IF(Table12[[#This Row],[NZ GHG year]]="","",(Table12[[#This Row],[residual LULUCF emissions in 2050]]-Table12[[#This Row],[GHG emissions excl LULUCF]])/(Table12[[#This Row],[NZ GHG year]]-2021)/Table12[[#This Row],[GHG emissions excl LULUCF]]))</f>
        <v>-1.1842621069698909E-2</v>
      </c>
      <c r="AO150" s="313" t="e">
        <f>IF(Table12[[#This Row],[Net-zero target status]]&lt;=1,"",IF(Table12[[#This Row],[NZ GHG year]]="","",(Table12[[#This Row],[residual LULUCF emissions in 2050]]-Table12[[#This Row],[2030 conditional NDCs]])/(Table12[[#This Row],[NZ GHG year]]-2030)/Table12[[#This Row],[2030 conditional NDCs]]))</f>
        <v>#DIV/0!</v>
      </c>
      <c r="AP150" s="96">
        <f>MAX('input site'!AH150:AS150)</f>
        <v>48.827477000000002</v>
      </c>
      <c r="AQ150" s="95" t="str">
        <f>IF(Table12[[#This Row],[Current Policies 2030 incl LULUCF]]&gt;Table12[[#This Row],[Maximum inventory data]],"No","Yes")</f>
        <v>No</v>
      </c>
      <c r="AR150" s="443">
        <f>IF(Table12[[#This Row],[Net-zero target status]]&gt;=1.5,Table12[[#This Row],[residual LULUCF emissions in 2050]]/Table12[[#This Row],[GHG emissions excl LULUCF]],"")</f>
        <v>0.71577709432722614</v>
      </c>
      <c r="AS150" s="74" t="str">
        <f>'input site'!BE150</f>
        <v/>
      </c>
      <c r="AT150" s="74"/>
      <c r="AU150" s="74"/>
      <c r="AV150" s="75"/>
      <c r="AW150" s="74" t="str">
        <f>IF(Table12[[#This Row],[2030 unconditional NDCs]]="","",IF(F150="incl",Table12[[#This Row],[2030 unconditional NDCs]]-Table12[[#This Row],[LULUCF NDC uncond]],Table12[[#This Row],[2030 unconditional NDCs]]))</f>
        <v/>
      </c>
      <c r="AX150" s="74" t="str">
        <f>IF(Table12[[#This Row],[2030 unconditional NDCs2]]="","",IF(F150="incl",Table12[[#This Row],[2030 unconditional NDCs2]]-Table12[[#This Row],[LULUCF NDC uncond]],Table12[[#This Row],[2030 unconditional NDCs2]]))</f>
        <v/>
      </c>
      <c r="AY150" s="74" t="str">
        <f>IF(Table12[[#This Row],[2030 conditional NDCs]]="","",IF(F150="incl",Table12[[#This Row],[2030 conditional NDCs]]-Table12[[#This Row],[LULUCF NDC cond]],Table12[[#This Row],[2030 conditional NDCs]]))</f>
        <v/>
      </c>
      <c r="AZ150" s="74" t="str">
        <f>IF(Table12[[#This Row],[2030 conditional NDCs2]]="","",IF(F150="incl",Table12[[#This Row],[2030 conditional NDCs2]]-Table12[[#This Row],[LULUCF NDC cond]],Table12[[#This Row],[2030 conditional NDCs2]]))</f>
        <v/>
      </c>
      <c r="BA150" s="8">
        <f>VLOOKUP($G150,'Population90 20'!$C$6:$AU$231,37,FALSE)</f>
        <v>30225582</v>
      </c>
      <c r="BB150" s="8">
        <f>VLOOKUP($G150,'Overview GDP (PPP)'!$C$6:$AI$231,33,FALSE)</f>
        <v>76510294.855775341</v>
      </c>
      <c r="BC150" s="36">
        <f>Table12[[#This Row],[Income]]/Table12[[#This Row],[Population]]</f>
        <v>2.5313092351960451</v>
      </c>
      <c r="BD150" s="36">
        <f>Table12[[#This Row],[GHG emissions excl LULUCF]]*1000000/Table12[[#This Row],[Population]]</f>
        <v>1.6154354612592736</v>
      </c>
      <c r="BE150" s="23" t="str">
        <f>VLOOKUP($G150,EGR2023_MASTER!$B$4:$S$38,14,FALSE)</f>
        <v>N</v>
      </c>
      <c r="BF150" s="23" t="str">
        <f>VLOOKUP($G150,EGR2023_MASTER!$B$4:$S$38,15,FALSE)</f>
        <v>Credible</v>
      </c>
      <c r="BG150" s="23" t="str">
        <f>VLOOKUP($G150,EGR2023_MASTER!$B$4:$S$38,16,FALSE)</f>
        <v>n</v>
      </c>
      <c r="BH150" s="23" t="str">
        <f t="shared" si="24"/>
        <v>lower</v>
      </c>
      <c r="BI150" s="23" t="str">
        <f t="shared" si="25"/>
        <v>weak</v>
      </c>
      <c r="BJ150" s="552">
        <f>(Table12[[#This Row],[Current Policies 2030 excl LULUCF]]/Table12[[#This Row],[GHG emissions excl LULUCF]])^(1/(2030-2021))-1</f>
        <v>2.2007534789434846E-2</v>
      </c>
      <c r="BK150" s="552">
        <f>IF(Table12[[#This Row],[Net-zero target status]]&lt;=1,"",IF(Table12[[#This Row],[NZ GHG year]]="","",((MAX(Table12[[#This Row],[residual LULUCF emissions in 2050]],0.1)/Table12[[#This Row],[Current Policies 2030 excl LULUCF]])^(1/(Table12[[#This Row],[NZ GHG year]]-2021))-1)))</f>
        <v>-2.1853763628214895E-2</v>
      </c>
      <c r="BL150" s="552">
        <f>IF(Table12[[#This Row],[Net-zero target status]]&lt;=1,"",IF(Table12[[#This Row],[NZ GHG year]]="","",((MAX(Table12[[#This Row],[residual LULUCF emissions in 2050]],0.1)/Table12[[#This Row],[GHG emissions excl LULUCF]])^(1/(Table12[[#This Row],[NZ GHG year]]-2021))-1)))</f>
        <v>-1.3836158222603201E-2</v>
      </c>
      <c r="BM150" s="552" t="e">
        <f>IF(Table12[[#This Row],[Net-zero target status]]&lt;=1,"",IF(Table12[[#This Row],[NZ GHG year]]="","",((MAX(Table12[[#This Row],[residual LULUCF emissions in 2050]],0.1)/AVERAGE(Table12[[#This Row],[2030 conditional NDCs]:[2030 conditional NDCs2]]))^(1/(Table12[[#This Row],[NZ GHG year]]-2021))-1)))</f>
        <v>#DIV/0!</v>
      </c>
      <c r="BN150" s="23"/>
      <c r="BO150" s="23"/>
      <c r="BP150" s="23"/>
      <c r="BQ150" s="23"/>
      <c r="BR150" s="50" t="s">
        <v>329</v>
      </c>
      <c r="BT150" s="30">
        <f>IF(Table12[[#This Row],[Reduction rate 2021 to NZ target2]]="","",J150*(1+AN150)^(Table12[[#This Row],[NZ GHG year]]-2021))</f>
        <v>36.685219061913237</v>
      </c>
    </row>
    <row r="151" spans="1:72" ht="15" x14ac:dyDescent="0.25">
      <c r="A151">
        <v>0</v>
      </c>
      <c r="B151">
        <v>0</v>
      </c>
      <c r="C151">
        <v>528</v>
      </c>
      <c r="D151">
        <v>137</v>
      </c>
      <c r="E151">
        <v>11</v>
      </c>
      <c r="F151" t="str">
        <f>'input site'!M151</f>
        <v>incl</v>
      </c>
      <c r="G151" s="31" t="s">
        <v>330</v>
      </c>
      <c r="H151" s="1" t="s">
        <v>331</v>
      </c>
      <c r="I151" s="8">
        <f>VLOOKUP($G151,'NZT data'!$B$3:$C$200,2,FALSE)</f>
        <v>4</v>
      </c>
      <c r="J151" s="32">
        <f>'input site'!AS151</f>
        <v>170.44854574106824</v>
      </c>
      <c r="K151" s="32">
        <f>'input site'!BS151</f>
        <v>95.101682235387088</v>
      </c>
      <c r="L151" s="32">
        <f t="shared" si="26"/>
        <v>0</v>
      </c>
      <c r="M151" s="32">
        <f t="shared" si="27"/>
        <v>0</v>
      </c>
      <c r="N151" s="32">
        <f>'input site'!EV151</f>
        <v>38.774544812514158</v>
      </c>
      <c r="O151" s="8"/>
      <c r="P151" s="8"/>
      <c r="Q151" s="32">
        <f t="shared" si="28"/>
        <v>0</v>
      </c>
      <c r="R151" s="32">
        <f>'input site'!EZ151</f>
        <v>21.447127581628429</v>
      </c>
      <c r="S151" s="37" t="str">
        <f>'input site'!FA151</f>
        <v>2050 (part of the EU)</v>
      </c>
      <c r="T151" s="37" t="str">
        <f>Table12[[#This Row],[(Mt CO2 equivalent)]]</f>
        <v>Netherlands</v>
      </c>
      <c r="U151" s="8">
        <f>VLOOKUP($G151,'NZT data'!$B$3:$F$200,4,FALSE)</f>
        <v>2050</v>
      </c>
      <c r="V151" s="32" t="str">
        <f>VLOOKUP($G151,'NZT data'!$B$3:$F$200,5,FALSE)</f>
        <v/>
      </c>
      <c r="W151" s="32">
        <f>-IF('LUC NGHGI'!EC141="",MIN('LUC NGHGI'!DW141,0.1),MIN('LUC NGHGI'!EC141,0.1))</f>
        <v>-0.1</v>
      </c>
      <c r="X151" s="32">
        <f>'LUC NGHGI'!EC141</f>
        <v>4.1423752825606295</v>
      </c>
      <c r="Y151" s="32">
        <f>'LUC NGHGI'!DY141</f>
        <v>4.1423752825606295</v>
      </c>
      <c r="Z151" s="32">
        <f>'LUC NGHGI'!DZ141</f>
        <v>4.1423752825606295</v>
      </c>
      <c r="AA151" s="32">
        <f>Table12[[#This Row],[2021 emissions]]</f>
        <v>170.44854574106824</v>
      </c>
      <c r="AB151" s="32">
        <f>'LUC NGHGI'!DW141</f>
        <v>4.312935741068249</v>
      </c>
      <c r="AC151" s="32">
        <f>IF(F151="incl",Table12[[#This Row],[GHG emissions incl LULUCF]]-Table12[[#This Row],[LULUCF emis-sions in 20213]],Table12[[#This Row],[GHG emissions incl LULUCF]])</f>
        <v>166.13560999999999</v>
      </c>
      <c r="AD151" s="32">
        <f>'input site'!BS151</f>
        <v>95.101682235387088</v>
      </c>
      <c r="AE151" s="32">
        <f>'LUC NGHGI'!EH141</f>
        <v>1.1154381245794971</v>
      </c>
      <c r="AF151" s="32">
        <f>IF(F151="incl",Table12[[#This Row],[Current Policies 2030 incl LULUCF]]-Table12[[#This Row],[LULUCF CurPol 2030]],Table12[[#This Row],[Current Policies 2030 incl LULUCF]])</f>
        <v>93.98624411080759</v>
      </c>
      <c r="AG151" s="32" t="str">
        <f>IF(Table12[[#This Row],[Net-zero target status]]&lt;=1,"",IF(Table12[[#This Row],[NZ GHG year]]="","",1000000000*(Table12[[#This Row],[residual LULUCF emissions in 2050]]-Table12[[#This Row],[GHG emissions excl LULUCF]])/(Table12[[#This Row],[NZ GHG year]]-2021)/Table12[[#This Row],[Population]]))</f>
        <v/>
      </c>
      <c r="AH151" s="32" t="str">
        <f>IF(Table12[[#This Row],[Peak revised]]="Yes",IF(Table12[[#This Row],[Net-zero target status]]&lt;=1,"",IF(Table12[[#This Row],[NZ GHG year]]="","",1000000000*(Table12[[#This Row],[residual LULUCF emissions in 2050]]-Table12[[#This Row],[GHG emissions excl LULUCF]])/(Table12[[#This Row],[NZ GHG year]]-2021)/Table12[[#This Row],[Population]])),"")</f>
        <v/>
      </c>
      <c r="AI151" s="32">
        <f>MAX(0,(1000000*(Table12[[#This Row],[Current Policies 2030 excl LULUCF]]/2+Table12[[#This Row],[GHG emissions excl LULUCF]]/2)/Table12[[#This Row],[Population]]-$AI$8)*10)*$AI$10</f>
        <v>-55.665267745377811</v>
      </c>
      <c r="AJ15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1" s="32" t="str">
        <f>IF(Table12[[#This Row],[Formule no Peak (2)]]="","",Table12[[#This Row],[Penalty (1)]]+Table12[[#This Row],[Formule no Peak (2)]])</f>
        <v/>
      </c>
      <c r="AL151" s="313">
        <f>(Table12[[#This Row],[Current Policies 2030 excl LULUCF]]-Table12[[#This Row],[GHG emissions excl LULUCF]])/(2030-2021)/Table12[[#This Row],[GHG emissions excl LULUCF]]</f>
        <v>-4.8253328771057979E-2</v>
      </c>
      <c r="AM151" s="313" t="str">
        <f>IF(Table12[[#This Row],[Net-zero target status]]&lt;=1,"",IF(Table12[[#This Row],[NZ GHG year]]="","",(Table12[[#This Row],[residual LULUCF emissions in 2050]]-Table12[[#This Row],[Current Policies 2030 excl LULUCF]])/(Table12[[#This Row],[NZ GHG year]]-2030)/Table12[[#This Row],[Current Policies 2030 excl LULUCF]]))</f>
        <v/>
      </c>
      <c r="AN151" s="313" t="str">
        <f>IF(Table12[[#This Row],[Net-zero target status]]&lt;=1,"",IF(Table12[[#This Row],[NZ GHG year]]="","",(Table12[[#This Row],[residual LULUCF emissions in 2050]]-Table12[[#This Row],[GHG emissions excl LULUCF]])/(Table12[[#This Row],[NZ GHG year]]-2021)/Table12[[#This Row],[GHG emissions excl LULUCF]]))</f>
        <v/>
      </c>
      <c r="AO151" s="313" t="str">
        <f>IF(Table12[[#This Row],[Net-zero target status]]&lt;=1,"",IF(Table12[[#This Row],[NZ GHG year]]="","",(Table12[[#This Row],[residual LULUCF emissions in 2050]]-Table12[[#This Row],[2030 conditional NDCs]])/(Table12[[#This Row],[NZ GHG year]]-2030)/Table12[[#This Row],[2030 conditional NDCs]]))</f>
        <v/>
      </c>
      <c r="AP151" s="96">
        <f>MAX('input site'!AH151:AS151)</f>
        <v>218.12221768021382</v>
      </c>
      <c r="AQ151" s="95" t="str">
        <f>IF(Table12[[#This Row],[Current Policies 2030 incl LULUCF]]&gt;Table12[[#This Row],[Maximum inventory data]],"No","Yes")</f>
        <v>Yes</v>
      </c>
      <c r="AR151" s="34">
        <f>IF(Table12[[#This Row],[Net-zero target status]]&gt;=1.5,Table12[[#This Row],[residual LULUCF emissions in 2050]]/Table12[[#This Row],[GHG emissions excl LULUCF]],"")</f>
        <v>-6.0191791512969445E-4</v>
      </c>
      <c r="AS151" s="74" t="str">
        <f>'input site'!BE151</f>
        <v/>
      </c>
      <c r="AT151" s="74"/>
      <c r="AU151" s="74"/>
      <c r="AV151" s="75"/>
      <c r="AW151" s="74" t="str">
        <f>IF(Table12[[#This Row],[2030 unconditional NDCs]]="","",IF(F151="incl",Table12[[#This Row],[2030 unconditional NDCs]]-Table12[[#This Row],[LULUCF NDC uncond]],Table12[[#This Row],[2030 unconditional NDCs]]))</f>
        <v/>
      </c>
      <c r="AX151" s="74" t="str">
        <f>IF(Table12[[#This Row],[2030 unconditional NDCs2]]="","",IF(F151="incl",Table12[[#This Row],[2030 unconditional NDCs2]]-Table12[[#This Row],[LULUCF NDC uncond]],Table12[[#This Row],[2030 unconditional NDCs2]]))</f>
        <v/>
      </c>
      <c r="AY151" s="74" t="str">
        <f>IF(Table12[[#This Row],[2030 conditional NDCs]]="","",IF(F151="incl",Table12[[#This Row],[2030 conditional NDCs]]-Table12[[#This Row],[LULUCF NDC cond]],Table12[[#This Row],[2030 conditional NDCs]]))</f>
        <v/>
      </c>
      <c r="AZ151" s="74" t="str">
        <f>IF(Table12[[#This Row],[2030 conditional NDCs2]]="","",IF(F151="incl",Table12[[#This Row],[2030 conditional NDCs2]]-Table12[[#This Row],[LULUCF NDC cond]],Table12[[#This Row],[2030 conditional NDCs2]]))</f>
        <v/>
      </c>
      <c r="BA151" s="8">
        <f>VLOOKUP($G151,'Population90 20'!$C$6:$AU$231,37,FALSE)</f>
        <v>17211447</v>
      </c>
      <c r="BB151" s="8">
        <f>VLOOKUP($G151,'Overview GDP (PPP)'!$C$6:$AI$231,33,FALSE)</f>
        <v>858165693.91601658</v>
      </c>
      <c r="BC151" s="36">
        <f>Table12[[#This Row],[Income]]/Table12[[#This Row],[Population]]</f>
        <v>49.860171193974367</v>
      </c>
      <c r="BD151" s="36">
        <f>Table12[[#This Row],[GHG emissions excl LULUCF]]*1000000/Table12[[#This Row],[Population]]</f>
        <v>9.6526230479052693</v>
      </c>
      <c r="BE151" s="23" t="e">
        <f>VLOOKUP($G151,EGR2023_MASTER!$B$4:$S$38,14,FALSE)</f>
        <v>#N/A</v>
      </c>
      <c r="BF151" s="23" t="e">
        <f>VLOOKUP($G151,EGR2023_MASTER!$B$4:$S$38,15,FALSE)</f>
        <v>#N/A</v>
      </c>
      <c r="BG151" s="23" t="e">
        <f>VLOOKUP($G151,EGR2023_MASTER!$B$4:$S$38,16,FALSE)</f>
        <v>#N/A</v>
      </c>
      <c r="BH151" s="23" t="e">
        <f t="shared" si="24"/>
        <v>#N/A</v>
      </c>
      <c r="BI151" s="23" t="e">
        <f t="shared" si="25"/>
        <v>#N/A</v>
      </c>
      <c r="BJ151" s="552">
        <f>(Table12[[#This Row],[Current Policies 2030 excl LULUCF]]/Table12[[#This Row],[GHG emissions excl LULUCF]])^(1/(2030-2021))-1</f>
        <v>-6.1333572891267285E-2</v>
      </c>
      <c r="BK151" s="552" t="str">
        <f>IF(Table12[[#This Row],[Net-zero target status]]&lt;=1,"",IF(Table12[[#This Row],[NZ GHG year]]="","",((MAX(Table12[[#This Row],[residual LULUCF emissions in 2050]],0.1)/Table12[[#This Row],[Current Policies 2030 excl LULUCF]])^(1/(Table12[[#This Row],[NZ GHG year]]-2021))-1)))</f>
        <v/>
      </c>
      <c r="BL151" s="552" t="str">
        <f>IF(Table12[[#This Row],[Net-zero target status]]&lt;=1,"",IF(Table12[[#This Row],[NZ GHG year]]="","",((MAX(Table12[[#This Row],[residual LULUCF emissions in 2050]],0.1)/Table12[[#This Row],[GHG emissions excl LULUCF]])^(1/(Table12[[#This Row],[NZ GHG year]]-2021))-1)))</f>
        <v/>
      </c>
      <c r="BM151" s="552" t="str">
        <f>IF(Table12[[#This Row],[Net-zero target status]]&lt;=1,"",IF(Table12[[#This Row],[NZ GHG year]]="","",((MAX(Table12[[#This Row],[residual LULUCF emissions in 2050]],0.1)/AVERAGE(Table12[[#This Row],[2030 conditional NDCs]:[2030 conditional NDCs2]]))^(1/(Table12[[#This Row],[NZ GHG year]]-2021))-1)))</f>
        <v/>
      </c>
      <c r="BN151" s="23"/>
      <c r="BO151" s="23"/>
      <c r="BP151" s="23"/>
      <c r="BQ151" s="23"/>
      <c r="BR151" s="50" t="s">
        <v>331</v>
      </c>
      <c r="BT151" s="30" t="str">
        <f>IF(Table12[[#This Row],[Reduction rate 2021 to NZ target2]]="","",J151*(1+AN151)^(Table12[[#This Row],[NZ GHG year]]-2021))</f>
        <v/>
      </c>
    </row>
    <row r="152" spans="1:72" ht="15" x14ac:dyDescent="0.25">
      <c r="A152">
        <v>0</v>
      </c>
      <c r="B152">
        <v>0</v>
      </c>
      <c r="C152">
        <v>530</v>
      </c>
      <c r="D152">
        <v>138</v>
      </c>
      <c r="E152">
        <v>4</v>
      </c>
      <c r="F152" t="str">
        <f>'input site'!M152</f>
        <v>excl</v>
      </c>
      <c r="G152" s="31" t="s">
        <v>332</v>
      </c>
      <c r="H152" s="1" t="s">
        <v>333</v>
      </c>
      <c r="I152" s="8">
        <v>0</v>
      </c>
      <c r="J152" s="32">
        <f>'input site'!AS152</f>
        <v>6.0056864999999995</v>
      </c>
      <c r="K152" s="32">
        <f>'input site'!BS152</f>
        <v>7.4054269811474738</v>
      </c>
      <c r="L152" s="32">
        <f t="shared" si="26"/>
        <v>7.4054269811474738</v>
      </c>
      <c r="M152" s="32">
        <f t="shared" si="27"/>
        <v>3.4161081275073961</v>
      </c>
      <c r="N152" s="32">
        <f>'input site'!EV152</f>
        <v>3.4161081275073961</v>
      </c>
      <c r="O152" s="8"/>
      <c r="P152" s="8"/>
      <c r="Q152" s="32">
        <f t="shared" si="28"/>
        <v>0.69476944770313609</v>
      </c>
      <c r="R152" s="32">
        <f>'input site'!EZ152</f>
        <v>0.69476944770313609</v>
      </c>
      <c r="S152" s="37">
        <f>'input site'!FA152</f>
        <v>0</v>
      </c>
      <c r="T152" s="37" t="str">
        <f>Table12[[#This Row],[(Mt CO2 equivalent)]]</f>
        <v>Netherlands Antilles</v>
      </c>
      <c r="U152" s="35">
        <v>2100</v>
      </c>
      <c r="V152" s="35">
        <v>2100</v>
      </c>
      <c r="W152" s="32"/>
      <c r="X152" s="32">
        <f>'LUC NGHGI'!EC142</f>
        <v>0</v>
      </c>
      <c r="Y152" s="32">
        <f>'LUC NGHGI'!DY142</f>
        <v>0</v>
      </c>
      <c r="Z152" s="32">
        <f>'LUC NGHGI'!DZ142</f>
        <v>0</v>
      </c>
      <c r="AA152" s="32">
        <f>Table12[[#This Row],[2021 emissions]]</f>
        <v>6.0056864999999995</v>
      </c>
      <c r="AB152" s="32">
        <f>'LUC NGHGI'!DW142</f>
        <v>0</v>
      </c>
      <c r="AC152" s="32">
        <f>IF(F152="incl",Table12[[#This Row],[GHG emissions incl LULUCF]]-Table12[[#This Row],[LULUCF emis-sions in 20213]],Table12[[#This Row],[GHG emissions incl LULUCF]])</f>
        <v>6.0056864999999995</v>
      </c>
      <c r="AD152" s="32">
        <f>'input site'!BS152</f>
        <v>7.4054269811474738</v>
      </c>
      <c r="AE152" s="32">
        <f>'LUC NGHGI'!EH142</f>
        <v>0</v>
      </c>
      <c r="AF152" s="32">
        <f>IF(F152="incl",Table12[[#This Row],[Current Policies 2030 incl LULUCF]]-Table12[[#This Row],[LULUCF CurPol 2030]],Table12[[#This Row],[Current Policies 2030 incl LULUCF]])</f>
        <v>7.4054269811474738</v>
      </c>
      <c r="AG152" s="32" t="str">
        <f>IF(Table12[[#This Row],[Net-zero target status]]&lt;=1,"",IF(Table12[[#This Row],[NZ GHG year]]="","",1000000000*(Table12[[#This Row],[residual LULUCF emissions in 2050]]-Table12[[#This Row],[GHG emissions excl LULUCF]])/(Table12[[#This Row],[NZ GHG year]]-2021)/Table12[[#This Row],[Population]]))</f>
        <v/>
      </c>
      <c r="AH152" s="32" t="str">
        <f>IF(Table12[[#This Row],[Peak revised]]="Yes",IF(Table12[[#This Row],[Net-zero target status]]&lt;=1,"",IF(Table12[[#This Row],[NZ GHG year]]="","",1000000000*(Table12[[#This Row],[residual LULUCF emissions in 2050]]-Table12[[#This Row],[GHG emissions excl LULUCF]])/(Table12[[#This Row],[NZ GHG year]]-2021)/Table12[[#This Row],[Population]])),"")</f>
        <v/>
      </c>
      <c r="AI152" s="32" t="e">
        <f>MAX(0,(1000000*(Table12[[#This Row],[Current Policies 2030 excl LULUCF]]/2+Table12[[#This Row],[GHG emissions excl LULUCF]]/2)/Table12[[#This Row],[Population]]-$AI$8)*10)*$AI$10</f>
        <v>#DIV/0!</v>
      </c>
      <c r="AJ15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2" s="32" t="str">
        <f>IF(Table12[[#This Row],[Formule no Peak (2)]]="","",Table12[[#This Row],[Penalty (1)]]+Table12[[#This Row],[Formule no Peak (2)]])</f>
        <v/>
      </c>
      <c r="AL152" s="313">
        <f>(Table12[[#This Row],[Current Policies 2030 excl LULUCF]]-Table12[[#This Row],[GHG emissions excl LULUCF]])/(2030-2021)/Table12[[#This Row],[GHG emissions excl LULUCF]]</f>
        <v>2.5896576540832949E-2</v>
      </c>
      <c r="AM152" s="313" t="str">
        <f>IF(Table12[[#This Row],[Net-zero target status]]&lt;=1,"",IF(Table12[[#This Row],[NZ GHG year]]="","",(Table12[[#This Row],[residual LULUCF emissions in 2050]]-Table12[[#This Row],[Current Policies 2030 excl LULUCF]])/(Table12[[#This Row],[NZ GHG year]]-2030)/Table12[[#This Row],[Current Policies 2030 excl LULUCF]]))</f>
        <v/>
      </c>
      <c r="AN152" s="313" t="str">
        <f>IF(Table12[[#This Row],[Net-zero target status]]&lt;=1,"",IF(Table12[[#This Row],[NZ GHG year]]="","",(Table12[[#This Row],[residual LULUCF emissions in 2050]]-Table12[[#This Row],[GHG emissions excl LULUCF]])/(Table12[[#This Row],[NZ GHG year]]-2021)/Table12[[#This Row],[GHG emissions excl LULUCF]]))</f>
        <v/>
      </c>
      <c r="AO152" s="313" t="str">
        <f>IF(Table12[[#This Row],[Net-zero target status]]&lt;=1,"",IF(Table12[[#This Row],[NZ GHG year]]="","",(Table12[[#This Row],[residual LULUCF emissions in 2050]]-Table12[[#This Row],[2030 conditional NDCs]])/(Table12[[#This Row],[NZ GHG year]]-2030)/Table12[[#This Row],[2030 conditional NDCs]]))</f>
        <v/>
      </c>
      <c r="AP152" s="96">
        <f>MAX('input site'!AH152:AS152)</f>
        <v>7.5548440000000001</v>
      </c>
      <c r="AQ152" s="95" t="str">
        <f>IF(Table12[[#This Row],[Current Policies 2030 incl LULUCF]]&gt;Table12[[#This Row],[Maximum inventory data]],"No","Yes")</f>
        <v>Yes</v>
      </c>
      <c r="AR152" s="34" t="str">
        <f>IF(Table12[[#This Row],[Net-zero target status]]&gt;=1.5,Table12[[#This Row],[residual LULUCF emissions in 2050]]/Table12[[#This Row],[GHG emissions excl LULUCF]],"")</f>
        <v/>
      </c>
      <c r="AS152" s="74" t="str">
        <f>'input site'!BE152</f>
        <v/>
      </c>
      <c r="AT152" s="74"/>
      <c r="AU152" s="74"/>
      <c r="AV152" s="75"/>
      <c r="AW152" s="74" t="str">
        <f>IF(Table12[[#This Row],[2030 unconditional NDCs]]="","",IF(F152="incl",Table12[[#This Row],[2030 unconditional NDCs]]-Table12[[#This Row],[LULUCF NDC uncond]],Table12[[#This Row],[2030 unconditional NDCs]]))</f>
        <v/>
      </c>
      <c r="AX152" s="74" t="str">
        <f>IF(Table12[[#This Row],[2030 unconditional NDCs2]]="","",IF(F152="incl",Table12[[#This Row],[2030 unconditional NDCs2]]-Table12[[#This Row],[LULUCF NDC uncond]],Table12[[#This Row],[2030 unconditional NDCs2]]))</f>
        <v/>
      </c>
      <c r="AY152" s="74" t="str">
        <f>IF(Table12[[#This Row],[2030 conditional NDCs]]="","",IF(F152="incl",Table12[[#This Row],[2030 conditional NDCs]]-Table12[[#This Row],[LULUCF NDC cond]],Table12[[#This Row],[2030 conditional NDCs]]))</f>
        <v/>
      </c>
      <c r="AZ152" s="74" t="str">
        <f>IF(Table12[[#This Row],[2030 conditional NDCs2]]="","",IF(F152="incl",Table12[[#This Row],[2030 conditional NDCs2]]-Table12[[#This Row],[LULUCF NDC cond]],Table12[[#This Row],[2030 conditional NDCs2]]))</f>
        <v/>
      </c>
      <c r="BA152" s="8"/>
      <c r="BB152" s="8"/>
      <c r="BC152" s="36"/>
      <c r="BD152" s="36" t="e">
        <f>Table12[[#This Row],[GHG emissions excl LULUCF]]*1000000/Table12[[#This Row],[Population]]</f>
        <v>#DIV/0!</v>
      </c>
      <c r="BE152" s="23" t="e">
        <f>VLOOKUP($G152,EGR2023_MASTER!$B$4:$S$38,14,FALSE)</f>
        <v>#N/A</v>
      </c>
      <c r="BF152" s="23" t="e">
        <f>VLOOKUP($G152,EGR2023_MASTER!$B$4:$S$38,15,FALSE)</f>
        <v>#N/A</v>
      </c>
      <c r="BG152" s="23" t="e">
        <f>VLOOKUP($G152,EGR2023_MASTER!$B$4:$S$38,16,FALSE)</f>
        <v>#N/A</v>
      </c>
      <c r="BH152" s="23" t="e">
        <f t="shared" si="24"/>
        <v>#N/A</v>
      </c>
      <c r="BI152" s="23" t="e">
        <f t="shared" si="25"/>
        <v>#N/A</v>
      </c>
      <c r="BJ152" s="552">
        <f>(Table12[[#This Row],[Current Policies 2030 excl LULUCF]]/Table12[[#This Row],[GHG emissions excl LULUCF]])^(1/(2030-2021))-1</f>
        <v>2.3551540411518301E-2</v>
      </c>
      <c r="BK152" s="552" t="str">
        <f>IF(Table12[[#This Row],[Net-zero target status]]&lt;=1,"",IF(Table12[[#This Row],[NZ GHG year]]="","",((MAX(Table12[[#This Row],[residual LULUCF emissions in 2050]],0.1)/Table12[[#This Row],[Current Policies 2030 excl LULUCF]])^(1/(Table12[[#This Row],[NZ GHG year]]-2021))-1)))</f>
        <v/>
      </c>
      <c r="BL152" s="552" t="str">
        <f>IF(Table12[[#This Row],[Net-zero target status]]&lt;=1,"",IF(Table12[[#This Row],[NZ GHG year]]="","",((MAX(Table12[[#This Row],[residual LULUCF emissions in 2050]],0.1)/Table12[[#This Row],[GHG emissions excl LULUCF]])^(1/(Table12[[#This Row],[NZ GHG year]]-2021))-1)))</f>
        <v/>
      </c>
      <c r="BM152" s="552" t="str">
        <f>IF(Table12[[#This Row],[Net-zero target status]]&lt;=1,"",IF(Table12[[#This Row],[NZ GHG year]]="","",((MAX(Table12[[#This Row],[residual LULUCF emissions in 2050]],0.1)/AVERAGE(Table12[[#This Row],[2030 conditional NDCs]:[2030 conditional NDCs2]]))^(1/(Table12[[#This Row],[NZ GHG year]]-2021))-1)))</f>
        <v/>
      </c>
      <c r="BN152" s="23"/>
      <c r="BO152" s="23"/>
      <c r="BP152" s="23"/>
      <c r="BQ152" s="23"/>
      <c r="BR152" s="50" t="s">
        <v>333</v>
      </c>
      <c r="BT152" s="30" t="str">
        <f>IF(Table12[[#This Row],[Reduction rate 2021 to NZ target2]]="","",J152*(1+AN152)^(Table12[[#This Row],[NZ GHG year]]-2021))</f>
        <v/>
      </c>
    </row>
    <row r="153" spans="1:72" ht="15" x14ac:dyDescent="0.25">
      <c r="A153">
        <v>0</v>
      </c>
      <c r="B153">
        <v>0</v>
      </c>
      <c r="C153">
        <v>540</v>
      </c>
      <c r="D153">
        <v>140</v>
      </c>
      <c r="E153">
        <v>24</v>
      </c>
      <c r="F153" t="str">
        <f>'input site'!M153</f>
        <v>excl</v>
      </c>
      <c r="G153" s="31" t="s">
        <v>334</v>
      </c>
      <c r="H153" s="1" t="s">
        <v>335</v>
      </c>
      <c r="I153" s="8">
        <v>0</v>
      </c>
      <c r="J153" s="32">
        <f>'input site'!AS153</f>
        <v>0</v>
      </c>
      <c r="K153" s="32">
        <f>'input site'!BS153</f>
        <v>0</v>
      </c>
      <c r="L153" s="32">
        <f t="shared" si="26"/>
        <v>0</v>
      </c>
      <c r="M153" s="32">
        <f t="shared" si="27"/>
        <v>0</v>
      </c>
      <c r="N153" s="32">
        <f>'input site'!EV153</f>
        <v>0</v>
      </c>
      <c r="O153" s="8"/>
      <c r="P153" s="8"/>
      <c r="Q153" s="32">
        <f t="shared" si="28"/>
        <v>0</v>
      </c>
      <c r="R153" s="32">
        <f>'input site'!EZ153</f>
        <v>0</v>
      </c>
      <c r="S153" s="37">
        <f>'input site'!FA153</f>
        <v>0</v>
      </c>
      <c r="T153" s="37" t="str">
        <f>Table12[[#This Row],[(Mt CO2 equivalent)]]</f>
        <v>New Caledonia</v>
      </c>
      <c r="U153" s="35">
        <v>2100</v>
      </c>
      <c r="V153" s="35">
        <v>2100</v>
      </c>
      <c r="W153" s="32">
        <f>-IF('LUC NGHGI'!EC143="",MIN('LUC NGHGI'!DW143,0.1),MIN('LUC NGHGI'!EC143,0.1))</f>
        <v>0</v>
      </c>
      <c r="X153" s="32" t="str">
        <f>'LUC NGHGI'!EC143</f>
        <v/>
      </c>
      <c r="Y153" s="32" t="str">
        <f>'LUC NGHGI'!DY143</f>
        <v/>
      </c>
      <c r="Z153" s="32" t="str">
        <f>'LUC NGHGI'!DZ143</f>
        <v/>
      </c>
      <c r="AA153" s="32">
        <f>Table12[[#This Row],[2021 emissions]]</f>
        <v>0</v>
      </c>
      <c r="AB153" s="32">
        <f>'LUC NGHGI'!DW143</f>
        <v>0</v>
      </c>
      <c r="AC153" s="32">
        <f>IF(F153="incl",Table12[[#This Row],[GHG emissions incl LULUCF]]-Table12[[#This Row],[LULUCF emis-sions in 20213]],Table12[[#This Row],[GHG emissions incl LULUCF]])</f>
        <v>0</v>
      </c>
      <c r="AD153" s="32">
        <f>'input site'!BS153</f>
        <v>0</v>
      </c>
      <c r="AE153" s="32">
        <f>'LUC NGHGI'!EH143</f>
        <v>0</v>
      </c>
      <c r="AF153" s="32">
        <f>IF(F153="incl",Table12[[#This Row],[Current Policies 2030 incl LULUCF]]-Table12[[#This Row],[LULUCF CurPol 2030]],Table12[[#This Row],[Current Policies 2030 incl LULUCF]])</f>
        <v>0</v>
      </c>
      <c r="AG153" s="32" t="str">
        <f>IF(Table12[[#This Row],[Net-zero target status]]&lt;=1,"",IF(Table12[[#This Row],[NZ GHG year]]="","",1000000000*(Table12[[#This Row],[residual LULUCF emissions in 2050]]-Table12[[#This Row],[GHG emissions excl LULUCF]])/(Table12[[#This Row],[NZ GHG year]]-2021)/Table12[[#This Row],[Population]]))</f>
        <v/>
      </c>
      <c r="AH153" s="32" t="str">
        <f>IF(Table12[[#This Row],[Peak revised]]="Yes",IF(Table12[[#This Row],[Net-zero target status]]&lt;=1,"",IF(Table12[[#This Row],[NZ GHG year]]="","",1000000000*(Table12[[#This Row],[residual LULUCF emissions in 2050]]-Table12[[#This Row],[GHG emissions excl LULUCF]])/(Table12[[#This Row],[NZ GHG year]]-2021)/Table12[[#This Row],[Population]])),"")</f>
        <v/>
      </c>
      <c r="AI153" s="32">
        <f>MAX(0,(1000000*(Table12[[#This Row],[Current Policies 2030 excl LULUCF]]/2+Table12[[#This Row],[GHG emissions excl LULUCF]]/2)/Table12[[#This Row],[Population]]-$AI$8)*10)*$AI$10</f>
        <v>0</v>
      </c>
      <c r="AJ15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3" s="32" t="str">
        <f>IF(Table12[[#This Row],[Formule no Peak (2)]]="","",Table12[[#This Row],[Penalty (1)]]+Table12[[#This Row],[Formule no Peak (2)]])</f>
        <v/>
      </c>
      <c r="AL153" s="313" t="e">
        <f>(Table12[[#This Row],[Current Policies 2030 excl LULUCF]]-Table12[[#This Row],[GHG emissions excl LULUCF]])/(2030-2021)/Table12[[#This Row],[GHG emissions excl LULUCF]]</f>
        <v>#DIV/0!</v>
      </c>
      <c r="AM153" s="313" t="str">
        <f>IF(Table12[[#This Row],[Net-zero target status]]&lt;=1,"",IF(Table12[[#This Row],[NZ GHG year]]="","",(Table12[[#This Row],[residual LULUCF emissions in 2050]]-Table12[[#This Row],[Current Policies 2030 excl LULUCF]])/(Table12[[#This Row],[NZ GHG year]]-2030)/Table12[[#This Row],[Current Policies 2030 excl LULUCF]]))</f>
        <v/>
      </c>
      <c r="AN153" s="313" t="str">
        <f>IF(Table12[[#This Row],[Net-zero target status]]&lt;=1,"",IF(Table12[[#This Row],[NZ GHG year]]="","",(Table12[[#This Row],[residual LULUCF emissions in 2050]]-Table12[[#This Row],[GHG emissions excl LULUCF]])/(Table12[[#This Row],[NZ GHG year]]-2021)/Table12[[#This Row],[GHG emissions excl LULUCF]]))</f>
        <v/>
      </c>
      <c r="AO153" s="313" t="str">
        <f>IF(Table12[[#This Row],[Net-zero target status]]&lt;=1,"",IF(Table12[[#This Row],[NZ GHG year]]="","",(Table12[[#This Row],[residual LULUCF emissions in 2050]]-Table12[[#This Row],[2030 conditional NDCs]])/(Table12[[#This Row],[NZ GHG year]]-2030)/Table12[[#This Row],[2030 conditional NDCs]]))</f>
        <v/>
      </c>
      <c r="AP153" s="96">
        <f>MAX('input site'!AH153:AS153)</f>
        <v>0</v>
      </c>
      <c r="AQ153" s="95" t="str">
        <f>IF(Table12[[#This Row],[Current Policies 2030 incl LULUCF]]&gt;Table12[[#This Row],[Maximum inventory data]],"No","Yes")</f>
        <v>Yes</v>
      </c>
      <c r="AR153" s="34" t="str">
        <f>IF(Table12[[#This Row],[Net-zero target status]]&gt;=1.5,Table12[[#This Row],[residual LULUCF emissions in 2050]]/Table12[[#This Row],[GHG emissions excl LULUCF]],"")</f>
        <v/>
      </c>
      <c r="AS153" s="74" t="str">
        <f>'input site'!BE153</f>
        <v/>
      </c>
      <c r="AT153" s="74"/>
      <c r="AU153" s="74"/>
      <c r="AV153" s="75"/>
      <c r="AW153" s="74" t="str">
        <f>IF(Table12[[#This Row],[2030 unconditional NDCs]]="","",IF(F153="incl",Table12[[#This Row],[2030 unconditional NDCs]]-Table12[[#This Row],[LULUCF NDC uncond]],Table12[[#This Row],[2030 unconditional NDCs]]))</f>
        <v/>
      </c>
      <c r="AX153" s="74" t="str">
        <f>IF(Table12[[#This Row],[2030 unconditional NDCs2]]="","",IF(F153="incl",Table12[[#This Row],[2030 unconditional NDCs2]]-Table12[[#This Row],[LULUCF NDC uncond]],Table12[[#This Row],[2030 unconditional NDCs2]]))</f>
        <v/>
      </c>
      <c r="AY153" s="74" t="str">
        <f>IF(Table12[[#This Row],[2030 conditional NDCs]]="","",IF(F153="incl",Table12[[#This Row],[2030 conditional NDCs]]-Table12[[#This Row],[LULUCF NDC cond]],Table12[[#This Row],[2030 conditional NDCs]]))</f>
        <v/>
      </c>
      <c r="AZ153" s="74" t="str">
        <f>IF(Table12[[#This Row],[2030 conditional NDCs2]]="","",IF(F153="incl",Table12[[#This Row],[2030 conditional NDCs2]]-Table12[[#This Row],[LULUCF NDC cond]],Table12[[#This Row],[2030 conditional NDCs2]]))</f>
        <v/>
      </c>
      <c r="BA153" s="8">
        <f>VLOOKUP($G153,'Population90 20'!$C$6:$AU$231,37,FALSE)</f>
        <v>290915</v>
      </c>
      <c r="BB153" s="8">
        <f>VLOOKUP($G153,'Overview GDP (PPP)'!$C$6:$AI$231,33,FALSE)</f>
        <v>4300280.26122237</v>
      </c>
      <c r="BC153" s="36">
        <f>Table12[[#This Row],[Income]]/Table12[[#This Row],[Population]]</f>
        <v>14.781913140341233</v>
      </c>
      <c r="BD153" s="36">
        <f>Table12[[#This Row],[GHG emissions excl LULUCF]]*1000000/Table12[[#This Row],[Population]]</f>
        <v>0</v>
      </c>
      <c r="BE153" s="23" t="e">
        <f>VLOOKUP($G153,EGR2023_MASTER!$B$4:$S$38,14,FALSE)</f>
        <v>#N/A</v>
      </c>
      <c r="BF153" s="23" t="e">
        <f>VLOOKUP($G153,EGR2023_MASTER!$B$4:$S$38,15,FALSE)</f>
        <v>#N/A</v>
      </c>
      <c r="BG153" s="23" t="e">
        <f>VLOOKUP($G153,EGR2023_MASTER!$B$4:$S$38,16,FALSE)</f>
        <v>#N/A</v>
      </c>
      <c r="BH153" s="23" t="e">
        <f t="shared" si="24"/>
        <v>#N/A</v>
      </c>
      <c r="BI153" s="23" t="e">
        <f t="shared" si="25"/>
        <v>#N/A</v>
      </c>
      <c r="BJ153" s="552" t="e">
        <f>(Table12[[#This Row],[Current Policies 2030 excl LULUCF]]/Table12[[#This Row],[GHG emissions excl LULUCF]])^(1/(2030-2021))-1</f>
        <v>#DIV/0!</v>
      </c>
      <c r="BK153" s="552" t="str">
        <f>IF(Table12[[#This Row],[Net-zero target status]]&lt;=1,"",IF(Table12[[#This Row],[NZ GHG year]]="","",((MAX(Table12[[#This Row],[residual LULUCF emissions in 2050]],0.1)/Table12[[#This Row],[Current Policies 2030 excl LULUCF]])^(1/(Table12[[#This Row],[NZ GHG year]]-2021))-1)))</f>
        <v/>
      </c>
      <c r="BL153" s="552" t="str">
        <f>IF(Table12[[#This Row],[Net-zero target status]]&lt;=1,"",IF(Table12[[#This Row],[NZ GHG year]]="","",((MAX(Table12[[#This Row],[residual LULUCF emissions in 2050]],0.1)/Table12[[#This Row],[GHG emissions excl LULUCF]])^(1/(Table12[[#This Row],[NZ GHG year]]-2021))-1)))</f>
        <v/>
      </c>
      <c r="BM153" s="552" t="str">
        <f>IF(Table12[[#This Row],[Net-zero target status]]&lt;=1,"",IF(Table12[[#This Row],[NZ GHG year]]="","",((MAX(Table12[[#This Row],[residual LULUCF emissions in 2050]],0.1)/AVERAGE(Table12[[#This Row],[2030 conditional NDCs]:[2030 conditional NDCs2]]))^(1/(Table12[[#This Row],[NZ GHG year]]-2021))-1)))</f>
        <v/>
      </c>
      <c r="BN153" s="23"/>
      <c r="BO153" s="23"/>
      <c r="BP153" s="23"/>
      <c r="BQ153" s="23"/>
      <c r="BR153" s="50" t="s">
        <v>335</v>
      </c>
      <c r="BT153" s="30" t="str">
        <f>IF(Table12[[#This Row],[Reduction rate 2021 to NZ target2]]="","",J153*(1+AN153)^(Table12[[#This Row],[NZ GHG year]]-2021))</f>
        <v/>
      </c>
    </row>
    <row r="154" spans="1:72" ht="15" x14ac:dyDescent="0.25">
      <c r="A154">
        <v>1</v>
      </c>
      <c r="B154">
        <v>0</v>
      </c>
      <c r="C154">
        <v>554</v>
      </c>
      <c r="D154">
        <v>142</v>
      </c>
      <c r="E154">
        <v>24</v>
      </c>
      <c r="F154" t="str">
        <f>'input site'!M154</f>
        <v>excl</v>
      </c>
      <c r="G154" s="31" t="s">
        <v>336</v>
      </c>
      <c r="H154" s="1" t="s">
        <v>337</v>
      </c>
      <c r="I154" s="8">
        <f>VLOOKUP($G154,'NZT data'!$B$3:$C$200,2,FALSE)</f>
        <v>4</v>
      </c>
      <c r="J154" s="32">
        <f>'input site'!AS154</f>
        <v>76.824354000000014</v>
      </c>
      <c r="K154" s="32">
        <f>'input site'!BS154</f>
        <v>74.386072750442693</v>
      </c>
      <c r="L154" s="32">
        <f t="shared" si="26"/>
        <v>0</v>
      </c>
      <c r="M154" s="32">
        <f t="shared" si="27"/>
        <v>0</v>
      </c>
      <c r="N154" s="32">
        <f>'input site'!EV154</f>
        <v>31.215334951664836</v>
      </c>
      <c r="O154" s="8">
        <v>0</v>
      </c>
      <c r="P154" s="36">
        <f>O154-N154</f>
        <v>-31.215334951664836</v>
      </c>
      <c r="Q154" s="32">
        <f t="shared" si="28"/>
        <v>0</v>
      </c>
      <c r="R154" s="32">
        <f>'input site'!EZ154</f>
        <v>13.502620176925058</v>
      </c>
      <c r="S154" s="37">
        <f>'input site'!FA154</f>
        <v>2050</v>
      </c>
      <c r="T154" s="37" t="str">
        <f>Table12[[#This Row],[(Mt CO2 equivalent)]]</f>
        <v>New Zealand</v>
      </c>
      <c r="U154" s="8">
        <f>VLOOKUP($G154,'NZT data'!$B$3:$F$200,4,FALSE)</f>
        <v>2050</v>
      </c>
      <c r="V154" s="32">
        <f>VLOOKUP($G154,'NZT data'!$B$3:$F$200,5,FALSE)</f>
        <v>2050</v>
      </c>
      <c r="W154" s="32">
        <f>-IF('LUC NGHGI'!EC144="",MIN('LUC NGHGI'!DW144,0.1),MIN('LUC NGHGI'!EC144,0.1))</f>
        <v>23.259701512739905</v>
      </c>
      <c r="X154" s="32">
        <f>'LUC NGHGI'!EC144</f>
        <v>-23.259701512739905</v>
      </c>
      <c r="Y154" s="32">
        <f>'LUC NGHGI'!DY144</f>
        <v>-12.013</v>
      </c>
      <c r="Z154" s="32">
        <f>'LUC NGHGI'!DZ144</f>
        <v>-12.013</v>
      </c>
      <c r="AA154" s="32">
        <f>Table12[[#This Row],[2021 emissions]]</f>
        <v>76.824354000000014</v>
      </c>
      <c r="AB154" s="32">
        <f>'LUC NGHGI'!DW144</f>
        <v>-21.096646960834921</v>
      </c>
      <c r="AC154" s="32">
        <f>IF(F154="incl",Table12[[#This Row],[GHG emissions incl LULUCF]]-Table12[[#This Row],[LULUCF emis-sions in 20213]],Table12[[#This Row],[GHG emissions incl LULUCF]])</f>
        <v>76.824354000000014</v>
      </c>
      <c r="AD154" s="32">
        <f>'input site'!BS154</f>
        <v>74.386072750442693</v>
      </c>
      <c r="AE154" s="32">
        <f>'LUC NGHGI'!EH144</f>
        <v>-21.812681512739907</v>
      </c>
      <c r="AF154" s="32">
        <f>IF(F154="incl",Table12[[#This Row],[Current Policies 2030 incl LULUCF]]-Table12[[#This Row],[LULUCF CurPol 2030]],Table12[[#This Row],[Current Policies 2030 incl LULUCF]])</f>
        <v>74.386072750442693</v>
      </c>
      <c r="AG154" s="32">
        <f>IF(Table12[[#This Row],[Net-zero target status]]&lt;=1,"",IF(Table12[[#This Row],[NZ GHG year]]="","",1000000000*(Table12[[#This Row],[residual LULUCF emissions in 2050]]-Table12[[#This Row],[GHG emissions excl LULUCF]])/(Table12[[#This Row],[NZ GHG year]]-2021)/Table12[[#This Row],[Population]]))</f>
        <v>-377.08869606247714</v>
      </c>
      <c r="AH154" s="32">
        <f>IF(Table12[[#This Row],[Peak revised]]="Yes",IF(Table12[[#This Row],[Net-zero target status]]&lt;=1,"",IF(Table12[[#This Row],[NZ GHG year]]="","",1000000000*(Table12[[#This Row],[residual LULUCF emissions in 2050]]-Table12[[#This Row],[GHG emissions excl LULUCF]])/(Table12[[#This Row],[NZ GHG year]]-2021)/Table12[[#This Row],[Population]])),"")</f>
        <v>-377.08869606247714</v>
      </c>
      <c r="AI154" s="32">
        <f>MAX(0,(1000000*(Table12[[#This Row],[Current Policies 2030 excl LULUCF]]/2+Table12[[#This Row],[GHG emissions excl LULUCF]]/2)/Table12[[#This Row],[Population]]-$AI$8)*10)*$AI$10</f>
        <v>-843.52960412668392</v>
      </c>
      <c r="AJ15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4" s="32" t="str">
        <f>IF(Table12[[#This Row],[Formule no Peak (2)]]="","",Table12[[#This Row],[Penalty (1)]]+Table12[[#This Row],[Formule no Peak (2)]])</f>
        <v/>
      </c>
      <c r="AL154" s="313">
        <f>(Table12[[#This Row],[Current Policies 2030 excl LULUCF]]-Table12[[#This Row],[GHG emissions excl LULUCF]])/(2030-2021)/Table12[[#This Row],[GHG emissions excl LULUCF]]</f>
        <v>-3.526487692167281E-3</v>
      </c>
      <c r="AM154" s="313">
        <f>IF(Table12[[#This Row],[Net-zero target status]]&lt;=1,"",IF(Table12[[#This Row],[NZ GHG year]]="","",(Table12[[#This Row],[residual LULUCF emissions in 2050]]-Table12[[#This Row],[Current Policies 2030 excl LULUCF]])/(Table12[[#This Row],[NZ GHG year]]-2030)/Table12[[#This Row],[Current Policies 2030 excl LULUCF]]))</f>
        <v>-3.436555348823582E-2</v>
      </c>
      <c r="AN154" s="313">
        <f>IF(Table12[[#This Row],[Net-zero target status]]&lt;=1,"",IF(Table12[[#This Row],[NZ GHG year]]="","",(Table12[[#This Row],[residual LULUCF emissions in 2050]]-Table12[[#This Row],[GHG emissions excl LULUCF]])/(Table12[[#This Row],[NZ GHG year]]-2021)/Table12[[#This Row],[GHG emissions excl LULUCF]]))</f>
        <v>-2.4042596991044187E-2</v>
      </c>
      <c r="AO154" s="313">
        <f>IF(Table12[[#This Row],[Net-zero target status]]&lt;=1,"",IF(Table12[[#This Row],[NZ GHG year]]="","",(Table12[[#This Row],[residual LULUCF emissions in 2050]]-Table12[[#This Row],[2030 conditional NDCs]])/(Table12[[#This Row],[NZ GHG year]]-2030)/Table12[[#This Row],[2030 conditional NDCs]]))</f>
        <v>-2.9632485540507968E-2</v>
      </c>
      <c r="AP154" s="96">
        <f>MAX('input site'!AH154:AS154)</f>
        <v>79.989559999999997</v>
      </c>
      <c r="AQ154" s="95" t="str">
        <f>IF(Table12[[#This Row],[Current Policies 2030 incl LULUCF]]&gt;Table12[[#This Row],[Maximum inventory data]],"No","Yes")</f>
        <v>Yes</v>
      </c>
      <c r="AR154" s="34">
        <f>IF(Table12[[#This Row],[Net-zero target status]]&gt;=1.5,Table12[[#This Row],[residual LULUCF emissions in 2050]]/Table12[[#This Row],[GHG emissions excl LULUCF]],"")</f>
        <v>0.30276468725971845</v>
      </c>
      <c r="AS154" s="76">
        <f>'input site'!BE154</f>
        <v>57.1</v>
      </c>
      <c r="AT154" s="76">
        <f>'input site'!BF154</f>
        <v>57.1</v>
      </c>
      <c r="AU154" s="76">
        <f>'input site'!BG154</f>
        <v>57.1</v>
      </c>
      <c r="AV154" s="77">
        <f>'input site'!BH154</f>
        <v>57.1</v>
      </c>
      <c r="AW154" s="74">
        <f>IF(Table12[[#This Row],[2030 unconditional NDCs]]="","",IF(F154="incl",Table12[[#This Row],[2030 unconditional NDCs]]-Table12[[#This Row],[LULUCF NDC uncond]],Table12[[#This Row],[2030 unconditional NDCs]]))</f>
        <v>57.1</v>
      </c>
      <c r="AX154" s="74">
        <f>IF(Table12[[#This Row],[2030 unconditional NDCs2]]="","",IF(F154="incl",Table12[[#This Row],[2030 unconditional NDCs2]]-Table12[[#This Row],[LULUCF NDC uncond]],Table12[[#This Row],[2030 unconditional NDCs2]]))</f>
        <v>57.1</v>
      </c>
      <c r="AY154" s="74">
        <f>IF(Table12[[#This Row],[2030 conditional NDCs]]="","",IF(F154="incl",Table12[[#This Row],[2030 conditional NDCs]]-Table12[[#This Row],[LULUCF NDC cond]],Table12[[#This Row],[2030 conditional NDCs]]))</f>
        <v>57.1</v>
      </c>
      <c r="AZ154" s="74">
        <f>IF(Table12[[#This Row],[2030 conditional NDCs2]]="","",IF(F154="incl",Table12[[#This Row],[2030 conditional NDCs2]]-Table12[[#This Row],[LULUCF NDC cond]],Table12[[#This Row],[2030 conditional NDCs2]]))</f>
        <v>57.1</v>
      </c>
      <c r="BA154" s="8">
        <f>VLOOKUP($G154,'Population90 20'!$C$6:$AU$231,37,FALSE)</f>
        <v>4898203</v>
      </c>
      <c r="BB154" s="8">
        <f>VLOOKUP($G154,'Overview GDP (PPP)'!$C$6:$AI$231,33,FALSE)</f>
        <v>177611348.85718298</v>
      </c>
      <c r="BC154" s="36">
        <f>Table12[[#This Row],[Income]]/Table12[[#This Row],[Population]]</f>
        <v>36.260512040269255</v>
      </c>
      <c r="BD154" s="36">
        <f>Table12[[#This Row],[GHG emissions excl LULUCF]]*1000000/Table12[[#This Row],[Population]]</f>
        <v>15.684191529015848</v>
      </c>
      <c r="BE154" s="23" t="str">
        <f>VLOOKUP($G154,EGR2023_MASTER!$B$4:$S$38,14,FALSE)</f>
        <v>Y</v>
      </c>
      <c r="BF154" s="23" t="str">
        <f>VLOOKUP($G154,EGR2023_MASTER!$B$4:$S$38,15,FALSE)</f>
        <v>Credible</v>
      </c>
      <c r="BG154" s="23" t="str">
        <f>VLOOKUP($G154,EGR2023_MASTER!$B$4:$S$38,16,FALSE)</f>
        <v>y</v>
      </c>
      <c r="BH154" s="23" t="str">
        <f t="shared" si="24"/>
        <v>higher</v>
      </c>
      <c r="BI154" s="23" t="str">
        <f t="shared" si="25"/>
        <v>stronger</v>
      </c>
      <c r="BJ154" s="552">
        <f>(Table12[[#This Row],[Current Policies 2030 excl LULUCF]]/Table12[[#This Row],[GHG emissions excl LULUCF]])^(1/(2030-2021))-1</f>
        <v>-3.5772495824789585E-3</v>
      </c>
      <c r="BK154" s="552">
        <f>IF(Table12[[#This Row],[Net-zero target status]]&lt;=1,"",IF(Table12[[#This Row],[NZ GHG year]]="","",((MAX(Table12[[#This Row],[residual LULUCF emissions in 2050]],0.1)/Table12[[#This Row],[Current Policies 2030 excl LULUCF]])^(1/(Table12[[#This Row],[NZ GHG year]]-2021))-1)))</f>
        <v>-3.9294921604096533E-2</v>
      </c>
      <c r="BL154" s="552">
        <f>IF(Table12[[#This Row],[Net-zero target status]]&lt;=1,"",IF(Table12[[#This Row],[NZ GHG year]]="","",((MAX(Table12[[#This Row],[residual LULUCF emissions in 2050]],0.1)/Table12[[#This Row],[GHG emissions excl LULUCF]])^(1/(Table12[[#This Row],[NZ GHG year]]-2021))-1)))</f>
        <v>-4.0362796328460182E-2</v>
      </c>
      <c r="BM154" s="552">
        <f>IF(Table12[[#This Row],[Net-zero target status]]&lt;=1,"",IF(Table12[[#This Row],[NZ GHG year]]="","",((MAX(Table12[[#This Row],[residual LULUCF emissions in 2050]],0.1)/AVERAGE(Table12[[#This Row],[2030 conditional NDCs]:[2030 conditional NDCs2]]))^(1/(Table12[[#This Row],[NZ GHG year]]-2021))-1)))</f>
        <v>-3.0493730912331984E-2</v>
      </c>
      <c r="BN154" s="23"/>
      <c r="BO154" s="23"/>
      <c r="BP154" s="23"/>
      <c r="BQ154" s="23"/>
      <c r="BR154" s="50" t="s">
        <v>337</v>
      </c>
      <c r="BT154" s="30">
        <f>IF(Table12[[#This Row],[Reduction rate 2021 to NZ target2]]="","",J154*(1+AN154)^(Table12[[#This Row],[NZ GHG year]]-2021))</f>
        <v>37.930968826233752</v>
      </c>
    </row>
    <row r="155" spans="1:72" ht="15" x14ac:dyDescent="0.25">
      <c r="A155">
        <v>0</v>
      </c>
      <c r="B155">
        <v>0</v>
      </c>
      <c r="C155">
        <v>558</v>
      </c>
      <c r="D155">
        <v>143</v>
      </c>
      <c r="E155">
        <v>4</v>
      </c>
      <c r="F155" t="str">
        <f>'input site'!M155</f>
        <v>excl</v>
      </c>
      <c r="G155" s="31" t="s">
        <v>338</v>
      </c>
      <c r="H155" s="1" t="s">
        <v>339</v>
      </c>
      <c r="I155" s="8">
        <f>VLOOKUP($G155,'NZT data'!$B$3:$C$200,2,FALSE)</f>
        <v>1</v>
      </c>
      <c r="J155" s="32">
        <f>'input site'!AS155</f>
        <v>19.497084999999998</v>
      </c>
      <c r="K155" s="32">
        <f>'input site'!BS155</f>
        <v>24.041254786230631</v>
      </c>
      <c r="L155" s="32">
        <f t="shared" si="26"/>
        <v>0</v>
      </c>
      <c r="M155" s="32">
        <f t="shared" si="27"/>
        <v>0</v>
      </c>
      <c r="N155" s="32">
        <f>'input site'!EV155</f>
        <v>9.6300764015499585</v>
      </c>
      <c r="O155" s="8">
        <v>0</v>
      </c>
      <c r="P155" s="36">
        <f>O155-N155</f>
        <v>-9.6300764015499585</v>
      </c>
      <c r="Q155" s="32">
        <f t="shared" si="28"/>
        <v>0</v>
      </c>
      <c r="R155" s="32">
        <f>'input site'!EZ155</f>
        <v>1.9585688195782622</v>
      </c>
      <c r="S155" s="37">
        <f>'input site'!FA155</f>
        <v>2050</v>
      </c>
      <c r="T155" s="37" t="str">
        <f>Table12[[#This Row],[(Mt CO2 equivalent)]]</f>
        <v>Nicaragua</v>
      </c>
      <c r="U155" s="8">
        <f>VLOOKUP($G155,'NZT data'!$B$3:$F$200,4,FALSE)</f>
        <v>2110</v>
      </c>
      <c r="V155" s="32">
        <f>VLOOKUP($G155,'NZT data'!$B$3:$F$200,5,FALSE)</f>
        <v>2110</v>
      </c>
      <c r="W155" s="32">
        <f>-IF('LUC NGHGI'!EC145="",MIN('LUC NGHGI'!DW145,0.1),MIN('LUC NGHGI'!EC145,0.1))</f>
        <v>-0.1</v>
      </c>
      <c r="X155" s="32">
        <f>'LUC NGHGI'!EC145</f>
        <v>13.754417425287386</v>
      </c>
      <c r="Y155" s="32">
        <f>'LUC NGHGI'!DY145</f>
        <v>13.754417425287386</v>
      </c>
      <c r="Z155" s="32">
        <f>'LUC NGHGI'!DZ145</f>
        <v>13.754417425287386</v>
      </c>
      <c r="AA155" s="32">
        <f>Table12[[#This Row],[2021 emissions]]</f>
        <v>19.497084999999998</v>
      </c>
      <c r="AB155" s="32">
        <f>'LUC NGHGI'!DW145</f>
        <v>13.935754764553224</v>
      </c>
      <c r="AC155" s="32">
        <f>IF(F155="incl",Table12[[#This Row],[GHG emissions incl LULUCF]]-Table12[[#This Row],[LULUCF emis-sions in 20213]],Table12[[#This Row],[GHG emissions incl LULUCF]])</f>
        <v>19.497084999999998</v>
      </c>
      <c r="AD155" s="32">
        <f>'input site'!BS155</f>
        <v>24.041254786230631</v>
      </c>
      <c r="AE155" s="32">
        <f>'LUC NGHGI'!EH145</f>
        <v>8.1777108983913251</v>
      </c>
      <c r="AF155" s="32">
        <f>IF(F155="incl",Table12[[#This Row],[Current Policies 2030 incl LULUCF]]-Table12[[#This Row],[LULUCF CurPol 2030]],Table12[[#This Row],[Current Policies 2030 incl LULUCF]])</f>
        <v>24.041254786230631</v>
      </c>
      <c r="AG155" s="32" t="str">
        <f>IF(Table12[[#This Row],[Net-zero target status]]&lt;=1,"",IF(Table12[[#This Row],[NZ GHG year]]="","",1000000000*(Table12[[#This Row],[residual LULUCF emissions in 2050]]-Table12[[#This Row],[GHG emissions excl LULUCF]])/(Table12[[#This Row],[NZ GHG year]]-2021)/Table12[[#This Row],[Population]]))</f>
        <v/>
      </c>
      <c r="AH155" s="32" t="str">
        <f>IF(Table12[[#This Row],[Peak revised]]="Yes",IF(Table12[[#This Row],[Net-zero target status]]&lt;=1,"",IF(Table12[[#This Row],[NZ GHG year]]="","",1000000000*(Table12[[#This Row],[residual LULUCF emissions in 2050]]-Table12[[#This Row],[GHG emissions excl LULUCF]])/(Table12[[#This Row],[NZ GHG year]]-2021)/Table12[[#This Row],[Population]])),"")</f>
        <v/>
      </c>
      <c r="AI155" s="32">
        <f>MAX(0,(1000000*(Table12[[#This Row],[Current Policies 2030 excl LULUCF]]/2+Table12[[#This Row],[GHG emissions excl LULUCF]]/2)/Table12[[#This Row],[Population]]-$AI$8)*10)*$AI$10</f>
        <v>0</v>
      </c>
      <c r="AJ15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5" s="32" t="str">
        <f>IF(Table12[[#This Row],[Formule no Peak (2)]]="","",Table12[[#This Row],[Penalty (1)]]+Table12[[#This Row],[Formule no Peak (2)]])</f>
        <v/>
      </c>
      <c r="AL155" s="313">
        <f>(Table12[[#This Row],[Current Policies 2030 excl LULUCF]]-Table12[[#This Row],[GHG emissions excl LULUCF]])/(2030-2021)/Table12[[#This Row],[GHG emissions excl LULUCF]]</f>
        <v>2.5896576540832942E-2</v>
      </c>
      <c r="AM155" s="313" t="str">
        <f>IF(Table12[[#This Row],[Net-zero target status]]&lt;=1,"",IF(Table12[[#This Row],[NZ GHG year]]="","",(Table12[[#This Row],[residual LULUCF emissions in 2050]]-Table12[[#This Row],[Current Policies 2030 excl LULUCF]])/(Table12[[#This Row],[NZ GHG year]]-2030)/Table12[[#This Row],[Current Policies 2030 excl LULUCF]]))</f>
        <v/>
      </c>
      <c r="AN155" s="313" t="str">
        <f>IF(Table12[[#This Row],[Net-zero target status]]&lt;=1,"",IF(Table12[[#This Row],[NZ GHG year]]="","",(Table12[[#This Row],[residual LULUCF emissions in 2050]]-Table12[[#This Row],[GHG emissions excl LULUCF]])/(Table12[[#This Row],[NZ GHG year]]-2021)/Table12[[#This Row],[GHG emissions excl LULUCF]]))</f>
        <v/>
      </c>
      <c r="AO155" s="313" t="str">
        <f>IF(Table12[[#This Row],[Net-zero target status]]&lt;=1,"",IF(Table12[[#This Row],[NZ GHG year]]="","",(Table12[[#This Row],[residual LULUCF emissions in 2050]]-Table12[[#This Row],[2030 conditional NDCs]])/(Table12[[#This Row],[NZ GHG year]]-2030)/Table12[[#This Row],[2030 conditional NDCs]]))</f>
        <v/>
      </c>
      <c r="AP155" s="96">
        <f>MAX('input site'!AH155:AS155)</f>
        <v>19.497084999999998</v>
      </c>
      <c r="AQ155" s="95" t="str">
        <f>IF(Table12[[#This Row],[Current Policies 2030 incl LULUCF]]&gt;Table12[[#This Row],[Maximum inventory data]],"No","Yes")</f>
        <v>No</v>
      </c>
      <c r="AR155" s="34" t="str">
        <f>IF(Table12[[#This Row],[Net-zero target status]]&gt;=1.5,Table12[[#This Row],[residual LULUCF emissions in 2050]]/Table12[[#This Row],[GHG emissions excl LULUCF]],"")</f>
        <v/>
      </c>
      <c r="AS155" s="74" t="str">
        <f>'input site'!BE155</f>
        <v/>
      </c>
      <c r="AT155" s="74"/>
      <c r="AU155" s="74"/>
      <c r="AV155" s="75"/>
      <c r="AW155" s="74" t="str">
        <f>IF(Table12[[#This Row],[2030 unconditional NDCs]]="","",IF(F155="incl",Table12[[#This Row],[2030 unconditional NDCs]]-Table12[[#This Row],[LULUCF NDC uncond]],Table12[[#This Row],[2030 unconditional NDCs]]))</f>
        <v/>
      </c>
      <c r="AX155" s="74" t="str">
        <f>IF(Table12[[#This Row],[2030 unconditional NDCs2]]="","",IF(F155="incl",Table12[[#This Row],[2030 unconditional NDCs2]]-Table12[[#This Row],[LULUCF NDC uncond]],Table12[[#This Row],[2030 unconditional NDCs2]]))</f>
        <v/>
      </c>
      <c r="AY155" s="74" t="str">
        <f>IF(Table12[[#This Row],[2030 conditional NDCs]]="","",IF(F155="incl",Table12[[#This Row],[2030 conditional NDCs]]-Table12[[#This Row],[LULUCF NDC cond]],Table12[[#This Row],[2030 conditional NDCs]]))</f>
        <v/>
      </c>
      <c r="AZ155" s="74" t="str">
        <f>IF(Table12[[#This Row],[2030 conditional NDCs2]]="","",IF(F155="incl",Table12[[#This Row],[2030 conditional NDCs2]]-Table12[[#This Row],[LULUCF NDC cond]],Table12[[#This Row],[2030 conditional NDCs2]]))</f>
        <v/>
      </c>
      <c r="BA155" s="8">
        <f>VLOOKUP($G155,'Population90 20'!$C$6:$AU$231,37,FALSE)</f>
        <v>6779100</v>
      </c>
      <c r="BB155" s="8">
        <f>VLOOKUP($G155,'Overview GDP (PPP)'!$C$6:$AI$231,33,FALSE)</f>
        <v>31745833.321741499</v>
      </c>
      <c r="BC155" s="36">
        <f>Table12[[#This Row],[Income]]/Table12[[#This Row],[Population]]</f>
        <v>4.6828979247601454</v>
      </c>
      <c r="BD155" s="36">
        <f>Table12[[#This Row],[GHG emissions excl LULUCF]]*1000000/Table12[[#This Row],[Population]]</f>
        <v>2.8760580313020903</v>
      </c>
      <c r="BE155" s="23" t="e">
        <f>VLOOKUP($G155,EGR2023_MASTER!$B$4:$S$38,14,FALSE)</f>
        <v>#N/A</v>
      </c>
      <c r="BF155" s="23" t="e">
        <f>VLOOKUP($G155,EGR2023_MASTER!$B$4:$S$38,15,FALSE)</f>
        <v>#N/A</v>
      </c>
      <c r="BG155" s="23" t="e">
        <f>VLOOKUP($G155,EGR2023_MASTER!$B$4:$S$38,16,FALSE)</f>
        <v>#N/A</v>
      </c>
      <c r="BH155" s="23" t="e">
        <f t="shared" si="24"/>
        <v>#N/A</v>
      </c>
      <c r="BI155" s="23" t="e">
        <f t="shared" si="25"/>
        <v>#N/A</v>
      </c>
      <c r="BJ155" s="552">
        <f>(Table12[[#This Row],[Current Policies 2030 excl LULUCF]]/Table12[[#This Row],[GHG emissions excl LULUCF]])^(1/(2030-2021))-1</f>
        <v>2.3551540411518301E-2</v>
      </c>
      <c r="BK155" s="552" t="str">
        <f>IF(Table12[[#This Row],[Net-zero target status]]&lt;=1,"",IF(Table12[[#This Row],[NZ GHG year]]="","",((MAX(Table12[[#This Row],[residual LULUCF emissions in 2050]],0.1)/Table12[[#This Row],[Current Policies 2030 excl LULUCF]])^(1/(Table12[[#This Row],[NZ GHG year]]-2021))-1)))</f>
        <v/>
      </c>
      <c r="BL155" s="552" t="str">
        <f>IF(Table12[[#This Row],[Net-zero target status]]&lt;=1,"",IF(Table12[[#This Row],[NZ GHG year]]="","",((MAX(Table12[[#This Row],[residual LULUCF emissions in 2050]],0.1)/Table12[[#This Row],[GHG emissions excl LULUCF]])^(1/(Table12[[#This Row],[NZ GHG year]]-2021))-1)))</f>
        <v/>
      </c>
      <c r="BM155" s="552" t="str">
        <f>IF(Table12[[#This Row],[Net-zero target status]]&lt;=1,"",IF(Table12[[#This Row],[NZ GHG year]]="","",((MAX(Table12[[#This Row],[residual LULUCF emissions in 2050]],0.1)/AVERAGE(Table12[[#This Row],[2030 conditional NDCs]:[2030 conditional NDCs2]]))^(1/(Table12[[#This Row],[NZ GHG year]]-2021))-1)))</f>
        <v/>
      </c>
      <c r="BN155" s="23"/>
      <c r="BO155" s="23"/>
      <c r="BP155" s="23"/>
      <c r="BQ155" s="23"/>
      <c r="BR155" s="50" t="s">
        <v>339</v>
      </c>
      <c r="BT155" s="30" t="str">
        <f>IF(Table12[[#This Row],[Reduction rate 2021 to NZ target2]]="","",J155*(1+AN155)^(Table12[[#This Row],[NZ GHG year]]-2021))</f>
        <v/>
      </c>
    </row>
    <row r="156" spans="1:72" ht="15" x14ac:dyDescent="0.25">
      <c r="A156">
        <v>0</v>
      </c>
      <c r="B156">
        <v>0</v>
      </c>
      <c r="C156">
        <v>562</v>
      </c>
      <c r="D156">
        <v>144</v>
      </c>
      <c r="E156">
        <v>8</v>
      </c>
      <c r="F156" t="str">
        <f>'input site'!M156</f>
        <v>incl</v>
      </c>
      <c r="G156" s="31" t="s">
        <v>340</v>
      </c>
      <c r="H156" s="1" t="s">
        <v>341</v>
      </c>
      <c r="I156" s="8">
        <f>VLOOKUP($G156,'NZT data'!$B$3:$C$200,2,FALSE)</f>
        <v>1</v>
      </c>
      <c r="J156" s="32">
        <f>'input site'!AS156</f>
        <v>23.176460667408328</v>
      </c>
      <c r="K156" s="32">
        <f>'input site'!BS156</f>
        <v>27.602853240129917</v>
      </c>
      <c r="L156" s="32">
        <f t="shared" si="26"/>
        <v>0</v>
      </c>
      <c r="M156" s="32">
        <f t="shared" si="27"/>
        <v>0</v>
      </c>
      <c r="N156" s="32">
        <f>'input site'!EV156</f>
        <v>17.52581024468671</v>
      </c>
      <c r="O156" s="8"/>
      <c r="P156" s="36"/>
      <c r="Q156" s="32">
        <f t="shared" si="28"/>
        <v>0</v>
      </c>
      <c r="R156" s="32">
        <f>'input site'!EZ156</f>
        <v>9.9827065093104057</v>
      </c>
      <c r="S156" s="37">
        <f>'input site'!FA156</f>
        <v>2050</v>
      </c>
      <c r="T156" s="37" t="str">
        <f>Table12[[#This Row],[(Mt CO2 equivalent)]]</f>
        <v>Niger</v>
      </c>
      <c r="U156" s="8">
        <f>VLOOKUP($G156,'NZT data'!$B$3:$F$200,4,FALSE)</f>
        <v>2110</v>
      </c>
      <c r="V156" s="32">
        <f>VLOOKUP($G156,'NZT data'!$B$3:$F$200,5,FALSE)</f>
        <v>2125</v>
      </c>
      <c r="W156" s="32">
        <f>-IF('LUC NGHGI'!EC146="",MIN('LUC NGHGI'!DW146,0.1),MIN('LUC NGHGI'!EC146,0.1))</f>
        <v>11.062344827586116</v>
      </c>
      <c r="X156" s="32">
        <f>'LUC NGHGI'!EC146</f>
        <v>-11.062344827586116</v>
      </c>
      <c r="Y156" s="32">
        <f>'LUC NGHGI'!DY146</f>
        <v>-11.062344827586116</v>
      </c>
      <c r="Z156" s="32">
        <f>'LUC NGHGI'!DZ146</f>
        <v>-11.062344827586116</v>
      </c>
      <c r="AA156" s="32">
        <f>Table12[[#This Row],[2021 emissions]]</f>
        <v>23.176460667408328</v>
      </c>
      <c r="AB156" s="32">
        <f>'LUC NGHGI'!DW146</f>
        <v>-10.75939933259167</v>
      </c>
      <c r="AC156" s="32">
        <f>IF(F156="incl",Table12[[#This Row],[GHG emissions incl LULUCF]]-Table12[[#This Row],[LULUCF emis-sions in 20213]],Table12[[#This Row],[GHG emissions incl LULUCF]])</f>
        <v>33.935859999999998</v>
      </c>
      <c r="AD156" s="32">
        <f>'input site'!BS156</f>
        <v>27.602853240129917</v>
      </c>
      <c r="AE156" s="32">
        <f>'LUC NGHGI'!EH146</f>
        <v>-14.355567303542985</v>
      </c>
      <c r="AF156" s="32">
        <f>IF(F156="incl",Table12[[#This Row],[Current Policies 2030 incl LULUCF]]-Table12[[#This Row],[LULUCF CurPol 2030]],Table12[[#This Row],[Current Policies 2030 incl LULUCF]])</f>
        <v>41.958420543672901</v>
      </c>
      <c r="AG156" s="32" t="str">
        <f>IF(Table12[[#This Row],[Net-zero target status]]&lt;=1,"",IF(Table12[[#This Row],[NZ GHG year]]="","",1000000000*(Table12[[#This Row],[residual LULUCF emissions in 2050]]-Table12[[#This Row],[GHG emissions excl LULUCF]])/(Table12[[#This Row],[NZ GHG year]]-2021)/Table12[[#This Row],[Population]]))</f>
        <v/>
      </c>
      <c r="AH156" s="32" t="str">
        <f>IF(Table12[[#This Row],[Peak revised]]="Yes",IF(Table12[[#This Row],[Net-zero target status]]&lt;=1,"",IF(Table12[[#This Row],[NZ GHG year]]="","",1000000000*(Table12[[#This Row],[residual LULUCF emissions in 2050]]-Table12[[#This Row],[GHG emissions excl LULUCF]])/(Table12[[#This Row],[NZ GHG year]]-2021)/Table12[[#This Row],[Population]])),"")</f>
        <v/>
      </c>
      <c r="AI156" s="32">
        <f>MAX(0,(1000000*(Table12[[#This Row],[Current Policies 2030 excl LULUCF]]/2+Table12[[#This Row],[GHG emissions excl LULUCF]]/2)/Table12[[#This Row],[Population]]-$AI$8)*10)*$AI$10</f>
        <v>0</v>
      </c>
      <c r="AJ15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6" s="32" t="str">
        <f>IF(Table12[[#This Row],[Formule no Peak (2)]]="","",Table12[[#This Row],[Penalty (1)]]+Table12[[#This Row],[Formule no Peak (2)]])</f>
        <v/>
      </c>
      <c r="AL156" s="313">
        <f>(Table12[[#This Row],[Current Policies 2030 excl LULUCF]]-Table12[[#This Row],[GHG emissions excl LULUCF]])/(2030-2021)/Table12[[#This Row],[GHG emissions excl LULUCF]]</f>
        <v>2.6267070171896507E-2</v>
      </c>
      <c r="AM156" s="313" t="str">
        <f>IF(Table12[[#This Row],[Net-zero target status]]&lt;=1,"",IF(Table12[[#This Row],[NZ GHG year]]="","",(Table12[[#This Row],[residual LULUCF emissions in 2050]]-Table12[[#This Row],[Current Policies 2030 excl LULUCF]])/(Table12[[#This Row],[NZ GHG year]]-2030)/Table12[[#This Row],[Current Policies 2030 excl LULUCF]]))</f>
        <v/>
      </c>
      <c r="AN156" s="313" t="str">
        <f>IF(Table12[[#This Row],[Net-zero target status]]&lt;=1,"",IF(Table12[[#This Row],[NZ GHG year]]="","",(Table12[[#This Row],[residual LULUCF emissions in 2050]]-Table12[[#This Row],[GHG emissions excl LULUCF]])/(Table12[[#This Row],[NZ GHG year]]-2021)/Table12[[#This Row],[GHG emissions excl LULUCF]]))</f>
        <v/>
      </c>
      <c r="AO156" s="313" t="str">
        <f>IF(Table12[[#This Row],[Net-zero target status]]&lt;=1,"",IF(Table12[[#This Row],[NZ GHG year]]="","",(Table12[[#This Row],[residual LULUCF emissions in 2050]]-Table12[[#This Row],[2030 conditional NDCs]])/(Table12[[#This Row],[NZ GHG year]]-2030)/Table12[[#This Row],[2030 conditional NDCs]]))</f>
        <v/>
      </c>
      <c r="AP156" s="96">
        <f>MAX('input site'!AH156:AS156)</f>
        <v>23.176460667408328</v>
      </c>
      <c r="AQ156" s="95" t="str">
        <f>IF(Table12[[#This Row],[Current Policies 2030 incl LULUCF]]&gt;Table12[[#This Row],[Maximum inventory data]],"No","Yes")</f>
        <v>No</v>
      </c>
      <c r="AR156" s="34" t="str">
        <f>IF(Table12[[#This Row],[Net-zero target status]]&gt;=1.5,Table12[[#This Row],[residual LULUCF emissions in 2050]]/Table12[[#This Row],[GHG emissions excl LULUCF]],"")</f>
        <v/>
      </c>
      <c r="AS156" s="74">
        <f>'input site'!BE156</f>
        <v>82.332220667408336</v>
      </c>
      <c r="AT156" s="74">
        <f>'input site'!BF156</f>
        <v>82.332220667408336</v>
      </c>
      <c r="AU156" s="74">
        <f>'input site'!BG156</f>
        <v>52.330672667408336</v>
      </c>
      <c r="AV156" s="75">
        <f>'input site'!BH156</f>
        <v>52.330672667408336</v>
      </c>
      <c r="AW156" s="74">
        <f>IF(Table12[[#This Row],[2030 unconditional NDCs]]="","",IF(F156="incl",Table12[[#This Row],[2030 unconditional NDCs]]-Table12[[#This Row],[LULUCF NDC uncond]],Table12[[#This Row],[2030 unconditional NDCs]]))</f>
        <v>93.394565494994453</v>
      </c>
      <c r="AX156" s="74">
        <f>IF(Table12[[#This Row],[2030 unconditional NDCs2]]="","",IF(F156="incl",Table12[[#This Row],[2030 unconditional NDCs2]]-Table12[[#This Row],[LULUCF NDC uncond]],Table12[[#This Row],[2030 unconditional NDCs2]]))</f>
        <v>93.394565494994453</v>
      </c>
      <c r="AY156" s="74">
        <f>IF(Table12[[#This Row],[2030 conditional NDCs]]="","",IF(F156="incl",Table12[[#This Row],[2030 conditional NDCs]]-Table12[[#This Row],[LULUCF NDC cond]],Table12[[#This Row],[2030 conditional NDCs]]))</f>
        <v>63.393017494994453</v>
      </c>
      <c r="AZ156" s="74">
        <f>IF(Table12[[#This Row],[2030 conditional NDCs2]]="","",IF(F156="incl",Table12[[#This Row],[2030 conditional NDCs2]]-Table12[[#This Row],[LULUCF NDC cond]],Table12[[#This Row],[2030 conditional NDCs2]]))</f>
        <v>63.393017494994453</v>
      </c>
      <c r="BA156" s="8">
        <f>VLOOKUP($G156,'Population90 20'!$C$6:$AU$231,37,FALSE)</f>
        <v>26083660</v>
      </c>
      <c r="BB156" s="8">
        <f>VLOOKUP($G156,'Overview GDP (PPP)'!$C$6:$AI$231,33,FALSE)</f>
        <v>20916547.167083472</v>
      </c>
      <c r="BC156" s="36">
        <f>Table12[[#This Row],[Income]]/Table12[[#This Row],[Population]]</f>
        <v>0.80190230845991217</v>
      </c>
      <c r="BD156" s="36">
        <f>Table12[[#This Row],[GHG emissions excl LULUCF]]*1000000/Table12[[#This Row],[Population]]</f>
        <v>1.3010390413001856</v>
      </c>
      <c r="BE156" s="23" t="e">
        <f>VLOOKUP($G156,EGR2023_MASTER!$B$4:$S$38,14,FALSE)</f>
        <v>#N/A</v>
      </c>
      <c r="BF156" s="23" t="e">
        <f>VLOOKUP($G156,EGR2023_MASTER!$B$4:$S$38,15,FALSE)</f>
        <v>#N/A</v>
      </c>
      <c r="BG156" s="23" t="e">
        <f>VLOOKUP($G156,EGR2023_MASTER!$B$4:$S$38,16,FALSE)</f>
        <v>#N/A</v>
      </c>
      <c r="BH156" s="23" t="e">
        <f t="shared" si="24"/>
        <v>#N/A</v>
      </c>
      <c r="BI156" s="23" t="e">
        <f t="shared" si="25"/>
        <v>#N/A</v>
      </c>
      <c r="BJ156" s="552">
        <f>(Table12[[#This Row],[Current Policies 2030 excl LULUCF]]/Table12[[#This Row],[GHG emissions excl LULUCF]])^(1/(2030-2021))-1</f>
        <v>2.3858712415148586E-2</v>
      </c>
      <c r="BK156" s="552" t="str">
        <f>IF(Table12[[#This Row],[Net-zero target status]]&lt;=1,"",IF(Table12[[#This Row],[NZ GHG year]]="","",((MAX(Table12[[#This Row],[residual LULUCF emissions in 2050]],0.1)/Table12[[#This Row],[Current Policies 2030 excl LULUCF]])^(1/(Table12[[#This Row],[NZ GHG year]]-2021))-1)))</f>
        <v/>
      </c>
      <c r="BL156" s="552" t="str">
        <f>IF(Table12[[#This Row],[Net-zero target status]]&lt;=1,"",IF(Table12[[#This Row],[NZ GHG year]]="","",((MAX(Table12[[#This Row],[residual LULUCF emissions in 2050]],0.1)/Table12[[#This Row],[GHG emissions excl LULUCF]])^(1/(Table12[[#This Row],[NZ GHG year]]-2021))-1)))</f>
        <v/>
      </c>
      <c r="BM156" s="552" t="str">
        <f>IF(Table12[[#This Row],[Net-zero target status]]&lt;=1,"",IF(Table12[[#This Row],[NZ GHG year]]="","",((MAX(Table12[[#This Row],[residual LULUCF emissions in 2050]],0.1)/AVERAGE(Table12[[#This Row],[2030 conditional NDCs]:[2030 conditional NDCs2]]))^(1/(Table12[[#This Row],[NZ GHG year]]-2021))-1)))</f>
        <v/>
      </c>
      <c r="BN156" s="23"/>
      <c r="BO156" s="23"/>
      <c r="BP156" s="23"/>
      <c r="BQ156" s="23"/>
      <c r="BR156" s="50" t="s">
        <v>341</v>
      </c>
      <c r="BT156" s="30" t="str">
        <f>IF(Table12[[#This Row],[Reduction rate 2021 to NZ target2]]="","",J156*(1+AN156)^(Table12[[#This Row],[NZ GHG year]]-2021))</f>
        <v/>
      </c>
    </row>
    <row r="157" spans="1:72" ht="15" x14ac:dyDescent="0.25">
      <c r="A157">
        <v>1</v>
      </c>
      <c r="B157">
        <v>0</v>
      </c>
      <c r="C157">
        <v>566</v>
      </c>
      <c r="D157">
        <v>145</v>
      </c>
      <c r="E157">
        <v>8</v>
      </c>
      <c r="F157" t="str">
        <f>'input site'!M157</f>
        <v>incl</v>
      </c>
      <c r="G157" s="31" t="s">
        <v>342</v>
      </c>
      <c r="H157" s="1" t="s">
        <v>343</v>
      </c>
      <c r="I157" s="8">
        <f>VLOOKUP($G157,'NZT data'!$B$3:$C$200,2,FALSE)</f>
        <v>4</v>
      </c>
      <c r="J157" s="32">
        <f>'input site'!AS157</f>
        <v>389.31879305418721</v>
      </c>
      <c r="K157" s="32">
        <f>'input site'!BS157</f>
        <v>478.54326499230814</v>
      </c>
      <c r="L157" s="32">
        <f t="shared" si="26"/>
        <v>0</v>
      </c>
      <c r="M157" s="32">
        <f t="shared" si="27"/>
        <v>0</v>
      </c>
      <c r="N157" s="32">
        <f>'input site'!EV157</f>
        <v>355.19704864706904</v>
      </c>
      <c r="O157" s="8"/>
      <c r="P157" s="8"/>
      <c r="Q157" s="32">
        <f t="shared" si="28"/>
        <v>0</v>
      </c>
      <c r="R157" s="32">
        <f>'input site'!EZ157</f>
        <v>202.32034012190266</v>
      </c>
      <c r="S157" s="37">
        <f>'input site'!FA157</f>
        <v>0</v>
      </c>
      <c r="T157" s="37" t="str">
        <f>Table12[[#This Row],[(Mt CO2 equivalent)]]</f>
        <v>Nigeria</v>
      </c>
      <c r="U157" s="8">
        <f>VLOOKUP($G157,'NZT data'!$B$3:$F$200,4,FALSE)</f>
        <v>2070</v>
      </c>
      <c r="V157" s="32">
        <f>VLOOKUP($G157,'NZT data'!$B$3:$F$200,5,FALSE)</f>
        <v>2070</v>
      </c>
      <c r="W157" s="32">
        <f>-IF('LUC NGHGI'!EC147="",MIN('LUC NGHGI'!DW147,0.1),MIN('LUC NGHGI'!EC147,0.1))</f>
        <v>4.5551674876847272</v>
      </c>
      <c r="X157" s="32">
        <f>'LUC NGHGI'!EC147</f>
        <v>-4.5551674876847272</v>
      </c>
      <c r="Y157" s="32">
        <f>'LUC NGHGI'!DY147</f>
        <v>-4.5551674876847272</v>
      </c>
      <c r="Z157" s="32">
        <f>'LUC NGHGI'!DZ147</f>
        <v>-4.5551674876847272</v>
      </c>
      <c r="AA157" s="32">
        <f>Table12[[#This Row],[2021 emissions]]</f>
        <v>389.31879305418721</v>
      </c>
      <c r="AB157" s="32">
        <f>'LUC NGHGI'!DW147</f>
        <v>-4.5015369458128021</v>
      </c>
      <c r="AC157" s="32">
        <f>IF(F157="incl",Table12[[#This Row],[GHG emissions incl LULUCF]]-Table12[[#This Row],[LULUCF emis-sions in 20213]],Table12[[#This Row],[GHG emissions incl LULUCF]])</f>
        <v>393.82033000000001</v>
      </c>
      <c r="AD157" s="32">
        <f>'input site'!BS157</f>
        <v>478.54326499230814</v>
      </c>
      <c r="AE157" s="32">
        <f>'LUC NGHGI'!EH147</f>
        <v>-5.9112253746873957</v>
      </c>
      <c r="AF157" s="32">
        <f>IF(F157="incl",Table12[[#This Row],[Current Policies 2030 incl LULUCF]]-Table12[[#This Row],[LULUCF CurPol 2030]],Table12[[#This Row],[Current Policies 2030 incl LULUCF]])</f>
        <v>484.45449036699551</v>
      </c>
      <c r="AG157" s="32">
        <f>IF(Table12[[#This Row],[Net-zero target status]]&lt;=1,"",IF(Table12[[#This Row],[NZ GHG year]]="","",1000000000*(Table12[[#This Row],[residual LULUCF emissions in 2050]]-Table12[[#This Row],[GHG emissions excl LULUCF]])/(Table12[[#This Row],[NZ GHG year]]-2021)/Table12[[#This Row],[Population]]))</f>
        <v>-36.6519001834981</v>
      </c>
      <c r="AH157" s="32" t="str">
        <f>IF(Table12[[#This Row],[Peak revised]]="Yes",IF(Table12[[#This Row],[Net-zero target status]]&lt;=1,"",IF(Table12[[#This Row],[NZ GHG year]]="","",1000000000*(Table12[[#This Row],[residual LULUCF emissions in 2050]]-Table12[[#This Row],[GHG emissions excl LULUCF]])/(Table12[[#This Row],[NZ GHG year]]-2021)/Table12[[#This Row],[Population]])),"")</f>
        <v/>
      </c>
      <c r="AI157" s="32">
        <f>MAX(0,(1000000*(Table12[[#This Row],[Current Policies 2030 excl LULUCF]]/2+Table12[[#This Row],[GHG emissions excl LULUCF]]/2)/Table12[[#This Row],[Population]]-$AI$8)*10)*$AI$10</f>
        <v>0</v>
      </c>
      <c r="AJ157" s="32">
        <f>IF(Table12[[#This Row],[Peak revised]]="No",IF(Table12[[#This Row],[Net-zero target status]]&lt;=1,"",IF(Table12[[#This Row],[NZ GHG year]]="","",1000000000*(Table12[[#This Row],[residual LULUCF emissions in 2050]]-Table12[[#This Row],[Current Policies 2030 excl LULUCF]])/(Table12[[#This Row],[NZ GHG year]]-2021)/Table12[[#This Row],[Population]])),"")</f>
        <v>-45.185708288869421</v>
      </c>
      <c r="AK157" s="32">
        <f>IF(Table12[[#This Row],[Formule no Peak (2)]]="","",Table12[[#This Row],[Penalty (1)]]+Table12[[#This Row],[Formule no Peak (2)]])</f>
        <v>-45.185708288869421</v>
      </c>
      <c r="AL157" s="313">
        <f>(Table12[[#This Row],[Current Policies 2030 excl LULUCF]]-Table12[[#This Row],[GHG emissions excl LULUCF]])/(2030-2021)/Table12[[#This Row],[GHG emissions excl LULUCF]]</f>
        <v>2.5571209751917835E-2</v>
      </c>
      <c r="AM157" s="313">
        <f>IF(Table12[[#This Row],[Net-zero target status]]&lt;=1,"",IF(Table12[[#This Row],[NZ GHG year]]="","",(Table12[[#This Row],[residual LULUCF emissions in 2050]]-Table12[[#This Row],[Current Policies 2030 excl LULUCF]])/(Table12[[#This Row],[NZ GHG year]]-2030)/Table12[[#This Row],[Current Policies 2030 excl LULUCF]]))</f>
        <v>-2.4764933157899207E-2</v>
      </c>
      <c r="AN157" s="313">
        <f>IF(Table12[[#This Row],[Net-zero target status]]&lt;=1,"",IF(Table12[[#This Row],[NZ GHG year]]="","",(Table12[[#This Row],[residual LULUCF emissions in 2050]]-Table12[[#This Row],[GHG emissions excl LULUCF]])/(Table12[[#This Row],[NZ GHG year]]-2021)/Table12[[#This Row],[GHG emissions excl LULUCF]]))</f>
        <v>-2.0172109931570193E-2</v>
      </c>
      <c r="AO157" s="313">
        <f>IF(Table12[[#This Row],[Net-zero target status]]&lt;=1,"",IF(Table12[[#This Row],[NZ GHG year]]="","",(Table12[[#This Row],[residual LULUCF emissions in 2050]]-Table12[[#This Row],[2030 conditional NDCs]])/(Table12[[#This Row],[NZ GHG year]]-2030)/Table12[[#This Row],[2030 conditional NDCs]]))</f>
        <v>-2.4525681256228424E-2</v>
      </c>
      <c r="AP157" s="96">
        <f>MAX('input site'!AH157:AS157)</f>
        <v>389.31879305418721</v>
      </c>
      <c r="AQ157" s="95" t="str">
        <f>IF(Table12[[#This Row],[Current Policies 2030 incl LULUCF]]&gt;Table12[[#This Row],[Maximum inventory data]],"No","Yes")</f>
        <v>No</v>
      </c>
      <c r="AR157" s="34">
        <f>IF(Table12[[#This Row],[Net-zero target status]]&gt;=1.5,Table12[[#This Row],[residual LULUCF emissions in 2050]]/Table12[[#This Row],[GHG emissions excl LULUCF]],"")</f>
        <v>1.1566613353060588E-2</v>
      </c>
      <c r="AS157" s="76">
        <f>'input site'!BE157</f>
        <v>362.40000000000003</v>
      </c>
      <c r="AT157" s="76">
        <f>'input site'!BF157</f>
        <v>362.40000000000003</v>
      </c>
      <c r="AU157" s="76">
        <f>'input site'!BG157</f>
        <v>240.09</v>
      </c>
      <c r="AV157" s="77">
        <f>'input site'!BH157</f>
        <v>240.09</v>
      </c>
      <c r="AW157" s="74">
        <f>IF(Table12[[#This Row],[2030 unconditional NDCs]]="","",IF(F157="incl",Table12[[#This Row],[2030 unconditional NDCs]]-Table12[[#This Row],[LULUCF NDC uncond]],Table12[[#This Row],[2030 unconditional NDCs]]))</f>
        <v>366.95516748768478</v>
      </c>
      <c r="AX157" s="74">
        <f>IF(Table12[[#This Row],[2030 unconditional NDCs2]]="","",IF(F157="incl",Table12[[#This Row],[2030 unconditional NDCs2]]-Table12[[#This Row],[LULUCF NDC uncond]],Table12[[#This Row],[2030 unconditional NDCs2]]))</f>
        <v>366.95516748768478</v>
      </c>
      <c r="AY157" s="74">
        <f>IF(Table12[[#This Row],[2030 conditional NDCs]]="","",IF(F157="incl",Table12[[#This Row],[2030 conditional NDCs]]-Table12[[#This Row],[LULUCF NDC cond]],Table12[[#This Row],[2030 conditional NDCs]]))</f>
        <v>244.64516748768472</v>
      </c>
      <c r="AZ157" s="74">
        <f>IF(Table12[[#This Row],[2030 conditional NDCs2]]="","",IF(F157="incl",Table12[[#This Row],[2030 conditional NDCs2]]-Table12[[#This Row],[LULUCF NDC cond]],Table12[[#This Row],[2030 conditional NDCs2]]))</f>
        <v>244.64516748768472</v>
      </c>
      <c r="BA157" s="8">
        <f>VLOOKUP($G157,'Population90 20'!$C$6:$AU$231,37,FALSE)</f>
        <v>216746934</v>
      </c>
      <c r="BB157" s="8">
        <f>VLOOKUP($G157,'Overview GDP (PPP)'!$C$6:$AI$231,33,FALSE)</f>
        <v>1041235483.3733027</v>
      </c>
      <c r="BC157" s="36">
        <f>Table12[[#This Row],[Income]]/Table12[[#This Row],[Population]]</f>
        <v>4.803922547634758</v>
      </c>
      <c r="BD157" s="36">
        <f>Table12[[#This Row],[GHG emissions excl LULUCF]]*1000000/Table12[[#This Row],[Population]]</f>
        <v>1.8169591732264134</v>
      </c>
      <c r="BE157" s="23" t="str">
        <f>VLOOKUP($G157,EGR2023_MASTER!$B$4:$S$38,14,FALSE)</f>
        <v>Y</v>
      </c>
      <c r="BF157" s="23" t="str">
        <f>VLOOKUP($G157,EGR2023_MASTER!$B$4:$S$38,15,FALSE)</f>
        <v>Credible</v>
      </c>
      <c r="BG157" s="23" t="str">
        <f>VLOOKUP($G157,EGR2023_MASTER!$B$4:$S$38,16,FALSE)</f>
        <v>n</v>
      </c>
      <c r="BH157" s="23" t="str">
        <f t="shared" si="24"/>
        <v>lower</v>
      </c>
      <c r="BI157" s="23" t="str">
        <f t="shared" si="25"/>
        <v>weak</v>
      </c>
      <c r="BJ157" s="552">
        <f>(Table12[[#This Row],[Current Policies 2030 excl LULUCF]]/Table12[[#This Row],[GHG emissions excl LULUCF]])^(1/(2030-2021))-1</f>
        <v>2.3281173014277901E-2</v>
      </c>
      <c r="BK157" s="552">
        <f>IF(Table12[[#This Row],[Net-zero target status]]&lt;=1,"",IF(Table12[[#This Row],[NZ GHG year]]="","",((MAX(Table12[[#This Row],[residual LULUCF emissions in 2050]],0.1)/Table12[[#This Row],[Current Policies 2030 excl LULUCF]])^(1/(Table12[[#This Row],[NZ GHG year]]-2021))-1)))</f>
        <v>-9.0845311033027398E-2</v>
      </c>
      <c r="BL157" s="552">
        <f>IF(Table12[[#This Row],[Net-zero target status]]&lt;=1,"",IF(Table12[[#This Row],[NZ GHG year]]="","",((MAX(Table12[[#This Row],[residual LULUCF emissions in 2050]],0.1)/Table12[[#This Row],[GHG emissions excl LULUCF]])^(1/(Table12[[#This Row],[NZ GHG year]]-2021))-1)))</f>
        <v>-8.6994074219153616E-2</v>
      </c>
      <c r="BM157" s="552">
        <f>IF(Table12[[#This Row],[Net-zero target status]]&lt;=1,"",IF(Table12[[#This Row],[NZ GHG year]]="","",((MAX(Table12[[#This Row],[residual LULUCF emissions in 2050]],0.1)/AVERAGE(Table12[[#This Row],[2030 conditional NDCs]:[2030 conditional NDCs2]]))^(1/(Table12[[#This Row],[NZ GHG year]]-2021))-1)))</f>
        <v>-7.7726348128234979E-2</v>
      </c>
      <c r="BN157" s="23"/>
      <c r="BO157" s="23"/>
      <c r="BP157" s="23"/>
      <c r="BQ157" s="23"/>
      <c r="BR157" s="50" t="s">
        <v>343</v>
      </c>
      <c r="BT157" s="30">
        <f>IF(Table12[[#This Row],[Reduction rate 2021 to NZ target2]]="","",J157*(1+AN157)^(Table12[[#This Row],[NZ GHG year]]-2021))</f>
        <v>143.43179363560878</v>
      </c>
    </row>
    <row r="158" spans="1:72" ht="15" x14ac:dyDescent="0.25">
      <c r="A158">
        <v>0</v>
      </c>
      <c r="B158">
        <v>0</v>
      </c>
      <c r="C158">
        <v>570</v>
      </c>
      <c r="D158">
        <v>146</v>
      </c>
      <c r="E158">
        <v>24</v>
      </c>
      <c r="F158" t="str">
        <f>'input site'!M158</f>
        <v>excl</v>
      </c>
      <c r="G158" s="31" t="s">
        <v>344</v>
      </c>
      <c r="H158" s="1" t="s">
        <v>345</v>
      </c>
      <c r="I158" s="8">
        <f>VLOOKUP($G158,'NZT data'!$B$3:$C$200,2,FALSE)</f>
        <v>1</v>
      </c>
      <c r="J158" s="32">
        <f>'input site'!AS158</f>
        <v>1.3261459E-2</v>
      </c>
      <c r="K158" s="32">
        <f>'input site'!BS158</f>
        <v>1.3902367146493597E-2</v>
      </c>
      <c r="L158" s="32">
        <f t="shared" si="26"/>
        <v>0</v>
      </c>
      <c r="M158" s="32">
        <f t="shared" si="27"/>
        <v>0</v>
      </c>
      <c r="N158" s="32">
        <f>'input site'!EV158</f>
        <v>4.7555513488637567E-3</v>
      </c>
      <c r="O158" s="8">
        <v>0</v>
      </c>
      <c r="P158" s="36">
        <f>O158-N158</f>
        <v>-4.7555513488637567E-3</v>
      </c>
      <c r="Q158" s="32">
        <f t="shared" si="28"/>
        <v>0</v>
      </c>
      <c r="R158" s="32">
        <f>'input site'!EZ158</f>
        <v>2.0570787946052856E-3</v>
      </c>
      <c r="S158" s="37">
        <f>'input site'!FA158</f>
        <v>2050</v>
      </c>
      <c r="T158" s="37" t="str">
        <f>Table12[[#This Row],[(Mt CO2 equivalent)]]</f>
        <v>Niue</v>
      </c>
      <c r="U158" s="8">
        <f>VLOOKUP($G158,'NZT data'!$B$3:$F$200,4,FALSE)</f>
        <v>2110</v>
      </c>
      <c r="V158" s="32">
        <f>VLOOKUP($G158,'NZT data'!$B$3:$F$200,5,FALSE)</f>
        <v>2125</v>
      </c>
      <c r="W158" s="32">
        <f>-IF('LUC NGHGI'!EC148="",MIN('LUC NGHGI'!DW148,0.1),MIN('LUC NGHGI'!EC148,0.1))</f>
        <v>0.2292956372583923</v>
      </c>
      <c r="X158" s="32">
        <f>'LUC NGHGI'!EC148</f>
        <v>-0.2292956372583923</v>
      </c>
      <c r="Y158" s="32">
        <f>'LUC NGHGI'!DY148</f>
        <v>-0.2292956372583923</v>
      </c>
      <c r="Z158" s="32">
        <f>'LUC NGHGI'!DZ148</f>
        <v>-0.2292956372583923</v>
      </c>
      <c r="AA158" s="32">
        <f>Table12[[#This Row],[2021 emissions]]</f>
        <v>1.3261459E-2</v>
      </c>
      <c r="AB158" s="32">
        <f>'LUC NGHGI'!DW148</f>
        <v>-0.23767353219655973</v>
      </c>
      <c r="AC158" s="32">
        <f>IF(F158="incl",Table12[[#This Row],[GHG emissions incl LULUCF]]-Table12[[#This Row],[LULUCF emis-sions in 20213]],Table12[[#This Row],[GHG emissions incl LULUCF]])</f>
        <v>1.3261459E-2</v>
      </c>
      <c r="AD158" s="32">
        <f>'input site'!BS158</f>
        <v>1.3902367146493597E-2</v>
      </c>
      <c r="AE158" s="32">
        <f>'LUC NGHGI'!EH148</f>
        <v>-0.21395446605196378</v>
      </c>
      <c r="AF158" s="32">
        <f>IF(F158="incl",Table12[[#This Row],[Current Policies 2030 incl LULUCF]]-Table12[[#This Row],[LULUCF CurPol 2030]],Table12[[#This Row],[Current Policies 2030 incl LULUCF]])</f>
        <v>1.3902367146493597E-2</v>
      </c>
      <c r="AG158" s="32" t="str">
        <f>IF(Table12[[#This Row],[Net-zero target status]]&lt;=1,"",IF(Table12[[#This Row],[NZ GHG year]]="","",1000000000*(Table12[[#This Row],[residual LULUCF emissions in 2050]]-Table12[[#This Row],[GHG emissions excl LULUCF]])/(Table12[[#This Row],[NZ GHG year]]-2021)/Table12[[#This Row],[Population]]))</f>
        <v/>
      </c>
      <c r="AH158" s="32" t="str">
        <f>IF(Table12[[#This Row],[Peak revised]]="Yes",IF(Table12[[#This Row],[Net-zero target status]]&lt;=1,"",IF(Table12[[#This Row],[NZ GHG year]]="","",1000000000*(Table12[[#This Row],[residual LULUCF emissions in 2050]]-Table12[[#This Row],[GHG emissions excl LULUCF]])/(Table12[[#This Row],[NZ GHG year]]-2021)/Table12[[#This Row],[Population]])),"")</f>
        <v/>
      </c>
      <c r="AI158" s="32" t="e">
        <f>MAX(0,(1000000*(Table12[[#This Row],[Current Policies 2030 excl LULUCF]]/2+Table12[[#This Row],[GHG emissions excl LULUCF]]/2)/Table12[[#This Row],[Population]]-$AI$8)*10)*$AI$10</f>
        <v>#DIV/0!</v>
      </c>
      <c r="AJ15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8" s="32" t="str">
        <f>IF(Table12[[#This Row],[Formule no Peak (2)]]="","",Table12[[#This Row],[Penalty (1)]]+Table12[[#This Row],[Formule no Peak (2)]])</f>
        <v/>
      </c>
      <c r="AL158" s="313">
        <f>(Table12[[#This Row],[Current Policies 2030 excl LULUCF]]-Table12[[#This Row],[GHG emissions excl LULUCF]])/(2030-2021)/Table12[[#This Row],[GHG emissions excl LULUCF]]</f>
        <v>5.3698477880198851E-3</v>
      </c>
      <c r="AM158" s="313" t="str">
        <f>IF(Table12[[#This Row],[Net-zero target status]]&lt;=1,"",IF(Table12[[#This Row],[NZ GHG year]]="","",(Table12[[#This Row],[residual LULUCF emissions in 2050]]-Table12[[#This Row],[Current Policies 2030 excl LULUCF]])/(Table12[[#This Row],[NZ GHG year]]-2030)/Table12[[#This Row],[Current Policies 2030 excl LULUCF]]))</f>
        <v/>
      </c>
      <c r="AN158" s="313" t="str">
        <f>IF(Table12[[#This Row],[Net-zero target status]]&lt;=1,"",IF(Table12[[#This Row],[NZ GHG year]]="","",(Table12[[#This Row],[residual LULUCF emissions in 2050]]-Table12[[#This Row],[GHG emissions excl LULUCF]])/(Table12[[#This Row],[NZ GHG year]]-2021)/Table12[[#This Row],[GHG emissions excl LULUCF]]))</f>
        <v/>
      </c>
      <c r="AO158" s="313" t="str">
        <f>IF(Table12[[#This Row],[Net-zero target status]]&lt;=1,"",IF(Table12[[#This Row],[NZ GHG year]]="","",(Table12[[#This Row],[residual LULUCF emissions in 2050]]-Table12[[#This Row],[2030 conditional NDCs]])/(Table12[[#This Row],[NZ GHG year]]-2030)/Table12[[#This Row],[2030 conditional NDCs]]))</f>
        <v/>
      </c>
      <c r="AP158" s="96">
        <f>MAX('input site'!AH158:AS158)</f>
        <v>1.6673302000000001E-2</v>
      </c>
      <c r="AQ158" s="95" t="str">
        <f>IF(Table12[[#This Row],[Current Policies 2030 incl LULUCF]]&gt;Table12[[#This Row],[Maximum inventory data]],"No","Yes")</f>
        <v>Yes</v>
      </c>
      <c r="AR158" s="34" t="str">
        <f>IF(Table12[[#This Row],[Net-zero target status]]&gt;=1.5,Table12[[#This Row],[residual LULUCF emissions in 2050]]/Table12[[#This Row],[GHG emissions excl LULUCF]],"")</f>
        <v/>
      </c>
      <c r="AS158" s="74" t="str">
        <f>'input site'!BE158</f>
        <v/>
      </c>
      <c r="AT158" s="74"/>
      <c r="AU158" s="74"/>
      <c r="AV158" s="75"/>
      <c r="AW158" s="74" t="str">
        <f>IF(Table12[[#This Row],[2030 unconditional NDCs]]="","",IF(F158="incl",Table12[[#This Row],[2030 unconditional NDCs]]-Table12[[#This Row],[LULUCF NDC uncond]],Table12[[#This Row],[2030 unconditional NDCs]]))</f>
        <v/>
      </c>
      <c r="AX158" s="74" t="str">
        <f>IF(Table12[[#This Row],[2030 unconditional NDCs2]]="","",IF(F158="incl",Table12[[#This Row],[2030 unconditional NDCs2]]-Table12[[#This Row],[LULUCF NDC uncond]],Table12[[#This Row],[2030 unconditional NDCs2]]))</f>
        <v/>
      </c>
      <c r="AY158" s="74" t="str">
        <f>IF(Table12[[#This Row],[2030 conditional NDCs]]="","",IF(F158="incl",Table12[[#This Row],[2030 conditional NDCs]]-Table12[[#This Row],[LULUCF NDC cond]],Table12[[#This Row],[2030 conditional NDCs]]))</f>
        <v/>
      </c>
      <c r="AZ158" s="74" t="str">
        <f>IF(Table12[[#This Row],[2030 conditional NDCs2]]="","",IF(F158="incl",Table12[[#This Row],[2030 conditional NDCs2]]-Table12[[#This Row],[LULUCF NDC cond]],Table12[[#This Row],[2030 conditional NDCs2]]))</f>
        <v/>
      </c>
      <c r="BA158" s="8"/>
      <c r="BB158" s="8"/>
      <c r="BC158" s="36"/>
      <c r="BD158" s="36" t="e">
        <f>Table12[[#This Row],[GHG emissions excl LULUCF]]*1000000/Table12[[#This Row],[Population]]</f>
        <v>#DIV/0!</v>
      </c>
      <c r="BE158" s="23" t="e">
        <f>VLOOKUP($G158,EGR2023_MASTER!$B$4:$S$38,14,FALSE)</f>
        <v>#N/A</v>
      </c>
      <c r="BF158" s="23" t="e">
        <f>VLOOKUP($G158,EGR2023_MASTER!$B$4:$S$38,15,FALSE)</f>
        <v>#N/A</v>
      </c>
      <c r="BG158" s="23" t="e">
        <f>VLOOKUP($G158,EGR2023_MASTER!$B$4:$S$38,16,FALSE)</f>
        <v>#N/A</v>
      </c>
      <c r="BH158" s="23" t="e">
        <f t="shared" si="24"/>
        <v>#N/A</v>
      </c>
      <c r="BI158" s="23" t="e">
        <f t="shared" si="25"/>
        <v>#N/A</v>
      </c>
      <c r="BJ158" s="552">
        <f>(Table12[[#This Row],[Current Policies 2030 excl LULUCF]]/Table12[[#This Row],[GHG emissions excl LULUCF]])^(1/(2030-2021))-1</f>
        <v>5.2578983828655002E-3</v>
      </c>
      <c r="BK158" s="552" t="str">
        <f>IF(Table12[[#This Row],[Net-zero target status]]&lt;=1,"",IF(Table12[[#This Row],[NZ GHG year]]="","",((MAX(Table12[[#This Row],[residual LULUCF emissions in 2050]],0.1)/Table12[[#This Row],[Current Policies 2030 excl LULUCF]])^(1/(Table12[[#This Row],[NZ GHG year]]-2021))-1)))</f>
        <v/>
      </c>
      <c r="BL158" s="552" t="str">
        <f>IF(Table12[[#This Row],[Net-zero target status]]&lt;=1,"",IF(Table12[[#This Row],[NZ GHG year]]="","",((MAX(Table12[[#This Row],[residual LULUCF emissions in 2050]],0.1)/Table12[[#This Row],[GHG emissions excl LULUCF]])^(1/(Table12[[#This Row],[NZ GHG year]]-2021))-1)))</f>
        <v/>
      </c>
      <c r="BM158" s="552" t="str">
        <f>IF(Table12[[#This Row],[Net-zero target status]]&lt;=1,"",IF(Table12[[#This Row],[NZ GHG year]]="","",((MAX(Table12[[#This Row],[residual LULUCF emissions in 2050]],0.1)/AVERAGE(Table12[[#This Row],[2030 conditional NDCs]:[2030 conditional NDCs2]]))^(1/(Table12[[#This Row],[NZ GHG year]]-2021))-1)))</f>
        <v/>
      </c>
      <c r="BN158" s="23"/>
      <c r="BO158" s="23"/>
      <c r="BP158" s="23"/>
      <c r="BQ158" s="23"/>
      <c r="BR158" s="50" t="s">
        <v>345</v>
      </c>
      <c r="BT158" s="30" t="str">
        <f>IF(Table12[[#This Row],[Reduction rate 2021 to NZ target2]]="","",J158*(1+AN158)^(Table12[[#This Row],[NZ GHG year]]-2021))</f>
        <v/>
      </c>
    </row>
    <row r="159" spans="1:72" ht="15" x14ac:dyDescent="0.25">
      <c r="A159">
        <v>0</v>
      </c>
      <c r="B159">
        <v>0</v>
      </c>
      <c r="C159">
        <v>580</v>
      </c>
      <c r="D159">
        <v>148</v>
      </c>
      <c r="E159">
        <v>24</v>
      </c>
      <c r="F159" t="str">
        <f>'input site'!M159</f>
        <v>excl</v>
      </c>
      <c r="G159" s="31" t="s">
        <v>346</v>
      </c>
      <c r="H159" s="1" t="s">
        <v>347</v>
      </c>
      <c r="I159" s="8">
        <v>0</v>
      </c>
      <c r="J159" s="32">
        <f>'input site'!AS159</f>
        <v>0</v>
      </c>
      <c r="K159" s="32">
        <f>'input site'!BS159</f>
        <v>0</v>
      </c>
      <c r="L159" s="32">
        <f t="shared" si="26"/>
        <v>0</v>
      </c>
      <c r="M159" s="32">
        <f t="shared" si="27"/>
        <v>0</v>
      </c>
      <c r="N159" s="32">
        <f>'input site'!EV159</f>
        <v>0</v>
      </c>
      <c r="O159" s="8"/>
      <c r="P159" s="8"/>
      <c r="Q159" s="32">
        <f t="shared" si="28"/>
        <v>0</v>
      </c>
      <c r="R159" s="32">
        <f>'input site'!EZ159</f>
        <v>0</v>
      </c>
      <c r="S159" s="37">
        <f>'input site'!FA159</f>
        <v>0</v>
      </c>
      <c r="T159" s="37" t="str">
        <f>Table12[[#This Row],[(Mt CO2 equivalent)]]</f>
        <v>Northern Mariana Islands</v>
      </c>
      <c r="U159" s="35">
        <v>2100</v>
      </c>
      <c r="V159" s="35">
        <v>2100</v>
      </c>
      <c r="W159" s="32">
        <f>-IF('LUC NGHGI'!EC149="",MIN('LUC NGHGI'!DW149,0.1),MIN('LUC NGHGI'!EC149,0.1))</f>
        <v>0</v>
      </c>
      <c r="X159" s="32" t="str">
        <f>'LUC NGHGI'!EC149</f>
        <v/>
      </c>
      <c r="Y159" s="32" t="str">
        <f>'LUC NGHGI'!DY149</f>
        <v/>
      </c>
      <c r="Z159" s="32" t="str">
        <f>'LUC NGHGI'!DZ149</f>
        <v/>
      </c>
      <c r="AA159" s="32">
        <f>Table12[[#This Row],[2021 emissions]]</f>
        <v>0</v>
      </c>
      <c r="AB159" s="32">
        <f>'LUC NGHGI'!DW149</f>
        <v>0</v>
      </c>
      <c r="AC159" s="32">
        <f>IF(F159="incl",Table12[[#This Row],[GHG emissions incl LULUCF]]-Table12[[#This Row],[LULUCF emis-sions in 20213]],Table12[[#This Row],[GHG emissions incl LULUCF]])</f>
        <v>0</v>
      </c>
      <c r="AD159" s="32">
        <f>'input site'!BS159</f>
        <v>0</v>
      </c>
      <c r="AE159" s="32">
        <f>'LUC NGHGI'!EH149</f>
        <v>0</v>
      </c>
      <c r="AF159" s="32">
        <f>IF(F159="incl",Table12[[#This Row],[Current Policies 2030 incl LULUCF]]-Table12[[#This Row],[LULUCF CurPol 2030]],Table12[[#This Row],[Current Policies 2030 incl LULUCF]])</f>
        <v>0</v>
      </c>
      <c r="AG159" s="32" t="str">
        <f>IF(Table12[[#This Row],[Net-zero target status]]&lt;=1,"",IF(Table12[[#This Row],[NZ GHG year]]="","",1000000000*(Table12[[#This Row],[residual LULUCF emissions in 2050]]-Table12[[#This Row],[GHG emissions excl LULUCF]])/(Table12[[#This Row],[NZ GHG year]]-2021)/Table12[[#This Row],[Population]]))</f>
        <v/>
      </c>
      <c r="AH159" s="32" t="str">
        <f>IF(Table12[[#This Row],[Peak revised]]="Yes",IF(Table12[[#This Row],[Net-zero target status]]&lt;=1,"",IF(Table12[[#This Row],[NZ GHG year]]="","",1000000000*(Table12[[#This Row],[residual LULUCF emissions in 2050]]-Table12[[#This Row],[GHG emissions excl LULUCF]])/(Table12[[#This Row],[NZ GHG year]]-2021)/Table12[[#This Row],[Population]])),"")</f>
        <v/>
      </c>
      <c r="AI159" s="32">
        <f>MAX(0,(1000000*(Table12[[#This Row],[Current Policies 2030 excl LULUCF]]/2+Table12[[#This Row],[GHG emissions excl LULUCF]]/2)/Table12[[#This Row],[Population]]-$AI$8)*10)*$AI$10</f>
        <v>0</v>
      </c>
      <c r="AJ15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59" s="32" t="str">
        <f>IF(Table12[[#This Row],[Formule no Peak (2)]]="","",Table12[[#This Row],[Penalty (1)]]+Table12[[#This Row],[Formule no Peak (2)]])</f>
        <v/>
      </c>
      <c r="AL159" s="313" t="e">
        <f>(Table12[[#This Row],[Current Policies 2030 excl LULUCF]]-Table12[[#This Row],[GHG emissions excl LULUCF]])/(2030-2021)/Table12[[#This Row],[GHG emissions excl LULUCF]]</f>
        <v>#DIV/0!</v>
      </c>
      <c r="AM159" s="313" t="str">
        <f>IF(Table12[[#This Row],[Net-zero target status]]&lt;=1,"",IF(Table12[[#This Row],[NZ GHG year]]="","",(Table12[[#This Row],[residual LULUCF emissions in 2050]]-Table12[[#This Row],[Current Policies 2030 excl LULUCF]])/(Table12[[#This Row],[NZ GHG year]]-2030)/Table12[[#This Row],[Current Policies 2030 excl LULUCF]]))</f>
        <v/>
      </c>
      <c r="AN159" s="313" t="str">
        <f>IF(Table12[[#This Row],[Net-zero target status]]&lt;=1,"",IF(Table12[[#This Row],[NZ GHG year]]="","",(Table12[[#This Row],[residual LULUCF emissions in 2050]]-Table12[[#This Row],[GHG emissions excl LULUCF]])/(Table12[[#This Row],[NZ GHG year]]-2021)/Table12[[#This Row],[GHG emissions excl LULUCF]]))</f>
        <v/>
      </c>
      <c r="AO159" s="313" t="str">
        <f>IF(Table12[[#This Row],[Net-zero target status]]&lt;=1,"",IF(Table12[[#This Row],[NZ GHG year]]="","",(Table12[[#This Row],[residual LULUCF emissions in 2050]]-Table12[[#This Row],[2030 conditional NDCs]])/(Table12[[#This Row],[NZ GHG year]]-2030)/Table12[[#This Row],[2030 conditional NDCs]]))</f>
        <v/>
      </c>
      <c r="AP159" s="96">
        <f>MAX('input site'!AH159:AS159)</f>
        <v>0</v>
      </c>
      <c r="AQ159" s="95" t="str">
        <f>IF(Table12[[#This Row],[Current Policies 2030 incl LULUCF]]&gt;Table12[[#This Row],[Maximum inventory data]],"No","Yes")</f>
        <v>Yes</v>
      </c>
      <c r="AR159" s="34" t="str">
        <f>IF(Table12[[#This Row],[Net-zero target status]]&gt;=1.5,Table12[[#This Row],[residual LULUCF emissions in 2050]]/Table12[[#This Row],[GHG emissions excl LULUCF]],"")</f>
        <v/>
      </c>
      <c r="AS159" s="74" t="str">
        <f>'input site'!BE159</f>
        <v/>
      </c>
      <c r="AT159" s="74"/>
      <c r="AU159" s="74"/>
      <c r="AV159" s="75"/>
      <c r="AW159" s="74" t="str">
        <f>IF(Table12[[#This Row],[2030 unconditional NDCs]]="","",IF(F159="incl",Table12[[#This Row],[2030 unconditional NDCs]]-Table12[[#This Row],[LULUCF NDC uncond]],Table12[[#This Row],[2030 unconditional NDCs]]))</f>
        <v/>
      </c>
      <c r="AX159" s="74" t="str">
        <f>IF(Table12[[#This Row],[2030 unconditional NDCs2]]="","",IF(F159="incl",Table12[[#This Row],[2030 unconditional NDCs2]]-Table12[[#This Row],[LULUCF NDC uncond]],Table12[[#This Row],[2030 unconditional NDCs2]]))</f>
        <v/>
      </c>
      <c r="AY159" s="74" t="str">
        <f>IF(Table12[[#This Row],[2030 conditional NDCs]]="","",IF(F159="incl",Table12[[#This Row],[2030 conditional NDCs]]-Table12[[#This Row],[LULUCF NDC cond]],Table12[[#This Row],[2030 conditional NDCs]]))</f>
        <v/>
      </c>
      <c r="AZ159" s="74" t="str">
        <f>IF(Table12[[#This Row],[2030 conditional NDCs2]]="","",IF(F159="incl",Table12[[#This Row],[2030 conditional NDCs2]]-Table12[[#This Row],[LULUCF NDC cond]],Table12[[#This Row],[2030 conditional NDCs2]]))</f>
        <v/>
      </c>
      <c r="BA159" s="8">
        <f>VLOOKUP($G159,'Population90 20'!$C$6:$AU$231,37,FALSE)</f>
        <v>58269</v>
      </c>
      <c r="BB159" s="8">
        <f>VLOOKUP($G159,'Overview GDP (PPP)'!$C$6:$AI$231,33,FALSE)</f>
        <v>1533285.8671854422</v>
      </c>
      <c r="BC159" s="36">
        <f>Table12[[#This Row],[Income]]/Table12[[#This Row],[Population]]</f>
        <v>26.313921076137262</v>
      </c>
      <c r="BD159" s="36">
        <f>Table12[[#This Row],[GHG emissions excl LULUCF]]*1000000/Table12[[#This Row],[Population]]</f>
        <v>0</v>
      </c>
      <c r="BE159" s="23" t="e">
        <f>VLOOKUP($G159,EGR2023_MASTER!$B$4:$S$38,14,FALSE)</f>
        <v>#N/A</v>
      </c>
      <c r="BF159" s="23" t="e">
        <f>VLOOKUP($G159,EGR2023_MASTER!$B$4:$S$38,15,FALSE)</f>
        <v>#N/A</v>
      </c>
      <c r="BG159" s="23" t="e">
        <f>VLOOKUP($G159,EGR2023_MASTER!$B$4:$S$38,16,FALSE)</f>
        <v>#N/A</v>
      </c>
      <c r="BH159" s="23" t="e">
        <f t="shared" si="24"/>
        <v>#N/A</v>
      </c>
      <c r="BI159" s="23" t="e">
        <f t="shared" si="25"/>
        <v>#N/A</v>
      </c>
      <c r="BJ159" s="552" t="e">
        <f>(Table12[[#This Row],[Current Policies 2030 excl LULUCF]]/Table12[[#This Row],[GHG emissions excl LULUCF]])^(1/(2030-2021))-1</f>
        <v>#DIV/0!</v>
      </c>
      <c r="BK159" s="552" t="str">
        <f>IF(Table12[[#This Row],[Net-zero target status]]&lt;=1,"",IF(Table12[[#This Row],[NZ GHG year]]="","",((MAX(Table12[[#This Row],[residual LULUCF emissions in 2050]],0.1)/Table12[[#This Row],[Current Policies 2030 excl LULUCF]])^(1/(Table12[[#This Row],[NZ GHG year]]-2021))-1)))</f>
        <v/>
      </c>
      <c r="BL159" s="552" t="str">
        <f>IF(Table12[[#This Row],[Net-zero target status]]&lt;=1,"",IF(Table12[[#This Row],[NZ GHG year]]="","",((MAX(Table12[[#This Row],[residual LULUCF emissions in 2050]],0.1)/Table12[[#This Row],[GHG emissions excl LULUCF]])^(1/(Table12[[#This Row],[NZ GHG year]]-2021))-1)))</f>
        <v/>
      </c>
      <c r="BM159" s="552" t="str">
        <f>IF(Table12[[#This Row],[Net-zero target status]]&lt;=1,"",IF(Table12[[#This Row],[NZ GHG year]]="","",((MAX(Table12[[#This Row],[residual LULUCF emissions in 2050]],0.1)/AVERAGE(Table12[[#This Row],[2030 conditional NDCs]:[2030 conditional NDCs2]]))^(1/(Table12[[#This Row],[NZ GHG year]]-2021))-1)))</f>
        <v/>
      </c>
      <c r="BN159" s="23"/>
      <c r="BO159" s="23"/>
      <c r="BP159" s="23"/>
      <c r="BQ159" s="23"/>
      <c r="BR159" s="50" t="s">
        <v>347</v>
      </c>
      <c r="BT159" s="30" t="str">
        <f>IF(Table12[[#This Row],[Reduction rate 2021 to NZ target2]]="","",J159*(1+AN159)^(Table12[[#This Row],[NZ GHG year]]-2021))</f>
        <v/>
      </c>
    </row>
    <row r="160" spans="1:72" ht="15" x14ac:dyDescent="0.25">
      <c r="A160">
        <v>0</v>
      </c>
      <c r="B160">
        <v>0</v>
      </c>
      <c r="C160">
        <v>578</v>
      </c>
      <c r="D160">
        <v>147</v>
      </c>
      <c r="E160">
        <v>11</v>
      </c>
      <c r="F160" t="str">
        <f>'input site'!M160</f>
        <v>excl</v>
      </c>
      <c r="G160" s="31" t="s">
        <v>348</v>
      </c>
      <c r="H160" s="1" t="s">
        <v>349</v>
      </c>
      <c r="I160" s="8">
        <f>VLOOKUP($G160,'NZT data'!$B$3:$C$200,2,FALSE)</f>
        <v>4</v>
      </c>
      <c r="J160" s="32">
        <f>'input site'!AS160</f>
        <v>48.869427000000002</v>
      </c>
      <c r="K160" s="32">
        <f>'input site'!BS160</f>
        <v>45</v>
      </c>
      <c r="L160" s="32">
        <f t="shared" si="26"/>
        <v>0</v>
      </c>
      <c r="M160" s="32">
        <f t="shared" si="27"/>
        <v>0</v>
      </c>
      <c r="N160" s="32">
        <f>'input site'!EV160</f>
        <v>10.745154629667532</v>
      </c>
      <c r="O160" s="8">
        <v>0</v>
      </c>
      <c r="P160" s="36">
        <f>O160-N160</f>
        <v>-10.745154629667532</v>
      </c>
      <c r="Q160" s="32">
        <f t="shared" si="28"/>
        <v>0</v>
      </c>
      <c r="R160" s="32">
        <f>'input site'!EZ160</f>
        <v>5.9434018720557171</v>
      </c>
      <c r="S160" s="37" t="str">
        <f>'input site'!FA160</f>
        <v>"2030/2050</v>
      </c>
      <c r="T160" s="37" t="str">
        <f>Table12[[#This Row],[(Mt CO2 equivalent)]]</f>
        <v>Norway</v>
      </c>
      <c r="U160" s="8">
        <f>VLOOKUP($G160,'NZT data'!$B$3:$F$200,4,FALSE)</f>
        <v>2050</v>
      </c>
      <c r="V160" s="32">
        <f>VLOOKUP($G160,'NZT data'!$B$3:$F$200,5,FALSE)</f>
        <v>2050</v>
      </c>
      <c r="W160" s="32">
        <f>-IF('LUC NGHGI'!EC150="",MIN('LUC NGHGI'!DW150,0.1),MIN('LUC NGHGI'!EC150,0.1))</f>
        <v>19.180250730737857</v>
      </c>
      <c r="X160" s="32">
        <f>'LUC NGHGI'!EC150</f>
        <v>-19.180250730737857</v>
      </c>
      <c r="Y160" s="32">
        <f>'LUC NGHGI'!DY150</f>
        <v>-21</v>
      </c>
      <c r="Z160" s="32">
        <f>'LUC NGHGI'!DZ150</f>
        <v>-21</v>
      </c>
      <c r="AA160" s="32">
        <f>Table12[[#This Row],[2021 emissions]]</f>
        <v>48.869427000000002</v>
      </c>
      <c r="AB160" s="32">
        <f>'LUC NGHGI'!DW150</f>
        <v>-15.504740136226504</v>
      </c>
      <c r="AC160" s="32">
        <f>IF(F160="incl",Table12[[#This Row],[GHG emissions incl LULUCF]]-Table12[[#This Row],[LULUCF emis-sions in 20213]],Table12[[#This Row],[GHG emissions incl LULUCF]])</f>
        <v>48.869427000000002</v>
      </c>
      <c r="AD160" s="32">
        <f>'input site'!BS160</f>
        <v>45</v>
      </c>
      <c r="AE160" s="32">
        <f>'LUC NGHGI'!EH150</f>
        <v>-19.860934677027426</v>
      </c>
      <c r="AF160" s="32">
        <f>IF(F160="incl",Table12[[#This Row],[Current Policies 2030 incl LULUCF]]-Table12[[#This Row],[LULUCF CurPol 2030]],Table12[[#This Row],[Current Policies 2030 incl LULUCF]])</f>
        <v>45</v>
      </c>
      <c r="AG160" s="32">
        <f>IF(Table12[[#This Row],[Net-zero target status]]&lt;=1,"",IF(Table12[[#This Row],[NZ GHG year]]="","",1000000000*(Table12[[#This Row],[residual LULUCF emissions in 2050]]-Table12[[#This Row],[GHG emissions excl LULUCF]])/(Table12[[#This Row],[NZ GHG year]]-2021)/Table12[[#This Row],[Population]]))</f>
        <v>-185.75502986373152</v>
      </c>
      <c r="AH160" s="32">
        <f>IF(Table12[[#This Row],[Peak revised]]="Yes",IF(Table12[[#This Row],[Net-zero target status]]&lt;=1,"",IF(Table12[[#This Row],[NZ GHG year]]="","",1000000000*(Table12[[#This Row],[residual LULUCF emissions in 2050]]-Table12[[#This Row],[GHG emissions excl LULUCF]])/(Table12[[#This Row],[NZ GHG year]]-2021)/Table12[[#This Row],[Population]])),"")</f>
        <v>-185.75502986373152</v>
      </c>
      <c r="AI160" s="32">
        <f>MAX(0,(1000000*(Table12[[#This Row],[Current Policies 2030 excl LULUCF]]/2+Table12[[#This Row],[GHG emissions excl LULUCF]]/2)/Table12[[#This Row],[Population]]-$AI$8)*10)*$AI$10</f>
        <v>-151.59794207247933</v>
      </c>
      <c r="AJ16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0" s="32" t="str">
        <f>IF(Table12[[#This Row],[Formule no Peak (2)]]="","",Table12[[#This Row],[Penalty (1)]]+Table12[[#This Row],[Formule no Peak (2)]])</f>
        <v/>
      </c>
      <c r="AL160" s="313">
        <f>(Table12[[#This Row],[Current Policies 2030 excl LULUCF]]-Table12[[#This Row],[GHG emissions excl LULUCF]])/(2030-2021)/Table12[[#This Row],[GHG emissions excl LULUCF]]</f>
        <v>-8.7976544790126857E-3</v>
      </c>
      <c r="AM160" s="313">
        <f>IF(Table12[[#This Row],[Net-zero target status]]&lt;=1,"",IF(Table12[[#This Row],[NZ GHG year]]="","",(Table12[[#This Row],[residual LULUCF emissions in 2050]]-Table12[[#This Row],[Current Policies 2030 excl LULUCF]])/(Table12[[#This Row],[NZ GHG year]]-2030)/Table12[[#This Row],[Current Policies 2030 excl LULUCF]]))</f>
        <v>-2.868861029918016E-2</v>
      </c>
      <c r="AN160" s="313">
        <f>IF(Table12[[#This Row],[Net-zero target status]]&lt;=1,"",IF(Table12[[#This Row],[NZ GHG year]]="","",(Table12[[#This Row],[residual LULUCF emissions in 2050]]-Table12[[#This Row],[GHG emissions excl LULUCF]])/(Table12[[#This Row],[NZ GHG year]]-2021)/Table12[[#This Row],[GHG emissions excl LULUCF]]))</f>
        <v>-2.0948981025295712E-2</v>
      </c>
      <c r="AO160" s="313">
        <f>IF(Table12[[#This Row],[Net-zero target status]]&lt;=1,"",IF(Table12[[#This Row],[NZ GHG year]]="","",(Table12[[#This Row],[residual LULUCF emissions in 2050]]-Table12[[#This Row],[2030 conditional NDCs]])/(Table12[[#This Row],[NZ GHG year]]-2030)/Table12[[#This Row],[2030 conditional NDCs]]))</f>
        <v>-1.2178415464670288E-2</v>
      </c>
      <c r="AP160" s="96">
        <f>MAX('input site'!AH160:AS160)</f>
        <v>54.856500999999994</v>
      </c>
      <c r="AQ160" s="95" t="str">
        <f>IF(Table12[[#This Row],[Current Policies 2030 incl LULUCF]]&gt;Table12[[#This Row],[Maximum inventory data]],"No","Yes")</f>
        <v>Yes</v>
      </c>
      <c r="AR160" s="34">
        <f>IF(Table12[[#This Row],[Net-zero target status]]&gt;=1.5,Table12[[#This Row],[residual LULUCF emissions in 2050]]/Table12[[#This Row],[GHG emissions excl LULUCF]],"")</f>
        <v>0.39247955026642439</v>
      </c>
      <c r="AS160" s="76">
        <f>'input site'!BE160</f>
        <v>25.356223128120526</v>
      </c>
      <c r="AT160" s="76">
        <f>'input site'!BF160</f>
        <v>25.356223128120526</v>
      </c>
      <c r="AU160" s="76">
        <f>'input site'!BG160</f>
        <v>25.356223128120526</v>
      </c>
      <c r="AV160" s="77">
        <f>'input site'!BH160</f>
        <v>25.356223128120526</v>
      </c>
      <c r="AW160" s="74">
        <f>IF(Table12[[#This Row],[2030 unconditional NDCs]]="","",IF(F160="incl",Table12[[#This Row],[2030 unconditional NDCs]]-Table12[[#This Row],[LULUCF NDC uncond]],Table12[[#This Row],[2030 unconditional NDCs]]))</f>
        <v>25.356223128120526</v>
      </c>
      <c r="AX160" s="74">
        <f>IF(Table12[[#This Row],[2030 unconditional NDCs2]]="","",IF(F160="incl",Table12[[#This Row],[2030 unconditional NDCs2]]-Table12[[#This Row],[LULUCF NDC uncond]],Table12[[#This Row],[2030 unconditional NDCs2]]))</f>
        <v>25.356223128120526</v>
      </c>
      <c r="AY160" s="74">
        <f>IF(Table12[[#This Row],[2030 conditional NDCs]]="","",IF(F160="incl",Table12[[#This Row],[2030 conditional NDCs]]-Table12[[#This Row],[LULUCF NDC cond]],Table12[[#This Row],[2030 conditional NDCs]]))</f>
        <v>25.356223128120526</v>
      </c>
      <c r="AZ160" s="74">
        <f>IF(Table12[[#This Row],[2030 conditional NDCs2]]="","",IF(F160="incl",Table12[[#This Row],[2030 conditional NDCs2]]-Table12[[#This Row],[LULUCF NDC cond]],Table12[[#This Row],[2030 conditional NDCs2]]))</f>
        <v>25.356223128120526</v>
      </c>
      <c r="BA160" s="8">
        <f>VLOOKUP($G160,'Population90 20'!$C$6:$AU$231,37,FALSE)</f>
        <v>5511370</v>
      </c>
      <c r="BB160" s="8">
        <f>VLOOKUP($G160,'Overview GDP (PPP)'!$C$6:$AI$231,33,FALSE)</f>
        <v>347777545.64645451</v>
      </c>
      <c r="BC160" s="36">
        <f>Table12[[#This Row],[Income]]/Table12[[#This Row],[Population]]</f>
        <v>63.101832329612151</v>
      </c>
      <c r="BD160" s="36">
        <f>Table12[[#This Row],[GHG emissions excl LULUCF]]*1000000/Table12[[#This Row],[Population]]</f>
        <v>8.8670198153998001</v>
      </c>
      <c r="BE160" s="23" t="e">
        <f>VLOOKUP($G160,EGR2023_MASTER!$B$4:$S$38,14,FALSE)</f>
        <v>#N/A</v>
      </c>
      <c r="BF160" s="23" t="e">
        <f>VLOOKUP($G160,EGR2023_MASTER!$B$4:$S$38,15,FALSE)</f>
        <v>#N/A</v>
      </c>
      <c r="BG160" s="23" t="e">
        <f>VLOOKUP($G160,EGR2023_MASTER!$B$4:$S$38,16,FALSE)</f>
        <v>#N/A</v>
      </c>
      <c r="BH160" s="23" t="e">
        <f t="shared" si="24"/>
        <v>#N/A</v>
      </c>
      <c r="BI160" s="23" t="e">
        <f t="shared" si="25"/>
        <v>#N/A</v>
      </c>
      <c r="BJ160" s="552">
        <f>(Table12[[#This Row],[Current Policies 2030 excl LULUCF]]/Table12[[#This Row],[GHG emissions excl LULUCF]])^(1/(2030-2021))-1</f>
        <v>-9.1236244482040263E-3</v>
      </c>
      <c r="BK160" s="552">
        <f>IF(Table12[[#This Row],[Net-zero target status]]&lt;=1,"",IF(Table12[[#This Row],[NZ GHG year]]="","",((MAX(Table12[[#This Row],[residual LULUCF emissions in 2050]],0.1)/Table12[[#This Row],[Current Policies 2030 excl LULUCF]])^(1/(Table12[[#This Row],[NZ GHG year]]-2021))-1)))</f>
        <v>-2.8978096599831304E-2</v>
      </c>
      <c r="BL160" s="552">
        <f>IF(Table12[[#This Row],[Net-zero target status]]&lt;=1,"",IF(Table12[[#This Row],[NZ GHG year]]="","",((MAX(Table12[[#This Row],[residual LULUCF emissions in 2050]],0.1)/Table12[[#This Row],[GHG emissions excl LULUCF]])^(1/(Table12[[#This Row],[NZ GHG year]]-2021))-1)))</f>
        <v>-3.1736210262863218E-2</v>
      </c>
      <c r="BM160" s="552">
        <f>IF(Table12[[#This Row],[Net-zero target status]]&lt;=1,"",IF(Table12[[#This Row],[NZ GHG year]]="","",((MAX(Table12[[#This Row],[residual LULUCF emissions in 2050]],0.1)/AVERAGE(Table12[[#This Row],[2030 conditional NDCs]:[2030 conditional NDCs2]]))^(1/(Table12[[#This Row],[NZ GHG year]]-2021))-1)))</f>
        <v>-9.5794442674864699E-3</v>
      </c>
      <c r="BN160" s="23"/>
      <c r="BO160" s="23"/>
      <c r="BP160" s="23"/>
      <c r="BQ160" s="23"/>
      <c r="BR160" s="50" t="s">
        <v>349</v>
      </c>
      <c r="BT160" s="30">
        <f>IF(Table12[[#This Row],[Reduction rate 2021 to NZ target2]]="","",J160*(1+AN160)^(Table12[[#This Row],[NZ GHG year]]-2021))</f>
        <v>26.447926897162279</v>
      </c>
    </row>
    <row r="161" spans="1:72" ht="15" x14ac:dyDescent="0.25">
      <c r="A161">
        <v>0</v>
      </c>
      <c r="B161">
        <v>0</v>
      </c>
      <c r="C161">
        <v>512</v>
      </c>
      <c r="D161">
        <v>133</v>
      </c>
      <c r="E161">
        <v>17</v>
      </c>
      <c r="F161" t="str">
        <f>'input site'!M161</f>
        <v>excl</v>
      </c>
      <c r="G161" s="31" t="s">
        <v>350</v>
      </c>
      <c r="H161" s="1" t="s">
        <v>351</v>
      </c>
      <c r="I161" s="8">
        <f>VLOOKUP($G161,'NZT data'!$B$3:$C$200,2,FALSE)</f>
        <v>3</v>
      </c>
      <c r="J161" s="32">
        <f>'input site'!AS161</f>
        <v>110.04008999999999</v>
      </c>
      <c r="K161" s="32">
        <f>'input site'!BS161</f>
        <v>109.26671038383486</v>
      </c>
      <c r="L161" s="32">
        <f t="shared" si="26"/>
        <v>0</v>
      </c>
      <c r="M161" s="32">
        <f t="shared" si="27"/>
        <v>0</v>
      </c>
      <c r="N161" s="32">
        <f>'input site'!EV161</f>
        <v>53.242941207324456</v>
      </c>
      <c r="O161" s="8"/>
      <c r="P161" s="8"/>
      <c r="Q161" s="32">
        <f t="shared" si="28"/>
        <v>0</v>
      </c>
      <c r="R161" s="32">
        <f>'input site'!EZ161</f>
        <v>9.2743341877713714</v>
      </c>
      <c r="S161" s="37">
        <f>'input site'!FA161</f>
        <v>0</v>
      </c>
      <c r="T161" s="37" t="str">
        <f>Table12[[#This Row],[(Mt CO2 equivalent)]]</f>
        <v>Oman</v>
      </c>
      <c r="U161" s="8">
        <f>VLOOKUP($G161,'NZT data'!$B$3:$F$200,4,FALSE)</f>
        <v>2050</v>
      </c>
      <c r="V161" s="32">
        <f>VLOOKUP($G161,'NZT data'!$B$3:$F$200,5,FALSE)</f>
        <v>2065</v>
      </c>
      <c r="W161" s="32">
        <f>-IF('LUC NGHGI'!EC151="",MIN('LUC NGHGI'!DW151,0.1),MIN('LUC NGHGI'!EC151,0.1))</f>
        <v>0</v>
      </c>
      <c r="X161" s="32" t="str">
        <f>'LUC NGHGI'!EC151</f>
        <v/>
      </c>
      <c r="Y161" s="32" t="str">
        <f>'LUC NGHGI'!DY151</f>
        <v/>
      </c>
      <c r="Z161" s="32" t="str">
        <f>'LUC NGHGI'!DZ151</f>
        <v/>
      </c>
      <c r="AA161" s="32">
        <f>Table12[[#This Row],[2021 emissions]]</f>
        <v>110.04008999999999</v>
      </c>
      <c r="AB161" s="32">
        <f>'LUC NGHGI'!DW151</f>
        <v>0</v>
      </c>
      <c r="AC161" s="32">
        <f>IF(F161="incl",Table12[[#This Row],[GHG emissions incl LULUCF]]-Table12[[#This Row],[LULUCF emis-sions in 20213]],Table12[[#This Row],[GHG emissions incl LULUCF]])</f>
        <v>110.04008999999999</v>
      </c>
      <c r="AD161" s="32">
        <f>'input site'!BS161</f>
        <v>109.26671038383486</v>
      </c>
      <c r="AE161" s="32">
        <f>'LUC NGHGI'!EH151</f>
        <v>0</v>
      </c>
      <c r="AF161" s="32">
        <f>IF(F161="incl",Table12[[#This Row],[Current Policies 2030 incl LULUCF]]-Table12[[#This Row],[LULUCF CurPol 2030]],Table12[[#This Row],[Current Policies 2030 incl LULUCF]])</f>
        <v>109.26671038383486</v>
      </c>
      <c r="AG161" s="32">
        <f>IF(Table12[[#This Row],[Net-zero target status]]&lt;=1,"",IF(Table12[[#This Row],[NZ GHG year]]="","",1000000000*(Table12[[#This Row],[residual LULUCF emissions in 2050]]-Table12[[#This Row],[GHG emissions excl LULUCF]])/(Table12[[#This Row],[NZ GHG year]]-2021)/Table12[[#This Row],[Population]]))</f>
        <v>-469.7435057415808</v>
      </c>
      <c r="AH161" s="32">
        <f>IF(Table12[[#This Row],[Peak revised]]="Yes",IF(Table12[[#This Row],[Net-zero target status]]&lt;=1,"",IF(Table12[[#This Row],[NZ GHG year]]="","",1000000000*(Table12[[#This Row],[residual LULUCF emissions in 2050]]-Table12[[#This Row],[GHG emissions excl LULUCF]])/(Table12[[#This Row],[NZ GHG year]]-2021)/Table12[[#This Row],[Population]])),"")</f>
        <v>-469.7435057415808</v>
      </c>
      <c r="AI161" s="32">
        <f>MAX(0,(1000000*(Table12[[#This Row],[Current Policies 2030 excl LULUCF]]/2+Table12[[#This Row],[GHG emissions excl LULUCF]]/2)/Table12[[#This Row],[Population]]-$AI$8)*10)*$AI$10</f>
        <v>-1359.6082713090991</v>
      </c>
      <c r="AJ16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1" s="32" t="str">
        <f>IF(Table12[[#This Row],[Formule no Peak (2)]]="","",Table12[[#This Row],[Penalty (1)]]+Table12[[#This Row],[Formule no Peak (2)]])</f>
        <v/>
      </c>
      <c r="AL161" s="313">
        <f>(Table12[[#This Row],[Current Policies 2030 excl LULUCF]]-Table12[[#This Row],[GHG emissions excl LULUCF]])/(2030-2021)/Table12[[#This Row],[GHG emissions excl LULUCF]]</f>
        <v>-7.8090692640102538E-4</v>
      </c>
      <c r="AM161" s="313">
        <f>IF(Table12[[#This Row],[Net-zero target status]]&lt;=1,"",IF(Table12[[#This Row],[NZ GHG year]]="","",(Table12[[#This Row],[residual LULUCF emissions in 2050]]-Table12[[#This Row],[Current Policies 2030 excl LULUCF]])/(Table12[[#This Row],[NZ GHG year]]-2030)/Table12[[#This Row],[Current Policies 2030 excl LULUCF]]))</f>
        <v>-2.8571428571428571E-2</v>
      </c>
      <c r="AN161" s="313">
        <f>IF(Table12[[#This Row],[Net-zero target status]]&lt;=1,"",IF(Table12[[#This Row],[NZ GHG year]]="","",(Table12[[#This Row],[residual LULUCF emissions in 2050]]-Table12[[#This Row],[GHG emissions excl LULUCF]])/(Table12[[#This Row],[NZ GHG year]]-2021)/Table12[[#This Row],[GHG emissions excl LULUCF]]))</f>
        <v>-2.2727272727272728E-2</v>
      </c>
      <c r="AO161" s="313">
        <f>IF(Table12[[#This Row],[Net-zero target status]]&lt;=1,"",IF(Table12[[#This Row],[NZ GHG year]]="","",(Table12[[#This Row],[residual LULUCF emissions in 2050]]-Table12[[#This Row],[2030 conditional NDCs]])/(Table12[[#This Row],[NZ GHG year]]-2030)/Table12[[#This Row],[2030 conditional NDCs]]))</f>
        <v>-2.8571428571428571E-2</v>
      </c>
      <c r="AP161" s="96">
        <f>MAX('input site'!AH161:AS161)</f>
        <v>110.04008999999999</v>
      </c>
      <c r="AQ161" s="95" t="str">
        <f>IF(Table12[[#This Row],[Current Policies 2030 incl LULUCF]]&gt;Table12[[#This Row],[Maximum inventory data]],"No","Yes")</f>
        <v>Yes</v>
      </c>
      <c r="AR161" s="34">
        <f>IF(Table12[[#This Row],[Net-zero target status]]&gt;=1.5,Table12[[#This Row],[residual LULUCF emissions in 2050]]/Table12[[#This Row],[GHG emissions excl LULUCF]],"")</f>
        <v>0</v>
      </c>
      <c r="AS161" s="74" t="str">
        <f>'input site'!BE161</f>
        <v/>
      </c>
      <c r="AT161" s="74"/>
      <c r="AU161" s="74">
        <f>'input site'!BG161</f>
        <v>88.713520000000003</v>
      </c>
      <c r="AV161" s="75">
        <f>'input site'!BH161</f>
        <v>88.713520000000003</v>
      </c>
      <c r="AW161" s="74" t="str">
        <f>IF(Table12[[#This Row],[2030 unconditional NDCs]]="","",IF(F161="incl",Table12[[#This Row],[2030 unconditional NDCs]]-Table12[[#This Row],[LULUCF NDC uncond]],Table12[[#This Row],[2030 unconditional NDCs]]))</f>
        <v/>
      </c>
      <c r="AX161" s="74" t="str">
        <f>IF(Table12[[#This Row],[2030 unconditional NDCs2]]="","",IF(F161="incl",Table12[[#This Row],[2030 unconditional NDCs2]]-Table12[[#This Row],[LULUCF NDC uncond]],Table12[[#This Row],[2030 unconditional NDCs2]]))</f>
        <v/>
      </c>
      <c r="AY161" s="74">
        <f>IF(Table12[[#This Row],[2030 conditional NDCs]]="","",IF(F161="incl",Table12[[#This Row],[2030 conditional NDCs]]-Table12[[#This Row],[LULUCF NDC cond]],Table12[[#This Row],[2030 conditional NDCs]]))</f>
        <v>88.713520000000003</v>
      </c>
      <c r="AZ161" s="74">
        <f>IF(Table12[[#This Row],[2030 conditional NDCs2]]="","",IF(F161="incl",Table12[[#This Row],[2030 conditional NDCs2]]-Table12[[#This Row],[LULUCF NDC cond]],Table12[[#This Row],[2030 conditional NDCs2]]))</f>
        <v>88.713520000000003</v>
      </c>
      <c r="BA161" s="8">
        <f>VLOOKUP($G161,'Population90 20'!$C$6:$AU$231,37,FALSE)</f>
        <v>5323993</v>
      </c>
      <c r="BB161" s="8">
        <f>VLOOKUP($G161,'Overview GDP (PPP)'!$C$6:$AI$231,33,FALSE)</f>
        <v>177874177.35683972</v>
      </c>
      <c r="BC161" s="36">
        <f>Table12[[#This Row],[Income]]/Table12[[#This Row],[Population]]</f>
        <v>33.409919463988722</v>
      </c>
      <c r="BD161" s="36">
        <f>Table12[[#This Row],[GHG emissions excl LULUCF]]*1000000/Table12[[#This Row],[Population]]</f>
        <v>20.668714252629556</v>
      </c>
      <c r="BE161" s="23" t="e">
        <f>VLOOKUP($G161,EGR2023_MASTER!$B$4:$S$38,14,FALSE)</f>
        <v>#N/A</v>
      </c>
      <c r="BF161" s="23" t="e">
        <f>VLOOKUP($G161,EGR2023_MASTER!$B$4:$S$38,15,FALSE)</f>
        <v>#N/A</v>
      </c>
      <c r="BG161" s="23" t="e">
        <f>VLOOKUP($G161,EGR2023_MASTER!$B$4:$S$38,16,FALSE)</f>
        <v>#N/A</v>
      </c>
      <c r="BH161" s="23" t="e">
        <f t="shared" si="24"/>
        <v>#N/A</v>
      </c>
      <c r="BI161" s="23" t="e">
        <f t="shared" si="25"/>
        <v>#N/A</v>
      </c>
      <c r="BJ161" s="552">
        <f>(Table12[[#This Row],[Current Policies 2030 excl LULUCF]]/Table12[[#This Row],[GHG emissions excl LULUCF]])^(1/(2030-2021))-1</f>
        <v>-7.8335703807896895E-4</v>
      </c>
      <c r="BK161" s="552">
        <f>IF(Table12[[#This Row],[Net-zero target status]]&lt;=1,"",IF(Table12[[#This Row],[NZ GHG year]]="","",((MAX(Table12[[#This Row],[residual LULUCF emissions in 2050]],0.1)/Table12[[#This Row],[Current Policies 2030 excl LULUCF]])^(1/(Table12[[#This Row],[NZ GHG year]]-2021))-1)))</f>
        <v>-0.14701094712144147</v>
      </c>
      <c r="BL161" s="552">
        <f>IF(Table12[[#This Row],[Net-zero target status]]&lt;=1,"",IF(Table12[[#This Row],[NZ GHG year]]="","",((MAX(Table12[[#This Row],[residual LULUCF emissions in 2050]],0.1)/Table12[[#This Row],[GHG emissions excl LULUCF]])^(1/(Table12[[#This Row],[NZ GHG year]]-2021))-1)))</f>
        <v>-0.14714766597009876</v>
      </c>
      <c r="BM161" s="552">
        <f>IF(Table12[[#This Row],[Net-zero target status]]&lt;=1,"",IF(Table12[[#This Row],[NZ GHG year]]="","",((MAX(Table12[[#This Row],[residual LULUCF emissions in 2050]],0.1)/AVERAGE(Table12[[#This Row],[2030 conditional NDCs]:[2030 conditional NDCs2]]))^(1/(Table12[[#This Row],[NZ GHG year]]-2021))-1)))</f>
        <v>-0.14296169782124946</v>
      </c>
      <c r="BN161" s="23"/>
      <c r="BO161" s="23"/>
      <c r="BP161" s="23"/>
      <c r="BQ161" s="23"/>
      <c r="BR161" s="50" t="s">
        <v>351</v>
      </c>
      <c r="BT161" s="30">
        <f>IF(Table12[[#This Row],[Reduction rate 2021 to NZ target2]]="","",J161*(1+AN161)^(Table12[[#This Row],[NZ GHG year]]-2021))</f>
        <v>40.017063556117705</v>
      </c>
    </row>
    <row r="162" spans="1:72" ht="15" x14ac:dyDescent="0.25">
      <c r="A162">
        <v>0</v>
      </c>
      <c r="B162">
        <v>0</v>
      </c>
      <c r="C162">
        <v>586</v>
      </c>
      <c r="D162">
        <v>152</v>
      </c>
      <c r="E162">
        <v>25</v>
      </c>
      <c r="F162" t="str">
        <f>'input site'!M162</f>
        <v>incl</v>
      </c>
      <c r="G162" s="31" t="s">
        <v>352</v>
      </c>
      <c r="H162" s="1" t="s">
        <v>353</v>
      </c>
      <c r="I162" s="8">
        <f>VLOOKUP($G162,'NZT data'!$B$3:$C$200,2,FALSE)</f>
        <v>1</v>
      </c>
      <c r="J162" s="32">
        <f>'input site'!AS162</f>
        <v>597.12855236467237</v>
      </c>
      <c r="K162" s="32">
        <f>'input site'!BS162</f>
        <v>726.3646779444681</v>
      </c>
      <c r="L162" s="32">
        <f t="shared" si="26"/>
        <v>0</v>
      </c>
      <c r="M162" s="32">
        <f t="shared" si="27"/>
        <v>0</v>
      </c>
      <c r="N162" s="32">
        <f>'input site'!EV162</f>
        <v>343.58590739758125</v>
      </c>
      <c r="O162" s="8">
        <v>0</v>
      </c>
      <c r="P162" s="36">
        <f>O162-N162</f>
        <v>-343.58590739758125</v>
      </c>
      <c r="Q162" s="32">
        <f t="shared" si="28"/>
        <v>0</v>
      </c>
      <c r="R162" s="32">
        <f>'input site'!EZ162</f>
        <v>143.99391595472397</v>
      </c>
      <c r="S162" s="37">
        <f>'input site'!FA162</f>
        <v>2050</v>
      </c>
      <c r="T162" s="37" t="str">
        <f>Table12[[#This Row],[(Mt CO2 equivalent)]]</f>
        <v>Pakistan</v>
      </c>
      <c r="U162" s="8">
        <f>VLOOKUP($G162,'NZT data'!$B$3:$F$200,4,FALSE)</f>
        <v>2110</v>
      </c>
      <c r="V162" s="32">
        <f>VLOOKUP($G162,'NZT data'!$B$3:$F$200,5,FALSE)</f>
        <v>2110</v>
      </c>
      <c r="W162" s="32">
        <f>-IF('LUC NGHGI'!EC152="",MIN('LUC NGHGI'!DW152,0.1),MIN('LUC NGHGI'!EC152,0.1))</f>
        <v>-0.1</v>
      </c>
      <c r="X162" s="32">
        <f>'LUC NGHGI'!EC152</f>
        <v>3.2563532763532734</v>
      </c>
      <c r="Y162" s="32">
        <f>'LUC NGHGI'!DY152</f>
        <v>3.2563532763532734</v>
      </c>
      <c r="Z162" s="32">
        <f>'LUC NGHGI'!DZ152</f>
        <v>3.2563532763532734</v>
      </c>
      <c r="AA162" s="32">
        <f>Table12[[#This Row],[2021 emissions]]</f>
        <v>597.12855236467237</v>
      </c>
      <c r="AB162" s="32">
        <f>'LUC NGHGI'!DW152</f>
        <v>3.2806723646723626</v>
      </c>
      <c r="AC162" s="32">
        <f>IF(F162="incl",Table12[[#This Row],[GHG emissions incl LULUCF]]-Table12[[#This Row],[LULUCF emis-sions in 20213]],Table12[[#This Row],[GHG emissions incl LULUCF]])</f>
        <v>593.84788000000003</v>
      </c>
      <c r="AD162" s="32">
        <f>'input site'!BS162</f>
        <v>726.3646779444681</v>
      </c>
      <c r="AE162" s="32">
        <f>'LUC NGHGI'!EH152</f>
        <v>3.0232238829664757</v>
      </c>
      <c r="AF162" s="32">
        <f>IF(F162="incl",Table12[[#This Row],[Current Policies 2030 incl LULUCF]]-Table12[[#This Row],[LULUCF CurPol 2030]],Table12[[#This Row],[Current Policies 2030 incl LULUCF]])</f>
        <v>723.34145406150162</v>
      </c>
      <c r="AG162" s="32" t="str">
        <f>IF(Table12[[#This Row],[Net-zero target status]]&lt;=1,"",IF(Table12[[#This Row],[NZ GHG year]]="","",1000000000*(Table12[[#This Row],[residual LULUCF emissions in 2050]]-Table12[[#This Row],[GHG emissions excl LULUCF]])/(Table12[[#This Row],[NZ GHG year]]-2021)/Table12[[#This Row],[Population]]))</f>
        <v/>
      </c>
      <c r="AH162" s="32" t="str">
        <f>IF(Table12[[#This Row],[Peak revised]]="Yes",IF(Table12[[#This Row],[Net-zero target status]]&lt;=1,"",IF(Table12[[#This Row],[NZ GHG year]]="","",1000000000*(Table12[[#This Row],[residual LULUCF emissions in 2050]]-Table12[[#This Row],[GHG emissions excl LULUCF]])/(Table12[[#This Row],[NZ GHG year]]-2021)/Table12[[#This Row],[Population]])),"")</f>
        <v/>
      </c>
      <c r="AI162" s="32">
        <f>MAX(0,(1000000*(Table12[[#This Row],[Current Policies 2030 excl LULUCF]]/2+Table12[[#This Row],[GHG emissions excl LULUCF]]/2)/Table12[[#This Row],[Population]]-$AI$8)*10)*$AI$10</f>
        <v>0</v>
      </c>
      <c r="AJ16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2" s="32" t="str">
        <f>IF(Table12[[#This Row],[Formule no Peak (2)]]="","",Table12[[#This Row],[Penalty (1)]]+Table12[[#This Row],[Formule no Peak (2)]])</f>
        <v/>
      </c>
      <c r="AL162" s="313">
        <f>(Table12[[#This Row],[Current Policies 2030 excl LULUCF]]-Table12[[#This Row],[GHG emissions excl LULUCF]])/(2030-2021)/Table12[[#This Row],[GHG emissions excl LULUCF]]</f>
        <v>2.4228721496357616E-2</v>
      </c>
      <c r="AM162" s="313" t="str">
        <f>IF(Table12[[#This Row],[Net-zero target status]]&lt;=1,"",IF(Table12[[#This Row],[NZ GHG year]]="","",(Table12[[#This Row],[residual LULUCF emissions in 2050]]-Table12[[#This Row],[Current Policies 2030 excl LULUCF]])/(Table12[[#This Row],[NZ GHG year]]-2030)/Table12[[#This Row],[Current Policies 2030 excl LULUCF]]))</f>
        <v/>
      </c>
      <c r="AN162" s="313" t="str">
        <f>IF(Table12[[#This Row],[Net-zero target status]]&lt;=1,"",IF(Table12[[#This Row],[NZ GHG year]]="","",(Table12[[#This Row],[residual LULUCF emissions in 2050]]-Table12[[#This Row],[GHG emissions excl LULUCF]])/(Table12[[#This Row],[NZ GHG year]]-2021)/Table12[[#This Row],[GHG emissions excl LULUCF]]))</f>
        <v/>
      </c>
      <c r="AO162" s="313" t="str">
        <f>IF(Table12[[#This Row],[Net-zero target status]]&lt;=1,"",IF(Table12[[#This Row],[NZ GHG year]]="","",(Table12[[#This Row],[residual LULUCF emissions in 2050]]-Table12[[#This Row],[2030 conditional NDCs]])/(Table12[[#This Row],[NZ GHG year]]-2030)/Table12[[#This Row],[2030 conditional NDCs]]))</f>
        <v/>
      </c>
      <c r="AP162" s="96">
        <f>MAX('input site'!AH162:AS162)</f>
        <v>597.12855236467237</v>
      </c>
      <c r="AQ162" s="95" t="str">
        <f>IF(Table12[[#This Row],[Current Policies 2030 incl LULUCF]]&gt;Table12[[#This Row],[Maximum inventory data]],"No","Yes")</f>
        <v>No</v>
      </c>
      <c r="AR162" s="34" t="str">
        <f>IF(Table12[[#This Row],[Net-zero target status]]&gt;=1.5,Table12[[#This Row],[residual LULUCF emissions in 2050]]/Table12[[#This Row],[GHG emissions excl LULUCF]],"")</f>
        <v/>
      </c>
      <c r="AS162" s="74" t="str">
        <f>'input site'!BE162</f>
        <v/>
      </c>
      <c r="AT162" s="74"/>
      <c r="AU162" s="76">
        <f>'input site'!BG162</f>
        <v>801.5</v>
      </c>
      <c r="AV162" s="77">
        <f>'input site'!BH162</f>
        <v>801.5</v>
      </c>
      <c r="AW162" s="74" t="str">
        <f>IF(Table12[[#This Row],[2030 unconditional NDCs]]="","",IF(F162="incl",Table12[[#This Row],[2030 unconditional NDCs]]-Table12[[#This Row],[LULUCF NDC uncond]],Table12[[#This Row],[2030 unconditional NDCs]]))</f>
        <v/>
      </c>
      <c r="AX162" s="74" t="str">
        <f>IF(Table12[[#This Row],[2030 unconditional NDCs2]]="","",IF(F162="incl",Table12[[#This Row],[2030 unconditional NDCs2]]-Table12[[#This Row],[LULUCF NDC uncond]],Table12[[#This Row],[2030 unconditional NDCs2]]))</f>
        <v/>
      </c>
      <c r="AY162" s="74">
        <f>IF(Table12[[#This Row],[2030 conditional NDCs]]="","",IF(F162="incl",Table12[[#This Row],[2030 conditional NDCs]]-Table12[[#This Row],[LULUCF NDC cond]],Table12[[#This Row],[2030 conditional NDCs]]))</f>
        <v>798.24364672364675</v>
      </c>
      <c r="AZ162" s="74">
        <f>IF(Table12[[#This Row],[2030 conditional NDCs2]]="","",IF(F162="incl",Table12[[#This Row],[2030 conditional NDCs2]]-Table12[[#This Row],[LULUCF NDC cond]],Table12[[#This Row],[2030 conditional NDCs2]]))</f>
        <v>798.24364672364675</v>
      </c>
      <c r="BA162" s="8">
        <f>VLOOKUP($G162,'Population90 20'!$C$6:$AU$231,37,FALSE)</f>
        <v>229488994</v>
      </c>
      <c r="BB162" s="8">
        <f>VLOOKUP($G162,'Overview GDP (PPP)'!$C$6:$AI$231,33,FALSE)</f>
        <v>1045778997.9429792</v>
      </c>
      <c r="BC162" s="36">
        <f>Table12[[#This Row],[Income]]/Table12[[#This Row],[Population]]</f>
        <v>4.5569897698143169</v>
      </c>
      <c r="BD162" s="36">
        <f>Table12[[#This Row],[GHG emissions excl LULUCF]]*1000000/Table12[[#This Row],[Population]]</f>
        <v>2.5876965585547862</v>
      </c>
      <c r="BE162" s="23" t="e">
        <f>VLOOKUP($G162,EGR2023_MASTER!$B$4:$S$38,14,FALSE)</f>
        <v>#N/A</v>
      </c>
      <c r="BF162" s="23" t="e">
        <f>VLOOKUP($G162,EGR2023_MASTER!$B$4:$S$38,15,FALSE)</f>
        <v>#N/A</v>
      </c>
      <c r="BG162" s="23" t="e">
        <f>VLOOKUP($G162,EGR2023_MASTER!$B$4:$S$38,16,FALSE)</f>
        <v>#N/A</v>
      </c>
      <c r="BH162" s="23" t="e">
        <f t="shared" si="24"/>
        <v>#N/A</v>
      </c>
      <c r="BI162" s="23" t="e">
        <f t="shared" si="25"/>
        <v>#N/A</v>
      </c>
      <c r="BJ162" s="552">
        <f>(Table12[[#This Row],[Current Policies 2030 excl LULUCF]]/Table12[[#This Row],[GHG emissions excl LULUCF]])^(1/(2030-2021))-1</f>
        <v>2.2159531466872551E-2</v>
      </c>
      <c r="BK162" s="552" t="str">
        <f>IF(Table12[[#This Row],[Net-zero target status]]&lt;=1,"",IF(Table12[[#This Row],[NZ GHG year]]="","",((MAX(Table12[[#This Row],[residual LULUCF emissions in 2050]],0.1)/Table12[[#This Row],[Current Policies 2030 excl LULUCF]])^(1/(Table12[[#This Row],[NZ GHG year]]-2021))-1)))</f>
        <v/>
      </c>
      <c r="BL162" s="552" t="str">
        <f>IF(Table12[[#This Row],[Net-zero target status]]&lt;=1,"",IF(Table12[[#This Row],[NZ GHG year]]="","",((MAX(Table12[[#This Row],[residual LULUCF emissions in 2050]],0.1)/Table12[[#This Row],[GHG emissions excl LULUCF]])^(1/(Table12[[#This Row],[NZ GHG year]]-2021))-1)))</f>
        <v/>
      </c>
      <c r="BM162" s="552" t="str">
        <f>IF(Table12[[#This Row],[Net-zero target status]]&lt;=1,"",IF(Table12[[#This Row],[NZ GHG year]]="","",((MAX(Table12[[#This Row],[residual LULUCF emissions in 2050]],0.1)/AVERAGE(Table12[[#This Row],[2030 conditional NDCs]:[2030 conditional NDCs2]]))^(1/(Table12[[#This Row],[NZ GHG year]]-2021))-1)))</f>
        <v/>
      </c>
      <c r="BN162" s="23"/>
      <c r="BO162" s="23"/>
      <c r="BP162" s="23"/>
      <c r="BQ162" s="23"/>
      <c r="BR162" s="50" t="s">
        <v>353</v>
      </c>
      <c r="BT162" s="30" t="str">
        <f>IF(Table12[[#This Row],[Reduction rate 2021 to NZ target2]]="","",J162*(1+AN162)^(Table12[[#This Row],[NZ GHG year]]-2021))</f>
        <v/>
      </c>
    </row>
    <row r="163" spans="1:72" ht="15" x14ac:dyDescent="0.25">
      <c r="A163">
        <v>0</v>
      </c>
      <c r="B163">
        <v>0</v>
      </c>
      <c r="C163">
        <v>585</v>
      </c>
      <c r="D163">
        <v>151</v>
      </c>
      <c r="E163">
        <v>24</v>
      </c>
      <c r="F163" t="str">
        <f>'input site'!M163</f>
        <v>excl</v>
      </c>
      <c r="G163" s="31" t="s">
        <v>354</v>
      </c>
      <c r="H163" s="1" t="s">
        <v>355</v>
      </c>
      <c r="I163" s="8">
        <f>VLOOKUP($G163,'NZT data'!$B$3:$C$200,2,FALSE)</f>
        <v>1</v>
      </c>
      <c r="J163" s="32">
        <f>'input site'!AS163</f>
        <v>0.48273104999999999</v>
      </c>
      <c r="K163" s="32">
        <f>'input site'!BS163</f>
        <v>0.50606078034945923</v>
      </c>
      <c r="L163" s="32">
        <f t="shared" si="26"/>
        <v>0</v>
      </c>
      <c r="M163" s="32">
        <f t="shared" si="27"/>
        <v>0</v>
      </c>
      <c r="N163" s="32">
        <f>'input site'!EV163</f>
        <v>0.17309525289511404</v>
      </c>
      <c r="O163" s="8">
        <v>0</v>
      </c>
      <c r="P163" s="36">
        <f>O163-N163</f>
        <v>-0.17309525289511404</v>
      </c>
      <c r="Q163" s="32">
        <f t="shared" si="28"/>
        <v>0</v>
      </c>
      <c r="R163" s="32">
        <f>'input site'!EZ163</f>
        <v>7.4874719681547366E-2</v>
      </c>
      <c r="S163" s="37">
        <f>'input site'!FA163</f>
        <v>2050</v>
      </c>
      <c r="T163" s="37" t="str">
        <f>Table12[[#This Row],[(Mt CO2 equivalent)]]</f>
        <v>Palau</v>
      </c>
      <c r="U163" s="8">
        <f>VLOOKUP($G163,'NZT data'!$B$3:$F$200,4,FALSE)</f>
        <v>2110</v>
      </c>
      <c r="V163" s="32">
        <f>VLOOKUP($G163,'NZT data'!$B$3:$F$200,5,FALSE)</f>
        <v>2110</v>
      </c>
      <c r="W163" s="32">
        <f>-IF('LUC NGHGI'!EC153="",MIN('LUC NGHGI'!DW153,0.1),MIN('LUC NGHGI'!EC153,0.1))</f>
        <v>-0.1</v>
      </c>
      <c r="X163" s="32">
        <f>'LUC NGHGI'!EC153</f>
        <v>0.39341676470588993</v>
      </c>
      <c r="Y163" s="32">
        <f>'LUC NGHGI'!DY153</f>
        <v>0.39341676470588993</v>
      </c>
      <c r="Z163" s="32">
        <f>'LUC NGHGI'!DZ153</f>
        <v>0.39341676470588993</v>
      </c>
      <c r="AA163" s="32">
        <f>Table12[[#This Row],[2021 emissions]]</f>
        <v>0.48273104999999999</v>
      </c>
      <c r="AB163" s="32">
        <f>'LUC NGHGI'!DW153</f>
        <v>0.42192075980392474</v>
      </c>
      <c r="AC163" s="32">
        <f>IF(F163="incl",Table12[[#This Row],[GHG emissions incl LULUCF]]-Table12[[#This Row],[LULUCF emis-sions in 20213]],Table12[[#This Row],[GHG emissions incl LULUCF]])</f>
        <v>0.48273104999999999</v>
      </c>
      <c r="AD163" s="32">
        <f>'input site'!BS163</f>
        <v>0.50606078034945923</v>
      </c>
      <c r="AE163" s="32">
        <f>'LUC NGHGI'!EH153</f>
        <v>0.41973856487180811</v>
      </c>
      <c r="AF163" s="32">
        <f>IF(F163="incl",Table12[[#This Row],[Current Policies 2030 incl LULUCF]]-Table12[[#This Row],[LULUCF CurPol 2030]],Table12[[#This Row],[Current Policies 2030 incl LULUCF]])</f>
        <v>0.50606078034945923</v>
      </c>
      <c r="AG163" s="32" t="str">
        <f>IF(Table12[[#This Row],[Net-zero target status]]&lt;=1,"",IF(Table12[[#This Row],[NZ GHG year]]="","",1000000000*(Table12[[#This Row],[residual LULUCF emissions in 2050]]-Table12[[#This Row],[GHG emissions excl LULUCF]])/(Table12[[#This Row],[NZ GHG year]]-2021)/Table12[[#This Row],[Population]]))</f>
        <v/>
      </c>
      <c r="AH163" s="32" t="str">
        <f>IF(Table12[[#This Row],[Peak revised]]="Yes",IF(Table12[[#This Row],[Net-zero target status]]&lt;=1,"",IF(Table12[[#This Row],[NZ GHG year]]="","",1000000000*(Table12[[#This Row],[residual LULUCF emissions in 2050]]-Table12[[#This Row],[GHG emissions excl LULUCF]])/(Table12[[#This Row],[NZ GHG year]]-2021)/Table12[[#This Row],[Population]])),"")</f>
        <v/>
      </c>
      <c r="AI163" s="32">
        <f>MAX(0,(1000000*(Table12[[#This Row],[Current Policies 2030 excl LULUCF]]/2+Table12[[#This Row],[GHG emissions excl LULUCF]]/2)/Table12[[#This Row],[Population]]-$AI$8)*10)*$AI$10</f>
        <v>-2011.5445355933175</v>
      </c>
      <c r="AJ16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3" s="32" t="str">
        <f>IF(Table12[[#This Row],[Formule no Peak (2)]]="","",Table12[[#This Row],[Penalty (1)]]+Table12[[#This Row],[Formule no Peak (2)]])</f>
        <v/>
      </c>
      <c r="AL163" s="313">
        <f>(Table12[[#This Row],[Current Policies 2030 excl LULUCF]]-Table12[[#This Row],[GHG emissions excl LULUCF]])/(2030-2021)/Table12[[#This Row],[GHG emissions excl LULUCF]]</f>
        <v>5.369847788019905E-3</v>
      </c>
      <c r="AM163" s="313" t="str">
        <f>IF(Table12[[#This Row],[Net-zero target status]]&lt;=1,"",IF(Table12[[#This Row],[NZ GHG year]]="","",(Table12[[#This Row],[residual LULUCF emissions in 2050]]-Table12[[#This Row],[Current Policies 2030 excl LULUCF]])/(Table12[[#This Row],[NZ GHG year]]-2030)/Table12[[#This Row],[Current Policies 2030 excl LULUCF]]))</f>
        <v/>
      </c>
      <c r="AN163" s="313" t="str">
        <f>IF(Table12[[#This Row],[Net-zero target status]]&lt;=1,"",IF(Table12[[#This Row],[NZ GHG year]]="","",(Table12[[#This Row],[residual LULUCF emissions in 2050]]-Table12[[#This Row],[GHG emissions excl LULUCF]])/(Table12[[#This Row],[NZ GHG year]]-2021)/Table12[[#This Row],[GHG emissions excl LULUCF]]))</f>
        <v/>
      </c>
      <c r="AO163" s="313" t="str">
        <f>IF(Table12[[#This Row],[Net-zero target status]]&lt;=1,"",IF(Table12[[#This Row],[NZ GHG year]]="","",(Table12[[#This Row],[residual LULUCF emissions in 2050]]-Table12[[#This Row],[2030 conditional NDCs]])/(Table12[[#This Row],[NZ GHG year]]-2030)/Table12[[#This Row],[2030 conditional NDCs]]))</f>
        <v/>
      </c>
      <c r="AP163" s="96">
        <f>MAX('input site'!AH163:AS163)</f>
        <v>0.48273104999999999</v>
      </c>
      <c r="AQ163" s="95" t="str">
        <f>IF(Table12[[#This Row],[Current Policies 2030 incl LULUCF]]&gt;Table12[[#This Row],[Maximum inventory data]],"No","Yes")</f>
        <v>No</v>
      </c>
      <c r="AR163" s="34" t="str">
        <f>IF(Table12[[#This Row],[Net-zero target status]]&gt;=1.5,Table12[[#This Row],[residual LULUCF emissions in 2050]]/Table12[[#This Row],[GHG emissions excl LULUCF]],"")</f>
        <v/>
      </c>
      <c r="AS163" s="74" t="str">
        <f>'input site'!BE163</f>
        <v/>
      </c>
      <c r="AT163" s="74"/>
      <c r="AU163" s="74" t="str">
        <f>'input site'!BG163</f>
        <v/>
      </c>
      <c r="AV163" s="75"/>
      <c r="AW163" s="74" t="str">
        <f>IF(Table12[[#This Row],[2030 unconditional NDCs]]="","",IF(F163="incl",Table12[[#This Row],[2030 unconditional NDCs]]-Table12[[#This Row],[LULUCF NDC uncond]],Table12[[#This Row],[2030 unconditional NDCs]]))</f>
        <v/>
      </c>
      <c r="AX163" s="74" t="str">
        <f>IF(Table12[[#This Row],[2030 unconditional NDCs2]]="","",IF(F163="incl",Table12[[#This Row],[2030 unconditional NDCs2]]-Table12[[#This Row],[LULUCF NDC uncond]],Table12[[#This Row],[2030 unconditional NDCs2]]))</f>
        <v/>
      </c>
      <c r="AY163" s="74" t="str">
        <f>IF(Table12[[#This Row],[2030 conditional NDCs]]="","",IF(F163="incl",Table12[[#This Row],[2030 conditional NDCs]]-Table12[[#This Row],[LULUCF NDC cond]],Table12[[#This Row],[2030 conditional NDCs]]))</f>
        <v/>
      </c>
      <c r="AZ163" s="74" t="str">
        <f>IF(Table12[[#This Row],[2030 conditional NDCs2]]="","",IF(F163="incl",Table12[[#This Row],[2030 conditional NDCs2]]-Table12[[#This Row],[LULUCF NDC cond]],Table12[[#This Row],[2030 conditional NDCs2]]))</f>
        <v/>
      </c>
      <c r="BA163" s="8">
        <f>VLOOKUP($G163,'Population90 20'!$C$6:$AU$231,37,FALSE)</f>
        <v>18233</v>
      </c>
      <c r="BB163" s="8">
        <f>VLOOKUP($G163,'Overview GDP (PPP)'!$C$6:$AI$231,33,FALSE)</f>
        <v>308041.06032189942</v>
      </c>
      <c r="BC163" s="36">
        <f>Table12[[#This Row],[Income]]/Table12[[#This Row],[Population]]</f>
        <v>16.894699737942162</v>
      </c>
      <c r="BD163" s="36">
        <f>Table12[[#This Row],[GHG emissions excl LULUCF]]*1000000/Table12[[#This Row],[Population]]</f>
        <v>26.475678714418912</v>
      </c>
      <c r="BE163" s="23" t="e">
        <f>VLOOKUP($G163,EGR2023_MASTER!$B$4:$S$38,14,FALSE)</f>
        <v>#N/A</v>
      </c>
      <c r="BF163" s="23" t="e">
        <f>VLOOKUP($G163,EGR2023_MASTER!$B$4:$S$38,15,FALSE)</f>
        <v>#N/A</v>
      </c>
      <c r="BG163" s="23" t="e">
        <f>VLOOKUP($G163,EGR2023_MASTER!$B$4:$S$38,16,FALSE)</f>
        <v>#N/A</v>
      </c>
      <c r="BH163" s="23" t="e">
        <f t="shared" si="24"/>
        <v>#N/A</v>
      </c>
      <c r="BI163" s="23" t="e">
        <f t="shared" si="25"/>
        <v>#N/A</v>
      </c>
      <c r="BJ163" s="552">
        <f>(Table12[[#This Row],[Current Policies 2030 excl LULUCF]]/Table12[[#This Row],[GHG emissions excl LULUCF]])^(1/(2030-2021))-1</f>
        <v>5.2578983828655002E-3</v>
      </c>
      <c r="BK163" s="552" t="str">
        <f>IF(Table12[[#This Row],[Net-zero target status]]&lt;=1,"",IF(Table12[[#This Row],[NZ GHG year]]="","",((MAX(Table12[[#This Row],[residual LULUCF emissions in 2050]],0.1)/Table12[[#This Row],[Current Policies 2030 excl LULUCF]])^(1/(Table12[[#This Row],[NZ GHG year]]-2021))-1)))</f>
        <v/>
      </c>
      <c r="BL163" s="552" t="str">
        <f>IF(Table12[[#This Row],[Net-zero target status]]&lt;=1,"",IF(Table12[[#This Row],[NZ GHG year]]="","",((MAX(Table12[[#This Row],[residual LULUCF emissions in 2050]],0.1)/Table12[[#This Row],[GHG emissions excl LULUCF]])^(1/(Table12[[#This Row],[NZ GHG year]]-2021))-1)))</f>
        <v/>
      </c>
      <c r="BM163" s="552" t="str">
        <f>IF(Table12[[#This Row],[Net-zero target status]]&lt;=1,"",IF(Table12[[#This Row],[NZ GHG year]]="","",((MAX(Table12[[#This Row],[residual LULUCF emissions in 2050]],0.1)/AVERAGE(Table12[[#This Row],[2030 conditional NDCs]:[2030 conditional NDCs2]]))^(1/(Table12[[#This Row],[NZ GHG year]]-2021))-1)))</f>
        <v/>
      </c>
      <c r="BN163" s="23"/>
      <c r="BO163" s="23"/>
      <c r="BP163" s="23"/>
      <c r="BQ163" s="23"/>
      <c r="BR163" s="50" t="s">
        <v>355</v>
      </c>
      <c r="BT163" s="30" t="str">
        <f>IF(Table12[[#This Row],[Reduction rate 2021 to NZ target2]]="","",J163*(1+AN163)^(Table12[[#This Row],[NZ GHG year]]-2021))</f>
        <v/>
      </c>
    </row>
    <row r="164" spans="1:72" ht="15" x14ac:dyDescent="0.25">
      <c r="A164">
        <v>0</v>
      </c>
      <c r="B164">
        <v>0</v>
      </c>
      <c r="C164">
        <v>591</v>
      </c>
      <c r="D164">
        <v>153</v>
      </c>
      <c r="E164">
        <v>4</v>
      </c>
      <c r="F164" t="str">
        <f>'input site'!M164</f>
        <v>excl</v>
      </c>
      <c r="G164" s="31" t="s">
        <v>356</v>
      </c>
      <c r="H164" s="1" t="s">
        <v>357</v>
      </c>
      <c r="I164" s="8">
        <f>VLOOKUP($G164,'NZT data'!$B$3:$C$200,2,FALSE)</f>
        <v>3</v>
      </c>
      <c r="J164" s="32">
        <f>'input site'!AS164</f>
        <v>18.052616</v>
      </c>
      <c r="K164" s="32">
        <f>'input site'!BS164</f>
        <v>22.260124568056391</v>
      </c>
      <c r="L164" s="32">
        <f t="shared" si="26"/>
        <v>0</v>
      </c>
      <c r="M164" s="32">
        <f t="shared" si="27"/>
        <v>0</v>
      </c>
      <c r="N164" s="32">
        <f>'input site'!EV164</f>
        <v>9.0980236296321557</v>
      </c>
      <c r="O164" s="8"/>
      <c r="P164" s="8"/>
      <c r="Q164" s="32">
        <f t="shared" si="28"/>
        <v>0</v>
      </c>
      <c r="R164" s="32">
        <f>'input site'!EZ164</f>
        <v>1.8503597124022617</v>
      </c>
      <c r="S164" s="37">
        <f>'input site'!FA164</f>
        <v>0</v>
      </c>
      <c r="T164" s="37" t="str">
        <f>Table12[[#This Row],[(Mt CO2 equivalent)]]</f>
        <v>Panama</v>
      </c>
      <c r="U164" s="8">
        <f>VLOOKUP($G164,'NZT data'!$B$3:$F$200,4,FALSE)</f>
        <v>2050</v>
      </c>
      <c r="V164" s="32">
        <f>VLOOKUP($G164,'NZT data'!$B$3:$F$200,5,FALSE)</f>
        <v>2050</v>
      </c>
      <c r="W164" s="32">
        <f>-IF('LUC NGHGI'!EC154="",MIN('LUC NGHGI'!DW154,0.1),MIN('LUC NGHGI'!EC154,0.1))</f>
        <v>29.862697586206878</v>
      </c>
      <c r="X164" s="32">
        <f>'LUC NGHGI'!EC154</f>
        <v>-29.862697586206878</v>
      </c>
      <c r="Y164" s="32">
        <f>'LUC NGHGI'!DY154</f>
        <v>-29.862697586206878</v>
      </c>
      <c r="Z164" s="32">
        <f>'LUC NGHGI'!DZ154</f>
        <v>-29.862697586206878</v>
      </c>
      <c r="AA164" s="32">
        <f>Table12[[#This Row],[2021 emissions]]</f>
        <v>18.052616</v>
      </c>
      <c r="AB164" s="32">
        <f>'LUC NGHGI'!DW154</f>
        <v>-30.226600978865349</v>
      </c>
      <c r="AC164" s="32">
        <f>IF(F164="incl",Table12[[#This Row],[GHG emissions incl LULUCF]]-Table12[[#This Row],[LULUCF emis-sions in 20213]],Table12[[#This Row],[GHG emissions incl LULUCF]])</f>
        <v>18.052616</v>
      </c>
      <c r="AD164" s="32">
        <f>'input site'!BS164</f>
        <v>22.260124568056391</v>
      </c>
      <c r="AE164" s="32">
        <f>'LUC NGHGI'!EH154</f>
        <v>-41.970480518077842</v>
      </c>
      <c r="AF164" s="32">
        <f>IF(F164="incl",Table12[[#This Row],[Current Policies 2030 incl LULUCF]]-Table12[[#This Row],[LULUCF CurPol 2030]],Table12[[#This Row],[Current Policies 2030 incl LULUCF]])</f>
        <v>22.260124568056391</v>
      </c>
      <c r="AG164" s="32">
        <f>IF(Table12[[#This Row],[Net-zero target status]]&lt;=1,"",IF(Table12[[#This Row],[NZ GHG year]]="","",1000000000*(Table12[[#This Row],[residual LULUCF emissions in 2050]]-Table12[[#This Row],[GHG emissions excl LULUCF]])/(Table12[[#This Row],[NZ GHG year]]-2021)/Table12[[#This Row],[Population]]))</f>
        <v>91.578027757324634</v>
      </c>
      <c r="AH164" s="32" t="str">
        <f>IF(Table12[[#This Row],[Peak revised]]="Yes",IF(Table12[[#This Row],[Net-zero target status]]&lt;=1,"",IF(Table12[[#This Row],[NZ GHG year]]="","",1000000000*(Table12[[#This Row],[residual LULUCF emissions in 2050]]-Table12[[#This Row],[GHG emissions excl LULUCF]])/(Table12[[#This Row],[NZ GHG year]]-2021)/Table12[[#This Row],[Population]])),"")</f>
        <v/>
      </c>
      <c r="AI164" s="32">
        <f>MAX(0,(1000000*(Table12[[#This Row],[Current Policies 2030 excl LULUCF]]/2+Table12[[#This Row],[GHG emissions excl LULUCF]]/2)/Table12[[#This Row],[Population]]-$AI$8)*10)*$AI$10</f>
        <v>0</v>
      </c>
      <c r="AJ164" s="32">
        <f>IF(Table12[[#This Row],[Peak revised]]="No",IF(Table12[[#This Row],[Net-zero target status]]&lt;=1,"",IF(Table12[[#This Row],[NZ GHG year]]="","",1000000000*(Table12[[#This Row],[residual LULUCF emissions in 2050]]-Table12[[#This Row],[Current Policies 2030 excl LULUCF]])/(Table12[[#This Row],[NZ GHG year]]-2021)/Table12[[#This Row],[Population]])),"")</f>
        <v>58.952060390201332</v>
      </c>
      <c r="AK164" s="32">
        <f>IF(Table12[[#This Row],[Formule no Peak (2)]]="","",Table12[[#This Row],[Penalty (1)]]+Table12[[#This Row],[Formule no Peak (2)]])</f>
        <v>58.952060390201332</v>
      </c>
      <c r="AL164" s="313">
        <f>(Table12[[#This Row],[Current Policies 2030 excl LULUCF]]-Table12[[#This Row],[GHG emissions excl LULUCF]])/(2030-2021)/Table12[[#This Row],[GHG emissions excl LULUCF]]</f>
        <v>2.5896576540832949E-2</v>
      </c>
      <c r="AM164" s="313">
        <f>IF(Table12[[#This Row],[Net-zero target status]]&lt;=1,"",IF(Table12[[#This Row],[NZ GHG year]]="","",(Table12[[#This Row],[residual LULUCF emissions in 2050]]-Table12[[#This Row],[Current Policies 2030 excl LULUCF]])/(Table12[[#This Row],[NZ GHG year]]-2030)/Table12[[#This Row],[Current Policies 2030 excl LULUCF]]))</f>
        <v>1.7076663239028528E-2</v>
      </c>
      <c r="AN164" s="313">
        <f>IF(Table12[[#This Row],[Net-zero target status]]&lt;=1,"",IF(Table12[[#This Row],[NZ GHG year]]="","",(Table12[[#This Row],[residual LULUCF emissions in 2050]]-Table12[[#This Row],[GHG emissions excl LULUCF]])/(Table12[[#This Row],[NZ GHG year]]-2021)/Table12[[#This Row],[GHG emissions excl LULUCF]]))</f>
        <v>2.2558735677301468E-2</v>
      </c>
      <c r="AO164" s="313" t="e">
        <f>IF(Table12[[#This Row],[Net-zero target status]]&lt;=1,"",IF(Table12[[#This Row],[NZ GHG year]]="","",(Table12[[#This Row],[residual LULUCF emissions in 2050]]-Table12[[#This Row],[2030 conditional NDCs]])/(Table12[[#This Row],[NZ GHG year]]-2030)/Table12[[#This Row],[2030 conditional NDCs]]))</f>
        <v>#VALUE!</v>
      </c>
      <c r="AP164" s="96">
        <f>MAX('input site'!AH164:AS164)</f>
        <v>18.453695</v>
      </c>
      <c r="AQ164" s="95" t="str">
        <f>IF(Table12[[#This Row],[Current Policies 2030 incl LULUCF]]&gt;Table12[[#This Row],[Maximum inventory data]],"No","Yes")</f>
        <v>No</v>
      </c>
      <c r="AR164" s="34">
        <f>IF(Table12[[#This Row],[Net-zero target status]]&gt;=1.5,Table12[[#This Row],[residual LULUCF emissions in 2050]]/Table12[[#This Row],[GHG emissions excl LULUCF]],"")</f>
        <v>1.6542033346417426</v>
      </c>
      <c r="AS164" s="74" t="str">
        <f>'input site'!BE164</f>
        <v/>
      </c>
      <c r="AT164" s="74"/>
      <c r="AU164" s="74" t="str">
        <f>'input site'!BG164</f>
        <v/>
      </c>
      <c r="AV164" s="75"/>
      <c r="AW164" s="74" t="str">
        <f>IF(Table12[[#This Row],[2030 unconditional NDCs]]="","",IF(F164="incl",Table12[[#This Row],[2030 unconditional NDCs]]-Table12[[#This Row],[LULUCF NDC uncond]],Table12[[#This Row],[2030 unconditional NDCs]]))</f>
        <v/>
      </c>
      <c r="AX164" s="74" t="str">
        <f>IF(Table12[[#This Row],[2030 unconditional NDCs2]]="","",IF(F164="incl",Table12[[#This Row],[2030 unconditional NDCs2]]-Table12[[#This Row],[LULUCF NDC uncond]],Table12[[#This Row],[2030 unconditional NDCs2]]))</f>
        <v/>
      </c>
      <c r="AY164" s="74" t="str">
        <f>IF(Table12[[#This Row],[2030 conditional NDCs]]="","",IF(F164="incl",Table12[[#This Row],[2030 conditional NDCs]]-Table12[[#This Row],[LULUCF NDC cond]],Table12[[#This Row],[2030 conditional NDCs]]))</f>
        <v/>
      </c>
      <c r="AZ164" s="74" t="str">
        <f>IF(Table12[[#This Row],[2030 conditional NDCs2]]="","",IF(F164="incl",Table12[[#This Row],[2030 conditional NDCs2]]-Table12[[#This Row],[LULUCF NDC cond]],Table12[[#This Row],[2030 conditional NDCs2]]))</f>
        <v/>
      </c>
      <c r="BA164" s="8">
        <f>VLOOKUP($G164,'Population90 20'!$C$6:$AU$231,37,FALSE)</f>
        <v>4446964</v>
      </c>
      <c r="BB164" s="8">
        <f>VLOOKUP($G164,'Overview GDP (PPP)'!$C$6:$AI$231,33,FALSE)</f>
        <v>94708085.15867202</v>
      </c>
      <c r="BC164" s="36">
        <f>Table12[[#This Row],[Income]]/Table12[[#This Row],[Population]]</f>
        <v>21.297245752084347</v>
      </c>
      <c r="BD164" s="36">
        <f>Table12[[#This Row],[GHG emissions excl LULUCF]]*1000000/Table12[[#This Row],[Population]]</f>
        <v>4.0595372483339194</v>
      </c>
      <c r="BE164" s="23" t="e">
        <f>VLOOKUP($G164,EGR2023_MASTER!$B$4:$S$38,14,FALSE)</f>
        <v>#N/A</v>
      </c>
      <c r="BF164" s="23" t="e">
        <f>VLOOKUP($G164,EGR2023_MASTER!$B$4:$S$38,15,FALSE)</f>
        <v>#N/A</v>
      </c>
      <c r="BG164" s="23" t="e">
        <f>VLOOKUP($G164,EGR2023_MASTER!$B$4:$S$38,16,FALSE)</f>
        <v>#N/A</v>
      </c>
      <c r="BH164" s="23" t="e">
        <f t="shared" si="24"/>
        <v>#N/A</v>
      </c>
      <c r="BI164" s="23" t="e">
        <f t="shared" si="25"/>
        <v>#N/A</v>
      </c>
      <c r="BJ164" s="552">
        <f>(Table12[[#This Row],[Current Policies 2030 excl LULUCF]]/Table12[[#This Row],[GHG emissions excl LULUCF]])^(1/(2030-2021))-1</f>
        <v>2.3551540411518301E-2</v>
      </c>
      <c r="BK164" s="552">
        <f>IF(Table12[[#This Row],[Net-zero target status]]&lt;=1,"",IF(Table12[[#This Row],[NZ GHG year]]="","",((MAX(Table12[[#This Row],[residual LULUCF emissions in 2050]],0.1)/Table12[[#This Row],[Current Policies 2030 excl LULUCF]])^(1/(Table12[[#This Row],[NZ GHG year]]-2021))-1)))</f>
        <v>1.0182986521346082E-2</v>
      </c>
      <c r="BL164" s="552">
        <f>IF(Table12[[#This Row],[Net-zero target status]]&lt;=1,"",IF(Table12[[#This Row],[NZ GHG year]]="","",((MAX(Table12[[#This Row],[residual LULUCF emissions in 2050]],0.1)/Table12[[#This Row],[GHG emissions excl LULUCF]])^(1/(Table12[[#This Row],[NZ GHG year]]-2021))-1)))</f>
        <v>1.7507333479915399E-2</v>
      </c>
      <c r="BM164" s="552" t="e">
        <f>IF(Table12[[#This Row],[Net-zero target status]]&lt;=1,"",IF(Table12[[#This Row],[NZ GHG year]]="","",((MAX(Table12[[#This Row],[residual LULUCF emissions in 2050]],0.1)/AVERAGE(Table12[[#This Row],[2030 conditional NDCs]:[2030 conditional NDCs2]]))^(1/(Table12[[#This Row],[NZ GHG year]]-2021))-1)))</f>
        <v>#DIV/0!</v>
      </c>
      <c r="BN164" s="23"/>
      <c r="BO164" s="23"/>
      <c r="BP164" s="23"/>
      <c r="BQ164" s="23"/>
      <c r="BR164" s="50" t="s">
        <v>357</v>
      </c>
      <c r="BT164" s="30">
        <f>IF(Table12[[#This Row],[Reduction rate 2021 to NZ target2]]="","",J164*(1+AN164)^(Table12[[#This Row],[NZ GHG year]]-2021))</f>
        <v>34.474643032597918</v>
      </c>
    </row>
    <row r="165" spans="1:72" ht="15" x14ac:dyDescent="0.25">
      <c r="A165">
        <v>0</v>
      </c>
      <c r="B165">
        <v>0</v>
      </c>
      <c r="C165">
        <v>598</v>
      </c>
      <c r="D165">
        <v>154</v>
      </c>
      <c r="E165">
        <v>22</v>
      </c>
      <c r="F165" t="str">
        <f>'input site'!M165</f>
        <v>excl</v>
      </c>
      <c r="G165" s="31" t="s">
        <v>358</v>
      </c>
      <c r="H165" s="1" t="s">
        <v>359</v>
      </c>
      <c r="I165" s="8">
        <f>VLOOKUP($G165,'NZT data'!$B$3:$C$200,2,FALSE)</f>
        <v>3</v>
      </c>
      <c r="J165" s="32">
        <f>'input site'!AS165</f>
        <v>13.874475</v>
      </c>
      <c r="K165" s="32">
        <f>'input site'!BS165</f>
        <v>15.811209163379422</v>
      </c>
      <c r="L165" s="32">
        <f t="shared" si="26"/>
        <v>0</v>
      </c>
      <c r="M165" s="32">
        <f t="shared" si="27"/>
        <v>0</v>
      </c>
      <c r="N165" s="32">
        <f>'input site'!EV165</f>
        <v>4.733229958532192</v>
      </c>
      <c r="O165" s="8">
        <v>0</v>
      </c>
      <c r="P165" s="36">
        <f>O165-N165</f>
        <v>-4.733229958532192</v>
      </c>
      <c r="Q165" s="32">
        <f t="shared" si="28"/>
        <v>0</v>
      </c>
      <c r="R165" s="32">
        <f>'input site'!EZ165</f>
        <v>-1.2257451419799692</v>
      </c>
      <c r="S165" s="37">
        <f>'input site'!FA165</f>
        <v>2050</v>
      </c>
      <c r="T165" s="37" t="str">
        <f>Table12[[#This Row],[(Mt CO2 equivalent)]]</f>
        <v>Papua New Guinea</v>
      </c>
      <c r="U165" s="8">
        <f>VLOOKUP($G165,'NZT data'!$B$3:$F$200,4,FALSE)</f>
        <v>2050</v>
      </c>
      <c r="V165" s="32">
        <f>VLOOKUP($G165,'NZT data'!$B$3:$F$200,5,FALSE)</f>
        <v>2050</v>
      </c>
      <c r="W165" s="32">
        <f>-IF('LUC NGHGI'!EC155="",MIN('LUC NGHGI'!DW155,0.1),MIN('LUC NGHGI'!EC155,0.1))</f>
        <v>-0.1</v>
      </c>
      <c r="X165" s="32">
        <f>'LUC NGHGI'!EC155</f>
        <v>3.9890467980296762</v>
      </c>
      <c r="Y165" s="32">
        <f>'LUC NGHGI'!DY155</f>
        <v>3.9890467980296762</v>
      </c>
      <c r="Z165" s="32">
        <f>'LUC NGHGI'!DZ155</f>
        <v>-8.2840000000000007</v>
      </c>
      <c r="AA165" s="32">
        <f>Table12[[#This Row],[2021 emissions]]</f>
        <v>13.874475</v>
      </c>
      <c r="AB165" s="32">
        <f>'LUC NGHGI'!DW155</f>
        <v>4.9576297208539017</v>
      </c>
      <c r="AC165" s="32">
        <f>IF(F165="incl",Table12[[#This Row],[GHG emissions incl LULUCF]]-Table12[[#This Row],[LULUCF emis-sions in 20213]],Table12[[#This Row],[GHG emissions incl LULUCF]])</f>
        <v>13.874475</v>
      </c>
      <c r="AD165" s="32">
        <f>'input site'!BS165</f>
        <v>15.811209163379422</v>
      </c>
      <c r="AE165" s="32">
        <f>'LUC NGHGI'!EH155</f>
        <v>4.2559365243704637</v>
      </c>
      <c r="AF165" s="32">
        <f>IF(F165="incl",Table12[[#This Row],[Current Policies 2030 incl LULUCF]]-Table12[[#This Row],[LULUCF CurPol 2030]],Table12[[#This Row],[Current Policies 2030 incl LULUCF]])</f>
        <v>15.811209163379422</v>
      </c>
      <c r="AG165" s="32">
        <f>IF(Table12[[#This Row],[Net-zero target status]]&lt;=1,"",IF(Table12[[#This Row],[NZ GHG year]]="","",1000000000*(Table12[[#This Row],[residual LULUCF emissions in 2050]]-Table12[[#This Row],[GHG emissions excl LULUCF]])/(Table12[[#This Row],[NZ GHG year]]-2021)/Table12[[#This Row],[Population]]))</f>
        <v>-51.858554044363821</v>
      </c>
      <c r="AH165" s="32" t="str">
        <f>IF(Table12[[#This Row],[Peak revised]]="Yes",IF(Table12[[#This Row],[Net-zero target status]]&lt;=1,"",IF(Table12[[#This Row],[NZ GHG year]]="","",1000000000*(Table12[[#This Row],[residual LULUCF emissions in 2050]]-Table12[[#This Row],[GHG emissions excl LULUCF]])/(Table12[[#This Row],[NZ GHG year]]-2021)/Table12[[#This Row],[Population]])),"")</f>
        <v/>
      </c>
      <c r="AI165" s="32">
        <f>MAX(0,(1000000*(Table12[[#This Row],[Current Policies 2030 excl LULUCF]]/2+Table12[[#This Row],[GHG emissions excl LULUCF]]/2)/Table12[[#This Row],[Population]]-$AI$8)*10)*$AI$10</f>
        <v>0</v>
      </c>
      <c r="AJ165" s="32">
        <f>IF(Table12[[#This Row],[Peak revised]]="No",IF(Table12[[#This Row],[Net-zero target status]]&lt;=1,"",IF(Table12[[#This Row],[NZ GHG year]]="","",1000000000*(Table12[[#This Row],[residual LULUCF emissions in 2050]]-Table12[[#This Row],[Current Policies 2030 excl LULUCF]])/(Table12[[#This Row],[NZ GHG year]]-2021)/Table12[[#This Row],[Population]])),"")</f>
        <v>-59.045674367751815</v>
      </c>
      <c r="AK165" s="32">
        <f>IF(Table12[[#This Row],[Formule no Peak (2)]]="","",Table12[[#This Row],[Penalty (1)]]+Table12[[#This Row],[Formule no Peak (2)]])</f>
        <v>-59.045674367751815</v>
      </c>
      <c r="AL165" s="313">
        <f>(Table12[[#This Row],[Current Policies 2030 excl LULUCF]]-Table12[[#This Row],[GHG emissions excl LULUCF]])/(2030-2021)/Table12[[#This Row],[GHG emissions excl LULUCF]]</f>
        <v>1.5509969553437929E-2</v>
      </c>
      <c r="AM165" s="313">
        <f>IF(Table12[[#This Row],[Net-zero target status]]&lt;=1,"",IF(Table12[[#This Row],[NZ GHG year]]="","",(Table12[[#This Row],[residual LULUCF emissions in 2050]]-Table12[[#This Row],[Current Policies 2030 excl LULUCF]])/(Table12[[#This Row],[NZ GHG year]]-2030)/Table12[[#This Row],[Current Policies 2030 excl LULUCF]]))</f>
        <v>-5.0316231348806674E-2</v>
      </c>
      <c r="AN165" s="313">
        <f>IF(Table12[[#This Row],[Net-zero target status]]&lt;=1,"",IF(Table12[[#This Row],[NZ GHG year]]="","",(Table12[[#This Row],[residual LULUCF emissions in 2050]]-Table12[[#This Row],[GHG emissions excl LULUCF]])/(Table12[[#This Row],[NZ GHG year]]-2021)/Table12[[#This Row],[GHG emissions excl LULUCF]]))</f>
        <v>-3.4731292411126338E-2</v>
      </c>
      <c r="AO165" s="313" t="e">
        <f>IF(Table12[[#This Row],[Net-zero target status]]&lt;=1,"",IF(Table12[[#This Row],[NZ GHG year]]="","",(Table12[[#This Row],[residual LULUCF emissions in 2050]]-Table12[[#This Row],[2030 conditional NDCs]])/(Table12[[#This Row],[NZ GHG year]]-2030)/Table12[[#This Row],[2030 conditional NDCs]]))</f>
        <v>#VALUE!</v>
      </c>
      <c r="AP165" s="96">
        <f>MAX('input site'!AH165:AS165)</f>
        <v>13.874475</v>
      </c>
      <c r="AQ165" s="95" t="str">
        <f>IF(Table12[[#This Row],[Current Policies 2030 incl LULUCF]]&gt;Table12[[#This Row],[Maximum inventory data]],"No","Yes")</f>
        <v>No</v>
      </c>
      <c r="AR165" s="34">
        <f>IF(Table12[[#This Row],[Net-zero target status]]&gt;=1.5,Table12[[#This Row],[residual LULUCF emissions in 2050]]/Table12[[#This Row],[GHG emissions excl LULUCF]],"")</f>
        <v>-7.2074799226637407E-3</v>
      </c>
      <c r="AS165" s="74" t="str">
        <f>'input site'!BE165</f>
        <v/>
      </c>
      <c r="AT165" s="74"/>
      <c r="AU165" s="74" t="str">
        <f>'input site'!BG165</f>
        <v/>
      </c>
      <c r="AV165" s="75"/>
      <c r="AW165" s="74" t="str">
        <f>IF(Table12[[#This Row],[2030 unconditional NDCs]]="","",IF(F165="incl",Table12[[#This Row],[2030 unconditional NDCs]]-Table12[[#This Row],[LULUCF NDC uncond]],Table12[[#This Row],[2030 unconditional NDCs]]))</f>
        <v/>
      </c>
      <c r="AX165" s="74" t="str">
        <f>IF(Table12[[#This Row],[2030 unconditional NDCs2]]="","",IF(F165="incl",Table12[[#This Row],[2030 unconditional NDCs2]]-Table12[[#This Row],[LULUCF NDC uncond]],Table12[[#This Row],[2030 unconditional NDCs2]]))</f>
        <v/>
      </c>
      <c r="AY165" s="74" t="str">
        <f>IF(Table12[[#This Row],[2030 conditional NDCs]]="","",IF(F165="incl",Table12[[#This Row],[2030 conditional NDCs]]-Table12[[#This Row],[LULUCF NDC cond]],Table12[[#This Row],[2030 conditional NDCs]]))</f>
        <v/>
      </c>
      <c r="AZ165" s="74" t="str">
        <f>IF(Table12[[#This Row],[2030 conditional NDCs2]]="","",IF(F165="incl",Table12[[#This Row],[2030 conditional NDCs2]]-Table12[[#This Row],[LULUCF NDC cond]],Table12[[#This Row],[2030 conditional NDCs2]]))</f>
        <v/>
      </c>
      <c r="BA165" s="8">
        <f>VLOOKUP($G165,'Population90 20'!$C$6:$AU$231,37,FALSE)</f>
        <v>9292169</v>
      </c>
      <c r="BB165" s="8">
        <f>VLOOKUP($G165,'Overview GDP (PPP)'!$C$6:$AI$231,33,FALSE)</f>
        <v>32885040.75161906</v>
      </c>
      <c r="BC165" s="36">
        <f>Table12[[#This Row],[Income]]/Table12[[#This Row],[Population]]</f>
        <v>3.539005882439187</v>
      </c>
      <c r="BD165" s="36">
        <f>Table12[[#This Row],[GHG emissions excl LULUCF]]*1000000/Table12[[#This Row],[Population]]</f>
        <v>1.4931363172581127</v>
      </c>
      <c r="BE165" s="23" t="e">
        <f>VLOOKUP($G165,EGR2023_MASTER!$B$4:$S$38,14,FALSE)</f>
        <v>#N/A</v>
      </c>
      <c r="BF165" s="23" t="e">
        <f>VLOOKUP($G165,EGR2023_MASTER!$B$4:$S$38,15,FALSE)</f>
        <v>#N/A</v>
      </c>
      <c r="BG165" s="23" t="e">
        <f>VLOOKUP($G165,EGR2023_MASTER!$B$4:$S$38,16,FALSE)</f>
        <v>#N/A</v>
      </c>
      <c r="BH165" s="23" t="e">
        <f t="shared" si="24"/>
        <v>#N/A</v>
      </c>
      <c r="BI165" s="23" t="e">
        <f t="shared" si="25"/>
        <v>#N/A</v>
      </c>
      <c r="BJ165" s="552">
        <f>(Table12[[#This Row],[Current Policies 2030 excl LULUCF]]/Table12[[#This Row],[GHG emissions excl LULUCF]])^(1/(2030-2021))-1</f>
        <v>1.4624609171870473E-2</v>
      </c>
      <c r="BK165" s="552">
        <f>IF(Table12[[#This Row],[Net-zero target status]]&lt;=1,"",IF(Table12[[#This Row],[NZ GHG year]]="","",((MAX(Table12[[#This Row],[residual LULUCF emissions in 2050]],0.1)/Table12[[#This Row],[Current Policies 2030 excl LULUCF]])^(1/(Table12[[#This Row],[NZ GHG year]]-2021))-1)))</f>
        <v>-0.16020435568333169</v>
      </c>
      <c r="BL165" s="552">
        <f>IF(Table12[[#This Row],[Net-zero target status]]&lt;=1,"",IF(Table12[[#This Row],[NZ GHG year]]="","",((MAX(Table12[[#This Row],[residual LULUCF emissions in 2050]],0.1)/Table12[[#This Row],[GHG emissions excl LULUCF]])^(1/(Table12[[#This Row],[NZ GHG year]]-2021))-1)))</f>
        <v>-0.15641186364154858</v>
      </c>
      <c r="BM165" s="552" t="e">
        <f>IF(Table12[[#This Row],[Net-zero target status]]&lt;=1,"",IF(Table12[[#This Row],[NZ GHG year]]="","",((MAX(Table12[[#This Row],[residual LULUCF emissions in 2050]],0.1)/AVERAGE(Table12[[#This Row],[2030 conditional NDCs]:[2030 conditional NDCs2]]))^(1/(Table12[[#This Row],[NZ GHG year]]-2021))-1)))</f>
        <v>#DIV/0!</v>
      </c>
      <c r="BN165" s="23"/>
      <c r="BO165" s="23"/>
      <c r="BP165" s="23"/>
      <c r="BQ165" s="23"/>
      <c r="BR165" s="50" t="s">
        <v>359</v>
      </c>
      <c r="BT165" s="30">
        <f>IF(Table12[[#This Row],[Reduction rate 2021 to NZ target2]]="","",J165*(1+AN165)^(Table12[[#This Row],[NZ GHG year]]-2021))</f>
        <v>4.9775444927885966</v>
      </c>
    </row>
    <row r="166" spans="1:72" ht="15" x14ac:dyDescent="0.25">
      <c r="A166">
        <v>0</v>
      </c>
      <c r="B166">
        <v>0</v>
      </c>
      <c r="C166">
        <v>600</v>
      </c>
      <c r="D166">
        <v>155</v>
      </c>
      <c r="E166">
        <v>6</v>
      </c>
      <c r="F166" t="str">
        <f>'input site'!M166</f>
        <v>incl</v>
      </c>
      <c r="G166" s="31" t="s">
        <v>360</v>
      </c>
      <c r="H166" s="1" t="s">
        <v>361</v>
      </c>
      <c r="I166" s="8">
        <f>VLOOKUP($G166,'NZT data'!$B$3:$C$200,2,FALSE)</f>
        <v>0</v>
      </c>
      <c r="J166" s="32">
        <f>'input site'!AS166</f>
        <v>72.81193402595477</v>
      </c>
      <c r="K166" s="32">
        <f>'input site'!BS166</f>
        <v>51.136262662225469</v>
      </c>
      <c r="L166" s="32">
        <f t="shared" si="26"/>
        <v>51.136262662225469</v>
      </c>
      <c r="M166" s="32">
        <f t="shared" si="27"/>
        <v>40.493857103990351</v>
      </c>
      <c r="N166" s="32">
        <f>'input site'!EV166</f>
        <v>40.493857103990351</v>
      </c>
      <c r="O166" s="8"/>
      <c r="P166" s="8"/>
      <c r="Q166" s="32">
        <f t="shared" si="28"/>
        <v>23.957229799543732</v>
      </c>
      <c r="R166" s="32">
        <f>'input site'!EZ166</f>
        <v>23.957229799543732</v>
      </c>
      <c r="S166" s="37">
        <f>'input site'!FA166</f>
        <v>0</v>
      </c>
      <c r="T166" s="37" t="str">
        <f>Table12[[#This Row],[(Mt CO2 equivalent)]]</f>
        <v>Paraguay</v>
      </c>
      <c r="U166" s="8">
        <f>VLOOKUP($G166,'NZT data'!$B$3:$F$200,4,FALSE)</f>
        <v>2110</v>
      </c>
      <c r="V166" s="32" t="str">
        <f>VLOOKUP($G166,'NZT data'!$B$3:$F$200,5,FALSE)</f>
        <v/>
      </c>
      <c r="W166" s="32">
        <f>-IF('LUC NGHGI'!EC156="",MIN('LUC NGHGI'!DW156,0.1),MIN('LUC NGHGI'!EC156,0.1))</f>
        <v>-0.1</v>
      </c>
      <c r="X166" s="32">
        <f>'LUC NGHGI'!EC156</f>
        <v>34.56905870114943</v>
      </c>
      <c r="Y166" s="32">
        <f>'LUC NGHGI'!DY156</f>
        <v>55.509</v>
      </c>
      <c r="Z166" s="32">
        <f>'LUC NGHGI'!DZ156</f>
        <v>55.509</v>
      </c>
      <c r="AA166" s="32">
        <f>Table12[[#This Row],[2021 emissions]]</f>
        <v>72.81193402595477</v>
      </c>
      <c r="AB166" s="32">
        <f>'LUC NGHGI'!DW156</f>
        <v>34.499594025954764</v>
      </c>
      <c r="AC166" s="32">
        <f>IF(F166="incl",Table12[[#This Row],[GHG emissions incl LULUCF]]-Table12[[#This Row],[LULUCF emis-sions in 20213]],Table12[[#This Row],[GHG emissions incl LULUCF]])</f>
        <v>38.312340000000006</v>
      </c>
      <c r="AD166" s="32">
        <f>'input site'!BS166</f>
        <v>51.136262662225469</v>
      </c>
      <c r="AE166" s="32">
        <f>'LUC NGHGI'!EH156</f>
        <v>25.63066474415254</v>
      </c>
      <c r="AF166" s="32">
        <f>IF(F166="incl",Table12[[#This Row],[Current Policies 2030 incl LULUCF]]-Table12[[#This Row],[LULUCF CurPol 2030]],Table12[[#This Row],[Current Policies 2030 incl LULUCF]])</f>
        <v>25.50559791807293</v>
      </c>
      <c r="AG166" s="32" t="str">
        <f>IF(Table12[[#This Row],[Net-zero target status]]&lt;=1,"",IF(Table12[[#This Row],[NZ GHG year]]="","",1000000000*(Table12[[#This Row],[residual LULUCF emissions in 2050]]-Table12[[#This Row],[GHG emissions excl LULUCF]])/(Table12[[#This Row],[NZ GHG year]]-2021)/Table12[[#This Row],[Population]]))</f>
        <v/>
      </c>
      <c r="AH166" s="32" t="str">
        <f>IF(Table12[[#This Row],[Peak revised]]="Yes",IF(Table12[[#This Row],[Net-zero target status]]&lt;=1,"",IF(Table12[[#This Row],[NZ GHG year]]="","",1000000000*(Table12[[#This Row],[residual LULUCF emissions in 2050]]-Table12[[#This Row],[GHG emissions excl LULUCF]])/(Table12[[#This Row],[NZ GHG year]]-2021)/Table12[[#This Row],[Population]])),"")</f>
        <v/>
      </c>
      <c r="AI166" s="32">
        <f>MAX(0,(1000000*(Table12[[#This Row],[Current Policies 2030 excl LULUCF]]/2+Table12[[#This Row],[GHG emissions excl LULUCF]]/2)/Table12[[#This Row],[Population]]-$AI$8)*10)*$AI$10</f>
        <v>0</v>
      </c>
      <c r="AJ16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6" s="32" t="str">
        <f>IF(Table12[[#This Row],[Formule no Peak (2)]]="","",Table12[[#This Row],[Penalty (1)]]+Table12[[#This Row],[Formule no Peak (2)]])</f>
        <v/>
      </c>
      <c r="AL166" s="313">
        <f>(Table12[[#This Row],[Current Policies 2030 excl LULUCF]]-Table12[[#This Row],[GHG emissions excl LULUCF]])/(2030-2021)/Table12[[#This Row],[GHG emissions excl LULUCF]]</f>
        <v>-3.7141332073069452E-2</v>
      </c>
      <c r="AM166" s="313" t="str">
        <f>IF(Table12[[#This Row],[Net-zero target status]]&lt;=1,"",IF(Table12[[#This Row],[NZ GHG year]]="","",(Table12[[#This Row],[residual LULUCF emissions in 2050]]-Table12[[#This Row],[Current Policies 2030 excl LULUCF]])/(Table12[[#This Row],[NZ GHG year]]-2030)/Table12[[#This Row],[Current Policies 2030 excl LULUCF]]))</f>
        <v/>
      </c>
      <c r="AN166" s="313" t="str">
        <f>IF(Table12[[#This Row],[Net-zero target status]]&lt;=1,"",IF(Table12[[#This Row],[NZ GHG year]]="","",(Table12[[#This Row],[residual LULUCF emissions in 2050]]-Table12[[#This Row],[GHG emissions excl LULUCF]])/(Table12[[#This Row],[NZ GHG year]]-2021)/Table12[[#This Row],[GHG emissions excl LULUCF]]))</f>
        <v/>
      </c>
      <c r="AO166" s="313" t="str">
        <f>IF(Table12[[#This Row],[Net-zero target status]]&lt;=1,"",IF(Table12[[#This Row],[NZ GHG year]]="","",(Table12[[#This Row],[residual LULUCF emissions in 2050]]-Table12[[#This Row],[2030 conditional NDCs]])/(Table12[[#This Row],[NZ GHG year]]-2030)/Table12[[#This Row],[2030 conditional NDCs]]))</f>
        <v/>
      </c>
      <c r="AP166" s="96">
        <f>MAX('input site'!AH166:AS166)</f>
        <v>92.144063000000003</v>
      </c>
      <c r="AQ166" s="95" t="str">
        <f>IF(Table12[[#This Row],[Current Policies 2030 incl LULUCF]]&gt;Table12[[#This Row],[Maximum inventory data]],"No","Yes")</f>
        <v>Yes</v>
      </c>
      <c r="AR166" s="34" t="str">
        <f>IF(Table12[[#This Row],[Net-zero target status]]&gt;=1.5,Table12[[#This Row],[residual LULUCF emissions in 2050]]/Table12[[#This Row],[GHG emissions excl LULUCF]],"")</f>
        <v/>
      </c>
      <c r="AS166" s="90">
        <f>'input site'!BE166</f>
        <v>92.286000000000001</v>
      </c>
      <c r="AT166" s="90">
        <f>'input site'!BF166</f>
        <v>92.286000000000001</v>
      </c>
      <c r="AU166" s="90">
        <f>'input site'!BG166</f>
        <v>82.032000000000011</v>
      </c>
      <c r="AV166" s="91">
        <f>'input site'!BH166</f>
        <v>82.032000000000011</v>
      </c>
      <c r="AW166" s="74">
        <f>IF(Table12[[#This Row],[2030 unconditional NDCs]]="","",IF(F166="incl",Table12[[#This Row],[2030 unconditional NDCs]]-Table12[[#This Row],[LULUCF NDC uncond]],Table12[[#This Row],[2030 unconditional NDCs]]))</f>
        <v>36.777000000000001</v>
      </c>
      <c r="AX166" s="74">
        <f>IF(Table12[[#This Row],[2030 unconditional NDCs2]]="","",IF(F166="incl",Table12[[#This Row],[2030 unconditional NDCs2]]-Table12[[#This Row],[LULUCF NDC uncond]],Table12[[#This Row],[2030 unconditional NDCs2]]))</f>
        <v>36.777000000000001</v>
      </c>
      <c r="AY166" s="74">
        <f>IF(Table12[[#This Row],[2030 conditional NDCs]]="","",IF(F166="incl",Table12[[#This Row],[2030 conditional NDCs]]-Table12[[#This Row],[LULUCF NDC cond]],Table12[[#This Row],[2030 conditional NDCs]]))</f>
        <v>26.52300000000001</v>
      </c>
      <c r="AZ166" s="74">
        <f>IF(Table12[[#This Row],[2030 conditional NDCs2]]="","",IF(F166="incl",Table12[[#This Row],[2030 conditional NDCs2]]-Table12[[#This Row],[LULUCF NDC cond]],Table12[[#This Row],[2030 conditional NDCs2]]))</f>
        <v>26.52300000000001</v>
      </c>
      <c r="BA166" s="8">
        <f>VLOOKUP($G166,'Population90 20'!$C$6:$AU$231,37,FALSE)</f>
        <v>7305843</v>
      </c>
      <c r="BB166" s="8">
        <f>VLOOKUP($G166,'Overview GDP (PPP)'!$C$6:$AI$231,33,FALSE)</f>
        <v>83911227.21351175</v>
      </c>
      <c r="BC166" s="36">
        <f>Table12[[#This Row],[Income]]/Table12[[#This Row],[Population]]</f>
        <v>11.485495542884202</v>
      </c>
      <c r="BD166" s="36">
        <f>Table12[[#This Row],[GHG emissions excl LULUCF]]*1000000/Table12[[#This Row],[Population]]</f>
        <v>5.2440683436531561</v>
      </c>
      <c r="BE166" s="23" t="e">
        <f>VLOOKUP($G166,EGR2023_MASTER!$B$4:$S$38,14,FALSE)</f>
        <v>#N/A</v>
      </c>
      <c r="BF166" s="23" t="e">
        <f>VLOOKUP($G166,EGR2023_MASTER!$B$4:$S$38,15,FALSE)</f>
        <v>#N/A</v>
      </c>
      <c r="BG166" s="23" t="e">
        <f>VLOOKUP($G166,EGR2023_MASTER!$B$4:$S$38,16,FALSE)</f>
        <v>#N/A</v>
      </c>
      <c r="BH166" s="23" t="e">
        <f t="shared" si="24"/>
        <v>#N/A</v>
      </c>
      <c r="BI166" s="23" t="e">
        <f t="shared" si="25"/>
        <v>#N/A</v>
      </c>
      <c r="BJ166" s="552">
        <f>(Table12[[#This Row],[Current Policies 2030 excl LULUCF]]/Table12[[#This Row],[GHG emissions excl LULUCF]])^(1/(2030-2021))-1</f>
        <v>-4.4201566203534992E-2</v>
      </c>
      <c r="BK166" s="552" t="str">
        <f>IF(Table12[[#This Row],[Net-zero target status]]&lt;=1,"",IF(Table12[[#This Row],[NZ GHG year]]="","",((MAX(Table12[[#This Row],[residual LULUCF emissions in 2050]],0.1)/Table12[[#This Row],[Current Policies 2030 excl LULUCF]])^(1/(Table12[[#This Row],[NZ GHG year]]-2021))-1)))</f>
        <v/>
      </c>
      <c r="BL166" s="552" t="str">
        <f>IF(Table12[[#This Row],[Net-zero target status]]&lt;=1,"",IF(Table12[[#This Row],[NZ GHG year]]="","",((MAX(Table12[[#This Row],[residual LULUCF emissions in 2050]],0.1)/Table12[[#This Row],[GHG emissions excl LULUCF]])^(1/(Table12[[#This Row],[NZ GHG year]]-2021))-1)))</f>
        <v/>
      </c>
      <c r="BM166" s="552" t="str">
        <f>IF(Table12[[#This Row],[Net-zero target status]]&lt;=1,"",IF(Table12[[#This Row],[NZ GHG year]]="","",((MAX(Table12[[#This Row],[residual LULUCF emissions in 2050]],0.1)/AVERAGE(Table12[[#This Row],[2030 conditional NDCs]:[2030 conditional NDCs2]]))^(1/(Table12[[#This Row],[NZ GHG year]]-2021))-1)))</f>
        <v/>
      </c>
      <c r="BN166" s="23"/>
      <c r="BO166" s="23"/>
      <c r="BP166" s="23"/>
      <c r="BQ166" s="23"/>
      <c r="BR166" s="50" t="s">
        <v>361</v>
      </c>
      <c r="BT166" s="30" t="str">
        <f>IF(Table12[[#This Row],[Reduction rate 2021 to NZ target2]]="","",J166*(1+AN166)^(Table12[[#This Row],[NZ GHG year]]-2021))</f>
        <v/>
      </c>
    </row>
    <row r="167" spans="1:72" ht="15" x14ac:dyDescent="0.25">
      <c r="A167">
        <v>0</v>
      </c>
      <c r="B167">
        <v>0</v>
      </c>
      <c r="C167">
        <v>604</v>
      </c>
      <c r="D167">
        <v>156</v>
      </c>
      <c r="E167">
        <v>6</v>
      </c>
      <c r="F167" t="str">
        <f>'input site'!M167</f>
        <v>incl</v>
      </c>
      <c r="G167" s="31" t="s">
        <v>362</v>
      </c>
      <c r="H167" s="1" t="s">
        <v>363</v>
      </c>
      <c r="I167" s="8">
        <f>VLOOKUP($G167,'NZT data'!$B$3:$C$200,2,FALSE)</f>
        <v>3</v>
      </c>
      <c r="J167" s="32">
        <f>'input site'!AS167</f>
        <v>193.31899318221735</v>
      </c>
      <c r="K167" s="32">
        <f>'input site'!BS167</f>
        <v>190.69759919163565</v>
      </c>
      <c r="L167" s="32">
        <f t="shared" si="26"/>
        <v>0</v>
      </c>
      <c r="M167" s="32">
        <f t="shared" si="27"/>
        <v>0</v>
      </c>
      <c r="N167" s="32">
        <f>'input site'!EV167</f>
        <v>112.92722918023347</v>
      </c>
      <c r="O167" s="8">
        <v>0</v>
      </c>
      <c r="P167" s="36">
        <f>O167-N167</f>
        <v>-112.92722918023347</v>
      </c>
      <c r="Q167" s="32">
        <f t="shared" si="28"/>
        <v>0</v>
      </c>
      <c r="R167" s="32">
        <f>'input site'!EZ167</f>
        <v>66.810715836452033</v>
      </c>
      <c r="S167" s="37">
        <f>'input site'!FA167</f>
        <v>2050</v>
      </c>
      <c r="T167" s="37" t="str">
        <f>Table12[[#This Row],[(Mt CO2 equivalent)]]</f>
        <v>Peru</v>
      </c>
      <c r="U167" s="8">
        <f>VLOOKUP($G167,'NZT data'!$B$3:$F$200,4,FALSE)</f>
        <v>2050</v>
      </c>
      <c r="V167" s="32">
        <f>VLOOKUP($G167,'NZT data'!$B$3:$F$200,5,FALSE)</f>
        <v>2050</v>
      </c>
      <c r="W167" s="32">
        <f>-IF('LUC NGHGI'!EC157="",MIN('LUC NGHGI'!DW157,0.1),MIN('LUC NGHGI'!EC157,0.1))</f>
        <v>-0.1</v>
      </c>
      <c r="X167" s="32">
        <f>'LUC NGHGI'!EC157</f>
        <v>90.240688415579143</v>
      </c>
      <c r="Y167" s="32">
        <f>'LUC NGHGI'!DY157</f>
        <v>44.635013182217342</v>
      </c>
      <c r="Z167" s="32">
        <f>'LUC NGHGI'!DZ157</f>
        <v>44.635013182217342</v>
      </c>
      <c r="AA167" s="32">
        <f>Table12[[#This Row],[2021 emissions]]</f>
        <v>193.31899318221735</v>
      </c>
      <c r="AB167" s="32">
        <f>'LUC NGHGI'!DW157</f>
        <v>89.625013182217344</v>
      </c>
      <c r="AC167" s="32">
        <f>IF(F167="incl",Table12[[#This Row],[GHG emissions incl LULUCF]]-Table12[[#This Row],[LULUCF emis-sions in 20213]],Table12[[#This Row],[GHG emissions incl LULUCF]])</f>
        <v>103.69398000000001</v>
      </c>
      <c r="AD167" s="32">
        <f>'input site'!BS167</f>
        <v>190.69759919163565</v>
      </c>
      <c r="AE167" s="32">
        <f>'LUC NGHGI'!EH157</f>
        <v>66.907486577999691</v>
      </c>
      <c r="AF167" s="32">
        <f>IF(F167="incl",Table12[[#This Row],[Current Policies 2030 incl LULUCF]]-Table12[[#This Row],[LULUCF CurPol 2030]],Table12[[#This Row],[Current Policies 2030 incl LULUCF]])</f>
        <v>123.79011261363596</v>
      </c>
      <c r="AG167" s="32">
        <f>IF(Table12[[#This Row],[Net-zero target status]]&lt;=1,"",IF(Table12[[#This Row],[NZ GHG year]]="","",1000000000*(Table12[[#This Row],[residual LULUCF emissions in 2050]]-Table12[[#This Row],[GHG emissions excl LULUCF]])/(Table12[[#This Row],[NZ GHG year]]-2021)/Table12[[#This Row],[Population]]))</f>
        <v>-106.25462111564832</v>
      </c>
      <c r="AH167" s="32">
        <f>IF(Table12[[#This Row],[Peak revised]]="Yes",IF(Table12[[#This Row],[Net-zero target status]]&lt;=1,"",IF(Table12[[#This Row],[NZ GHG year]]="","",1000000000*(Table12[[#This Row],[residual LULUCF emissions in 2050]]-Table12[[#This Row],[GHG emissions excl LULUCF]])/(Table12[[#This Row],[NZ GHG year]]-2021)/Table12[[#This Row],[Population]])),"")</f>
        <v>-106.25462111564832</v>
      </c>
      <c r="AI167" s="32">
        <f>MAX(0,(1000000*(Table12[[#This Row],[Current Policies 2030 excl LULUCF]]/2+Table12[[#This Row],[GHG emissions excl LULUCF]]/2)/Table12[[#This Row],[Population]]-$AI$8)*10)*$AI$10</f>
        <v>0</v>
      </c>
      <c r="AJ16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7" s="32" t="str">
        <f>IF(Table12[[#This Row],[Formule no Peak (2)]]="","",Table12[[#This Row],[Penalty (1)]]+Table12[[#This Row],[Formule no Peak (2)]])</f>
        <v/>
      </c>
      <c r="AL167" s="313">
        <f>(Table12[[#This Row],[Current Policies 2030 excl LULUCF]]-Table12[[#This Row],[GHG emissions excl LULUCF]])/(2030-2021)/Table12[[#This Row],[GHG emissions excl LULUCF]]</f>
        <v>2.1533589739127834E-2</v>
      </c>
      <c r="AM167" s="313">
        <f>IF(Table12[[#This Row],[Net-zero target status]]&lt;=1,"",IF(Table12[[#This Row],[NZ GHG year]]="","",(Table12[[#This Row],[residual LULUCF emissions in 2050]]-Table12[[#This Row],[Current Policies 2030 excl LULUCF]])/(Table12[[#This Row],[NZ GHG year]]-2030)/Table12[[#This Row],[Current Policies 2030 excl LULUCF]]))</f>
        <v>-5.0040390947987949E-2</v>
      </c>
      <c r="AN167" s="313">
        <f>IF(Table12[[#This Row],[Net-zero target status]]&lt;=1,"",IF(Table12[[#This Row],[NZ GHG year]]="","",(Table12[[#This Row],[residual LULUCF emissions in 2050]]-Table12[[#This Row],[GHG emissions excl LULUCF]])/(Table12[[#This Row],[NZ GHG year]]-2021)/Table12[[#This Row],[GHG emissions excl LULUCF]]))</f>
        <v>-3.4516012970287079E-2</v>
      </c>
      <c r="AO167" s="313">
        <f>IF(Table12[[#This Row],[Net-zero target status]]&lt;=1,"",IF(Table12[[#This Row],[NZ GHG year]]="","",(Table12[[#This Row],[residual LULUCF emissions in 2050]]-Table12[[#This Row],[2030 conditional NDCs]])/(Table12[[#This Row],[NZ GHG year]]-2030)/Table12[[#This Row],[2030 conditional NDCs]]))</f>
        <v>-5.0027932960893855E-2</v>
      </c>
      <c r="AP167" s="96">
        <f>MAX('input site'!AH167:AS167)</f>
        <v>204.67933223753522</v>
      </c>
      <c r="AQ167" s="95" t="str">
        <f>IF(Table12[[#This Row],[Current Policies 2030 incl LULUCF]]&gt;Table12[[#This Row],[Maximum inventory data]],"No","Yes")</f>
        <v>Yes</v>
      </c>
      <c r="AR167" s="34">
        <f>IF(Table12[[#This Row],[Net-zero target status]]&gt;=1.5,Table12[[#This Row],[residual LULUCF emissions in 2050]]/Table12[[#This Row],[GHG emissions excl LULUCF]],"")</f>
        <v>-9.6437613832548428E-4</v>
      </c>
      <c r="AS167" s="76">
        <f>'input site'!BE167</f>
        <v>208.8</v>
      </c>
      <c r="AT167" s="76">
        <f>'input site'!BF167</f>
        <v>208.8</v>
      </c>
      <c r="AU167" s="76">
        <f>'input site'!BG167</f>
        <v>179</v>
      </c>
      <c r="AV167" s="77">
        <f>'input site'!BH167</f>
        <v>179</v>
      </c>
      <c r="AW167" s="74">
        <f>IF(Table12[[#This Row],[2030 unconditional NDCs]]="","",IF(F167="incl",Table12[[#This Row],[2030 unconditional NDCs]]-Table12[[#This Row],[LULUCF NDC uncond]],Table12[[#This Row],[2030 unconditional NDCs]]))</f>
        <v>164.16498681778268</v>
      </c>
      <c r="AX167" s="74">
        <f>IF(Table12[[#This Row],[2030 unconditional NDCs2]]="","",IF(F167="incl",Table12[[#This Row],[2030 unconditional NDCs2]]-Table12[[#This Row],[LULUCF NDC uncond]],Table12[[#This Row],[2030 unconditional NDCs2]]))</f>
        <v>164.16498681778268</v>
      </c>
      <c r="AY167" s="74">
        <f>IF(Table12[[#This Row],[2030 conditional NDCs]]="","",IF(F167="incl",Table12[[#This Row],[2030 conditional NDCs]]-Table12[[#This Row],[LULUCF NDC cond]],Table12[[#This Row],[2030 conditional NDCs]]))</f>
        <v>134.36498681778266</v>
      </c>
      <c r="AZ167" s="74">
        <f>IF(Table12[[#This Row],[2030 conditional NDCs2]]="","",IF(F167="incl",Table12[[#This Row],[2030 conditional NDCs2]]-Table12[[#This Row],[LULUCF NDC cond]],Table12[[#This Row],[2030 conditional NDCs2]]))</f>
        <v>134.36498681778266</v>
      </c>
      <c r="BA167" s="8">
        <f>VLOOKUP($G167,'Population90 20'!$C$6:$AU$231,37,FALSE)</f>
        <v>33684208</v>
      </c>
      <c r="BB167" s="8">
        <f>VLOOKUP($G167,'Overview GDP (PPP)'!$C$6:$AI$231,33,FALSE)</f>
        <v>409277345.77341658</v>
      </c>
      <c r="BC167" s="36">
        <f>Table12[[#This Row],[Income]]/Table12[[#This Row],[Population]]</f>
        <v>12.150422113929963</v>
      </c>
      <c r="BD167" s="36">
        <f>Table12[[#This Row],[GHG emissions excl LULUCF]]*1000000/Table12[[#This Row],[Population]]</f>
        <v>3.0784152621311449</v>
      </c>
      <c r="BE167" s="23" t="e">
        <f>VLOOKUP($G167,EGR2023_MASTER!$B$4:$S$38,14,FALSE)</f>
        <v>#N/A</v>
      </c>
      <c r="BF167" s="23" t="e">
        <f>VLOOKUP($G167,EGR2023_MASTER!$B$4:$S$38,15,FALSE)</f>
        <v>#N/A</v>
      </c>
      <c r="BG167" s="23" t="e">
        <f>VLOOKUP($G167,EGR2023_MASTER!$B$4:$S$38,16,FALSE)</f>
        <v>#N/A</v>
      </c>
      <c r="BH167" s="23" t="e">
        <f t="shared" si="24"/>
        <v>#N/A</v>
      </c>
      <c r="BI167" s="23" t="e">
        <f t="shared" si="25"/>
        <v>#N/A</v>
      </c>
      <c r="BJ167" s="552">
        <f>(Table12[[#This Row],[Current Policies 2030 excl LULUCF]]/Table12[[#This Row],[GHG emissions excl LULUCF]])^(1/(2030-2021))-1</f>
        <v>1.9877582879756384E-2</v>
      </c>
      <c r="BK167" s="552">
        <f>IF(Table12[[#This Row],[Net-zero target status]]&lt;=1,"",IF(Table12[[#This Row],[NZ GHG year]]="","",((MAX(Table12[[#This Row],[residual LULUCF emissions in 2050]],0.1)/Table12[[#This Row],[Current Policies 2030 excl LULUCF]])^(1/(Table12[[#This Row],[NZ GHG year]]-2021))-1)))</f>
        <v>-0.21773183507259553</v>
      </c>
      <c r="BL167" s="552">
        <f>IF(Table12[[#This Row],[Net-zero target status]]&lt;=1,"",IF(Table12[[#This Row],[NZ GHG year]]="","",((MAX(Table12[[#This Row],[residual LULUCF emissions in 2050]],0.1)/Table12[[#This Row],[GHG emissions excl LULUCF]])^(1/(Table12[[#This Row],[NZ GHG year]]-2021))-1)))</f>
        <v>-0.21293880886227468</v>
      </c>
      <c r="BM167" s="552">
        <f>IF(Table12[[#This Row],[Net-zero target status]]&lt;=1,"",IF(Table12[[#This Row],[NZ GHG year]]="","",((MAX(Table12[[#This Row],[residual LULUCF emissions in 2050]],0.1)/AVERAGE(Table12[[#This Row],[2030 conditional NDCs]:[2030 conditional NDCs2]]))^(1/(Table12[[#This Row],[NZ GHG year]]-2021))-1)))</f>
        <v>-0.22761709314083312</v>
      </c>
      <c r="BN167" s="23"/>
      <c r="BO167" s="23"/>
      <c r="BP167" s="23"/>
      <c r="BQ167" s="23"/>
      <c r="BR167" s="50" t="s">
        <v>363</v>
      </c>
      <c r="BT167" s="30">
        <f>IF(Table12[[#This Row],[Reduction rate 2021 to NZ target2]]="","",J167*(1+AN167)^(Table12[[#This Row],[NZ GHG year]]-2021))</f>
        <v>69.804224374023818</v>
      </c>
    </row>
    <row r="168" spans="1:72" ht="15" x14ac:dyDescent="0.25">
      <c r="A168">
        <v>0</v>
      </c>
      <c r="B168">
        <v>0</v>
      </c>
      <c r="C168">
        <v>608</v>
      </c>
      <c r="D168">
        <v>157</v>
      </c>
      <c r="E168">
        <v>21</v>
      </c>
      <c r="F168" t="str">
        <f>'input site'!M168</f>
        <v>excl</v>
      </c>
      <c r="G168" s="31" t="s">
        <v>364</v>
      </c>
      <c r="H168" s="1" t="s">
        <v>365</v>
      </c>
      <c r="I168" s="8">
        <f>VLOOKUP($G168,'NZT data'!$B$3:$C$200,2,FALSE)</f>
        <v>0</v>
      </c>
      <c r="J168" s="32">
        <f>'input site'!AS168</f>
        <v>248.530371</v>
      </c>
      <c r="K168" s="32">
        <f>'input site'!BS168</f>
        <v>287.337594999999</v>
      </c>
      <c r="L168" s="32">
        <f t="shared" si="26"/>
        <v>287.337594999999</v>
      </c>
      <c r="M168" s="32">
        <f t="shared" si="27"/>
        <v>74.036602841160686</v>
      </c>
      <c r="N168" s="32">
        <f>'input site'!EV168</f>
        <v>74.036602841160686</v>
      </c>
      <c r="O168" s="8"/>
      <c r="P168" s="8"/>
      <c r="Q168" s="32">
        <f t="shared" si="28"/>
        <v>4.9711685494538473</v>
      </c>
      <c r="R168" s="32">
        <f>'input site'!EZ168</f>
        <v>4.9711685494538473</v>
      </c>
      <c r="S168" s="37">
        <f>'input site'!FA168</f>
        <v>0</v>
      </c>
      <c r="T168" s="37" t="str">
        <f>Table12[[#This Row],[(Mt CO2 equivalent)]]</f>
        <v>Philippines</v>
      </c>
      <c r="U168" s="8">
        <f>VLOOKUP($G168,'NZT data'!$B$3:$F$200,4,FALSE)</f>
        <v>2110</v>
      </c>
      <c r="V168" s="32" t="str">
        <f>VLOOKUP($G168,'NZT data'!$B$3:$F$200,5,FALSE)</f>
        <v/>
      </c>
      <c r="W168" s="32">
        <f>-IF('LUC NGHGI'!EC158="",MIN('LUC NGHGI'!DW158,0.1),MIN('LUC NGHGI'!EC158,0.1))</f>
        <v>311.89976999999271</v>
      </c>
      <c r="X168" s="32">
        <f>'LUC NGHGI'!EC158</f>
        <v>-311.89976999999271</v>
      </c>
      <c r="Y168" s="32">
        <f>'LUC NGHGI'!DY158</f>
        <v>-311.89976999999271</v>
      </c>
      <c r="Z168" s="32">
        <f>'LUC NGHGI'!DZ158</f>
        <v>-311.89976999999271</v>
      </c>
      <c r="AA168" s="32">
        <f>Table12[[#This Row],[2021 emissions]]</f>
        <v>248.530371</v>
      </c>
      <c r="AB168" s="32">
        <f>'LUC NGHGI'!DW158</f>
        <v>-323.03452999999354</v>
      </c>
      <c r="AC168" s="32">
        <f>IF(F168="incl",Table12[[#This Row],[GHG emissions incl LULUCF]]-Table12[[#This Row],[LULUCF emis-sions in 20213]],Table12[[#This Row],[GHG emissions incl LULUCF]])</f>
        <v>248.530371</v>
      </c>
      <c r="AD168" s="32">
        <f>'input site'!BS168</f>
        <v>287.337594999999</v>
      </c>
      <c r="AE168" s="32">
        <f>'LUC NGHGI'!EH158</f>
        <v>-346.70299118614486</v>
      </c>
      <c r="AF168" s="32">
        <f>IF(F168="incl",Table12[[#This Row],[Current Policies 2030 incl LULUCF]]-Table12[[#This Row],[LULUCF CurPol 2030]],Table12[[#This Row],[Current Policies 2030 incl LULUCF]])</f>
        <v>287.337594999999</v>
      </c>
      <c r="AG168" s="32" t="str">
        <f>IF(Table12[[#This Row],[Net-zero target status]]&lt;=1,"",IF(Table12[[#This Row],[NZ GHG year]]="","",1000000000*(Table12[[#This Row],[residual LULUCF emissions in 2050]]-Table12[[#This Row],[GHG emissions excl LULUCF]])/(Table12[[#This Row],[NZ GHG year]]-2021)/Table12[[#This Row],[Population]]))</f>
        <v/>
      </c>
      <c r="AH168" s="32" t="str">
        <f>IF(Table12[[#This Row],[Peak revised]]="Yes",IF(Table12[[#This Row],[Net-zero target status]]&lt;=1,"",IF(Table12[[#This Row],[NZ GHG year]]="","",1000000000*(Table12[[#This Row],[residual LULUCF emissions in 2050]]-Table12[[#This Row],[GHG emissions excl LULUCF]])/(Table12[[#This Row],[NZ GHG year]]-2021)/Table12[[#This Row],[Population]])),"")</f>
        <v/>
      </c>
      <c r="AI168" s="32">
        <f>MAX(0,(1000000*(Table12[[#This Row],[Current Policies 2030 excl LULUCF]]/2+Table12[[#This Row],[GHG emissions excl LULUCF]]/2)/Table12[[#This Row],[Population]]-$AI$8)*10)*$AI$10</f>
        <v>0</v>
      </c>
      <c r="AJ16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8" s="32" t="str">
        <f>IF(Table12[[#This Row],[Formule no Peak (2)]]="","",Table12[[#This Row],[Penalty (1)]]+Table12[[#This Row],[Formule no Peak (2)]])</f>
        <v/>
      </c>
      <c r="AL168" s="313">
        <f>(Table12[[#This Row],[Current Policies 2030 excl LULUCF]]-Table12[[#This Row],[GHG emissions excl LULUCF]])/(2030-2021)/Table12[[#This Row],[GHG emissions excl LULUCF]]</f>
        <v>1.7349645278474501E-2</v>
      </c>
      <c r="AM168" s="313" t="str">
        <f>IF(Table12[[#This Row],[Net-zero target status]]&lt;=1,"",IF(Table12[[#This Row],[NZ GHG year]]="","",(Table12[[#This Row],[residual LULUCF emissions in 2050]]-Table12[[#This Row],[Current Policies 2030 excl LULUCF]])/(Table12[[#This Row],[NZ GHG year]]-2030)/Table12[[#This Row],[Current Policies 2030 excl LULUCF]]))</f>
        <v/>
      </c>
      <c r="AN168" s="313" t="str">
        <f>IF(Table12[[#This Row],[Net-zero target status]]&lt;=1,"",IF(Table12[[#This Row],[NZ GHG year]]="","",(Table12[[#This Row],[residual LULUCF emissions in 2050]]-Table12[[#This Row],[GHG emissions excl LULUCF]])/(Table12[[#This Row],[NZ GHG year]]-2021)/Table12[[#This Row],[GHG emissions excl LULUCF]]))</f>
        <v/>
      </c>
      <c r="AO168" s="313" t="str">
        <f>IF(Table12[[#This Row],[Net-zero target status]]&lt;=1,"",IF(Table12[[#This Row],[NZ GHG year]]="","",(Table12[[#This Row],[residual LULUCF emissions in 2050]]-Table12[[#This Row],[2030 conditional NDCs]])/(Table12[[#This Row],[NZ GHG year]]-2030)/Table12[[#This Row],[2030 conditional NDCs]]))</f>
        <v/>
      </c>
      <c r="AP168" s="96">
        <f>MAX('input site'!AH168:AS168)</f>
        <v>248.530371</v>
      </c>
      <c r="AQ168" s="95" t="str">
        <f>IF(Table12[[#This Row],[Current Policies 2030 incl LULUCF]]&gt;Table12[[#This Row],[Maximum inventory data]],"No","Yes")</f>
        <v>No</v>
      </c>
      <c r="AR168" s="34" t="str">
        <f>IF(Table12[[#This Row],[Net-zero target status]]&gt;=1.5,Table12[[#This Row],[residual LULUCF emissions in 2050]]/Table12[[#This Row],[GHG emissions excl LULUCF]],"")</f>
        <v/>
      </c>
      <c r="AS168" s="74" t="str">
        <f>'input site'!BE168</f>
        <v/>
      </c>
      <c r="AT168" s="74"/>
      <c r="AU168" s="92">
        <f>'input site'!BG168</f>
        <v>96.000000000000014</v>
      </c>
      <c r="AV168" s="93">
        <f>'input site'!BH168</f>
        <v>96.000000000000014</v>
      </c>
      <c r="AW168" s="74" t="str">
        <f>IF(Table12[[#This Row],[2030 unconditional NDCs]]="","",IF(F168="incl",Table12[[#This Row],[2030 unconditional NDCs]]-Table12[[#This Row],[LULUCF NDC uncond]],Table12[[#This Row],[2030 unconditional NDCs]]))</f>
        <v/>
      </c>
      <c r="AX168" s="74" t="str">
        <f>IF(Table12[[#This Row],[2030 unconditional NDCs2]]="","",IF(F168="incl",Table12[[#This Row],[2030 unconditional NDCs2]]-Table12[[#This Row],[LULUCF NDC uncond]],Table12[[#This Row],[2030 unconditional NDCs2]]))</f>
        <v/>
      </c>
      <c r="AY168" s="74">
        <f>IF(Table12[[#This Row],[2030 conditional NDCs]]="","",IF(F168="incl",Table12[[#This Row],[2030 conditional NDCs]]-Table12[[#This Row],[LULUCF NDC cond]],Table12[[#This Row],[2030 conditional NDCs]]))</f>
        <v>96.000000000000014</v>
      </c>
      <c r="AZ168" s="74">
        <f>IF(Table12[[#This Row],[2030 conditional NDCs2]]="","",IF(F168="incl",Table12[[#This Row],[2030 conditional NDCs2]]-Table12[[#This Row],[LULUCF NDC cond]],Table12[[#This Row],[2030 conditional NDCs2]]))</f>
        <v>96.000000000000014</v>
      </c>
      <c r="BA168" s="8">
        <f>VLOOKUP($G168,'Population90 20'!$C$6:$AU$231,37,FALSE)</f>
        <v>112508994</v>
      </c>
      <c r="BB168" s="8">
        <f>VLOOKUP($G168,'Overview GDP (PPP)'!$C$6:$AI$231,33,FALSE)</f>
        <v>847083941.73837471</v>
      </c>
      <c r="BC168" s="36">
        <f>Table12[[#This Row],[Income]]/Table12[[#This Row],[Population]]</f>
        <v>7.5290331165735491</v>
      </c>
      <c r="BD168" s="36">
        <f>Table12[[#This Row],[GHG emissions excl LULUCF]]*1000000/Table12[[#This Row],[Population]]</f>
        <v>2.2089822525655149</v>
      </c>
      <c r="BE168" s="23" t="e">
        <f>VLOOKUP($G168,EGR2023_MASTER!$B$4:$S$38,14,FALSE)</f>
        <v>#N/A</v>
      </c>
      <c r="BF168" s="23" t="e">
        <f>VLOOKUP($G168,EGR2023_MASTER!$B$4:$S$38,15,FALSE)</f>
        <v>#N/A</v>
      </c>
      <c r="BG168" s="23" t="e">
        <f>VLOOKUP($G168,EGR2023_MASTER!$B$4:$S$38,16,FALSE)</f>
        <v>#N/A</v>
      </c>
      <c r="BH168" s="23" t="e">
        <f t="shared" si="24"/>
        <v>#N/A</v>
      </c>
      <c r="BI168" s="23" t="e">
        <f t="shared" si="25"/>
        <v>#N/A</v>
      </c>
      <c r="BJ168" s="552">
        <f>(Table12[[#This Row],[Current Policies 2030 excl LULUCF]]/Table12[[#This Row],[GHG emissions excl LULUCF]])^(1/(2030-2021))-1</f>
        <v>1.6252068791332119E-2</v>
      </c>
      <c r="BK168" s="552" t="str">
        <f>IF(Table12[[#This Row],[Net-zero target status]]&lt;=1,"",IF(Table12[[#This Row],[NZ GHG year]]="","",((MAX(Table12[[#This Row],[residual LULUCF emissions in 2050]],0.1)/Table12[[#This Row],[Current Policies 2030 excl LULUCF]])^(1/(Table12[[#This Row],[NZ GHG year]]-2021))-1)))</f>
        <v/>
      </c>
      <c r="BL168" s="552" t="str">
        <f>IF(Table12[[#This Row],[Net-zero target status]]&lt;=1,"",IF(Table12[[#This Row],[NZ GHG year]]="","",((MAX(Table12[[#This Row],[residual LULUCF emissions in 2050]],0.1)/Table12[[#This Row],[GHG emissions excl LULUCF]])^(1/(Table12[[#This Row],[NZ GHG year]]-2021))-1)))</f>
        <v/>
      </c>
      <c r="BM168" s="552" t="str">
        <f>IF(Table12[[#This Row],[Net-zero target status]]&lt;=1,"",IF(Table12[[#This Row],[NZ GHG year]]="","",((MAX(Table12[[#This Row],[residual LULUCF emissions in 2050]],0.1)/AVERAGE(Table12[[#This Row],[2030 conditional NDCs]:[2030 conditional NDCs2]]))^(1/(Table12[[#This Row],[NZ GHG year]]-2021))-1)))</f>
        <v/>
      </c>
      <c r="BN168" s="23"/>
      <c r="BO168" s="23"/>
      <c r="BP168" s="23"/>
      <c r="BQ168" s="23"/>
      <c r="BR168" s="50" t="s">
        <v>365</v>
      </c>
      <c r="BT168" s="30" t="str">
        <f>IF(Table12[[#This Row],[Reduction rate 2021 to NZ target2]]="","",J168*(1+AN168)^(Table12[[#This Row],[NZ GHG year]]-2021))</f>
        <v/>
      </c>
    </row>
    <row r="169" spans="1:72" ht="15" x14ac:dyDescent="0.25">
      <c r="A169">
        <v>0</v>
      </c>
      <c r="B169">
        <v>0</v>
      </c>
      <c r="C169">
        <v>612</v>
      </c>
      <c r="D169">
        <v>158</v>
      </c>
      <c r="E169">
        <v>24</v>
      </c>
      <c r="F169" t="str">
        <f>'input site'!M169</f>
        <v>excl</v>
      </c>
      <c r="G169" s="31" t="s">
        <v>366</v>
      </c>
      <c r="H169" s="1" t="s">
        <v>367</v>
      </c>
      <c r="I169" s="8">
        <v>0</v>
      </c>
      <c r="J169" s="32">
        <f>'input site'!AS169</f>
        <v>0</v>
      </c>
      <c r="K169" s="32">
        <f>'input site'!BS169</f>
        <v>0</v>
      </c>
      <c r="L169" s="32">
        <f t="shared" si="26"/>
        <v>0</v>
      </c>
      <c r="M169" s="32">
        <f t="shared" si="27"/>
        <v>0</v>
      </c>
      <c r="N169" s="32">
        <f>'input site'!EV169</f>
        <v>0</v>
      </c>
      <c r="O169" s="8"/>
      <c r="P169" s="8"/>
      <c r="Q169" s="32">
        <f t="shared" si="28"/>
        <v>0</v>
      </c>
      <c r="R169" s="32">
        <f>'input site'!EZ169</f>
        <v>0</v>
      </c>
      <c r="S169" s="37">
        <f>'input site'!FA169</f>
        <v>0</v>
      </c>
      <c r="T169" s="37" t="str">
        <f>Table12[[#This Row],[(Mt CO2 equivalent)]]</f>
        <v>Pitcairn</v>
      </c>
      <c r="U169" s="35">
        <v>2100</v>
      </c>
      <c r="V169" s="35">
        <v>2100</v>
      </c>
      <c r="W169" s="32">
        <f>-IF('LUC NGHGI'!EC159="",MIN('LUC NGHGI'!DW159,0.1),MIN('LUC NGHGI'!EC159,0.1))</f>
        <v>0</v>
      </c>
      <c r="X169" s="32" t="str">
        <f>'LUC NGHGI'!EC159</f>
        <v/>
      </c>
      <c r="Y169" s="32" t="str">
        <f>'LUC NGHGI'!DY159</f>
        <v/>
      </c>
      <c r="Z169" s="32" t="str">
        <f>'LUC NGHGI'!DZ159</f>
        <v/>
      </c>
      <c r="AA169" s="32">
        <f>Table12[[#This Row],[2021 emissions]]</f>
        <v>0</v>
      </c>
      <c r="AB169" s="32">
        <f>'LUC NGHGI'!DW159</f>
        <v>0</v>
      </c>
      <c r="AC169" s="32">
        <f>IF(F169="incl",Table12[[#This Row],[GHG emissions incl LULUCF]]-Table12[[#This Row],[LULUCF emis-sions in 20213]],Table12[[#This Row],[GHG emissions incl LULUCF]])</f>
        <v>0</v>
      </c>
      <c r="AD169" s="32">
        <f>'input site'!BS169</f>
        <v>0</v>
      </c>
      <c r="AE169" s="32">
        <f>'LUC NGHGI'!EH159</f>
        <v>0</v>
      </c>
      <c r="AF169" s="32">
        <f>IF(F169="incl",Table12[[#This Row],[Current Policies 2030 incl LULUCF]]-Table12[[#This Row],[LULUCF CurPol 2030]],Table12[[#This Row],[Current Policies 2030 incl LULUCF]])</f>
        <v>0</v>
      </c>
      <c r="AG169" s="32" t="str">
        <f>IF(Table12[[#This Row],[Net-zero target status]]&lt;=1,"",IF(Table12[[#This Row],[NZ GHG year]]="","",1000000000*(Table12[[#This Row],[residual LULUCF emissions in 2050]]-Table12[[#This Row],[GHG emissions excl LULUCF]])/(Table12[[#This Row],[NZ GHG year]]-2021)/Table12[[#This Row],[Population]]))</f>
        <v/>
      </c>
      <c r="AH169" s="32" t="str">
        <f>IF(Table12[[#This Row],[Peak revised]]="Yes",IF(Table12[[#This Row],[Net-zero target status]]&lt;=1,"",IF(Table12[[#This Row],[NZ GHG year]]="","",1000000000*(Table12[[#This Row],[residual LULUCF emissions in 2050]]-Table12[[#This Row],[GHG emissions excl LULUCF]])/(Table12[[#This Row],[NZ GHG year]]-2021)/Table12[[#This Row],[Population]])),"")</f>
        <v/>
      </c>
      <c r="AI169" s="32" t="e">
        <f>MAX(0,(1000000*(Table12[[#This Row],[Current Policies 2030 excl LULUCF]]/2+Table12[[#This Row],[GHG emissions excl LULUCF]]/2)/Table12[[#This Row],[Population]]-$AI$8)*10)*$AI$10</f>
        <v>#DIV/0!</v>
      </c>
      <c r="AJ16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69" s="32" t="str">
        <f>IF(Table12[[#This Row],[Formule no Peak (2)]]="","",Table12[[#This Row],[Penalty (1)]]+Table12[[#This Row],[Formule no Peak (2)]])</f>
        <v/>
      </c>
      <c r="AL169" s="313" t="e">
        <f>(Table12[[#This Row],[Current Policies 2030 excl LULUCF]]-Table12[[#This Row],[GHG emissions excl LULUCF]])/(2030-2021)/Table12[[#This Row],[GHG emissions excl LULUCF]]</f>
        <v>#DIV/0!</v>
      </c>
      <c r="AM169" s="313" t="str">
        <f>IF(Table12[[#This Row],[Net-zero target status]]&lt;=1,"",IF(Table12[[#This Row],[NZ GHG year]]="","",(Table12[[#This Row],[residual LULUCF emissions in 2050]]-Table12[[#This Row],[Current Policies 2030 excl LULUCF]])/(Table12[[#This Row],[NZ GHG year]]-2030)/Table12[[#This Row],[Current Policies 2030 excl LULUCF]]))</f>
        <v/>
      </c>
      <c r="AN169" s="313" t="str">
        <f>IF(Table12[[#This Row],[Net-zero target status]]&lt;=1,"",IF(Table12[[#This Row],[NZ GHG year]]="","",(Table12[[#This Row],[residual LULUCF emissions in 2050]]-Table12[[#This Row],[GHG emissions excl LULUCF]])/(Table12[[#This Row],[NZ GHG year]]-2021)/Table12[[#This Row],[GHG emissions excl LULUCF]]))</f>
        <v/>
      </c>
      <c r="AO169" s="313" t="str">
        <f>IF(Table12[[#This Row],[Net-zero target status]]&lt;=1,"",IF(Table12[[#This Row],[NZ GHG year]]="","",(Table12[[#This Row],[residual LULUCF emissions in 2050]]-Table12[[#This Row],[2030 conditional NDCs]])/(Table12[[#This Row],[NZ GHG year]]-2030)/Table12[[#This Row],[2030 conditional NDCs]]))</f>
        <v/>
      </c>
      <c r="AP169" s="96">
        <f>MAX('input site'!AH169:AS169)</f>
        <v>0</v>
      </c>
      <c r="AQ169" s="95" t="str">
        <f>IF(Table12[[#This Row],[Current Policies 2030 incl LULUCF]]&gt;Table12[[#This Row],[Maximum inventory data]],"No","Yes")</f>
        <v>Yes</v>
      </c>
      <c r="AR169" s="34" t="str">
        <f>IF(Table12[[#This Row],[Net-zero target status]]&gt;=1.5,Table12[[#This Row],[residual LULUCF emissions in 2050]]/Table12[[#This Row],[GHG emissions excl LULUCF]],"")</f>
        <v/>
      </c>
      <c r="AS169" s="74" t="str">
        <f>'input site'!BE169</f>
        <v/>
      </c>
      <c r="AT169" s="74"/>
      <c r="AU169" s="74"/>
      <c r="AV169" s="75"/>
      <c r="AW169" s="74" t="str">
        <f>IF(Table12[[#This Row],[2030 unconditional NDCs]]="","",IF(F169="incl",Table12[[#This Row],[2030 unconditional NDCs]]-Table12[[#This Row],[LULUCF NDC uncond]],Table12[[#This Row],[2030 unconditional NDCs]]))</f>
        <v/>
      </c>
      <c r="AX169" s="74" t="str">
        <f>IF(Table12[[#This Row],[2030 unconditional NDCs2]]="","",IF(F169="incl",Table12[[#This Row],[2030 unconditional NDCs2]]-Table12[[#This Row],[LULUCF NDC uncond]],Table12[[#This Row],[2030 unconditional NDCs2]]))</f>
        <v/>
      </c>
      <c r="AY169" s="74" t="str">
        <f>IF(Table12[[#This Row],[2030 conditional NDCs]]="","",IF(F169="incl",Table12[[#This Row],[2030 conditional NDCs]]-Table12[[#This Row],[LULUCF NDC cond]],Table12[[#This Row],[2030 conditional NDCs]]))</f>
        <v/>
      </c>
      <c r="AZ169" s="74" t="str">
        <f>IF(Table12[[#This Row],[2030 conditional NDCs2]]="","",IF(F169="incl",Table12[[#This Row],[2030 conditional NDCs2]]-Table12[[#This Row],[LULUCF NDC cond]],Table12[[#This Row],[2030 conditional NDCs2]]))</f>
        <v/>
      </c>
      <c r="BA169" s="8"/>
      <c r="BB169" s="8"/>
      <c r="BC169" s="36"/>
      <c r="BD169" s="36" t="e">
        <f>Table12[[#This Row],[GHG emissions excl LULUCF]]*1000000/Table12[[#This Row],[Population]]</f>
        <v>#DIV/0!</v>
      </c>
      <c r="BE169" s="23" t="e">
        <f>VLOOKUP($G169,EGR2023_MASTER!$B$4:$S$38,14,FALSE)</f>
        <v>#N/A</v>
      </c>
      <c r="BF169" s="23" t="e">
        <f>VLOOKUP($G169,EGR2023_MASTER!$B$4:$S$38,15,FALSE)</f>
        <v>#N/A</v>
      </c>
      <c r="BG169" s="23" t="e">
        <f>VLOOKUP($G169,EGR2023_MASTER!$B$4:$S$38,16,FALSE)</f>
        <v>#N/A</v>
      </c>
      <c r="BH169" s="23" t="e">
        <f t="shared" si="24"/>
        <v>#N/A</v>
      </c>
      <c r="BI169" s="23" t="e">
        <f t="shared" si="25"/>
        <v>#N/A</v>
      </c>
      <c r="BJ169" s="552" t="e">
        <f>(Table12[[#This Row],[Current Policies 2030 excl LULUCF]]/Table12[[#This Row],[GHG emissions excl LULUCF]])^(1/(2030-2021))-1</f>
        <v>#DIV/0!</v>
      </c>
      <c r="BK169" s="552" t="str">
        <f>IF(Table12[[#This Row],[Net-zero target status]]&lt;=1,"",IF(Table12[[#This Row],[NZ GHG year]]="","",((MAX(Table12[[#This Row],[residual LULUCF emissions in 2050]],0.1)/Table12[[#This Row],[Current Policies 2030 excl LULUCF]])^(1/(Table12[[#This Row],[NZ GHG year]]-2021))-1)))</f>
        <v/>
      </c>
      <c r="BL169" s="552" t="str">
        <f>IF(Table12[[#This Row],[Net-zero target status]]&lt;=1,"",IF(Table12[[#This Row],[NZ GHG year]]="","",((MAX(Table12[[#This Row],[residual LULUCF emissions in 2050]],0.1)/Table12[[#This Row],[GHG emissions excl LULUCF]])^(1/(Table12[[#This Row],[NZ GHG year]]-2021))-1)))</f>
        <v/>
      </c>
      <c r="BM169" s="552" t="str">
        <f>IF(Table12[[#This Row],[Net-zero target status]]&lt;=1,"",IF(Table12[[#This Row],[NZ GHG year]]="","",((MAX(Table12[[#This Row],[residual LULUCF emissions in 2050]],0.1)/AVERAGE(Table12[[#This Row],[2030 conditional NDCs]:[2030 conditional NDCs2]]))^(1/(Table12[[#This Row],[NZ GHG year]]-2021))-1)))</f>
        <v/>
      </c>
      <c r="BN169" s="23"/>
      <c r="BO169" s="23"/>
      <c r="BP169" s="23"/>
      <c r="BQ169" s="23"/>
      <c r="BR169" s="50" t="s">
        <v>367</v>
      </c>
      <c r="BT169" s="30" t="str">
        <f>IF(Table12[[#This Row],[Reduction rate 2021 to NZ target2]]="","",J169*(1+AN169)^(Table12[[#This Row],[NZ GHG year]]-2021))</f>
        <v/>
      </c>
    </row>
    <row r="170" spans="1:72" ht="15" x14ac:dyDescent="0.25">
      <c r="A170">
        <v>0</v>
      </c>
      <c r="B170">
        <v>0</v>
      </c>
      <c r="C170">
        <v>616</v>
      </c>
      <c r="D170">
        <v>159</v>
      </c>
      <c r="E170">
        <v>12</v>
      </c>
      <c r="F170" t="str">
        <f>'input site'!M170</f>
        <v>incl</v>
      </c>
      <c r="G170" s="31" t="s">
        <v>368</v>
      </c>
      <c r="H170" s="1" t="s">
        <v>369</v>
      </c>
      <c r="I170" s="8">
        <f>VLOOKUP($G170,'NZT data'!$B$3:$C$200,2,FALSE)</f>
        <v>0</v>
      </c>
      <c r="J170" s="32">
        <f>'input site'!AS170</f>
        <v>377.42414705168721</v>
      </c>
      <c r="K170" s="32">
        <f>'input site'!BS170</f>
        <v>193.38956521867036</v>
      </c>
      <c r="L170" s="32">
        <f t="shared" si="26"/>
        <v>193.38956521867036</v>
      </c>
      <c r="M170" s="32">
        <f t="shared" si="27"/>
        <v>84.208581698443609</v>
      </c>
      <c r="N170" s="32">
        <f>'input site'!EV170</f>
        <v>84.208581698443609</v>
      </c>
      <c r="O170" s="8"/>
      <c r="P170" s="8"/>
      <c r="Q170" s="32">
        <f t="shared" si="28"/>
        <v>41.080679870364271</v>
      </c>
      <c r="R170" s="32">
        <f>'input site'!EZ170</f>
        <v>41.080679870364271</v>
      </c>
      <c r="S170" s="37">
        <f>'input site'!FA170</f>
        <v>0</v>
      </c>
      <c r="T170" s="37" t="str">
        <f>Table12[[#This Row],[(Mt CO2 equivalent)]]</f>
        <v>Poland</v>
      </c>
      <c r="U170" s="8">
        <f>VLOOKUP($G170,'NZT data'!$B$3:$F$200,4,FALSE)</f>
        <v>2110</v>
      </c>
      <c r="V170" s="32" t="str">
        <f>VLOOKUP($G170,'NZT data'!$B$3:$F$200,5,FALSE)</f>
        <v/>
      </c>
      <c r="W170" s="32">
        <f>-IF('LUC NGHGI'!EC160="",MIN('LUC NGHGI'!DW160,0.1),MIN('LUC NGHGI'!EC160,0.1))</f>
        <v>18.95784971577017</v>
      </c>
      <c r="X170" s="32">
        <f>'LUC NGHGI'!EC160</f>
        <v>-18.95784971577017</v>
      </c>
      <c r="Y170" s="32">
        <f>'LUC NGHGI'!DY160</f>
        <v>-18.95784971577017</v>
      </c>
      <c r="Z170" s="32">
        <f>'LUC NGHGI'!DZ160</f>
        <v>-18.95784971577017</v>
      </c>
      <c r="AA170" s="32">
        <f>Table12[[#This Row],[2021 emissions]]</f>
        <v>377.42414705168721</v>
      </c>
      <c r="AB170" s="32">
        <f>'LUC NGHGI'!DW160</f>
        <v>-20.094722948312796</v>
      </c>
      <c r="AC170" s="32">
        <f>IF(F170="incl",Table12[[#This Row],[GHG emissions incl LULUCF]]-Table12[[#This Row],[LULUCF emis-sions in 20213]],Table12[[#This Row],[GHG emissions incl LULUCF]])</f>
        <v>397.51886999999999</v>
      </c>
      <c r="AD170" s="32">
        <f>'input site'!BS170</f>
        <v>193.38956521867036</v>
      </c>
      <c r="AE170" s="32">
        <f>'LUC NGHGI'!EH160</f>
        <v>-21.518126515833341</v>
      </c>
      <c r="AF170" s="32">
        <f>IF(F170="incl",Table12[[#This Row],[Current Policies 2030 incl LULUCF]]-Table12[[#This Row],[LULUCF CurPol 2030]],Table12[[#This Row],[Current Policies 2030 incl LULUCF]])</f>
        <v>214.90769173450369</v>
      </c>
      <c r="AG170" s="32" t="str">
        <f>IF(Table12[[#This Row],[Net-zero target status]]&lt;=1,"",IF(Table12[[#This Row],[NZ GHG year]]="","",1000000000*(Table12[[#This Row],[residual LULUCF emissions in 2050]]-Table12[[#This Row],[GHG emissions excl LULUCF]])/(Table12[[#This Row],[NZ GHG year]]-2021)/Table12[[#This Row],[Population]]))</f>
        <v/>
      </c>
      <c r="AH170" s="32" t="str">
        <f>IF(Table12[[#This Row],[Peak revised]]="Yes",IF(Table12[[#This Row],[Net-zero target status]]&lt;=1,"",IF(Table12[[#This Row],[NZ GHG year]]="","",1000000000*(Table12[[#This Row],[residual LULUCF emissions in 2050]]-Table12[[#This Row],[GHG emissions excl LULUCF]])/(Table12[[#This Row],[NZ GHG year]]-2021)/Table12[[#This Row],[Population]])),"")</f>
        <v/>
      </c>
      <c r="AI170" s="32">
        <f>MAX(0,(1000000*(Table12[[#This Row],[Current Policies 2030 excl LULUCF]]/2+Table12[[#This Row],[GHG emissions excl LULUCF]]/2)/Table12[[#This Row],[Population]]-$AI$8)*10)*$AI$10</f>
        <v>-111.38056527680772</v>
      </c>
      <c r="AJ17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0" s="32" t="str">
        <f>IF(Table12[[#This Row],[Formule no Peak (2)]]="","",Table12[[#This Row],[Penalty (1)]]+Table12[[#This Row],[Formule no Peak (2)]])</f>
        <v/>
      </c>
      <c r="AL170" s="313">
        <f>(Table12[[#This Row],[Current Policies 2030 excl LULUCF]]-Table12[[#This Row],[GHG emissions excl LULUCF]])/(2030-2021)/Table12[[#This Row],[GHG emissions excl LULUCF]]</f>
        <v>-5.1041931464507528E-2</v>
      </c>
      <c r="AM170" s="313" t="str">
        <f>IF(Table12[[#This Row],[Net-zero target status]]&lt;=1,"",IF(Table12[[#This Row],[NZ GHG year]]="","",(Table12[[#This Row],[residual LULUCF emissions in 2050]]-Table12[[#This Row],[Current Policies 2030 excl LULUCF]])/(Table12[[#This Row],[NZ GHG year]]-2030)/Table12[[#This Row],[Current Policies 2030 excl LULUCF]]))</f>
        <v/>
      </c>
      <c r="AN170" s="313" t="str">
        <f>IF(Table12[[#This Row],[Net-zero target status]]&lt;=1,"",IF(Table12[[#This Row],[NZ GHG year]]="","",(Table12[[#This Row],[residual LULUCF emissions in 2050]]-Table12[[#This Row],[GHG emissions excl LULUCF]])/(Table12[[#This Row],[NZ GHG year]]-2021)/Table12[[#This Row],[GHG emissions excl LULUCF]]))</f>
        <v/>
      </c>
      <c r="AO170" s="313" t="str">
        <f>IF(Table12[[#This Row],[Net-zero target status]]&lt;=1,"",IF(Table12[[#This Row],[NZ GHG year]]="","",(Table12[[#This Row],[residual LULUCF emissions in 2050]]-Table12[[#This Row],[2030 conditional NDCs]])/(Table12[[#This Row],[NZ GHG year]]-2030)/Table12[[#This Row],[2030 conditional NDCs]]))</f>
        <v/>
      </c>
      <c r="AP170" s="96">
        <f>MAX('input site'!AH170:AS170)</f>
        <v>377.42414705168721</v>
      </c>
      <c r="AQ170" s="95" t="str">
        <f>IF(Table12[[#This Row],[Current Policies 2030 incl LULUCF]]&gt;Table12[[#This Row],[Maximum inventory data]],"No","Yes")</f>
        <v>Yes</v>
      </c>
      <c r="AR170" s="34" t="str">
        <f>IF(Table12[[#This Row],[Net-zero target status]]&gt;=1.5,Table12[[#This Row],[residual LULUCF emissions in 2050]]/Table12[[#This Row],[GHG emissions excl LULUCF]],"")</f>
        <v/>
      </c>
      <c r="AS170" s="74" t="str">
        <f>'input site'!BE170</f>
        <v/>
      </c>
      <c r="AT170" s="74"/>
      <c r="AU170" s="74"/>
      <c r="AV170" s="75"/>
      <c r="AW170" s="74" t="str">
        <f>IF(Table12[[#This Row],[2030 unconditional NDCs]]="","",IF(F170="incl",Table12[[#This Row],[2030 unconditional NDCs]]-Table12[[#This Row],[LULUCF NDC uncond]],Table12[[#This Row],[2030 unconditional NDCs]]))</f>
        <v/>
      </c>
      <c r="AX170" s="74" t="str">
        <f>IF(Table12[[#This Row],[2030 unconditional NDCs2]]="","",IF(F170="incl",Table12[[#This Row],[2030 unconditional NDCs2]]-Table12[[#This Row],[LULUCF NDC uncond]],Table12[[#This Row],[2030 unconditional NDCs2]]))</f>
        <v/>
      </c>
      <c r="AY170" s="74" t="str">
        <f>IF(Table12[[#This Row],[2030 conditional NDCs]]="","",IF(F170="incl",Table12[[#This Row],[2030 conditional NDCs]]-Table12[[#This Row],[LULUCF NDC cond]],Table12[[#This Row],[2030 conditional NDCs]]))</f>
        <v/>
      </c>
      <c r="AZ170" s="74" t="str">
        <f>IF(Table12[[#This Row],[2030 conditional NDCs2]]="","",IF(F170="incl",Table12[[#This Row],[2030 conditional NDCs2]]-Table12[[#This Row],[LULUCF NDC cond]],Table12[[#This Row],[2030 conditional NDCs2]]))</f>
        <v/>
      </c>
      <c r="BA170" s="8">
        <f>VLOOKUP($G170,'Population90 20'!$C$6:$AU$231,37,FALSE)</f>
        <v>37739785</v>
      </c>
      <c r="BB170" s="8">
        <f>VLOOKUP($G170,'Overview GDP (PPP)'!$C$6:$AI$231,33,FALSE)</f>
        <v>1091945868.4189537</v>
      </c>
      <c r="BC170" s="36">
        <f>Table12[[#This Row],[Income]]/Table12[[#This Row],[Population]]</f>
        <v>28.93354767174624</v>
      </c>
      <c r="BD170" s="36">
        <f>Table12[[#This Row],[GHG emissions excl LULUCF]]*1000000/Table12[[#This Row],[Population]]</f>
        <v>10.533151420973914</v>
      </c>
      <c r="BE170" s="23" t="e">
        <f>VLOOKUP($G170,EGR2023_MASTER!$B$4:$S$38,14,FALSE)</f>
        <v>#N/A</v>
      </c>
      <c r="BF170" s="23" t="e">
        <f>VLOOKUP($G170,EGR2023_MASTER!$B$4:$S$38,15,FALSE)</f>
        <v>#N/A</v>
      </c>
      <c r="BG170" s="23" t="e">
        <f>VLOOKUP($G170,EGR2023_MASTER!$B$4:$S$38,16,FALSE)</f>
        <v>#N/A</v>
      </c>
      <c r="BH170" s="23" t="e">
        <f t="shared" si="24"/>
        <v>#N/A</v>
      </c>
      <c r="BI170" s="23" t="e">
        <f t="shared" si="25"/>
        <v>#N/A</v>
      </c>
      <c r="BJ170" s="552">
        <f>(Table12[[#This Row],[Current Policies 2030 excl LULUCF]]/Table12[[#This Row],[GHG emissions excl LULUCF]])^(1/(2030-2021))-1</f>
        <v>-6.6054403160150321E-2</v>
      </c>
      <c r="BK170" s="552" t="str">
        <f>IF(Table12[[#This Row],[Net-zero target status]]&lt;=1,"",IF(Table12[[#This Row],[NZ GHG year]]="","",((MAX(Table12[[#This Row],[residual LULUCF emissions in 2050]],0.1)/Table12[[#This Row],[Current Policies 2030 excl LULUCF]])^(1/(Table12[[#This Row],[NZ GHG year]]-2021))-1)))</f>
        <v/>
      </c>
      <c r="BL170" s="552" t="str">
        <f>IF(Table12[[#This Row],[Net-zero target status]]&lt;=1,"",IF(Table12[[#This Row],[NZ GHG year]]="","",((MAX(Table12[[#This Row],[residual LULUCF emissions in 2050]],0.1)/Table12[[#This Row],[GHG emissions excl LULUCF]])^(1/(Table12[[#This Row],[NZ GHG year]]-2021))-1)))</f>
        <v/>
      </c>
      <c r="BM170" s="552" t="str">
        <f>IF(Table12[[#This Row],[Net-zero target status]]&lt;=1,"",IF(Table12[[#This Row],[NZ GHG year]]="","",((MAX(Table12[[#This Row],[residual LULUCF emissions in 2050]],0.1)/AVERAGE(Table12[[#This Row],[2030 conditional NDCs]:[2030 conditional NDCs2]]))^(1/(Table12[[#This Row],[NZ GHG year]]-2021))-1)))</f>
        <v/>
      </c>
      <c r="BN170" s="23"/>
      <c r="BO170" s="23"/>
      <c r="BP170" s="23"/>
      <c r="BQ170" s="23"/>
      <c r="BR170" s="50" t="s">
        <v>369</v>
      </c>
      <c r="BT170" s="30" t="str">
        <f>IF(Table12[[#This Row],[Reduction rate 2021 to NZ target2]]="","",J170*(1+AN170)^(Table12[[#This Row],[NZ GHG year]]-2021))</f>
        <v/>
      </c>
    </row>
    <row r="171" spans="1:72" ht="15" x14ac:dyDescent="0.25">
      <c r="A171">
        <v>0</v>
      </c>
      <c r="B171">
        <v>0</v>
      </c>
      <c r="C171">
        <v>620</v>
      </c>
      <c r="D171">
        <v>160</v>
      </c>
      <c r="E171">
        <v>11</v>
      </c>
      <c r="F171" t="str">
        <f>'input site'!M171</f>
        <v>incl</v>
      </c>
      <c r="G171" s="31" t="s">
        <v>370</v>
      </c>
      <c r="H171" s="1" t="s">
        <v>371</v>
      </c>
      <c r="I171" s="8">
        <f>VLOOKUP($G171,'NZT data'!$B$3:$C$200,2,FALSE)</f>
        <v>4</v>
      </c>
      <c r="J171" s="32">
        <f>'input site'!AS171</f>
        <v>49.407117101129082</v>
      </c>
      <c r="K171" s="32">
        <f>'input site'!BS171</f>
        <v>27.566676678227726</v>
      </c>
      <c r="L171" s="32">
        <f t="shared" si="26"/>
        <v>0</v>
      </c>
      <c r="M171" s="32">
        <f t="shared" si="27"/>
        <v>0</v>
      </c>
      <c r="N171" s="32">
        <f>'input site'!EV171</f>
        <v>12.91585830789476</v>
      </c>
      <c r="O171" s="8"/>
      <c r="P171" s="8"/>
      <c r="Q171" s="32">
        <f t="shared" si="28"/>
        <v>0</v>
      </c>
      <c r="R171" s="32">
        <f>'input site'!EZ171</f>
        <v>7.144069963814311</v>
      </c>
      <c r="S171" s="37" t="str">
        <f>'input site'!FA171</f>
        <v>2050 (part of the EU)</v>
      </c>
      <c r="T171" s="37" t="str">
        <f>Table12[[#This Row],[(Mt CO2 equivalent)]]</f>
        <v>Portugal</v>
      </c>
      <c r="U171" s="8">
        <f>VLOOKUP($G171,'NZT data'!$B$3:$F$200,4,FALSE)</f>
        <v>2050</v>
      </c>
      <c r="V171" s="32">
        <f>VLOOKUP($G171,'NZT data'!$B$3:$F$200,5,FALSE)</f>
        <v>2065</v>
      </c>
      <c r="W171" s="32">
        <f>-IF('LUC NGHGI'!EC161="",MIN('LUC NGHGI'!DW161,0.1),MIN('LUC NGHGI'!EC161,0.1))</f>
        <v>5.1028415946046213</v>
      </c>
      <c r="X171" s="32">
        <f>'LUC NGHGI'!EC161</f>
        <v>-5.1028415946046213</v>
      </c>
      <c r="Y171" s="32">
        <f>'LUC NGHGI'!DY161</f>
        <v>-5.1028415946046213</v>
      </c>
      <c r="Z171" s="32">
        <f>'LUC NGHGI'!DZ161</f>
        <v>-5.1028415946046213</v>
      </c>
      <c r="AA171" s="32">
        <f>Table12[[#This Row],[2021 emissions]]</f>
        <v>49.407117101129082</v>
      </c>
      <c r="AB171" s="32">
        <f>'LUC NGHGI'!DW161</f>
        <v>-6.4065568988709201</v>
      </c>
      <c r="AC171" s="32">
        <f>IF(F171="incl",Table12[[#This Row],[GHG emissions incl LULUCF]]-Table12[[#This Row],[LULUCF emis-sions in 20213]],Table12[[#This Row],[GHG emissions incl LULUCF]])</f>
        <v>55.813673999999999</v>
      </c>
      <c r="AD171" s="32">
        <f>'input site'!BS171</f>
        <v>27.566676678227726</v>
      </c>
      <c r="AE171" s="32">
        <f>'LUC NGHGI'!EH161</f>
        <v>-5.6701642362800948</v>
      </c>
      <c r="AF171" s="32">
        <f>IF(F171="incl",Table12[[#This Row],[Current Policies 2030 incl LULUCF]]-Table12[[#This Row],[LULUCF CurPol 2030]],Table12[[#This Row],[Current Policies 2030 incl LULUCF]])</f>
        <v>33.236840914507823</v>
      </c>
      <c r="AG171" s="32">
        <f>IF(Table12[[#This Row],[Net-zero target status]]&lt;=1,"",IF(Table12[[#This Row],[NZ GHG year]]="","",1000000000*(Table12[[#This Row],[residual LULUCF emissions in 2050]]-Table12[[#This Row],[GHG emissions excl LULUCF]])/(Table12[[#This Row],[NZ GHG year]]-2021)/Table12[[#This Row],[Population]]))</f>
        <v>-113.65425398221603</v>
      </c>
      <c r="AH171" s="32">
        <f>IF(Table12[[#This Row],[Peak revised]]="Yes",IF(Table12[[#This Row],[Net-zero target status]]&lt;=1,"",IF(Table12[[#This Row],[NZ GHG year]]="","",1000000000*(Table12[[#This Row],[residual LULUCF emissions in 2050]]-Table12[[#This Row],[GHG emissions excl LULUCF]])/(Table12[[#This Row],[NZ GHG year]]-2021)/Table12[[#This Row],[Population]])),"")</f>
        <v>-113.65425398221603</v>
      </c>
      <c r="AI171" s="32">
        <f>MAX(0,(1000000*(Table12[[#This Row],[Current Policies 2030 excl LULUCF]]/2+Table12[[#This Row],[GHG emissions excl LULUCF]]/2)/Table12[[#This Row],[Population]]-$AI$8)*10)*$AI$10</f>
        <v>0</v>
      </c>
      <c r="AJ17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1" s="32" t="str">
        <f>IF(Table12[[#This Row],[Formule no Peak (2)]]="","",Table12[[#This Row],[Penalty (1)]]+Table12[[#This Row],[Formule no Peak (2)]])</f>
        <v/>
      </c>
      <c r="AL171" s="313">
        <f>(Table12[[#This Row],[Current Policies 2030 excl LULUCF]]-Table12[[#This Row],[GHG emissions excl LULUCF]])/(2030-2021)/Table12[[#This Row],[GHG emissions excl LULUCF]]</f>
        <v>-4.4944846481511515E-2</v>
      </c>
      <c r="AM171" s="313">
        <f>IF(Table12[[#This Row],[Net-zero target status]]&lt;=1,"",IF(Table12[[#This Row],[NZ GHG year]]="","",(Table12[[#This Row],[residual LULUCF emissions in 2050]]-Table12[[#This Row],[Current Policies 2030 excl LULUCF]])/(Table12[[#This Row],[NZ GHG year]]-2030)/Table12[[#This Row],[Current Policies 2030 excl LULUCF]]))</f>
        <v>-2.4184866247211979E-2</v>
      </c>
      <c r="AN171" s="313">
        <f>IF(Table12[[#This Row],[Net-zero target status]]&lt;=1,"",IF(Table12[[#This Row],[NZ GHG year]]="","",(Table12[[#This Row],[residual LULUCF emissions in 2050]]-Table12[[#This Row],[GHG emissions excl LULUCF]])/(Table12[[#This Row],[NZ GHG year]]-2021)/Table12[[#This Row],[GHG emissions excl LULUCF]]))</f>
        <v>-2.0649400688161838E-2</v>
      </c>
      <c r="AO171" s="313" t="e">
        <f>IF(Table12[[#This Row],[Net-zero target status]]&lt;=1,"",IF(Table12[[#This Row],[NZ GHG year]]="","",(Table12[[#This Row],[residual LULUCF emissions in 2050]]-Table12[[#This Row],[2030 conditional NDCs]])/(Table12[[#This Row],[NZ GHG year]]-2030)/Table12[[#This Row],[2030 conditional NDCs]]))</f>
        <v>#DIV/0!</v>
      </c>
      <c r="AP171" s="96">
        <f>MAX('input site'!AH171:AS171)</f>
        <v>91.792451299687031</v>
      </c>
      <c r="AQ171" s="95" t="str">
        <f>IF(Table12[[#This Row],[Current Policies 2030 incl LULUCF]]&gt;Table12[[#This Row],[Maximum inventory data]],"No","Yes")</f>
        <v>Yes</v>
      </c>
      <c r="AR171" s="34">
        <f>IF(Table12[[#This Row],[Net-zero target status]]&gt;=1.5,Table12[[#This Row],[residual LULUCF emissions in 2050]]/Table12[[#This Row],[GHG emissions excl LULUCF]],"")</f>
        <v>9.1426369720879183E-2</v>
      </c>
      <c r="AS171" s="74" t="str">
        <f>'input site'!BE171</f>
        <v/>
      </c>
      <c r="AT171" s="74"/>
      <c r="AU171" s="74"/>
      <c r="AV171" s="75"/>
      <c r="AW171" s="74" t="str">
        <f>IF(Table12[[#This Row],[2030 unconditional NDCs]]="","",IF(F171="incl",Table12[[#This Row],[2030 unconditional NDCs]]-Table12[[#This Row],[LULUCF NDC uncond]],Table12[[#This Row],[2030 unconditional NDCs]]))</f>
        <v/>
      </c>
      <c r="AX171" s="74" t="str">
        <f>IF(Table12[[#This Row],[2030 unconditional NDCs2]]="","",IF(F171="incl",Table12[[#This Row],[2030 unconditional NDCs2]]-Table12[[#This Row],[LULUCF NDC uncond]],Table12[[#This Row],[2030 unconditional NDCs2]]))</f>
        <v/>
      </c>
      <c r="AY171" s="74" t="str">
        <f>IF(Table12[[#This Row],[2030 conditional NDCs]]="","",IF(F171="incl",Table12[[#This Row],[2030 conditional NDCs]]-Table12[[#This Row],[LULUCF NDC cond]],Table12[[#This Row],[2030 conditional NDCs]]))</f>
        <v/>
      </c>
      <c r="AZ171" s="74" t="str">
        <f>IF(Table12[[#This Row],[2030 conditional NDCs2]]="","",IF(F171="incl",Table12[[#This Row],[2030 conditional NDCs2]]-Table12[[#This Row],[LULUCF NDC cond]],Table12[[#This Row],[2030 conditional NDCs2]]))</f>
        <v/>
      </c>
      <c r="BA171" s="8">
        <f>VLOOKUP($G171,'Population90 20'!$C$6:$AU$231,37,FALSE)</f>
        <v>10140570</v>
      </c>
      <c r="BB171" s="8">
        <f>VLOOKUP($G171,'Overview GDP (PPP)'!$C$6:$AI$231,33,FALSE)</f>
        <v>294957880.40795398</v>
      </c>
      <c r="BC171" s="36">
        <f>Table12[[#This Row],[Income]]/Table12[[#This Row],[Population]]</f>
        <v>29.086913300529851</v>
      </c>
      <c r="BD171" s="36">
        <f>Table12[[#This Row],[GHG emissions excl LULUCF]]*1000000/Table12[[#This Row],[Population]]</f>
        <v>5.5039977042710619</v>
      </c>
      <c r="BE171" s="23" t="e">
        <f>VLOOKUP($G171,EGR2023_MASTER!$B$4:$S$38,14,FALSE)</f>
        <v>#N/A</v>
      </c>
      <c r="BF171" s="23" t="e">
        <f>VLOOKUP($G171,EGR2023_MASTER!$B$4:$S$38,15,FALSE)</f>
        <v>#N/A</v>
      </c>
      <c r="BG171" s="23" t="e">
        <f>VLOOKUP($G171,EGR2023_MASTER!$B$4:$S$38,16,FALSE)</f>
        <v>#N/A</v>
      </c>
      <c r="BH171" s="23" t="e">
        <f t="shared" si="24"/>
        <v>#N/A</v>
      </c>
      <c r="BI171" s="23" t="e">
        <f t="shared" si="25"/>
        <v>#N/A</v>
      </c>
      <c r="BJ171" s="552">
        <f>(Table12[[#This Row],[Current Policies 2030 excl LULUCF]]/Table12[[#This Row],[GHG emissions excl LULUCF]])^(1/(2030-2021))-1</f>
        <v>-5.5968317863642092E-2</v>
      </c>
      <c r="BK171" s="552">
        <f>IF(Table12[[#This Row],[Net-zero target status]]&lt;=1,"",IF(Table12[[#This Row],[NZ GHG year]]="","",((MAX(Table12[[#This Row],[residual LULUCF emissions in 2050]],0.1)/Table12[[#This Row],[Current Policies 2030 excl LULUCF]])^(1/(Table12[[#This Row],[NZ GHG year]]-2021))-1)))</f>
        <v>-4.1693637541889483E-2</v>
      </c>
      <c r="BL171" s="552">
        <f>IF(Table12[[#This Row],[Net-zero target status]]&lt;=1,"",IF(Table12[[#This Row],[NZ GHG year]]="","",((MAX(Table12[[#This Row],[residual LULUCF emissions in 2050]],0.1)/Table12[[#This Row],[GHG emissions excl LULUCF]])^(1/(Table12[[#This Row],[NZ GHG year]]-2021))-1)))</f>
        <v>-5.2917115753627897E-2</v>
      </c>
      <c r="BM171" s="552" t="e">
        <f>IF(Table12[[#This Row],[Net-zero target status]]&lt;=1,"",IF(Table12[[#This Row],[NZ GHG year]]="","",((MAX(Table12[[#This Row],[residual LULUCF emissions in 2050]],0.1)/AVERAGE(Table12[[#This Row],[2030 conditional NDCs]:[2030 conditional NDCs2]]))^(1/(Table12[[#This Row],[NZ GHG year]]-2021))-1)))</f>
        <v>#DIV/0!</v>
      </c>
      <c r="BN171" s="23"/>
      <c r="BO171" s="23"/>
      <c r="BP171" s="23"/>
      <c r="BQ171" s="23"/>
      <c r="BR171" s="50" t="s">
        <v>371</v>
      </c>
      <c r="BT171" s="30">
        <f>IF(Table12[[#This Row],[Reduction rate 2021 to NZ target2]]="","",J171*(1+AN171)^(Table12[[#This Row],[NZ GHG year]]-2021))</f>
        <v>19.727407893007854</v>
      </c>
    </row>
    <row r="172" spans="1:72" ht="15" x14ac:dyDescent="0.25">
      <c r="A172">
        <v>0</v>
      </c>
      <c r="B172">
        <v>0</v>
      </c>
      <c r="C172">
        <v>630</v>
      </c>
      <c r="D172">
        <v>163</v>
      </c>
      <c r="E172">
        <v>4</v>
      </c>
      <c r="F172" t="str">
        <f>'input site'!M172</f>
        <v>excl</v>
      </c>
      <c r="G172" s="31" t="s">
        <v>372</v>
      </c>
      <c r="H172" s="1" t="s">
        <v>373</v>
      </c>
      <c r="I172" s="8">
        <v>0</v>
      </c>
      <c r="J172" s="32">
        <f>'input site'!AS172</f>
        <v>0</v>
      </c>
      <c r="K172" s="32">
        <f>'input site'!BS172</f>
        <v>0</v>
      </c>
      <c r="L172" s="32">
        <f t="shared" si="26"/>
        <v>0</v>
      </c>
      <c r="M172" s="32">
        <f t="shared" si="27"/>
        <v>0</v>
      </c>
      <c r="N172" s="32">
        <f>'input site'!EV172</f>
        <v>0</v>
      </c>
      <c r="O172" s="8"/>
      <c r="P172" s="8"/>
      <c r="Q172" s="32">
        <f t="shared" si="28"/>
        <v>0</v>
      </c>
      <c r="R172" s="32">
        <f>'input site'!EZ172</f>
        <v>0</v>
      </c>
      <c r="S172" s="37">
        <f>'input site'!FA172</f>
        <v>0</v>
      </c>
      <c r="T172" s="37" t="str">
        <f>Table12[[#This Row],[(Mt CO2 equivalent)]]</f>
        <v>Puerto Rico</v>
      </c>
      <c r="U172" s="35">
        <v>2100</v>
      </c>
      <c r="V172" s="35">
        <v>2100</v>
      </c>
      <c r="W172" s="32">
        <f>-IF('LUC NGHGI'!EC162="",MIN('LUC NGHGI'!DW162,0.1),MIN('LUC NGHGI'!EC162,0.1))</f>
        <v>0</v>
      </c>
      <c r="X172" s="32" t="str">
        <f>'LUC NGHGI'!EC162</f>
        <v/>
      </c>
      <c r="Y172" s="32" t="str">
        <f>'LUC NGHGI'!DY162</f>
        <v/>
      </c>
      <c r="Z172" s="32" t="str">
        <f>'LUC NGHGI'!DZ162</f>
        <v/>
      </c>
      <c r="AA172" s="32">
        <f>Table12[[#This Row],[2021 emissions]]</f>
        <v>0</v>
      </c>
      <c r="AB172" s="32">
        <f>'LUC NGHGI'!DW162</f>
        <v>0</v>
      </c>
      <c r="AC172" s="32">
        <f>IF(F172="incl",Table12[[#This Row],[GHG emissions incl LULUCF]]-Table12[[#This Row],[LULUCF emis-sions in 20213]],Table12[[#This Row],[GHG emissions incl LULUCF]])</f>
        <v>0</v>
      </c>
      <c r="AD172" s="32">
        <f>'input site'!BS172</f>
        <v>0</v>
      </c>
      <c r="AE172" s="32">
        <f>'LUC NGHGI'!EH162</f>
        <v>0</v>
      </c>
      <c r="AF172" s="32">
        <f>IF(F172="incl",Table12[[#This Row],[Current Policies 2030 incl LULUCF]]-Table12[[#This Row],[LULUCF CurPol 2030]],Table12[[#This Row],[Current Policies 2030 incl LULUCF]])</f>
        <v>0</v>
      </c>
      <c r="AG172" s="32" t="str">
        <f>IF(Table12[[#This Row],[Net-zero target status]]&lt;=1,"",IF(Table12[[#This Row],[NZ GHG year]]="","",1000000000*(Table12[[#This Row],[residual LULUCF emissions in 2050]]-Table12[[#This Row],[GHG emissions excl LULUCF]])/(Table12[[#This Row],[NZ GHG year]]-2021)/Table12[[#This Row],[Population]]))</f>
        <v/>
      </c>
      <c r="AH172" s="32" t="str">
        <f>IF(Table12[[#This Row],[Peak revised]]="Yes",IF(Table12[[#This Row],[Net-zero target status]]&lt;=1,"",IF(Table12[[#This Row],[NZ GHG year]]="","",1000000000*(Table12[[#This Row],[residual LULUCF emissions in 2050]]-Table12[[#This Row],[GHG emissions excl LULUCF]])/(Table12[[#This Row],[NZ GHG year]]-2021)/Table12[[#This Row],[Population]])),"")</f>
        <v/>
      </c>
      <c r="AI172" s="32">
        <f>MAX(0,(1000000*(Table12[[#This Row],[Current Policies 2030 excl LULUCF]]/2+Table12[[#This Row],[GHG emissions excl LULUCF]]/2)/Table12[[#This Row],[Population]]-$AI$8)*10)*$AI$10</f>
        <v>0</v>
      </c>
      <c r="AJ17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2" s="32" t="str">
        <f>IF(Table12[[#This Row],[Formule no Peak (2)]]="","",Table12[[#This Row],[Penalty (1)]]+Table12[[#This Row],[Formule no Peak (2)]])</f>
        <v/>
      </c>
      <c r="AL172" s="313" t="e">
        <f>(Table12[[#This Row],[Current Policies 2030 excl LULUCF]]-Table12[[#This Row],[GHG emissions excl LULUCF]])/(2030-2021)/Table12[[#This Row],[GHG emissions excl LULUCF]]</f>
        <v>#DIV/0!</v>
      </c>
      <c r="AM172" s="313" t="str">
        <f>IF(Table12[[#This Row],[Net-zero target status]]&lt;=1,"",IF(Table12[[#This Row],[NZ GHG year]]="","",(Table12[[#This Row],[residual LULUCF emissions in 2050]]-Table12[[#This Row],[Current Policies 2030 excl LULUCF]])/(Table12[[#This Row],[NZ GHG year]]-2030)/Table12[[#This Row],[Current Policies 2030 excl LULUCF]]))</f>
        <v/>
      </c>
      <c r="AN172" s="313" t="str">
        <f>IF(Table12[[#This Row],[Net-zero target status]]&lt;=1,"",IF(Table12[[#This Row],[NZ GHG year]]="","",(Table12[[#This Row],[residual LULUCF emissions in 2050]]-Table12[[#This Row],[GHG emissions excl LULUCF]])/(Table12[[#This Row],[NZ GHG year]]-2021)/Table12[[#This Row],[GHG emissions excl LULUCF]]))</f>
        <v/>
      </c>
      <c r="AO172" s="313" t="str">
        <f>IF(Table12[[#This Row],[Net-zero target status]]&lt;=1,"",IF(Table12[[#This Row],[NZ GHG year]]="","",(Table12[[#This Row],[residual LULUCF emissions in 2050]]-Table12[[#This Row],[2030 conditional NDCs]])/(Table12[[#This Row],[NZ GHG year]]-2030)/Table12[[#This Row],[2030 conditional NDCs]]))</f>
        <v/>
      </c>
      <c r="AP172" s="96">
        <f>MAX('input site'!AH172:AS172)</f>
        <v>0</v>
      </c>
      <c r="AQ172" s="95" t="str">
        <f>IF(Table12[[#This Row],[Current Policies 2030 incl LULUCF]]&gt;Table12[[#This Row],[Maximum inventory data]],"No","Yes")</f>
        <v>Yes</v>
      </c>
      <c r="AR172" s="34" t="str">
        <f>IF(Table12[[#This Row],[Net-zero target status]]&gt;=1.5,Table12[[#This Row],[residual LULUCF emissions in 2050]]/Table12[[#This Row],[GHG emissions excl LULUCF]],"")</f>
        <v/>
      </c>
      <c r="AS172" s="74" t="str">
        <f>'input site'!BE172</f>
        <v/>
      </c>
      <c r="AT172" s="74"/>
      <c r="AU172" s="74"/>
      <c r="AV172" s="75"/>
      <c r="AW172" s="74" t="str">
        <f>IF(Table12[[#This Row],[2030 unconditional NDCs]]="","",IF(F172="incl",Table12[[#This Row],[2030 unconditional NDCs]]-Table12[[#This Row],[LULUCF NDC uncond]],Table12[[#This Row],[2030 unconditional NDCs]]))</f>
        <v/>
      </c>
      <c r="AX172" s="74" t="str">
        <f>IF(Table12[[#This Row],[2030 unconditional NDCs2]]="","",IF(F172="incl",Table12[[#This Row],[2030 unconditional NDCs2]]-Table12[[#This Row],[LULUCF NDC uncond]],Table12[[#This Row],[2030 unconditional NDCs2]]))</f>
        <v/>
      </c>
      <c r="AY172" s="74" t="str">
        <f>IF(Table12[[#This Row],[2030 conditional NDCs]]="","",IF(F172="incl",Table12[[#This Row],[2030 conditional NDCs]]-Table12[[#This Row],[LULUCF NDC cond]],Table12[[#This Row],[2030 conditional NDCs]]))</f>
        <v/>
      </c>
      <c r="AZ172" s="74" t="str">
        <f>IF(Table12[[#This Row],[2030 conditional NDCs2]]="","",IF(F172="incl",Table12[[#This Row],[2030 conditional NDCs2]]-Table12[[#This Row],[LULUCF NDC cond]],Table12[[#This Row],[2030 conditional NDCs2]]))</f>
        <v/>
      </c>
      <c r="BA172" s="8">
        <f>VLOOKUP($G172,'Population90 20'!$C$6:$AU$231,37,FALSE)</f>
        <v>2829812</v>
      </c>
      <c r="BB172" s="8">
        <f>VLOOKUP($G172,'Overview GDP (PPP)'!$C$6:$AI$231,33,FALSE)</f>
        <v>112102892.96855132</v>
      </c>
      <c r="BC172" s="36">
        <f>Table12[[#This Row],[Income]]/Table12[[#This Row],[Population]]</f>
        <v>39.61496133614223</v>
      </c>
      <c r="BD172" s="36">
        <f>Table12[[#This Row],[GHG emissions excl LULUCF]]*1000000/Table12[[#This Row],[Population]]</f>
        <v>0</v>
      </c>
      <c r="BE172" s="23" t="e">
        <f>VLOOKUP($G172,EGR2023_MASTER!$B$4:$S$38,14,FALSE)</f>
        <v>#N/A</v>
      </c>
      <c r="BF172" s="23" t="e">
        <f>VLOOKUP($G172,EGR2023_MASTER!$B$4:$S$38,15,FALSE)</f>
        <v>#N/A</v>
      </c>
      <c r="BG172" s="23" t="e">
        <f>VLOOKUP($G172,EGR2023_MASTER!$B$4:$S$38,16,FALSE)</f>
        <v>#N/A</v>
      </c>
      <c r="BH172" s="23" t="e">
        <f t="shared" si="24"/>
        <v>#N/A</v>
      </c>
      <c r="BI172" s="23" t="e">
        <f t="shared" si="25"/>
        <v>#N/A</v>
      </c>
      <c r="BJ172" s="552" t="e">
        <f>(Table12[[#This Row],[Current Policies 2030 excl LULUCF]]/Table12[[#This Row],[GHG emissions excl LULUCF]])^(1/(2030-2021))-1</f>
        <v>#DIV/0!</v>
      </c>
      <c r="BK172" s="552" t="str">
        <f>IF(Table12[[#This Row],[Net-zero target status]]&lt;=1,"",IF(Table12[[#This Row],[NZ GHG year]]="","",((MAX(Table12[[#This Row],[residual LULUCF emissions in 2050]],0.1)/Table12[[#This Row],[Current Policies 2030 excl LULUCF]])^(1/(Table12[[#This Row],[NZ GHG year]]-2021))-1)))</f>
        <v/>
      </c>
      <c r="BL172" s="552" t="str">
        <f>IF(Table12[[#This Row],[Net-zero target status]]&lt;=1,"",IF(Table12[[#This Row],[NZ GHG year]]="","",((MAX(Table12[[#This Row],[residual LULUCF emissions in 2050]],0.1)/Table12[[#This Row],[GHG emissions excl LULUCF]])^(1/(Table12[[#This Row],[NZ GHG year]]-2021))-1)))</f>
        <v/>
      </c>
      <c r="BM172" s="552" t="str">
        <f>IF(Table12[[#This Row],[Net-zero target status]]&lt;=1,"",IF(Table12[[#This Row],[NZ GHG year]]="","",((MAX(Table12[[#This Row],[residual LULUCF emissions in 2050]],0.1)/AVERAGE(Table12[[#This Row],[2030 conditional NDCs]:[2030 conditional NDCs2]]))^(1/(Table12[[#This Row],[NZ GHG year]]-2021))-1)))</f>
        <v/>
      </c>
      <c r="BN172" s="23"/>
      <c r="BO172" s="23"/>
      <c r="BP172" s="23"/>
      <c r="BQ172" s="23"/>
      <c r="BR172" s="50" t="s">
        <v>373</v>
      </c>
      <c r="BT172" s="30" t="str">
        <f>IF(Table12[[#This Row],[Reduction rate 2021 to NZ target2]]="","",J172*(1+AN172)^(Table12[[#This Row],[NZ GHG year]]-2021))</f>
        <v/>
      </c>
    </row>
    <row r="173" spans="1:72" ht="15" x14ac:dyDescent="0.25">
      <c r="A173">
        <v>0</v>
      </c>
      <c r="B173">
        <v>0</v>
      </c>
      <c r="C173">
        <v>634</v>
      </c>
      <c r="D173">
        <v>164</v>
      </c>
      <c r="E173">
        <v>17</v>
      </c>
      <c r="F173" t="str">
        <f>'input site'!M173</f>
        <v>excl</v>
      </c>
      <c r="G173" s="31" t="s">
        <v>374</v>
      </c>
      <c r="H173" s="1" t="s">
        <v>375</v>
      </c>
      <c r="I173" s="8">
        <f>VLOOKUP($G173,'NZT data'!$B$3:$C$200,2,FALSE)</f>
        <v>0</v>
      </c>
      <c r="J173" s="32">
        <f>'input site'!AS173</f>
        <v>178.3905</v>
      </c>
      <c r="K173" s="32">
        <f>'input site'!BS173</f>
        <v>177.13674260651271</v>
      </c>
      <c r="L173" s="32">
        <f t="shared" si="26"/>
        <v>177.13674260651271</v>
      </c>
      <c r="M173" s="32">
        <f t="shared" si="27"/>
        <v>99.797803548130702</v>
      </c>
      <c r="N173" s="32">
        <f>'input site'!EV173</f>
        <v>99.797803548130702</v>
      </c>
      <c r="O173" s="8"/>
      <c r="P173" s="8"/>
      <c r="Q173" s="32">
        <f t="shared" si="28"/>
        <v>17.383678668442787</v>
      </c>
      <c r="R173" s="32">
        <f>'input site'!EZ173</f>
        <v>17.383678668442787</v>
      </c>
      <c r="S173" s="37">
        <f>'input site'!FA173</f>
        <v>0</v>
      </c>
      <c r="T173" s="37" t="str">
        <f>Table12[[#This Row],[(Mt CO2 equivalent)]]</f>
        <v>Qatar</v>
      </c>
      <c r="U173" s="8">
        <f>VLOOKUP($G173,'NZT data'!$B$3:$F$200,4,FALSE)</f>
        <v>2110</v>
      </c>
      <c r="V173" s="32" t="str">
        <f>VLOOKUP($G173,'NZT data'!$B$3:$F$200,5,FALSE)</f>
        <v/>
      </c>
      <c r="W173" s="32">
        <f>-IF('LUC NGHGI'!EC163="",MIN('LUC NGHGI'!DW163,0.1),MIN('LUC NGHGI'!EC163,0.1))</f>
        <v>0</v>
      </c>
      <c r="X173" s="32" t="str">
        <f>'LUC NGHGI'!EC163</f>
        <v/>
      </c>
      <c r="Y173" s="32" t="str">
        <f>'LUC NGHGI'!DY163</f>
        <v/>
      </c>
      <c r="Z173" s="32" t="str">
        <f>'LUC NGHGI'!DZ163</f>
        <v/>
      </c>
      <c r="AA173" s="32">
        <f>Table12[[#This Row],[2021 emissions]]</f>
        <v>178.3905</v>
      </c>
      <c r="AB173" s="32">
        <f>'LUC NGHGI'!DW163</f>
        <v>0</v>
      </c>
      <c r="AC173" s="32">
        <f>IF(F173="incl",Table12[[#This Row],[GHG emissions incl LULUCF]]-Table12[[#This Row],[LULUCF emis-sions in 20213]],Table12[[#This Row],[GHG emissions incl LULUCF]])</f>
        <v>178.3905</v>
      </c>
      <c r="AD173" s="32">
        <f>'input site'!BS173</f>
        <v>177.13674260651271</v>
      </c>
      <c r="AE173" s="32">
        <f>'LUC NGHGI'!EH163</f>
        <v>0</v>
      </c>
      <c r="AF173" s="32">
        <f>IF(F173="incl",Table12[[#This Row],[Current Policies 2030 incl LULUCF]]-Table12[[#This Row],[LULUCF CurPol 2030]],Table12[[#This Row],[Current Policies 2030 incl LULUCF]])</f>
        <v>177.13674260651271</v>
      </c>
      <c r="AG173" s="32" t="str">
        <f>IF(Table12[[#This Row],[Net-zero target status]]&lt;=1,"",IF(Table12[[#This Row],[NZ GHG year]]="","",1000000000*(Table12[[#This Row],[residual LULUCF emissions in 2050]]-Table12[[#This Row],[GHG emissions excl LULUCF]])/(Table12[[#This Row],[NZ GHG year]]-2021)/Table12[[#This Row],[Population]]))</f>
        <v/>
      </c>
      <c r="AH173" s="32" t="str">
        <f>IF(Table12[[#This Row],[Peak revised]]="Yes",IF(Table12[[#This Row],[Net-zero target status]]&lt;=1,"",IF(Table12[[#This Row],[NZ GHG year]]="","",1000000000*(Table12[[#This Row],[residual LULUCF emissions in 2050]]-Table12[[#This Row],[GHG emissions excl LULUCF]])/(Table12[[#This Row],[NZ GHG year]]-2021)/Table12[[#This Row],[Population]])),"")</f>
        <v/>
      </c>
      <c r="AI173" s="32">
        <f>MAX(0,(1000000*(Table12[[#This Row],[Current Policies 2030 excl LULUCF]]/2+Table12[[#This Row],[GHG emissions excl LULUCF]]/2)/Table12[[#This Row],[Population]]-$AI$8)*10)*$AI$10</f>
        <v>-5265.392345192945</v>
      </c>
      <c r="AJ17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3" s="32" t="str">
        <f>IF(Table12[[#This Row],[Formule no Peak (2)]]="","",Table12[[#This Row],[Penalty (1)]]+Table12[[#This Row],[Formule no Peak (2)]])</f>
        <v/>
      </c>
      <c r="AL173" s="313">
        <f>(Table12[[#This Row],[Current Policies 2030 excl LULUCF]]-Table12[[#This Row],[GHG emissions excl LULUCF]])/(2030-2021)/Table12[[#This Row],[GHG emissions excl LULUCF]]</f>
        <v>-7.8090692640103287E-4</v>
      </c>
      <c r="AM173" s="313" t="str">
        <f>IF(Table12[[#This Row],[Net-zero target status]]&lt;=1,"",IF(Table12[[#This Row],[NZ GHG year]]="","",(Table12[[#This Row],[residual LULUCF emissions in 2050]]-Table12[[#This Row],[Current Policies 2030 excl LULUCF]])/(Table12[[#This Row],[NZ GHG year]]-2030)/Table12[[#This Row],[Current Policies 2030 excl LULUCF]]))</f>
        <v/>
      </c>
      <c r="AN173" s="313" t="str">
        <f>IF(Table12[[#This Row],[Net-zero target status]]&lt;=1,"",IF(Table12[[#This Row],[NZ GHG year]]="","",(Table12[[#This Row],[residual LULUCF emissions in 2050]]-Table12[[#This Row],[GHG emissions excl LULUCF]])/(Table12[[#This Row],[NZ GHG year]]-2021)/Table12[[#This Row],[GHG emissions excl LULUCF]]))</f>
        <v/>
      </c>
      <c r="AO173" s="313" t="str">
        <f>IF(Table12[[#This Row],[Net-zero target status]]&lt;=1,"",IF(Table12[[#This Row],[NZ GHG year]]="","",(Table12[[#This Row],[residual LULUCF emissions in 2050]]-Table12[[#This Row],[2030 conditional NDCs]])/(Table12[[#This Row],[NZ GHG year]]-2030)/Table12[[#This Row],[2030 conditional NDCs]]))</f>
        <v/>
      </c>
      <c r="AP173" s="96">
        <f>MAX('input site'!AH173:AS173)</f>
        <v>204.71517000000003</v>
      </c>
      <c r="AQ173" s="95" t="str">
        <f>IF(Table12[[#This Row],[Current Policies 2030 incl LULUCF]]&gt;Table12[[#This Row],[Maximum inventory data]],"No","Yes")</f>
        <v>Yes</v>
      </c>
      <c r="AR173" s="34" t="str">
        <f>IF(Table12[[#This Row],[Net-zero target status]]&gt;=1.5,Table12[[#This Row],[residual LULUCF emissions in 2050]]/Table12[[#This Row],[GHG emissions excl LULUCF]],"")</f>
        <v/>
      </c>
      <c r="AS173" s="74" t="str">
        <f>'input site'!BE173</f>
        <v/>
      </c>
      <c r="AT173" s="74"/>
      <c r="AU173" s="74"/>
      <c r="AV173" s="75"/>
      <c r="AW173" s="74" t="str">
        <f>IF(Table12[[#This Row],[2030 unconditional NDCs]]="","",IF(F173="incl",Table12[[#This Row],[2030 unconditional NDCs]]-Table12[[#This Row],[LULUCF NDC uncond]],Table12[[#This Row],[2030 unconditional NDCs]]))</f>
        <v/>
      </c>
      <c r="AX173" s="74" t="str">
        <f>IF(Table12[[#This Row],[2030 unconditional NDCs2]]="","",IF(F173="incl",Table12[[#This Row],[2030 unconditional NDCs2]]-Table12[[#This Row],[LULUCF NDC uncond]],Table12[[#This Row],[2030 unconditional NDCs2]]))</f>
        <v/>
      </c>
      <c r="AY173" s="74" t="str">
        <f>IF(Table12[[#This Row],[2030 conditional NDCs]]="","",IF(F173="incl",Table12[[#This Row],[2030 conditional NDCs]]-Table12[[#This Row],[LULUCF NDC cond]],Table12[[#This Row],[2030 conditional NDCs]]))</f>
        <v/>
      </c>
      <c r="AZ173" s="74" t="str">
        <f>IF(Table12[[#This Row],[2030 conditional NDCs2]]="","",IF(F173="incl",Table12[[#This Row],[2030 conditional NDCs2]]-Table12[[#This Row],[LULUCF NDC cond]],Table12[[#This Row],[2030 conditional NDCs2]]))</f>
        <v/>
      </c>
      <c r="BA173" s="8">
        <f>VLOOKUP($G173,'Population90 20'!$C$6:$AU$231,37,FALSE)</f>
        <v>2979915</v>
      </c>
      <c r="BB173" s="8">
        <f>VLOOKUP($G173,'Overview GDP (PPP)'!$C$6:$AI$231,33,FALSE)</f>
        <v>313026367.50523984</v>
      </c>
      <c r="BC173" s="36">
        <f>Table12[[#This Row],[Income]]/Table12[[#This Row],[Population]]</f>
        <v>105.04540146455179</v>
      </c>
      <c r="BD173" s="36">
        <f>Table12[[#This Row],[GHG emissions excl LULUCF]]*1000000/Table12[[#This Row],[Population]]</f>
        <v>59.864291431131427</v>
      </c>
      <c r="BE173" s="23" t="e">
        <f>VLOOKUP($G173,EGR2023_MASTER!$B$4:$S$38,14,FALSE)</f>
        <v>#N/A</v>
      </c>
      <c r="BF173" s="23" t="e">
        <f>VLOOKUP($G173,EGR2023_MASTER!$B$4:$S$38,15,FALSE)</f>
        <v>#N/A</v>
      </c>
      <c r="BG173" s="23" t="e">
        <f>VLOOKUP($G173,EGR2023_MASTER!$B$4:$S$38,16,FALSE)</f>
        <v>#N/A</v>
      </c>
      <c r="BH173" s="23" t="e">
        <f t="shared" si="24"/>
        <v>#N/A</v>
      </c>
      <c r="BI173" s="23" t="e">
        <f t="shared" si="25"/>
        <v>#N/A</v>
      </c>
      <c r="BJ173" s="552">
        <f>(Table12[[#This Row],[Current Policies 2030 excl LULUCF]]/Table12[[#This Row],[GHG emissions excl LULUCF]])^(1/(2030-2021))-1</f>
        <v>-7.8335703807896895E-4</v>
      </c>
      <c r="BK173" s="552" t="str">
        <f>IF(Table12[[#This Row],[Net-zero target status]]&lt;=1,"",IF(Table12[[#This Row],[NZ GHG year]]="","",((MAX(Table12[[#This Row],[residual LULUCF emissions in 2050]],0.1)/Table12[[#This Row],[Current Policies 2030 excl LULUCF]])^(1/(Table12[[#This Row],[NZ GHG year]]-2021))-1)))</f>
        <v/>
      </c>
      <c r="BL173" s="552" t="str">
        <f>IF(Table12[[#This Row],[Net-zero target status]]&lt;=1,"",IF(Table12[[#This Row],[NZ GHG year]]="","",((MAX(Table12[[#This Row],[residual LULUCF emissions in 2050]],0.1)/Table12[[#This Row],[GHG emissions excl LULUCF]])^(1/(Table12[[#This Row],[NZ GHG year]]-2021))-1)))</f>
        <v/>
      </c>
      <c r="BM173" s="552" t="str">
        <f>IF(Table12[[#This Row],[Net-zero target status]]&lt;=1,"",IF(Table12[[#This Row],[NZ GHG year]]="","",((MAX(Table12[[#This Row],[residual LULUCF emissions in 2050]],0.1)/AVERAGE(Table12[[#This Row],[2030 conditional NDCs]:[2030 conditional NDCs2]]))^(1/(Table12[[#This Row],[NZ GHG year]]-2021))-1)))</f>
        <v/>
      </c>
      <c r="BN173" s="23"/>
      <c r="BO173" s="23"/>
      <c r="BP173" s="23"/>
      <c r="BQ173" s="23"/>
      <c r="BR173" s="50" t="s">
        <v>375</v>
      </c>
      <c r="BT173" s="30" t="str">
        <f>IF(Table12[[#This Row],[Reduction rate 2021 to NZ target2]]="","",J173*(1+AN173)^(Table12[[#This Row],[NZ GHG year]]-2021))</f>
        <v/>
      </c>
    </row>
    <row r="174" spans="1:72" ht="15" x14ac:dyDescent="0.25">
      <c r="A174">
        <v>0</v>
      </c>
      <c r="B174">
        <v>0</v>
      </c>
      <c r="C174">
        <v>638</v>
      </c>
      <c r="D174">
        <v>165</v>
      </c>
      <c r="E174">
        <v>9</v>
      </c>
      <c r="F174" t="str">
        <f>'input site'!M174</f>
        <v>excl</v>
      </c>
      <c r="G174" s="31" t="s">
        <v>376</v>
      </c>
      <c r="H174" s="1" t="s">
        <v>377</v>
      </c>
      <c r="I174" s="8">
        <v>0</v>
      </c>
      <c r="J174" s="32">
        <f>'input site'!AS174</f>
        <v>0</v>
      </c>
      <c r="K174" s="32">
        <f>'input site'!BS174</f>
        <v>0</v>
      </c>
      <c r="L174" s="32">
        <f t="shared" si="26"/>
        <v>0</v>
      </c>
      <c r="M174" s="32">
        <f t="shared" si="27"/>
        <v>0</v>
      </c>
      <c r="N174" s="32">
        <f>'input site'!EV174</f>
        <v>0</v>
      </c>
      <c r="O174" s="8"/>
      <c r="P174" s="8"/>
      <c r="Q174" s="32">
        <f t="shared" si="28"/>
        <v>0</v>
      </c>
      <c r="R174" s="32">
        <f>'input site'!EZ174</f>
        <v>0</v>
      </c>
      <c r="S174" s="37">
        <f>'input site'!FA174</f>
        <v>0</v>
      </c>
      <c r="T174" s="37" t="str">
        <f>Table12[[#This Row],[(Mt CO2 equivalent)]]</f>
        <v>Reunion</v>
      </c>
      <c r="U174" s="35">
        <v>2100</v>
      </c>
      <c r="V174" s="35">
        <v>2100</v>
      </c>
      <c r="W174" s="32">
        <f>-IF('LUC NGHGI'!EC164="",MIN('LUC NGHGI'!DW164,0.1),MIN('LUC NGHGI'!EC164,0.1))</f>
        <v>0</v>
      </c>
      <c r="X174" s="32" t="str">
        <f>'LUC NGHGI'!EC164</f>
        <v/>
      </c>
      <c r="Y174" s="32" t="str">
        <f>'LUC NGHGI'!DY164</f>
        <v/>
      </c>
      <c r="Z174" s="32" t="str">
        <f>'LUC NGHGI'!DZ164</f>
        <v/>
      </c>
      <c r="AA174" s="32">
        <f>Table12[[#This Row],[2021 emissions]]</f>
        <v>0</v>
      </c>
      <c r="AB174" s="32">
        <f>'LUC NGHGI'!DW164</f>
        <v>0</v>
      </c>
      <c r="AC174" s="32">
        <f>IF(F174="incl",Table12[[#This Row],[GHG emissions incl LULUCF]]-Table12[[#This Row],[LULUCF emis-sions in 20213]],Table12[[#This Row],[GHG emissions incl LULUCF]])</f>
        <v>0</v>
      </c>
      <c r="AD174" s="32">
        <f>'input site'!BS174</f>
        <v>0</v>
      </c>
      <c r="AE174" s="32">
        <f>'LUC NGHGI'!EH164</f>
        <v>0</v>
      </c>
      <c r="AF174" s="32">
        <f>IF(F174="incl",Table12[[#This Row],[Current Policies 2030 incl LULUCF]]-Table12[[#This Row],[LULUCF CurPol 2030]],Table12[[#This Row],[Current Policies 2030 incl LULUCF]])</f>
        <v>0</v>
      </c>
      <c r="AG174" s="32" t="str">
        <f>IF(Table12[[#This Row],[Net-zero target status]]&lt;=1,"",IF(Table12[[#This Row],[NZ GHG year]]="","",1000000000*(Table12[[#This Row],[residual LULUCF emissions in 2050]]-Table12[[#This Row],[GHG emissions excl LULUCF]])/(Table12[[#This Row],[NZ GHG year]]-2021)/Table12[[#This Row],[Population]]))</f>
        <v/>
      </c>
      <c r="AH174" s="32" t="str">
        <f>IF(Table12[[#This Row],[Peak revised]]="Yes",IF(Table12[[#This Row],[Net-zero target status]]&lt;=1,"",IF(Table12[[#This Row],[NZ GHG year]]="","",1000000000*(Table12[[#This Row],[residual LULUCF emissions in 2050]]-Table12[[#This Row],[GHG emissions excl LULUCF]])/(Table12[[#This Row],[NZ GHG year]]-2021)/Table12[[#This Row],[Population]])),"")</f>
        <v/>
      </c>
      <c r="AI174" s="32" t="e">
        <f>MAX(0,(1000000*(Table12[[#This Row],[Current Policies 2030 excl LULUCF]]/2+Table12[[#This Row],[GHG emissions excl LULUCF]]/2)/Table12[[#This Row],[Population]]-$AI$8)*10)*$AI$10</f>
        <v>#DIV/0!</v>
      </c>
      <c r="AJ17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4" s="32" t="str">
        <f>IF(Table12[[#This Row],[Formule no Peak (2)]]="","",Table12[[#This Row],[Penalty (1)]]+Table12[[#This Row],[Formule no Peak (2)]])</f>
        <v/>
      </c>
      <c r="AL174" s="313" t="e">
        <f>(Table12[[#This Row],[Current Policies 2030 excl LULUCF]]-Table12[[#This Row],[GHG emissions excl LULUCF]])/(2030-2021)/Table12[[#This Row],[GHG emissions excl LULUCF]]</f>
        <v>#DIV/0!</v>
      </c>
      <c r="AM174" s="313" t="str">
        <f>IF(Table12[[#This Row],[Net-zero target status]]&lt;=1,"",IF(Table12[[#This Row],[NZ GHG year]]="","",(Table12[[#This Row],[residual LULUCF emissions in 2050]]-Table12[[#This Row],[Current Policies 2030 excl LULUCF]])/(Table12[[#This Row],[NZ GHG year]]-2030)/Table12[[#This Row],[Current Policies 2030 excl LULUCF]]))</f>
        <v/>
      </c>
      <c r="AN174" s="313" t="str">
        <f>IF(Table12[[#This Row],[Net-zero target status]]&lt;=1,"",IF(Table12[[#This Row],[NZ GHG year]]="","",(Table12[[#This Row],[residual LULUCF emissions in 2050]]-Table12[[#This Row],[GHG emissions excl LULUCF]])/(Table12[[#This Row],[NZ GHG year]]-2021)/Table12[[#This Row],[GHG emissions excl LULUCF]]))</f>
        <v/>
      </c>
      <c r="AO174" s="313" t="str">
        <f>IF(Table12[[#This Row],[Net-zero target status]]&lt;=1,"",IF(Table12[[#This Row],[NZ GHG year]]="","",(Table12[[#This Row],[residual LULUCF emissions in 2050]]-Table12[[#This Row],[2030 conditional NDCs]])/(Table12[[#This Row],[NZ GHG year]]-2030)/Table12[[#This Row],[2030 conditional NDCs]]))</f>
        <v/>
      </c>
      <c r="AP174" s="96">
        <f>MAX('input site'!AH174:AS174)</f>
        <v>0</v>
      </c>
      <c r="AQ174" s="95" t="str">
        <f>IF(Table12[[#This Row],[Current Policies 2030 incl LULUCF]]&gt;Table12[[#This Row],[Maximum inventory data]],"No","Yes")</f>
        <v>Yes</v>
      </c>
      <c r="AR174" s="34" t="str">
        <f>IF(Table12[[#This Row],[Net-zero target status]]&gt;=1.5,Table12[[#This Row],[residual LULUCF emissions in 2050]]/Table12[[#This Row],[GHG emissions excl LULUCF]],"")</f>
        <v/>
      </c>
      <c r="AS174" s="74" t="str">
        <f>'input site'!BE174</f>
        <v/>
      </c>
      <c r="AT174" s="74"/>
      <c r="AU174" s="74"/>
      <c r="AV174" s="75"/>
      <c r="AW174" s="74" t="str">
        <f>IF(Table12[[#This Row],[2030 unconditional NDCs]]="","",IF(F174="incl",Table12[[#This Row],[2030 unconditional NDCs]]-Table12[[#This Row],[LULUCF NDC uncond]],Table12[[#This Row],[2030 unconditional NDCs]]))</f>
        <v/>
      </c>
      <c r="AX174" s="74" t="str">
        <f>IF(Table12[[#This Row],[2030 unconditional NDCs2]]="","",IF(F174="incl",Table12[[#This Row],[2030 unconditional NDCs2]]-Table12[[#This Row],[LULUCF NDC uncond]],Table12[[#This Row],[2030 unconditional NDCs2]]))</f>
        <v/>
      </c>
      <c r="AY174" s="74" t="str">
        <f>IF(Table12[[#This Row],[2030 conditional NDCs]]="","",IF(F174="incl",Table12[[#This Row],[2030 conditional NDCs]]-Table12[[#This Row],[LULUCF NDC cond]],Table12[[#This Row],[2030 conditional NDCs]]))</f>
        <v/>
      </c>
      <c r="AZ174" s="74" t="str">
        <f>IF(Table12[[#This Row],[2030 conditional NDCs2]]="","",IF(F174="incl",Table12[[#This Row],[2030 conditional NDCs2]]-Table12[[#This Row],[LULUCF NDC cond]],Table12[[#This Row],[2030 conditional NDCs2]]))</f>
        <v/>
      </c>
      <c r="BA174" s="8"/>
      <c r="BB174" s="8"/>
      <c r="BC174" s="36"/>
      <c r="BD174" s="36" t="e">
        <f>Table12[[#This Row],[GHG emissions excl LULUCF]]*1000000/Table12[[#This Row],[Population]]</f>
        <v>#DIV/0!</v>
      </c>
      <c r="BE174" s="23" t="e">
        <f>VLOOKUP($G174,EGR2023_MASTER!$B$4:$S$38,14,FALSE)</f>
        <v>#N/A</v>
      </c>
      <c r="BF174" s="23" t="e">
        <f>VLOOKUP($G174,EGR2023_MASTER!$B$4:$S$38,15,FALSE)</f>
        <v>#N/A</v>
      </c>
      <c r="BG174" s="23" t="e">
        <f>VLOOKUP($G174,EGR2023_MASTER!$B$4:$S$38,16,FALSE)</f>
        <v>#N/A</v>
      </c>
      <c r="BH174" s="23" t="e">
        <f t="shared" si="24"/>
        <v>#N/A</v>
      </c>
      <c r="BI174" s="23" t="e">
        <f t="shared" si="25"/>
        <v>#N/A</v>
      </c>
      <c r="BJ174" s="552" t="e">
        <f>(Table12[[#This Row],[Current Policies 2030 excl LULUCF]]/Table12[[#This Row],[GHG emissions excl LULUCF]])^(1/(2030-2021))-1</f>
        <v>#DIV/0!</v>
      </c>
      <c r="BK174" s="552" t="str">
        <f>IF(Table12[[#This Row],[Net-zero target status]]&lt;=1,"",IF(Table12[[#This Row],[NZ GHG year]]="","",((MAX(Table12[[#This Row],[residual LULUCF emissions in 2050]],0.1)/Table12[[#This Row],[Current Policies 2030 excl LULUCF]])^(1/(Table12[[#This Row],[NZ GHG year]]-2021))-1)))</f>
        <v/>
      </c>
      <c r="BL174" s="552" t="str">
        <f>IF(Table12[[#This Row],[Net-zero target status]]&lt;=1,"",IF(Table12[[#This Row],[NZ GHG year]]="","",((MAX(Table12[[#This Row],[residual LULUCF emissions in 2050]],0.1)/Table12[[#This Row],[GHG emissions excl LULUCF]])^(1/(Table12[[#This Row],[NZ GHG year]]-2021))-1)))</f>
        <v/>
      </c>
      <c r="BM174" s="552" t="str">
        <f>IF(Table12[[#This Row],[Net-zero target status]]&lt;=1,"",IF(Table12[[#This Row],[NZ GHG year]]="","",((MAX(Table12[[#This Row],[residual LULUCF emissions in 2050]],0.1)/AVERAGE(Table12[[#This Row],[2030 conditional NDCs]:[2030 conditional NDCs2]]))^(1/(Table12[[#This Row],[NZ GHG year]]-2021))-1)))</f>
        <v/>
      </c>
      <c r="BN174" s="23"/>
      <c r="BO174" s="23"/>
      <c r="BP174" s="23"/>
      <c r="BQ174" s="23"/>
      <c r="BR174" s="50" t="s">
        <v>377</v>
      </c>
      <c r="BT174" s="30" t="str">
        <f>IF(Table12[[#This Row],[Reduction rate 2021 to NZ target2]]="","",J174*(1+AN174)^(Table12[[#This Row],[NZ GHG year]]-2021))</f>
        <v/>
      </c>
    </row>
    <row r="175" spans="1:72" ht="15" x14ac:dyDescent="0.25">
      <c r="A175">
        <v>0</v>
      </c>
      <c r="B175">
        <v>0</v>
      </c>
      <c r="C175">
        <v>642</v>
      </c>
      <c r="D175">
        <v>166</v>
      </c>
      <c r="E175">
        <v>12</v>
      </c>
      <c r="F175" t="str">
        <f>'input site'!M175</f>
        <v>incl</v>
      </c>
      <c r="G175" s="31" t="s">
        <v>378</v>
      </c>
      <c r="H175" s="1" t="s">
        <v>379</v>
      </c>
      <c r="I175" s="8">
        <f>VLOOKUP($G175,'NZT data'!$B$3:$C$200,2,FALSE)</f>
        <v>3</v>
      </c>
      <c r="J175" s="32">
        <f>'input site'!AS175</f>
        <v>64.817414931411378</v>
      </c>
      <c r="K175" s="32">
        <f>'input site'!BS175</f>
        <v>33.212002438379123</v>
      </c>
      <c r="L175" s="32">
        <f t="shared" si="26"/>
        <v>0</v>
      </c>
      <c r="M175" s="32">
        <f t="shared" si="27"/>
        <v>0</v>
      </c>
      <c r="N175" s="32">
        <f>'input site'!EV175</f>
        <v>15.850522296120015</v>
      </c>
      <c r="O175" s="8"/>
      <c r="P175" s="8"/>
      <c r="Q175" s="32">
        <f t="shared" si="28"/>
        <v>0</v>
      </c>
      <c r="R175" s="32">
        <f>'input site'!EZ175</f>
        <v>7.7325875711431502</v>
      </c>
      <c r="S175" s="37" t="str">
        <f>'input site'!FA175</f>
        <v>2050 (part of the EU)</v>
      </c>
      <c r="T175" s="37" t="str">
        <f>Table12[[#This Row],[(Mt CO2 equivalent)]]</f>
        <v>Romania</v>
      </c>
      <c r="U175" s="8">
        <f>VLOOKUP($G175,'NZT data'!$B$3:$F$200,4,FALSE)</f>
        <v>2050</v>
      </c>
      <c r="V175" s="32">
        <f>VLOOKUP($G175,'NZT data'!$B$3:$F$200,5,FALSE)</f>
        <v>2050</v>
      </c>
      <c r="W175" s="32">
        <f>-IF('LUC NGHGI'!EC165="",MIN('LUC NGHGI'!DW165,0.1),MIN('LUC NGHGI'!EC165,0.1))</f>
        <v>50.406757052158191</v>
      </c>
      <c r="X175" s="32">
        <f>'LUC NGHGI'!EC165</f>
        <v>-50.406757052158191</v>
      </c>
      <c r="Y175" s="32">
        <f>'LUC NGHGI'!DY165</f>
        <v>-50.406757052158191</v>
      </c>
      <c r="Z175" s="32">
        <f>'LUC NGHGI'!DZ165</f>
        <v>-50.406757052158191</v>
      </c>
      <c r="AA175" s="32">
        <f>Table12[[#This Row],[2021 emissions]]</f>
        <v>64.817414931411378</v>
      </c>
      <c r="AB175" s="32">
        <f>'LUC NGHGI'!DW165</f>
        <v>-49.258425068588615</v>
      </c>
      <c r="AC175" s="32">
        <f>IF(F175="incl",Table12[[#This Row],[GHG emissions incl LULUCF]]-Table12[[#This Row],[LULUCF emis-sions in 20213]],Table12[[#This Row],[GHG emissions incl LULUCF]])</f>
        <v>114.07584</v>
      </c>
      <c r="AD175" s="32">
        <f>'input site'!BS175</f>
        <v>33.212002438379123</v>
      </c>
      <c r="AE175" s="32">
        <f>'LUC NGHGI'!EH165</f>
        <v>-57.21424063188644</v>
      </c>
      <c r="AF175" s="32">
        <f>IF(F175="incl",Table12[[#This Row],[Current Policies 2030 incl LULUCF]]-Table12[[#This Row],[LULUCF CurPol 2030]],Table12[[#This Row],[Current Policies 2030 incl LULUCF]])</f>
        <v>90.426243070265571</v>
      </c>
      <c r="AG175" s="32">
        <f>IF(Table12[[#This Row],[Net-zero target status]]&lt;=1,"",IF(Table12[[#This Row],[NZ GHG year]]="","",1000000000*(Table12[[#This Row],[residual LULUCF emissions in 2050]]-Table12[[#This Row],[GHG emissions excl LULUCF]])/(Table12[[#This Row],[NZ GHG year]]-2021)/Table12[[#This Row],[Population]]))</f>
        <v>-115.36161908195598</v>
      </c>
      <c r="AH175" s="32">
        <f>IF(Table12[[#This Row],[Peak revised]]="Yes",IF(Table12[[#This Row],[Net-zero target status]]&lt;=1,"",IF(Table12[[#This Row],[NZ GHG year]]="","",1000000000*(Table12[[#This Row],[residual LULUCF emissions in 2050]]-Table12[[#This Row],[GHG emissions excl LULUCF]])/(Table12[[#This Row],[NZ GHG year]]-2021)/Table12[[#This Row],[Population]])),"")</f>
        <v>-115.36161908195598</v>
      </c>
      <c r="AI175" s="32">
        <f>MAX(0,(1000000*(Table12[[#This Row],[Current Policies 2030 excl LULUCF]]/2+Table12[[#This Row],[GHG emissions excl LULUCF]]/2)/Table12[[#This Row],[Population]]-$AI$8)*10)*$AI$10</f>
        <v>0</v>
      </c>
      <c r="AJ17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5" s="32" t="str">
        <f>IF(Table12[[#This Row],[Formule no Peak (2)]]="","",Table12[[#This Row],[Penalty (1)]]+Table12[[#This Row],[Formule no Peak (2)]])</f>
        <v/>
      </c>
      <c r="AL175" s="313">
        <f>(Table12[[#This Row],[Current Policies 2030 excl LULUCF]]-Table12[[#This Row],[GHG emissions excl LULUCF]])/(2030-2021)/Table12[[#This Row],[GHG emissions excl LULUCF]]</f>
        <v>-2.3034965091580428E-2</v>
      </c>
      <c r="AM175" s="313">
        <f>IF(Table12[[#This Row],[Net-zero target status]]&lt;=1,"",IF(Table12[[#This Row],[NZ GHG year]]="","",(Table12[[#This Row],[residual LULUCF emissions in 2050]]-Table12[[#This Row],[Current Policies 2030 excl LULUCF]])/(Table12[[#This Row],[NZ GHG year]]-2030)/Table12[[#This Row],[Current Policies 2030 excl LULUCF]]))</f>
        <v>-2.2128247652072806E-2</v>
      </c>
      <c r="AN175" s="313">
        <f>IF(Table12[[#This Row],[Net-zero target status]]&lt;=1,"",IF(Table12[[#This Row],[NZ GHG year]]="","",(Table12[[#This Row],[residual LULUCF emissions in 2050]]-Table12[[#This Row],[GHG emissions excl LULUCF]])/(Table12[[#This Row],[NZ GHG year]]-2021)/Table12[[#This Row],[GHG emissions excl LULUCF]]))</f>
        <v>-1.924584222996821E-2</v>
      </c>
      <c r="AO175" s="313" t="e">
        <f>IF(Table12[[#This Row],[Net-zero target status]]&lt;=1,"",IF(Table12[[#This Row],[NZ GHG year]]="","",(Table12[[#This Row],[residual LULUCF emissions in 2050]]-Table12[[#This Row],[2030 conditional NDCs]])/(Table12[[#This Row],[NZ GHG year]]-2030)/Table12[[#This Row],[2030 conditional NDCs]]))</f>
        <v>#DIV/0!</v>
      </c>
      <c r="AP175" s="96">
        <f>MAX('input site'!AH175:AS175)</f>
        <v>93.590196762069041</v>
      </c>
      <c r="AQ175" s="95" t="str">
        <f>IF(Table12[[#This Row],[Current Policies 2030 incl LULUCF]]&gt;Table12[[#This Row],[Maximum inventory data]],"No","Yes")</f>
        <v>Yes</v>
      </c>
      <c r="AR175" s="34">
        <f>IF(Table12[[#This Row],[Net-zero target status]]&gt;=1.5,Table12[[#This Row],[residual LULUCF emissions in 2050]]/Table12[[#This Row],[GHG emissions excl LULUCF]],"")</f>
        <v>0.44187057533092189</v>
      </c>
      <c r="AS175" s="74" t="str">
        <f>'input site'!BE175</f>
        <v/>
      </c>
      <c r="AT175" s="74"/>
      <c r="AU175" s="74"/>
      <c r="AV175" s="75"/>
      <c r="AW175" s="74" t="str">
        <f>IF(Table12[[#This Row],[2030 unconditional NDCs]]="","",IF(F175="incl",Table12[[#This Row],[2030 unconditional NDCs]]-Table12[[#This Row],[LULUCF NDC uncond]],Table12[[#This Row],[2030 unconditional NDCs]]))</f>
        <v/>
      </c>
      <c r="AX175" s="74" t="str">
        <f>IF(Table12[[#This Row],[2030 unconditional NDCs2]]="","",IF(F175="incl",Table12[[#This Row],[2030 unconditional NDCs2]]-Table12[[#This Row],[LULUCF NDC uncond]],Table12[[#This Row],[2030 unconditional NDCs2]]))</f>
        <v/>
      </c>
      <c r="AY175" s="74" t="str">
        <f>IF(Table12[[#This Row],[2030 conditional NDCs]]="","",IF(F175="incl",Table12[[#This Row],[2030 conditional NDCs]]-Table12[[#This Row],[LULUCF NDC cond]],Table12[[#This Row],[2030 conditional NDCs]]))</f>
        <v/>
      </c>
      <c r="AZ175" s="74" t="str">
        <f>IF(Table12[[#This Row],[2030 conditional NDCs2]]="","",IF(F175="incl",Table12[[#This Row],[2030 conditional NDCs2]]-Table12[[#This Row],[LULUCF NDC cond]],Table12[[#This Row],[2030 conditional NDCs2]]))</f>
        <v/>
      </c>
      <c r="BA175" s="8">
        <f>VLOOKUP($G175,'Population90 20'!$C$6:$AU$231,37,FALSE)</f>
        <v>19031335</v>
      </c>
      <c r="BB175" s="8">
        <f>VLOOKUP($G175,'Overview GDP (PPP)'!$C$6:$AI$231,33,FALSE)</f>
        <v>477968049.19178426</v>
      </c>
      <c r="BC175" s="36">
        <f>Table12[[#This Row],[Income]]/Table12[[#This Row],[Population]]</f>
        <v>25.114793533495376</v>
      </c>
      <c r="BD175" s="36">
        <f>Table12[[#This Row],[GHG emissions excl LULUCF]]*1000000/Table12[[#This Row],[Population]]</f>
        <v>5.9941060361766532</v>
      </c>
      <c r="BE175" s="23" t="e">
        <f>VLOOKUP($G175,EGR2023_MASTER!$B$4:$S$38,14,FALSE)</f>
        <v>#N/A</v>
      </c>
      <c r="BF175" s="23" t="e">
        <f>VLOOKUP($G175,EGR2023_MASTER!$B$4:$S$38,15,FALSE)</f>
        <v>#N/A</v>
      </c>
      <c r="BG175" s="23" t="e">
        <f>VLOOKUP($G175,EGR2023_MASTER!$B$4:$S$38,16,FALSE)</f>
        <v>#N/A</v>
      </c>
      <c r="BH175" s="23" t="e">
        <f t="shared" si="24"/>
        <v>#N/A</v>
      </c>
      <c r="BI175" s="23" t="e">
        <f t="shared" si="25"/>
        <v>#N/A</v>
      </c>
      <c r="BJ175" s="552">
        <f>(Table12[[#This Row],[Current Policies 2030 excl LULUCF]]/Table12[[#This Row],[GHG emissions excl LULUCF]])^(1/(2030-2021))-1</f>
        <v>-2.5483988328129703E-2</v>
      </c>
      <c r="BK175" s="552">
        <f>IF(Table12[[#This Row],[Net-zero target status]]&lt;=1,"",IF(Table12[[#This Row],[NZ GHG year]]="","",((MAX(Table12[[#This Row],[residual LULUCF emissions in 2050]],0.1)/Table12[[#This Row],[Current Policies 2030 excl LULUCF]])^(1/(Table12[[#This Row],[NZ GHG year]]-2021))-1)))</f>
        <v>-1.9950349168716741E-2</v>
      </c>
      <c r="BL175" s="552">
        <f>IF(Table12[[#This Row],[Net-zero target status]]&lt;=1,"",IF(Table12[[#This Row],[NZ GHG year]]="","",((MAX(Table12[[#This Row],[residual LULUCF emissions in 2050]],0.1)/Table12[[#This Row],[GHG emissions excl LULUCF]])^(1/(Table12[[#This Row],[NZ GHG year]]-2021))-1)))</f>
        <v>-2.7770496937288613E-2</v>
      </c>
      <c r="BM175" s="552" t="e">
        <f>IF(Table12[[#This Row],[Net-zero target status]]&lt;=1,"",IF(Table12[[#This Row],[NZ GHG year]]="","",((MAX(Table12[[#This Row],[residual LULUCF emissions in 2050]],0.1)/AVERAGE(Table12[[#This Row],[2030 conditional NDCs]:[2030 conditional NDCs2]]))^(1/(Table12[[#This Row],[NZ GHG year]]-2021))-1)))</f>
        <v>#DIV/0!</v>
      </c>
      <c r="BN175" s="23"/>
      <c r="BO175" s="23"/>
      <c r="BP175" s="23"/>
      <c r="BQ175" s="23"/>
      <c r="BR175" s="50" t="s">
        <v>379</v>
      </c>
      <c r="BT175" s="30">
        <f>IF(Table12[[#This Row],[Reduction rate 2021 to NZ target2]]="","",J175*(1+AN175)^(Table12[[#This Row],[NZ GHG year]]-2021))</f>
        <v>36.892347142113088</v>
      </c>
    </row>
    <row r="176" spans="1:72" ht="15" x14ac:dyDescent="0.25">
      <c r="A176">
        <v>1</v>
      </c>
      <c r="B176">
        <v>1</v>
      </c>
      <c r="C176">
        <v>643</v>
      </c>
      <c r="D176">
        <v>167</v>
      </c>
      <c r="E176">
        <v>16</v>
      </c>
      <c r="F176" t="str">
        <f>'input site'!M176</f>
        <v>incl</v>
      </c>
      <c r="G176" s="31" t="s">
        <v>380</v>
      </c>
      <c r="H176" s="1" t="s">
        <v>381</v>
      </c>
      <c r="I176" s="8">
        <f>VLOOKUP($G176,'NZT data'!$B$3:$C$200,2,FALSE)</f>
        <v>3</v>
      </c>
      <c r="J176" s="32">
        <f>'input site'!AS176</f>
        <v>1671.77465819999</v>
      </c>
      <c r="K176" s="32">
        <f>'input site'!BS176</f>
        <v>1803.3771344301699</v>
      </c>
      <c r="L176" s="32">
        <f t="shared" si="26"/>
        <v>1057.7377138888887</v>
      </c>
      <c r="M176" s="32">
        <f t="shared" si="27"/>
        <v>1057.7377138888887</v>
      </c>
      <c r="N176" s="32">
        <f>'input site'!EV176</f>
        <v>255.60400630796065</v>
      </c>
      <c r="O176" s="32">
        <f>'input site'!EW176</f>
        <v>1057.7377138888887</v>
      </c>
      <c r="P176" s="8"/>
      <c r="Q176" s="32">
        <f t="shared" si="28"/>
        <v>1057.7377138888887</v>
      </c>
      <c r="R176" s="32">
        <f>'input site'!EZ176</f>
        <v>242.93067269320878</v>
      </c>
      <c r="S176" s="37">
        <f>'input site'!FA176</f>
        <v>0</v>
      </c>
      <c r="T176" s="37" t="str">
        <f>Table12[[#This Row],[(Mt CO2 equivalent)]]</f>
        <v>Russian Federation</v>
      </c>
      <c r="U176" s="8">
        <f>VLOOKUP($G176,'NZT data'!$B$3:$F$200,4,FALSE)</f>
        <v>2060</v>
      </c>
      <c r="V176" s="32">
        <f>VLOOKUP($G176,'NZT data'!$B$3:$F$200,5,FALSE)</f>
        <v>2060</v>
      </c>
      <c r="W176" s="32">
        <f>-IF('LUC NGHGI'!EC166="",MIN('LUC NGHGI'!DW166,0.1),MIN('LUC NGHGI'!EC166,0.1))</f>
        <v>557.61031124185638</v>
      </c>
      <c r="X176" s="32">
        <f>'LUC NGHGI'!EC166</f>
        <v>-557.61031124185638</v>
      </c>
      <c r="Y176" s="32">
        <f>'LUC NGHGI'!DY166</f>
        <v>-539</v>
      </c>
      <c r="Z176" s="32">
        <f>'LUC NGHGI'!DZ166</f>
        <v>-539</v>
      </c>
      <c r="AA176" s="32">
        <f>Table12[[#This Row],[2021 emissions]]</f>
        <v>1671.77465819999</v>
      </c>
      <c r="AB176" s="32">
        <f>'LUC NGHGI'!DW166</f>
        <v>-484.93769541021891</v>
      </c>
      <c r="AC176" s="32">
        <f>IF(F176="incl",Table12[[#This Row],[GHG emissions incl LULUCF]]-Table12[[#This Row],[LULUCF emis-sions in 20213]],Table12[[#This Row],[GHG emissions incl LULUCF]])</f>
        <v>2156.712353610209</v>
      </c>
      <c r="AD176" s="32">
        <f>'input site'!BS176</f>
        <v>1803.3771344301699</v>
      </c>
      <c r="AE176" s="32">
        <f>'LUC NGHGI'!EH166</f>
        <v>-419.134514999999</v>
      </c>
      <c r="AF176" s="32">
        <f>IF(F176="incl",Table12[[#This Row],[Current Policies 2030 incl LULUCF]]-Table12[[#This Row],[LULUCF CurPol 2030]],Table12[[#This Row],[Current Policies 2030 incl LULUCF]])</f>
        <v>2222.5116494301687</v>
      </c>
      <c r="AG176" s="32">
        <f>IF(Table12[[#This Row],[Net-zero target status]]&lt;=1,"",IF(Table12[[#This Row],[NZ GHG year]]="","",1000000000*(Table12[[#This Row],[residual LULUCF emissions in 2050]]-Table12[[#This Row],[GHG emissions excl LULUCF]])/(Table12[[#This Row],[NZ GHG year]]-2021)/Table12[[#This Row],[Population]]))</f>
        <v>-281.2136083241063</v>
      </c>
      <c r="AH176" s="32">
        <f>IF(Table12[[#This Row],[Peak revised]]="Yes",IF(Table12[[#This Row],[Net-zero target status]]&lt;=1,"",IF(Table12[[#This Row],[NZ GHG year]]="","",1000000000*(Table12[[#This Row],[residual LULUCF emissions in 2050]]-Table12[[#This Row],[GHG emissions excl LULUCF]])/(Table12[[#This Row],[NZ GHG year]]-2021)/Table12[[#This Row],[Population]])),"")</f>
        <v>-281.2136083241063</v>
      </c>
      <c r="AI176" s="32">
        <f>MAX(0,(1000000*(Table12[[#This Row],[Current Policies 2030 excl LULUCF]]/2+Table12[[#This Row],[GHG emissions excl LULUCF]]/2)/Table12[[#This Row],[Population]]-$AI$8)*10)*$AI$10</f>
        <v>-801.73024253955077</v>
      </c>
      <c r="AJ17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6" s="32" t="str">
        <f>IF(Table12[[#This Row],[Formule no Peak (2)]]="","",Table12[[#This Row],[Penalty (1)]]+Table12[[#This Row],[Formule no Peak (2)]])</f>
        <v/>
      </c>
      <c r="AL176" s="313">
        <f>(Table12[[#This Row],[Current Policies 2030 excl LULUCF]]-Table12[[#This Row],[GHG emissions excl LULUCF]])/(2030-2021)/Table12[[#This Row],[GHG emissions excl LULUCF]]</f>
        <v>3.3898970609808859E-3</v>
      </c>
      <c r="AM176" s="313">
        <f>IF(Table12[[#This Row],[Net-zero target status]]&lt;=1,"",IF(Table12[[#This Row],[NZ GHG year]]="","",(Table12[[#This Row],[residual LULUCF emissions in 2050]]-Table12[[#This Row],[Current Policies 2030 excl LULUCF]])/(Table12[[#This Row],[NZ GHG year]]-2030)/Table12[[#This Row],[Current Policies 2030 excl LULUCF]]))</f>
        <v>-2.4970267889112118E-2</v>
      </c>
      <c r="AN176" s="313">
        <f>IF(Table12[[#This Row],[Net-zero target status]]&lt;=1,"",IF(Table12[[#This Row],[NZ GHG year]]="","",(Table12[[#This Row],[residual LULUCF emissions in 2050]]-Table12[[#This Row],[GHG emissions excl LULUCF]])/(Table12[[#This Row],[NZ GHG year]]-2021)/Table12[[#This Row],[GHG emissions excl LULUCF]]))</f>
        <v>-1.9011629623369775E-2</v>
      </c>
      <c r="AO176" s="313">
        <f>IF(Table12[[#This Row],[Net-zero target status]]&lt;=1,"",IF(Table12[[#This Row],[NZ GHG year]]="","",(Table12[[#This Row],[residual LULUCF emissions in 2050]]-Table12[[#This Row],[2030 conditional NDCs]])/(Table12[[#This Row],[NZ GHG year]]-2030)/Table12[[#This Row],[2030 conditional NDCs]]))</f>
        <v>-2.20497667830118E-2</v>
      </c>
      <c r="AP176" s="581">
        <f>MAX('input site'!O76:AS176)</f>
        <v>3024.6467601999998</v>
      </c>
      <c r="AQ176" s="95" t="str">
        <f>IF(Table12[[#This Row],[Current Policies 2030 incl LULUCF]]&gt;Table12[[#This Row],[Maximum inventory data]],"No","Yes")</f>
        <v>Yes</v>
      </c>
      <c r="AR176" s="34">
        <f>IF(Table12[[#This Row],[Net-zero target status]]&gt;=1.5,Table12[[#This Row],[residual LULUCF emissions in 2050]]/Table12[[#This Row],[GHG emissions excl LULUCF]],"")</f>
        <v>0.25854644468857874</v>
      </c>
      <c r="AS176" s="82">
        <f>'input site'!BE176</f>
        <v>2160.5919999999996</v>
      </c>
      <c r="AT176" s="82">
        <f>'input site'!BF176</f>
        <v>2160.5919999999996</v>
      </c>
      <c r="AU176" s="82">
        <f>'input site'!BG176</f>
        <v>1647.26377</v>
      </c>
      <c r="AV176" s="83">
        <f>'input site'!BH176</f>
        <v>1647.26377</v>
      </c>
      <c r="AW176" s="74">
        <f>IF(Table12[[#This Row],[2030 unconditional NDCs]]="","",IF(F176="incl",Table12[[#This Row],[2030 unconditional NDCs]]-Table12[[#This Row],[LULUCF NDC uncond]],Table12[[#This Row],[2030 unconditional NDCs]]))</f>
        <v>2699.5919999999996</v>
      </c>
      <c r="AX176" s="74">
        <f>IF(Table12[[#This Row],[2030 unconditional NDCs2]]="","",IF(F176="incl",Table12[[#This Row],[2030 unconditional NDCs2]]-Table12[[#This Row],[LULUCF NDC uncond]],Table12[[#This Row],[2030 unconditional NDCs2]]))</f>
        <v>2699.5919999999996</v>
      </c>
      <c r="AY176" s="74">
        <f>IF(Table12[[#This Row],[2030 conditional NDCs]]="","",IF(F176="incl",Table12[[#This Row],[2030 conditional NDCs]]-Table12[[#This Row],[LULUCF NDC cond]],Table12[[#This Row],[2030 conditional NDCs]]))</f>
        <v>2186.26377</v>
      </c>
      <c r="AZ176" s="74">
        <f>IF(Table12[[#This Row],[2030 conditional NDCs2]]="","",IF(F176="incl",Table12[[#This Row],[2030 conditional NDCs2]]-Table12[[#This Row],[LULUCF NDC cond]],Table12[[#This Row],[2030 conditional NDCs2]]))</f>
        <v>2186.26377</v>
      </c>
      <c r="BA176" s="8">
        <f>VLOOKUP($G176,'Population90 20'!$C$6:$AU$231,37,FALSE)</f>
        <v>145805947</v>
      </c>
      <c r="BB176" s="8">
        <f>VLOOKUP($G176,'Overview GDP (PPP)'!$C$6:$AI$231,33,FALSE)</f>
        <v>3763168723.0519905</v>
      </c>
      <c r="BC176" s="36">
        <f>Table12[[#This Row],[Income]]/Table12[[#This Row],[Population]]</f>
        <v>25.809432334416307</v>
      </c>
      <c r="BD176" s="36">
        <f>Table12[[#This Row],[GHG emissions excl LULUCF]]*1000000/Table12[[#This Row],[Population]]</f>
        <v>14.791662466347885</v>
      </c>
      <c r="BE176" s="23" t="str">
        <f>VLOOKUP($G176,EGR2023_MASTER!$B$4:$S$38,14,FALSE)</f>
        <v>Y</v>
      </c>
      <c r="BF176" s="23" t="str">
        <f>VLOOKUP($G176,EGR2023_MASTER!$B$4:$S$38,15,FALSE)</f>
        <v>Credible</v>
      </c>
      <c r="BG176" s="23" t="str">
        <f>VLOOKUP($G176,EGR2023_MASTER!$B$4:$S$38,16,FALSE)</f>
        <v>n</v>
      </c>
      <c r="BH176" s="23" t="str">
        <f t="shared" si="24"/>
        <v>lower</v>
      </c>
      <c r="BI176" s="23" t="str">
        <f t="shared" si="25"/>
        <v>weak</v>
      </c>
      <c r="BJ176" s="552">
        <f>(Table12[[#This Row],[Current Policies 2030 excl LULUCF]]/Table12[[#This Row],[GHG emissions excl LULUCF]])^(1/(2030-2021))-1</f>
        <v>3.3447954199394836E-3</v>
      </c>
      <c r="BK176" s="552">
        <f>IF(Table12[[#This Row],[Net-zero target status]]&lt;=1,"",IF(Table12[[#This Row],[NZ GHG year]]="","",((MAX(Table12[[#This Row],[residual LULUCF emissions in 2050]],0.1)/Table12[[#This Row],[Current Policies 2030 excl LULUCF]])^(1/(Table12[[#This Row],[NZ GHG year]]-2021))-1)))</f>
        <v>-3.4833533769018099E-2</v>
      </c>
      <c r="BL176" s="552">
        <f>IF(Table12[[#This Row],[Net-zero target status]]&lt;=1,"",IF(Table12[[#This Row],[NZ GHG year]]="","",((MAX(Table12[[#This Row],[residual LULUCF emissions in 2050]],0.1)/Table12[[#This Row],[GHG emissions excl LULUCF]])^(1/(Table12[[#This Row],[NZ GHG year]]-2021))-1)))</f>
        <v>-3.408950157878432E-2</v>
      </c>
      <c r="BM176" s="552">
        <f>IF(Table12[[#This Row],[Net-zero target status]]&lt;=1,"",IF(Table12[[#This Row],[NZ GHG year]]="","",((MAX(Table12[[#This Row],[residual LULUCF emissions in 2050]],0.1)/AVERAGE(Table12[[#This Row],[2030 conditional NDCs]:[2030 conditional NDCs2]]))^(1/(Table12[[#This Row],[NZ GHG year]]-2021))-1)))</f>
        <v>-2.73924600314428E-2</v>
      </c>
      <c r="BN176" s="23"/>
      <c r="BO176" s="23"/>
      <c r="BP176" s="23"/>
      <c r="BQ176" s="23"/>
      <c r="BR176" s="50" t="s">
        <v>381</v>
      </c>
      <c r="BT176" s="30">
        <f>IF(Table12[[#This Row],[Reduction rate 2021 to NZ target2]]="","",J176*(1+AN176)^(Table12[[#This Row],[NZ GHG year]]-2021))</f>
        <v>790.80286246382877</v>
      </c>
    </row>
    <row r="177" spans="1:72" ht="15" x14ac:dyDescent="0.25">
      <c r="A177">
        <v>0</v>
      </c>
      <c r="B177">
        <v>0</v>
      </c>
      <c r="C177">
        <v>646</v>
      </c>
      <c r="D177">
        <v>168</v>
      </c>
      <c r="E177">
        <v>9</v>
      </c>
      <c r="F177" t="str">
        <f>'input site'!M177</f>
        <v>excl</v>
      </c>
      <c r="G177" s="31" t="s">
        <v>382</v>
      </c>
      <c r="H177" s="1" t="s">
        <v>383</v>
      </c>
      <c r="I177" s="8">
        <f>VLOOKUP($G177,'NZT data'!$B$3:$C$200,2,FALSE)</f>
        <v>1</v>
      </c>
      <c r="J177" s="32">
        <f>'input site'!AS177</f>
        <v>9.1180831999999992</v>
      </c>
      <c r="K177" s="32">
        <f>'input site'!BS177</f>
        <v>14.350916159759359</v>
      </c>
      <c r="L177" s="32">
        <f t="shared" si="26"/>
        <v>0</v>
      </c>
      <c r="M177" s="32">
        <f t="shared" si="27"/>
        <v>0</v>
      </c>
      <c r="N177" s="32">
        <f>'input site'!EV177</f>
        <v>10.177065761259756</v>
      </c>
      <c r="O177" s="8"/>
      <c r="P177" s="36"/>
      <c r="Q177" s="32">
        <f t="shared" si="28"/>
        <v>0</v>
      </c>
      <c r="R177" s="32">
        <f>'input site'!EZ177</f>
        <v>9.2985113053951505</v>
      </c>
      <c r="S177" s="37">
        <f>'input site'!FA177</f>
        <v>2050</v>
      </c>
      <c r="T177" s="37" t="str">
        <f>Table12[[#This Row],[(Mt CO2 equivalent)]]</f>
        <v>Rwanda</v>
      </c>
      <c r="U177" s="8">
        <f>VLOOKUP($G177,'NZT data'!$B$3:$F$200,4,FALSE)</f>
        <v>2110</v>
      </c>
      <c r="V177" s="32">
        <f>VLOOKUP($G177,'NZT data'!$B$3:$F$200,5,FALSE)</f>
        <v>2125</v>
      </c>
      <c r="W177" s="32">
        <f>-IF('LUC NGHGI'!EC167="",MIN('LUC NGHGI'!DW167,0.1),MIN('LUC NGHGI'!EC167,0.1))</f>
        <v>4.6765579704433549</v>
      </c>
      <c r="X177" s="32">
        <f>'LUC NGHGI'!EC167</f>
        <v>-4.6765579704433549</v>
      </c>
      <c r="Y177" s="32">
        <f>'LUC NGHGI'!DY167</f>
        <v>-4.6765579704433549</v>
      </c>
      <c r="Z177" s="32">
        <f>'LUC NGHGI'!DZ167</f>
        <v>-8.6765579704433549</v>
      </c>
      <c r="AA177" s="32">
        <f>Table12[[#This Row],[2021 emissions]]</f>
        <v>9.1180831999999992</v>
      </c>
      <c r="AB177" s="32">
        <f>'LUC NGHGI'!DW167</f>
        <v>-4.7199640935960616</v>
      </c>
      <c r="AC177" s="32">
        <f>IF(F177="incl",Table12[[#This Row],[GHG emissions incl LULUCF]]-Table12[[#This Row],[LULUCF emis-sions in 20213]],Table12[[#This Row],[GHG emissions incl LULUCF]])</f>
        <v>9.1180831999999992</v>
      </c>
      <c r="AD177" s="32">
        <f>'input site'!BS177</f>
        <v>14.350916159759359</v>
      </c>
      <c r="AE177" s="32">
        <f>'LUC NGHGI'!EH167</f>
        <v>-5.7781525585887401</v>
      </c>
      <c r="AF177" s="32">
        <f>IF(F177="incl",Table12[[#This Row],[Current Policies 2030 incl LULUCF]]-Table12[[#This Row],[LULUCF CurPol 2030]],Table12[[#This Row],[Current Policies 2030 incl LULUCF]])</f>
        <v>14.350916159759359</v>
      </c>
      <c r="AG177" s="32" t="str">
        <f>IF(Table12[[#This Row],[Net-zero target status]]&lt;=1,"",IF(Table12[[#This Row],[NZ GHG year]]="","",1000000000*(Table12[[#This Row],[residual LULUCF emissions in 2050]]-Table12[[#This Row],[GHG emissions excl LULUCF]])/(Table12[[#This Row],[NZ GHG year]]-2021)/Table12[[#This Row],[Population]]))</f>
        <v/>
      </c>
      <c r="AH177" s="32" t="str">
        <f>IF(Table12[[#This Row],[Peak revised]]="Yes",IF(Table12[[#This Row],[Net-zero target status]]&lt;=1,"",IF(Table12[[#This Row],[NZ GHG year]]="","",1000000000*(Table12[[#This Row],[residual LULUCF emissions in 2050]]-Table12[[#This Row],[GHG emissions excl LULUCF]])/(Table12[[#This Row],[NZ GHG year]]-2021)/Table12[[#This Row],[Population]])),"")</f>
        <v/>
      </c>
      <c r="AI177" s="32">
        <f>MAX(0,(1000000*(Table12[[#This Row],[Current Policies 2030 excl LULUCF]]/2+Table12[[#This Row],[GHG emissions excl LULUCF]]/2)/Table12[[#This Row],[Population]]-$AI$8)*10)*$AI$10</f>
        <v>0</v>
      </c>
      <c r="AJ17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7" s="32" t="str">
        <f>IF(Table12[[#This Row],[Formule no Peak (2)]]="","",Table12[[#This Row],[Penalty (1)]]+Table12[[#This Row],[Formule no Peak (2)]])</f>
        <v/>
      </c>
      <c r="AL177" s="313">
        <f>(Table12[[#This Row],[Current Policies 2030 excl LULUCF]]-Table12[[#This Row],[GHG emissions excl LULUCF]])/(2030-2021)/Table12[[#This Row],[GHG emissions excl LULUCF]]</f>
        <v>6.3766240301218871E-2</v>
      </c>
      <c r="AM177" s="313" t="str">
        <f>IF(Table12[[#This Row],[Net-zero target status]]&lt;=1,"",IF(Table12[[#This Row],[NZ GHG year]]="","",(Table12[[#This Row],[residual LULUCF emissions in 2050]]-Table12[[#This Row],[Current Policies 2030 excl LULUCF]])/(Table12[[#This Row],[NZ GHG year]]-2030)/Table12[[#This Row],[Current Policies 2030 excl LULUCF]]))</f>
        <v/>
      </c>
      <c r="AN177" s="313" t="str">
        <f>IF(Table12[[#This Row],[Net-zero target status]]&lt;=1,"",IF(Table12[[#This Row],[NZ GHG year]]="","",(Table12[[#This Row],[residual LULUCF emissions in 2050]]-Table12[[#This Row],[GHG emissions excl LULUCF]])/(Table12[[#This Row],[NZ GHG year]]-2021)/Table12[[#This Row],[GHG emissions excl LULUCF]]))</f>
        <v/>
      </c>
      <c r="AO177" s="313" t="str">
        <f>IF(Table12[[#This Row],[Net-zero target status]]&lt;=1,"",IF(Table12[[#This Row],[NZ GHG year]]="","",(Table12[[#This Row],[residual LULUCF emissions in 2050]]-Table12[[#This Row],[2030 conditional NDCs]])/(Table12[[#This Row],[NZ GHG year]]-2030)/Table12[[#This Row],[2030 conditional NDCs]]))</f>
        <v/>
      </c>
      <c r="AP177" s="96">
        <f>MAX('input site'!AH177:AS177)</f>
        <v>9.1180831999999992</v>
      </c>
      <c r="AQ177" s="95" t="str">
        <f>IF(Table12[[#This Row],[Current Policies 2030 incl LULUCF]]&gt;Table12[[#This Row],[Maximum inventory data]],"No","Yes")</f>
        <v>No</v>
      </c>
      <c r="AR177" s="34" t="str">
        <f>IF(Table12[[#This Row],[Net-zero target status]]&gt;=1.5,Table12[[#This Row],[residual LULUCF emissions in 2050]]/Table12[[#This Row],[GHG emissions excl LULUCF]],"")</f>
        <v/>
      </c>
      <c r="AS177" s="74" t="str">
        <f>'input site'!BE177</f>
        <v/>
      </c>
      <c r="AT177" s="74"/>
      <c r="AU177" s="74"/>
      <c r="AV177" s="75"/>
      <c r="AW177" s="74" t="str">
        <f>IF(Table12[[#This Row],[2030 unconditional NDCs]]="","",IF(F177="incl",Table12[[#This Row],[2030 unconditional NDCs]]-Table12[[#This Row],[LULUCF NDC uncond]],Table12[[#This Row],[2030 unconditional NDCs]]))</f>
        <v/>
      </c>
      <c r="AX177" s="74" t="str">
        <f>IF(Table12[[#This Row],[2030 unconditional NDCs2]]="","",IF(F177="incl",Table12[[#This Row],[2030 unconditional NDCs2]]-Table12[[#This Row],[LULUCF NDC uncond]],Table12[[#This Row],[2030 unconditional NDCs2]]))</f>
        <v/>
      </c>
      <c r="AY177" s="74" t="str">
        <f>IF(Table12[[#This Row],[2030 conditional NDCs]]="","",IF(F177="incl",Table12[[#This Row],[2030 conditional NDCs]]-Table12[[#This Row],[LULUCF NDC cond]],Table12[[#This Row],[2030 conditional NDCs]]))</f>
        <v/>
      </c>
      <c r="AZ177" s="74" t="str">
        <f>IF(Table12[[#This Row],[2030 conditional NDCs2]]="","",IF(F177="incl",Table12[[#This Row],[2030 conditional NDCs2]]-Table12[[#This Row],[LULUCF NDC cond]],Table12[[#This Row],[2030 conditional NDCs2]]))</f>
        <v/>
      </c>
      <c r="BA177" s="8">
        <f>VLOOKUP($G177,'Population90 20'!$C$6:$AU$231,37,FALSE)</f>
        <v>13600464</v>
      </c>
      <c r="BB177" s="8">
        <f>VLOOKUP($G177,'Overview GDP (PPP)'!$C$6:$AI$231,33,FALSE)</f>
        <v>24642434.019289263</v>
      </c>
      <c r="BC177" s="36">
        <f>Table12[[#This Row],[Income]]/Table12[[#This Row],[Population]]</f>
        <v>1.8118818607430793</v>
      </c>
      <c r="BD177" s="36">
        <f>Table12[[#This Row],[GHG emissions excl LULUCF]]*1000000/Table12[[#This Row],[Population]]</f>
        <v>0.6704244208138781</v>
      </c>
      <c r="BE177" s="23" t="e">
        <f>VLOOKUP($G177,EGR2023_MASTER!$B$4:$S$38,14,FALSE)</f>
        <v>#N/A</v>
      </c>
      <c r="BF177" s="23" t="e">
        <f>VLOOKUP($G177,EGR2023_MASTER!$B$4:$S$38,15,FALSE)</f>
        <v>#N/A</v>
      </c>
      <c r="BG177" s="23" t="e">
        <f>VLOOKUP($G177,EGR2023_MASTER!$B$4:$S$38,16,FALSE)</f>
        <v>#N/A</v>
      </c>
      <c r="BH177" s="23" t="e">
        <f t="shared" si="24"/>
        <v>#N/A</v>
      </c>
      <c r="BI177" s="23" t="e">
        <f t="shared" si="25"/>
        <v>#N/A</v>
      </c>
      <c r="BJ177" s="552">
        <f>(Table12[[#This Row],[Current Policies 2030 excl LULUCF]]/Table12[[#This Row],[GHG emissions excl LULUCF]])^(1/(2030-2021))-1</f>
        <v>5.1686334369222875E-2</v>
      </c>
      <c r="BK177" s="552" t="str">
        <f>IF(Table12[[#This Row],[Net-zero target status]]&lt;=1,"",IF(Table12[[#This Row],[NZ GHG year]]="","",((MAX(Table12[[#This Row],[residual LULUCF emissions in 2050]],0.1)/Table12[[#This Row],[Current Policies 2030 excl LULUCF]])^(1/(Table12[[#This Row],[NZ GHG year]]-2021))-1)))</f>
        <v/>
      </c>
      <c r="BL177" s="552" t="str">
        <f>IF(Table12[[#This Row],[Net-zero target status]]&lt;=1,"",IF(Table12[[#This Row],[NZ GHG year]]="","",((MAX(Table12[[#This Row],[residual LULUCF emissions in 2050]],0.1)/Table12[[#This Row],[GHG emissions excl LULUCF]])^(1/(Table12[[#This Row],[NZ GHG year]]-2021))-1)))</f>
        <v/>
      </c>
      <c r="BM177" s="552" t="str">
        <f>IF(Table12[[#This Row],[Net-zero target status]]&lt;=1,"",IF(Table12[[#This Row],[NZ GHG year]]="","",((MAX(Table12[[#This Row],[residual LULUCF emissions in 2050]],0.1)/AVERAGE(Table12[[#This Row],[2030 conditional NDCs]:[2030 conditional NDCs2]]))^(1/(Table12[[#This Row],[NZ GHG year]]-2021))-1)))</f>
        <v/>
      </c>
      <c r="BN177" s="23"/>
      <c r="BO177" s="23"/>
      <c r="BP177" s="23"/>
      <c r="BQ177" s="23"/>
      <c r="BR177" s="50" t="s">
        <v>383</v>
      </c>
      <c r="BT177" s="30" t="str">
        <f>IF(Table12[[#This Row],[Reduction rate 2021 to NZ target2]]="","",J177*(1+AN177)^(Table12[[#This Row],[NZ GHG year]]-2021))</f>
        <v/>
      </c>
    </row>
    <row r="178" spans="1:72" ht="15" x14ac:dyDescent="0.25">
      <c r="A178">
        <v>0</v>
      </c>
      <c r="B178">
        <v>0</v>
      </c>
      <c r="C178">
        <v>882</v>
      </c>
      <c r="D178">
        <v>221</v>
      </c>
      <c r="E178">
        <v>24</v>
      </c>
      <c r="F178" t="str">
        <f>'input site'!M178</f>
        <v>excl</v>
      </c>
      <c r="G178" s="31" t="s">
        <v>384</v>
      </c>
      <c r="H178" s="1" t="s">
        <v>385</v>
      </c>
      <c r="I178" s="8">
        <f>VLOOKUP($G178,'NZT data'!$B$3:$C$200,2,FALSE)</f>
        <v>1</v>
      </c>
      <c r="J178" s="32">
        <f>'input site'!AS178</f>
        <v>0.52251508000000002</v>
      </c>
      <c r="K178" s="32">
        <f>'input site'!BS178</f>
        <v>0.54776751801890533</v>
      </c>
      <c r="L178" s="32">
        <f t="shared" si="26"/>
        <v>0</v>
      </c>
      <c r="M178" s="32">
        <f t="shared" si="27"/>
        <v>0</v>
      </c>
      <c r="N178" s="32">
        <f>'input site'!EV178</f>
        <v>0.20145763125977778</v>
      </c>
      <c r="O178" s="8">
        <v>0</v>
      </c>
      <c r="P178" s="36">
        <f>O178-N178</f>
        <v>-0.20145763125977778</v>
      </c>
      <c r="Q178" s="32">
        <f t="shared" si="28"/>
        <v>0</v>
      </c>
      <c r="R178" s="32">
        <f>'input site'!EZ178</f>
        <v>8.7143254456692118E-2</v>
      </c>
      <c r="S178" s="37">
        <f>'input site'!FA178</f>
        <v>2050</v>
      </c>
      <c r="T178" s="37" t="str">
        <f>Table12[[#This Row],[(Mt CO2 equivalent)]]</f>
        <v>Samoa</v>
      </c>
      <c r="U178" s="8">
        <f>VLOOKUP($G178,'NZT data'!$B$3:$F$200,4,FALSE)</f>
        <v>2110</v>
      </c>
      <c r="V178" s="32">
        <f>VLOOKUP($G178,'NZT data'!$B$3:$F$200,5,FALSE)</f>
        <v>2110</v>
      </c>
      <c r="W178" s="32">
        <f>-IF('LUC NGHGI'!EC168="",MIN('LUC NGHGI'!DW168,0.1),MIN('LUC NGHGI'!EC168,0.1))</f>
        <v>1.0050146818025496</v>
      </c>
      <c r="X178" s="32">
        <f>'LUC NGHGI'!EC168</f>
        <v>-1.0050146818025496</v>
      </c>
      <c r="Y178" s="32">
        <f>'LUC NGHGI'!DY168</f>
        <v>-1.0050146818025496</v>
      </c>
      <c r="Z178" s="32">
        <f>'LUC NGHGI'!DZ168</f>
        <v>-1.0050146818025496</v>
      </c>
      <c r="AA178" s="32">
        <f>Table12[[#This Row],[2021 emissions]]</f>
        <v>0.52251508000000002</v>
      </c>
      <c r="AB178" s="32">
        <f>'LUC NGHGI'!DW168</f>
        <v>-1.0238920055039529</v>
      </c>
      <c r="AC178" s="32">
        <f>IF(F178="incl",Table12[[#This Row],[GHG emissions incl LULUCF]]-Table12[[#This Row],[LULUCF emis-sions in 20213]],Table12[[#This Row],[GHG emissions incl LULUCF]])</f>
        <v>0.52251508000000002</v>
      </c>
      <c r="AD178" s="32">
        <f>'input site'!BS178</f>
        <v>0.54776751801890533</v>
      </c>
      <c r="AE178" s="32">
        <f>'LUC NGHGI'!EH168</f>
        <v>-0.93777353198018032</v>
      </c>
      <c r="AF178" s="32">
        <f>IF(F178="incl",Table12[[#This Row],[Current Policies 2030 incl LULUCF]]-Table12[[#This Row],[LULUCF CurPol 2030]],Table12[[#This Row],[Current Policies 2030 incl LULUCF]])</f>
        <v>0.54776751801890533</v>
      </c>
      <c r="AG178" s="32" t="str">
        <f>IF(Table12[[#This Row],[Net-zero target status]]&lt;=1,"",IF(Table12[[#This Row],[NZ GHG year]]="","",1000000000*(Table12[[#This Row],[residual LULUCF emissions in 2050]]-Table12[[#This Row],[GHG emissions excl LULUCF]])/(Table12[[#This Row],[NZ GHG year]]-2021)/Table12[[#This Row],[Population]]))</f>
        <v/>
      </c>
      <c r="AH178" s="32" t="str">
        <f>IF(Table12[[#This Row],[Peak revised]]="Yes",IF(Table12[[#This Row],[Net-zero target status]]&lt;=1,"",IF(Table12[[#This Row],[NZ GHG year]]="","",1000000000*(Table12[[#This Row],[residual LULUCF emissions in 2050]]-Table12[[#This Row],[GHG emissions excl LULUCF]])/(Table12[[#This Row],[NZ GHG year]]-2021)/Table12[[#This Row],[Population]])),"")</f>
        <v/>
      </c>
      <c r="AI178" s="32">
        <f>MAX(0,(1000000*(Table12[[#This Row],[Current Policies 2030 excl LULUCF]]/2+Table12[[#This Row],[GHG emissions excl LULUCF]]/2)/Table12[[#This Row],[Population]]-$AI$8)*10)*$AI$10</f>
        <v>0</v>
      </c>
      <c r="AJ17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8" s="32" t="str">
        <f>IF(Table12[[#This Row],[Formule no Peak (2)]]="","",Table12[[#This Row],[Penalty (1)]]+Table12[[#This Row],[Formule no Peak (2)]])</f>
        <v/>
      </c>
      <c r="AL178" s="313">
        <f>(Table12[[#This Row],[Current Policies 2030 excl LULUCF]]-Table12[[#This Row],[GHG emissions excl LULUCF]])/(2030-2021)/Table12[[#This Row],[GHG emissions excl LULUCF]]</f>
        <v>5.3698477880198868E-3</v>
      </c>
      <c r="AM178" s="313" t="str">
        <f>IF(Table12[[#This Row],[Net-zero target status]]&lt;=1,"",IF(Table12[[#This Row],[NZ GHG year]]="","",(Table12[[#This Row],[residual LULUCF emissions in 2050]]-Table12[[#This Row],[Current Policies 2030 excl LULUCF]])/(Table12[[#This Row],[NZ GHG year]]-2030)/Table12[[#This Row],[Current Policies 2030 excl LULUCF]]))</f>
        <v/>
      </c>
      <c r="AN178" s="313" t="str">
        <f>IF(Table12[[#This Row],[Net-zero target status]]&lt;=1,"",IF(Table12[[#This Row],[NZ GHG year]]="","",(Table12[[#This Row],[residual LULUCF emissions in 2050]]-Table12[[#This Row],[GHG emissions excl LULUCF]])/(Table12[[#This Row],[NZ GHG year]]-2021)/Table12[[#This Row],[GHG emissions excl LULUCF]]))</f>
        <v/>
      </c>
      <c r="AO178" s="313" t="str">
        <f>IF(Table12[[#This Row],[Net-zero target status]]&lt;=1,"",IF(Table12[[#This Row],[NZ GHG year]]="","",(Table12[[#This Row],[residual LULUCF emissions in 2050]]-Table12[[#This Row],[2030 conditional NDCs]])/(Table12[[#This Row],[NZ GHG year]]-2030)/Table12[[#This Row],[2030 conditional NDCs]]))</f>
        <v/>
      </c>
      <c r="AP178" s="96">
        <f>MAX('input site'!AH178:AS178)</f>
        <v>0.52251508000000002</v>
      </c>
      <c r="AQ178" s="95" t="str">
        <f>IF(Table12[[#This Row],[Current Policies 2030 incl LULUCF]]&gt;Table12[[#This Row],[Maximum inventory data]],"No","Yes")</f>
        <v>No</v>
      </c>
      <c r="AR178" s="34" t="str">
        <f>IF(Table12[[#This Row],[Net-zero target status]]&gt;=1.5,Table12[[#This Row],[residual LULUCF emissions in 2050]]/Table12[[#This Row],[GHG emissions excl LULUCF]],"")</f>
        <v/>
      </c>
      <c r="AS178" s="74" t="str">
        <f>'input site'!BE178</f>
        <v/>
      </c>
      <c r="AT178" s="74"/>
      <c r="AU178" s="74"/>
      <c r="AV178" s="75"/>
      <c r="AW178" s="74" t="str">
        <f>IF(Table12[[#This Row],[2030 unconditional NDCs]]="","",IF(F178="incl",Table12[[#This Row],[2030 unconditional NDCs]]-Table12[[#This Row],[LULUCF NDC uncond]],Table12[[#This Row],[2030 unconditional NDCs]]))</f>
        <v/>
      </c>
      <c r="AX178" s="74" t="str">
        <f>IF(Table12[[#This Row],[2030 unconditional NDCs2]]="","",IF(F178="incl",Table12[[#This Row],[2030 unconditional NDCs2]]-Table12[[#This Row],[LULUCF NDC uncond]],Table12[[#This Row],[2030 unconditional NDCs2]]))</f>
        <v/>
      </c>
      <c r="AY178" s="74" t="str">
        <f>IF(Table12[[#This Row],[2030 conditional NDCs]]="","",IF(F178="incl",Table12[[#This Row],[2030 conditional NDCs]]-Table12[[#This Row],[LULUCF NDC cond]],Table12[[#This Row],[2030 conditional NDCs]]))</f>
        <v/>
      </c>
      <c r="AZ178" s="74" t="str">
        <f>IF(Table12[[#This Row],[2030 conditional NDCs2]]="","",IF(F178="incl",Table12[[#This Row],[2030 conditional NDCs2]]-Table12[[#This Row],[LULUCF NDC cond]],Table12[[#This Row],[2030 conditional NDCs2]]))</f>
        <v/>
      </c>
      <c r="BA178" s="8">
        <f>VLOOKUP($G178,'Population90 20'!$C$6:$AU$231,37,FALSE)</f>
        <v>202239</v>
      </c>
      <c r="BB178" s="8">
        <f>VLOOKUP($G178,'Overview GDP (PPP)'!$C$6:$AI$231,33,FALSE)</f>
        <v>1194295.0492214076</v>
      </c>
      <c r="BC178" s="36">
        <f>Table12[[#This Row],[Income]]/Table12[[#This Row],[Population]]</f>
        <v>5.9053646884201747</v>
      </c>
      <c r="BD178" s="36">
        <f>Table12[[#This Row],[GHG emissions excl LULUCF]]*1000000/Table12[[#This Row],[Population]]</f>
        <v>2.5836514223270486</v>
      </c>
      <c r="BE178" s="23" t="e">
        <f>VLOOKUP($G178,EGR2023_MASTER!$B$4:$S$38,14,FALSE)</f>
        <v>#N/A</v>
      </c>
      <c r="BF178" s="23" t="e">
        <f>VLOOKUP($G178,EGR2023_MASTER!$B$4:$S$38,15,FALSE)</f>
        <v>#N/A</v>
      </c>
      <c r="BG178" s="23" t="e">
        <f>VLOOKUP($G178,EGR2023_MASTER!$B$4:$S$38,16,FALSE)</f>
        <v>#N/A</v>
      </c>
      <c r="BH178" s="23" t="e">
        <f t="shared" si="24"/>
        <v>#N/A</v>
      </c>
      <c r="BI178" s="23" t="e">
        <f t="shared" si="25"/>
        <v>#N/A</v>
      </c>
      <c r="BJ178" s="552">
        <f>(Table12[[#This Row],[Current Policies 2030 excl LULUCF]]/Table12[[#This Row],[GHG emissions excl LULUCF]])^(1/(2030-2021))-1</f>
        <v>5.2578983828655002E-3</v>
      </c>
      <c r="BK178" s="552" t="str">
        <f>IF(Table12[[#This Row],[Net-zero target status]]&lt;=1,"",IF(Table12[[#This Row],[NZ GHG year]]="","",((MAX(Table12[[#This Row],[residual LULUCF emissions in 2050]],0.1)/Table12[[#This Row],[Current Policies 2030 excl LULUCF]])^(1/(Table12[[#This Row],[NZ GHG year]]-2021))-1)))</f>
        <v/>
      </c>
      <c r="BL178" s="552" t="str">
        <f>IF(Table12[[#This Row],[Net-zero target status]]&lt;=1,"",IF(Table12[[#This Row],[NZ GHG year]]="","",((MAX(Table12[[#This Row],[residual LULUCF emissions in 2050]],0.1)/Table12[[#This Row],[GHG emissions excl LULUCF]])^(1/(Table12[[#This Row],[NZ GHG year]]-2021))-1)))</f>
        <v/>
      </c>
      <c r="BM178" s="552" t="str">
        <f>IF(Table12[[#This Row],[Net-zero target status]]&lt;=1,"",IF(Table12[[#This Row],[NZ GHG year]]="","",((MAX(Table12[[#This Row],[residual LULUCF emissions in 2050]],0.1)/AVERAGE(Table12[[#This Row],[2030 conditional NDCs]:[2030 conditional NDCs2]]))^(1/(Table12[[#This Row],[NZ GHG year]]-2021))-1)))</f>
        <v/>
      </c>
      <c r="BN178" s="23"/>
      <c r="BO178" s="23"/>
      <c r="BP178" s="23"/>
      <c r="BQ178" s="23"/>
      <c r="BR178" s="50" t="s">
        <v>385</v>
      </c>
      <c r="BT178" s="30" t="str">
        <f>IF(Table12[[#This Row],[Reduction rate 2021 to NZ target2]]="","",J178*(1+AN178)^(Table12[[#This Row],[NZ GHG year]]-2021))</f>
        <v/>
      </c>
    </row>
    <row r="179" spans="1:72" ht="15" x14ac:dyDescent="0.25">
      <c r="A179">
        <v>0</v>
      </c>
      <c r="B179">
        <v>0</v>
      </c>
      <c r="C179">
        <v>674</v>
      </c>
      <c r="D179">
        <v>175</v>
      </c>
      <c r="E179">
        <v>11</v>
      </c>
      <c r="F179" t="str">
        <f>'input site'!M179</f>
        <v>incl</v>
      </c>
      <c r="G179" s="31" t="s">
        <v>386</v>
      </c>
      <c r="H179" s="1" t="s">
        <v>387</v>
      </c>
      <c r="I179" s="8">
        <f>VLOOKUP($G179,'NZT data'!$B$3:$C$200,2,FALSE)</f>
        <v>0</v>
      </c>
      <c r="J179" s="32">
        <f>'input site'!AS179</f>
        <v>0.18172319298701306</v>
      </c>
      <c r="K179" s="32">
        <f>'input site'!BS179</f>
        <v>0.10139236611912515</v>
      </c>
      <c r="L179" s="32">
        <f t="shared" si="26"/>
        <v>0.10139236611912515</v>
      </c>
      <c r="M179" s="32">
        <f t="shared" si="27"/>
        <v>4.0517649287852751E-2</v>
      </c>
      <c r="N179" s="32">
        <f>'input site'!EV179</f>
        <v>4.0517649287852751E-2</v>
      </c>
      <c r="O179" s="8"/>
      <c r="P179" s="8"/>
      <c r="Q179" s="32">
        <f t="shared" si="28"/>
        <v>2.2411280333168367E-2</v>
      </c>
      <c r="R179" s="32">
        <f>'input site'!EZ179</f>
        <v>2.2411280333168367E-2</v>
      </c>
      <c r="S179" s="37">
        <f>'input site'!FA179</f>
        <v>0</v>
      </c>
      <c r="T179" s="37" t="str">
        <f>Table12[[#This Row],[(Mt CO2 equivalent)]]</f>
        <v>San Marino</v>
      </c>
      <c r="U179" s="8">
        <f>VLOOKUP($G179,'NZT data'!$B$3:$F$200,4,FALSE)</f>
        <v>2110</v>
      </c>
      <c r="V179" s="32" t="str">
        <f>VLOOKUP($G179,'NZT data'!$B$3:$F$200,5,FALSE)</f>
        <v/>
      </c>
      <c r="W179" s="32">
        <f>-IF('LUC NGHGI'!EC169="",MIN('LUC NGHGI'!DW169,0.1),MIN('LUC NGHGI'!EC169,0.1))</f>
        <v>7.7652597402597112E-3</v>
      </c>
      <c r="X179" s="32">
        <f>'LUC NGHGI'!EC169</f>
        <v>-7.7652597402597112E-3</v>
      </c>
      <c r="Y179" s="32">
        <f>'LUC NGHGI'!DY169</f>
        <v>-7.7652597402597112E-3</v>
      </c>
      <c r="Z179" s="32">
        <f>'LUC NGHGI'!DZ169</f>
        <v>-7.7652597402597112E-3</v>
      </c>
      <c r="AA179" s="32">
        <f>Table12[[#This Row],[2021 emissions]]</f>
        <v>0.18172319298701306</v>
      </c>
      <c r="AB179" s="32">
        <f>'LUC NGHGI'!DW169</f>
        <v>-7.9219870129869641E-3</v>
      </c>
      <c r="AC179" s="32">
        <f>IF(F179="incl",Table12[[#This Row],[GHG emissions incl LULUCF]]-Table12[[#This Row],[LULUCF emis-sions in 20213]],Table12[[#This Row],[GHG emissions incl LULUCF]])</f>
        <v>0.18964518000000002</v>
      </c>
      <c r="AD179" s="32">
        <f>'input site'!BS179</f>
        <v>0.10139236611912515</v>
      </c>
      <c r="AE179" s="32">
        <f>'LUC NGHGI'!EH169</f>
        <v>-8.0408394351326653E-3</v>
      </c>
      <c r="AF179" s="32">
        <f>IF(F179="incl",Table12[[#This Row],[Current Policies 2030 incl LULUCF]]-Table12[[#This Row],[LULUCF CurPol 2030]],Table12[[#This Row],[Current Policies 2030 incl LULUCF]])</f>
        <v>0.10943320555425781</v>
      </c>
      <c r="AG179" s="32" t="str">
        <f>IF(Table12[[#This Row],[Net-zero target status]]&lt;=1,"",IF(Table12[[#This Row],[NZ GHG year]]="","",1000000000*(Table12[[#This Row],[residual LULUCF emissions in 2050]]-Table12[[#This Row],[GHG emissions excl LULUCF]])/(Table12[[#This Row],[NZ GHG year]]-2021)/Table12[[#This Row],[Population]]))</f>
        <v/>
      </c>
      <c r="AH179" s="32" t="str">
        <f>IF(Table12[[#This Row],[Peak revised]]="Yes",IF(Table12[[#This Row],[Net-zero target status]]&lt;=1,"",IF(Table12[[#This Row],[NZ GHG year]]="","",1000000000*(Table12[[#This Row],[residual LULUCF emissions in 2050]]-Table12[[#This Row],[GHG emissions excl LULUCF]])/(Table12[[#This Row],[NZ GHG year]]-2021)/Table12[[#This Row],[Population]])),"")</f>
        <v/>
      </c>
      <c r="AI179" s="32" t="e">
        <f>MAX(0,(1000000*(Table12[[#This Row],[Current Policies 2030 excl LULUCF]]/2+Table12[[#This Row],[GHG emissions excl LULUCF]]/2)/Table12[[#This Row],[Population]]-$AI$8)*10)*$AI$10</f>
        <v>#DIV/0!</v>
      </c>
      <c r="AJ17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79" s="32" t="str">
        <f>IF(Table12[[#This Row],[Formule no Peak (2)]]="","",Table12[[#This Row],[Penalty (1)]]+Table12[[#This Row],[Formule no Peak (2)]])</f>
        <v/>
      </c>
      <c r="AL179" s="313">
        <f>(Table12[[#This Row],[Current Policies 2030 excl LULUCF]]-Table12[[#This Row],[GHG emissions excl LULUCF]])/(2030-2021)/Table12[[#This Row],[GHG emissions excl LULUCF]]</f>
        <v>-4.6995349974528575E-2</v>
      </c>
      <c r="AM179" s="313" t="str">
        <f>IF(Table12[[#This Row],[Net-zero target status]]&lt;=1,"",IF(Table12[[#This Row],[NZ GHG year]]="","",(Table12[[#This Row],[residual LULUCF emissions in 2050]]-Table12[[#This Row],[Current Policies 2030 excl LULUCF]])/(Table12[[#This Row],[NZ GHG year]]-2030)/Table12[[#This Row],[Current Policies 2030 excl LULUCF]]))</f>
        <v/>
      </c>
      <c r="AN179" s="313" t="str">
        <f>IF(Table12[[#This Row],[Net-zero target status]]&lt;=1,"",IF(Table12[[#This Row],[NZ GHG year]]="","",(Table12[[#This Row],[residual LULUCF emissions in 2050]]-Table12[[#This Row],[GHG emissions excl LULUCF]])/(Table12[[#This Row],[NZ GHG year]]-2021)/Table12[[#This Row],[GHG emissions excl LULUCF]]))</f>
        <v/>
      </c>
      <c r="AO179" s="313" t="str">
        <f>IF(Table12[[#This Row],[Net-zero target status]]&lt;=1,"",IF(Table12[[#This Row],[NZ GHG year]]="","",(Table12[[#This Row],[residual LULUCF emissions in 2050]]-Table12[[#This Row],[2030 conditional NDCs]])/(Table12[[#This Row],[NZ GHG year]]-2030)/Table12[[#This Row],[2030 conditional NDCs]]))</f>
        <v/>
      </c>
      <c r="AP179" s="96">
        <f>MAX('input site'!AH179:AS179)</f>
        <v>0.24136082571428574</v>
      </c>
      <c r="AQ179" s="95" t="str">
        <f>IF(Table12[[#This Row],[Current Policies 2030 incl LULUCF]]&gt;Table12[[#This Row],[Maximum inventory data]],"No","Yes")</f>
        <v>Yes</v>
      </c>
      <c r="AR179" s="34" t="str">
        <f>IF(Table12[[#This Row],[Net-zero target status]]&gt;=1.5,Table12[[#This Row],[residual LULUCF emissions in 2050]]/Table12[[#This Row],[GHG emissions excl LULUCF]],"")</f>
        <v/>
      </c>
      <c r="AS179" s="74" t="str">
        <f>'input site'!BE179</f>
        <v/>
      </c>
      <c r="AT179" s="74"/>
      <c r="AU179" s="74">
        <f>'input site'!BG179</f>
        <v>0.1704</v>
      </c>
      <c r="AV179" s="75">
        <f>'input site'!BH179</f>
        <v>0.1704</v>
      </c>
      <c r="AW179" s="74" t="str">
        <f>IF(Table12[[#This Row],[2030 unconditional NDCs]]="","",IF(F179="incl",Table12[[#This Row],[2030 unconditional NDCs]]-Table12[[#This Row],[LULUCF NDC uncond]],Table12[[#This Row],[2030 unconditional NDCs]]))</f>
        <v/>
      </c>
      <c r="AX179" s="74" t="str">
        <f>IF(Table12[[#This Row],[2030 unconditional NDCs2]]="","",IF(F179="incl",Table12[[#This Row],[2030 unconditional NDCs2]]-Table12[[#This Row],[LULUCF NDC uncond]],Table12[[#This Row],[2030 unconditional NDCs2]]))</f>
        <v/>
      </c>
      <c r="AY179" s="74">
        <f>IF(Table12[[#This Row],[2030 conditional NDCs]]="","",IF(F179="incl",Table12[[#This Row],[2030 conditional NDCs]]-Table12[[#This Row],[LULUCF NDC cond]],Table12[[#This Row],[2030 conditional NDCs]]))</f>
        <v>0.17816525974025971</v>
      </c>
      <c r="AZ179" s="74">
        <f>IF(Table12[[#This Row],[2030 conditional NDCs2]]="","",IF(F179="incl",Table12[[#This Row],[2030 conditional NDCs2]]-Table12[[#This Row],[LULUCF NDC cond]],Table12[[#This Row],[2030 conditional NDCs2]]))</f>
        <v>0.17816525974025971</v>
      </c>
      <c r="BA179" s="8"/>
      <c r="BB179" s="8"/>
      <c r="BC179" s="36"/>
      <c r="BD179" s="36" t="e">
        <f>Table12[[#This Row],[GHG emissions excl LULUCF]]*1000000/Table12[[#This Row],[Population]]</f>
        <v>#DIV/0!</v>
      </c>
      <c r="BE179" s="23" t="e">
        <f>VLOOKUP($G179,EGR2023_MASTER!$B$4:$S$38,14,FALSE)</f>
        <v>#N/A</v>
      </c>
      <c r="BF179" s="23" t="e">
        <f>VLOOKUP($G179,EGR2023_MASTER!$B$4:$S$38,15,FALSE)</f>
        <v>#N/A</v>
      </c>
      <c r="BG179" s="23" t="e">
        <f>VLOOKUP($G179,EGR2023_MASTER!$B$4:$S$38,16,FALSE)</f>
        <v>#N/A</v>
      </c>
      <c r="BH179" s="23" t="e">
        <f t="shared" si="24"/>
        <v>#N/A</v>
      </c>
      <c r="BI179" s="23" t="e">
        <f t="shared" si="25"/>
        <v>#N/A</v>
      </c>
      <c r="BJ179" s="552">
        <f>(Table12[[#This Row],[Current Policies 2030 excl LULUCF]]/Table12[[#This Row],[GHG emissions excl LULUCF]])^(1/(2030-2021))-1</f>
        <v>-5.9264616925492009E-2</v>
      </c>
      <c r="BK179" s="552" t="str">
        <f>IF(Table12[[#This Row],[Net-zero target status]]&lt;=1,"",IF(Table12[[#This Row],[NZ GHG year]]="","",((MAX(Table12[[#This Row],[residual LULUCF emissions in 2050]],0.1)/Table12[[#This Row],[Current Policies 2030 excl LULUCF]])^(1/(Table12[[#This Row],[NZ GHG year]]-2021))-1)))</f>
        <v/>
      </c>
      <c r="BL179" s="552" t="str">
        <f>IF(Table12[[#This Row],[Net-zero target status]]&lt;=1,"",IF(Table12[[#This Row],[NZ GHG year]]="","",((MAX(Table12[[#This Row],[residual LULUCF emissions in 2050]],0.1)/Table12[[#This Row],[GHG emissions excl LULUCF]])^(1/(Table12[[#This Row],[NZ GHG year]]-2021))-1)))</f>
        <v/>
      </c>
      <c r="BM179" s="552" t="str">
        <f>IF(Table12[[#This Row],[Net-zero target status]]&lt;=1,"",IF(Table12[[#This Row],[NZ GHG year]]="","",((MAX(Table12[[#This Row],[residual LULUCF emissions in 2050]],0.1)/AVERAGE(Table12[[#This Row],[2030 conditional NDCs]:[2030 conditional NDCs2]]))^(1/(Table12[[#This Row],[NZ GHG year]]-2021))-1)))</f>
        <v/>
      </c>
      <c r="BN179" s="23"/>
      <c r="BO179" s="23"/>
      <c r="BP179" s="23"/>
      <c r="BQ179" s="23"/>
      <c r="BR179" s="50" t="s">
        <v>387</v>
      </c>
      <c r="BT179" s="30" t="str">
        <f>IF(Table12[[#This Row],[Reduction rate 2021 to NZ target2]]="","",J179*(1+AN179)^(Table12[[#This Row],[NZ GHG year]]-2021))</f>
        <v/>
      </c>
    </row>
    <row r="180" spans="1:72" ht="15" x14ac:dyDescent="0.25">
      <c r="A180">
        <v>0</v>
      </c>
      <c r="B180">
        <v>0</v>
      </c>
      <c r="C180">
        <v>678</v>
      </c>
      <c r="D180">
        <v>176</v>
      </c>
      <c r="E180">
        <v>8</v>
      </c>
      <c r="F180" t="str">
        <f>'input site'!M180</f>
        <v>excl</v>
      </c>
      <c r="G180" s="31" t="s">
        <v>388</v>
      </c>
      <c r="H180" s="1" t="s">
        <v>389</v>
      </c>
      <c r="I180" s="8">
        <f>VLOOKUP($G180,'NZT data'!$B$3:$C$200,2,FALSE)</f>
        <v>1</v>
      </c>
      <c r="J180" s="32">
        <f>'input site'!AS180</f>
        <v>0.24228833</v>
      </c>
      <c r="K180" s="32">
        <f>'input site'!BS180</f>
        <v>0.28856214547853243</v>
      </c>
      <c r="L180" s="32">
        <f t="shared" si="26"/>
        <v>0</v>
      </c>
      <c r="M180" s="32">
        <f t="shared" si="27"/>
        <v>0</v>
      </c>
      <c r="N180" s="32">
        <f>'input site'!EV180</f>
        <v>0.22466009135238085</v>
      </c>
      <c r="O180" s="8"/>
      <c r="P180" s="36"/>
      <c r="Q180" s="32">
        <f t="shared" si="28"/>
        <v>0</v>
      </c>
      <c r="R180" s="32">
        <f>'input site'!EZ180</f>
        <v>0.12796645205066087</v>
      </c>
      <c r="S180" s="37">
        <f>'input site'!FA180</f>
        <v>2050</v>
      </c>
      <c r="T180" s="37" t="str">
        <f>Table12[[#This Row],[(Mt CO2 equivalent)]]</f>
        <v>Sao Tome and Principe</v>
      </c>
      <c r="U180" s="8">
        <f>VLOOKUP($G180,'NZT data'!$B$3:$F$200,4,FALSE)</f>
        <v>2110</v>
      </c>
      <c r="V180" s="32">
        <f>VLOOKUP($G180,'NZT data'!$B$3:$F$200,5,FALSE)</f>
        <v>2110</v>
      </c>
      <c r="W180" s="32">
        <f>-IF('LUC NGHGI'!EC170="",MIN('LUC NGHGI'!DW170,0.1),MIN('LUC NGHGI'!EC170,0.1))</f>
        <v>0.48845464942528594</v>
      </c>
      <c r="X180" s="32">
        <f>'LUC NGHGI'!EC170</f>
        <v>-0.48845464942528594</v>
      </c>
      <c r="Y180" s="32">
        <f>'LUC NGHGI'!DY170</f>
        <v>-0.48845464942528594</v>
      </c>
      <c r="Z180" s="32">
        <f>'LUC NGHGI'!DZ170</f>
        <v>-1.4884546494252859</v>
      </c>
      <c r="AA180" s="32">
        <f>Table12[[#This Row],[2021 emissions]]</f>
        <v>0.24228833</v>
      </c>
      <c r="AB180" s="32">
        <f>'LUC NGHGI'!DW170</f>
        <v>-0.49391391091953984</v>
      </c>
      <c r="AC180" s="32">
        <f>IF(F180="incl",Table12[[#This Row],[GHG emissions incl LULUCF]]-Table12[[#This Row],[LULUCF emis-sions in 20213]],Table12[[#This Row],[GHG emissions incl LULUCF]])</f>
        <v>0.24228833</v>
      </c>
      <c r="AD180" s="32">
        <f>'input site'!BS180</f>
        <v>0.28856214547853243</v>
      </c>
      <c r="AE180" s="32">
        <f>'LUC NGHGI'!EH170</f>
        <v>-0.56683537079740609</v>
      </c>
      <c r="AF180" s="32">
        <f>IF(F180="incl",Table12[[#This Row],[Current Policies 2030 incl LULUCF]]-Table12[[#This Row],[LULUCF CurPol 2030]],Table12[[#This Row],[Current Policies 2030 incl LULUCF]])</f>
        <v>0.28856214547853243</v>
      </c>
      <c r="AG180" s="32" t="str">
        <f>IF(Table12[[#This Row],[Net-zero target status]]&lt;=1,"",IF(Table12[[#This Row],[NZ GHG year]]="","",1000000000*(Table12[[#This Row],[residual LULUCF emissions in 2050]]-Table12[[#This Row],[GHG emissions excl LULUCF]])/(Table12[[#This Row],[NZ GHG year]]-2021)/Table12[[#This Row],[Population]]))</f>
        <v/>
      </c>
      <c r="AH180" s="32" t="str">
        <f>IF(Table12[[#This Row],[Peak revised]]="Yes",IF(Table12[[#This Row],[Net-zero target status]]&lt;=1,"",IF(Table12[[#This Row],[NZ GHG year]]="","",1000000000*(Table12[[#This Row],[residual LULUCF emissions in 2050]]-Table12[[#This Row],[GHG emissions excl LULUCF]])/(Table12[[#This Row],[NZ GHG year]]-2021)/Table12[[#This Row],[Population]])),"")</f>
        <v/>
      </c>
      <c r="AI180" s="32">
        <f>MAX(0,(1000000*(Table12[[#This Row],[Current Policies 2030 excl LULUCF]]/2+Table12[[#This Row],[GHG emissions excl LULUCF]]/2)/Table12[[#This Row],[Population]]-$AI$8)*10)*$AI$10</f>
        <v>0</v>
      </c>
      <c r="AJ18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0" s="32" t="str">
        <f>IF(Table12[[#This Row],[Formule no Peak (2)]]="","",Table12[[#This Row],[Penalty (1)]]+Table12[[#This Row],[Formule no Peak (2)]])</f>
        <v/>
      </c>
      <c r="AL180" s="313">
        <f>(Table12[[#This Row],[Current Policies 2030 excl LULUCF]]-Table12[[#This Row],[GHG emissions excl LULUCF]])/(2030-2021)/Table12[[#This Row],[GHG emissions excl LULUCF]]</f>
        <v>2.1220729257452352E-2</v>
      </c>
      <c r="AM180" s="313" t="str">
        <f>IF(Table12[[#This Row],[Net-zero target status]]&lt;=1,"",IF(Table12[[#This Row],[NZ GHG year]]="","",(Table12[[#This Row],[residual LULUCF emissions in 2050]]-Table12[[#This Row],[Current Policies 2030 excl LULUCF]])/(Table12[[#This Row],[NZ GHG year]]-2030)/Table12[[#This Row],[Current Policies 2030 excl LULUCF]]))</f>
        <v/>
      </c>
      <c r="AN180" s="313" t="str">
        <f>IF(Table12[[#This Row],[Net-zero target status]]&lt;=1,"",IF(Table12[[#This Row],[NZ GHG year]]="","",(Table12[[#This Row],[residual LULUCF emissions in 2050]]-Table12[[#This Row],[GHG emissions excl LULUCF]])/(Table12[[#This Row],[NZ GHG year]]-2021)/Table12[[#This Row],[GHG emissions excl LULUCF]]))</f>
        <v/>
      </c>
      <c r="AO180" s="313" t="str">
        <f>IF(Table12[[#This Row],[Net-zero target status]]&lt;=1,"",IF(Table12[[#This Row],[NZ GHG year]]="","",(Table12[[#This Row],[residual LULUCF emissions in 2050]]-Table12[[#This Row],[2030 conditional NDCs]])/(Table12[[#This Row],[NZ GHG year]]-2030)/Table12[[#This Row],[2030 conditional NDCs]]))</f>
        <v/>
      </c>
      <c r="AP180" s="96">
        <f>MAX('input site'!AH180:AS180)</f>
        <v>0.24228833</v>
      </c>
      <c r="AQ180" s="95" t="str">
        <f>IF(Table12[[#This Row],[Current Policies 2030 incl LULUCF]]&gt;Table12[[#This Row],[Maximum inventory data]],"No","Yes")</f>
        <v>No</v>
      </c>
      <c r="AR180" s="34" t="str">
        <f>IF(Table12[[#This Row],[Net-zero target status]]&gt;=1.5,Table12[[#This Row],[residual LULUCF emissions in 2050]]/Table12[[#This Row],[GHG emissions excl LULUCF]],"")</f>
        <v/>
      </c>
      <c r="AS180" s="74" t="str">
        <f>'input site'!BE180</f>
        <v/>
      </c>
      <c r="AT180" s="74"/>
      <c r="AU180" s="74">
        <f>'input site'!BG180</f>
        <v>0.183</v>
      </c>
      <c r="AV180" s="75">
        <f>'input site'!BH180</f>
        <v>0.183</v>
      </c>
      <c r="AW180" s="74" t="str">
        <f>IF(Table12[[#This Row],[2030 unconditional NDCs]]="","",IF(F180="incl",Table12[[#This Row],[2030 unconditional NDCs]]-Table12[[#This Row],[LULUCF NDC uncond]],Table12[[#This Row],[2030 unconditional NDCs]]))</f>
        <v/>
      </c>
      <c r="AX180" s="74" t="str">
        <f>IF(Table12[[#This Row],[2030 unconditional NDCs2]]="","",IF(F180="incl",Table12[[#This Row],[2030 unconditional NDCs2]]-Table12[[#This Row],[LULUCF NDC uncond]],Table12[[#This Row],[2030 unconditional NDCs2]]))</f>
        <v/>
      </c>
      <c r="AY180" s="74">
        <f>IF(Table12[[#This Row],[2030 conditional NDCs]]="","",IF(F180="incl",Table12[[#This Row],[2030 conditional NDCs]]-Table12[[#This Row],[LULUCF NDC cond]],Table12[[#This Row],[2030 conditional NDCs]]))</f>
        <v>0.183</v>
      </c>
      <c r="AZ180" s="74">
        <f>IF(Table12[[#This Row],[2030 conditional NDCs2]]="","",IF(F180="incl",Table12[[#This Row],[2030 conditional NDCs2]]-Table12[[#This Row],[LULUCF NDC cond]],Table12[[#This Row],[2030 conditional NDCs2]]))</f>
        <v>0.183</v>
      </c>
      <c r="BA180" s="8">
        <f>VLOOKUP($G180,'Population90 20'!$C$6:$AU$231,37,FALSE)</f>
        <v>227679</v>
      </c>
      <c r="BB180" s="8">
        <f>VLOOKUP($G180,'Overview GDP (PPP)'!$C$6:$AI$231,33,FALSE)</f>
        <v>640130.85381779214</v>
      </c>
      <c r="BC180" s="36">
        <f>Table12[[#This Row],[Income]]/Table12[[#This Row],[Population]]</f>
        <v>2.8115498303216024</v>
      </c>
      <c r="BD180" s="36">
        <f>Table12[[#This Row],[GHG emissions excl LULUCF]]*1000000/Table12[[#This Row],[Population]]</f>
        <v>1.0641663482358934</v>
      </c>
      <c r="BE180" s="23" t="e">
        <f>VLOOKUP($G180,EGR2023_MASTER!$B$4:$S$38,14,FALSE)</f>
        <v>#N/A</v>
      </c>
      <c r="BF180" s="23" t="e">
        <f>VLOOKUP($G180,EGR2023_MASTER!$B$4:$S$38,15,FALSE)</f>
        <v>#N/A</v>
      </c>
      <c r="BG180" s="23" t="e">
        <f>VLOOKUP($G180,EGR2023_MASTER!$B$4:$S$38,16,FALSE)</f>
        <v>#N/A</v>
      </c>
      <c r="BH180" s="23" t="e">
        <f t="shared" si="24"/>
        <v>#N/A</v>
      </c>
      <c r="BI180" s="23" t="e">
        <f t="shared" si="25"/>
        <v>#N/A</v>
      </c>
      <c r="BJ180" s="552">
        <f>(Table12[[#This Row],[Current Policies 2030 excl LULUCF]]/Table12[[#This Row],[GHG emissions excl LULUCF]])^(1/(2030-2021))-1</f>
        <v>1.9610022352633871E-2</v>
      </c>
      <c r="BK180" s="552" t="str">
        <f>IF(Table12[[#This Row],[Net-zero target status]]&lt;=1,"",IF(Table12[[#This Row],[NZ GHG year]]="","",((MAX(Table12[[#This Row],[residual LULUCF emissions in 2050]],0.1)/Table12[[#This Row],[Current Policies 2030 excl LULUCF]])^(1/(Table12[[#This Row],[NZ GHG year]]-2021))-1)))</f>
        <v/>
      </c>
      <c r="BL180" s="552" t="str">
        <f>IF(Table12[[#This Row],[Net-zero target status]]&lt;=1,"",IF(Table12[[#This Row],[NZ GHG year]]="","",((MAX(Table12[[#This Row],[residual LULUCF emissions in 2050]],0.1)/Table12[[#This Row],[GHG emissions excl LULUCF]])^(1/(Table12[[#This Row],[NZ GHG year]]-2021))-1)))</f>
        <v/>
      </c>
      <c r="BM180" s="552" t="str">
        <f>IF(Table12[[#This Row],[Net-zero target status]]&lt;=1,"",IF(Table12[[#This Row],[NZ GHG year]]="","",((MAX(Table12[[#This Row],[residual LULUCF emissions in 2050]],0.1)/AVERAGE(Table12[[#This Row],[2030 conditional NDCs]:[2030 conditional NDCs2]]))^(1/(Table12[[#This Row],[NZ GHG year]]-2021))-1)))</f>
        <v/>
      </c>
      <c r="BN180" s="23"/>
      <c r="BO180" s="23"/>
      <c r="BP180" s="23"/>
      <c r="BQ180" s="23"/>
      <c r="BR180" s="50" t="s">
        <v>389</v>
      </c>
      <c r="BT180" s="30" t="str">
        <f>IF(Table12[[#This Row],[Reduction rate 2021 to NZ target2]]="","",J180*(1+AN180)^(Table12[[#This Row],[NZ GHG year]]-2021))</f>
        <v/>
      </c>
    </row>
    <row r="181" spans="1:72" ht="15" x14ac:dyDescent="0.25">
      <c r="A181">
        <v>1</v>
      </c>
      <c r="B181">
        <v>1</v>
      </c>
      <c r="C181">
        <v>682</v>
      </c>
      <c r="D181">
        <v>177</v>
      </c>
      <c r="E181">
        <v>17</v>
      </c>
      <c r="F181" t="str">
        <f>'input site'!M181</f>
        <v>excl</v>
      </c>
      <c r="G181" s="31" t="s">
        <v>390</v>
      </c>
      <c r="H181" s="1" t="s">
        <v>391</v>
      </c>
      <c r="I181" s="8">
        <f>VLOOKUP($G181,'NZT data'!$B$3:$C$200,2,FALSE)</f>
        <v>3</v>
      </c>
      <c r="J181" s="32">
        <f>'input site'!AS181</f>
        <v>660.70402000000001</v>
      </c>
      <c r="K181" s="32">
        <f>'input site'!BS181</f>
        <v>783.75626799999998</v>
      </c>
      <c r="L181" s="32">
        <f t="shared" si="26"/>
        <v>278.83333333333337</v>
      </c>
      <c r="M181" s="32">
        <f t="shared" si="27"/>
        <v>278.83333333333337</v>
      </c>
      <c r="N181" s="32">
        <f>'input site'!EV181</f>
        <v>336.17038547018569</v>
      </c>
      <c r="O181" s="32">
        <f>'input site'!EW181</f>
        <v>278.83333333333337</v>
      </c>
      <c r="P181" s="8"/>
      <c r="Q181" s="32">
        <f t="shared" si="28"/>
        <v>278.83333333333337</v>
      </c>
      <c r="R181" s="32">
        <f>'input site'!EZ181</f>
        <v>58.557180129138395</v>
      </c>
      <c r="S181" s="37">
        <f>'input site'!FA181</f>
        <v>0</v>
      </c>
      <c r="T181" s="37" t="str">
        <f>Table12[[#This Row],[(Mt CO2 equivalent)]]</f>
        <v>Saudi Arabia</v>
      </c>
      <c r="U181" s="8">
        <f>VLOOKUP($G181,'NZT data'!$B$3:$F$200,4,FALSE)</f>
        <v>2060</v>
      </c>
      <c r="V181" s="32">
        <f>VLOOKUP($G181,'NZT data'!$B$3:$F$200,5,FALSE)</f>
        <v>2060</v>
      </c>
      <c r="W181" s="32">
        <f>-IF('LUC NGHGI'!EC171="",MIN('LUC NGHGI'!DW171,0.1),MIN('LUC NGHGI'!EC171,0.1))</f>
        <v>6.350043610013131</v>
      </c>
      <c r="X181" s="32">
        <f>'LUC NGHGI'!EC171</f>
        <v>-6.350043610013131</v>
      </c>
      <c r="Y181" s="32">
        <f>'LUC NGHGI'!DY171</f>
        <v>-6.350043610013131</v>
      </c>
      <c r="Z181" s="32">
        <f>'LUC NGHGI'!DZ171</f>
        <v>-6.350043610013131</v>
      </c>
      <c r="AA181" s="32">
        <f>Table12[[#This Row],[2021 emissions]]</f>
        <v>660.70402000000001</v>
      </c>
      <c r="AB181" s="32">
        <f>'LUC NGHGI'!DW171</f>
        <v>-6.0184140974967022</v>
      </c>
      <c r="AC181" s="32">
        <f>IF(F181="incl",Table12[[#This Row],[GHG emissions incl LULUCF]]-Table12[[#This Row],[LULUCF emis-sions in 20213]],Table12[[#This Row],[GHG emissions incl LULUCF]])</f>
        <v>660.70402000000001</v>
      </c>
      <c r="AD181" s="32">
        <f>'input site'!BS181</f>
        <v>783.75626799999998</v>
      </c>
      <c r="AE181" s="32">
        <f>'LUC NGHGI'!EH171</f>
        <v>-9.7072576559999995</v>
      </c>
      <c r="AF181" s="32">
        <f>IF(F181="incl",Table12[[#This Row],[Current Policies 2030 incl LULUCF]]-Table12[[#This Row],[LULUCF CurPol 2030]],Table12[[#This Row],[Current Policies 2030 incl LULUCF]])</f>
        <v>783.75626799999998</v>
      </c>
      <c r="AG181" s="32">
        <f>IF(Table12[[#This Row],[Net-zero target status]]&lt;=1,"",IF(Table12[[#This Row],[NZ GHG year]]="","",1000000000*(Table12[[#This Row],[residual LULUCF emissions in 2050]]-Table12[[#This Row],[GHG emissions excl LULUCF]])/(Table12[[#This Row],[NZ GHG year]]-2021)/Table12[[#This Row],[Population]]))</f>
        <v>-468.08061604850894</v>
      </c>
      <c r="AH181" s="32" t="str">
        <f>IF(Table12[[#This Row],[Peak revised]]="Yes",IF(Table12[[#This Row],[Net-zero target status]]&lt;=1,"",IF(Table12[[#This Row],[NZ GHG year]]="","",1000000000*(Table12[[#This Row],[residual LULUCF emissions in 2050]]-Table12[[#This Row],[GHG emissions excl LULUCF]])/(Table12[[#This Row],[NZ GHG year]]-2021)/Table12[[#This Row],[Population]])),"")</f>
        <v/>
      </c>
      <c r="AI181" s="32">
        <f>MAX(0,(1000000*(Table12[[#This Row],[Current Policies 2030 excl LULUCF]]/2+Table12[[#This Row],[GHG emissions excl LULUCF]]/2)/Table12[[#This Row],[Population]]-$AI$8)*10)*$AI$10</f>
        <v>-1314.8750942567606</v>
      </c>
      <c r="AJ181" s="32">
        <f>IF(Table12[[#This Row],[Peak revised]]="No",IF(Table12[[#This Row],[Net-zero target status]]&lt;=1,"",IF(Table12[[#This Row],[NZ GHG year]]="","",1000000000*(Table12[[#This Row],[residual LULUCF emissions in 2050]]-Table12[[#This Row],[Current Policies 2030 excl LULUCF]])/(Table12[[#This Row],[NZ GHG year]]-2021)/Table12[[#This Row],[Population]])),"")</f>
        <v>-556.10387888211915</v>
      </c>
      <c r="AK181" s="32">
        <f>IF(Table12[[#This Row],[Formule no Peak (2)]]="","",Table12[[#This Row],[Penalty (1)]]+Table12[[#This Row],[Formule no Peak (2)]])</f>
        <v>-1870.9789731388796</v>
      </c>
      <c r="AL181" s="313">
        <f>(Table12[[#This Row],[Current Policies 2030 excl LULUCF]]-Table12[[#This Row],[GHG emissions excl LULUCF]])/(2030-2021)/Table12[[#This Row],[GHG emissions excl LULUCF]]</f>
        <v>2.0693792660743907E-2</v>
      </c>
      <c r="AM181" s="313">
        <f>IF(Table12[[#This Row],[Net-zero target status]]&lt;=1,"",IF(Table12[[#This Row],[NZ GHG year]]="","",(Table12[[#This Row],[residual LULUCF emissions in 2050]]-Table12[[#This Row],[Current Policies 2030 excl LULUCF]])/(Table12[[#This Row],[NZ GHG year]]-2030)/Table12[[#This Row],[Current Policies 2030 excl LULUCF]]))</f>
        <v>-3.3063264526261578E-2</v>
      </c>
      <c r="AN181" s="313">
        <f>IF(Table12[[#This Row],[Net-zero target status]]&lt;=1,"",IF(Table12[[#This Row],[NZ GHG year]]="","",(Table12[[#This Row],[residual LULUCF emissions in 2050]]-Table12[[#This Row],[GHG emissions excl LULUCF]])/(Table12[[#This Row],[NZ GHG year]]-2021)/Table12[[#This Row],[GHG emissions excl LULUCF]]))</f>
        <v>-2.5394589073217295E-2</v>
      </c>
      <c r="AO181" s="313">
        <f>IF(Table12[[#This Row],[Net-zero target status]]&lt;=1,"",IF(Table12[[#This Row],[NZ GHG year]]="","",(Table12[[#This Row],[residual LULUCF emissions in 2050]]-Table12[[#This Row],[2030 conditional NDCs]])/(Table12[[#This Row],[NZ GHG year]]-2030)/Table12[[#This Row],[2030 conditional NDCs]]))</f>
        <v>-3.3080293141661166E-2</v>
      </c>
      <c r="AP181" s="96">
        <f>MAX('input site'!AH181:AS181)</f>
        <v>667.70402000000001</v>
      </c>
      <c r="AQ181" s="95" t="str">
        <f>IF(Table12[[#This Row],[Current Policies 2030 incl LULUCF]]&gt;Table12[[#This Row],[Maximum inventory data]],"No","Yes")</f>
        <v>No</v>
      </c>
      <c r="AR181" s="34">
        <f>IF(Table12[[#This Row],[Net-zero target status]]&gt;=1.5,Table12[[#This Row],[residual LULUCF emissions in 2050]]/Table12[[#This Row],[GHG emissions excl LULUCF]],"")</f>
        <v>9.6110261445255477E-3</v>
      </c>
      <c r="AS181" s="88">
        <f>'input site'!BE181</f>
        <v>836.5</v>
      </c>
      <c r="AT181" s="88">
        <f>'input site'!BF181</f>
        <v>836.5</v>
      </c>
      <c r="AU181" s="88">
        <f>'input site'!BG181</f>
        <v>836.5</v>
      </c>
      <c r="AV181" s="89">
        <f>'input site'!BH181</f>
        <v>836.5</v>
      </c>
      <c r="AW181" s="74">
        <f>IF(Table12[[#This Row],[2030 unconditional NDCs]]="","",IF(F181="incl",Table12[[#This Row],[2030 unconditional NDCs]]-Table12[[#This Row],[LULUCF NDC uncond]],Table12[[#This Row],[2030 unconditional NDCs]]))</f>
        <v>836.5</v>
      </c>
      <c r="AX181" s="74">
        <f>IF(Table12[[#This Row],[2030 unconditional NDCs2]]="","",IF(F181="incl",Table12[[#This Row],[2030 unconditional NDCs2]]-Table12[[#This Row],[LULUCF NDC uncond]],Table12[[#This Row],[2030 unconditional NDCs2]]))</f>
        <v>836.5</v>
      </c>
      <c r="AY181" s="74">
        <f>IF(Table12[[#This Row],[2030 conditional NDCs]]="","",IF(F181="incl",Table12[[#This Row],[2030 conditional NDCs]]-Table12[[#This Row],[LULUCF NDC cond]],Table12[[#This Row],[2030 conditional NDCs]]))</f>
        <v>836.5</v>
      </c>
      <c r="AZ181" s="74">
        <f>IF(Table12[[#This Row],[2030 conditional NDCs2]]="","",IF(F181="incl",Table12[[#This Row],[2030 conditional NDCs2]]-Table12[[#This Row],[LULUCF NDC cond]],Table12[[#This Row],[2030 conditional NDCs2]]))</f>
        <v>836.5</v>
      </c>
      <c r="BA181" s="8">
        <f>VLOOKUP($G181,'Population90 20'!$C$6:$AU$231,37,FALSE)</f>
        <v>35844909</v>
      </c>
      <c r="BB181" s="8">
        <f>VLOOKUP($G181,'Overview GDP (PPP)'!$C$6:$AI$231,33,FALSE)</f>
        <v>1651149394.1733024</v>
      </c>
      <c r="BC181" s="36">
        <f>Table12[[#This Row],[Income]]/Table12[[#This Row],[Population]]</f>
        <v>46.063707238684927</v>
      </c>
      <c r="BD181" s="36">
        <f>Table12[[#This Row],[GHG emissions excl LULUCF]]*1000000/Table12[[#This Row],[Population]]</f>
        <v>18.432297317312202</v>
      </c>
      <c r="BE181" s="23" t="str">
        <f>VLOOKUP($G181,EGR2023_MASTER!$B$4:$S$38,14,FALSE)</f>
        <v>N</v>
      </c>
      <c r="BF181" s="23" t="str">
        <f>VLOOKUP($G181,EGR2023_MASTER!$B$4:$S$38,15,FALSE)</f>
        <v>Weaker</v>
      </c>
      <c r="BG181" s="23" t="str">
        <f>VLOOKUP($G181,EGR2023_MASTER!$B$4:$S$38,16,FALSE)</f>
        <v>n</v>
      </c>
      <c r="BH181" s="23" t="str">
        <f t="shared" si="24"/>
        <v>much lower</v>
      </c>
      <c r="BI181" s="23" t="str">
        <f t="shared" si="25"/>
        <v>weak</v>
      </c>
      <c r="BJ181" s="552">
        <f>(Table12[[#This Row],[Current Policies 2030 excl LULUCF]]/Table12[[#This Row],[GHG emissions excl LULUCF]])^(1/(2030-2021))-1</f>
        <v>1.9158108725035872E-2</v>
      </c>
      <c r="BK181" s="552">
        <f>IF(Table12[[#This Row],[Net-zero target status]]&lt;=1,"",IF(Table12[[#This Row],[NZ GHG year]]="","",((MAX(Table12[[#This Row],[residual LULUCF emissions in 2050]],0.1)/Table12[[#This Row],[Current Policies 2030 excl LULUCF]])^(1/(Table12[[#This Row],[NZ GHG year]]-2021))-1)))</f>
        <v>-0.11615878775401189</v>
      </c>
      <c r="BL181" s="552">
        <f>IF(Table12[[#This Row],[Net-zero target status]]&lt;=1,"",IF(Table12[[#This Row],[NZ GHG year]]="","",((MAX(Table12[[#This Row],[residual LULUCF emissions in 2050]],0.1)/Table12[[#This Row],[GHG emissions excl LULUCF]])^(1/(Table12[[#This Row],[NZ GHG year]]-2021))-1)))</f>
        <v>-0.11227970734363424</v>
      </c>
      <c r="BM181" s="552">
        <f>IF(Table12[[#This Row],[Net-zero target status]]&lt;=1,"",IF(Table12[[#This Row],[NZ GHG year]]="","",((MAX(Table12[[#This Row],[residual LULUCF emissions in 2050]],0.1)/AVERAGE(Table12[[#This Row],[2030 conditional NDCs]:[2030 conditional NDCs2]]))^(1/(Table12[[#This Row],[NZ GHG year]]-2021))-1)))</f>
        <v>-0.1176335352950314</v>
      </c>
      <c r="BN181" s="23"/>
      <c r="BO181" s="23"/>
      <c r="BP181" s="23"/>
      <c r="BQ181" s="23"/>
      <c r="BR181" s="50" t="s">
        <v>391</v>
      </c>
      <c r="BT181" s="30">
        <f>IF(Table12[[#This Row],[Reduction rate 2021 to NZ target2]]="","",J181*(1+AN181)^(Table12[[#This Row],[NZ GHG year]]-2021))</f>
        <v>242.28741686770238</v>
      </c>
    </row>
    <row r="182" spans="1:72" ht="15" x14ac:dyDescent="0.25">
      <c r="A182">
        <v>0</v>
      </c>
      <c r="B182">
        <v>0</v>
      </c>
      <c r="C182">
        <v>686</v>
      </c>
      <c r="D182">
        <v>178</v>
      </c>
      <c r="E182">
        <v>8</v>
      </c>
      <c r="F182" t="str">
        <f>'input site'!M182</f>
        <v>incl</v>
      </c>
      <c r="G182" s="31" t="s">
        <v>392</v>
      </c>
      <c r="H182" s="1" t="s">
        <v>393</v>
      </c>
      <c r="I182" s="8">
        <f>VLOOKUP($G182,'NZT data'!$B$3:$C$200,2,FALSE)</f>
        <v>1</v>
      </c>
      <c r="J182" s="32">
        <f>'input site'!AS182</f>
        <v>18.907439882352932</v>
      </c>
      <c r="K182" s="32">
        <f>'input site'!BS182</f>
        <v>22.518506846607647</v>
      </c>
      <c r="L182" s="32">
        <f t="shared" si="26"/>
        <v>0</v>
      </c>
      <c r="M182" s="32">
        <f t="shared" si="27"/>
        <v>0</v>
      </c>
      <c r="N182" s="32">
        <f>'input site'!EV182</f>
        <v>14.739434329194173</v>
      </c>
      <c r="O182" s="8"/>
      <c r="P182" s="36"/>
      <c r="Q182" s="32">
        <f t="shared" si="28"/>
        <v>0</v>
      </c>
      <c r="R182" s="32">
        <f>'input site'!EZ182</f>
        <v>8.3955859938748407</v>
      </c>
      <c r="S182" s="37">
        <f>'input site'!FA182</f>
        <v>2050</v>
      </c>
      <c r="T182" s="37" t="str">
        <f>Table12[[#This Row],[(Mt CO2 equivalent)]]</f>
        <v>Senegal</v>
      </c>
      <c r="U182" s="8">
        <f>VLOOKUP($G182,'NZT data'!$B$3:$F$200,4,FALSE)</f>
        <v>2110</v>
      </c>
      <c r="V182" s="32">
        <f>VLOOKUP($G182,'NZT data'!$B$3:$F$200,5,FALSE)</f>
        <v>2110</v>
      </c>
      <c r="W182" s="32">
        <f>-IF('LUC NGHGI'!EC172="",MIN('LUC NGHGI'!DW172,0.1),MIN('LUC NGHGI'!EC172,0.1))</f>
        <v>11.762541176470592</v>
      </c>
      <c r="X182" s="32">
        <f>'LUC NGHGI'!EC172</f>
        <v>-11.762541176470592</v>
      </c>
      <c r="Y182" s="32">
        <f>'LUC NGHGI'!DY172</f>
        <v>-9</v>
      </c>
      <c r="Z182" s="32">
        <f>'LUC NGHGI'!DZ172</f>
        <v>-23</v>
      </c>
      <c r="AA182" s="32">
        <f>Table12[[#This Row],[2021 emissions]]</f>
        <v>18.907439882352932</v>
      </c>
      <c r="AB182" s="32">
        <f>'LUC NGHGI'!DW172</f>
        <v>-11.81036911764707</v>
      </c>
      <c r="AC182" s="32">
        <f>IF(F182="incl",Table12[[#This Row],[GHG emissions incl LULUCF]]-Table12[[#This Row],[LULUCF emis-sions in 20213]],Table12[[#This Row],[GHG emissions incl LULUCF]])</f>
        <v>30.717809000000003</v>
      </c>
      <c r="AD182" s="32">
        <f>'input site'!BS182</f>
        <v>22.518506846607647</v>
      </c>
      <c r="AE182" s="32">
        <f>'LUC NGHGI'!EH172</f>
        <v>-15.264209726896144</v>
      </c>
      <c r="AF182" s="32">
        <f>IF(F182="incl",Table12[[#This Row],[Current Policies 2030 incl LULUCF]]-Table12[[#This Row],[LULUCF CurPol 2030]],Table12[[#This Row],[Current Policies 2030 incl LULUCF]])</f>
        <v>37.782716573503791</v>
      </c>
      <c r="AG182" s="32" t="str">
        <f>IF(Table12[[#This Row],[Net-zero target status]]&lt;=1,"",IF(Table12[[#This Row],[NZ GHG year]]="","",1000000000*(Table12[[#This Row],[residual LULUCF emissions in 2050]]-Table12[[#This Row],[GHG emissions excl LULUCF]])/(Table12[[#This Row],[NZ GHG year]]-2021)/Table12[[#This Row],[Population]]))</f>
        <v/>
      </c>
      <c r="AH182" s="32" t="str">
        <f>IF(Table12[[#This Row],[Peak revised]]="Yes",IF(Table12[[#This Row],[Net-zero target status]]&lt;=1,"",IF(Table12[[#This Row],[NZ GHG year]]="","",1000000000*(Table12[[#This Row],[residual LULUCF emissions in 2050]]-Table12[[#This Row],[GHG emissions excl LULUCF]])/(Table12[[#This Row],[NZ GHG year]]-2021)/Table12[[#This Row],[Population]])),"")</f>
        <v/>
      </c>
      <c r="AI182" s="32">
        <f>MAX(0,(1000000*(Table12[[#This Row],[Current Policies 2030 excl LULUCF]]/2+Table12[[#This Row],[GHG emissions excl LULUCF]]/2)/Table12[[#This Row],[Population]]-$AI$8)*10)*$AI$10</f>
        <v>0</v>
      </c>
      <c r="AJ18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2" s="32" t="str">
        <f>IF(Table12[[#This Row],[Formule no Peak (2)]]="","",Table12[[#This Row],[Penalty (1)]]+Table12[[#This Row],[Formule no Peak (2)]])</f>
        <v/>
      </c>
      <c r="AL182" s="313">
        <f>(Table12[[#This Row],[Current Policies 2030 excl LULUCF]]-Table12[[#This Row],[GHG emissions excl LULUCF]])/(2030-2021)/Table12[[#This Row],[GHG emissions excl LULUCF]]</f>
        <v>2.5554873734298881E-2</v>
      </c>
      <c r="AM182" s="313" t="str">
        <f>IF(Table12[[#This Row],[Net-zero target status]]&lt;=1,"",IF(Table12[[#This Row],[NZ GHG year]]="","",(Table12[[#This Row],[residual LULUCF emissions in 2050]]-Table12[[#This Row],[Current Policies 2030 excl LULUCF]])/(Table12[[#This Row],[NZ GHG year]]-2030)/Table12[[#This Row],[Current Policies 2030 excl LULUCF]]))</f>
        <v/>
      </c>
      <c r="AN182" s="313" t="str">
        <f>IF(Table12[[#This Row],[Net-zero target status]]&lt;=1,"",IF(Table12[[#This Row],[NZ GHG year]]="","",(Table12[[#This Row],[residual LULUCF emissions in 2050]]-Table12[[#This Row],[GHG emissions excl LULUCF]])/(Table12[[#This Row],[NZ GHG year]]-2021)/Table12[[#This Row],[GHG emissions excl LULUCF]]))</f>
        <v/>
      </c>
      <c r="AO182" s="313" t="str">
        <f>IF(Table12[[#This Row],[Net-zero target status]]&lt;=1,"",IF(Table12[[#This Row],[NZ GHG year]]="","",(Table12[[#This Row],[residual LULUCF emissions in 2050]]-Table12[[#This Row],[2030 conditional NDCs]])/(Table12[[#This Row],[NZ GHG year]]-2030)/Table12[[#This Row],[2030 conditional NDCs]]))</f>
        <v/>
      </c>
      <c r="AP182" s="96">
        <f>MAX('input site'!AH182:AS182)</f>
        <v>18.907439882352932</v>
      </c>
      <c r="AQ182" s="95" t="str">
        <f>IF(Table12[[#This Row],[Current Policies 2030 incl LULUCF]]&gt;Table12[[#This Row],[Maximum inventory data]],"No","Yes")</f>
        <v>No</v>
      </c>
      <c r="AR182" s="34" t="str">
        <f>IF(Table12[[#This Row],[Net-zero target status]]&gt;=1.5,Table12[[#This Row],[residual LULUCF emissions in 2050]]/Table12[[#This Row],[GHG emissions excl LULUCF]],"")</f>
        <v/>
      </c>
      <c r="AS182" s="76">
        <f>'input site'!BE182</f>
        <v>39.819930899999996</v>
      </c>
      <c r="AT182" s="76">
        <f>'input site'!BF182</f>
        <v>39.819930899999996</v>
      </c>
      <c r="AU182" s="76">
        <f>'input site'!BG182</f>
        <v>29.971990999999996</v>
      </c>
      <c r="AV182" s="77">
        <f>'input site'!BH182</f>
        <v>29.971990999999996</v>
      </c>
      <c r="AW182" s="74">
        <f>IF(Table12[[#This Row],[2030 unconditional NDCs]]="","",IF(F182="incl",Table12[[#This Row],[2030 unconditional NDCs]]-Table12[[#This Row],[LULUCF NDC uncond]],Table12[[#This Row],[2030 unconditional NDCs]]))</f>
        <v>48.819930899999996</v>
      </c>
      <c r="AX182" s="74">
        <f>IF(Table12[[#This Row],[2030 unconditional NDCs2]]="","",IF(F182="incl",Table12[[#This Row],[2030 unconditional NDCs2]]-Table12[[#This Row],[LULUCF NDC uncond]],Table12[[#This Row],[2030 unconditional NDCs2]]))</f>
        <v>48.819930899999996</v>
      </c>
      <c r="AY182" s="74">
        <f>IF(Table12[[#This Row],[2030 conditional NDCs]]="","",IF(F182="incl",Table12[[#This Row],[2030 conditional NDCs]]-Table12[[#This Row],[LULUCF NDC cond]],Table12[[#This Row],[2030 conditional NDCs]]))</f>
        <v>52.971990999999996</v>
      </c>
      <c r="AZ182" s="74">
        <f>IF(Table12[[#This Row],[2030 conditional NDCs2]]="","",IF(F182="incl",Table12[[#This Row],[2030 conditional NDCs2]]-Table12[[#This Row],[LULUCF NDC cond]],Table12[[#This Row],[2030 conditional NDCs2]]))</f>
        <v>52.971990999999996</v>
      </c>
      <c r="BA182" s="8">
        <f>VLOOKUP($G182,'Population90 20'!$C$6:$AU$231,37,FALSE)</f>
        <v>17653671</v>
      </c>
      <c r="BB182" s="8">
        <f>VLOOKUP($G182,'Overview GDP (PPP)'!$C$6:$AI$231,33,FALSE)</f>
        <v>53212557.801698193</v>
      </c>
      <c r="BC182" s="36">
        <f>Table12[[#This Row],[Income]]/Table12[[#This Row],[Population]]</f>
        <v>3.014248866521767</v>
      </c>
      <c r="BD182" s="36">
        <f>Table12[[#This Row],[GHG emissions excl LULUCF]]*1000000/Table12[[#This Row],[Population]]</f>
        <v>1.740023873788064</v>
      </c>
      <c r="BE182" s="23" t="e">
        <f>VLOOKUP($G182,EGR2023_MASTER!$B$4:$S$38,14,FALSE)</f>
        <v>#N/A</v>
      </c>
      <c r="BF182" s="23" t="e">
        <f>VLOOKUP($G182,EGR2023_MASTER!$B$4:$S$38,15,FALSE)</f>
        <v>#N/A</v>
      </c>
      <c r="BG182" s="23" t="e">
        <f>VLOOKUP($G182,EGR2023_MASTER!$B$4:$S$38,16,FALSE)</f>
        <v>#N/A</v>
      </c>
      <c r="BH182" s="23" t="e">
        <f t="shared" si="24"/>
        <v>#N/A</v>
      </c>
      <c r="BI182" s="23" t="e">
        <f t="shared" si="25"/>
        <v>#N/A</v>
      </c>
      <c r="BJ182" s="552">
        <f>(Table12[[#This Row],[Current Policies 2030 excl LULUCF]]/Table12[[#This Row],[GHG emissions excl LULUCF]])^(1/(2030-2021))-1</f>
        <v>2.3267583329175556E-2</v>
      </c>
      <c r="BK182" s="552" t="str">
        <f>IF(Table12[[#This Row],[Net-zero target status]]&lt;=1,"",IF(Table12[[#This Row],[NZ GHG year]]="","",((MAX(Table12[[#This Row],[residual LULUCF emissions in 2050]],0.1)/Table12[[#This Row],[Current Policies 2030 excl LULUCF]])^(1/(Table12[[#This Row],[NZ GHG year]]-2021))-1)))</f>
        <v/>
      </c>
      <c r="BL182" s="552" t="str">
        <f>IF(Table12[[#This Row],[Net-zero target status]]&lt;=1,"",IF(Table12[[#This Row],[NZ GHG year]]="","",((MAX(Table12[[#This Row],[residual LULUCF emissions in 2050]],0.1)/Table12[[#This Row],[GHG emissions excl LULUCF]])^(1/(Table12[[#This Row],[NZ GHG year]]-2021))-1)))</f>
        <v/>
      </c>
      <c r="BM182" s="552" t="str">
        <f>IF(Table12[[#This Row],[Net-zero target status]]&lt;=1,"",IF(Table12[[#This Row],[NZ GHG year]]="","",((MAX(Table12[[#This Row],[residual LULUCF emissions in 2050]],0.1)/AVERAGE(Table12[[#This Row],[2030 conditional NDCs]:[2030 conditional NDCs2]]))^(1/(Table12[[#This Row],[NZ GHG year]]-2021))-1)))</f>
        <v/>
      </c>
      <c r="BN182" s="23"/>
      <c r="BO182" s="23"/>
      <c r="BP182" s="23"/>
      <c r="BQ182" s="23"/>
      <c r="BR182" s="50" t="s">
        <v>393</v>
      </c>
      <c r="BT182" s="30" t="str">
        <f>IF(Table12[[#This Row],[Reduction rate 2021 to NZ target2]]="","",J182*(1+AN182)^(Table12[[#This Row],[NZ GHG year]]-2021))</f>
        <v/>
      </c>
    </row>
    <row r="183" spans="1:72" ht="15" x14ac:dyDescent="0.25">
      <c r="A183">
        <v>0</v>
      </c>
      <c r="B183">
        <v>0</v>
      </c>
      <c r="C183">
        <v>0</v>
      </c>
      <c r="D183">
        <v>223</v>
      </c>
      <c r="E183">
        <v>12</v>
      </c>
      <c r="F183" t="str">
        <f>'input site'!M183</f>
        <v>excl</v>
      </c>
      <c r="G183" s="31" t="s">
        <v>394</v>
      </c>
      <c r="H183" s="1" t="s">
        <v>395</v>
      </c>
      <c r="I183" s="8">
        <v>0</v>
      </c>
      <c r="J183" s="32">
        <f>'input site'!AS183</f>
        <v>75.041087000000005</v>
      </c>
      <c r="K183" s="32">
        <f>'input site'!BS183</f>
        <v>38.450542451590984</v>
      </c>
      <c r="L183" s="32">
        <f t="shared" si="26"/>
        <v>38.450542451590984</v>
      </c>
      <c r="M183" s="32">
        <f t="shared" si="27"/>
        <v>17.436909642207002</v>
      </c>
      <c r="N183" s="32">
        <f>'input site'!EV183</f>
        <v>17.436909642207002</v>
      </c>
      <c r="O183" s="8"/>
      <c r="P183" s="8"/>
      <c r="Q183" s="32">
        <f t="shared" si="28"/>
        <v>8.5064976572715896</v>
      </c>
      <c r="R183" s="32">
        <f>'input site'!EZ183</f>
        <v>8.5064976572715896</v>
      </c>
      <c r="S183" s="37">
        <f>'input site'!FA183</f>
        <v>0</v>
      </c>
      <c r="T183" s="37" t="str">
        <f>Table12[[#This Row],[(Mt CO2 equivalent)]]</f>
        <v>Serbia and Montenegro</v>
      </c>
      <c r="U183" s="35">
        <v>2100</v>
      </c>
      <c r="V183" s="35">
        <v>2100</v>
      </c>
      <c r="W183" s="32">
        <f>-IF('LUC NGHGI'!EC173="",MIN('LUC NGHGI'!DW173,0.1),MIN('LUC NGHGI'!EC173,0.1))</f>
        <v>4.9473799999999999</v>
      </c>
      <c r="X183" s="32">
        <f>'LUC NGHGI'!EC173</f>
        <v>-4.9473799999999999</v>
      </c>
      <c r="Y183" s="32">
        <f>'LUC NGHGI'!DY173</f>
        <v>-9</v>
      </c>
      <c r="Z183" s="32">
        <f>'LUC NGHGI'!DZ173</f>
        <v>-9</v>
      </c>
      <c r="AA183" s="32">
        <f>Table12[[#This Row],[2021 emissions]]</f>
        <v>75.041087000000005</v>
      </c>
      <c r="AB183" s="32">
        <f>'LUC NGHGI'!DW173</f>
        <v>-6.5629627096774357</v>
      </c>
      <c r="AC183" s="32">
        <f>IF(F183="incl",Table12[[#This Row],[GHG emissions incl LULUCF]]-Table12[[#This Row],[LULUCF emis-sions in 20213]],Table12[[#This Row],[GHG emissions incl LULUCF]])</f>
        <v>75.041087000000005</v>
      </c>
      <c r="AD183" s="32">
        <f>'input site'!BS183</f>
        <v>38.450542451590984</v>
      </c>
      <c r="AE183" s="32">
        <f>'LUC NGHGI'!EH173</f>
        <v>-4.4805159965025867</v>
      </c>
      <c r="AF183" s="32">
        <f>IF(F183="incl",Table12[[#This Row],[Current Policies 2030 incl LULUCF]]-Table12[[#This Row],[LULUCF CurPol 2030]],Table12[[#This Row],[Current Policies 2030 incl LULUCF]])</f>
        <v>38.450542451590984</v>
      </c>
      <c r="AG183" s="32" t="str">
        <f>IF(Table12[[#This Row],[Net-zero target status]]&lt;=1,"",IF(Table12[[#This Row],[NZ GHG year]]="","",1000000000*(Table12[[#This Row],[residual LULUCF emissions in 2050]]-Table12[[#This Row],[GHG emissions excl LULUCF]])/(Table12[[#This Row],[NZ GHG year]]-2021)/Table12[[#This Row],[Population]]))</f>
        <v/>
      </c>
      <c r="AH183" s="32" t="str">
        <f>IF(Table12[[#This Row],[Peak revised]]="Yes",IF(Table12[[#This Row],[Net-zero target status]]&lt;=1,"",IF(Table12[[#This Row],[NZ GHG year]]="","",1000000000*(Table12[[#This Row],[residual LULUCF emissions in 2050]]-Table12[[#This Row],[GHG emissions excl LULUCF]])/(Table12[[#This Row],[NZ GHG year]]-2021)/Table12[[#This Row],[Population]])),"")</f>
        <v/>
      </c>
      <c r="AI183" s="32" t="e">
        <f>MAX(0,(1000000*(Table12[[#This Row],[Current Policies 2030 excl LULUCF]]/2+Table12[[#This Row],[GHG emissions excl LULUCF]]/2)/Table12[[#This Row],[Population]]-$AI$8)*10)*$AI$10</f>
        <v>#DIV/0!</v>
      </c>
      <c r="AJ18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3" s="32" t="str">
        <f>IF(Table12[[#This Row],[Formule no Peak (2)]]="","",Table12[[#This Row],[Penalty (1)]]+Table12[[#This Row],[Formule no Peak (2)]])</f>
        <v/>
      </c>
      <c r="AL183" s="313">
        <f>(Table12[[#This Row],[Current Policies 2030 excl LULUCF]]-Table12[[#This Row],[GHG emissions excl LULUCF]])/(2030-2021)/Table12[[#This Row],[GHG emissions excl LULUCF]]</f>
        <v>-5.4178533700269225E-2</v>
      </c>
      <c r="AM183" s="313" t="str">
        <f>IF(Table12[[#This Row],[Net-zero target status]]&lt;=1,"",IF(Table12[[#This Row],[NZ GHG year]]="","",(Table12[[#This Row],[residual LULUCF emissions in 2050]]-Table12[[#This Row],[Current Policies 2030 excl LULUCF]])/(Table12[[#This Row],[NZ GHG year]]-2030)/Table12[[#This Row],[Current Policies 2030 excl LULUCF]]))</f>
        <v/>
      </c>
      <c r="AN183" s="313" t="str">
        <f>IF(Table12[[#This Row],[Net-zero target status]]&lt;=1,"",IF(Table12[[#This Row],[NZ GHG year]]="","",(Table12[[#This Row],[residual LULUCF emissions in 2050]]-Table12[[#This Row],[GHG emissions excl LULUCF]])/(Table12[[#This Row],[NZ GHG year]]-2021)/Table12[[#This Row],[GHG emissions excl LULUCF]]))</f>
        <v/>
      </c>
      <c r="AO183" s="313" t="str">
        <f>IF(Table12[[#This Row],[Net-zero target status]]&lt;=1,"",IF(Table12[[#This Row],[NZ GHG year]]="","",(Table12[[#This Row],[residual LULUCF emissions in 2050]]-Table12[[#This Row],[2030 conditional NDCs]])/(Table12[[#This Row],[NZ GHG year]]-2030)/Table12[[#This Row],[2030 conditional NDCs]]))</f>
        <v/>
      </c>
      <c r="AP183" s="96">
        <f>MAX('input site'!AH183:AS183)</f>
        <v>77.795332000000002</v>
      </c>
      <c r="AQ183" s="95" t="str">
        <f>IF(Table12[[#This Row],[Current Policies 2030 incl LULUCF]]&gt;Table12[[#This Row],[Maximum inventory data]],"No","Yes")</f>
        <v>Yes</v>
      </c>
      <c r="AR183" s="34" t="str">
        <f>IF(Table12[[#This Row],[Net-zero target status]]&gt;=1.5,Table12[[#This Row],[residual LULUCF emissions in 2050]]/Table12[[#This Row],[GHG emissions excl LULUCF]],"")</f>
        <v/>
      </c>
      <c r="AS183" s="74">
        <f>'input site'!BE183</f>
        <v>77.374238304000002</v>
      </c>
      <c r="AT183" s="74">
        <f>'input site'!BF183</f>
        <v>77.374238304000002</v>
      </c>
      <c r="AU183" s="74">
        <f>'input site'!BG183</f>
        <v>77.374238304000002</v>
      </c>
      <c r="AV183" s="74">
        <f>'input site'!BH183</f>
        <v>77.374238304000002</v>
      </c>
      <c r="AW183" s="74">
        <f>IF(Table12[[#This Row],[2030 unconditional NDCs]]="","",IF(F183="incl",Table12[[#This Row],[2030 unconditional NDCs]]-Table12[[#This Row],[LULUCF NDC uncond]],Table12[[#This Row],[2030 unconditional NDCs]]))</f>
        <v>77.374238304000002</v>
      </c>
      <c r="AX183" s="74">
        <f>IF(Table12[[#This Row],[2030 unconditional NDCs2]]="","",IF(F183="incl",Table12[[#This Row],[2030 unconditional NDCs2]]-Table12[[#This Row],[LULUCF NDC uncond]],Table12[[#This Row],[2030 unconditional NDCs2]]))</f>
        <v>77.374238304000002</v>
      </c>
      <c r="AY183" s="74">
        <f>IF(Table12[[#This Row],[2030 conditional NDCs]]="","",IF(F183="incl",Table12[[#This Row],[2030 conditional NDCs]]-Table12[[#This Row],[LULUCF NDC cond]],Table12[[#This Row],[2030 conditional NDCs]]))</f>
        <v>77.374238304000002</v>
      </c>
      <c r="AZ183" s="74">
        <f>IF(Table12[[#This Row],[2030 conditional NDCs2]]="","",IF(F183="incl",Table12[[#This Row],[2030 conditional NDCs2]]-Table12[[#This Row],[LULUCF NDC cond]],Table12[[#This Row],[2030 conditional NDCs2]]))</f>
        <v>77.374238304000002</v>
      </c>
      <c r="BA183" s="8"/>
      <c r="BB183" s="8"/>
      <c r="BC183" s="36"/>
      <c r="BD183" s="36" t="e">
        <f>Table12[[#This Row],[GHG emissions excl LULUCF]]*1000000/Table12[[#This Row],[Population]]</f>
        <v>#DIV/0!</v>
      </c>
      <c r="BE183" s="23" t="e">
        <f>VLOOKUP($G183,EGR2023_MASTER!$B$4:$S$38,14,FALSE)</f>
        <v>#N/A</v>
      </c>
      <c r="BF183" s="23" t="e">
        <f>VLOOKUP($G183,EGR2023_MASTER!$B$4:$S$38,15,FALSE)</f>
        <v>#N/A</v>
      </c>
      <c r="BG183" s="23" t="e">
        <f>VLOOKUP($G183,EGR2023_MASTER!$B$4:$S$38,16,FALSE)</f>
        <v>#N/A</v>
      </c>
      <c r="BH183" s="23" t="e">
        <f t="shared" si="24"/>
        <v>#N/A</v>
      </c>
      <c r="BI183" s="23" t="e">
        <f t="shared" si="25"/>
        <v>#N/A</v>
      </c>
      <c r="BJ183" s="552">
        <f>(Table12[[#This Row],[Current Policies 2030 excl LULUCF]]/Table12[[#This Row],[GHG emissions excl LULUCF]])^(1/(2030-2021))-1</f>
        <v>-7.1603047740136261E-2</v>
      </c>
      <c r="BK183" s="552" t="str">
        <f>IF(Table12[[#This Row],[Net-zero target status]]&lt;=1,"",IF(Table12[[#This Row],[NZ GHG year]]="","",((MAX(Table12[[#This Row],[residual LULUCF emissions in 2050]],0.1)/Table12[[#This Row],[Current Policies 2030 excl LULUCF]])^(1/(Table12[[#This Row],[NZ GHG year]]-2021))-1)))</f>
        <v/>
      </c>
      <c r="BL183" s="552" t="str">
        <f>IF(Table12[[#This Row],[Net-zero target status]]&lt;=1,"",IF(Table12[[#This Row],[NZ GHG year]]="","",((MAX(Table12[[#This Row],[residual LULUCF emissions in 2050]],0.1)/Table12[[#This Row],[GHG emissions excl LULUCF]])^(1/(Table12[[#This Row],[NZ GHG year]]-2021))-1)))</f>
        <v/>
      </c>
      <c r="BM183" s="552" t="str">
        <f>IF(Table12[[#This Row],[Net-zero target status]]&lt;=1,"",IF(Table12[[#This Row],[NZ GHG year]]="","",((MAX(Table12[[#This Row],[residual LULUCF emissions in 2050]],0.1)/AVERAGE(Table12[[#This Row],[2030 conditional NDCs]:[2030 conditional NDCs2]]))^(1/(Table12[[#This Row],[NZ GHG year]]-2021))-1)))</f>
        <v/>
      </c>
      <c r="BN183" s="23"/>
      <c r="BO183" s="23"/>
      <c r="BP183" s="23"/>
      <c r="BQ183" s="23"/>
      <c r="BR183" s="50" t="s">
        <v>395</v>
      </c>
      <c r="BT183" s="30" t="str">
        <f>IF(Table12[[#This Row],[Reduction rate 2021 to NZ target2]]="","",J183*(1+AN183)^(Table12[[#This Row],[NZ GHG year]]-2021))</f>
        <v/>
      </c>
    </row>
    <row r="184" spans="1:72" ht="15" x14ac:dyDescent="0.25">
      <c r="A184">
        <v>0</v>
      </c>
      <c r="B184">
        <v>0</v>
      </c>
      <c r="C184">
        <v>690</v>
      </c>
      <c r="D184">
        <v>179</v>
      </c>
      <c r="E184">
        <v>9</v>
      </c>
      <c r="F184" t="str">
        <f>'input site'!M184</f>
        <v>excl</v>
      </c>
      <c r="G184" s="31" t="s">
        <v>396</v>
      </c>
      <c r="H184" s="1" t="s">
        <v>397</v>
      </c>
      <c r="I184" s="8">
        <f>VLOOKUP($G184,'NZT data'!$B$3:$C$200,2,FALSE)</f>
        <v>1</v>
      </c>
      <c r="J184" s="32">
        <f>'input site'!AS184</f>
        <v>0.65006326999999997</v>
      </c>
      <c r="K184" s="32">
        <f>'input site'!BS184</f>
        <v>1.023132086172345</v>
      </c>
      <c r="L184" s="32">
        <f t="shared" si="26"/>
        <v>0</v>
      </c>
      <c r="M184" s="32">
        <f t="shared" si="27"/>
        <v>0</v>
      </c>
      <c r="N184" s="32">
        <f>'input site'!EV184</f>
        <v>0.71442749828691188</v>
      </c>
      <c r="O184" s="8">
        <v>0</v>
      </c>
      <c r="P184" s="36">
        <f>O184-N184</f>
        <v>-0.71442749828691188</v>
      </c>
      <c r="Q184" s="32">
        <f t="shared" si="28"/>
        <v>0</v>
      </c>
      <c r="R184" s="32">
        <f>'input site'!EZ184</f>
        <v>0.65275319286958366</v>
      </c>
      <c r="S184" s="37">
        <f>'input site'!FA184</f>
        <v>2050</v>
      </c>
      <c r="T184" s="37" t="str">
        <f>Table12[[#This Row],[(Mt CO2 equivalent)]]</f>
        <v>Seychelles</v>
      </c>
      <c r="U184" s="8">
        <f>VLOOKUP($G184,'NZT data'!$B$3:$F$200,4,FALSE)</f>
        <v>2110</v>
      </c>
      <c r="V184" s="32">
        <f>VLOOKUP($G184,'NZT data'!$B$3:$F$200,5,FALSE)</f>
        <v>2110</v>
      </c>
      <c r="W184" s="32">
        <f>-IF('LUC NGHGI'!EC174="",MIN('LUC NGHGI'!DW174,0.1),MIN('LUC NGHGI'!EC174,0.1))</f>
        <v>0.81078027272727327</v>
      </c>
      <c r="X184" s="32">
        <f>'LUC NGHGI'!EC174</f>
        <v>-0.81078027272727327</v>
      </c>
      <c r="Y184" s="32">
        <f>'LUC NGHGI'!DY174</f>
        <v>-0.81078027272727327</v>
      </c>
      <c r="Z184" s="32">
        <f>'LUC NGHGI'!DZ174</f>
        <v>-0.81078027272727327</v>
      </c>
      <c r="AA184" s="32">
        <f>Table12[[#This Row],[2021 emissions]]</f>
        <v>0.65006326999999997</v>
      </c>
      <c r="AB184" s="32">
        <f>'LUC NGHGI'!DW174</f>
        <v>-0.80998727272727367</v>
      </c>
      <c r="AC184" s="32">
        <f>IF(F184="incl",Table12[[#This Row],[GHG emissions incl LULUCF]]-Table12[[#This Row],[LULUCF emis-sions in 20213]],Table12[[#This Row],[GHG emissions incl LULUCF]])</f>
        <v>0.65006326999999997</v>
      </c>
      <c r="AD184" s="32">
        <f>'input site'!BS184</f>
        <v>1.023132086172345</v>
      </c>
      <c r="AE184" s="32">
        <f>'LUC NGHGI'!EH174</f>
        <v>-0.75653450022403446</v>
      </c>
      <c r="AF184" s="32">
        <f>IF(F184="incl",Table12[[#This Row],[Current Policies 2030 incl LULUCF]]-Table12[[#This Row],[LULUCF CurPol 2030]],Table12[[#This Row],[Current Policies 2030 incl LULUCF]])</f>
        <v>1.023132086172345</v>
      </c>
      <c r="AG184" s="32" t="str">
        <f>IF(Table12[[#This Row],[Net-zero target status]]&lt;=1,"",IF(Table12[[#This Row],[NZ GHG year]]="","",1000000000*(Table12[[#This Row],[residual LULUCF emissions in 2050]]-Table12[[#This Row],[GHG emissions excl LULUCF]])/(Table12[[#This Row],[NZ GHG year]]-2021)/Table12[[#This Row],[Population]]))</f>
        <v/>
      </c>
      <c r="AH184" s="32" t="str">
        <f>IF(Table12[[#This Row],[Peak revised]]="Yes",IF(Table12[[#This Row],[Net-zero target status]]&lt;=1,"",IF(Table12[[#This Row],[NZ GHG year]]="","",1000000000*(Table12[[#This Row],[residual LULUCF emissions in 2050]]-Table12[[#This Row],[GHG emissions excl LULUCF]])/(Table12[[#This Row],[NZ GHG year]]-2021)/Table12[[#This Row],[Population]])),"")</f>
        <v/>
      </c>
      <c r="AI184" s="32">
        <f>MAX(0,(1000000*(Table12[[#This Row],[Current Policies 2030 excl LULUCF]]/2+Table12[[#This Row],[GHG emissions excl LULUCF]]/2)/Table12[[#This Row],[Population]]-$AI$8)*10)*$AI$10</f>
        <v>-141.42747177415612</v>
      </c>
      <c r="AJ18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4" s="32" t="str">
        <f>IF(Table12[[#This Row],[Formule no Peak (2)]]="","",Table12[[#This Row],[Penalty (1)]]+Table12[[#This Row],[Formule no Peak (2)]])</f>
        <v/>
      </c>
      <c r="AL184" s="313">
        <f>(Table12[[#This Row],[Current Policies 2030 excl LULUCF]]-Table12[[#This Row],[GHG emissions excl LULUCF]])/(2030-2021)/Table12[[#This Row],[GHG emissions excl LULUCF]]</f>
        <v>6.3766240301218857E-2</v>
      </c>
      <c r="AM184" s="313" t="str">
        <f>IF(Table12[[#This Row],[Net-zero target status]]&lt;=1,"",IF(Table12[[#This Row],[NZ GHG year]]="","",(Table12[[#This Row],[residual LULUCF emissions in 2050]]-Table12[[#This Row],[Current Policies 2030 excl LULUCF]])/(Table12[[#This Row],[NZ GHG year]]-2030)/Table12[[#This Row],[Current Policies 2030 excl LULUCF]]))</f>
        <v/>
      </c>
      <c r="AN184" s="313" t="str">
        <f>IF(Table12[[#This Row],[Net-zero target status]]&lt;=1,"",IF(Table12[[#This Row],[NZ GHG year]]="","",(Table12[[#This Row],[residual LULUCF emissions in 2050]]-Table12[[#This Row],[GHG emissions excl LULUCF]])/(Table12[[#This Row],[NZ GHG year]]-2021)/Table12[[#This Row],[GHG emissions excl LULUCF]]))</f>
        <v/>
      </c>
      <c r="AO184" s="313" t="str">
        <f>IF(Table12[[#This Row],[Net-zero target status]]&lt;=1,"",IF(Table12[[#This Row],[NZ GHG year]]="","",(Table12[[#This Row],[residual LULUCF emissions in 2050]]-Table12[[#This Row],[2030 conditional NDCs]])/(Table12[[#This Row],[NZ GHG year]]-2030)/Table12[[#This Row],[2030 conditional NDCs]]))</f>
        <v/>
      </c>
      <c r="AP184" s="96">
        <f>MAX('input site'!AH184:AS184)</f>
        <v>0.68559048</v>
      </c>
      <c r="AQ184" s="95" t="str">
        <f>IF(Table12[[#This Row],[Current Policies 2030 incl LULUCF]]&gt;Table12[[#This Row],[Maximum inventory data]],"No","Yes")</f>
        <v>No</v>
      </c>
      <c r="AR184" s="34" t="str">
        <f>IF(Table12[[#This Row],[Net-zero target status]]&gt;=1.5,Table12[[#This Row],[residual LULUCF emissions in 2050]]/Table12[[#This Row],[GHG emissions excl LULUCF]],"")</f>
        <v/>
      </c>
      <c r="AS184" s="74" t="str">
        <f>'input site'!BE184</f>
        <v/>
      </c>
      <c r="AT184" s="74"/>
      <c r="AU184" s="74">
        <f>'input site'!BG184</f>
        <v>0.63481937799999999</v>
      </c>
      <c r="AV184" s="74">
        <f>'input site'!BH184</f>
        <v>0.63481937799999999</v>
      </c>
      <c r="AW184" s="74" t="str">
        <f>IF(Table12[[#This Row],[2030 unconditional NDCs]]="","",IF(F184="incl",Table12[[#This Row],[2030 unconditional NDCs]]-Table12[[#This Row],[LULUCF NDC uncond]],Table12[[#This Row],[2030 unconditional NDCs]]))</f>
        <v/>
      </c>
      <c r="AX184" s="74" t="str">
        <f>IF(Table12[[#This Row],[2030 unconditional NDCs2]]="","",IF(F184="incl",Table12[[#This Row],[2030 unconditional NDCs2]]-Table12[[#This Row],[LULUCF NDC uncond]],Table12[[#This Row],[2030 unconditional NDCs2]]))</f>
        <v/>
      </c>
      <c r="AY184" s="74">
        <f>IF(Table12[[#This Row],[2030 conditional NDCs]]="","",IF(F184="incl",Table12[[#This Row],[2030 conditional NDCs]]-Table12[[#This Row],[LULUCF NDC cond]],Table12[[#This Row],[2030 conditional NDCs]]))</f>
        <v>0.63481937799999999</v>
      </c>
      <c r="AZ184" s="74">
        <f>IF(Table12[[#This Row],[2030 conditional NDCs2]]="","",IF(F184="incl",Table12[[#This Row],[2030 conditional NDCs2]]-Table12[[#This Row],[LULUCF NDC cond]],Table12[[#This Row],[2030 conditional NDCs2]]))</f>
        <v>0.63481937799999999</v>
      </c>
      <c r="BA184" s="8">
        <f>VLOOKUP($G184,'Population90 20'!$C$6:$AU$231,37,FALSE)</f>
        <v>99426</v>
      </c>
      <c r="BB184" s="8">
        <f>VLOOKUP($G184,'Overview GDP (PPP)'!$C$6:$AI$231,33,FALSE)</f>
        <v>2623606.3669839138</v>
      </c>
      <c r="BC184" s="36">
        <f>Table12[[#This Row],[Income]]/Table12[[#This Row],[Population]]</f>
        <v>26.387528081024218</v>
      </c>
      <c r="BD184" s="36">
        <f>Table12[[#This Row],[GHG emissions excl LULUCF]]*1000000/Table12[[#This Row],[Population]]</f>
        <v>6.538161748436023</v>
      </c>
      <c r="BE184" s="23" t="e">
        <f>VLOOKUP($G184,EGR2023_MASTER!$B$4:$S$38,14,FALSE)</f>
        <v>#N/A</v>
      </c>
      <c r="BF184" s="23" t="e">
        <f>VLOOKUP($G184,EGR2023_MASTER!$B$4:$S$38,15,FALSE)</f>
        <v>#N/A</v>
      </c>
      <c r="BG184" s="23" t="e">
        <f>VLOOKUP($G184,EGR2023_MASTER!$B$4:$S$38,16,FALSE)</f>
        <v>#N/A</v>
      </c>
      <c r="BH184" s="23" t="e">
        <f t="shared" si="24"/>
        <v>#N/A</v>
      </c>
      <c r="BI184" s="23" t="e">
        <f t="shared" si="25"/>
        <v>#N/A</v>
      </c>
      <c r="BJ184" s="552">
        <f>(Table12[[#This Row],[Current Policies 2030 excl LULUCF]]/Table12[[#This Row],[GHG emissions excl LULUCF]])^(1/(2030-2021))-1</f>
        <v>5.1686334369222875E-2</v>
      </c>
      <c r="BK184" s="552" t="str">
        <f>IF(Table12[[#This Row],[Net-zero target status]]&lt;=1,"",IF(Table12[[#This Row],[NZ GHG year]]="","",((MAX(Table12[[#This Row],[residual LULUCF emissions in 2050]],0.1)/Table12[[#This Row],[Current Policies 2030 excl LULUCF]])^(1/(Table12[[#This Row],[NZ GHG year]]-2021))-1)))</f>
        <v/>
      </c>
      <c r="BL184" s="552" t="str">
        <f>IF(Table12[[#This Row],[Net-zero target status]]&lt;=1,"",IF(Table12[[#This Row],[NZ GHG year]]="","",((MAX(Table12[[#This Row],[residual LULUCF emissions in 2050]],0.1)/Table12[[#This Row],[GHG emissions excl LULUCF]])^(1/(Table12[[#This Row],[NZ GHG year]]-2021))-1)))</f>
        <v/>
      </c>
      <c r="BM184" s="552" t="str">
        <f>IF(Table12[[#This Row],[Net-zero target status]]&lt;=1,"",IF(Table12[[#This Row],[NZ GHG year]]="","",((MAX(Table12[[#This Row],[residual LULUCF emissions in 2050]],0.1)/AVERAGE(Table12[[#This Row],[2030 conditional NDCs]:[2030 conditional NDCs2]]))^(1/(Table12[[#This Row],[NZ GHG year]]-2021))-1)))</f>
        <v/>
      </c>
      <c r="BN184" s="23"/>
      <c r="BO184" s="23"/>
      <c r="BP184" s="23"/>
      <c r="BQ184" s="23"/>
      <c r="BR184" s="50" t="s">
        <v>397</v>
      </c>
      <c r="BT184" s="30" t="str">
        <f>IF(Table12[[#This Row],[Reduction rate 2021 to NZ target2]]="","",J184*(1+AN184)^(Table12[[#This Row],[NZ GHG year]]-2021))</f>
        <v/>
      </c>
    </row>
    <row r="185" spans="1:72" ht="15" x14ac:dyDescent="0.25">
      <c r="A185">
        <v>0</v>
      </c>
      <c r="B185">
        <v>0</v>
      </c>
      <c r="C185">
        <v>694</v>
      </c>
      <c r="D185">
        <v>180</v>
      </c>
      <c r="E185">
        <v>8</v>
      </c>
      <c r="F185" t="str">
        <f>'input site'!M185</f>
        <v>excl</v>
      </c>
      <c r="G185" s="31" t="s">
        <v>398</v>
      </c>
      <c r="H185" s="1" t="s">
        <v>399</v>
      </c>
      <c r="I185" s="8">
        <f>VLOOKUP($G185,'NZT data'!$B$3:$C$200,2,FALSE)</f>
        <v>1</v>
      </c>
      <c r="J185" s="32">
        <f>'input site'!AS185</f>
        <v>10.556006</v>
      </c>
      <c r="K185" s="32">
        <f>'input site'!BS185</f>
        <v>12.572061308294382</v>
      </c>
      <c r="L185" s="32">
        <f t="shared" si="26"/>
        <v>0</v>
      </c>
      <c r="M185" s="32">
        <f t="shared" si="27"/>
        <v>0</v>
      </c>
      <c r="N185" s="32">
        <f>'input site'!EV185</f>
        <v>10.457470035734685</v>
      </c>
      <c r="O185" s="8"/>
      <c r="P185" s="36"/>
      <c r="Q185" s="32">
        <f t="shared" si="28"/>
        <v>0</v>
      </c>
      <c r="R185" s="32">
        <f>'input site'!EZ185</f>
        <v>5.9565779121850406</v>
      </c>
      <c r="S185" s="37">
        <f>'input site'!FA185</f>
        <v>2050</v>
      </c>
      <c r="T185" s="37" t="str">
        <f>Table12[[#This Row],[(Mt CO2 equivalent)]]</f>
        <v>Sierra Leone</v>
      </c>
      <c r="U185" s="8">
        <f>VLOOKUP($G185,'NZT data'!$B$3:$F$200,4,FALSE)</f>
        <v>2110</v>
      </c>
      <c r="V185" s="32">
        <f>VLOOKUP($G185,'NZT data'!$B$3:$F$200,5,FALSE)</f>
        <v>2110</v>
      </c>
      <c r="W185" s="32">
        <f>-IF('LUC NGHGI'!EC175="",MIN('LUC NGHGI'!DW175,0.1),MIN('LUC NGHGI'!EC175,0.1))</f>
        <v>0</v>
      </c>
      <c r="X185" s="32" t="str">
        <f>'LUC NGHGI'!EC175</f>
        <v/>
      </c>
      <c r="Y185" s="32" t="str">
        <f>'LUC NGHGI'!DY175</f>
        <v/>
      </c>
      <c r="Z185" s="32" t="str">
        <f>'LUC NGHGI'!DZ175</f>
        <v/>
      </c>
      <c r="AA185" s="32">
        <f>Table12[[#This Row],[2021 emissions]]</f>
        <v>10.556006</v>
      </c>
      <c r="AB185" s="32">
        <f>'LUC NGHGI'!DW175</f>
        <v>0</v>
      </c>
      <c r="AC185" s="32">
        <f>IF(F185="incl",Table12[[#This Row],[GHG emissions incl LULUCF]]-Table12[[#This Row],[LULUCF emis-sions in 20213]],Table12[[#This Row],[GHG emissions incl LULUCF]])</f>
        <v>10.556006</v>
      </c>
      <c r="AD185" s="32">
        <f>'input site'!BS185</f>
        <v>12.572061308294382</v>
      </c>
      <c r="AE185" s="32">
        <f>'LUC NGHGI'!EH175</f>
        <v>0</v>
      </c>
      <c r="AF185" s="32">
        <f>IF(F185="incl",Table12[[#This Row],[Current Policies 2030 incl LULUCF]]-Table12[[#This Row],[LULUCF CurPol 2030]],Table12[[#This Row],[Current Policies 2030 incl LULUCF]])</f>
        <v>12.572061308294382</v>
      </c>
      <c r="AG185" s="32" t="str">
        <f>IF(Table12[[#This Row],[Net-zero target status]]&lt;=1,"",IF(Table12[[#This Row],[NZ GHG year]]="","",1000000000*(Table12[[#This Row],[residual LULUCF emissions in 2050]]-Table12[[#This Row],[GHG emissions excl LULUCF]])/(Table12[[#This Row],[NZ GHG year]]-2021)/Table12[[#This Row],[Population]]))</f>
        <v/>
      </c>
      <c r="AH185" s="32" t="str">
        <f>IF(Table12[[#This Row],[Peak revised]]="Yes",IF(Table12[[#This Row],[Net-zero target status]]&lt;=1,"",IF(Table12[[#This Row],[NZ GHG year]]="","",1000000000*(Table12[[#This Row],[residual LULUCF emissions in 2050]]-Table12[[#This Row],[GHG emissions excl LULUCF]])/(Table12[[#This Row],[NZ GHG year]]-2021)/Table12[[#This Row],[Population]])),"")</f>
        <v/>
      </c>
      <c r="AI185" s="32">
        <f>MAX(0,(1000000*(Table12[[#This Row],[Current Policies 2030 excl LULUCF]]/2+Table12[[#This Row],[GHG emissions excl LULUCF]]/2)/Table12[[#This Row],[Population]]-$AI$8)*10)*$AI$10</f>
        <v>0</v>
      </c>
      <c r="AJ18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5" s="32" t="str">
        <f>IF(Table12[[#This Row],[Formule no Peak (2)]]="","",Table12[[#This Row],[Penalty (1)]]+Table12[[#This Row],[Formule no Peak (2)]])</f>
        <v/>
      </c>
      <c r="AL185" s="313">
        <f>(Table12[[#This Row],[Current Policies 2030 excl LULUCF]]-Table12[[#This Row],[GHG emissions excl LULUCF]])/(2030-2021)/Table12[[#This Row],[GHG emissions excl LULUCF]]</f>
        <v>2.1220729257452338E-2</v>
      </c>
      <c r="AM185" s="313" t="str">
        <f>IF(Table12[[#This Row],[Net-zero target status]]&lt;=1,"",IF(Table12[[#This Row],[NZ GHG year]]="","",(Table12[[#This Row],[residual LULUCF emissions in 2050]]-Table12[[#This Row],[Current Policies 2030 excl LULUCF]])/(Table12[[#This Row],[NZ GHG year]]-2030)/Table12[[#This Row],[Current Policies 2030 excl LULUCF]]))</f>
        <v/>
      </c>
      <c r="AN185" s="313" t="str">
        <f>IF(Table12[[#This Row],[Net-zero target status]]&lt;=1,"",IF(Table12[[#This Row],[NZ GHG year]]="","",(Table12[[#This Row],[residual LULUCF emissions in 2050]]-Table12[[#This Row],[GHG emissions excl LULUCF]])/(Table12[[#This Row],[NZ GHG year]]-2021)/Table12[[#This Row],[GHG emissions excl LULUCF]]))</f>
        <v/>
      </c>
      <c r="AO185" s="313" t="str">
        <f>IF(Table12[[#This Row],[Net-zero target status]]&lt;=1,"",IF(Table12[[#This Row],[NZ GHG year]]="","",(Table12[[#This Row],[residual LULUCF emissions in 2050]]-Table12[[#This Row],[2030 conditional NDCs]])/(Table12[[#This Row],[NZ GHG year]]-2030)/Table12[[#This Row],[2030 conditional NDCs]]))</f>
        <v/>
      </c>
      <c r="AP185" s="96">
        <f>MAX('input site'!AH185:AS185)</f>
        <v>10.974406999999999</v>
      </c>
      <c r="AQ185" s="95" t="str">
        <f>IF(Table12[[#This Row],[Current Policies 2030 incl LULUCF]]&gt;Table12[[#This Row],[Maximum inventory data]],"No","Yes")</f>
        <v>No</v>
      </c>
      <c r="AR185" s="34" t="str">
        <f>IF(Table12[[#This Row],[Net-zero target status]]&gt;=1.5,Table12[[#This Row],[residual LULUCF emissions in 2050]]/Table12[[#This Row],[GHG emissions excl LULUCF]],"")</f>
        <v/>
      </c>
      <c r="AS185" s="74" t="str">
        <f>'input site'!BE185</f>
        <v/>
      </c>
      <c r="AT185" s="74"/>
      <c r="AU185" s="74" t="str">
        <f>'input site'!BG185</f>
        <v/>
      </c>
      <c r="AV185" s="75"/>
      <c r="AW185" s="74" t="str">
        <f>IF(Table12[[#This Row],[2030 unconditional NDCs]]="","",IF(F185="incl",Table12[[#This Row],[2030 unconditional NDCs]]-Table12[[#This Row],[LULUCF NDC uncond]],Table12[[#This Row],[2030 unconditional NDCs]]))</f>
        <v/>
      </c>
      <c r="AX185" s="74" t="str">
        <f>IF(Table12[[#This Row],[2030 unconditional NDCs2]]="","",IF(F185="incl",Table12[[#This Row],[2030 unconditional NDCs2]]-Table12[[#This Row],[LULUCF NDC uncond]],Table12[[#This Row],[2030 unconditional NDCs2]]))</f>
        <v/>
      </c>
      <c r="AY185" s="74" t="str">
        <f>IF(Table12[[#This Row],[2030 conditional NDCs]]="","",IF(F185="incl",Table12[[#This Row],[2030 conditional NDCs]]-Table12[[#This Row],[LULUCF NDC cond]],Table12[[#This Row],[2030 conditional NDCs]]))</f>
        <v/>
      </c>
      <c r="AZ185" s="74" t="str">
        <f>IF(Table12[[#This Row],[2030 conditional NDCs2]]="","",IF(F185="incl",Table12[[#This Row],[2030 conditional NDCs2]]-Table12[[#This Row],[LULUCF NDC cond]],Table12[[#This Row],[2030 conditional NDCs2]]))</f>
        <v/>
      </c>
      <c r="BA185" s="8">
        <f>VLOOKUP($G185,'Population90 20'!$C$6:$AU$231,37,FALSE)</f>
        <v>8306436</v>
      </c>
      <c r="BB185" s="8">
        <f>VLOOKUP($G185,'Overview GDP (PPP)'!$C$6:$AI$231,33,FALSE)</f>
        <v>10904082.570196347</v>
      </c>
      <c r="BC185" s="36">
        <f>Table12[[#This Row],[Income]]/Table12[[#This Row],[Population]]</f>
        <v>1.312726971013362</v>
      </c>
      <c r="BD185" s="36">
        <f>Table12[[#This Row],[GHG emissions excl LULUCF]]*1000000/Table12[[#This Row],[Population]]</f>
        <v>1.2708225284586554</v>
      </c>
      <c r="BE185" s="23" t="e">
        <f>VLOOKUP($G185,EGR2023_MASTER!$B$4:$S$38,14,FALSE)</f>
        <v>#N/A</v>
      </c>
      <c r="BF185" s="23" t="e">
        <f>VLOOKUP($G185,EGR2023_MASTER!$B$4:$S$38,15,FALSE)</f>
        <v>#N/A</v>
      </c>
      <c r="BG185" s="23" t="e">
        <f>VLOOKUP($G185,EGR2023_MASTER!$B$4:$S$38,16,FALSE)</f>
        <v>#N/A</v>
      </c>
      <c r="BH185" s="23" t="e">
        <f t="shared" si="24"/>
        <v>#N/A</v>
      </c>
      <c r="BI185" s="23" t="e">
        <f t="shared" si="25"/>
        <v>#N/A</v>
      </c>
      <c r="BJ185" s="552">
        <f>(Table12[[#This Row],[Current Policies 2030 excl LULUCF]]/Table12[[#This Row],[GHG emissions excl LULUCF]])^(1/(2030-2021))-1</f>
        <v>1.9610022352633871E-2</v>
      </c>
      <c r="BK185" s="552" t="str">
        <f>IF(Table12[[#This Row],[Net-zero target status]]&lt;=1,"",IF(Table12[[#This Row],[NZ GHG year]]="","",((MAX(Table12[[#This Row],[residual LULUCF emissions in 2050]],0.1)/Table12[[#This Row],[Current Policies 2030 excl LULUCF]])^(1/(Table12[[#This Row],[NZ GHG year]]-2021))-1)))</f>
        <v/>
      </c>
      <c r="BL185" s="552" t="str">
        <f>IF(Table12[[#This Row],[Net-zero target status]]&lt;=1,"",IF(Table12[[#This Row],[NZ GHG year]]="","",((MAX(Table12[[#This Row],[residual LULUCF emissions in 2050]],0.1)/Table12[[#This Row],[GHG emissions excl LULUCF]])^(1/(Table12[[#This Row],[NZ GHG year]]-2021))-1)))</f>
        <v/>
      </c>
      <c r="BM185" s="552" t="str">
        <f>IF(Table12[[#This Row],[Net-zero target status]]&lt;=1,"",IF(Table12[[#This Row],[NZ GHG year]]="","",((MAX(Table12[[#This Row],[residual LULUCF emissions in 2050]],0.1)/AVERAGE(Table12[[#This Row],[2030 conditional NDCs]:[2030 conditional NDCs2]]))^(1/(Table12[[#This Row],[NZ GHG year]]-2021))-1)))</f>
        <v/>
      </c>
      <c r="BN185" s="23"/>
      <c r="BO185" s="23"/>
      <c r="BP185" s="23"/>
      <c r="BQ185" s="23"/>
      <c r="BR185" s="50" t="s">
        <v>399</v>
      </c>
      <c r="BT185" s="30" t="str">
        <f>IF(Table12[[#This Row],[Reduction rate 2021 to NZ target2]]="","",J185*(1+AN185)^(Table12[[#This Row],[NZ GHG year]]-2021))</f>
        <v/>
      </c>
    </row>
    <row r="186" spans="1:72" ht="15" x14ac:dyDescent="0.25">
      <c r="A186">
        <v>1</v>
      </c>
      <c r="B186">
        <v>0</v>
      </c>
      <c r="C186">
        <v>702</v>
      </c>
      <c r="D186">
        <v>181</v>
      </c>
      <c r="E186">
        <v>21</v>
      </c>
      <c r="F186" t="str">
        <f>'input site'!M186</f>
        <v>incl</v>
      </c>
      <c r="G186" s="31" t="s">
        <v>400</v>
      </c>
      <c r="H186" s="1" t="s">
        <v>401</v>
      </c>
      <c r="I186" s="8">
        <f>VLOOKUP($G186,'NZT data'!$B$3:$C$200,2,FALSE)</f>
        <v>3</v>
      </c>
      <c r="J186" s="32">
        <f>'input site'!AS186</f>
        <v>52.012173404761903</v>
      </c>
      <c r="K186" s="32">
        <f>'input site'!BS186</f>
        <v>63.449579222457601</v>
      </c>
      <c r="L186" s="32">
        <f t="shared" si="26"/>
        <v>0</v>
      </c>
      <c r="M186" s="32">
        <f t="shared" si="27"/>
        <v>0</v>
      </c>
      <c r="N186" s="32">
        <f>'input site'!EV186</f>
        <v>17.451367228530007</v>
      </c>
      <c r="O186" s="8"/>
      <c r="P186" s="36"/>
      <c r="Q186" s="32">
        <f t="shared" si="28"/>
        <v>0</v>
      </c>
      <c r="R186" s="32">
        <f>'input site'!EZ186</f>
        <v>1.1717675390584936</v>
      </c>
      <c r="S186" s="39" t="str">
        <f>'input site'!FA186</f>
        <v>Net zero in second half of the century. Source: CAT</v>
      </c>
      <c r="T186" s="39" t="str">
        <f>Table12[[#This Row],[(Mt CO2 equivalent)]]</f>
        <v>Singapore</v>
      </c>
      <c r="U186" s="8">
        <f>VLOOKUP($G186,'NZT data'!$B$3:$F$200,4,FALSE)</f>
        <v>2050</v>
      </c>
      <c r="V186" s="32">
        <f>VLOOKUP($G186,'NZT data'!$B$3:$F$200,5,FALSE)</f>
        <v>2050</v>
      </c>
      <c r="W186" s="32">
        <f>-IF('LUC NGHGI'!EC176="",MIN('LUC NGHGI'!DW176,0.1),MIN('LUC NGHGI'!EC176,0.1))</f>
        <v>-0.1</v>
      </c>
      <c r="X186" s="32">
        <f>'LUC NGHGI'!EC176</f>
        <v>0.57906779474549808</v>
      </c>
      <c r="Y186" s="32">
        <f>'LUC NGHGI'!DY176</f>
        <v>0.57906779474549808</v>
      </c>
      <c r="Z186" s="32">
        <f>'LUC NGHGI'!DZ176</f>
        <v>0.57906779474549808</v>
      </c>
      <c r="AA186" s="32">
        <f>Table12[[#This Row],[2021 emissions]]</f>
        <v>52.012173404761903</v>
      </c>
      <c r="AB186" s="32">
        <f>'LUC NGHGI'!DW176</f>
        <v>0.49116040476189937</v>
      </c>
      <c r="AC186" s="32">
        <f>IF(F186="incl",Table12[[#This Row],[GHG emissions incl LULUCF]]-Table12[[#This Row],[LULUCF emis-sions in 20213]],Table12[[#This Row],[GHG emissions incl LULUCF]])</f>
        <v>51.521013000000004</v>
      </c>
      <c r="AD186" s="32">
        <f>'input site'!BS186</f>
        <v>63.449579222457601</v>
      </c>
      <c r="AE186" s="32">
        <f>'LUC NGHGI'!EH176</f>
        <v>0.51445272772475159</v>
      </c>
      <c r="AF186" s="32">
        <f>IF(F186="incl",Table12[[#This Row],[Current Policies 2030 incl LULUCF]]-Table12[[#This Row],[LULUCF CurPol 2030]],Table12[[#This Row],[Current Policies 2030 incl LULUCF]])</f>
        <v>62.935126494732849</v>
      </c>
      <c r="AG186" s="32">
        <f>IF(Table12[[#This Row],[Net-zero target status]]&lt;=1,"",IF(Table12[[#This Row],[NZ GHG year]]="","",1000000000*(Table12[[#This Row],[residual LULUCF emissions in 2050]]-Table12[[#This Row],[GHG emissions excl LULUCF]])/(Table12[[#This Row],[NZ GHG year]]-2021)/Table12[[#This Row],[Population]]))</f>
        <v>-299.49039361931125</v>
      </c>
      <c r="AH186" s="32">
        <f>IF(Table12[[#This Row],[Peak revised]]="Yes",IF(Table12[[#This Row],[Net-zero target status]]&lt;=1,"",IF(Table12[[#This Row],[NZ GHG year]]="","",1000000000*(Table12[[#This Row],[residual LULUCF emissions in 2050]]-Table12[[#This Row],[GHG emissions excl LULUCF]])/(Table12[[#This Row],[NZ GHG year]]-2021)/Table12[[#This Row],[Population]])),"")</f>
        <v>-299.49039361931125</v>
      </c>
      <c r="AI186" s="32">
        <f>MAX(0,(1000000*(Table12[[#This Row],[Current Policies 2030 excl LULUCF]]/2+Table12[[#This Row],[GHG emissions excl LULUCF]]/2)/Table12[[#This Row],[Population]]-$AI$8)*10)*$AI$10</f>
        <v>-262.86071896080932</v>
      </c>
      <c r="AJ18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6" s="32" t="str">
        <f>IF(Table12[[#This Row],[Formule no Peak (2)]]="","",Table12[[#This Row],[Penalty (1)]]+Table12[[#This Row],[Formule no Peak (2)]])</f>
        <v/>
      </c>
      <c r="AL186" s="313">
        <f>(Table12[[#This Row],[Current Policies 2030 excl LULUCF]]-Table12[[#This Row],[GHG emissions excl LULUCF]])/(2030-2021)/Table12[[#This Row],[GHG emissions excl LULUCF]]</f>
        <v>2.4615875327375528E-2</v>
      </c>
      <c r="AM186" s="313">
        <f>IF(Table12[[#This Row],[Net-zero target status]]&lt;=1,"",IF(Table12[[#This Row],[NZ GHG year]]="","",(Table12[[#This Row],[residual LULUCF emissions in 2050]]-Table12[[#This Row],[Current Policies 2030 excl LULUCF]])/(Table12[[#This Row],[NZ GHG year]]-2030)/Table12[[#This Row],[Current Policies 2030 excl LULUCF]]))</f>
        <v>-5.0079446888859735E-2</v>
      </c>
      <c r="AN186" s="313">
        <f>IF(Table12[[#This Row],[Net-zero target status]]&lt;=1,"",IF(Table12[[#This Row],[NZ GHG year]]="","",(Table12[[#This Row],[residual LULUCF emissions in 2050]]-Table12[[#This Row],[GHG emissions excl LULUCF]])/(Table12[[#This Row],[NZ GHG year]]-2021)/Table12[[#This Row],[GHG emissions excl LULUCF]]))</f>
        <v>-3.4549688125007999E-2</v>
      </c>
      <c r="AO186" s="313">
        <f>IF(Table12[[#This Row],[Net-zero target status]]&lt;=1,"",IF(Table12[[#This Row],[NZ GHG year]]="","",(Table12[[#This Row],[residual LULUCF emissions in 2050]]-Table12[[#This Row],[2030 conditional NDCs]])/(Table12[[#This Row],[NZ GHG year]]-2030)/Table12[[#This Row],[2030 conditional NDCs]]))</f>
        <v>-5.0076923076923074E-2</v>
      </c>
      <c r="AP186" s="96">
        <f>MAX('input site'!AH186:AS186)</f>
        <v>64.567616999999998</v>
      </c>
      <c r="AQ186" s="95" t="str">
        <f>IF(Table12[[#This Row],[Current Policies 2030 incl LULUCF]]&gt;Table12[[#This Row],[Maximum inventory data]],"No","Yes")</f>
        <v>Yes</v>
      </c>
      <c r="AR186" s="34">
        <f>IF(Table12[[#This Row],[Net-zero target status]]&gt;=1.5,Table12[[#This Row],[residual LULUCF emissions in 2050]]/Table12[[#This Row],[GHG emissions excl LULUCF]],"")</f>
        <v>-1.9409556252319806E-3</v>
      </c>
      <c r="AS186" s="76">
        <f>'input site'!BE186</f>
        <v>65</v>
      </c>
      <c r="AT186" s="76">
        <f>'input site'!BF186</f>
        <v>65</v>
      </c>
      <c r="AU186" s="76">
        <f>'input site'!BG186</f>
        <v>65</v>
      </c>
      <c r="AV186" s="77">
        <f>'input site'!BH186</f>
        <v>65</v>
      </c>
      <c r="AW186" s="74">
        <f>IF(Table12[[#This Row],[2030 unconditional NDCs]]="","",IF(F186="incl",Table12[[#This Row],[2030 unconditional NDCs]]-Table12[[#This Row],[LULUCF NDC uncond]],Table12[[#This Row],[2030 unconditional NDCs]]))</f>
        <v>64.420932205254502</v>
      </c>
      <c r="AX186" s="74">
        <f>IF(Table12[[#This Row],[2030 unconditional NDCs2]]="","",IF(F186="incl",Table12[[#This Row],[2030 unconditional NDCs2]]-Table12[[#This Row],[LULUCF NDC uncond]],Table12[[#This Row],[2030 unconditional NDCs2]]))</f>
        <v>64.420932205254502</v>
      </c>
      <c r="AY186" s="74">
        <f>IF(Table12[[#This Row],[2030 conditional NDCs]]="","",IF(F186="incl",Table12[[#This Row],[2030 conditional NDCs]]-Table12[[#This Row],[LULUCF NDC cond]],Table12[[#This Row],[2030 conditional NDCs]]))</f>
        <v>64.420932205254502</v>
      </c>
      <c r="AZ186" s="74">
        <f>IF(Table12[[#This Row],[2030 conditional NDCs2]]="","",IF(F186="incl",Table12[[#This Row],[2030 conditional NDCs2]]-Table12[[#This Row],[LULUCF NDC cond]],Table12[[#This Row],[2030 conditional NDCs2]]))</f>
        <v>64.420932205254502</v>
      </c>
      <c r="BA186" s="8">
        <f>VLOOKUP($G186,'Population90 20'!$C$6:$AU$231,37,FALSE)</f>
        <v>5943546</v>
      </c>
      <c r="BB186" s="8">
        <f>VLOOKUP($G186,'Overview GDP (PPP)'!$C$6:$AI$231,33,FALSE)</f>
        <v>507996300.53994107</v>
      </c>
      <c r="BC186" s="36">
        <f>Table12[[#This Row],[Income]]/Table12[[#This Row],[Population]]</f>
        <v>85.470239574143292</v>
      </c>
      <c r="BD186" s="36">
        <f>Table12[[#This Row],[GHG emissions excl LULUCF]]*1000000/Table12[[#This Row],[Population]]</f>
        <v>8.6683964421239441</v>
      </c>
      <c r="BE186" s="23" t="str">
        <f>VLOOKUP($G186,EGR2023_MASTER!$B$4:$S$38,14,FALSE)</f>
        <v>N</v>
      </c>
      <c r="BF186" s="23" t="str">
        <f>VLOOKUP($G186,EGR2023_MASTER!$B$4:$S$38,15,FALSE)</f>
        <v>Credible</v>
      </c>
      <c r="BG186" s="23" t="str">
        <f>VLOOKUP($G186,EGR2023_MASTER!$B$4:$S$38,16,FALSE)</f>
        <v>n</v>
      </c>
      <c r="BH186" s="23" t="str">
        <f t="shared" si="24"/>
        <v>lower</v>
      </c>
      <c r="BI186" s="23" t="str">
        <f t="shared" si="25"/>
        <v>weak</v>
      </c>
      <c r="BJ186" s="552">
        <f>(Table12[[#This Row],[Current Policies 2030 excl LULUCF]]/Table12[[#This Row],[GHG emissions excl LULUCF]])^(1/(2030-2021))-1</f>
        <v>2.2484007473510648E-2</v>
      </c>
      <c r="BK186" s="552">
        <f>IF(Table12[[#This Row],[Net-zero target status]]&lt;=1,"",IF(Table12[[#This Row],[NZ GHG year]]="","",((MAX(Table12[[#This Row],[residual LULUCF emissions in 2050]],0.1)/Table12[[#This Row],[Current Policies 2030 excl LULUCF]])^(1/(Table12[[#This Row],[NZ GHG year]]-2021))-1)))</f>
        <v>-0.19926936483790847</v>
      </c>
      <c r="BL186" s="552">
        <f>IF(Table12[[#This Row],[Net-zero target status]]&lt;=1,"",IF(Table12[[#This Row],[NZ GHG year]]="","",((MAX(Table12[[#This Row],[residual LULUCF emissions in 2050]],0.1)/Table12[[#This Row],[GHG emissions excl LULUCF]])^(1/(Table12[[#This Row],[NZ GHG year]]-2021))-1)))</f>
        <v>-0.19372480906394984</v>
      </c>
      <c r="BM186" s="552">
        <f>IF(Table12[[#This Row],[Net-zero target status]]&lt;=1,"",IF(Table12[[#This Row],[NZ GHG year]]="","",((MAX(Table12[[#This Row],[residual LULUCF emissions in 2050]],0.1)/AVERAGE(Table12[[#This Row],[2030 conditional NDCs]:[2030 conditional NDCs2]]))^(1/(Table12[[#This Row],[NZ GHG year]]-2021))-1)))</f>
        <v>-0.20016024256386156</v>
      </c>
      <c r="BN186" s="23"/>
      <c r="BO186" s="23"/>
      <c r="BP186" s="23"/>
      <c r="BQ186" s="23"/>
      <c r="BR186" s="50" t="s">
        <v>401</v>
      </c>
      <c r="BT186" s="30">
        <f>IF(Table12[[#This Row],[Reduction rate 2021 to NZ target2]]="","",J186*(1+AN186)^(Table12[[#This Row],[NZ GHG year]]-2021))</f>
        <v>18.761730349638984</v>
      </c>
    </row>
    <row r="187" spans="1:72" ht="15" x14ac:dyDescent="0.25">
      <c r="A187">
        <v>0</v>
      </c>
      <c r="B187">
        <v>0</v>
      </c>
      <c r="C187">
        <v>703</v>
      </c>
      <c r="D187">
        <v>182</v>
      </c>
      <c r="E187">
        <v>12</v>
      </c>
      <c r="F187" t="str">
        <f>'input site'!M187</f>
        <v>incl</v>
      </c>
      <c r="G187" s="31" t="s">
        <v>402</v>
      </c>
      <c r="H187" s="1" t="s">
        <v>403</v>
      </c>
      <c r="I187" s="8">
        <f>VLOOKUP($G187,'NZT data'!$B$3:$C$200,2,FALSE)</f>
        <v>3</v>
      </c>
      <c r="J187" s="32">
        <f>'input site'!AS187</f>
        <v>33.409742536073544</v>
      </c>
      <c r="K187" s="32">
        <f>'input site'!BS187</f>
        <v>17.118924778901732</v>
      </c>
      <c r="L187" s="32">
        <f t="shared" si="26"/>
        <v>0</v>
      </c>
      <c r="M187" s="32">
        <f t="shared" si="27"/>
        <v>0</v>
      </c>
      <c r="N187" s="32">
        <f>'input site'!EV187</f>
        <v>8.502020293867929</v>
      </c>
      <c r="O187" s="8"/>
      <c r="P187" s="8"/>
      <c r="Q187" s="32">
        <f t="shared" si="28"/>
        <v>0</v>
      </c>
      <c r="R187" s="32">
        <f>'input site'!EZ187</f>
        <v>4.1476624697763329</v>
      </c>
      <c r="S187" s="37" t="str">
        <f>'input site'!FA187</f>
        <v>2050 (part of the EU)</v>
      </c>
      <c r="T187" s="37" t="str">
        <f>Table12[[#This Row],[(Mt CO2 equivalent)]]</f>
        <v>Slovakia</v>
      </c>
      <c r="U187" s="8">
        <f>VLOOKUP($G187,'NZT data'!$B$3:$F$200,4,FALSE)</f>
        <v>2050</v>
      </c>
      <c r="V187" s="32">
        <f>VLOOKUP($G187,'NZT data'!$B$3:$F$200,5,FALSE)</f>
        <v>2065</v>
      </c>
      <c r="W187" s="32">
        <f>-IF('LUC NGHGI'!EC177="",MIN('LUC NGHGI'!DW177,0.1),MIN('LUC NGHGI'!EC177,0.1))</f>
        <v>7.6997680271585107</v>
      </c>
      <c r="X187" s="32">
        <f>'LUC NGHGI'!EC177</f>
        <v>-7.6997680271585107</v>
      </c>
      <c r="Y187" s="32">
        <f>'LUC NGHGI'!DY177</f>
        <v>-7.6997680271585107</v>
      </c>
      <c r="Z187" s="32">
        <f>'LUC NGHGI'!DZ177</f>
        <v>-7.6997680271585107</v>
      </c>
      <c r="AA187" s="32">
        <f>Table12[[#This Row],[2021 emissions]]</f>
        <v>33.409742536073544</v>
      </c>
      <c r="AB187" s="32">
        <f>'LUC NGHGI'!DW177</f>
        <v>-7.6621684639264558</v>
      </c>
      <c r="AC187" s="32">
        <f>IF(F187="incl",Table12[[#This Row],[GHG emissions incl LULUCF]]-Table12[[#This Row],[LULUCF emis-sions in 20213]],Table12[[#This Row],[GHG emissions incl LULUCF]])</f>
        <v>41.071911</v>
      </c>
      <c r="AD187" s="32">
        <f>'input site'!BS187</f>
        <v>17.118924778901732</v>
      </c>
      <c r="AE187" s="32">
        <f>'LUC NGHGI'!EH177</f>
        <v>-8.7396294956985479</v>
      </c>
      <c r="AF187" s="32">
        <f>IF(F187="incl",Table12[[#This Row],[Current Policies 2030 incl LULUCF]]-Table12[[#This Row],[LULUCF CurPol 2030]],Table12[[#This Row],[Current Policies 2030 incl LULUCF]])</f>
        <v>25.85855427460028</v>
      </c>
      <c r="AG187" s="32">
        <f>IF(Table12[[#This Row],[Net-zero target status]]&lt;=1,"",IF(Table12[[#This Row],[NZ GHG year]]="","",1000000000*(Table12[[#This Row],[residual LULUCF emissions in 2050]]-Table12[[#This Row],[GHG emissions excl LULUCF]])/(Table12[[#This Row],[NZ GHG year]]-2021)/Table12[[#This Row],[Population]]))</f>
        <v>-138.906773961526</v>
      </c>
      <c r="AH187" s="32">
        <f>IF(Table12[[#This Row],[Peak revised]]="Yes",IF(Table12[[#This Row],[Net-zero target status]]&lt;=1,"",IF(Table12[[#This Row],[NZ GHG year]]="","",1000000000*(Table12[[#This Row],[residual LULUCF emissions in 2050]]-Table12[[#This Row],[GHG emissions excl LULUCF]])/(Table12[[#This Row],[NZ GHG year]]-2021)/Table12[[#This Row],[Population]])),"")</f>
        <v>-138.906773961526</v>
      </c>
      <c r="AI187" s="32">
        <f>MAX(0,(1000000*(Table12[[#This Row],[Current Policies 2030 excl LULUCF]]/2+Table12[[#This Row],[GHG emissions excl LULUCF]]/2)/Table12[[#This Row],[Population]]-$AI$8)*10)*$AI$10</f>
        <v>0</v>
      </c>
      <c r="AJ18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7" s="32" t="str">
        <f>IF(Table12[[#This Row],[Formule no Peak (2)]]="","",Table12[[#This Row],[Penalty (1)]]+Table12[[#This Row],[Formule no Peak (2)]])</f>
        <v/>
      </c>
      <c r="AL187" s="313">
        <f>(Table12[[#This Row],[Current Policies 2030 excl LULUCF]]-Table12[[#This Row],[GHG emissions excl LULUCF]])/(2030-2021)/Table12[[#This Row],[GHG emissions excl LULUCF]]</f>
        <v>-4.1156423656275885E-2</v>
      </c>
      <c r="AM187" s="313">
        <f>IF(Table12[[#This Row],[Net-zero target status]]&lt;=1,"",IF(Table12[[#This Row],[NZ GHG year]]="","",(Table12[[#This Row],[residual LULUCF emissions in 2050]]-Table12[[#This Row],[Current Policies 2030 excl LULUCF]])/(Table12[[#This Row],[NZ GHG year]]-2030)/Table12[[#This Row],[Current Policies 2030 excl LULUCF]]))</f>
        <v>-2.0063861989463132E-2</v>
      </c>
      <c r="AN187" s="313">
        <f>IF(Table12[[#This Row],[Net-zero target status]]&lt;=1,"",IF(Table12[[#This Row],[NZ GHG year]]="","",(Table12[[#This Row],[residual LULUCF emissions in 2050]]-Table12[[#This Row],[GHG emissions excl LULUCF]])/(Table12[[#This Row],[NZ GHG year]]-2021)/Table12[[#This Row],[GHG emissions excl LULUCF]]))</f>
        <v>-1.8466581572922344E-2</v>
      </c>
      <c r="AO187" s="313" t="e">
        <f>IF(Table12[[#This Row],[Net-zero target status]]&lt;=1,"",IF(Table12[[#This Row],[NZ GHG year]]="","",(Table12[[#This Row],[residual LULUCF emissions in 2050]]-Table12[[#This Row],[2030 conditional NDCs]])/(Table12[[#This Row],[NZ GHG year]]-2030)/Table12[[#This Row],[2030 conditional NDCs]]))</f>
        <v>#DIV/0!</v>
      </c>
      <c r="AP187" s="96">
        <f>MAX('input site'!AH187:AS187)</f>
        <v>40.40686519020727</v>
      </c>
      <c r="AQ187" s="95" t="str">
        <f>IF(Table12[[#This Row],[Current Policies 2030 incl LULUCF]]&gt;Table12[[#This Row],[Maximum inventory data]],"No","Yes")</f>
        <v>Yes</v>
      </c>
      <c r="AR187" s="34">
        <f>IF(Table12[[#This Row],[Net-zero target status]]&gt;=1.5,Table12[[#This Row],[residual LULUCF emissions in 2050]]/Table12[[#This Row],[GHG emissions excl LULUCF]],"")</f>
        <v>0.1874704107914168</v>
      </c>
      <c r="AS187" s="74" t="str">
        <f>'input site'!BE187</f>
        <v/>
      </c>
      <c r="AT187" s="74"/>
      <c r="AU187" s="74"/>
      <c r="AV187" s="75"/>
      <c r="AW187" s="74" t="str">
        <f>IF(Table12[[#This Row],[2030 unconditional NDCs]]="","",IF(F187="incl",Table12[[#This Row],[2030 unconditional NDCs]]-Table12[[#This Row],[LULUCF NDC uncond]],Table12[[#This Row],[2030 unconditional NDCs]]))</f>
        <v/>
      </c>
      <c r="AX187" s="74" t="str">
        <f>IF(Table12[[#This Row],[2030 unconditional NDCs2]]="","",IF(F187="incl",Table12[[#This Row],[2030 unconditional NDCs2]]-Table12[[#This Row],[LULUCF NDC uncond]],Table12[[#This Row],[2030 unconditional NDCs2]]))</f>
        <v/>
      </c>
      <c r="AY187" s="74" t="str">
        <f>IF(Table12[[#This Row],[2030 conditional NDCs]]="","",IF(F187="incl",Table12[[#This Row],[2030 conditional NDCs]]-Table12[[#This Row],[LULUCF NDC cond]],Table12[[#This Row],[2030 conditional NDCs]]))</f>
        <v/>
      </c>
      <c r="AZ187" s="74" t="str">
        <f>IF(Table12[[#This Row],[2030 conditional NDCs2]]="","",IF(F187="incl",Table12[[#This Row],[2030 conditional NDCs2]]-Table12[[#This Row],[LULUCF NDC cond]],Table12[[#This Row],[2030 conditional NDCs2]]))</f>
        <v/>
      </c>
      <c r="BA187" s="8">
        <f>VLOOKUP($G187,'Population90 20'!$C$6:$AU$231,37,FALSE)</f>
        <v>5460193</v>
      </c>
      <c r="BB187" s="8">
        <f>VLOOKUP($G187,'Overview GDP (PPP)'!$C$6:$AI$231,33,FALSE)</f>
        <v>170634675.35994819</v>
      </c>
      <c r="BC187" s="36">
        <f>Table12[[#This Row],[Income]]/Table12[[#This Row],[Population]]</f>
        <v>31.250667395813334</v>
      </c>
      <c r="BD187" s="36">
        <f>Table12[[#This Row],[GHG emissions excl LULUCF]]*1000000/Table12[[#This Row],[Population]]</f>
        <v>7.5220621322359849</v>
      </c>
      <c r="BE187" s="23" t="e">
        <f>VLOOKUP($G187,EGR2023_MASTER!$B$4:$S$38,14,FALSE)</f>
        <v>#N/A</v>
      </c>
      <c r="BF187" s="23" t="e">
        <f>VLOOKUP($G187,EGR2023_MASTER!$B$4:$S$38,15,FALSE)</f>
        <v>#N/A</v>
      </c>
      <c r="BG187" s="23" t="e">
        <f>VLOOKUP($G187,EGR2023_MASTER!$B$4:$S$38,16,FALSE)</f>
        <v>#N/A</v>
      </c>
      <c r="BH187" s="23" t="e">
        <f t="shared" si="24"/>
        <v>#N/A</v>
      </c>
      <c r="BI187" s="23" t="e">
        <f t="shared" si="25"/>
        <v>#N/A</v>
      </c>
      <c r="BJ187" s="552">
        <f>(Table12[[#This Row],[Current Policies 2030 excl LULUCF]]/Table12[[#This Row],[GHG emissions excl LULUCF]])^(1/(2030-2021))-1</f>
        <v>-5.0110124138535772E-2</v>
      </c>
      <c r="BK187" s="552">
        <f>IF(Table12[[#This Row],[Net-zero target status]]&lt;=1,"",IF(Table12[[#This Row],[NZ GHG year]]="","",((MAX(Table12[[#This Row],[residual LULUCF emissions in 2050]],0.1)/Table12[[#This Row],[Current Policies 2030 excl LULUCF]])^(1/(Table12[[#This Row],[NZ GHG year]]-2021))-1)))</f>
        <v>-2.7157405505325638E-2</v>
      </c>
      <c r="BL187" s="552">
        <f>IF(Table12[[#This Row],[Net-zero target status]]&lt;=1,"",IF(Table12[[#This Row],[NZ GHG year]]="","",((MAX(Table12[[#This Row],[residual LULUCF emissions in 2050]],0.1)/Table12[[#This Row],[GHG emissions excl LULUCF]])^(1/(Table12[[#This Row],[NZ GHG year]]-2021))-1)))</f>
        <v>-3.733375513627335E-2</v>
      </c>
      <c r="BM187" s="552" t="e">
        <f>IF(Table12[[#This Row],[Net-zero target status]]&lt;=1,"",IF(Table12[[#This Row],[NZ GHG year]]="","",((MAX(Table12[[#This Row],[residual LULUCF emissions in 2050]],0.1)/AVERAGE(Table12[[#This Row],[2030 conditional NDCs]:[2030 conditional NDCs2]]))^(1/(Table12[[#This Row],[NZ GHG year]]-2021))-1)))</f>
        <v>#DIV/0!</v>
      </c>
      <c r="BN187" s="23"/>
      <c r="BO187" s="23"/>
      <c r="BP187" s="23"/>
      <c r="BQ187" s="23"/>
      <c r="BR187" s="50" t="s">
        <v>403</v>
      </c>
      <c r="BT187" s="30">
        <f>IF(Table12[[#This Row],[Reduction rate 2021 to NZ target2]]="","",J187*(1+AN187)^(Table12[[#This Row],[NZ GHG year]]-2021))</f>
        <v>14.71286055619114</v>
      </c>
    </row>
    <row r="188" spans="1:72" ht="15" x14ac:dyDescent="0.25">
      <c r="A188">
        <v>0</v>
      </c>
      <c r="B188">
        <v>0</v>
      </c>
      <c r="C188">
        <v>705</v>
      </c>
      <c r="D188">
        <v>184</v>
      </c>
      <c r="E188">
        <v>12</v>
      </c>
      <c r="F188" t="str">
        <f>'input site'!M188</f>
        <v>incl</v>
      </c>
      <c r="G188" s="31" t="s">
        <v>404</v>
      </c>
      <c r="H188" s="1" t="s">
        <v>405</v>
      </c>
      <c r="I188" s="8">
        <f>VLOOKUP($G188,'NZT data'!$B$3:$C$200,2,FALSE)</f>
        <v>3</v>
      </c>
      <c r="J188" s="32">
        <f>'input site'!AS188</f>
        <v>12.86879045080644</v>
      </c>
      <c r="K188" s="32">
        <f>'input site'!BS188</f>
        <v>6.5938806767199631</v>
      </c>
      <c r="L188" s="32">
        <f t="shared" si="26"/>
        <v>0</v>
      </c>
      <c r="M188" s="32">
        <f t="shared" si="27"/>
        <v>0</v>
      </c>
      <c r="N188" s="32">
        <f>'input site'!EV188</f>
        <v>4.2318217611097149</v>
      </c>
      <c r="O188" s="8"/>
      <c r="P188" s="8"/>
      <c r="Q188" s="32">
        <f t="shared" si="28"/>
        <v>0</v>
      </c>
      <c r="R188" s="32">
        <f>'input site'!EZ188</f>
        <v>2.0644702894907261</v>
      </c>
      <c r="S188" s="37" t="str">
        <f>'input site'!FA188</f>
        <v>2050 (part of the EU)</v>
      </c>
      <c r="T188" s="37" t="str">
        <f>Table12[[#This Row],[(Mt CO2 equivalent)]]</f>
        <v>Slovenia</v>
      </c>
      <c r="U188" s="8">
        <f>VLOOKUP($G188,'NZT data'!$B$3:$F$200,4,FALSE)</f>
        <v>2050</v>
      </c>
      <c r="V188" s="32">
        <f>VLOOKUP($G188,'NZT data'!$B$3:$F$200,5,FALSE)</f>
        <v>2050</v>
      </c>
      <c r="W188" s="32">
        <f>-IF('LUC NGHGI'!EC178="",MIN('LUC NGHGI'!DW178,0.1),MIN('LUC NGHGI'!EC178,0.1))</f>
        <v>3.1498048902233622</v>
      </c>
      <c r="X188" s="32">
        <f>'LUC NGHGI'!EC178</f>
        <v>-3.1498048902233622</v>
      </c>
      <c r="Y188" s="32">
        <f>'LUC NGHGI'!DY178</f>
        <v>-3.1498048902233622</v>
      </c>
      <c r="Z188" s="32">
        <f>'LUC NGHGI'!DZ178</f>
        <v>-3.1498048902233622</v>
      </c>
      <c r="AA188" s="32">
        <f>Table12[[#This Row],[2021 emissions]]</f>
        <v>12.86879045080644</v>
      </c>
      <c r="AB188" s="32">
        <f>'LUC NGHGI'!DW178</f>
        <v>-3.1126215491935603</v>
      </c>
      <c r="AC188" s="32">
        <f>IF(F188="incl",Table12[[#This Row],[GHG emissions incl LULUCF]]-Table12[[#This Row],[LULUCF emis-sions in 20213]],Table12[[#This Row],[GHG emissions incl LULUCF]])</f>
        <v>15.981412000000001</v>
      </c>
      <c r="AD188" s="32">
        <f>'input site'!BS188</f>
        <v>6.5938806767199631</v>
      </c>
      <c r="AE188" s="32">
        <f>'LUC NGHGI'!EH178</f>
        <v>-3.5751892300124899</v>
      </c>
      <c r="AF188" s="32">
        <f>IF(F188="incl",Table12[[#This Row],[Current Policies 2030 incl LULUCF]]-Table12[[#This Row],[LULUCF CurPol 2030]],Table12[[#This Row],[Current Policies 2030 incl LULUCF]])</f>
        <v>10.169069906732453</v>
      </c>
      <c r="AG188" s="32">
        <f>IF(Table12[[#This Row],[Net-zero target status]]&lt;=1,"",IF(Table12[[#This Row],[NZ GHG year]]="","",1000000000*(Table12[[#This Row],[residual LULUCF emissions in 2050]]-Table12[[#This Row],[GHG emissions excl LULUCF]])/(Table12[[#This Row],[NZ GHG year]]-2021)/Table12[[#This Row],[Population]]))</f>
        <v>-212.92683886883131</v>
      </c>
      <c r="AH188" s="32">
        <f>IF(Table12[[#This Row],[Peak revised]]="Yes",IF(Table12[[#This Row],[Net-zero target status]]&lt;=1,"",IF(Table12[[#This Row],[NZ GHG year]]="","",1000000000*(Table12[[#This Row],[residual LULUCF emissions in 2050]]-Table12[[#This Row],[GHG emissions excl LULUCF]])/(Table12[[#This Row],[NZ GHG year]]-2021)/Table12[[#This Row],[Population]])),"")</f>
        <v>-212.92683886883131</v>
      </c>
      <c r="AI188" s="32">
        <f>MAX(0,(1000000*(Table12[[#This Row],[Current Policies 2030 excl LULUCF]]/2+Table12[[#This Row],[GHG emissions excl LULUCF]]/2)/Table12[[#This Row],[Population]]-$AI$8)*10)*$AI$10</f>
        <v>0</v>
      </c>
      <c r="AJ18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8" s="32" t="str">
        <f>IF(Table12[[#This Row],[Formule no Peak (2)]]="","",Table12[[#This Row],[Penalty (1)]]+Table12[[#This Row],[Formule no Peak (2)]])</f>
        <v/>
      </c>
      <c r="AL188" s="313">
        <f>(Table12[[#This Row],[Current Policies 2030 excl LULUCF]]-Table12[[#This Row],[GHG emissions excl LULUCF]])/(2030-2021)/Table12[[#This Row],[GHG emissions excl LULUCF]]</f>
        <v>-4.0410433580013991E-2</v>
      </c>
      <c r="AM188" s="313">
        <f>IF(Table12[[#This Row],[Net-zero target status]]&lt;=1,"",IF(Table12[[#This Row],[NZ GHG year]]="","",(Table12[[#This Row],[residual LULUCF emissions in 2050]]-Table12[[#This Row],[Current Policies 2030 excl LULUCF]])/(Table12[[#This Row],[NZ GHG year]]-2030)/Table12[[#This Row],[Current Policies 2030 excl LULUCF]]))</f>
        <v>-3.4512817203970501E-2</v>
      </c>
      <c r="AN188" s="313">
        <f>IF(Table12[[#This Row],[Net-zero target status]]&lt;=1,"",IF(Table12[[#This Row],[NZ GHG year]]="","",(Table12[[#This Row],[residual LULUCF emissions in 2050]]-Table12[[#This Row],[GHG emissions excl LULUCF]])/(Table12[[#This Row],[NZ GHG year]]-2021)/Table12[[#This Row],[GHG emissions excl LULUCF]]))</f>
        <v>-2.7686490447899909E-2</v>
      </c>
      <c r="AO188" s="313" t="e">
        <f>IF(Table12[[#This Row],[Net-zero target status]]&lt;=1,"",IF(Table12[[#This Row],[NZ GHG year]]="","",(Table12[[#This Row],[residual LULUCF emissions in 2050]]-Table12[[#This Row],[2030 conditional NDCs]])/(Table12[[#This Row],[NZ GHG year]]-2030)/Table12[[#This Row],[2030 conditional NDCs]]))</f>
        <v>#DIV/0!</v>
      </c>
      <c r="AP188" s="96">
        <f>MAX('input site'!AH188:AS188)</f>
        <v>18.668731576001626</v>
      </c>
      <c r="AQ188" s="95" t="str">
        <f>IF(Table12[[#This Row],[Current Policies 2030 incl LULUCF]]&gt;Table12[[#This Row],[Maximum inventory data]],"No","Yes")</f>
        <v>Yes</v>
      </c>
      <c r="AR188" s="34">
        <f>IF(Table12[[#This Row],[Net-zero target status]]&gt;=1.5,Table12[[#This Row],[residual LULUCF emissions in 2050]]/Table12[[#This Row],[GHG emissions excl LULUCF]],"")</f>
        <v>0.19709177701090255</v>
      </c>
      <c r="AS188" s="74" t="str">
        <f>'input site'!BE188</f>
        <v/>
      </c>
      <c r="AT188" s="74"/>
      <c r="AU188" s="74"/>
      <c r="AV188" s="75"/>
      <c r="AW188" s="74" t="str">
        <f>IF(Table12[[#This Row],[2030 unconditional NDCs]]="","",IF(F188="incl",Table12[[#This Row],[2030 unconditional NDCs]]-Table12[[#This Row],[LULUCF NDC uncond]],Table12[[#This Row],[2030 unconditional NDCs]]))</f>
        <v/>
      </c>
      <c r="AX188" s="74" t="str">
        <f>IF(Table12[[#This Row],[2030 unconditional NDCs2]]="","",IF(F188="incl",Table12[[#This Row],[2030 unconditional NDCs2]]-Table12[[#This Row],[LULUCF NDC uncond]],Table12[[#This Row],[2030 unconditional NDCs2]]))</f>
        <v/>
      </c>
      <c r="AY188" s="74" t="str">
        <f>IF(Table12[[#This Row],[2030 conditional NDCs]]="","",IF(F188="incl",Table12[[#This Row],[2030 conditional NDCs]]-Table12[[#This Row],[LULUCF NDC cond]],Table12[[#This Row],[2030 conditional NDCs]]))</f>
        <v/>
      </c>
      <c r="AZ188" s="74" t="str">
        <f>IF(Table12[[#This Row],[2030 conditional NDCs2]]="","",IF(F188="incl",Table12[[#This Row],[2030 conditional NDCs2]]-Table12[[#This Row],[LULUCF NDC cond]],Table12[[#This Row],[2030 conditional NDCs2]]))</f>
        <v/>
      </c>
      <c r="BA188" s="8">
        <f>VLOOKUP($G188,'Population90 20'!$C$6:$AU$231,37,FALSE)</f>
        <v>2078034</v>
      </c>
      <c r="BB188" s="8">
        <f>VLOOKUP($G188,'Overview GDP (PPP)'!$C$6:$AI$231,33,FALSE)</f>
        <v>67690957.989567354</v>
      </c>
      <c r="BC188" s="36">
        <f>Table12[[#This Row],[Income]]/Table12[[#This Row],[Population]]</f>
        <v>32.574518987450325</v>
      </c>
      <c r="BD188" s="36">
        <f>Table12[[#This Row],[GHG emissions excl LULUCF]]*1000000/Table12[[#This Row],[Population]]</f>
        <v>7.6906402878874935</v>
      </c>
      <c r="BE188" s="23" t="e">
        <f>VLOOKUP($G188,EGR2023_MASTER!$B$4:$S$38,14,FALSE)</f>
        <v>#N/A</v>
      </c>
      <c r="BF188" s="23" t="e">
        <f>VLOOKUP($G188,EGR2023_MASTER!$B$4:$S$38,15,FALSE)</f>
        <v>#N/A</v>
      </c>
      <c r="BG188" s="23" t="e">
        <f>VLOOKUP($G188,EGR2023_MASTER!$B$4:$S$38,16,FALSE)</f>
        <v>#N/A</v>
      </c>
      <c r="BH188" s="23" t="e">
        <f t="shared" si="24"/>
        <v>#N/A</v>
      </c>
      <c r="BI188" s="23" t="e">
        <f t="shared" si="25"/>
        <v>#N/A</v>
      </c>
      <c r="BJ188" s="552">
        <f>(Table12[[#This Row],[Current Policies 2030 excl LULUCF]]/Table12[[#This Row],[GHG emissions excl LULUCF]])^(1/(2030-2021))-1</f>
        <v>-4.8989919100869028E-2</v>
      </c>
      <c r="BK188" s="552">
        <f>IF(Table12[[#This Row],[Net-zero target status]]&lt;=1,"",IF(Table12[[#This Row],[NZ GHG year]]="","",((MAX(Table12[[#This Row],[residual LULUCF emissions in 2050]],0.1)/Table12[[#This Row],[Current Policies 2030 excl LULUCF]])^(1/(Table12[[#This Row],[NZ GHG year]]-2021))-1)))</f>
        <v>-3.9608385764077214E-2</v>
      </c>
      <c r="BL188" s="552">
        <f>IF(Table12[[#This Row],[Net-zero target status]]&lt;=1,"",IF(Table12[[#This Row],[NZ GHG year]]="","",((MAX(Table12[[#This Row],[residual LULUCF emissions in 2050]],0.1)/Table12[[#This Row],[GHG emissions excl LULUCF]])^(1/(Table12[[#This Row],[NZ GHG year]]-2021))-1)))</f>
        <v>-5.4463661126876506E-2</v>
      </c>
      <c r="BM188" s="552" t="e">
        <f>IF(Table12[[#This Row],[Net-zero target status]]&lt;=1,"",IF(Table12[[#This Row],[NZ GHG year]]="","",((MAX(Table12[[#This Row],[residual LULUCF emissions in 2050]],0.1)/AVERAGE(Table12[[#This Row],[2030 conditional NDCs]:[2030 conditional NDCs2]]))^(1/(Table12[[#This Row],[NZ GHG year]]-2021))-1)))</f>
        <v>#DIV/0!</v>
      </c>
      <c r="BN188" s="23"/>
      <c r="BO188" s="23"/>
      <c r="BP188" s="23"/>
      <c r="BQ188" s="23"/>
      <c r="BR188" s="50" t="s">
        <v>405</v>
      </c>
      <c r="BT188" s="30">
        <f>IF(Table12[[#This Row],[Reduction rate 2021 to NZ target2]]="","",J188*(1+AN188)^(Table12[[#This Row],[NZ GHG year]]-2021))</f>
        <v>5.7006057772343581</v>
      </c>
    </row>
    <row r="189" spans="1:72" ht="15" x14ac:dyDescent="0.25">
      <c r="A189">
        <v>0</v>
      </c>
      <c r="B189">
        <v>0</v>
      </c>
      <c r="C189">
        <v>90</v>
      </c>
      <c r="D189">
        <v>24</v>
      </c>
      <c r="E189">
        <v>24</v>
      </c>
      <c r="F189" t="str">
        <f>'input site'!M189</f>
        <v>incl</v>
      </c>
      <c r="G189" s="31" t="s">
        <v>406</v>
      </c>
      <c r="H189" s="1" t="s">
        <v>407</v>
      </c>
      <c r="I189" s="8">
        <f>VLOOKUP($G189,'NZT data'!$B$3:$C$200,2,FALSE)</f>
        <v>1</v>
      </c>
      <c r="J189" s="32">
        <f>'input site'!AS189</f>
        <v>0.82347943999999995</v>
      </c>
      <c r="K189" s="32">
        <f>'input site'!BS189</f>
        <v>0.86327707324427472</v>
      </c>
      <c r="L189" s="32">
        <f t="shared" si="26"/>
        <v>0</v>
      </c>
      <c r="M189" s="32">
        <f t="shared" si="27"/>
        <v>0</v>
      </c>
      <c r="N189" s="32">
        <f>'input site'!EV189</f>
        <v>0.29872995458272561</v>
      </c>
      <c r="O189" s="8">
        <v>0</v>
      </c>
      <c r="P189" s="36">
        <f>O189-N189</f>
        <v>-0.29872995458272561</v>
      </c>
      <c r="Q189" s="32">
        <f t="shared" si="28"/>
        <v>0</v>
      </c>
      <c r="R189" s="32">
        <f>'input site'!EZ189</f>
        <v>0.12921972865088502</v>
      </c>
      <c r="S189" s="37">
        <f>'input site'!FA189</f>
        <v>2050</v>
      </c>
      <c r="T189" s="37" t="str">
        <f>Table12[[#This Row],[(Mt CO2 equivalent)]]</f>
        <v>Solomon Islands</v>
      </c>
      <c r="U189" s="8">
        <f>VLOOKUP($G189,'NZT data'!$B$3:$F$200,4,FALSE)</f>
        <v>2110</v>
      </c>
      <c r="V189" s="32">
        <f>VLOOKUP($G189,'NZT data'!$B$3:$F$200,5,FALSE)</f>
        <v>2125</v>
      </c>
      <c r="W189" s="32">
        <f>-IF('LUC NGHGI'!EC179="",MIN('LUC NGHGI'!DW179,0.1),MIN('LUC NGHGI'!EC179,0.1))</f>
        <v>0</v>
      </c>
      <c r="X189" s="32" t="str">
        <f>'LUC NGHGI'!EC179</f>
        <v/>
      </c>
      <c r="Y189" s="32" t="str">
        <f>'LUC NGHGI'!DY179</f>
        <v/>
      </c>
      <c r="Z189" s="32" t="str">
        <f>'LUC NGHGI'!DZ179</f>
        <v/>
      </c>
      <c r="AA189" s="32">
        <f>Table12[[#This Row],[2021 emissions]]</f>
        <v>0.82347943999999995</v>
      </c>
      <c r="AB189" s="32">
        <f>'LUC NGHGI'!DW179</f>
        <v>0</v>
      </c>
      <c r="AC189" s="32">
        <f>IF(F189="incl",Table12[[#This Row],[GHG emissions incl LULUCF]]-Table12[[#This Row],[LULUCF emis-sions in 20213]],Table12[[#This Row],[GHG emissions incl LULUCF]])</f>
        <v>0.82347943999999995</v>
      </c>
      <c r="AD189" s="32">
        <f>'input site'!BS189</f>
        <v>0.86327707324427472</v>
      </c>
      <c r="AE189" s="32">
        <f>'LUC NGHGI'!EH179</f>
        <v>0</v>
      </c>
      <c r="AF189" s="32">
        <f>IF(F189="incl",Table12[[#This Row],[Current Policies 2030 incl LULUCF]]-Table12[[#This Row],[LULUCF CurPol 2030]],Table12[[#This Row],[Current Policies 2030 incl LULUCF]])</f>
        <v>0.86327707324427472</v>
      </c>
      <c r="AG189" s="32" t="str">
        <f>IF(Table12[[#This Row],[Net-zero target status]]&lt;=1,"",IF(Table12[[#This Row],[NZ GHG year]]="","",1000000000*(Table12[[#This Row],[residual LULUCF emissions in 2050]]-Table12[[#This Row],[GHG emissions excl LULUCF]])/(Table12[[#This Row],[NZ GHG year]]-2021)/Table12[[#This Row],[Population]]))</f>
        <v/>
      </c>
      <c r="AH189" s="32" t="str">
        <f>IF(Table12[[#This Row],[Peak revised]]="Yes",IF(Table12[[#This Row],[Net-zero target status]]&lt;=1,"",IF(Table12[[#This Row],[NZ GHG year]]="","",1000000000*(Table12[[#This Row],[residual LULUCF emissions in 2050]]-Table12[[#This Row],[GHG emissions excl LULUCF]])/(Table12[[#This Row],[NZ GHG year]]-2021)/Table12[[#This Row],[Population]])),"")</f>
        <v/>
      </c>
      <c r="AI189" s="32">
        <f>MAX(0,(1000000*(Table12[[#This Row],[Current Policies 2030 excl LULUCF]]/2+Table12[[#This Row],[GHG emissions excl LULUCF]]/2)/Table12[[#This Row],[Population]]-$AI$8)*10)*$AI$10</f>
        <v>0</v>
      </c>
      <c r="AJ18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89" s="32" t="str">
        <f>IF(Table12[[#This Row],[Formule no Peak (2)]]="","",Table12[[#This Row],[Penalty (1)]]+Table12[[#This Row],[Formule no Peak (2)]])</f>
        <v/>
      </c>
      <c r="AL189" s="313">
        <f>(Table12[[#This Row],[Current Policies 2030 excl LULUCF]]-Table12[[#This Row],[GHG emissions excl LULUCF]])/(2030-2021)/Table12[[#This Row],[GHG emissions excl LULUCF]]</f>
        <v>5.3698477880198964E-3</v>
      </c>
      <c r="AM189" s="313" t="str">
        <f>IF(Table12[[#This Row],[Net-zero target status]]&lt;=1,"",IF(Table12[[#This Row],[NZ GHG year]]="","",(Table12[[#This Row],[residual LULUCF emissions in 2050]]-Table12[[#This Row],[Current Policies 2030 excl LULUCF]])/(Table12[[#This Row],[NZ GHG year]]-2030)/Table12[[#This Row],[Current Policies 2030 excl LULUCF]]))</f>
        <v/>
      </c>
      <c r="AN189" s="313" t="str">
        <f>IF(Table12[[#This Row],[Net-zero target status]]&lt;=1,"",IF(Table12[[#This Row],[NZ GHG year]]="","",(Table12[[#This Row],[residual LULUCF emissions in 2050]]-Table12[[#This Row],[GHG emissions excl LULUCF]])/(Table12[[#This Row],[NZ GHG year]]-2021)/Table12[[#This Row],[GHG emissions excl LULUCF]]))</f>
        <v/>
      </c>
      <c r="AO189" s="313" t="str">
        <f>IF(Table12[[#This Row],[Net-zero target status]]&lt;=1,"",IF(Table12[[#This Row],[NZ GHG year]]="","",(Table12[[#This Row],[residual LULUCF emissions in 2050]]-Table12[[#This Row],[2030 conditional NDCs]])/(Table12[[#This Row],[NZ GHG year]]-2030)/Table12[[#This Row],[2030 conditional NDCs]]))</f>
        <v/>
      </c>
      <c r="AP189" s="96">
        <f>MAX('input site'!AH189:AS189)</f>
        <v>0.82347943999999995</v>
      </c>
      <c r="AQ189" s="95" t="str">
        <f>IF(Table12[[#This Row],[Current Policies 2030 incl LULUCF]]&gt;Table12[[#This Row],[Maximum inventory data]],"No","Yes")</f>
        <v>No</v>
      </c>
      <c r="AR189" s="34" t="str">
        <f>IF(Table12[[#This Row],[Net-zero target status]]&gt;=1.5,Table12[[#This Row],[residual LULUCF emissions in 2050]]/Table12[[#This Row],[GHG emissions excl LULUCF]],"")</f>
        <v/>
      </c>
      <c r="AS189" s="74">
        <f>'input site'!BE189</f>
        <v>4.3999491199999996</v>
      </c>
      <c r="AT189" s="74">
        <f>'input site'!BF189</f>
        <v>4.3999491199999996</v>
      </c>
      <c r="AU189" s="74">
        <f>'input site'!BG189</f>
        <v>3.4571028800000003</v>
      </c>
      <c r="AV189" s="75">
        <f>'input site'!BH189</f>
        <v>3.4571028800000003</v>
      </c>
      <c r="AW189" s="74"/>
      <c r="AX189" s="74"/>
      <c r="AY189" s="74"/>
      <c r="AZ189" s="74"/>
      <c r="BA189" s="8">
        <f>VLOOKUP($G189,'Population90 20'!$C$6:$AU$231,37,FALSE)</f>
        <v>721159</v>
      </c>
      <c r="BB189" s="8">
        <f>VLOOKUP($G189,'Overview GDP (PPP)'!$C$6:$AI$231,33,FALSE)</f>
        <v>1398228.4671483063</v>
      </c>
      <c r="BC189" s="36">
        <f>Table12[[#This Row],[Income]]/Table12[[#This Row],[Population]]</f>
        <v>1.938862951371759</v>
      </c>
      <c r="BD189" s="36">
        <f>Table12[[#This Row],[GHG emissions excl LULUCF]]*1000000/Table12[[#This Row],[Population]]</f>
        <v>1.1418833294738053</v>
      </c>
      <c r="BE189" s="23" t="e">
        <f>VLOOKUP($G189,EGR2023_MASTER!$B$4:$S$38,14,FALSE)</f>
        <v>#N/A</v>
      </c>
      <c r="BF189" s="23" t="e">
        <f>VLOOKUP($G189,EGR2023_MASTER!$B$4:$S$38,15,FALSE)</f>
        <v>#N/A</v>
      </c>
      <c r="BG189" s="23" t="e">
        <f>VLOOKUP($G189,EGR2023_MASTER!$B$4:$S$38,16,FALSE)</f>
        <v>#N/A</v>
      </c>
      <c r="BH189" s="23" t="e">
        <f t="shared" si="24"/>
        <v>#N/A</v>
      </c>
      <c r="BI189" s="23" t="e">
        <f t="shared" si="25"/>
        <v>#N/A</v>
      </c>
      <c r="BJ189" s="552">
        <f>(Table12[[#This Row],[Current Policies 2030 excl LULUCF]]/Table12[[#This Row],[GHG emissions excl LULUCF]])^(1/(2030-2021))-1</f>
        <v>5.2578983828655002E-3</v>
      </c>
      <c r="BK189" s="552" t="str">
        <f>IF(Table12[[#This Row],[Net-zero target status]]&lt;=1,"",IF(Table12[[#This Row],[NZ GHG year]]="","",((MAX(Table12[[#This Row],[residual LULUCF emissions in 2050]],0.1)/Table12[[#This Row],[Current Policies 2030 excl LULUCF]])^(1/(Table12[[#This Row],[NZ GHG year]]-2021))-1)))</f>
        <v/>
      </c>
      <c r="BL189" s="552" t="str">
        <f>IF(Table12[[#This Row],[Net-zero target status]]&lt;=1,"",IF(Table12[[#This Row],[NZ GHG year]]="","",((MAX(Table12[[#This Row],[residual LULUCF emissions in 2050]],0.1)/Table12[[#This Row],[GHG emissions excl LULUCF]])^(1/(Table12[[#This Row],[NZ GHG year]]-2021))-1)))</f>
        <v/>
      </c>
      <c r="BM189" s="552" t="str">
        <f>IF(Table12[[#This Row],[Net-zero target status]]&lt;=1,"",IF(Table12[[#This Row],[NZ GHG year]]="","",((MAX(Table12[[#This Row],[residual LULUCF emissions in 2050]],0.1)/AVERAGE(Table12[[#This Row],[2030 conditional NDCs]:[2030 conditional NDCs2]]))^(1/(Table12[[#This Row],[NZ GHG year]]-2021))-1)))</f>
        <v/>
      </c>
      <c r="BN189" s="23"/>
      <c r="BO189" s="23"/>
      <c r="BP189" s="23"/>
      <c r="BQ189" s="23"/>
      <c r="BR189" s="50" t="s">
        <v>407</v>
      </c>
      <c r="BT189" s="30" t="str">
        <f>IF(Table12[[#This Row],[Reduction rate 2021 to NZ target2]]="","",J189*(1+AN189)^(Table12[[#This Row],[NZ GHG year]]-2021))</f>
        <v/>
      </c>
    </row>
    <row r="190" spans="1:72" ht="15" x14ac:dyDescent="0.25">
      <c r="A190">
        <v>0</v>
      </c>
      <c r="B190">
        <v>0</v>
      </c>
      <c r="C190">
        <v>706</v>
      </c>
      <c r="D190">
        <v>185</v>
      </c>
      <c r="E190">
        <v>9</v>
      </c>
      <c r="F190" t="str">
        <f>'input site'!M190</f>
        <v>excl</v>
      </c>
      <c r="G190" s="31" t="s">
        <v>408</v>
      </c>
      <c r="H190" s="1" t="s">
        <v>409</v>
      </c>
      <c r="I190" s="8">
        <f>VLOOKUP($G190,'NZT data'!$B$3:$C$200,2,FALSE)</f>
        <v>1</v>
      </c>
      <c r="J190" s="32">
        <f>'input site'!AS190</f>
        <v>35.121103000000005</v>
      </c>
      <c r="K190" s="32">
        <f>'input site'!BS190</f>
        <v>55.276969241876735</v>
      </c>
      <c r="L190" s="32">
        <f t="shared" si="26"/>
        <v>0</v>
      </c>
      <c r="M190" s="32">
        <f t="shared" si="27"/>
        <v>0</v>
      </c>
      <c r="N190" s="32">
        <f>'input site'!EV190</f>
        <v>39.446038005732674</v>
      </c>
      <c r="O190" s="8"/>
      <c r="P190" s="36"/>
      <c r="Q190" s="32">
        <f t="shared" si="28"/>
        <v>0</v>
      </c>
      <c r="R190" s="32">
        <f>'input site'!EZ190</f>
        <v>36.040784146800036</v>
      </c>
      <c r="S190" s="37">
        <f>'input site'!FA190</f>
        <v>2050</v>
      </c>
      <c r="T190" s="37" t="str">
        <f>Table12[[#This Row],[(Mt CO2 equivalent)]]</f>
        <v>Somalia</v>
      </c>
      <c r="U190" s="8">
        <f>VLOOKUP($G190,'NZT data'!$B$3:$F$200,4,FALSE)</f>
        <v>2110</v>
      </c>
      <c r="V190" s="32">
        <f>VLOOKUP($G190,'NZT data'!$B$3:$F$200,5,FALSE)</f>
        <v>2110</v>
      </c>
      <c r="W190" s="32">
        <f>-IF('LUC NGHGI'!EC180="",MIN('LUC NGHGI'!DW180,0.1),MIN('LUC NGHGI'!EC180,0.1))</f>
        <v>-0.1</v>
      </c>
      <c r="X190" s="32">
        <f>'LUC NGHGI'!EC180</f>
        <v>17.350000000000001</v>
      </c>
      <c r="Y190" s="32">
        <f>'LUC NGHGI'!DY180</f>
        <v>17.350000000000001</v>
      </c>
      <c r="Z190" s="32">
        <f>'LUC NGHGI'!DZ180</f>
        <v>17.350000000000001</v>
      </c>
      <c r="AA190" s="32">
        <f>Table12[[#This Row],[2021 emissions]]</f>
        <v>35.121103000000005</v>
      </c>
      <c r="AB190" s="32">
        <f>'LUC NGHGI'!DW180</f>
        <v>17.350000000000009</v>
      </c>
      <c r="AC190" s="32">
        <f>IF(F190="incl",Table12[[#This Row],[GHG emissions incl LULUCF]]-Table12[[#This Row],[LULUCF emis-sions in 20213]],Table12[[#This Row],[GHG emissions incl LULUCF]])</f>
        <v>35.121103000000005</v>
      </c>
      <c r="AD190" s="32">
        <f>'input site'!BS190</f>
        <v>55.276969241876735</v>
      </c>
      <c r="AE190" s="32">
        <f>'LUC NGHGI'!EH180</f>
        <v>12.184963938624623</v>
      </c>
      <c r="AF190" s="32">
        <f>IF(F190="incl",Table12[[#This Row],[Current Policies 2030 incl LULUCF]]-Table12[[#This Row],[LULUCF CurPol 2030]],Table12[[#This Row],[Current Policies 2030 incl LULUCF]])</f>
        <v>55.276969241876735</v>
      </c>
      <c r="AG190" s="32" t="str">
        <f>IF(Table12[[#This Row],[Net-zero target status]]&lt;=1,"",IF(Table12[[#This Row],[NZ GHG year]]="","",1000000000*(Table12[[#This Row],[residual LULUCF emissions in 2050]]-Table12[[#This Row],[GHG emissions excl LULUCF]])/(Table12[[#This Row],[NZ GHG year]]-2021)/Table12[[#This Row],[Population]]))</f>
        <v/>
      </c>
      <c r="AH190" s="32" t="str">
        <f>IF(Table12[[#This Row],[Peak revised]]="Yes",IF(Table12[[#This Row],[Net-zero target status]]&lt;=1,"",IF(Table12[[#This Row],[NZ GHG year]]="","",1000000000*(Table12[[#This Row],[residual LULUCF emissions in 2050]]-Table12[[#This Row],[GHG emissions excl LULUCF]])/(Table12[[#This Row],[NZ GHG year]]-2021)/Table12[[#This Row],[Population]])),"")</f>
        <v/>
      </c>
      <c r="AI190" s="32">
        <f>MAX(0,(1000000*(Table12[[#This Row],[Current Policies 2030 excl LULUCF]]/2+Table12[[#This Row],[GHG emissions excl LULUCF]]/2)/Table12[[#This Row],[Population]]-$AI$8)*10)*$AI$10</f>
        <v>0</v>
      </c>
      <c r="AJ19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0" s="32" t="str">
        <f>IF(Table12[[#This Row],[Formule no Peak (2)]]="","",Table12[[#This Row],[Penalty (1)]]+Table12[[#This Row],[Formule no Peak (2)]])</f>
        <v/>
      </c>
      <c r="AL190" s="313">
        <f>(Table12[[#This Row],[Current Policies 2030 excl LULUCF]]-Table12[[#This Row],[GHG emissions excl LULUCF]])/(2030-2021)/Table12[[#This Row],[GHG emissions excl LULUCF]]</f>
        <v>6.3766240301218857E-2</v>
      </c>
      <c r="AM190" s="313" t="str">
        <f>IF(Table12[[#This Row],[Net-zero target status]]&lt;=1,"",IF(Table12[[#This Row],[NZ GHG year]]="","",(Table12[[#This Row],[residual LULUCF emissions in 2050]]-Table12[[#This Row],[Current Policies 2030 excl LULUCF]])/(Table12[[#This Row],[NZ GHG year]]-2030)/Table12[[#This Row],[Current Policies 2030 excl LULUCF]]))</f>
        <v/>
      </c>
      <c r="AN190" s="313" t="str">
        <f>IF(Table12[[#This Row],[Net-zero target status]]&lt;=1,"",IF(Table12[[#This Row],[NZ GHG year]]="","",(Table12[[#This Row],[residual LULUCF emissions in 2050]]-Table12[[#This Row],[GHG emissions excl LULUCF]])/(Table12[[#This Row],[NZ GHG year]]-2021)/Table12[[#This Row],[GHG emissions excl LULUCF]]))</f>
        <v/>
      </c>
      <c r="AO190" s="313" t="str">
        <f>IF(Table12[[#This Row],[Net-zero target status]]&lt;=1,"",IF(Table12[[#This Row],[NZ GHG year]]="","",(Table12[[#This Row],[residual LULUCF emissions in 2050]]-Table12[[#This Row],[2030 conditional NDCs]])/(Table12[[#This Row],[NZ GHG year]]-2030)/Table12[[#This Row],[2030 conditional NDCs]]))</f>
        <v/>
      </c>
      <c r="AP190" s="96">
        <f>MAX('input site'!AH190:AS190)</f>
        <v>35.121103000000005</v>
      </c>
      <c r="AQ190" s="95" t="str">
        <f>IF(Table12[[#This Row],[Current Policies 2030 incl LULUCF]]&gt;Table12[[#This Row],[Maximum inventory data]],"No","Yes")</f>
        <v>No</v>
      </c>
      <c r="AR190" s="34" t="str">
        <f>IF(Table12[[#This Row],[Net-zero target status]]&gt;=1.5,Table12[[#This Row],[residual LULUCF emissions in 2050]]/Table12[[#This Row],[GHG emissions excl LULUCF]],"")</f>
        <v/>
      </c>
      <c r="AS190" s="74" t="str">
        <f>'input site'!BE190</f>
        <v/>
      </c>
      <c r="AT190" s="74"/>
      <c r="AU190" s="74"/>
      <c r="AV190" s="75"/>
      <c r="AW190" s="74" t="str">
        <f>IF(Table12[[#This Row],[2030 unconditional NDCs]]="","",IF(F190="incl",Table12[[#This Row],[2030 unconditional NDCs]]-Table12[[#This Row],[LULUCF NDC uncond]],Table12[[#This Row],[2030 unconditional NDCs]]))</f>
        <v/>
      </c>
      <c r="AX190" s="74" t="str">
        <f>IF(Table12[[#This Row],[2030 unconditional NDCs2]]="","",IF(F190="incl",Table12[[#This Row],[2030 unconditional NDCs2]]-Table12[[#This Row],[LULUCF NDC uncond]],Table12[[#This Row],[2030 unconditional NDCs2]]))</f>
        <v/>
      </c>
      <c r="AY190" s="74" t="str">
        <f>IF(Table12[[#This Row],[2030 conditional NDCs]]="","",IF(F190="incl",Table12[[#This Row],[2030 conditional NDCs]]-Table12[[#This Row],[LULUCF NDC cond]],Table12[[#This Row],[2030 conditional NDCs]]))</f>
        <v/>
      </c>
      <c r="AZ190" s="74" t="str">
        <f>IF(Table12[[#This Row],[2030 conditional NDCs2]]="","",IF(F190="incl",Table12[[#This Row],[2030 conditional NDCs2]]-Table12[[#This Row],[LULUCF NDC cond]],Table12[[#This Row],[2030 conditional NDCs2]]))</f>
        <v/>
      </c>
      <c r="BA190" s="8">
        <f>VLOOKUP($G190,'Population90 20'!$C$6:$AU$231,37,FALSE)</f>
        <v>16841795</v>
      </c>
      <c r="BB190" s="8">
        <f>VLOOKUP($G190,'Overview GDP (PPP)'!$C$6:$AI$231,33,FALSE)</f>
        <v>7029552.2909366451</v>
      </c>
      <c r="BC190" s="36">
        <f>Table12[[#This Row],[Income]]/Table12[[#This Row],[Population]]</f>
        <v>0.41738735633206825</v>
      </c>
      <c r="BD190" s="36">
        <f>Table12[[#This Row],[GHG emissions excl LULUCF]]*1000000/Table12[[#This Row],[Population]]</f>
        <v>2.0853539067540012</v>
      </c>
      <c r="BE190" s="23" t="e">
        <f>VLOOKUP($G190,EGR2023_MASTER!$B$4:$S$38,14,FALSE)</f>
        <v>#N/A</v>
      </c>
      <c r="BF190" s="23" t="e">
        <f>VLOOKUP($G190,EGR2023_MASTER!$B$4:$S$38,15,FALSE)</f>
        <v>#N/A</v>
      </c>
      <c r="BG190" s="23" t="e">
        <f>VLOOKUP($G190,EGR2023_MASTER!$B$4:$S$38,16,FALSE)</f>
        <v>#N/A</v>
      </c>
      <c r="BH190" s="23" t="e">
        <f t="shared" si="24"/>
        <v>#N/A</v>
      </c>
      <c r="BI190" s="23" t="e">
        <f t="shared" si="25"/>
        <v>#N/A</v>
      </c>
      <c r="BJ190" s="552">
        <f>(Table12[[#This Row],[Current Policies 2030 excl LULUCF]]/Table12[[#This Row],[GHG emissions excl LULUCF]])^(1/(2030-2021))-1</f>
        <v>5.1686334369222875E-2</v>
      </c>
      <c r="BK190" s="552" t="str">
        <f>IF(Table12[[#This Row],[Net-zero target status]]&lt;=1,"",IF(Table12[[#This Row],[NZ GHG year]]="","",((MAX(Table12[[#This Row],[residual LULUCF emissions in 2050]],0.1)/Table12[[#This Row],[Current Policies 2030 excl LULUCF]])^(1/(Table12[[#This Row],[NZ GHG year]]-2021))-1)))</f>
        <v/>
      </c>
      <c r="BL190" s="552" t="str">
        <f>IF(Table12[[#This Row],[Net-zero target status]]&lt;=1,"",IF(Table12[[#This Row],[NZ GHG year]]="","",((MAX(Table12[[#This Row],[residual LULUCF emissions in 2050]],0.1)/Table12[[#This Row],[GHG emissions excl LULUCF]])^(1/(Table12[[#This Row],[NZ GHG year]]-2021))-1)))</f>
        <v/>
      </c>
      <c r="BM190" s="552" t="str">
        <f>IF(Table12[[#This Row],[Net-zero target status]]&lt;=1,"",IF(Table12[[#This Row],[NZ GHG year]]="","",((MAX(Table12[[#This Row],[residual LULUCF emissions in 2050]],0.1)/AVERAGE(Table12[[#This Row],[2030 conditional NDCs]:[2030 conditional NDCs2]]))^(1/(Table12[[#This Row],[NZ GHG year]]-2021))-1)))</f>
        <v/>
      </c>
      <c r="BN190" s="23"/>
      <c r="BO190" s="23"/>
      <c r="BP190" s="23"/>
      <c r="BQ190" s="23"/>
      <c r="BR190" s="50" t="s">
        <v>409</v>
      </c>
      <c r="BT190" s="30" t="str">
        <f>IF(Table12[[#This Row],[Reduction rate 2021 to NZ target2]]="","",J190*(1+AN190)^(Table12[[#This Row],[NZ GHG year]]-2021))</f>
        <v/>
      </c>
    </row>
    <row r="191" spans="1:72" ht="15" x14ac:dyDescent="0.25">
      <c r="A191">
        <v>1</v>
      </c>
      <c r="B191">
        <v>1</v>
      </c>
      <c r="C191">
        <v>710</v>
      </c>
      <c r="D191">
        <v>186</v>
      </c>
      <c r="E191">
        <v>10</v>
      </c>
      <c r="F191" t="str">
        <f>'input site'!M191</f>
        <v>excl</v>
      </c>
      <c r="G191" s="31" t="s">
        <v>410</v>
      </c>
      <c r="H191" s="1" t="s">
        <v>411</v>
      </c>
      <c r="I191" s="8">
        <f>VLOOKUP($G191,'NZT data'!$B$3:$C$200,2,FALSE)</f>
        <v>2</v>
      </c>
      <c r="J191" s="32">
        <f>'input site'!AS191</f>
        <v>495.245751699999</v>
      </c>
      <c r="K191" s="32">
        <f>'input site'!BS191</f>
        <v>477.68951848837003</v>
      </c>
      <c r="L191" s="32">
        <f t="shared" si="26"/>
        <v>75</v>
      </c>
      <c r="M191" s="32">
        <f t="shared" si="27"/>
        <v>75</v>
      </c>
      <c r="N191" s="32">
        <f>'input site'!EV191</f>
        <v>98.616444026976296</v>
      </c>
      <c r="O191" s="8">
        <f>'input site'!EW191</f>
        <v>75</v>
      </c>
      <c r="P191" s="36">
        <f>O191-N191</f>
        <v>-23.616444026976296</v>
      </c>
      <c r="Q191" s="32">
        <f t="shared" si="28"/>
        <v>75</v>
      </c>
      <c r="R191" s="32">
        <f>'input site'!EZ191</f>
        <v>-59.326830346404471</v>
      </c>
      <c r="S191" s="37" t="str">
        <f>'input site'!FA191</f>
        <v>2050 net-zero carbon target assuming non-CO2 emissions at 2030 levels.</v>
      </c>
      <c r="T191" s="37" t="str">
        <f>Table12[[#This Row],[(Mt CO2 equivalent)]]</f>
        <v>South Africa</v>
      </c>
      <c r="U191" s="8">
        <f>VLOOKUP($G191,'NZT data'!$B$3:$F$200,4,FALSE)</f>
        <v>2050</v>
      </c>
      <c r="V191" s="32">
        <f>VLOOKUP($G191,'NZT data'!$B$3:$F$200,5,FALSE)</f>
        <v>2065</v>
      </c>
      <c r="W191" s="32">
        <f>-IF('LUC NGHGI'!EC181="",MIN('LUC NGHGI'!DW181,0.1),MIN('LUC NGHGI'!EC181,0.1))</f>
        <v>26.686599999999999</v>
      </c>
      <c r="X191" s="32">
        <f>'LUC NGHGI'!EC181</f>
        <v>-26.686599999999999</v>
      </c>
      <c r="Y191" s="32">
        <f>'LUC NGHGI'!DY181</f>
        <v>-26.686599999999999</v>
      </c>
      <c r="Z191" s="32">
        <f>'LUC NGHGI'!DZ181</f>
        <v>-26.686599999999999</v>
      </c>
      <c r="AA191" s="32">
        <f>Table12[[#This Row],[2021 emissions]]</f>
        <v>495.245751699999</v>
      </c>
      <c r="AB191" s="32">
        <f>'LUC NGHGI'!DW181</f>
        <v>-11.192363225806446</v>
      </c>
      <c r="AC191" s="32">
        <f>IF(F191="incl",Table12[[#This Row],[GHG emissions incl LULUCF]]-Table12[[#This Row],[LULUCF emis-sions in 20213]],Table12[[#This Row],[GHG emissions incl LULUCF]])</f>
        <v>495.245751699999</v>
      </c>
      <c r="AD191" s="32">
        <f>'input site'!BS191</f>
        <v>477.68951848837003</v>
      </c>
      <c r="AE191" s="32">
        <f>'LUC NGHGI'!EH181</f>
        <v>-42.486194521586</v>
      </c>
      <c r="AF191" s="32">
        <f>IF(F191="incl",Table12[[#This Row],[Current Policies 2030 incl LULUCF]]-Table12[[#This Row],[LULUCF CurPol 2030]],Table12[[#This Row],[Current Policies 2030 incl LULUCF]])</f>
        <v>477.68951848837003</v>
      </c>
      <c r="AG191" s="32">
        <f>IF(Table12[[#This Row],[Net-zero target status]]&lt;=1,"",IF(Table12[[#This Row],[NZ GHG year]]="","",1000000000*(Table12[[#This Row],[residual LULUCF emissions in 2050]]-Table12[[#This Row],[GHG emissions excl LULUCF]])/(Table12[[#This Row],[NZ GHG year]]-2021)/Table12[[#This Row],[Population]]))</f>
        <v>-175.27565947941608</v>
      </c>
      <c r="AH191" s="32">
        <f>IF(Table12[[#This Row],[Peak revised]]="Yes",IF(Table12[[#This Row],[Net-zero target status]]&lt;=1,"",IF(Table12[[#This Row],[NZ GHG year]]="","",1000000000*(Table12[[#This Row],[residual LULUCF emissions in 2050]]-Table12[[#This Row],[GHG emissions excl LULUCF]])/(Table12[[#This Row],[NZ GHG year]]-2021)/Table12[[#This Row],[Population]])),"")</f>
        <v>-175.27565947941608</v>
      </c>
      <c r="AI191" s="32">
        <f>MAX(0,(1000000*(Table12[[#This Row],[Current Policies 2030 excl LULUCF]]/2+Table12[[#This Row],[GHG emissions excl LULUCF]]/2)/Table12[[#This Row],[Population]]-$AI$8)*10)*$AI$10</f>
        <v>-100.68891000749893</v>
      </c>
      <c r="AJ19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1" s="32" t="str">
        <f>IF(Table12[[#This Row],[Formule no Peak (2)]]="","",Table12[[#This Row],[Penalty (1)]]+Table12[[#This Row],[Formule no Peak (2)]])</f>
        <v/>
      </c>
      <c r="AL191" s="313">
        <f>(Table12[[#This Row],[Current Policies 2030 excl LULUCF]]-Table12[[#This Row],[GHG emissions excl LULUCF]])/(2030-2021)/Table12[[#This Row],[GHG emissions excl LULUCF]]</f>
        <v>-3.9388375818951828E-3</v>
      </c>
      <c r="AM191" s="313">
        <f>IF(Table12[[#This Row],[Net-zero target status]]&lt;=1,"",IF(Table12[[#This Row],[NZ GHG year]]="","",(Table12[[#This Row],[residual LULUCF emissions in 2050]]-Table12[[#This Row],[Current Policies 2030 excl LULUCF]])/(Table12[[#This Row],[NZ GHG year]]-2030)/Table12[[#This Row],[Current Policies 2030 excl LULUCF]]))</f>
        <v>-2.6975257300752366E-2</v>
      </c>
      <c r="AN191" s="313">
        <f>IF(Table12[[#This Row],[Net-zero target status]]&lt;=1,"",IF(Table12[[#This Row],[NZ GHG year]]="","",(Table12[[#This Row],[residual LULUCF emissions in 2050]]-Table12[[#This Row],[GHG emissions excl LULUCF]])/(Table12[[#This Row],[NZ GHG year]]-2021)/Table12[[#This Row],[GHG emissions excl LULUCF]]))</f>
        <v>-2.1502600664399508E-2</v>
      </c>
      <c r="AO191" s="313">
        <f>IF(Table12[[#This Row],[Net-zero target status]]&lt;=1,"",IF(Table12[[#This Row],[NZ GHG year]]="","",(Table12[[#This Row],[residual LULUCF emissions in 2050]]-Table12[[#This Row],[2030 conditional NDCs]])/(Table12[[#This Row],[NZ GHG year]]-2030)/Table12[[#This Row],[2030 conditional NDCs]]))</f>
        <v>-2.6392930612244899E-2</v>
      </c>
      <c r="AP191" s="96">
        <f>MAX('input site'!AH191:AS191)</f>
        <v>537</v>
      </c>
      <c r="AQ191" s="95" t="str">
        <f>IF(Table12[[#This Row],[Current Policies 2030 incl LULUCF]]&gt;Table12[[#This Row],[Maximum inventory data]],"No","Yes")</f>
        <v>Yes</v>
      </c>
      <c r="AR191" s="34">
        <f>IF(Table12[[#This Row],[Net-zero target status]]&gt;=1.5,Table12[[#This Row],[residual LULUCF emissions in 2050]]/Table12[[#This Row],[GHG emissions excl LULUCF]],"")</f>
        <v>5.3885570766421684E-2</v>
      </c>
      <c r="AS191" s="82">
        <f>'input site'!BE191</f>
        <v>420</v>
      </c>
      <c r="AT191" s="82">
        <f>'input site'!BF191</f>
        <v>420</v>
      </c>
      <c r="AU191" s="82">
        <f>'input site'!BG191</f>
        <v>350</v>
      </c>
      <c r="AV191" s="83">
        <f>'input site'!BH191</f>
        <v>350</v>
      </c>
      <c r="AW191" s="74">
        <f>IF(Table12[[#This Row],[2030 unconditional NDCs]]="","",IF(F191="incl",Table12[[#This Row],[2030 unconditional NDCs]]-Table12[[#This Row],[LULUCF NDC uncond]],Table12[[#This Row],[2030 unconditional NDCs]]))</f>
        <v>420</v>
      </c>
      <c r="AX191" s="74">
        <f>IF(Table12[[#This Row],[2030 unconditional NDCs2]]="","",IF(F191="incl",Table12[[#This Row],[2030 unconditional NDCs2]]-Table12[[#This Row],[LULUCF NDC uncond]],Table12[[#This Row],[2030 unconditional NDCs2]]))</f>
        <v>420</v>
      </c>
      <c r="AY191" s="74">
        <f>IF(Table12[[#This Row],[2030 conditional NDCs]]="","",IF(F191="incl",Table12[[#This Row],[2030 conditional NDCs]]-Table12[[#This Row],[LULUCF NDC cond]],Table12[[#This Row],[2030 conditional NDCs]]))</f>
        <v>350</v>
      </c>
      <c r="AZ191" s="74">
        <f>IF(Table12[[#This Row],[2030 conditional NDCs2]]="","",IF(F191="incl",Table12[[#This Row],[2030 conditional NDCs2]]-Table12[[#This Row],[LULUCF NDC cond]],Table12[[#This Row],[2030 conditional NDCs2]]))</f>
        <v>350</v>
      </c>
      <c r="BA191" s="8">
        <f>VLOOKUP($G191,'Population90 20'!$C$6:$AU$231,37,FALSE)</f>
        <v>60756135</v>
      </c>
      <c r="BB191" s="8">
        <f>VLOOKUP($G191,'Overview GDP (PPP)'!$C$6:$AI$231,33,FALSE)</f>
        <v>701645323.85538149</v>
      </c>
      <c r="BC191" s="36">
        <f>Table12[[#This Row],[Income]]/Table12[[#This Row],[Population]]</f>
        <v>11.548551004032456</v>
      </c>
      <c r="BD191" s="36">
        <f>Table12[[#This Row],[GHG emissions excl LULUCF]]*1000000/Table12[[#This Row],[Population]]</f>
        <v>8.1513702558597423</v>
      </c>
      <c r="BE191" s="23" t="str">
        <f>VLOOKUP($G191,EGR2023_MASTER!$B$4:$S$38,14,FALSE)</f>
        <v>N</v>
      </c>
      <c r="BF191" s="23" t="str">
        <f>VLOOKUP($G191,EGR2023_MASTER!$B$4:$S$38,15,FALSE)</f>
        <v>None</v>
      </c>
      <c r="BG191" s="23" t="str">
        <f>VLOOKUP($G191,EGR2023_MASTER!$B$4:$S$38,16,FALSE)</f>
        <v>n</v>
      </c>
      <c r="BH191" s="23" t="str">
        <f t="shared" si="24"/>
        <v>much lower</v>
      </c>
      <c r="BI191" s="23" t="str">
        <f t="shared" si="25"/>
        <v>weak</v>
      </c>
      <c r="BJ191" s="552">
        <f>(Table12[[#This Row],[Current Policies 2030 excl LULUCF]]/Table12[[#This Row],[GHG emissions excl LULUCF]])^(1/(2030-2021))-1</f>
        <v>-4.0023169518709212E-3</v>
      </c>
      <c r="BK191" s="552">
        <f>IF(Table12[[#This Row],[Net-zero target status]]&lt;=1,"",IF(Table12[[#This Row],[NZ GHG year]]="","",((MAX(Table12[[#This Row],[residual LULUCF emissions in 2050]],0.1)/Table12[[#This Row],[Current Policies 2030 excl LULUCF]])^(1/(Table12[[#This Row],[NZ GHG year]]-2021))-1)))</f>
        <v>-6.3460540581022573E-2</v>
      </c>
      <c r="BL191" s="552">
        <f>IF(Table12[[#This Row],[Net-zero target status]]&lt;=1,"",IF(Table12[[#This Row],[NZ GHG year]]="","",((MAX(Table12[[#This Row],[residual LULUCF emissions in 2050]],0.1)/Table12[[#This Row],[GHG emissions excl LULUCF]])^(1/(Table12[[#This Row],[NZ GHG year]]-2021))-1)))</f>
        <v>-6.4228467378908749E-2</v>
      </c>
      <c r="BM191" s="552">
        <f>IF(Table12[[#This Row],[Net-zero target status]]&lt;=1,"",IF(Table12[[#This Row],[NZ GHG year]]="","",((MAX(Table12[[#This Row],[residual LULUCF emissions in 2050]],0.1)/AVERAGE(Table12[[#This Row],[2030 conditional NDCs]:[2030 conditional NDCs2]]))^(1/(Table12[[#This Row],[NZ GHG year]]-2021))-1)))</f>
        <v>-5.681686337181846E-2</v>
      </c>
      <c r="BN191" s="23"/>
      <c r="BO191" s="23"/>
      <c r="BP191" s="23"/>
      <c r="BQ191" s="23"/>
      <c r="BR191" s="50" t="s">
        <v>411</v>
      </c>
      <c r="BT191" s="30">
        <f>IF(Table12[[#This Row],[Reduction rate 2021 to NZ target2]]="","",J191*(1+AN191)^(Table12[[#This Row],[NZ GHG year]]-2021))</f>
        <v>190.30337500974761</v>
      </c>
    </row>
    <row r="192" spans="1:72" ht="15" x14ac:dyDescent="0.25">
      <c r="A192">
        <v>0</v>
      </c>
      <c r="B192">
        <v>0</v>
      </c>
      <c r="C192">
        <v>724</v>
      </c>
      <c r="D192">
        <v>188</v>
      </c>
      <c r="E192">
        <v>11</v>
      </c>
      <c r="F192" t="str">
        <f>'input site'!M192</f>
        <v>incl</v>
      </c>
      <c r="G192" s="31" t="s">
        <v>412</v>
      </c>
      <c r="H192" s="1" t="s">
        <v>413</v>
      </c>
      <c r="I192" s="8">
        <f>VLOOKUP($G192,'NZT data'!$B$3:$C$200,2,FALSE)</f>
        <v>4</v>
      </c>
      <c r="J192" s="32">
        <f>'input site'!AS192</f>
        <v>241.03935845363964</v>
      </c>
      <c r="K192" s="32">
        <f>'input site'!BS192</f>
        <v>134.48779145762126</v>
      </c>
      <c r="L192" s="32">
        <f t="shared" si="26"/>
        <v>0</v>
      </c>
      <c r="M192" s="32">
        <f t="shared" si="27"/>
        <v>0</v>
      </c>
      <c r="N192" s="32">
        <f>'input site'!EV192</f>
        <v>57.07827808994913</v>
      </c>
      <c r="O192" s="8"/>
      <c r="P192" s="8"/>
      <c r="Q192" s="32">
        <f t="shared" si="28"/>
        <v>0</v>
      </c>
      <c r="R192" s="32">
        <f>'input site'!EZ192</f>
        <v>31.571359979955627</v>
      </c>
      <c r="S192" s="37" t="str">
        <f>'input site'!FA192</f>
        <v>2050 (part of the EU)</v>
      </c>
      <c r="T192" s="37" t="str">
        <f>Table12[[#This Row],[(Mt CO2 equivalent)]]</f>
        <v>Spain</v>
      </c>
      <c r="U192" s="8">
        <f>VLOOKUP($G192,'NZT data'!$B$3:$F$200,4,FALSE)</f>
        <v>2050</v>
      </c>
      <c r="V192" s="32">
        <f>VLOOKUP($G192,'NZT data'!$B$3:$F$200,5,FALSE)</f>
        <v>2050</v>
      </c>
      <c r="W192" s="32">
        <f>-IF('LUC NGHGI'!EC182="",MIN('LUC NGHGI'!DW182,0.1),MIN('LUC NGHGI'!EC182,0.1))</f>
        <v>44.104390343882066</v>
      </c>
      <c r="X192" s="32">
        <f>'LUC NGHGI'!EC182</f>
        <v>-44.104390343882066</v>
      </c>
      <c r="Y192" s="32">
        <f>'LUC NGHGI'!DY182</f>
        <v>-44.104390343882066</v>
      </c>
      <c r="Z192" s="32">
        <f>'LUC NGHGI'!DZ182</f>
        <v>-44.104390343882066</v>
      </c>
      <c r="AA192" s="32">
        <f>Table12[[#This Row],[2021 emissions]]</f>
        <v>241.03935845363964</v>
      </c>
      <c r="AB192" s="32">
        <f>'LUC NGHGI'!DW182</f>
        <v>-44.531231546360395</v>
      </c>
      <c r="AC192" s="32">
        <f>IF(F192="incl",Table12[[#This Row],[GHG emissions incl LULUCF]]-Table12[[#This Row],[LULUCF emis-sions in 20213]],Table12[[#This Row],[GHG emissions incl LULUCF]])</f>
        <v>285.57059000000004</v>
      </c>
      <c r="AD192" s="32">
        <f>'input site'!BS192</f>
        <v>134.48779145762126</v>
      </c>
      <c r="AE192" s="32">
        <f>'LUC NGHGI'!EH182</f>
        <v>-49.007818909219715</v>
      </c>
      <c r="AF192" s="32">
        <f>IF(F192="incl",Table12[[#This Row],[Current Policies 2030 incl LULUCF]]-Table12[[#This Row],[LULUCF CurPol 2030]],Table12[[#This Row],[Current Policies 2030 incl LULUCF]])</f>
        <v>183.49561036684096</v>
      </c>
      <c r="AG192" s="32">
        <f>IF(Table12[[#This Row],[Net-zero target status]]&lt;=1,"",IF(Table12[[#This Row],[NZ GHG year]]="","",1000000000*(Table12[[#This Row],[residual LULUCF emissions in 2050]]-Table12[[#This Row],[GHG emissions excl LULUCF]])/(Table12[[#This Row],[NZ GHG year]]-2021)/Table12[[#This Row],[Population]]))</f>
        <v>-178.22289368664283</v>
      </c>
      <c r="AH192" s="32">
        <f>IF(Table12[[#This Row],[Peak revised]]="Yes",IF(Table12[[#This Row],[Net-zero target status]]&lt;=1,"",IF(Table12[[#This Row],[NZ GHG year]]="","",1000000000*(Table12[[#This Row],[residual LULUCF emissions in 2050]]-Table12[[#This Row],[GHG emissions excl LULUCF]])/(Table12[[#This Row],[NZ GHG year]]-2021)/Table12[[#This Row],[Population]])),"")</f>
        <v>-178.22289368664283</v>
      </c>
      <c r="AI192" s="32">
        <f>MAX(0,(1000000*(Table12[[#This Row],[Current Policies 2030 excl LULUCF]]/2+Table12[[#This Row],[GHG emissions excl LULUCF]]/2)/Table12[[#This Row],[Population]]-$AI$8)*10)*$AI$10</f>
        <v>0</v>
      </c>
      <c r="AJ19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2" s="32" t="str">
        <f>IF(Table12[[#This Row],[Formule no Peak (2)]]="","",Table12[[#This Row],[Penalty (1)]]+Table12[[#This Row],[Formule no Peak (2)]])</f>
        <v/>
      </c>
      <c r="AL192" s="313">
        <f>(Table12[[#This Row],[Current Policies 2030 excl LULUCF]]-Table12[[#This Row],[GHG emissions excl LULUCF]])/(2030-2021)/Table12[[#This Row],[GHG emissions excl LULUCF]]</f>
        <v>-3.9715799878707186E-2</v>
      </c>
      <c r="AM192" s="313">
        <f>IF(Table12[[#This Row],[Net-zero target status]]&lt;=1,"",IF(Table12[[#This Row],[NZ GHG year]]="","",(Table12[[#This Row],[residual LULUCF emissions in 2050]]-Table12[[#This Row],[Current Policies 2030 excl LULUCF]])/(Table12[[#This Row],[NZ GHG year]]-2030)/Table12[[#This Row],[Current Policies 2030 excl LULUCF]]))</f>
        <v>-3.7982167460107248E-2</v>
      </c>
      <c r="AN192" s="313">
        <f>IF(Table12[[#This Row],[Net-zero target status]]&lt;=1,"",IF(Table12[[#This Row],[NZ GHG year]]="","",(Table12[[#This Row],[residual LULUCF emissions in 2050]]-Table12[[#This Row],[GHG emissions excl LULUCF]])/(Table12[[#This Row],[NZ GHG year]]-2021)/Table12[[#This Row],[GHG emissions excl LULUCF]]))</f>
        <v>-2.9157136516744148E-2</v>
      </c>
      <c r="AO192" s="313" t="e">
        <f>IF(Table12[[#This Row],[Net-zero target status]]&lt;=1,"",IF(Table12[[#This Row],[NZ GHG year]]="","",(Table12[[#This Row],[residual LULUCF emissions in 2050]]-Table12[[#This Row],[2030 conditional NDCs]])/(Table12[[#This Row],[NZ GHG year]]-2030)/Table12[[#This Row],[2030 conditional NDCs]]))</f>
        <v>#DIV/0!</v>
      </c>
      <c r="AP192" s="96">
        <f>MAX('input site'!AH192:AS192)</f>
        <v>309.63481400799878</v>
      </c>
      <c r="AQ192" s="95" t="str">
        <f>IF(Table12[[#This Row],[Current Policies 2030 incl LULUCF]]&gt;Table12[[#This Row],[Maximum inventory data]],"No","Yes")</f>
        <v>Yes</v>
      </c>
      <c r="AR192" s="34">
        <f>IF(Table12[[#This Row],[Net-zero target status]]&gt;=1.5,Table12[[#This Row],[residual LULUCF emissions in 2050]]/Table12[[#This Row],[GHG emissions excl LULUCF]],"")</f>
        <v>0.1544430410144198</v>
      </c>
      <c r="AS192" s="74" t="str">
        <f>'input site'!BE192</f>
        <v/>
      </c>
      <c r="AT192" s="74"/>
      <c r="AU192" s="74"/>
      <c r="AV192" s="75"/>
      <c r="AW192" s="74" t="str">
        <f>IF(Table12[[#This Row],[2030 unconditional NDCs]]="","",IF(F192="incl",Table12[[#This Row],[2030 unconditional NDCs]]-Table12[[#This Row],[LULUCF NDC uncond]],Table12[[#This Row],[2030 unconditional NDCs]]))</f>
        <v/>
      </c>
      <c r="AX192" s="74" t="str">
        <f>IF(Table12[[#This Row],[2030 unconditional NDCs2]]="","",IF(F192="incl",Table12[[#This Row],[2030 unconditional NDCs2]]-Table12[[#This Row],[LULUCF NDC uncond]],Table12[[#This Row],[2030 unconditional NDCs2]]))</f>
        <v/>
      </c>
      <c r="AY192" s="74" t="str">
        <f>IF(Table12[[#This Row],[2030 conditional NDCs]]="","",IF(F192="incl",Table12[[#This Row],[2030 conditional NDCs]]-Table12[[#This Row],[LULUCF NDC cond]],Table12[[#This Row],[2030 conditional NDCs]]))</f>
        <v/>
      </c>
      <c r="AZ192" s="74" t="str">
        <f>IF(Table12[[#This Row],[2030 conditional NDCs2]]="","",IF(F192="incl",Table12[[#This Row],[2030 conditional NDCs2]]-Table12[[#This Row],[LULUCF NDC cond]],Table12[[#This Row],[2030 conditional NDCs2]]))</f>
        <v/>
      </c>
      <c r="BA192" s="8">
        <f>VLOOKUP($G192,'Population90 20'!$C$6:$AU$231,37,FALSE)</f>
        <v>46719142</v>
      </c>
      <c r="BB192" s="8">
        <f>VLOOKUP($G192,'Overview GDP (PPP)'!$C$6:$AI$231,33,FALSE)</f>
        <v>1637932000.2106853</v>
      </c>
      <c r="BC192" s="36">
        <f>Table12[[#This Row],[Income]]/Table12[[#This Row],[Population]]</f>
        <v>35.059119883038207</v>
      </c>
      <c r="BD192" s="36">
        <f>Table12[[#This Row],[GHG emissions excl LULUCF]]*1000000/Table12[[#This Row],[Population]]</f>
        <v>6.1124964580899208</v>
      </c>
      <c r="BE192" s="23" t="e">
        <f>VLOOKUP($G192,EGR2023_MASTER!$B$4:$S$38,14,FALSE)</f>
        <v>#N/A</v>
      </c>
      <c r="BF192" s="23" t="e">
        <f>VLOOKUP($G192,EGR2023_MASTER!$B$4:$S$38,15,FALSE)</f>
        <v>#N/A</v>
      </c>
      <c r="BG192" s="23" t="e">
        <f>VLOOKUP($G192,EGR2023_MASTER!$B$4:$S$38,16,FALSE)</f>
        <v>#N/A</v>
      </c>
      <c r="BH192" s="23" t="e">
        <f t="shared" si="24"/>
        <v>#N/A</v>
      </c>
      <c r="BI192" s="23" t="e">
        <f t="shared" si="25"/>
        <v>#N/A</v>
      </c>
      <c r="BJ192" s="552">
        <f>(Table12[[#This Row],[Current Policies 2030 excl LULUCF]]/Table12[[#This Row],[GHG emissions excl LULUCF]])^(1/(2030-2021))-1</f>
        <v>-4.7956239336201412E-2</v>
      </c>
      <c r="BK192" s="552">
        <f>IF(Table12[[#This Row],[Net-zero target status]]&lt;=1,"",IF(Table12[[#This Row],[NZ GHG year]]="","",((MAX(Table12[[#This Row],[residual LULUCF emissions in 2050]],0.1)/Table12[[#This Row],[Current Policies 2030 excl LULUCF]])^(1/(Table12[[#This Row],[NZ GHG year]]-2021))-1)))</f>
        <v>-4.7970925219606442E-2</v>
      </c>
      <c r="BL192" s="552">
        <f>IF(Table12[[#This Row],[Net-zero target status]]&lt;=1,"",IF(Table12[[#This Row],[NZ GHG year]]="","",((MAX(Table12[[#This Row],[residual LULUCF emissions in 2050]],0.1)/Table12[[#This Row],[GHG emissions excl LULUCF]])^(1/(Table12[[#This Row],[NZ GHG year]]-2021))-1)))</f>
        <v>-6.2380794281963303E-2</v>
      </c>
      <c r="BM192" s="552" t="e">
        <f>IF(Table12[[#This Row],[Net-zero target status]]&lt;=1,"",IF(Table12[[#This Row],[NZ GHG year]]="","",((MAX(Table12[[#This Row],[residual LULUCF emissions in 2050]],0.1)/AVERAGE(Table12[[#This Row],[2030 conditional NDCs]:[2030 conditional NDCs2]]))^(1/(Table12[[#This Row],[NZ GHG year]]-2021))-1)))</f>
        <v>#DIV/0!</v>
      </c>
      <c r="BN192" s="23"/>
      <c r="BO192" s="23"/>
      <c r="BP192" s="23"/>
      <c r="BQ192" s="23"/>
      <c r="BR192" s="50" t="s">
        <v>413</v>
      </c>
      <c r="BT192" s="30">
        <f>IF(Table12[[#This Row],[Reduction rate 2021 to NZ target2]]="","",J192*(1+AN192)^(Table12[[#This Row],[NZ GHG year]]-2021))</f>
        <v>102.18974045286497</v>
      </c>
    </row>
    <row r="193" spans="1:72" ht="15" x14ac:dyDescent="0.25">
      <c r="A193">
        <v>0</v>
      </c>
      <c r="B193">
        <v>0</v>
      </c>
      <c r="C193">
        <v>144</v>
      </c>
      <c r="D193">
        <v>37</v>
      </c>
      <c r="E193">
        <v>25</v>
      </c>
      <c r="F193" t="str">
        <f>'input site'!M193</f>
        <v>excl</v>
      </c>
      <c r="G193" s="31" t="s">
        <v>414</v>
      </c>
      <c r="H193" s="1" t="s">
        <v>415</v>
      </c>
      <c r="I193" s="8">
        <f>VLOOKUP($G193,'NZT data'!$B$3:$C$200,2,FALSE)</f>
        <v>2</v>
      </c>
      <c r="J193" s="32">
        <f>'input site'!AS193</f>
        <v>39.036408000000002</v>
      </c>
      <c r="K193" s="32">
        <f>'input site'!BS193</f>
        <v>47.485031175853706</v>
      </c>
      <c r="L193" s="32">
        <f t="shared" si="26"/>
        <v>0</v>
      </c>
      <c r="M193" s="32">
        <f t="shared" si="27"/>
        <v>0</v>
      </c>
      <c r="N193" s="32">
        <f>'input site'!EV193</f>
        <v>24.277284952117284</v>
      </c>
      <c r="O193" s="8"/>
      <c r="P193" s="8"/>
      <c r="Q193" s="32">
        <f t="shared" si="28"/>
        <v>0</v>
      </c>
      <c r="R193" s="32">
        <f>'input site'!EZ193</f>
        <v>10.174402540203461</v>
      </c>
      <c r="S193" s="37">
        <f>'input site'!FA193</f>
        <v>0</v>
      </c>
      <c r="T193" s="37" t="str">
        <f>Table12[[#This Row],[(Mt CO2 equivalent)]]</f>
        <v>Sri Lanka</v>
      </c>
      <c r="U193" s="8">
        <f>VLOOKUP($G193,'NZT data'!$B$3:$F$200,4,FALSE)</f>
        <v>2050</v>
      </c>
      <c r="V193" s="32">
        <f>VLOOKUP($G193,'NZT data'!$B$3:$F$200,5,FALSE)</f>
        <v>2050</v>
      </c>
      <c r="W193" s="32">
        <f>-IF('LUC NGHGI'!EC183="",MIN('LUC NGHGI'!DW183,0.1),MIN('LUC NGHGI'!EC183,0.1))</f>
        <v>63.239172056276402</v>
      </c>
      <c r="X193" s="32">
        <f>'LUC NGHGI'!EC183</f>
        <v>-63.239172056276402</v>
      </c>
      <c r="Y193" s="32">
        <f>'LUC NGHGI'!DY183</f>
        <v>-63.239172056276402</v>
      </c>
      <c r="Z193" s="32">
        <f>'LUC NGHGI'!DZ183</f>
        <v>-63.239172056276402</v>
      </c>
      <c r="AA193" s="32">
        <f>Table12[[#This Row],[2021 emissions]]</f>
        <v>39.036408000000002</v>
      </c>
      <c r="AB193" s="32">
        <f>'LUC NGHGI'!DW183</f>
        <v>-66.22127902813736</v>
      </c>
      <c r="AC193" s="32">
        <f>IF(F193="incl",Table12[[#This Row],[GHG emissions incl LULUCF]]-Table12[[#This Row],[LULUCF emis-sions in 20213]],Table12[[#This Row],[GHG emissions incl LULUCF]])</f>
        <v>39.036408000000002</v>
      </c>
      <c r="AD193" s="32">
        <f>'input site'!BS193</f>
        <v>47.485031175853706</v>
      </c>
      <c r="AE193" s="32">
        <f>'LUC NGHGI'!EH183</f>
        <v>-67.766601536002071</v>
      </c>
      <c r="AF193" s="32">
        <f>IF(F193="incl",Table12[[#This Row],[Current Policies 2030 incl LULUCF]]-Table12[[#This Row],[LULUCF CurPol 2030]],Table12[[#This Row],[Current Policies 2030 incl LULUCF]])</f>
        <v>47.485031175853706</v>
      </c>
      <c r="AG193" s="32">
        <f>IF(Table12[[#This Row],[Net-zero target status]]&lt;=1,"",IF(Table12[[#This Row],[NZ GHG year]]="","",1000000000*(Table12[[#This Row],[residual LULUCF emissions in 2050]]-Table12[[#This Row],[GHG emissions excl LULUCF]])/(Table12[[#This Row],[NZ GHG year]]-2021)/Table12[[#This Row],[Population]]))</f>
        <v>38.681135638001187</v>
      </c>
      <c r="AH193" s="32" t="str">
        <f>IF(Table12[[#This Row],[Peak revised]]="Yes",IF(Table12[[#This Row],[Net-zero target status]]&lt;=1,"",IF(Table12[[#This Row],[NZ GHG year]]="","",1000000000*(Table12[[#This Row],[residual LULUCF emissions in 2050]]-Table12[[#This Row],[GHG emissions excl LULUCF]])/(Table12[[#This Row],[NZ GHG year]]-2021)/Table12[[#This Row],[Population]])),"")</f>
        <v/>
      </c>
      <c r="AI193" s="32">
        <f>MAX(0,(1000000*(Table12[[#This Row],[Current Policies 2030 excl LULUCF]]/2+Table12[[#This Row],[GHG emissions excl LULUCF]]/2)/Table12[[#This Row],[Population]]-$AI$8)*10)*$AI$10</f>
        <v>0</v>
      </c>
      <c r="AJ193" s="32">
        <f>IF(Table12[[#This Row],[Peak revised]]="No",IF(Table12[[#This Row],[Net-zero target status]]&lt;=1,"",IF(Table12[[#This Row],[NZ GHG year]]="","",1000000000*(Table12[[#This Row],[residual LULUCF emissions in 2050]]-Table12[[#This Row],[Current Policies 2030 excl LULUCF]])/(Table12[[#This Row],[NZ GHG year]]-2021)/Table12[[#This Row],[Population]])),"")</f>
        <v>25.178448991977</v>
      </c>
      <c r="AK193" s="32">
        <f>IF(Table12[[#This Row],[Formule no Peak (2)]]="","",Table12[[#This Row],[Penalty (1)]]+Table12[[#This Row],[Formule no Peak (2)]])</f>
        <v>25.178448991977</v>
      </c>
      <c r="AL193" s="313">
        <f>(Table12[[#This Row],[Current Policies 2030 excl LULUCF]]-Table12[[#This Row],[GHG emissions excl LULUCF]])/(2030-2021)/Table12[[#This Row],[GHG emissions excl LULUCF]]</f>
        <v>2.4047702043389581E-2</v>
      </c>
      <c r="AM193" s="313">
        <f>IF(Table12[[#This Row],[Net-zero target status]]&lt;=1,"",IF(Table12[[#This Row],[NZ GHG year]]="","",(Table12[[#This Row],[residual LULUCF emissions in 2050]]-Table12[[#This Row],[Current Policies 2030 excl LULUCF]])/(Table12[[#This Row],[NZ GHG year]]-2030)/Table12[[#This Row],[Current Policies 2030 excl LULUCF]]))</f>
        <v>1.6588533786657519E-2</v>
      </c>
      <c r="AN193" s="313">
        <f>IF(Table12[[#This Row],[Net-zero target status]]&lt;=1,"",IF(Table12[[#This Row],[NZ GHG year]]="","",(Table12[[#This Row],[residual LULUCF emissions in 2050]]-Table12[[#This Row],[GHG emissions excl LULUCF]])/(Table12[[#This Row],[NZ GHG year]]-2021)/Table12[[#This Row],[GHG emissions excl LULUCF]]))</f>
        <v>2.1379479149466897E-2</v>
      </c>
      <c r="AO193" s="313" t="e">
        <f>IF(Table12[[#This Row],[Net-zero target status]]&lt;=1,"",IF(Table12[[#This Row],[NZ GHG year]]="","",(Table12[[#This Row],[residual LULUCF emissions in 2050]]-Table12[[#This Row],[2030 conditional NDCs]])/(Table12[[#This Row],[NZ GHG year]]-2030)/Table12[[#This Row],[2030 conditional NDCs]]))</f>
        <v>#DIV/0!</v>
      </c>
      <c r="AP193" s="96">
        <f>MAX('input site'!AH193:AS193)</f>
        <v>39.934747999999999</v>
      </c>
      <c r="AQ193" s="95" t="str">
        <f>IF(Table12[[#This Row],[Current Policies 2030 incl LULUCF]]&gt;Table12[[#This Row],[Maximum inventory data]],"No","Yes")</f>
        <v>No</v>
      </c>
      <c r="AR193" s="34">
        <f>IF(Table12[[#This Row],[Net-zero target status]]&gt;=1.5,Table12[[#This Row],[residual LULUCF emissions in 2050]]/Table12[[#This Row],[GHG emissions excl LULUCF]],"")</f>
        <v>1.6200048953345401</v>
      </c>
      <c r="AS193" s="74" t="str">
        <f>'input site'!BE193</f>
        <v/>
      </c>
      <c r="AT193" s="74"/>
      <c r="AU193" s="74"/>
      <c r="AV193" s="75"/>
      <c r="AW193" s="74" t="str">
        <f>IF(Table12[[#This Row],[2030 unconditional NDCs]]="","",IF(F193="incl",Table12[[#This Row],[2030 unconditional NDCs]]-Table12[[#This Row],[LULUCF NDC uncond]],Table12[[#This Row],[2030 unconditional NDCs]]))</f>
        <v/>
      </c>
      <c r="AX193" s="74" t="str">
        <f>IF(Table12[[#This Row],[2030 unconditional NDCs2]]="","",IF(F193="incl",Table12[[#This Row],[2030 unconditional NDCs2]]-Table12[[#This Row],[LULUCF NDC uncond]],Table12[[#This Row],[2030 unconditional NDCs2]]))</f>
        <v/>
      </c>
      <c r="AY193" s="74" t="str">
        <f>IF(Table12[[#This Row],[2030 conditional NDCs]]="","",IF(F193="incl",Table12[[#This Row],[2030 conditional NDCs]]-Table12[[#This Row],[LULUCF NDC cond]],Table12[[#This Row],[2030 conditional NDCs]]))</f>
        <v/>
      </c>
      <c r="AZ193" s="74" t="str">
        <f>IF(Table12[[#This Row],[2030 conditional NDCs2]]="","",IF(F193="incl",Table12[[#This Row],[2030 conditional NDCs2]]-Table12[[#This Row],[LULUCF NDC cond]],Table12[[#This Row],[2030 conditional NDCs2]]))</f>
        <v/>
      </c>
      <c r="BA193" s="8">
        <f>VLOOKUP($G193,'Population90 20'!$C$6:$AU$231,37,FALSE)</f>
        <v>21575842</v>
      </c>
      <c r="BB193" s="8">
        <f>VLOOKUP($G193,'Overview GDP (PPP)'!$C$6:$AI$231,33,FALSE)</f>
        <v>259075678.71025816</v>
      </c>
      <c r="BC193" s="36">
        <f>Table12[[#This Row],[Income]]/Table12[[#This Row],[Population]]</f>
        <v>12.007674078733899</v>
      </c>
      <c r="BD193" s="36">
        <f>Table12[[#This Row],[GHG emissions excl LULUCF]]*1000000/Table12[[#This Row],[Population]]</f>
        <v>1.8092646395908907</v>
      </c>
      <c r="BE193" s="23" t="e">
        <f>VLOOKUP($G193,EGR2023_MASTER!$B$4:$S$38,14,FALSE)</f>
        <v>#N/A</v>
      </c>
      <c r="BF193" s="23" t="e">
        <f>VLOOKUP($G193,EGR2023_MASTER!$B$4:$S$38,15,FALSE)</f>
        <v>#N/A</v>
      </c>
      <c r="BG193" s="23" t="e">
        <f>VLOOKUP($G193,EGR2023_MASTER!$B$4:$S$38,16,FALSE)</f>
        <v>#N/A</v>
      </c>
      <c r="BH193" s="23" t="e">
        <f t="shared" si="24"/>
        <v>#N/A</v>
      </c>
      <c r="BI193" s="23" t="e">
        <f t="shared" si="25"/>
        <v>#N/A</v>
      </c>
      <c r="BJ193" s="552">
        <f>(Table12[[#This Row],[Current Policies 2030 excl LULUCF]]/Table12[[#This Row],[GHG emissions excl LULUCF]])^(1/(2030-2021))-1</f>
        <v>2.2007534789434846E-2</v>
      </c>
      <c r="BK193" s="552">
        <f>IF(Table12[[#This Row],[Net-zero target status]]&lt;=1,"",IF(Table12[[#This Row],[NZ GHG year]]="","",((MAX(Table12[[#This Row],[residual LULUCF emissions in 2050]],0.1)/Table12[[#This Row],[Current Policies 2030 excl LULUCF]])^(1/(Table12[[#This Row],[NZ GHG year]]-2021))-1)))</f>
        <v>9.9285989087851689E-3</v>
      </c>
      <c r="BL193" s="552">
        <f>IF(Table12[[#This Row],[Net-zero target status]]&lt;=1,"",IF(Table12[[#This Row],[NZ GHG year]]="","",((MAX(Table12[[#This Row],[residual LULUCF emissions in 2050]],0.1)/Table12[[#This Row],[GHG emissions excl LULUCF]])^(1/(Table12[[#This Row],[NZ GHG year]]-2021))-1)))</f>
        <v>1.677462888279635E-2</v>
      </c>
      <c r="BM193" s="552" t="e">
        <f>IF(Table12[[#This Row],[Net-zero target status]]&lt;=1,"",IF(Table12[[#This Row],[NZ GHG year]]="","",((MAX(Table12[[#This Row],[residual LULUCF emissions in 2050]],0.1)/AVERAGE(Table12[[#This Row],[2030 conditional NDCs]:[2030 conditional NDCs2]]))^(1/(Table12[[#This Row],[NZ GHG year]]-2021))-1)))</f>
        <v>#DIV/0!</v>
      </c>
      <c r="BN193" s="23"/>
      <c r="BO193" s="23"/>
      <c r="BP193" s="23"/>
      <c r="BQ193" s="23"/>
      <c r="BR193" s="50" t="s">
        <v>415</v>
      </c>
      <c r="BT193" s="30">
        <f>IF(Table12[[#This Row],[Reduction rate 2021 to NZ target2]]="","",J193*(1+AN193)^(Table12[[#This Row],[NZ GHG year]]-2021))</f>
        <v>72.093575053861542</v>
      </c>
    </row>
    <row r="194" spans="1:72" ht="15" x14ac:dyDescent="0.25">
      <c r="A194">
        <v>0</v>
      </c>
      <c r="B194">
        <v>0</v>
      </c>
      <c r="C194">
        <v>654</v>
      </c>
      <c r="D194">
        <v>169</v>
      </c>
      <c r="E194">
        <v>8</v>
      </c>
      <c r="F194" t="str">
        <f>'input site'!M194</f>
        <v>excl</v>
      </c>
      <c r="G194" s="31" t="s">
        <v>416</v>
      </c>
      <c r="H194" s="1" t="s">
        <v>417</v>
      </c>
      <c r="I194" s="8">
        <v>0</v>
      </c>
      <c r="J194" s="32">
        <f>'input site'!AS194</f>
        <v>1.2932973E-2</v>
      </c>
      <c r="K194" s="32">
        <f>'input site'!BS194</f>
        <v>1.5402997066742471E-2</v>
      </c>
      <c r="L194" s="32">
        <f t="shared" si="26"/>
        <v>1.5402997066742471E-2</v>
      </c>
      <c r="M194" s="32">
        <f t="shared" si="27"/>
        <v>1.2951420298064665E-2</v>
      </c>
      <c r="N194" s="32">
        <f>'input site'!EV194</f>
        <v>1.2951420298064665E-2</v>
      </c>
      <c r="O194" s="8"/>
      <c r="P194" s="8"/>
      <c r="Q194" s="32">
        <f t="shared" si="28"/>
        <v>7.3771326922532389E-3</v>
      </c>
      <c r="R194" s="32">
        <f>'input site'!EZ194</f>
        <v>7.3771326922532389E-3</v>
      </c>
      <c r="S194" s="37">
        <f>'input site'!FA194</f>
        <v>0</v>
      </c>
      <c r="T194" s="37" t="str">
        <f>Table12[[#This Row],[(Mt CO2 equivalent)]]</f>
        <v>St. Helena</v>
      </c>
      <c r="U194" s="35">
        <v>2100</v>
      </c>
      <c r="V194" s="35">
        <v>2100</v>
      </c>
      <c r="W194" s="32">
        <f>-IF('LUC NGHGI'!EC184="",MIN('LUC NGHGI'!DW184,0.1),MIN('LUC NGHGI'!EC184,0.1))</f>
        <v>0</v>
      </c>
      <c r="X194" s="32" t="str">
        <f>'LUC NGHGI'!EC184</f>
        <v/>
      </c>
      <c r="Y194" s="32" t="str">
        <f>'LUC NGHGI'!DY184</f>
        <v/>
      </c>
      <c r="Z194" s="32" t="str">
        <f>'LUC NGHGI'!DZ184</f>
        <v/>
      </c>
      <c r="AA194" s="32">
        <f>Table12[[#This Row],[2021 emissions]]</f>
        <v>1.2932973E-2</v>
      </c>
      <c r="AB194" s="32">
        <f>'LUC NGHGI'!DW184</f>
        <v>0</v>
      </c>
      <c r="AC194" s="32">
        <f>IF(F194="incl",Table12[[#This Row],[GHG emissions incl LULUCF]]-Table12[[#This Row],[LULUCF emis-sions in 20213]],Table12[[#This Row],[GHG emissions incl LULUCF]])</f>
        <v>1.2932973E-2</v>
      </c>
      <c r="AD194" s="32">
        <f>'input site'!BS194</f>
        <v>1.5402997066742471E-2</v>
      </c>
      <c r="AE194" s="32">
        <f>'LUC NGHGI'!EH184</f>
        <v>0</v>
      </c>
      <c r="AF194" s="32">
        <f>IF(F194="incl",Table12[[#This Row],[Current Policies 2030 incl LULUCF]]-Table12[[#This Row],[LULUCF CurPol 2030]],Table12[[#This Row],[Current Policies 2030 incl LULUCF]])</f>
        <v>1.5402997066742471E-2</v>
      </c>
      <c r="AG194" s="32" t="str">
        <f>IF(Table12[[#This Row],[Net-zero target status]]&lt;=1,"",IF(Table12[[#This Row],[NZ GHG year]]="","",1000000000*(Table12[[#This Row],[residual LULUCF emissions in 2050]]-Table12[[#This Row],[GHG emissions excl LULUCF]])/(Table12[[#This Row],[NZ GHG year]]-2021)/Table12[[#This Row],[Population]]))</f>
        <v/>
      </c>
      <c r="AH194" s="32" t="str">
        <f>IF(Table12[[#This Row],[Peak revised]]="Yes",IF(Table12[[#This Row],[Net-zero target status]]&lt;=1,"",IF(Table12[[#This Row],[NZ GHG year]]="","",1000000000*(Table12[[#This Row],[residual LULUCF emissions in 2050]]-Table12[[#This Row],[GHG emissions excl LULUCF]])/(Table12[[#This Row],[NZ GHG year]]-2021)/Table12[[#This Row],[Population]])),"")</f>
        <v/>
      </c>
      <c r="AI194" s="32">
        <f>MAX(0,(1000000*(Table12[[#This Row],[Current Policies 2030 excl LULUCF]]/2+Table12[[#This Row],[GHG emissions excl LULUCF]]/2)/Table12[[#This Row],[Population]]-$AI$8)*10)*$AI$10</f>
        <v>0</v>
      </c>
      <c r="AJ19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4" s="32" t="str">
        <f>IF(Table12[[#This Row],[Formule no Peak (2)]]="","",Table12[[#This Row],[Penalty (1)]]+Table12[[#This Row],[Formule no Peak (2)]])</f>
        <v/>
      </c>
      <c r="AL194" s="313">
        <f>(Table12[[#This Row],[Current Policies 2030 excl LULUCF]]-Table12[[#This Row],[GHG emissions excl LULUCF]])/(2030-2021)/Table12[[#This Row],[GHG emissions excl LULUCF]]</f>
        <v>2.1220729257452341E-2</v>
      </c>
      <c r="AM194" s="313" t="str">
        <f>IF(Table12[[#This Row],[Net-zero target status]]&lt;=1,"",IF(Table12[[#This Row],[NZ GHG year]]="","",(Table12[[#This Row],[residual LULUCF emissions in 2050]]-Table12[[#This Row],[Current Policies 2030 excl LULUCF]])/(Table12[[#This Row],[NZ GHG year]]-2030)/Table12[[#This Row],[Current Policies 2030 excl LULUCF]]))</f>
        <v/>
      </c>
      <c r="AN194" s="313" t="str">
        <f>IF(Table12[[#This Row],[Net-zero target status]]&lt;=1,"",IF(Table12[[#This Row],[NZ GHG year]]="","",(Table12[[#This Row],[residual LULUCF emissions in 2050]]-Table12[[#This Row],[GHG emissions excl LULUCF]])/(Table12[[#This Row],[NZ GHG year]]-2021)/Table12[[#This Row],[GHG emissions excl LULUCF]]))</f>
        <v/>
      </c>
      <c r="AO194" s="313" t="str">
        <f>IF(Table12[[#This Row],[Net-zero target status]]&lt;=1,"",IF(Table12[[#This Row],[NZ GHG year]]="","",(Table12[[#This Row],[residual LULUCF emissions in 2050]]-Table12[[#This Row],[2030 conditional NDCs]])/(Table12[[#This Row],[NZ GHG year]]-2030)/Table12[[#This Row],[2030 conditional NDCs]]))</f>
        <v/>
      </c>
      <c r="AP194" s="96">
        <f>MAX('input site'!AH194:AS194)</f>
        <v>1.3591639000000001E-2</v>
      </c>
      <c r="AQ194" s="95" t="str">
        <f>IF(Table12[[#This Row],[Current Policies 2030 incl LULUCF]]&gt;Table12[[#This Row],[Maximum inventory data]],"No","Yes")</f>
        <v>No</v>
      </c>
      <c r="AR194" s="34" t="str">
        <f>IF(Table12[[#This Row],[Net-zero target status]]&gt;=1.5,Table12[[#This Row],[residual LULUCF emissions in 2050]]/Table12[[#This Row],[GHG emissions excl LULUCF]],"")</f>
        <v/>
      </c>
      <c r="AS194" s="74" t="str">
        <f>'input site'!BE194</f>
        <v/>
      </c>
      <c r="AT194" s="74"/>
      <c r="AU194" s="74"/>
      <c r="AV194" s="75"/>
      <c r="AW194" s="74" t="str">
        <f>IF(Table12[[#This Row],[2030 unconditional NDCs]]="","",IF(F194="incl",Table12[[#This Row],[2030 unconditional NDCs]]-Table12[[#This Row],[LULUCF NDC uncond]],Table12[[#This Row],[2030 unconditional NDCs]]))</f>
        <v/>
      </c>
      <c r="AX194" s="74" t="str">
        <f>IF(Table12[[#This Row],[2030 unconditional NDCs2]]="","",IF(F194="incl",Table12[[#This Row],[2030 unconditional NDCs2]]-Table12[[#This Row],[LULUCF NDC uncond]],Table12[[#This Row],[2030 unconditional NDCs2]]))</f>
        <v/>
      </c>
      <c r="AY194" s="74" t="str">
        <f>IF(Table12[[#This Row],[2030 conditional NDCs]]="","",IF(F194="incl",Table12[[#This Row],[2030 conditional NDCs]]-Table12[[#This Row],[LULUCF NDC cond]],Table12[[#This Row],[2030 conditional NDCs]]))</f>
        <v/>
      </c>
      <c r="AZ194" s="74" t="str">
        <f>IF(Table12[[#This Row],[2030 conditional NDCs2]]="","",IF(F194="incl",Table12[[#This Row],[2030 conditional NDCs2]]-Table12[[#This Row],[LULUCF NDC cond]],Table12[[#This Row],[2030 conditional NDCs2]]))</f>
        <v/>
      </c>
      <c r="BA194" s="8">
        <f>VLOOKUP($G194,'Population90 20'!$C$6:$AU$231,37,FALSE)</f>
        <v>6115</v>
      </c>
      <c r="BB194" s="8">
        <f>VLOOKUP($G194,'Overview GDP (PPP)'!$C$6:$AI$231,33,FALSE)</f>
        <v>0</v>
      </c>
      <c r="BC194" s="36">
        <f>Table12[[#This Row],[Income]]/Table12[[#This Row],[Population]]</f>
        <v>0</v>
      </c>
      <c r="BD194" s="36">
        <f>Table12[[#This Row],[GHG emissions excl LULUCF]]*1000000/Table12[[#This Row],[Population]]</f>
        <v>2.1149587898609976</v>
      </c>
      <c r="BE194" s="23" t="e">
        <f>VLOOKUP($G194,EGR2023_MASTER!$B$4:$S$38,14,FALSE)</f>
        <v>#N/A</v>
      </c>
      <c r="BF194" s="23" t="e">
        <f>VLOOKUP($G194,EGR2023_MASTER!$B$4:$S$38,15,FALSE)</f>
        <v>#N/A</v>
      </c>
      <c r="BG194" s="23" t="e">
        <f>VLOOKUP($G194,EGR2023_MASTER!$B$4:$S$38,16,FALSE)</f>
        <v>#N/A</v>
      </c>
      <c r="BH194" s="23" t="e">
        <f t="shared" si="24"/>
        <v>#N/A</v>
      </c>
      <c r="BI194" s="23" t="e">
        <f t="shared" si="25"/>
        <v>#N/A</v>
      </c>
      <c r="BJ194" s="552">
        <f>(Table12[[#This Row],[Current Policies 2030 excl LULUCF]]/Table12[[#This Row],[GHG emissions excl LULUCF]])^(1/(2030-2021))-1</f>
        <v>1.9610022352633871E-2</v>
      </c>
      <c r="BK194" s="552" t="str">
        <f>IF(Table12[[#This Row],[Net-zero target status]]&lt;=1,"",IF(Table12[[#This Row],[NZ GHG year]]="","",((MAX(Table12[[#This Row],[residual LULUCF emissions in 2050]],0.1)/Table12[[#This Row],[Current Policies 2030 excl LULUCF]])^(1/(Table12[[#This Row],[NZ GHG year]]-2021))-1)))</f>
        <v/>
      </c>
      <c r="BL194" s="552" t="str">
        <f>IF(Table12[[#This Row],[Net-zero target status]]&lt;=1,"",IF(Table12[[#This Row],[NZ GHG year]]="","",((MAX(Table12[[#This Row],[residual LULUCF emissions in 2050]],0.1)/Table12[[#This Row],[GHG emissions excl LULUCF]])^(1/(Table12[[#This Row],[NZ GHG year]]-2021))-1)))</f>
        <v/>
      </c>
      <c r="BM194" s="552" t="str">
        <f>IF(Table12[[#This Row],[Net-zero target status]]&lt;=1,"",IF(Table12[[#This Row],[NZ GHG year]]="","",((MAX(Table12[[#This Row],[residual LULUCF emissions in 2050]],0.1)/AVERAGE(Table12[[#This Row],[2030 conditional NDCs]:[2030 conditional NDCs2]]))^(1/(Table12[[#This Row],[NZ GHG year]]-2021))-1)))</f>
        <v/>
      </c>
      <c r="BN194" s="23"/>
      <c r="BO194" s="23"/>
      <c r="BP194" s="23"/>
      <c r="BQ194" s="23"/>
      <c r="BR194" s="50" t="s">
        <v>417</v>
      </c>
      <c r="BT194" s="30" t="str">
        <f>IF(Table12[[#This Row],[Reduction rate 2021 to NZ target2]]="","",J194*(1+AN194)^(Table12[[#This Row],[NZ GHG year]]-2021))</f>
        <v/>
      </c>
    </row>
    <row r="195" spans="1:72" ht="15" x14ac:dyDescent="0.25">
      <c r="A195">
        <v>0</v>
      </c>
      <c r="B195">
        <v>0</v>
      </c>
      <c r="C195">
        <v>659</v>
      </c>
      <c r="D195">
        <v>170</v>
      </c>
      <c r="E195">
        <v>4</v>
      </c>
      <c r="F195" t="str">
        <f>'input site'!M195</f>
        <v>incl</v>
      </c>
      <c r="G195" s="31" t="s">
        <v>418</v>
      </c>
      <c r="H195" s="1" t="s">
        <v>419</v>
      </c>
      <c r="I195" s="8">
        <f>VLOOKUP($G195,'NZT data'!$B$3:$C$200,2,FALSE)</f>
        <v>1</v>
      </c>
      <c r="J195" s="32">
        <f>'input site'!AS195</f>
        <v>0.17605542448275835</v>
      </c>
      <c r="K195" s="32">
        <f>'input site'!BS195</f>
        <v>0.21708851946267763</v>
      </c>
      <c r="L195" s="32">
        <f t="shared" si="26"/>
        <v>0</v>
      </c>
      <c r="M195" s="32">
        <f t="shared" si="27"/>
        <v>0</v>
      </c>
      <c r="N195" s="32">
        <f>'input site'!EV195</f>
        <v>9.7201870499370055E-2</v>
      </c>
      <c r="O195" s="8">
        <v>0</v>
      </c>
      <c r="P195" s="36">
        <f>O195-N195</f>
        <v>-9.7201870499370055E-2</v>
      </c>
      <c r="Q195" s="32">
        <f t="shared" si="28"/>
        <v>0</v>
      </c>
      <c r="R195" s="32">
        <f>'input site'!EZ195</f>
        <v>1.9768955595628426E-2</v>
      </c>
      <c r="S195" s="37">
        <f>'input site'!FA195</f>
        <v>2050</v>
      </c>
      <c r="T195" s="37" t="str">
        <f>Table12[[#This Row],[(Mt CO2 equivalent)]]</f>
        <v>St. Kitts and Nevis</v>
      </c>
      <c r="U195" s="8">
        <f>VLOOKUP($G195,'NZT data'!$B$3:$F$200,4,FALSE)</f>
        <v>2110</v>
      </c>
      <c r="V195" s="32">
        <f>VLOOKUP($G195,'NZT data'!$B$3:$F$200,5,FALSE)</f>
        <v>2125</v>
      </c>
      <c r="W195" s="32">
        <f>-IF('LUC NGHGI'!EC185="",MIN('LUC NGHGI'!DW185,0.1),MIN('LUC NGHGI'!EC185,0.1))</f>
        <v>0.10355068965517278</v>
      </c>
      <c r="X195" s="32">
        <f>'LUC NGHGI'!EC185</f>
        <v>-0.10355068965517278</v>
      </c>
      <c r="Y195" s="32">
        <f>'LUC NGHGI'!DY185</f>
        <v>-0.10355068965517278</v>
      </c>
      <c r="Z195" s="32">
        <f>'LUC NGHGI'!DZ185</f>
        <v>-0.10355068965517278</v>
      </c>
      <c r="AA195" s="32">
        <f>Table12[[#This Row],[2021 emissions]]</f>
        <v>0.17605542448275835</v>
      </c>
      <c r="AB195" s="32">
        <f>'LUC NGHGI'!DW185</f>
        <v>-0.10523896551724166</v>
      </c>
      <c r="AC195" s="32">
        <f>IF(F195="incl",Table12[[#This Row],[GHG emissions incl LULUCF]]-Table12[[#This Row],[LULUCF emis-sions in 20213]],Table12[[#This Row],[GHG emissions incl LULUCF]])</f>
        <v>0.28129439000000001</v>
      </c>
      <c r="AD195" s="32">
        <f>'input site'!BS195</f>
        <v>0.21708851946267763</v>
      </c>
      <c r="AE195" s="32">
        <f>'LUC NGHGI'!EH185</f>
        <v>-0.14553515101105058</v>
      </c>
      <c r="AF195" s="32">
        <f>IF(F195="incl",Table12[[#This Row],[Current Policies 2030 incl LULUCF]]-Table12[[#This Row],[LULUCF CurPol 2030]],Table12[[#This Row],[Current Policies 2030 incl LULUCF]])</f>
        <v>0.36262367047372823</v>
      </c>
      <c r="AG195" s="32" t="str">
        <f>IF(Table12[[#This Row],[Net-zero target status]]&lt;=1,"",IF(Table12[[#This Row],[NZ GHG year]]="","",1000000000*(Table12[[#This Row],[residual LULUCF emissions in 2050]]-Table12[[#This Row],[GHG emissions excl LULUCF]])/(Table12[[#This Row],[NZ GHG year]]-2021)/Table12[[#This Row],[Population]]))</f>
        <v/>
      </c>
      <c r="AH195" s="32" t="str">
        <f>IF(Table12[[#This Row],[Peak revised]]="Yes",IF(Table12[[#This Row],[Net-zero target status]]&lt;=1,"",IF(Table12[[#This Row],[NZ GHG year]]="","",1000000000*(Table12[[#This Row],[residual LULUCF emissions in 2050]]-Table12[[#This Row],[GHG emissions excl LULUCF]])/(Table12[[#This Row],[NZ GHG year]]-2021)/Table12[[#This Row],[Population]])),"")</f>
        <v/>
      </c>
      <c r="AI195" s="32">
        <f>MAX(0,(1000000*(Table12[[#This Row],[Current Policies 2030 excl LULUCF]]/2+Table12[[#This Row],[GHG emissions excl LULUCF]]/2)/Table12[[#This Row],[Population]]-$AI$8)*10)*$AI$10</f>
        <v>0</v>
      </c>
      <c r="AJ19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5" s="32" t="str">
        <f>IF(Table12[[#This Row],[Formule no Peak (2)]]="","",Table12[[#This Row],[Penalty (1)]]+Table12[[#This Row],[Formule no Peak (2)]])</f>
        <v/>
      </c>
      <c r="AL195" s="313">
        <f>(Table12[[#This Row],[Current Policies 2030 excl LULUCF]]-Table12[[#This Row],[GHG emissions excl LULUCF]])/(2030-2021)/Table12[[#This Row],[GHG emissions excl LULUCF]]</f>
        <v>3.2125015786141832E-2</v>
      </c>
      <c r="AM195" s="313" t="str">
        <f>IF(Table12[[#This Row],[Net-zero target status]]&lt;=1,"",IF(Table12[[#This Row],[NZ GHG year]]="","",(Table12[[#This Row],[residual LULUCF emissions in 2050]]-Table12[[#This Row],[Current Policies 2030 excl LULUCF]])/(Table12[[#This Row],[NZ GHG year]]-2030)/Table12[[#This Row],[Current Policies 2030 excl LULUCF]]))</f>
        <v/>
      </c>
      <c r="AN195" s="313" t="str">
        <f>IF(Table12[[#This Row],[Net-zero target status]]&lt;=1,"",IF(Table12[[#This Row],[NZ GHG year]]="","",(Table12[[#This Row],[residual LULUCF emissions in 2050]]-Table12[[#This Row],[GHG emissions excl LULUCF]])/(Table12[[#This Row],[NZ GHG year]]-2021)/Table12[[#This Row],[GHG emissions excl LULUCF]]))</f>
        <v/>
      </c>
      <c r="AO195" s="313" t="str">
        <f>IF(Table12[[#This Row],[Net-zero target status]]&lt;=1,"",IF(Table12[[#This Row],[NZ GHG year]]="","",(Table12[[#This Row],[residual LULUCF emissions in 2050]]-Table12[[#This Row],[2030 conditional NDCs]])/(Table12[[#This Row],[NZ GHG year]]-2030)/Table12[[#This Row],[2030 conditional NDCs]]))</f>
        <v/>
      </c>
      <c r="AP195" s="96">
        <f>MAX('input site'!AH195:AS195)</f>
        <v>0.21384234999999996</v>
      </c>
      <c r="AQ195" s="95" t="str">
        <f>IF(Table12[[#This Row],[Current Policies 2030 incl LULUCF]]&gt;Table12[[#This Row],[Maximum inventory data]],"No","Yes")</f>
        <v>No</v>
      </c>
      <c r="AR195" s="34" t="str">
        <f>IF(Table12[[#This Row],[Net-zero target status]]&gt;=1.5,Table12[[#This Row],[residual LULUCF emissions in 2050]]/Table12[[#This Row],[GHG emissions excl LULUCF]],"")</f>
        <v/>
      </c>
      <c r="AS195" s="74" t="str">
        <f>'input site'!BE195</f>
        <v/>
      </c>
      <c r="AT195" s="74"/>
      <c r="AU195" s="74">
        <f>'input site'!BG195</f>
        <v>0.54339999999999999</v>
      </c>
      <c r="AV195" s="74">
        <f>'input site'!BH195</f>
        <v>0.54339999999999999</v>
      </c>
      <c r="AW195" s="74" t="str">
        <f>IF(Table12[[#This Row],[2030 unconditional NDCs]]="","",IF(F195="incl",Table12[[#This Row],[2030 unconditional NDCs]]-Table12[[#This Row],[LULUCF NDC uncond]],Table12[[#This Row],[2030 unconditional NDCs]]))</f>
        <v/>
      </c>
      <c r="AX195" s="74" t="str">
        <f>IF(Table12[[#This Row],[2030 unconditional NDCs2]]="","",IF(F195="incl",Table12[[#This Row],[2030 unconditional NDCs2]]-Table12[[#This Row],[LULUCF NDC uncond]],Table12[[#This Row],[2030 unconditional NDCs2]]))</f>
        <v/>
      </c>
      <c r="AY195" s="74">
        <f>IF(Table12[[#This Row],[2030 conditional NDCs]]="","",IF(F195="incl",Table12[[#This Row],[2030 conditional NDCs]]-Table12[[#This Row],[LULUCF NDC cond]],Table12[[#This Row],[2030 conditional NDCs]]))</f>
        <v>0.64695068965517277</v>
      </c>
      <c r="AZ195" s="74">
        <f>IF(Table12[[#This Row],[2030 conditional NDCs2]]="","",IF(F195="incl",Table12[[#This Row],[2030 conditional NDCs2]]-Table12[[#This Row],[LULUCF NDC cond]],Table12[[#This Row],[2030 conditional NDCs2]]))</f>
        <v>0.64695068965517277</v>
      </c>
      <c r="BA195" s="8">
        <f>VLOOKUP($G195,'Population90 20'!$C$6:$AU$231,37,FALSE)</f>
        <v>53871</v>
      </c>
      <c r="BB195" s="8">
        <f>VLOOKUP($G195,'Overview GDP (PPP)'!$C$6:$AI$231,33,FALSE)</f>
        <v>1483795.6176095677</v>
      </c>
      <c r="BC195" s="36">
        <f>Table12[[#This Row],[Income]]/Table12[[#This Row],[Population]]</f>
        <v>27.543494971497982</v>
      </c>
      <c r="BD195" s="36">
        <f>Table12[[#This Row],[GHG emissions excl LULUCF]]*1000000/Table12[[#This Row],[Population]]</f>
        <v>5.2216292624974479</v>
      </c>
      <c r="BE195" s="23" t="e">
        <f>VLOOKUP($G195,EGR2023_MASTER!$B$4:$S$38,14,FALSE)</f>
        <v>#N/A</v>
      </c>
      <c r="BF195" s="23" t="e">
        <f>VLOOKUP($G195,EGR2023_MASTER!$B$4:$S$38,15,FALSE)</f>
        <v>#N/A</v>
      </c>
      <c r="BG195" s="23" t="e">
        <f>VLOOKUP($G195,EGR2023_MASTER!$B$4:$S$38,16,FALSE)</f>
        <v>#N/A</v>
      </c>
      <c r="BH195" s="23" t="e">
        <f t="shared" si="24"/>
        <v>#N/A</v>
      </c>
      <c r="BI195" s="23" t="e">
        <f t="shared" si="25"/>
        <v>#N/A</v>
      </c>
      <c r="BJ195" s="552">
        <f>(Table12[[#This Row],[Current Policies 2030 excl LULUCF]]/Table12[[#This Row],[GHG emissions excl LULUCF]])^(1/(2030-2021))-1</f>
        <v>2.8620105284846487E-2</v>
      </c>
      <c r="BK195" s="552" t="str">
        <f>IF(Table12[[#This Row],[Net-zero target status]]&lt;=1,"",IF(Table12[[#This Row],[NZ GHG year]]="","",((MAX(Table12[[#This Row],[residual LULUCF emissions in 2050]],0.1)/Table12[[#This Row],[Current Policies 2030 excl LULUCF]])^(1/(Table12[[#This Row],[NZ GHG year]]-2021))-1)))</f>
        <v/>
      </c>
      <c r="BL195" s="552" t="str">
        <f>IF(Table12[[#This Row],[Net-zero target status]]&lt;=1,"",IF(Table12[[#This Row],[NZ GHG year]]="","",((MAX(Table12[[#This Row],[residual LULUCF emissions in 2050]],0.1)/Table12[[#This Row],[GHG emissions excl LULUCF]])^(1/(Table12[[#This Row],[NZ GHG year]]-2021))-1)))</f>
        <v/>
      </c>
      <c r="BM195" s="552" t="str">
        <f>IF(Table12[[#This Row],[Net-zero target status]]&lt;=1,"",IF(Table12[[#This Row],[NZ GHG year]]="","",((MAX(Table12[[#This Row],[residual LULUCF emissions in 2050]],0.1)/AVERAGE(Table12[[#This Row],[2030 conditional NDCs]:[2030 conditional NDCs2]]))^(1/(Table12[[#This Row],[NZ GHG year]]-2021))-1)))</f>
        <v/>
      </c>
      <c r="BN195" s="23"/>
      <c r="BO195" s="23"/>
      <c r="BP195" s="23"/>
      <c r="BQ195" s="23"/>
      <c r="BR195" s="50" t="s">
        <v>419</v>
      </c>
      <c r="BT195" s="30" t="str">
        <f>IF(Table12[[#This Row],[Reduction rate 2021 to NZ target2]]="","",J195*(1+AN195)^(Table12[[#This Row],[NZ GHG year]]-2021))</f>
        <v/>
      </c>
    </row>
    <row r="196" spans="1:72" ht="15" x14ac:dyDescent="0.25">
      <c r="A196">
        <v>0</v>
      </c>
      <c r="B196">
        <v>0</v>
      </c>
      <c r="C196">
        <v>662</v>
      </c>
      <c r="D196">
        <v>172</v>
      </c>
      <c r="E196">
        <v>4</v>
      </c>
      <c r="F196" t="str">
        <f>'input site'!M196</f>
        <v>excl</v>
      </c>
      <c r="G196" s="31" t="s">
        <v>420</v>
      </c>
      <c r="H196" s="1" t="s">
        <v>421</v>
      </c>
      <c r="I196" s="8">
        <f>VLOOKUP($G196,'NZT data'!$B$3:$C$200,2,FALSE)</f>
        <v>1</v>
      </c>
      <c r="J196" s="32">
        <f>'input site'!AS196</f>
        <v>0.74932493999999994</v>
      </c>
      <c r="K196" s="32">
        <f>'input site'!BS196</f>
        <v>0.92396949596398537</v>
      </c>
      <c r="L196" s="32">
        <f t="shared" si="26"/>
        <v>0</v>
      </c>
      <c r="M196" s="32">
        <f t="shared" si="27"/>
        <v>0</v>
      </c>
      <c r="N196" s="32">
        <f>'input site'!EV196</f>
        <v>0.40490658976584215</v>
      </c>
      <c r="O196" s="8">
        <v>0</v>
      </c>
      <c r="P196" s="36">
        <f>O196-N196</f>
        <v>-0.40490658976584215</v>
      </c>
      <c r="Q196" s="32">
        <f t="shared" si="28"/>
        <v>0</v>
      </c>
      <c r="R196" s="32">
        <f>'input site'!EZ196</f>
        <v>8.2350065408567902E-2</v>
      </c>
      <c r="S196" s="37">
        <f>'input site'!FA196</f>
        <v>2050</v>
      </c>
      <c r="T196" s="37" t="str">
        <f>Table12[[#This Row],[(Mt CO2 equivalent)]]</f>
        <v>St. Lucia</v>
      </c>
      <c r="U196" s="8">
        <f>VLOOKUP($G196,'NZT data'!$B$3:$F$200,4,FALSE)</f>
        <v>2110</v>
      </c>
      <c r="V196" s="32">
        <f>VLOOKUP($G196,'NZT data'!$B$3:$F$200,5,FALSE)</f>
        <v>2125</v>
      </c>
      <c r="W196" s="32">
        <f>-IF('LUC NGHGI'!EC186="",MIN('LUC NGHGI'!DW186,0.1),MIN('LUC NGHGI'!EC186,0.1))</f>
        <v>-0.1</v>
      </c>
      <c r="X196" s="32">
        <f>'LUC NGHGI'!EC186</f>
        <v>0.12143685779220803</v>
      </c>
      <c r="Y196" s="32">
        <f>'LUC NGHGI'!DY186</f>
        <v>0.12143685779220803</v>
      </c>
      <c r="Z196" s="32">
        <f>'LUC NGHGI'!DZ186</f>
        <v>0.12143685779220803</v>
      </c>
      <c r="AA196" s="32">
        <f>Table12[[#This Row],[2021 emissions]]</f>
        <v>0.74932493999999994</v>
      </c>
      <c r="AB196" s="32">
        <f>'LUC NGHGI'!DW186</f>
        <v>0.13672103794372248</v>
      </c>
      <c r="AC196" s="32">
        <f>IF(F196="incl",Table12[[#This Row],[GHG emissions incl LULUCF]]-Table12[[#This Row],[LULUCF emis-sions in 20213]],Table12[[#This Row],[GHG emissions incl LULUCF]])</f>
        <v>0.74932493999999994</v>
      </c>
      <c r="AD196" s="32">
        <f>'input site'!BS196</f>
        <v>0.92396949596398537</v>
      </c>
      <c r="AE196" s="32">
        <f>'LUC NGHGI'!EH186</f>
        <v>7.220047819749717E-2</v>
      </c>
      <c r="AF196" s="32">
        <f>IF(F196="incl",Table12[[#This Row],[Current Policies 2030 incl LULUCF]]-Table12[[#This Row],[LULUCF CurPol 2030]],Table12[[#This Row],[Current Policies 2030 incl LULUCF]])</f>
        <v>0.92396949596398537</v>
      </c>
      <c r="AG196" s="32" t="str">
        <f>IF(Table12[[#This Row],[Net-zero target status]]&lt;=1,"",IF(Table12[[#This Row],[NZ GHG year]]="","",1000000000*(Table12[[#This Row],[residual LULUCF emissions in 2050]]-Table12[[#This Row],[GHG emissions excl LULUCF]])/(Table12[[#This Row],[NZ GHG year]]-2021)/Table12[[#This Row],[Population]]))</f>
        <v/>
      </c>
      <c r="AH196" s="32" t="str">
        <f>IF(Table12[[#This Row],[Peak revised]]="Yes",IF(Table12[[#This Row],[Net-zero target status]]&lt;=1,"",IF(Table12[[#This Row],[NZ GHG year]]="","",1000000000*(Table12[[#This Row],[residual LULUCF emissions in 2050]]-Table12[[#This Row],[GHG emissions excl LULUCF]])/(Table12[[#This Row],[NZ GHG year]]-2021)/Table12[[#This Row],[Population]])),"")</f>
        <v/>
      </c>
      <c r="AI196" s="32">
        <f>MAX(0,(1000000*(Table12[[#This Row],[Current Policies 2030 excl LULUCF]]/2+Table12[[#This Row],[GHG emissions excl LULUCF]]/2)/Table12[[#This Row],[Population]]-$AI$8)*10)*$AI$10</f>
        <v>0</v>
      </c>
      <c r="AJ19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6" s="32" t="str">
        <f>IF(Table12[[#This Row],[Formule no Peak (2)]]="","",Table12[[#This Row],[Penalty (1)]]+Table12[[#This Row],[Formule no Peak (2)]])</f>
        <v/>
      </c>
      <c r="AL196" s="313">
        <f>(Table12[[#This Row],[Current Policies 2030 excl LULUCF]]-Table12[[#This Row],[GHG emissions excl LULUCF]])/(2030-2021)/Table12[[#This Row],[GHG emissions excl LULUCF]]</f>
        <v>2.5896576540832938E-2</v>
      </c>
      <c r="AM196" s="313" t="str">
        <f>IF(Table12[[#This Row],[Net-zero target status]]&lt;=1,"",IF(Table12[[#This Row],[NZ GHG year]]="","",(Table12[[#This Row],[residual LULUCF emissions in 2050]]-Table12[[#This Row],[Current Policies 2030 excl LULUCF]])/(Table12[[#This Row],[NZ GHG year]]-2030)/Table12[[#This Row],[Current Policies 2030 excl LULUCF]]))</f>
        <v/>
      </c>
      <c r="AN196" s="313" t="str">
        <f>IF(Table12[[#This Row],[Net-zero target status]]&lt;=1,"",IF(Table12[[#This Row],[NZ GHG year]]="","",(Table12[[#This Row],[residual LULUCF emissions in 2050]]-Table12[[#This Row],[GHG emissions excl LULUCF]])/(Table12[[#This Row],[NZ GHG year]]-2021)/Table12[[#This Row],[GHG emissions excl LULUCF]]))</f>
        <v/>
      </c>
      <c r="AO196" s="313" t="str">
        <f>IF(Table12[[#This Row],[Net-zero target status]]&lt;=1,"",IF(Table12[[#This Row],[NZ GHG year]]="","",(Table12[[#This Row],[residual LULUCF emissions in 2050]]-Table12[[#This Row],[2030 conditional NDCs]])/(Table12[[#This Row],[NZ GHG year]]-2030)/Table12[[#This Row],[2030 conditional NDCs]]))</f>
        <v/>
      </c>
      <c r="AP196" s="96">
        <f>MAX('input site'!AH196:AS196)</f>
        <v>0.79128461999999999</v>
      </c>
      <c r="AQ196" s="95" t="str">
        <f>IF(Table12[[#This Row],[Current Policies 2030 incl LULUCF]]&gt;Table12[[#This Row],[Maximum inventory data]],"No","Yes")</f>
        <v>No</v>
      </c>
      <c r="AR196" s="34" t="str">
        <f>IF(Table12[[#This Row],[Net-zero target status]]&gt;=1.5,Table12[[#This Row],[residual LULUCF emissions in 2050]]/Table12[[#This Row],[GHG emissions excl LULUCF]],"")</f>
        <v/>
      </c>
      <c r="AS196" s="74" t="str">
        <f>'input site'!BE196</f>
        <v/>
      </c>
      <c r="AT196" s="74"/>
      <c r="AU196" s="74">
        <f>'input site'!BG196</f>
        <v>0.7589999999999999</v>
      </c>
      <c r="AV196" s="74">
        <f>'input site'!BH196</f>
        <v>0.7589999999999999</v>
      </c>
      <c r="AW196" s="74" t="str">
        <f>IF(Table12[[#This Row],[2030 unconditional NDCs]]="","",IF(F196="incl",Table12[[#This Row],[2030 unconditional NDCs]]-Table12[[#This Row],[LULUCF NDC uncond]],Table12[[#This Row],[2030 unconditional NDCs]]))</f>
        <v/>
      </c>
      <c r="AX196" s="74" t="str">
        <f>IF(Table12[[#This Row],[2030 unconditional NDCs2]]="","",IF(F196="incl",Table12[[#This Row],[2030 unconditional NDCs2]]-Table12[[#This Row],[LULUCF NDC uncond]],Table12[[#This Row],[2030 unconditional NDCs2]]))</f>
        <v/>
      </c>
      <c r="AY196" s="74">
        <f>IF(Table12[[#This Row],[2030 conditional NDCs]]="","",IF(F196="incl",Table12[[#This Row],[2030 conditional NDCs]]-Table12[[#This Row],[LULUCF NDC cond]],Table12[[#This Row],[2030 conditional NDCs]]))</f>
        <v>0.7589999999999999</v>
      </c>
      <c r="AZ196" s="74">
        <f>IF(Table12[[#This Row],[2030 conditional NDCs2]]="","",IF(F196="incl",Table12[[#This Row],[2030 conditional NDCs2]]-Table12[[#This Row],[LULUCF NDC cond]],Table12[[#This Row],[2030 conditional NDCs2]]))</f>
        <v>0.7589999999999999</v>
      </c>
      <c r="BA196" s="8">
        <f>VLOOKUP($G196,'Population90 20'!$C$6:$AU$231,37,FALSE)</f>
        <v>185113</v>
      </c>
      <c r="BB196" s="8">
        <f>VLOOKUP($G196,'Overview GDP (PPP)'!$C$6:$AI$231,33,FALSE)</f>
        <v>2245176.2054223437</v>
      </c>
      <c r="BC196" s="36">
        <f>Table12[[#This Row],[Income]]/Table12[[#This Row],[Population]]</f>
        <v>12.128679268459502</v>
      </c>
      <c r="BD196" s="36">
        <f>Table12[[#This Row],[GHG emissions excl LULUCF]]*1000000/Table12[[#This Row],[Population]]</f>
        <v>4.0479325601119314</v>
      </c>
      <c r="BE196" s="23" t="e">
        <f>VLOOKUP($G196,EGR2023_MASTER!$B$4:$S$38,14,FALSE)</f>
        <v>#N/A</v>
      </c>
      <c r="BF196" s="23" t="e">
        <f>VLOOKUP($G196,EGR2023_MASTER!$B$4:$S$38,15,FALSE)</f>
        <v>#N/A</v>
      </c>
      <c r="BG196" s="23" t="e">
        <f>VLOOKUP($G196,EGR2023_MASTER!$B$4:$S$38,16,FALSE)</f>
        <v>#N/A</v>
      </c>
      <c r="BH196" s="23" t="e">
        <f t="shared" si="24"/>
        <v>#N/A</v>
      </c>
      <c r="BI196" s="23" t="e">
        <f t="shared" si="25"/>
        <v>#N/A</v>
      </c>
      <c r="BJ196" s="552">
        <f>(Table12[[#This Row],[Current Policies 2030 excl LULUCF]]/Table12[[#This Row],[GHG emissions excl LULUCF]])^(1/(2030-2021))-1</f>
        <v>2.3551540411518301E-2</v>
      </c>
      <c r="BK196" s="552" t="str">
        <f>IF(Table12[[#This Row],[Net-zero target status]]&lt;=1,"",IF(Table12[[#This Row],[NZ GHG year]]="","",((MAX(Table12[[#This Row],[residual LULUCF emissions in 2050]],0.1)/Table12[[#This Row],[Current Policies 2030 excl LULUCF]])^(1/(Table12[[#This Row],[NZ GHG year]]-2021))-1)))</f>
        <v/>
      </c>
      <c r="BL196" s="552" t="str">
        <f>IF(Table12[[#This Row],[Net-zero target status]]&lt;=1,"",IF(Table12[[#This Row],[NZ GHG year]]="","",((MAX(Table12[[#This Row],[residual LULUCF emissions in 2050]],0.1)/Table12[[#This Row],[GHG emissions excl LULUCF]])^(1/(Table12[[#This Row],[NZ GHG year]]-2021))-1)))</f>
        <v/>
      </c>
      <c r="BM196" s="552" t="str">
        <f>IF(Table12[[#This Row],[Net-zero target status]]&lt;=1,"",IF(Table12[[#This Row],[NZ GHG year]]="","",((MAX(Table12[[#This Row],[residual LULUCF emissions in 2050]],0.1)/AVERAGE(Table12[[#This Row],[2030 conditional NDCs]:[2030 conditional NDCs2]]))^(1/(Table12[[#This Row],[NZ GHG year]]-2021))-1)))</f>
        <v/>
      </c>
      <c r="BN196" s="23"/>
      <c r="BO196" s="23"/>
      <c r="BP196" s="23"/>
      <c r="BQ196" s="23"/>
      <c r="BR196" s="50" t="s">
        <v>421</v>
      </c>
      <c r="BT196" s="30" t="str">
        <f>IF(Table12[[#This Row],[Reduction rate 2021 to NZ target2]]="","",J196*(1+AN196)^(Table12[[#This Row],[NZ GHG year]]-2021))</f>
        <v/>
      </c>
    </row>
    <row r="197" spans="1:72" ht="15" x14ac:dyDescent="0.25">
      <c r="A197">
        <v>0</v>
      </c>
      <c r="B197">
        <v>0</v>
      </c>
      <c r="C197">
        <v>666</v>
      </c>
      <c r="D197">
        <v>173</v>
      </c>
      <c r="E197">
        <v>2</v>
      </c>
      <c r="F197" t="str">
        <f>'input site'!M197</f>
        <v>excl</v>
      </c>
      <c r="G197" s="31" t="s">
        <v>422</v>
      </c>
      <c r="H197" s="1" t="s">
        <v>423</v>
      </c>
      <c r="I197" s="8">
        <v>0</v>
      </c>
      <c r="J197" s="32">
        <f>'input site'!AS197</f>
        <v>0</v>
      </c>
      <c r="K197" s="32">
        <f>'input site'!BS197</f>
        <v>0</v>
      </c>
      <c r="L197" s="32">
        <f t="shared" si="26"/>
        <v>0</v>
      </c>
      <c r="M197" s="32">
        <f t="shared" si="27"/>
        <v>0</v>
      </c>
      <c r="N197" s="32">
        <f>'input site'!EV197</f>
        <v>0</v>
      </c>
      <c r="O197" s="8"/>
      <c r="P197" s="8"/>
      <c r="Q197" s="32">
        <f t="shared" si="28"/>
        <v>0</v>
      </c>
      <c r="R197" s="32">
        <f>'input site'!EZ197</f>
        <v>0</v>
      </c>
      <c r="S197" s="37">
        <f>'input site'!FA197</f>
        <v>0</v>
      </c>
      <c r="T197" s="37" t="str">
        <f>Table12[[#This Row],[(Mt CO2 equivalent)]]</f>
        <v>St. Pierre and Miquelon</v>
      </c>
      <c r="U197" s="35">
        <v>2100</v>
      </c>
      <c r="V197" s="35">
        <v>2100</v>
      </c>
      <c r="W197" s="32">
        <f>-IF('LUC NGHGI'!EC187="",MIN('LUC NGHGI'!DW187,0.1),MIN('LUC NGHGI'!EC187,0.1))</f>
        <v>0</v>
      </c>
      <c r="X197" s="32" t="str">
        <f>'LUC NGHGI'!EC187</f>
        <v/>
      </c>
      <c r="Y197" s="32" t="str">
        <f>'LUC NGHGI'!DY187</f>
        <v/>
      </c>
      <c r="Z197" s="32" t="str">
        <f>'LUC NGHGI'!DZ187</f>
        <v/>
      </c>
      <c r="AA197" s="32">
        <f>Table12[[#This Row],[2021 emissions]]</f>
        <v>0</v>
      </c>
      <c r="AB197" s="32">
        <f>'LUC NGHGI'!DW187</f>
        <v>0</v>
      </c>
      <c r="AC197" s="32">
        <f>IF(F197="incl",Table12[[#This Row],[GHG emissions incl LULUCF]]-Table12[[#This Row],[LULUCF emis-sions in 20213]],Table12[[#This Row],[GHG emissions incl LULUCF]])</f>
        <v>0</v>
      </c>
      <c r="AD197" s="32">
        <f>'input site'!BS197</f>
        <v>0</v>
      </c>
      <c r="AE197" s="32">
        <f>'LUC NGHGI'!EH187</f>
        <v>0</v>
      </c>
      <c r="AF197" s="32">
        <f>IF(F197="incl",Table12[[#This Row],[Current Policies 2030 incl LULUCF]]-Table12[[#This Row],[LULUCF CurPol 2030]],Table12[[#This Row],[Current Policies 2030 incl LULUCF]])</f>
        <v>0</v>
      </c>
      <c r="AG197" s="32" t="str">
        <f>IF(Table12[[#This Row],[Net-zero target status]]&lt;=1,"",IF(Table12[[#This Row],[NZ GHG year]]="","",1000000000*(Table12[[#This Row],[residual LULUCF emissions in 2050]]-Table12[[#This Row],[GHG emissions excl LULUCF]])/(Table12[[#This Row],[NZ GHG year]]-2021)/Table12[[#This Row],[Population]]))</f>
        <v/>
      </c>
      <c r="AH197" s="32" t="str">
        <f>IF(Table12[[#This Row],[Peak revised]]="Yes",IF(Table12[[#This Row],[Net-zero target status]]&lt;=1,"",IF(Table12[[#This Row],[NZ GHG year]]="","",1000000000*(Table12[[#This Row],[residual LULUCF emissions in 2050]]-Table12[[#This Row],[GHG emissions excl LULUCF]])/(Table12[[#This Row],[NZ GHG year]]-2021)/Table12[[#This Row],[Population]])),"")</f>
        <v/>
      </c>
      <c r="AI197" s="32" t="e">
        <f>MAX(0,(1000000*(Table12[[#This Row],[Current Policies 2030 excl LULUCF]]/2+Table12[[#This Row],[GHG emissions excl LULUCF]]/2)/Table12[[#This Row],[Population]]-$AI$8)*10)*$AI$10</f>
        <v>#DIV/0!</v>
      </c>
      <c r="AJ19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7" s="32" t="str">
        <f>IF(Table12[[#This Row],[Formule no Peak (2)]]="","",Table12[[#This Row],[Penalty (1)]]+Table12[[#This Row],[Formule no Peak (2)]])</f>
        <v/>
      </c>
      <c r="AL197" s="313" t="e">
        <f>(Table12[[#This Row],[Current Policies 2030 excl LULUCF]]-Table12[[#This Row],[GHG emissions excl LULUCF]])/(2030-2021)/Table12[[#This Row],[GHG emissions excl LULUCF]]</f>
        <v>#DIV/0!</v>
      </c>
      <c r="AM197" s="313" t="str">
        <f>IF(Table12[[#This Row],[Net-zero target status]]&lt;=1,"",IF(Table12[[#This Row],[NZ GHG year]]="","",(Table12[[#This Row],[residual LULUCF emissions in 2050]]-Table12[[#This Row],[Current Policies 2030 excl LULUCF]])/(Table12[[#This Row],[NZ GHG year]]-2030)/Table12[[#This Row],[Current Policies 2030 excl LULUCF]]))</f>
        <v/>
      </c>
      <c r="AN197" s="313" t="str">
        <f>IF(Table12[[#This Row],[Net-zero target status]]&lt;=1,"",IF(Table12[[#This Row],[NZ GHG year]]="","",(Table12[[#This Row],[residual LULUCF emissions in 2050]]-Table12[[#This Row],[GHG emissions excl LULUCF]])/(Table12[[#This Row],[NZ GHG year]]-2021)/Table12[[#This Row],[GHG emissions excl LULUCF]]))</f>
        <v/>
      </c>
      <c r="AO197" s="313" t="str">
        <f>IF(Table12[[#This Row],[Net-zero target status]]&lt;=1,"",IF(Table12[[#This Row],[NZ GHG year]]="","",(Table12[[#This Row],[residual LULUCF emissions in 2050]]-Table12[[#This Row],[2030 conditional NDCs]])/(Table12[[#This Row],[NZ GHG year]]-2030)/Table12[[#This Row],[2030 conditional NDCs]]))</f>
        <v/>
      </c>
      <c r="AP197" s="96">
        <f>MAX('input site'!AH197:AS197)</f>
        <v>0</v>
      </c>
      <c r="AQ197" s="95" t="str">
        <f>IF(Table12[[#This Row],[Current Policies 2030 incl LULUCF]]&gt;Table12[[#This Row],[Maximum inventory data]],"No","Yes")</f>
        <v>Yes</v>
      </c>
      <c r="AR197" s="34" t="str">
        <f>IF(Table12[[#This Row],[Net-zero target status]]&gt;=1.5,Table12[[#This Row],[residual LULUCF emissions in 2050]]/Table12[[#This Row],[GHG emissions excl LULUCF]],"")</f>
        <v/>
      </c>
      <c r="AS197" s="74" t="str">
        <f>'input site'!BE197</f>
        <v/>
      </c>
      <c r="AT197" s="74"/>
      <c r="AU197" s="74" t="str">
        <f>'input site'!BG197</f>
        <v/>
      </c>
      <c r="AV197" s="75"/>
      <c r="AW197" s="74" t="str">
        <f>IF(Table12[[#This Row],[2030 unconditional NDCs]]="","",IF(F197="incl",Table12[[#This Row],[2030 unconditional NDCs]]-Table12[[#This Row],[LULUCF NDC uncond]],Table12[[#This Row],[2030 unconditional NDCs]]))</f>
        <v/>
      </c>
      <c r="AX197" s="74" t="str">
        <f>IF(Table12[[#This Row],[2030 unconditional NDCs2]]="","",IF(F197="incl",Table12[[#This Row],[2030 unconditional NDCs2]]-Table12[[#This Row],[LULUCF NDC uncond]],Table12[[#This Row],[2030 unconditional NDCs2]]))</f>
        <v/>
      </c>
      <c r="AY197" s="74" t="str">
        <f>IF(Table12[[#This Row],[2030 conditional NDCs]]="","",IF(F197="incl",Table12[[#This Row],[2030 conditional NDCs]]-Table12[[#This Row],[LULUCF NDC cond]],Table12[[#This Row],[2030 conditional NDCs]]))</f>
        <v/>
      </c>
      <c r="AZ197" s="74" t="str">
        <f>IF(Table12[[#This Row],[2030 conditional NDCs2]]="","",IF(F197="incl",Table12[[#This Row],[2030 conditional NDCs2]]-Table12[[#This Row],[LULUCF NDC cond]],Table12[[#This Row],[2030 conditional NDCs2]]))</f>
        <v/>
      </c>
      <c r="BA197" s="36"/>
      <c r="BB197" s="36"/>
      <c r="BC197" s="36"/>
      <c r="BD197" s="36" t="e">
        <f>Table12[[#This Row],[GHG emissions excl LULUCF]]*1000000/Table12[[#This Row],[Population]]</f>
        <v>#DIV/0!</v>
      </c>
      <c r="BE197" s="23" t="e">
        <f>VLOOKUP($G197,EGR2023_MASTER!$B$4:$S$38,14,FALSE)</f>
        <v>#N/A</v>
      </c>
      <c r="BF197" s="23" t="e">
        <f>VLOOKUP($G197,EGR2023_MASTER!$B$4:$S$38,15,FALSE)</f>
        <v>#N/A</v>
      </c>
      <c r="BG197" s="23" t="e">
        <f>VLOOKUP($G197,EGR2023_MASTER!$B$4:$S$38,16,FALSE)</f>
        <v>#N/A</v>
      </c>
      <c r="BH197" s="23" t="e">
        <f t="shared" si="24"/>
        <v>#N/A</v>
      </c>
      <c r="BI197" s="23" t="e">
        <f t="shared" si="25"/>
        <v>#N/A</v>
      </c>
      <c r="BJ197" s="552" t="e">
        <f>(Table12[[#This Row],[Current Policies 2030 excl LULUCF]]/Table12[[#This Row],[GHG emissions excl LULUCF]])^(1/(2030-2021))-1</f>
        <v>#DIV/0!</v>
      </c>
      <c r="BK197" s="552" t="str">
        <f>IF(Table12[[#This Row],[Net-zero target status]]&lt;=1,"",IF(Table12[[#This Row],[NZ GHG year]]="","",((MAX(Table12[[#This Row],[residual LULUCF emissions in 2050]],0.1)/Table12[[#This Row],[Current Policies 2030 excl LULUCF]])^(1/(Table12[[#This Row],[NZ GHG year]]-2021))-1)))</f>
        <v/>
      </c>
      <c r="BL197" s="552" t="str">
        <f>IF(Table12[[#This Row],[Net-zero target status]]&lt;=1,"",IF(Table12[[#This Row],[NZ GHG year]]="","",((MAX(Table12[[#This Row],[residual LULUCF emissions in 2050]],0.1)/Table12[[#This Row],[GHG emissions excl LULUCF]])^(1/(Table12[[#This Row],[NZ GHG year]]-2021))-1)))</f>
        <v/>
      </c>
      <c r="BM197" s="552" t="str">
        <f>IF(Table12[[#This Row],[Net-zero target status]]&lt;=1,"",IF(Table12[[#This Row],[NZ GHG year]]="","",((MAX(Table12[[#This Row],[residual LULUCF emissions in 2050]],0.1)/AVERAGE(Table12[[#This Row],[2030 conditional NDCs]:[2030 conditional NDCs2]]))^(1/(Table12[[#This Row],[NZ GHG year]]-2021))-1)))</f>
        <v/>
      </c>
      <c r="BN197" s="23"/>
      <c r="BO197" s="23"/>
      <c r="BP197" s="23"/>
      <c r="BQ197" s="23"/>
      <c r="BR197" s="50" t="s">
        <v>423</v>
      </c>
      <c r="BT197" s="30" t="str">
        <f>IF(Table12[[#This Row],[Reduction rate 2021 to NZ target2]]="","",J197*(1+AN197)^(Table12[[#This Row],[NZ GHG year]]-2021))</f>
        <v/>
      </c>
    </row>
    <row r="198" spans="1:72" ht="15" x14ac:dyDescent="0.25">
      <c r="A198">
        <v>0</v>
      </c>
      <c r="B198">
        <v>0</v>
      </c>
      <c r="C198">
        <v>670</v>
      </c>
      <c r="D198">
        <v>174</v>
      </c>
      <c r="E198">
        <v>4</v>
      </c>
      <c r="F198" t="str">
        <f>'input site'!M198</f>
        <v>excl</v>
      </c>
      <c r="G198" s="31" t="s">
        <v>424</v>
      </c>
      <c r="H198" s="1" t="s">
        <v>425</v>
      </c>
      <c r="I198" s="8">
        <f>VLOOKUP($G198,'NZT data'!$B$3:$C$200,2,FALSE)</f>
        <v>1</v>
      </c>
      <c r="J198" s="32">
        <f>'input site'!AS198</f>
        <v>0.35376380000000002</v>
      </c>
      <c r="K198" s="32">
        <f>'input site'!BS198</f>
        <v>0.43621524191668326</v>
      </c>
      <c r="L198" s="32">
        <f t="shared" si="26"/>
        <v>0</v>
      </c>
      <c r="M198" s="32">
        <f t="shared" si="27"/>
        <v>0</v>
      </c>
      <c r="N198" s="32">
        <f>'input site'!EV198</f>
        <v>0.19421706254550331</v>
      </c>
      <c r="O198" s="8">
        <v>0</v>
      </c>
      <c r="P198" s="36">
        <f>O198-N198</f>
        <v>-0.19421706254550331</v>
      </c>
      <c r="Q198" s="32">
        <f t="shared" si="28"/>
        <v>0</v>
      </c>
      <c r="R198" s="32">
        <f>'input site'!EZ198</f>
        <v>3.9499944452203999E-2</v>
      </c>
      <c r="S198" s="37">
        <f>'input site'!FA198</f>
        <v>2050</v>
      </c>
      <c r="T198" s="37" t="str">
        <f>Table12[[#This Row],[(Mt CO2 equivalent)]]</f>
        <v>St. Vincent and the Grenadines</v>
      </c>
      <c r="U198" s="8">
        <f>VLOOKUP($G198,'NZT data'!$B$3:$F$200,4,FALSE)</f>
        <v>2110</v>
      </c>
      <c r="V198" s="32">
        <f>VLOOKUP($G198,'NZT data'!$B$3:$F$200,5,FALSE)</f>
        <v>2110</v>
      </c>
      <c r="W198" s="32">
        <f>-IF('LUC NGHGI'!EC188="",MIN('LUC NGHGI'!DW188,0.1),MIN('LUC NGHGI'!EC188,0.1))</f>
        <v>-0.1</v>
      </c>
      <c r="X198" s="32">
        <f>'LUC NGHGI'!EC188</f>
        <v>0.1288754428571437</v>
      </c>
      <c r="Y198" s="32">
        <f>'LUC NGHGI'!DY188</f>
        <v>0.1288754428571437</v>
      </c>
      <c r="Z198" s="32">
        <f>'LUC NGHGI'!DZ188</f>
        <v>0.1288754428571437</v>
      </c>
      <c r="AA198" s="32">
        <f>Table12[[#This Row],[2021 emissions]]</f>
        <v>0.35376380000000002</v>
      </c>
      <c r="AB198" s="32">
        <f>'LUC NGHGI'!DW188</f>
        <v>0.13846001428571597</v>
      </c>
      <c r="AC198" s="32">
        <f>IF(F198="incl",Table12[[#This Row],[GHG emissions incl LULUCF]]-Table12[[#This Row],[LULUCF emis-sions in 20213]],Table12[[#This Row],[GHG emissions incl LULUCF]])</f>
        <v>0.35376380000000002</v>
      </c>
      <c r="AD198" s="32">
        <f>'input site'!BS198</f>
        <v>0.43621524191668326</v>
      </c>
      <c r="AE198" s="32">
        <f>'LUC NGHGI'!EH188</f>
        <v>7.662310085560399E-2</v>
      </c>
      <c r="AF198" s="32">
        <f>IF(F198="incl",Table12[[#This Row],[Current Policies 2030 incl LULUCF]]-Table12[[#This Row],[LULUCF CurPol 2030]],Table12[[#This Row],[Current Policies 2030 incl LULUCF]])</f>
        <v>0.43621524191668326</v>
      </c>
      <c r="AG198" s="32" t="str">
        <f>IF(Table12[[#This Row],[Net-zero target status]]&lt;=1,"",IF(Table12[[#This Row],[NZ GHG year]]="","",1000000000*(Table12[[#This Row],[residual LULUCF emissions in 2050]]-Table12[[#This Row],[GHG emissions excl LULUCF]])/(Table12[[#This Row],[NZ GHG year]]-2021)/Table12[[#This Row],[Population]]))</f>
        <v/>
      </c>
      <c r="AH198" s="32" t="str">
        <f>IF(Table12[[#This Row],[Peak revised]]="Yes",IF(Table12[[#This Row],[Net-zero target status]]&lt;=1,"",IF(Table12[[#This Row],[NZ GHG year]]="","",1000000000*(Table12[[#This Row],[residual LULUCF emissions in 2050]]-Table12[[#This Row],[GHG emissions excl LULUCF]])/(Table12[[#This Row],[NZ GHG year]]-2021)/Table12[[#This Row],[Population]])),"")</f>
        <v/>
      </c>
      <c r="AI198" s="32" t="e">
        <f>MAX(0,(1000000*(Table12[[#This Row],[Current Policies 2030 excl LULUCF]]/2+Table12[[#This Row],[GHG emissions excl LULUCF]]/2)/Table12[[#This Row],[Population]]-$AI$8)*10)*$AI$10</f>
        <v>#DIV/0!</v>
      </c>
      <c r="AJ19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8" s="32" t="str">
        <f>IF(Table12[[#This Row],[Formule no Peak (2)]]="","",Table12[[#This Row],[Penalty (1)]]+Table12[[#This Row],[Formule no Peak (2)]])</f>
        <v/>
      </c>
      <c r="AL198" s="313">
        <f>(Table12[[#This Row],[Current Policies 2030 excl LULUCF]]-Table12[[#This Row],[GHG emissions excl LULUCF]])/(2030-2021)/Table12[[#This Row],[GHG emissions excl LULUCF]]</f>
        <v>2.5896576540832938E-2</v>
      </c>
      <c r="AM198" s="313" t="str">
        <f>IF(Table12[[#This Row],[Net-zero target status]]&lt;=1,"",IF(Table12[[#This Row],[NZ GHG year]]="","",(Table12[[#This Row],[residual LULUCF emissions in 2050]]-Table12[[#This Row],[Current Policies 2030 excl LULUCF]])/(Table12[[#This Row],[NZ GHG year]]-2030)/Table12[[#This Row],[Current Policies 2030 excl LULUCF]]))</f>
        <v/>
      </c>
      <c r="AN198" s="313" t="str">
        <f>IF(Table12[[#This Row],[Net-zero target status]]&lt;=1,"",IF(Table12[[#This Row],[NZ GHG year]]="","",(Table12[[#This Row],[residual LULUCF emissions in 2050]]-Table12[[#This Row],[GHG emissions excl LULUCF]])/(Table12[[#This Row],[NZ GHG year]]-2021)/Table12[[#This Row],[GHG emissions excl LULUCF]]))</f>
        <v/>
      </c>
      <c r="AO198" s="313" t="str">
        <f>IF(Table12[[#This Row],[Net-zero target status]]&lt;=1,"",IF(Table12[[#This Row],[NZ GHG year]]="","",(Table12[[#This Row],[residual LULUCF emissions in 2050]]-Table12[[#This Row],[2030 conditional NDCs]])/(Table12[[#This Row],[NZ GHG year]]-2030)/Table12[[#This Row],[2030 conditional NDCs]]))</f>
        <v/>
      </c>
      <c r="AP198" s="96">
        <f>MAX('input site'!AH198:AS198)</f>
        <v>0.38069932000000001</v>
      </c>
      <c r="AQ198" s="95" t="str">
        <f>IF(Table12[[#This Row],[Current Policies 2030 incl LULUCF]]&gt;Table12[[#This Row],[Maximum inventory data]],"No","Yes")</f>
        <v>No</v>
      </c>
      <c r="AR198" s="34" t="str">
        <f>IF(Table12[[#This Row],[Net-zero target status]]&gt;=1.5,Table12[[#This Row],[residual LULUCF emissions in 2050]]/Table12[[#This Row],[GHG emissions excl LULUCF]],"")</f>
        <v/>
      </c>
      <c r="AS198" s="74" t="str">
        <f>'input site'!BE198</f>
        <v/>
      </c>
      <c r="AT198" s="74"/>
      <c r="AU198" s="74" t="str">
        <f>'input site'!BG198</f>
        <v/>
      </c>
      <c r="AV198" s="75"/>
      <c r="AW198" s="74" t="str">
        <f>IF(Table12[[#This Row],[2030 unconditional NDCs]]="","",IF(F198="incl",Table12[[#This Row],[2030 unconditional NDCs]]-Table12[[#This Row],[LULUCF NDC uncond]],Table12[[#This Row],[2030 unconditional NDCs]]))</f>
        <v/>
      </c>
      <c r="AX198" s="74" t="str">
        <f>IF(Table12[[#This Row],[2030 unconditional NDCs2]]="","",IF(F198="incl",Table12[[#This Row],[2030 unconditional NDCs2]]-Table12[[#This Row],[LULUCF NDC uncond]],Table12[[#This Row],[2030 unconditional NDCs2]]))</f>
        <v/>
      </c>
      <c r="AY198" s="74" t="str">
        <f>IF(Table12[[#This Row],[2030 conditional NDCs]]="","",IF(F198="incl",Table12[[#This Row],[2030 conditional NDCs]]-Table12[[#This Row],[LULUCF NDC cond]],Table12[[#This Row],[2030 conditional NDCs]]))</f>
        <v/>
      </c>
      <c r="AZ198" s="74" t="str">
        <f>IF(Table12[[#This Row],[2030 conditional NDCs2]]="","",IF(F198="incl",Table12[[#This Row],[2030 conditional NDCs2]]-Table12[[#This Row],[LULUCF NDC cond]],Table12[[#This Row],[2030 conditional NDCs2]]))</f>
        <v/>
      </c>
      <c r="BA198" s="36"/>
      <c r="BB198" s="36"/>
      <c r="BC198" s="36"/>
      <c r="BD198" s="36" t="e">
        <f>Table12[[#This Row],[GHG emissions excl LULUCF]]*1000000/Table12[[#This Row],[Population]]</f>
        <v>#DIV/0!</v>
      </c>
      <c r="BE198" s="23" t="e">
        <f>VLOOKUP($G198,EGR2023_MASTER!$B$4:$S$38,14,FALSE)</f>
        <v>#N/A</v>
      </c>
      <c r="BF198" s="23" t="e">
        <f>VLOOKUP($G198,EGR2023_MASTER!$B$4:$S$38,15,FALSE)</f>
        <v>#N/A</v>
      </c>
      <c r="BG198" s="23" t="e">
        <f>VLOOKUP($G198,EGR2023_MASTER!$B$4:$S$38,16,FALSE)</f>
        <v>#N/A</v>
      </c>
      <c r="BH198" s="23" t="e">
        <f t="shared" si="24"/>
        <v>#N/A</v>
      </c>
      <c r="BI198" s="23" t="e">
        <f t="shared" si="25"/>
        <v>#N/A</v>
      </c>
      <c r="BJ198" s="552">
        <f>(Table12[[#This Row],[Current Policies 2030 excl LULUCF]]/Table12[[#This Row],[GHG emissions excl LULUCF]])^(1/(2030-2021))-1</f>
        <v>2.3551540411518301E-2</v>
      </c>
      <c r="BK198" s="552" t="str">
        <f>IF(Table12[[#This Row],[Net-zero target status]]&lt;=1,"",IF(Table12[[#This Row],[NZ GHG year]]="","",((MAX(Table12[[#This Row],[residual LULUCF emissions in 2050]],0.1)/Table12[[#This Row],[Current Policies 2030 excl LULUCF]])^(1/(Table12[[#This Row],[NZ GHG year]]-2021))-1)))</f>
        <v/>
      </c>
      <c r="BL198" s="552" t="str">
        <f>IF(Table12[[#This Row],[Net-zero target status]]&lt;=1,"",IF(Table12[[#This Row],[NZ GHG year]]="","",((MAX(Table12[[#This Row],[residual LULUCF emissions in 2050]],0.1)/Table12[[#This Row],[GHG emissions excl LULUCF]])^(1/(Table12[[#This Row],[NZ GHG year]]-2021))-1)))</f>
        <v/>
      </c>
      <c r="BM198" s="552" t="str">
        <f>IF(Table12[[#This Row],[Net-zero target status]]&lt;=1,"",IF(Table12[[#This Row],[NZ GHG year]]="","",((MAX(Table12[[#This Row],[residual LULUCF emissions in 2050]],0.1)/AVERAGE(Table12[[#This Row],[2030 conditional NDCs]:[2030 conditional NDCs2]]))^(1/(Table12[[#This Row],[NZ GHG year]]-2021))-1)))</f>
        <v/>
      </c>
      <c r="BN198" s="23"/>
      <c r="BO198" s="23"/>
      <c r="BP198" s="23"/>
      <c r="BQ198" s="23"/>
      <c r="BR198" s="50" t="s">
        <v>425</v>
      </c>
      <c r="BT198" s="30" t="str">
        <f>IF(Table12[[#This Row],[Reduction rate 2021 to NZ target2]]="","",J198*(1+AN198)^(Table12[[#This Row],[NZ GHG year]]-2021))</f>
        <v/>
      </c>
    </row>
    <row r="199" spans="1:72" ht="15" x14ac:dyDescent="0.25">
      <c r="A199">
        <v>0</v>
      </c>
      <c r="B199">
        <v>0</v>
      </c>
      <c r="C199">
        <v>736</v>
      </c>
      <c r="D199">
        <v>190</v>
      </c>
      <c r="E199">
        <v>9</v>
      </c>
      <c r="F199" t="str">
        <f>'input site'!M199</f>
        <v>excl</v>
      </c>
      <c r="G199" s="31" t="s">
        <v>426</v>
      </c>
      <c r="H199" s="1" t="s">
        <v>427</v>
      </c>
      <c r="I199" s="8">
        <f>VLOOKUP($G199,'NZT data'!$B$3:$C$200,2,FALSE)</f>
        <v>1</v>
      </c>
      <c r="J199" s="32">
        <f>'input site'!AS199</f>
        <v>117.68113000000001</v>
      </c>
      <c r="K199" s="32">
        <f>'input site'!BS199</f>
        <v>185.2178789304908</v>
      </c>
      <c r="L199" s="32">
        <f t="shared" si="26"/>
        <v>0</v>
      </c>
      <c r="M199" s="32">
        <f t="shared" si="27"/>
        <v>0</v>
      </c>
      <c r="N199" s="32">
        <f>'input site'!EV199</f>
        <v>136.28730181868943</v>
      </c>
      <c r="O199" s="8"/>
      <c r="P199" s="36"/>
      <c r="Q199" s="32">
        <f t="shared" si="28"/>
        <v>0</v>
      </c>
      <c r="R199" s="32">
        <f>'input site'!EZ199</f>
        <v>124.52204264680091</v>
      </c>
      <c r="S199" s="37">
        <f>'input site'!FA199</f>
        <v>2050</v>
      </c>
      <c r="T199" s="37" t="str">
        <f>Table12[[#This Row],[(Mt CO2 equivalent)]]</f>
        <v>Sudan</v>
      </c>
      <c r="U199" s="8">
        <f>VLOOKUP($G199,'NZT data'!$B$3:$F$200,4,FALSE)</f>
        <v>2110</v>
      </c>
      <c r="V199" s="32">
        <f>VLOOKUP($G199,'NZT data'!$B$3:$F$200,5,FALSE)</f>
        <v>2110</v>
      </c>
      <c r="W199" s="32">
        <f>-IF('LUC NGHGI'!EC189="",MIN('LUC NGHGI'!DW189,0.1),MIN('LUC NGHGI'!EC189,0.1))</f>
        <v>5.5010454545449647</v>
      </c>
      <c r="X199" s="32">
        <f>'LUC NGHGI'!EC189</f>
        <v>-5.5010454545449647</v>
      </c>
      <c r="Y199" s="32">
        <f>'LUC NGHGI'!DY189</f>
        <v>-5.5010454545449647</v>
      </c>
      <c r="Z199" s="32">
        <f>'LUC NGHGI'!DZ189</f>
        <v>-5.5010454545449647</v>
      </c>
      <c r="AA199" s="32">
        <f>Table12[[#This Row],[2021 emissions]]</f>
        <v>117.68113000000001</v>
      </c>
      <c r="AB199" s="32">
        <f>'LUC NGHGI'!DW189</f>
        <v>-6.3405454545450084</v>
      </c>
      <c r="AC199" s="32">
        <f>IF(F199="incl",Table12[[#This Row],[GHG emissions incl LULUCF]]-Table12[[#This Row],[LULUCF emis-sions in 20213]],Table12[[#This Row],[GHG emissions incl LULUCF]])</f>
        <v>117.68113000000001</v>
      </c>
      <c r="AD199" s="32">
        <f>'input site'!BS199</f>
        <v>185.2178789304908</v>
      </c>
      <c r="AE199" s="32">
        <f>'LUC NGHGI'!EH189</f>
        <v>-7.1386879990976935</v>
      </c>
      <c r="AF199" s="32">
        <f>IF(F199="incl",Table12[[#This Row],[Current Policies 2030 incl LULUCF]]-Table12[[#This Row],[LULUCF CurPol 2030]],Table12[[#This Row],[Current Policies 2030 incl LULUCF]])</f>
        <v>185.2178789304908</v>
      </c>
      <c r="AG199" s="32" t="str">
        <f>IF(Table12[[#This Row],[Net-zero target status]]&lt;=1,"",IF(Table12[[#This Row],[NZ GHG year]]="","",1000000000*(Table12[[#This Row],[residual LULUCF emissions in 2050]]-Table12[[#This Row],[GHG emissions excl LULUCF]])/(Table12[[#This Row],[NZ GHG year]]-2021)/Table12[[#This Row],[Population]]))</f>
        <v/>
      </c>
      <c r="AH199" s="32" t="str">
        <f>IF(Table12[[#This Row],[Peak revised]]="Yes",IF(Table12[[#This Row],[Net-zero target status]]&lt;=1,"",IF(Table12[[#This Row],[NZ GHG year]]="","",1000000000*(Table12[[#This Row],[residual LULUCF emissions in 2050]]-Table12[[#This Row],[GHG emissions excl LULUCF]])/(Table12[[#This Row],[NZ GHG year]]-2021)/Table12[[#This Row],[Population]])),"")</f>
        <v/>
      </c>
      <c r="AI199" s="32" t="e">
        <f>MAX(0,(1000000*(Table12[[#This Row],[Current Policies 2030 excl LULUCF]]/2+Table12[[#This Row],[GHG emissions excl LULUCF]]/2)/Table12[[#This Row],[Population]]-$AI$8)*10)*$AI$10</f>
        <v>#DIV/0!</v>
      </c>
      <c r="AJ19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199" s="32" t="str">
        <f>IF(Table12[[#This Row],[Formule no Peak (2)]]="","",Table12[[#This Row],[Penalty (1)]]+Table12[[#This Row],[Formule no Peak (2)]])</f>
        <v/>
      </c>
      <c r="AL199" s="313">
        <f>(Table12[[#This Row],[Current Policies 2030 excl LULUCF]]-Table12[[#This Row],[GHG emissions excl LULUCF]])/(2030-2021)/Table12[[#This Row],[GHG emissions excl LULUCF]]</f>
        <v>6.3766240301218857E-2</v>
      </c>
      <c r="AM199" s="313" t="str">
        <f>IF(Table12[[#This Row],[Net-zero target status]]&lt;=1,"",IF(Table12[[#This Row],[NZ GHG year]]="","",(Table12[[#This Row],[residual LULUCF emissions in 2050]]-Table12[[#This Row],[Current Policies 2030 excl LULUCF]])/(Table12[[#This Row],[NZ GHG year]]-2030)/Table12[[#This Row],[Current Policies 2030 excl LULUCF]]))</f>
        <v/>
      </c>
      <c r="AN199" s="313" t="str">
        <f>IF(Table12[[#This Row],[Net-zero target status]]&lt;=1,"",IF(Table12[[#This Row],[NZ GHG year]]="","",(Table12[[#This Row],[residual LULUCF emissions in 2050]]-Table12[[#This Row],[GHG emissions excl LULUCF]])/(Table12[[#This Row],[NZ GHG year]]-2021)/Table12[[#This Row],[GHG emissions excl LULUCF]]))</f>
        <v/>
      </c>
      <c r="AO199" s="313" t="str">
        <f>IF(Table12[[#This Row],[Net-zero target status]]&lt;=1,"",IF(Table12[[#This Row],[NZ GHG year]]="","",(Table12[[#This Row],[residual LULUCF emissions in 2050]]-Table12[[#This Row],[2030 conditional NDCs]])/(Table12[[#This Row],[NZ GHG year]]-2030)/Table12[[#This Row],[2030 conditional NDCs]]))</f>
        <v/>
      </c>
      <c r="AP199" s="96">
        <f>MAX('input site'!AH199:AS199)</f>
        <v>117.68113000000001</v>
      </c>
      <c r="AQ199" s="95" t="str">
        <f>IF(Table12[[#This Row],[Current Policies 2030 incl LULUCF]]&gt;Table12[[#This Row],[Maximum inventory data]],"No","Yes")</f>
        <v>No</v>
      </c>
      <c r="AR199" s="34" t="str">
        <f>IF(Table12[[#This Row],[Net-zero target status]]&gt;=1.5,Table12[[#This Row],[residual LULUCF emissions in 2050]]/Table12[[#This Row],[GHG emissions excl LULUCF]],"")</f>
        <v/>
      </c>
      <c r="AS199" s="74" t="str">
        <f>'input site'!BE199</f>
        <v/>
      </c>
      <c r="AT199" s="74"/>
      <c r="AU199" s="74" t="str">
        <f>'input site'!BG199</f>
        <v/>
      </c>
      <c r="AV199" s="75"/>
      <c r="AW199" s="74" t="str">
        <f>IF(Table12[[#This Row],[2030 unconditional NDCs]]="","",IF(F199="incl",Table12[[#This Row],[2030 unconditional NDCs]]-Table12[[#This Row],[LULUCF NDC uncond]],Table12[[#This Row],[2030 unconditional NDCs]]))</f>
        <v/>
      </c>
      <c r="AX199" s="74" t="str">
        <f>IF(Table12[[#This Row],[2030 unconditional NDCs2]]="","",IF(F199="incl",Table12[[#This Row],[2030 unconditional NDCs2]]-Table12[[#This Row],[LULUCF NDC uncond]],Table12[[#This Row],[2030 unconditional NDCs2]]))</f>
        <v/>
      </c>
      <c r="AY199" s="74" t="str">
        <f>IF(Table12[[#This Row],[2030 conditional NDCs]]="","",IF(F199="incl",Table12[[#This Row],[2030 conditional NDCs]]-Table12[[#This Row],[LULUCF NDC cond]],Table12[[#This Row],[2030 conditional NDCs]]))</f>
        <v/>
      </c>
      <c r="AZ199" s="74" t="str">
        <f>IF(Table12[[#This Row],[2030 conditional NDCs2]]="","",IF(F199="incl",Table12[[#This Row],[2030 conditional NDCs2]]-Table12[[#This Row],[LULUCF NDC cond]],Table12[[#This Row],[2030 conditional NDCs2]]))</f>
        <v/>
      </c>
      <c r="BA199" s="36"/>
      <c r="BB199" s="36"/>
      <c r="BC199" s="36"/>
      <c r="BD199" s="36" t="e">
        <f>Table12[[#This Row],[GHG emissions excl LULUCF]]*1000000/Table12[[#This Row],[Population]]</f>
        <v>#DIV/0!</v>
      </c>
      <c r="BE199" s="23" t="e">
        <f>VLOOKUP($G199,EGR2023_MASTER!$B$4:$S$38,14,FALSE)</f>
        <v>#N/A</v>
      </c>
      <c r="BF199" s="23" t="e">
        <f>VLOOKUP($G199,EGR2023_MASTER!$B$4:$S$38,15,FALSE)</f>
        <v>#N/A</v>
      </c>
      <c r="BG199" s="23" t="e">
        <f>VLOOKUP($G199,EGR2023_MASTER!$B$4:$S$38,16,FALSE)</f>
        <v>#N/A</v>
      </c>
      <c r="BH199" s="23" t="e">
        <f t="shared" si="24"/>
        <v>#N/A</v>
      </c>
      <c r="BI199" s="23" t="e">
        <f t="shared" si="25"/>
        <v>#N/A</v>
      </c>
      <c r="BJ199" s="552">
        <f>(Table12[[#This Row],[Current Policies 2030 excl LULUCF]]/Table12[[#This Row],[GHG emissions excl LULUCF]])^(1/(2030-2021))-1</f>
        <v>5.1686334369222875E-2</v>
      </c>
      <c r="BK199" s="552" t="str">
        <f>IF(Table12[[#This Row],[Net-zero target status]]&lt;=1,"",IF(Table12[[#This Row],[NZ GHG year]]="","",((MAX(Table12[[#This Row],[residual LULUCF emissions in 2050]],0.1)/Table12[[#This Row],[Current Policies 2030 excl LULUCF]])^(1/(Table12[[#This Row],[NZ GHG year]]-2021))-1)))</f>
        <v/>
      </c>
      <c r="BL199" s="552" t="str">
        <f>IF(Table12[[#This Row],[Net-zero target status]]&lt;=1,"",IF(Table12[[#This Row],[NZ GHG year]]="","",((MAX(Table12[[#This Row],[residual LULUCF emissions in 2050]],0.1)/Table12[[#This Row],[GHG emissions excl LULUCF]])^(1/(Table12[[#This Row],[NZ GHG year]]-2021))-1)))</f>
        <v/>
      </c>
      <c r="BM199" s="552" t="str">
        <f>IF(Table12[[#This Row],[Net-zero target status]]&lt;=1,"",IF(Table12[[#This Row],[NZ GHG year]]="","",((MAX(Table12[[#This Row],[residual LULUCF emissions in 2050]],0.1)/AVERAGE(Table12[[#This Row],[2030 conditional NDCs]:[2030 conditional NDCs2]]))^(1/(Table12[[#This Row],[NZ GHG year]]-2021))-1)))</f>
        <v/>
      </c>
      <c r="BN199" s="23"/>
      <c r="BO199" s="23"/>
      <c r="BP199" s="23"/>
      <c r="BQ199" s="23"/>
      <c r="BR199" s="50" t="s">
        <v>427</v>
      </c>
      <c r="BT199" s="30" t="str">
        <f>IF(Table12[[#This Row],[Reduction rate 2021 to NZ target2]]="","",J199*(1+AN199)^(Table12[[#This Row],[NZ GHG year]]-2021))</f>
        <v/>
      </c>
    </row>
    <row r="200" spans="1:72" ht="15" x14ac:dyDescent="0.25">
      <c r="A200">
        <v>0</v>
      </c>
      <c r="B200">
        <v>0</v>
      </c>
      <c r="C200">
        <v>740</v>
      </c>
      <c r="D200">
        <v>191</v>
      </c>
      <c r="E200">
        <v>6</v>
      </c>
      <c r="F200" t="str">
        <f>'input site'!M200</f>
        <v>excl</v>
      </c>
      <c r="G200" s="31" t="s">
        <v>428</v>
      </c>
      <c r="H200" s="1" t="s">
        <v>429</v>
      </c>
      <c r="I200" s="8">
        <f>VLOOKUP($G200,'NZT data'!$B$3:$C$200,2,FALSE)</f>
        <v>5</v>
      </c>
      <c r="J200" s="32">
        <f>'input site'!AS200</f>
        <v>4.2932157000000002</v>
      </c>
      <c r="K200" s="32">
        <f>'input site'!BS200</f>
        <v>4.771681583649241</v>
      </c>
      <c r="L200" s="32">
        <f t="shared" si="26"/>
        <v>0</v>
      </c>
      <c r="M200" s="32">
        <f t="shared" si="27"/>
        <v>0</v>
      </c>
      <c r="N200" s="32">
        <f>'input site'!EV200</f>
        <v>2.6273825929291204</v>
      </c>
      <c r="O200" s="8">
        <v>0</v>
      </c>
      <c r="P200" s="36">
        <f>O200-N200</f>
        <v>-2.6273825929291204</v>
      </c>
      <c r="Q200" s="32">
        <f t="shared" si="28"/>
        <v>0</v>
      </c>
      <c r="R200" s="32">
        <f>'input site'!EZ200</f>
        <v>1.5544285739063688</v>
      </c>
      <c r="S200" s="37">
        <f>'input site'!FA200</f>
        <v>0</v>
      </c>
      <c r="T200" s="37" t="str">
        <f>Table12[[#This Row],[(Mt CO2 equivalent)]]</f>
        <v>Suriname</v>
      </c>
      <c r="U200" s="8">
        <f>VLOOKUP($G200,'NZT data'!$B$3:$F$200,4,FALSE)</f>
        <v>2050</v>
      </c>
      <c r="V200" s="32">
        <f>VLOOKUP($G200,'NZT data'!$B$3:$F$200,5,FALSE)</f>
        <v>2065</v>
      </c>
      <c r="W200" s="32">
        <f>-IF('LUC NGHGI'!EC190="",MIN('LUC NGHGI'!DW190,0.1),MIN('LUC NGHGI'!EC190,0.1))</f>
        <v>16.940325697865319</v>
      </c>
      <c r="X200" s="32">
        <f>'LUC NGHGI'!EC190</f>
        <v>-16.940325697865319</v>
      </c>
      <c r="Y200" s="32">
        <f>'LUC NGHGI'!DY190</f>
        <v>7</v>
      </c>
      <c r="Z200" s="32">
        <f>'LUC NGHGI'!DZ190</f>
        <v>-16.940325697865319</v>
      </c>
      <c r="AA200" s="32">
        <f>Table12[[#This Row],[2021 emissions]]</f>
        <v>4.2932157000000002</v>
      </c>
      <c r="AB200" s="32">
        <f>'LUC NGHGI'!DW190</f>
        <v>-17.411000848385356</v>
      </c>
      <c r="AC200" s="32">
        <f>IF(F200="incl",Table12[[#This Row],[GHG emissions incl LULUCF]]-Table12[[#This Row],[LULUCF emis-sions in 20213]],Table12[[#This Row],[GHG emissions incl LULUCF]])</f>
        <v>4.2932157000000002</v>
      </c>
      <c r="AD200" s="32">
        <f>'input site'!BS200</f>
        <v>4.771681583649241</v>
      </c>
      <c r="AE200" s="32">
        <f>'LUC NGHGI'!EH190</f>
        <v>-21.320523207909865</v>
      </c>
      <c r="AF200" s="32">
        <f>IF(F200="incl",Table12[[#This Row],[Current Policies 2030 incl LULUCF]]-Table12[[#This Row],[LULUCF CurPol 2030]],Table12[[#This Row],[Current Policies 2030 incl LULUCF]])</f>
        <v>4.771681583649241</v>
      </c>
      <c r="AG200" s="32"/>
      <c r="AH200" s="32" t="str">
        <f>IF(Table12[[#This Row],[Peak revised]]="Yes",IF(Table12[[#This Row],[Net-zero target status]]&lt;=1,"",IF(Table12[[#This Row],[NZ GHG year]]="","",1000000000*(Table12[[#This Row],[residual LULUCF emissions in 2050]]-Table12[[#This Row],[GHG emissions excl LULUCF]])/(Table12[[#This Row],[NZ GHG year]]-2021)/Table12[[#This Row],[Population]])),"")</f>
        <v/>
      </c>
      <c r="AI200" s="32" t="e">
        <f>MAX(0,(1000000*(Table12[[#This Row],[Current Policies 2030 excl LULUCF]]/2+Table12[[#This Row],[GHG emissions excl LULUCF]]/2)/Table12[[#This Row],[Population]]-$AI$8)*10)*$AI$10</f>
        <v>#DIV/0!</v>
      </c>
      <c r="AJ200" s="32" t="e">
        <f>IF(Table12[[#This Row],[Peak revised]]="No",IF(Table12[[#This Row],[Net-zero target status]]&lt;=1,"",IF(Table12[[#This Row],[NZ GHG year]]="","",1000000000*(Table12[[#This Row],[residual LULUCF emissions in 2050]]-Table12[[#This Row],[Current Policies 2030 excl LULUCF]])/(Table12[[#This Row],[NZ GHG year]]-2021)/Table12[[#This Row],[Population]])),"")</f>
        <v>#DIV/0!</v>
      </c>
      <c r="AK200" s="32" t="e">
        <f>IF(Table12[[#This Row],[Formule no Peak (2)]]="","",Table12[[#This Row],[Penalty (1)]]+Table12[[#This Row],[Formule no Peak (2)]])</f>
        <v>#DIV/0!</v>
      </c>
      <c r="AL200" s="313">
        <f>(Table12[[#This Row],[Current Policies 2030 excl LULUCF]]-Table12[[#This Row],[GHG emissions excl LULUCF]])/(2030-2021)/Table12[[#This Row],[GHG emissions excl LULUCF]]</f>
        <v>1.2382996726911894E-2</v>
      </c>
      <c r="AM200" s="313">
        <f>IF(Table12[[#This Row],[Net-zero target status]]&lt;=1,"",IF(Table12[[#This Row],[NZ GHG year]]="","",(Table12[[#This Row],[residual LULUCF emissions in 2050]]-Table12[[#This Row],[Current Policies 2030 excl LULUCF]])/(Table12[[#This Row],[NZ GHG year]]-2030)/Table12[[#This Row],[Current Policies 2030 excl LULUCF]]))</f>
        <v>7.286226878838957E-2</v>
      </c>
      <c r="AN200" s="313">
        <f>IF(Table12[[#This Row],[Net-zero target status]]&lt;=1,"",IF(Table12[[#This Row],[NZ GHG year]]="","",(Table12[[#This Row],[residual LULUCF emissions in 2050]]-Table12[[#This Row],[GHG emissions excl LULUCF]])/(Table12[[#This Row],[NZ GHG year]]-2021)/Table12[[#This Row],[GHG emissions excl LULUCF]]))</f>
        <v>6.6950821532983457E-2</v>
      </c>
      <c r="AO200" s="313" t="e">
        <f>IF(Table12[[#This Row],[Net-zero target status]]&lt;=1,"",IF(Table12[[#This Row],[NZ GHG year]]="","",(Table12[[#This Row],[residual LULUCF emissions in 2050]]-Table12[[#This Row],[2030 conditional NDCs]])/(Table12[[#This Row],[NZ GHG year]]-2030)/Table12[[#This Row],[2030 conditional NDCs]]))</f>
        <v>#VALUE!</v>
      </c>
      <c r="AP200" s="96">
        <f>MAX('input site'!AH200:AS200)</f>
        <v>4.2932157000000002</v>
      </c>
      <c r="AQ200" s="95" t="str">
        <f>IF(Table12[[#This Row],[Current Policies 2030 incl LULUCF]]&gt;Table12[[#This Row],[Maximum inventory data]],"No","Yes")</f>
        <v>No</v>
      </c>
      <c r="AR200" s="34">
        <f>IF(Table12[[#This Row],[Net-zero target status]]&gt;=1.5,Table12[[#This Row],[residual LULUCF emissions in 2050]]/Table12[[#This Row],[GHG emissions excl LULUCF]],"")</f>
        <v>3.9458361474512724</v>
      </c>
      <c r="AS200" s="74" t="str">
        <f>'input site'!BE200</f>
        <v/>
      </c>
      <c r="AT200" s="74"/>
      <c r="AU200" s="74" t="str">
        <f>'input site'!BG200</f>
        <v/>
      </c>
      <c r="AV200" s="75"/>
      <c r="AW200" s="74" t="str">
        <f>IF(Table12[[#This Row],[2030 unconditional NDCs]]="","",IF(F200="incl",Table12[[#This Row],[2030 unconditional NDCs]]-Table12[[#This Row],[LULUCF NDC uncond]],Table12[[#This Row],[2030 unconditional NDCs]]))</f>
        <v/>
      </c>
      <c r="AX200" s="74" t="str">
        <f>IF(Table12[[#This Row],[2030 unconditional NDCs2]]="","",IF(F200="incl",Table12[[#This Row],[2030 unconditional NDCs2]]-Table12[[#This Row],[LULUCF NDC uncond]],Table12[[#This Row],[2030 unconditional NDCs2]]))</f>
        <v/>
      </c>
      <c r="AY200" s="74" t="str">
        <f>IF(Table12[[#This Row],[2030 conditional NDCs]]="","",IF(F200="incl",Table12[[#This Row],[2030 conditional NDCs]]-Table12[[#This Row],[LULUCF NDC cond]],Table12[[#This Row],[2030 conditional NDCs]]))</f>
        <v/>
      </c>
      <c r="AZ200" s="74" t="str">
        <f>IF(Table12[[#This Row],[2030 conditional NDCs2]]="","",IF(F200="incl",Table12[[#This Row],[2030 conditional NDCs2]]-Table12[[#This Row],[LULUCF NDC cond]],Table12[[#This Row],[2030 conditional NDCs2]]))</f>
        <v/>
      </c>
      <c r="BA200" s="8"/>
      <c r="BB200" s="8"/>
      <c r="BC200" s="36"/>
      <c r="BD200" s="36" t="e">
        <f>Table12[[#This Row],[GHG emissions excl LULUCF]]*1000000/Table12[[#This Row],[Population]]</f>
        <v>#DIV/0!</v>
      </c>
      <c r="BE200" s="23" t="e">
        <f>VLOOKUP($G200,EGR2023_MASTER!$B$4:$S$38,14,FALSE)</f>
        <v>#N/A</v>
      </c>
      <c r="BF200" s="23" t="e">
        <f>VLOOKUP($G200,EGR2023_MASTER!$B$4:$S$38,15,FALSE)</f>
        <v>#N/A</v>
      </c>
      <c r="BG200" s="23" t="e">
        <f>VLOOKUP($G200,EGR2023_MASTER!$B$4:$S$38,16,FALSE)</f>
        <v>#N/A</v>
      </c>
      <c r="BH200" s="23" t="e">
        <f t="shared" si="24"/>
        <v>#N/A</v>
      </c>
      <c r="BI200" s="23" t="e">
        <f t="shared" si="25"/>
        <v>#N/A</v>
      </c>
      <c r="BJ200" s="552">
        <f>(Table12[[#This Row],[Current Policies 2030 excl LULUCF]]/Table12[[#This Row],[GHG emissions excl LULUCF]])^(1/(2030-2021))-1</f>
        <v>1.1809492705935565E-2</v>
      </c>
      <c r="BK200" s="552">
        <f>IF(Table12[[#This Row],[Net-zero target status]]&lt;=1,"",IF(Table12[[#This Row],[NZ GHG year]]="","",((MAX(Table12[[#This Row],[residual LULUCF emissions in 2050]],0.1)/Table12[[#This Row],[Current Policies 2030 excl LULUCF]])^(1/(Table12[[#This Row],[NZ GHG year]]-2021))-1)))</f>
        <v>2.9214008369071953E-2</v>
      </c>
      <c r="BL200" s="552">
        <f>IF(Table12[[#This Row],[Net-zero target status]]&lt;=1,"",IF(Table12[[#This Row],[NZ GHG year]]="","",((MAX(Table12[[#This Row],[residual LULUCF emissions in 2050]],0.1)/Table12[[#This Row],[GHG emissions excl LULUCF]])^(1/(Table12[[#This Row],[NZ GHG year]]-2021))-1)))</f>
        <v>3.1688559672653493E-2</v>
      </c>
      <c r="BM200" s="552" t="e">
        <f>IF(Table12[[#This Row],[Net-zero target status]]&lt;=1,"",IF(Table12[[#This Row],[NZ GHG year]]="","",((MAX(Table12[[#This Row],[residual LULUCF emissions in 2050]],0.1)/AVERAGE(Table12[[#This Row],[2030 conditional NDCs]:[2030 conditional NDCs2]]))^(1/(Table12[[#This Row],[NZ GHG year]]-2021))-1)))</f>
        <v>#DIV/0!</v>
      </c>
      <c r="BN200" s="23"/>
      <c r="BO200" s="23"/>
      <c r="BP200" s="23"/>
      <c r="BQ200" s="23"/>
      <c r="BR200" s="50" t="s">
        <v>429</v>
      </c>
      <c r="BT200" s="30">
        <f>IF(Table12[[#This Row],[Reduction rate 2021 to NZ target2]]="","",J200*(1+AN200)^(Table12[[#This Row],[NZ GHG year]]-2021))</f>
        <v>74.325254265179467</v>
      </c>
    </row>
    <row r="201" spans="1:72" ht="15" x14ac:dyDescent="0.25">
      <c r="A201">
        <v>0</v>
      </c>
      <c r="B201">
        <v>0</v>
      </c>
      <c r="C201">
        <v>748</v>
      </c>
      <c r="D201">
        <v>192</v>
      </c>
      <c r="E201">
        <v>26</v>
      </c>
      <c r="F201" t="str">
        <f>'input site'!M201</f>
        <v>excl</v>
      </c>
      <c r="G201" s="31" t="s">
        <v>430</v>
      </c>
      <c r="H201" s="1" t="s">
        <v>431</v>
      </c>
      <c r="I201" s="8">
        <f>VLOOKUP($G201,'NZT data'!$B$3:$C$200,2,FALSE)</f>
        <v>0</v>
      </c>
      <c r="J201" s="32">
        <f>'input site'!AS201</f>
        <v>2.3593416999999999</v>
      </c>
      <c r="K201" s="32">
        <f>'input site'!BS201</f>
        <v>2.8714110920394131</v>
      </c>
      <c r="L201" s="32">
        <f t="shared" si="26"/>
        <v>2.8714110920394131</v>
      </c>
      <c r="M201" s="32">
        <f t="shared" si="27"/>
        <v>1.8388492515724348</v>
      </c>
      <c r="N201" s="32">
        <f>'input site'!EV201</f>
        <v>1.8388492515724348</v>
      </c>
      <c r="O201" s="8"/>
      <c r="P201" s="8"/>
      <c r="Q201" s="32">
        <f t="shared" si="28"/>
        <v>1.7147078424772844</v>
      </c>
      <c r="R201" s="32">
        <f>'input site'!EZ201</f>
        <v>1.7147078424772844</v>
      </c>
      <c r="S201" s="37">
        <f>'input site'!FA201</f>
        <v>0</v>
      </c>
      <c r="T201" s="37" t="str">
        <f>Table12[[#This Row],[(Mt CO2 equivalent)]]</f>
        <v>Swaziland</v>
      </c>
      <c r="U201" s="8">
        <f>VLOOKUP($G201,'NZT data'!$B$3:$F$200,4,FALSE)</f>
        <v>2110</v>
      </c>
      <c r="V201" s="32" t="str">
        <f>VLOOKUP($G201,'NZT data'!$B$3:$F$200,5,FALSE)</f>
        <v/>
      </c>
      <c r="W201" s="32">
        <f>-IF('LUC NGHGI'!EC191="",MIN('LUC NGHGI'!DW191,0.1),MIN('LUC NGHGI'!EC191,0.1))</f>
        <v>5.7793982683982605</v>
      </c>
      <c r="X201" s="32">
        <f>'LUC NGHGI'!EC191</f>
        <v>-5.7793982683982605</v>
      </c>
      <c r="Y201" s="32">
        <f>'LUC NGHGI'!DY191</f>
        <v>-5.7793982683982605</v>
      </c>
      <c r="Z201" s="32">
        <f>'LUC NGHGI'!DZ191</f>
        <v>-5.7793982683982605</v>
      </c>
      <c r="AA201" s="32">
        <f>Table12[[#This Row],[2021 emissions]]</f>
        <v>2.3593416999999999</v>
      </c>
      <c r="AB201" s="32">
        <f>'LUC NGHGI'!DW191</f>
        <v>-5.7622086580086531</v>
      </c>
      <c r="AC201" s="32">
        <f>IF(F201="incl",Table12[[#This Row],[GHG emissions incl LULUCF]]-Table12[[#This Row],[LULUCF emis-sions in 20213]],Table12[[#This Row],[GHG emissions incl LULUCF]])</f>
        <v>2.3593416999999999</v>
      </c>
      <c r="AD201" s="32">
        <f>'input site'!BS201</f>
        <v>2.8714110920394131</v>
      </c>
      <c r="AE201" s="32">
        <f>'LUC NGHGI'!EH191</f>
        <v>-6.9252415680840667</v>
      </c>
      <c r="AF201" s="32">
        <f>IF(F201="incl",Table12[[#This Row],[Current Policies 2030 incl LULUCF]]-Table12[[#This Row],[LULUCF CurPol 2030]],Table12[[#This Row],[Current Policies 2030 incl LULUCF]])</f>
        <v>2.8714110920394131</v>
      </c>
      <c r="AG201" s="32" t="str">
        <f>IF(Table12[[#This Row],[Net-zero target status]]&lt;=1,"",IF(Table12[[#This Row],[NZ GHG year]]="","",1000000000*(Table12[[#This Row],[residual LULUCF emissions in 2050]]-Table12[[#This Row],[GHG emissions excl LULUCF]])/(Table12[[#This Row],[NZ GHG year]]-2021)/Table12[[#This Row],[Population]]))</f>
        <v/>
      </c>
      <c r="AH201" s="32" t="str">
        <f>IF(Table12[[#This Row],[Peak revised]]="Yes",IF(Table12[[#This Row],[Net-zero target status]]&lt;=1,"",IF(Table12[[#This Row],[NZ GHG year]]="","",1000000000*(Table12[[#This Row],[residual LULUCF emissions in 2050]]-Table12[[#This Row],[GHG emissions excl LULUCF]])/(Table12[[#This Row],[NZ GHG year]]-2021)/Table12[[#This Row],[Population]])),"")</f>
        <v/>
      </c>
      <c r="AI201" s="32" t="e">
        <f>MAX(0,(1000000*(Table12[[#This Row],[Current Policies 2030 excl LULUCF]]/2+Table12[[#This Row],[GHG emissions excl LULUCF]]/2)/Table12[[#This Row],[Population]]-$AI$8)*10)*$AI$10</f>
        <v>#DIV/0!</v>
      </c>
      <c r="AJ20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1" s="32" t="str">
        <f>IF(Table12[[#This Row],[Formule no Peak (2)]]="","",Table12[[#This Row],[Penalty (1)]]+Table12[[#This Row],[Formule no Peak (2)]])</f>
        <v/>
      </c>
      <c r="AL201" s="313">
        <f>(Table12[[#This Row],[Current Policies 2030 excl LULUCF]]-Table12[[#This Row],[GHG emissions excl LULUCF]])/(2030-2021)/Table12[[#This Row],[GHG emissions excl LULUCF]]</f>
        <v>2.4115455220195686E-2</v>
      </c>
      <c r="AM201" s="313" t="str">
        <f>IF(Table12[[#This Row],[Net-zero target status]]&lt;=1,"",IF(Table12[[#This Row],[NZ GHG year]]="","",(Table12[[#This Row],[residual LULUCF emissions in 2050]]-Table12[[#This Row],[Current Policies 2030 excl LULUCF]])/(Table12[[#This Row],[NZ GHG year]]-2030)/Table12[[#This Row],[Current Policies 2030 excl LULUCF]]))</f>
        <v/>
      </c>
      <c r="AN201" s="313" t="str">
        <f>IF(Table12[[#This Row],[Net-zero target status]]&lt;=1,"",IF(Table12[[#This Row],[NZ GHG year]]="","",(Table12[[#This Row],[residual LULUCF emissions in 2050]]-Table12[[#This Row],[GHG emissions excl LULUCF]])/(Table12[[#This Row],[NZ GHG year]]-2021)/Table12[[#This Row],[GHG emissions excl LULUCF]]))</f>
        <v/>
      </c>
      <c r="AO201" s="313" t="str">
        <f>IF(Table12[[#This Row],[Net-zero target status]]&lt;=1,"",IF(Table12[[#This Row],[NZ GHG year]]="","",(Table12[[#This Row],[residual LULUCF emissions in 2050]]-Table12[[#This Row],[2030 conditional NDCs]])/(Table12[[#This Row],[NZ GHG year]]-2030)/Table12[[#This Row],[2030 conditional NDCs]]))</f>
        <v/>
      </c>
      <c r="AP201" s="96">
        <f>MAX('input site'!AH201:AS201)</f>
        <v>3.0514256999999998</v>
      </c>
      <c r="AQ201" s="95" t="str">
        <f>IF(Table12[[#This Row],[Current Policies 2030 incl LULUCF]]&gt;Table12[[#This Row],[Maximum inventory data]],"No","Yes")</f>
        <v>Yes</v>
      </c>
      <c r="AR201" s="34" t="str">
        <f>IF(Table12[[#This Row],[Net-zero target status]]&gt;=1.5,Table12[[#This Row],[residual LULUCF emissions in 2050]]/Table12[[#This Row],[GHG emissions excl LULUCF]],"")</f>
        <v/>
      </c>
      <c r="AS201" s="74" t="str">
        <f>'input site'!BE201</f>
        <v/>
      </c>
      <c r="AT201" s="74"/>
      <c r="AU201" s="74" t="str">
        <f>'input site'!BG201</f>
        <v/>
      </c>
      <c r="AV201" s="75"/>
      <c r="AW201" s="74" t="str">
        <f>IF(Table12[[#This Row],[2030 unconditional NDCs]]="","",IF(F201="incl",Table12[[#This Row],[2030 unconditional NDCs]]-Table12[[#This Row],[LULUCF NDC uncond]],Table12[[#This Row],[2030 unconditional NDCs]]))</f>
        <v/>
      </c>
      <c r="AX201" s="74" t="str">
        <f>IF(Table12[[#This Row],[2030 unconditional NDCs2]]="","",IF(F201="incl",Table12[[#This Row],[2030 unconditional NDCs2]]-Table12[[#This Row],[LULUCF NDC uncond]],Table12[[#This Row],[2030 unconditional NDCs2]]))</f>
        <v/>
      </c>
      <c r="AY201" s="74" t="str">
        <f>IF(Table12[[#This Row],[2030 conditional NDCs]]="","",IF(F201="incl",Table12[[#This Row],[2030 conditional NDCs]]-Table12[[#This Row],[LULUCF NDC cond]],Table12[[#This Row],[2030 conditional NDCs]]))</f>
        <v/>
      </c>
      <c r="AZ201" s="74" t="str">
        <f>IF(Table12[[#This Row],[2030 conditional NDCs2]]="","",IF(F201="incl",Table12[[#This Row],[2030 conditional NDCs2]]-Table12[[#This Row],[LULUCF NDC cond]],Table12[[#This Row],[2030 conditional NDCs2]]))</f>
        <v/>
      </c>
      <c r="BA201" s="8"/>
      <c r="BB201" s="8"/>
      <c r="BC201" s="36"/>
      <c r="BD201" s="36" t="e">
        <f>Table12[[#This Row],[GHG emissions excl LULUCF]]*1000000/Table12[[#This Row],[Population]]</f>
        <v>#DIV/0!</v>
      </c>
      <c r="BE201" s="23" t="e">
        <f>VLOOKUP($G201,EGR2023_MASTER!$B$4:$S$38,14,FALSE)</f>
        <v>#N/A</v>
      </c>
      <c r="BF201" s="23" t="e">
        <f>VLOOKUP($G201,EGR2023_MASTER!$B$4:$S$38,15,FALSE)</f>
        <v>#N/A</v>
      </c>
      <c r="BG201" s="23" t="e">
        <f>VLOOKUP($G201,EGR2023_MASTER!$B$4:$S$38,16,FALSE)</f>
        <v>#N/A</v>
      </c>
      <c r="BH201" s="23" t="e">
        <f t="shared" si="24"/>
        <v>#N/A</v>
      </c>
      <c r="BI201" s="23" t="e">
        <f t="shared" si="25"/>
        <v>#N/A</v>
      </c>
      <c r="BJ201" s="552">
        <f>(Table12[[#This Row],[Current Policies 2030 excl LULUCF]]/Table12[[#This Row],[GHG emissions excl LULUCF]])^(1/(2030-2021))-1</f>
        <v>2.2064446304015162E-2</v>
      </c>
      <c r="BK201" s="552" t="str">
        <f>IF(Table12[[#This Row],[Net-zero target status]]&lt;=1,"",IF(Table12[[#This Row],[NZ GHG year]]="","",((MAX(Table12[[#This Row],[residual LULUCF emissions in 2050]],0.1)/Table12[[#This Row],[Current Policies 2030 excl LULUCF]])^(1/(Table12[[#This Row],[NZ GHG year]]-2021))-1)))</f>
        <v/>
      </c>
      <c r="BL201" s="552" t="str">
        <f>IF(Table12[[#This Row],[Net-zero target status]]&lt;=1,"",IF(Table12[[#This Row],[NZ GHG year]]="","",((MAX(Table12[[#This Row],[residual LULUCF emissions in 2050]],0.1)/Table12[[#This Row],[GHG emissions excl LULUCF]])^(1/(Table12[[#This Row],[NZ GHG year]]-2021))-1)))</f>
        <v/>
      </c>
      <c r="BM201" s="552" t="str">
        <f>IF(Table12[[#This Row],[Net-zero target status]]&lt;=1,"",IF(Table12[[#This Row],[NZ GHG year]]="","",((MAX(Table12[[#This Row],[residual LULUCF emissions in 2050]],0.1)/AVERAGE(Table12[[#This Row],[2030 conditional NDCs]:[2030 conditional NDCs2]]))^(1/(Table12[[#This Row],[NZ GHG year]]-2021))-1)))</f>
        <v/>
      </c>
      <c r="BN201" s="23"/>
      <c r="BO201" s="23"/>
      <c r="BP201" s="23"/>
      <c r="BQ201" s="23"/>
      <c r="BR201" s="50" t="s">
        <v>431</v>
      </c>
      <c r="BT201" s="30" t="str">
        <f>IF(Table12[[#This Row],[Reduction rate 2021 to NZ target2]]="","",J201*(1+AN201)^(Table12[[#This Row],[NZ GHG year]]-2021))</f>
        <v/>
      </c>
    </row>
    <row r="202" spans="1:72" ht="15" x14ac:dyDescent="0.25">
      <c r="A202">
        <v>0</v>
      </c>
      <c r="B202">
        <v>0</v>
      </c>
      <c r="C202">
        <v>752</v>
      </c>
      <c r="D202">
        <v>193</v>
      </c>
      <c r="E202">
        <v>11</v>
      </c>
      <c r="F202" t="str">
        <f>'input site'!M202</f>
        <v>incl</v>
      </c>
      <c r="G202" s="31" t="s">
        <v>432</v>
      </c>
      <c r="H202" s="1" t="s">
        <v>433</v>
      </c>
      <c r="I202" s="8">
        <f>VLOOKUP($G202,'NZT data'!$B$3:$C$200,2,FALSE)</f>
        <v>4</v>
      </c>
      <c r="J202" s="32">
        <f>'input site'!AS202</f>
        <v>6.388138954415993</v>
      </c>
      <c r="K202" s="32">
        <f>'input site'!BS202</f>
        <v>3.5642589866461374</v>
      </c>
      <c r="L202" s="32">
        <f t="shared" si="26"/>
        <v>0</v>
      </c>
      <c r="M202" s="32">
        <f t="shared" si="27"/>
        <v>0</v>
      </c>
      <c r="N202" s="32">
        <f>'input site'!EV202</f>
        <v>3.2312180223734406</v>
      </c>
      <c r="O202" s="8"/>
      <c r="P202" s="8"/>
      <c r="Q202" s="32">
        <f t="shared" si="28"/>
        <v>0</v>
      </c>
      <c r="R202" s="32">
        <f>'input site'!EZ202</f>
        <v>1.7872639254693243</v>
      </c>
      <c r="S202" s="37" t="str">
        <f>'input site'!FA202</f>
        <v>2045 (part of the EU)</v>
      </c>
      <c r="T202" s="37" t="str">
        <f>Table12[[#This Row],[(Mt CO2 equivalent)]]</f>
        <v>Sweden</v>
      </c>
      <c r="U202" s="8">
        <f>VLOOKUP($G202,'NZT data'!$B$3:$F$200,4,FALSE)</f>
        <v>2045</v>
      </c>
      <c r="V202" s="32">
        <f>VLOOKUP($G202,'NZT data'!$B$3:$F$200,5,FALSE)</f>
        <v>2045</v>
      </c>
      <c r="W202" s="32">
        <f>-IF('LUC NGHGI'!EC192="",MIN('LUC NGHGI'!DW192,0.1),MIN('LUC NGHGI'!EC192,0.1))</f>
        <v>42.2</v>
      </c>
      <c r="X202" s="32">
        <f>'LUC NGHGI'!EC192</f>
        <v>-42.2</v>
      </c>
      <c r="Y202" s="32">
        <f>'LUC NGHGI'!DY192</f>
        <v>-41.29078503790101</v>
      </c>
      <c r="Z202" s="32">
        <f>'LUC NGHGI'!DZ192</f>
        <v>-41.29078503790101</v>
      </c>
      <c r="AA202" s="32">
        <f>Table12[[#This Row],[2021 emissions]]</f>
        <v>6.388138954415993</v>
      </c>
      <c r="AB202" s="32">
        <f>'LUC NGHGI'!DW192</f>
        <v>-41.71504904558401</v>
      </c>
      <c r="AC202" s="32">
        <f>IF(F202="incl",Table12[[#This Row],[GHG emissions incl LULUCF]]-Table12[[#This Row],[LULUCF emis-sions in 20213]],Table12[[#This Row],[GHG emissions incl LULUCF]])</f>
        <v>48.103188000000003</v>
      </c>
      <c r="AD202" s="32">
        <f>'input site'!BS202</f>
        <v>3.5642589866461374</v>
      </c>
      <c r="AE202" s="32">
        <f>'LUC NGHGI'!EH192</f>
        <v>-50.484959561696236</v>
      </c>
      <c r="AF202" s="32">
        <f>IF(F202="incl",Table12[[#This Row],[Current Policies 2030 incl LULUCF]]-Table12[[#This Row],[LULUCF CurPol 2030]],Table12[[#This Row],[Current Policies 2030 incl LULUCF]])</f>
        <v>54.049218548342374</v>
      </c>
      <c r="AG202" s="32"/>
      <c r="AH202" s="32" t="e">
        <f>IF(Table12[[#This Row],[Peak revised]]="Yes",IF(Table12[[#This Row],[Net-zero target status]]&lt;=1,"",IF(Table12[[#This Row],[NZ GHG year]]="","",1000000000*(Table12[[#This Row],[residual LULUCF emissions in 2050]]-Table12[[#This Row],[GHG emissions excl LULUCF]])/(Table12[[#This Row],[NZ GHG year]]-2021)/Table12[[#This Row],[Population]])),"")</f>
        <v>#DIV/0!</v>
      </c>
      <c r="AI202" s="32" t="e">
        <f>MAX(0,(1000000*(Table12[[#This Row],[Current Policies 2030 excl LULUCF]]/2+Table12[[#This Row],[GHG emissions excl LULUCF]]/2)/Table12[[#This Row],[Population]]-$AI$8)*10)*$AI$10</f>
        <v>#DIV/0!</v>
      </c>
      <c r="AJ20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2" s="32" t="str">
        <f>IF(Table12[[#This Row],[Formule no Peak (2)]]="","",Table12[[#This Row],[Penalty (1)]]+Table12[[#This Row],[Formule no Peak (2)]])</f>
        <v/>
      </c>
      <c r="AL202" s="313">
        <f>(Table12[[#This Row],[Current Policies 2030 excl LULUCF]]-Table12[[#This Row],[GHG emissions excl LULUCF]])/(2030-2021)/Table12[[#This Row],[GHG emissions excl LULUCF]]</f>
        <v>1.3734434003146114E-2</v>
      </c>
      <c r="AM202" s="313">
        <f>IF(Table12[[#This Row],[Net-zero target status]]&lt;=1,"",IF(Table12[[#This Row],[NZ GHG year]]="","",(Table12[[#This Row],[residual LULUCF emissions in 2050]]-Table12[[#This Row],[Current Policies 2030 excl LULUCF]])/(Table12[[#This Row],[NZ GHG year]]-2030)/Table12[[#This Row],[Current Policies 2030 excl LULUCF]]))</f>
        <v>-1.4615343652309872E-2</v>
      </c>
      <c r="AN202" s="313">
        <f>IF(Table12[[#This Row],[Net-zero target status]]&lt;=1,"",IF(Table12[[#This Row],[NZ GHG year]]="","",(Table12[[#This Row],[residual LULUCF emissions in 2050]]-Table12[[#This Row],[GHG emissions excl LULUCF]])/(Table12[[#This Row],[NZ GHG year]]-2021)/Table12[[#This Row],[GHG emissions excl LULUCF]]))</f>
        <v>-5.113302816159849E-3</v>
      </c>
      <c r="AO202" s="313" t="e">
        <f>IF(Table12[[#This Row],[Net-zero target status]]&lt;=1,"",IF(Table12[[#This Row],[NZ GHG year]]="","",(Table12[[#This Row],[residual LULUCF emissions in 2050]]-Table12[[#This Row],[2030 conditional NDCs]])/(Table12[[#This Row],[NZ GHG year]]-2030)/Table12[[#This Row],[2030 conditional NDCs]]))</f>
        <v>#VALUE!</v>
      </c>
      <c r="AP202" s="96">
        <f>MAX('input site'!AH202:AS202)</f>
        <v>15.826686790288313</v>
      </c>
      <c r="AQ202" s="95" t="str">
        <f>IF(Table12[[#This Row],[Current Policies 2030 incl LULUCF]]&gt;Table12[[#This Row],[Maximum inventory data]],"No","Yes")</f>
        <v>Yes</v>
      </c>
      <c r="AR202" s="34">
        <f>IF(Table12[[#This Row],[Net-zero target status]]&gt;=1.5,Table12[[#This Row],[residual LULUCF emissions in 2050]]/Table12[[#This Row],[GHG emissions excl LULUCF]],"")</f>
        <v>0.87728073241216364</v>
      </c>
      <c r="AS202" s="74" t="str">
        <f>'input site'!BE202</f>
        <v/>
      </c>
      <c r="AT202" s="74"/>
      <c r="AU202" s="74" t="str">
        <f>'input site'!BG202</f>
        <v/>
      </c>
      <c r="AV202" s="75"/>
      <c r="AW202" s="74" t="str">
        <f>IF(Table12[[#This Row],[2030 unconditional NDCs]]="","",IF(F202="incl",Table12[[#This Row],[2030 unconditional NDCs]]-Table12[[#This Row],[LULUCF NDC uncond]],Table12[[#This Row],[2030 unconditional NDCs]]))</f>
        <v/>
      </c>
      <c r="AX202" s="74" t="str">
        <f>IF(Table12[[#This Row],[2030 unconditional NDCs2]]="","",IF(F202="incl",Table12[[#This Row],[2030 unconditional NDCs2]]-Table12[[#This Row],[LULUCF NDC uncond]],Table12[[#This Row],[2030 unconditional NDCs2]]))</f>
        <v/>
      </c>
      <c r="AY202" s="74" t="str">
        <f>IF(Table12[[#This Row],[2030 conditional NDCs]]="","",IF(F202="incl",Table12[[#This Row],[2030 conditional NDCs]]-Table12[[#This Row],[LULUCF NDC cond]],Table12[[#This Row],[2030 conditional NDCs]]))</f>
        <v/>
      </c>
      <c r="AZ202" s="74" t="str">
        <f>IF(Table12[[#This Row],[2030 conditional NDCs2]]="","",IF(F202="incl",Table12[[#This Row],[2030 conditional NDCs2]]-Table12[[#This Row],[LULUCF NDC cond]],Table12[[#This Row],[2030 conditional NDCs2]]))</f>
        <v/>
      </c>
      <c r="BA202" s="8"/>
      <c r="BB202" s="8"/>
      <c r="BC202" s="36"/>
      <c r="BD202" s="36" t="e">
        <f>Table12[[#This Row],[GHG emissions excl LULUCF]]*1000000/Table12[[#This Row],[Population]]</f>
        <v>#DIV/0!</v>
      </c>
      <c r="BE202" s="23" t="e">
        <f>VLOOKUP($G202,EGR2023_MASTER!$B$4:$S$38,14,FALSE)</f>
        <v>#N/A</v>
      </c>
      <c r="BF202" s="23" t="e">
        <f>VLOOKUP($G202,EGR2023_MASTER!$B$4:$S$38,15,FALSE)</f>
        <v>#N/A</v>
      </c>
      <c r="BG202" s="23" t="e">
        <f>VLOOKUP($G202,EGR2023_MASTER!$B$4:$S$38,16,FALSE)</f>
        <v>#N/A</v>
      </c>
      <c r="BH202" s="23" t="e">
        <f t="shared" si="24"/>
        <v>#N/A</v>
      </c>
      <c r="BI202" s="23" t="e">
        <f t="shared" si="25"/>
        <v>#N/A</v>
      </c>
      <c r="BJ202" s="552">
        <f>(Table12[[#This Row],[Current Policies 2030 excl LULUCF]]/Table12[[#This Row],[GHG emissions excl LULUCF]])^(1/(2030-2021))-1</f>
        <v>1.3033835343604361E-2</v>
      </c>
      <c r="BK202" s="552">
        <f>IF(Table12[[#This Row],[Net-zero target status]]&lt;=1,"",IF(Table12[[#This Row],[NZ GHG year]]="","",((MAX(Table12[[#This Row],[residual LULUCF emissions in 2050]],0.1)/Table12[[#This Row],[Current Policies 2030 excl LULUCF]])^(1/(Table12[[#This Row],[NZ GHG year]]-2021))-1)))</f>
        <v>-1.0258471939072367E-2</v>
      </c>
      <c r="BL202" s="552">
        <f>IF(Table12[[#This Row],[Net-zero target status]]&lt;=1,"",IF(Table12[[#This Row],[NZ GHG year]]="","",((MAX(Table12[[#This Row],[residual LULUCF emissions in 2050]],0.1)/Table12[[#This Row],[GHG emissions excl LULUCF]])^(1/(Table12[[#This Row],[NZ GHG year]]-2021))-1)))</f>
        <v>-5.4404896577608941E-3</v>
      </c>
      <c r="BM202" s="552" t="e">
        <f>IF(Table12[[#This Row],[Net-zero target status]]&lt;=1,"",IF(Table12[[#This Row],[NZ GHG year]]="","",((MAX(Table12[[#This Row],[residual LULUCF emissions in 2050]],0.1)/AVERAGE(Table12[[#This Row],[2030 conditional NDCs]:[2030 conditional NDCs2]]))^(1/(Table12[[#This Row],[NZ GHG year]]-2021))-1)))</f>
        <v>#DIV/0!</v>
      </c>
      <c r="BN202" s="23"/>
      <c r="BO202" s="23"/>
      <c r="BP202" s="23"/>
      <c r="BQ202" s="23"/>
      <c r="BR202" s="50" t="s">
        <v>433</v>
      </c>
      <c r="BT202" s="30">
        <f>IF(Table12[[#This Row],[Reduction rate 2021 to NZ target2]]="","",J202*(1+AN202)^(Table12[[#This Row],[NZ GHG year]]-2021))</f>
        <v>5.6486065753002679</v>
      </c>
    </row>
    <row r="203" spans="1:72" ht="15" x14ac:dyDescent="0.25">
      <c r="A203">
        <v>0</v>
      </c>
      <c r="B203">
        <v>0</v>
      </c>
      <c r="C203">
        <v>756</v>
      </c>
      <c r="D203">
        <v>194</v>
      </c>
      <c r="E203">
        <v>11</v>
      </c>
      <c r="F203" t="str">
        <f>'input site'!M203</f>
        <v>excl</v>
      </c>
      <c r="G203" s="31" t="s">
        <v>434</v>
      </c>
      <c r="H203" s="1" t="s">
        <v>435</v>
      </c>
      <c r="I203" s="8">
        <f>VLOOKUP($G203,'NZT data'!$B$3:$C$200,2,FALSE)</f>
        <v>4</v>
      </c>
      <c r="J203" s="32">
        <f>'input site'!AS203</f>
        <v>45.013359999999999</v>
      </c>
      <c r="K203" s="32">
        <f>'input site'!BS203</f>
        <v>39</v>
      </c>
      <c r="L203" s="32">
        <f t="shared" si="26"/>
        <v>0</v>
      </c>
      <c r="M203" s="32">
        <f t="shared" si="27"/>
        <v>0</v>
      </c>
      <c r="N203" s="32">
        <f>'input site'!EV203</f>
        <v>9.5214985481667735</v>
      </c>
      <c r="O203" s="8">
        <v>0</v>
      </c>
      <c r="P203" s="36">
        <f>O203-N203</f>
        <v>-9.5214985481667735</v>
      </c>
      <c r="Q203" s="32">
        <f t="shared" si="28"/>
        <v>0</v>
      </c>
      <c r="R203" s="32">
        <f>'input site'!EZ203</f>
        <v>5.2665684437620008</v>
      </c>
      <c r="S203" s="37">
        <f>'input site'!FA203</f>
        <v>2050</v>
      </c>
      <c r="T203" s="37" t="str">
        <f>Table12[[#This Row],[(Mt CO2 equivalent)]]</f>
        <v>Switzerland</v>
      </c>
      <c r="U203" s="8">
        <f>VLOOKUP($G203,'NZT data'!$B$3:$F$200,4,FALSE)</f>
        <v>2050</v>
      </c>
      <c r="V203" s="32">
        <f>VLOOKUP($G203,'NZT data'!$B$3:$F$200,5,FALSE)</f>
        <v>2050</v>
      </c>
      <c r="W203" s="32">
        <f>-IF('LUC NGHGI'!EC193="",MIN('LUC NGHGI'!DW193,0.1),MIN('LUC NGHGI'!EC193,0.1))</f>
        <v>1.4340402892265511</v>
      </c>
      <c r="X203" s="32">
        <f>'LUC NGHGI'!EC193</f>
        <v>-1.4340402892265511</v>
      </c>
      <c r="Y203" s="32">
        <f>'LUC NGHGI'!DY193</f>
        <v>-0.50544999999999995</v>
      </c>
      <c r="Z203" s="32">
        <f>'LUC NGHGI'!DZ193</f>
        <v>-2.82545</v>
      </c>
      <c r="AA203" s="32">
        <f>Table12[[#This Row],[2021 emissions]]</f>
        <v>45.013359999999999</v>
      </c>
      <c r="AB203" s="32">
        <f>'LUC NGHGI'!DW193</f>
        <v>-1.8824873330205352</v>
      </c>
      <c r="AC203" s="32">
        <f>IF(F203="incl",Table12[[#This Row],[GHG emissions incl LULUCF]]-Table12[[#This Row],[LULUCF emis-sions in 20213]],Table12[[#This Row],[GHG emissions incl LULUCF]])</f>
        <v>45.013359999999999</v>
      </c>
      <c r="AD203" s="32">
        <f>'input site'!BS203</f>
        <v>39</v>
      </c>
      <c r="AE203" s="32">
        <f>'LUC NGHGI'!EH193</f>
        <v>-1.4849326480863152</v>
      </c>
      <c r="AF203" s="32">
        <f>IF(F203="incl",Table12[[#This Row],[Current Policies 2030 incl LULUCF]]-Table12[[#This Row],[LULUCF CurPol 2030]],Table12[[#This Row],[Current Policies 2030 incl LULUCF]])</f>
        <v>39</v>
      </c>
      <c r="AG203" s="32">
        <f>IF(Table12[[#This Row],[Net-zero target status]]&lt;=1,"",IF(Table12[[#This Row],[NZ GHG year]]="","",1000000000*(Table12[[#This Row],[residual LULUCF emissions in 2050]]-Table12[[#This Row],[GHG emissions excl LULUCF]])/(Table12[[#This Row],[NZ GHG year]]-2021)/Table12[[#This Row],[Population]]))</f>
        <v>-171.27847464403456</v>
      </c>
      <c r="AH203" s="32">
        <f>IF(Table12[[#This Row],[Peak revised]]="Yes",IF(Table12[[#This Row],[Net-zero target status]]&lt;=1,"",IF(Table12[[#This Row],[NZ GHG year]]="","",1000000000*(Table12[[#This Row],[residual LULUCF emissions in 2050]]-Table12[[#This Row],[GHG emissions excl LULUCF]])/(Table12[[#This Row],[NZ GHG year]]-2021)/Table12[[#This Row],[Population]])),"")</f>
        <v>-171.27847464403456</v>
      </c>
      <c r="AI203" s="32">
        <f>MAX(0,(1000000*(Table12[[#This Row],[Current Policies 2030 excl LULUCF]]/2+Table12[[#This Row],[GHG emissions excl LULUCF]]/2)/Table12[[#This Row],[Population]]-$AI$8)*10)*$AI$10</f>
        <v>0</v>
      </c>
      <c r="AJ20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3" s="32" t="str">
        <f>IF(Table12[[#This Row],[Formule no Peak (2)]]="","",Table12[[#This Row],[Penalty (1)]]+Table12[[#This Row],[Formule no Peak (2)]])</f>
        <v/>
      </c>
      <c r="AL203" s="313">
        <f>(Table12[[#This Row],[Current Policies 2030 excl LULUCF]]-Table12[[#This Row],[GHG emissions excl LULUCF]])/(2030-2021)/Table12[[#This Row],[GHG emissions excl LULUCF]]</f>
        <v>-1.48433956298999E-2</v>
      </c>
      <c r="AM203" s="313">
        <f>IF(Table12[[#This Row],[Net-zero target status]]&lt;=1,"",IF(Table12[[#This Row],[NZ GHG year]]="","",(Table12[[#This Row],[residual LULUCF emissions in 2050]]-Table12[[#This Row],[Current Policies 2030 excl LULUCF]])/(Table12[[#This Row],[NZ GHG year]]-2030)/Table12[[#This Row],[Current Policies 2030 excl LULUCF]]))</f>
        <v>-4.8161486808683908E-2</v>
      </c>
      <c r="AN203" s="313">
        <f>IF(Table12[[#This Row],[Net-zero target status]]&lt;=1,"",IF(Table12[[#This Row],[NZ GHG year]]="","",(Table12[[#This Row],[residual LULUCF emissions in 2050]]-Table12[[#This Row],[GHG emissions excl LULUCF]])/(Table12[[#This Row],[NZ GHG year]]-2021)/Table12[[#This Row],[GHG emissions excl LULUCF]]))</f>
        <v>-3.3384203321868526E-2</v>
      </c>
      <c r="AO203" s="313">
        <f>IF(Table12[[#This Row],[Net-zero target status]]&lt;=1,"",IF(Table12[[#This Row],[NZ GHG year]]="","",(Table12[[#This Row],[residual LULUCF emissions in 2050]]-Table12[[#This Row],[2030 conditional NDCs]])/(Table12[[#This Row],[NZ GHG year]]-2030)/Table12[[#This Row],[2030 conditional NDCs]]))</f>
        <v>-4.7309492890756942E-2</v>
      </c>
      <c r="AP203" s="96">
        <f>MAX('input site'!AH203:AS203)</f>
        <v>55.172688999999998</v>
      </c>
      <c r="AQ203" s="95" t="str">
        <f>IF(Table12[[#This Row],[Current Policies 2030 incl LULUCF]]&gt;Table12[[#This Row],[Maximum inventory data]],"No","Yes")</f>
        <v>Yes</v>
      </c>
      <c r="AR203" s="34">
        <f>IF(Table12[[#This Row],[Net-zero target status]]&gt;=1.5,Table12[[#This Row],[residual LULUCF emissions in 2050]]/Table12[[#This Row],[GHG emissions excl LULUCF]],"")</f>
        <v>3.1858103665812799E-2</v>
      </c>
      <c r="AS203" s="76">
        <f>'input site'!BE203</f>
        <v>26.65</v>
      </c>
      <c r="AT203" s="76">
        <f>'input site'!BF203</f>
        <v>26.65</v>
      </c>
      <c r="AU203" s="76">
        <f>'input site'!BG203</f>
        <v>26.65</v>
      </c>
      <c r="AV203" s="77">
        <f>'input site'!BH203</f>
        <v>26.65</v>
      </c>
      <c r="AW203" s="74">
        <f>IF(Table12[[#This Row],[2030 unconditional NDCs]]="","",IF(F203="incl",Table12[[#This Row],[2030 unconditional NDCs]]-Table12[[#This Row],[LULUCF NDC uncond]],Table12[[#This Row],[2030 unconditional NDCs]]))</f>
        <v>26.65</v>
      </c>
      <c r="AX203" s="74">
        <f>IF(Table12[[#This Row],[2030 unconditional NDCs2]]="","",IF(F203="incl",Table12[[#This Row],[2030 unconditional NDCs2]]-Table12[[#This Row],[LULUCF NDC uncond]],Table12[[#This Row],[2030 unconditional NDCs2]]))</f>
        <v>26.65</v>
      </c>
      <c r="AY203" s="74">
        <f>IF(Table12[[#This Row],[2030 conditional NDCs]]="","",IF(F203="incl",Table12[[#This Row],[2030 conditional NDCs]]-Table12[[#This Row],[LULUCF NDC cond]],Table12[[#This Row],[2030 conditional NDCs]]))</f>
        <v>26.65</v>
      </c>
      <c r="AZ203" s="74">
        <f>IF(Table12[[#This Row],[2030 conditional NDCs2]]="","",IF(F203="incl",Table12[[#This Row],[2030 conditional NDCs2]]-Table12[[#This Row],[LULUCF NDC cond]],Table12[[#This Row],[2030 conditional NDCs2]]))</f>
        <v>26.65</v>
      </c>
      <c r="BA203" s="8">
        <f>VLOOKUP($G203,'Population90 20'!$C$6:$AU$231,37,FALSE)</f>
        <v>8773637</v>
      </c>
      <c r="BB203" s="8">
        <f>VLOOKUP($G203,'Overview GDP (PPP)'!$C$6:$AI$231,33,FALSE)</f>
        <v>502639639.61339003</v>
      </c>
      <c r="BC203" s="36">
        <f>Table12[[#This Row],[Income]]/Table12[[#This Row],[Population]]</f>
        <v>57.289769295605694</v>
      </c>
      <c r="BD203" s="36">
        <f>Table12[[#This Row],[GHG emissions excl LULUCF]]*1000000/Table12[[#This Row],[Population]]</f>
        <v>5.1305245475736001</v>
      </c>
      <c r="BE203" s="23" t="e">
        <f>VLOOKUP($G203,EGR2023_MASTER!$B$4:$S$38,14,FALSE)</f>
        <v>#N/A</v>
      </c>
      <c r="BF203" s="23" t="e">
        <f>VLOOKUP($G203,EGR2023_MASTER!$B$4:$S$38,15,FALSE)</f>
        <v>#N/A</v>
      </c>
      <c r="BG203" s="23" t="e">
        <f>VLOOKUP($G203,EGR2023_MASTER!$B$4:$S$38,16,FALSE)</f>
        <v>#N/A</v>
      </c>
      <c r="BH203" s="23" t="e">
        <f t="shared" si="24"/>
        <v>#N/A</v>
      </c>
      <c r="BI203" s="23" t="e">
        <f t="shared" si="25"/>
        <v>#N/A</v>
      </c>
      <c r="BJ203" s="552">
        <f>(Table12[[#This Row],[Current Policies 2030 excl LULUCF]]/Table12[[#This Row],[GHG emissions excl LULUCF]])^(1/(2030-2021))-1</f>
        <v>-1.5806816492496378E-2</v>
      </c>
      <c r="BK203" s="552">
        <f>IF(Table12[[#This Row],[Net-zero target status]]&lt;=1,"",IF(Table12[[#This Row],[NZ GHG year]]="","",((MAX(Table12[[#This Row],[residual LULUCF emissions in 2050]],0.1)/Table12[[#This Row],[Current Policies 2030 excl LULUCF]])^(1/(Table12[[#This Row],[NZ GHG year]]-2021))-1)))</f>
        <v>-0.10765176177190261</v>
      </c>
      <c r="BL203" s="552">
        <f>IF(Table12[[#This Row],[Net-zero target status]]&lt;=1,"",IF(Table12[[#This Row],[NZ GHG year]]="","",((MAX(Table12[[#This Row],[residual LULUCF emissions in 2050]],0.1)/Table12[[#This Row],[GHG emissions excl LULUCF]])^(1/(Table12[[#This Row],[NZ GHG year]]-2021))-1)))</f>
        <v>-0.11205330759394194</v>
      </c>
      <c r="BM203" s="552">
        <f>IF(Table12[[#This Row],[Net-zero target status]]&lt;=1,"",IF(Table12[[#This Row],[NZ GHG year]]="","",((MAX(Table12[[#This Row],[residual LULUCF emissions in 2050]],0.1)/AVERAGE(Table12[[#This Row],[2030 conditional NDCs]:[2030 conditional NDCs2]]))^(1/(Table12[[#This Row],[NZ GHG year]]-2021))-1)))</f>
        <v>-9.5857894808498711E-2</v>
      </c>
      <c r="BN203" s="23"/>
      <c r="BO203" s="23"/>
      <c r="BP203" s="23"/>
      <c r="BQ203" s="23"/>
      <c r="BR203" s="50" t="s">
        <v>435</v>
      </c>
      <c r="BT203" s="30">
        <f>IF(Table12[[#This Row],[Reduction rate 2021 to NZ target2]]="","",J203*(1+AN203)^(Table12[[#This Row],[NZ GHG year]]-2021))</f>
        <v>16.815283351904217</v>
      </c>
    </row>
    <row r="204" spans="1:72" ht="15" x14ac:dyDescent="0.25">
      <c r="A204">
        <v>0</v>
      </c>
      <c r="B204">
        <v>0</v>
      </c>
      <c r="C204">
        <v>760</v>
      </c>
      <c r="D204">
        <v>195</v>
      </c>
      <c r="E204">
        <v>17</v>
      </c>
      <c r="F204" t="str">
        <f>'input site'!M204</f>
        <v>excl</v>
      </c>
      <c r="G204" s="31" t="s">
        <v>436</v>
      </c>
      <c r="H204" s="1" t="s">
        <v>437</v>
      </c>
      <c r="I204" s="8">
        <f>VLOOKUP($G204,'NZT data'!$B$3:$C$200,2,FALSE)</f>
        <v>0</v>
      </c>
      <c r="J204" s="32">
        <f>'input site'!AS204</f>
        <v>55.924931000000001</v>
      </c>
      <c r="K204" s="32">
        <f>'input site'!BS204</f>
        <v>55.5318815062124</v>
      </c>
      <c r="L204" s="32">
        <f t="shared" si="26"/>
        <v>55.5318815062124</v>
      </c>
      <c r="M204" s="32">
        <f t="shared" si="27"/>
        <v>27.223282456871349</v>
      </c>
      <c r="N204" s="32">
        <f>'input site'!EV204</f>
        <v>27.223282456871349</v>
      </c>
      <c r="O204" s="8"/>
      <c r="P204" s="8"/>
      <c r="Q204" s="32">
        <f t="shared" si="28"/>
        <v>4.741996093153209</v>
      </c>
      <c r="R204" s="32">
        <f>'input site'!EZ204</f>
        <v>4.741996093153209</v>
      </c>
      <c r="S204" s="37">
        <f>'input site'!FA204</f>
        <v>0</v>
      </c>
      <c r="T204" s="37" t="str">
        <f>Table12[[#This Row],[(Mt CO2 equivalent)]]</f>
        <v>Syria</v>
      </c>
      <c r="U204" s="8">
        <f>VLOOKUP($G204,'NZT data'!$B$3:$F$200,4,FALSE)</f>
        <v>2110</v>
      </c>
      <c r="V204" s="32">
        <f>VLOOKUP($G204,'NZT data'!$B$3:$F$200,5,FALSE)</f>
        <v>2125</v>
      </c>
      <c r="W204" s="32">
        <f>-IF('LUC NGHGI'!EC194="",MIN('LUC NGHGI'!DW194,0.1),MIN('LUC NGHGI'!EC194,0.1))</f>
        <v>0</v>
      </c>
      <c r="X204" s="32" t="str">
        <f>'LUC NGHGI'!EC194</f>
        <v/>
      </c>
      <c r="Y204" s="32" t="str">
        <f>'LUC NGHGI'!DY194</f>
        <v/>
      </c>
      <c r="Z204" s="32" t="str">
        <f>'LUC NGHGI'!DZ194</f>
        <v/>
      </c>
      <c r="AA204" s="32">
        <f>Table12[[#This Row],[2021 emissions]]</f>
        <v>55.924931000000001</v>
      </c>
      <c r="AB204" s="32">
        <f>'LUC NGHGI'!DW194</f>
        <v>0</v>
      </c>
      <c r="AC204" s="32">
        <f>IF(F204="incl",Table12[[#This Row],[GHG emissions incl LULUCF]]-Table12[[#This Row],[LULUCF emis-sions in 20213]],Table12[[#This Row],[GHG emissions incl LULUCF]])</f>
        <v>55.924931000000001</v>
      </c>
      <c r="AD204" s="32">
        <f>'input site'!BS204</f>
        <v>55.5318815062124</v>
      </c>
      <c r="AE204" s="32">
        <f>'LUC NGHGI'!EH194</f>
        <v>0</v>
      </c>
      <c r="AF204" s="32">
        <f>IF(F204="incl",Table12[[#This Row],[Current Policies 2030 incl LULUCF]]-Table12[[#This Row],[LULUCF CurPol 2030]],Table12[[#This Row],[Current Policies 2030 incl LULUCF]])</f>
        <v>55.5318815062124</v>
      </c>
      <c r="AG204" s="32" t="str">
        <f>IF(Table12[[#This Row],[Net-zero target status]]&lt;=1,"",IF(Table12[[#This Row],[NZ GHG year]]="","",1000000000*(Table12[[#This Row],[residual LULUCF emissions in 2050]]-Table12[[#This Row],[GHG emissions excl LULUCF]])/(Table12[[#This Row],[NZ GHG year]]-2021)/Table12[[#This Row],[Population]]))</f>
        <v/>
      </c>
      <c r="AH204" s="32" t="str">
        <f>IF(Table12[[#This Row],[Peak revised]]="Yes",IF(Table12[[#This Row],[Net-zero target status]]&lt;=1,"",IF(Table12[[#This Row],[NZ GHG year]]="","",1000000000*(Table12[[#This Row],[residual LULUCF emissions in 2050]]-Table12[[#This Row],[GHG emissions excl LULUCF]])/(Table12[[#This Row],[NZ GHG year]]-2021)/Table12[[#This Row],[Population]])),"")</f>
        <v/>
      </c>
      <c r="AI204" s="32">
        <f>MAX(0,(1000000*(Table12[[#This Row],[Current Policies 2030 excl LULUCF]]/2+Table12[[#This Row],[GHG emissions excl LULUCF]]/2)/Table12[[#This Row],[Population]]-$AI$8)*10)*$AI$10</f>
        <v>0</v>
      </c>
      <c r="AJ20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4" s="32" t="str">
        <f>IF(Table12[[#This Row],[Formule no Peak (2)]]="","",Table12[[#This Row],[Penalty (1)]]+Table12[[#This Row],[Formule no Peak (2)]])</f>
        <v/>
      </c>
      <c r="AL204" s="313">
        <f>(Table12[[#This Row],[Current Policies 2030 excl LULUCF]]-Table12[[#This Row],[GHG emissions excl LULUCF]])/(2030-2021)/Table12[[#This Row],[GHG emissions excl LULUCF]]</f>
        <v>-7.8090692640103688E-4</v>
      </c>
      <c r="AM204" s="313" t="str">
        <f>IF(Table12[[#This Row],[Net-zero target status]]&lt;=1,"",IF(Table12[[#This Row],[NZ GHG year]]="","",(Table12[[#This Row],[residual LULUCF emissions in 2050]]-Table12[[#This Row],[Current Policies 2030 excl LULUCF]])/(Table12[[#This Row],[NZ GHG year]]-2030)/Table12[[#This Row],[Current Policies 2030 excl LULUCF]]))</f>
        <v/>
      </c>
      <c r="AN204" s="313" t="str">
        <f>IF(Table12[[#This Row],[Net-zero target status]]&lt;=1,"",IF(Table12[[#This Row],[NZ GHG year]]="","",(Table12[[#This Row],[residual LULUCF emissions in 2050]]-Table12[[#This Row],[GHG emissions excl LULUCF]])/(Table12[[#This Row],[NZ GHG year]]-2021)/Table12[[#This Row],[GHG emissions excl LULUCF]]))</f>
        <v/>
      </c>
      <c r="AO204" s="313" t="str">
        <f>IF(Table12[[#This Row],[Net-zero target status]]&lt;=1,"",IF(Table12[[#This Row],[NZ GHG year]]="","",(Table12[[#This Row],[residual LULUCF emissions in 2050]]-Table12[[#This Row],[2030 conditional NDCs]])/(Table12[[#This Row],[NZ GHG year]]-2030)/Table12[[#This Row],[2030 conditional NDCs]]))</f>
        <v/>
      </c>
      <c r="AP204" s="96">
        <f>MAX('input site'!AH204:AS204)</f>
        <v>89.303690000000003</v>
      </c>
      <c r="AQ204" s="95" t="str">
        <f>IF(Table12[[#This Row],[Current Policies 2030 incl LULUCF]]&gt;Table12[[#This Row],[Maximum inventory data]],"No","Yes")</f>
        <v>Yes</v>
      </c>
      <c r="AR204" s="34" t="str">
        <f>IF(Table12[[#This Row],[Net-zero target status]]&gt;=1.5,Table12[[#This Row],[residual LULUCF emissions in 2050]]/Table12[[#This Row],[GHG emissions excl LULUCF]],"")</f>
        <v/>
      </c>
      <c r="AS204" s="74" t="str">
        <f>'input site'!BE204</f>
        <v/>
      </c>
      <c r="AT204" s="74"/>
      <c r="AU204" s="74"/>
      <c r="AV204" s="75"/>
      <c r="AW204" s="74" t="str">
        <f>IF(Table12[[#This Row],[2030 unconditional NDCs]]="","",IF(F204="incl",Table12[[#This Row],[2030 unconditional NDCs]]-Table12[[#This Row],[LULUCF NDC uncond]],Table12[[#This Row],[2030 unconditional NDCs]]))</f>
        <v/>
      </c>
      <c r="AX204" s="74" t="str">
        <f>IF(Table12[[#This Row],[2030 unconditional NDCs2]]="","",IF(F204="incl",Table12[[#This Row],[2030 unconditional NDCs2]]-Table12[[#This Row],[LULUCF NDC uncond]],Table12[[#This Row],[2030 unconditional NDCs2]]))</f>
        <v/>
      </c>
      <c r="AY204" s="74" t="str">
        <f>IF(Table12[[#This Row],[2030 conditional NDCs]]="","",IF(F204="incl",Table12[[#This Row],[2030 conditional NDCs]]-Table12[[#This Row],[LULUCF NDC cond]],Table12[[#This Row],[2030 conditional NDCs]]))</f>
        <v/>
      </c>
      <c r="AZ204" s="74" t="str">
        <f>IF(Table12[[#This Row],[2030 conditional NDCs2]]="","",IF(F204="incl",Table12[[#This Row],[2030 conditional NDCs2]]-Table12[[#This Row],[LULUCF NDC cond]],Table12[[#This Row],[2030 conditional NDCs2]]))</f>
        <v/>
      </c>
      <c r="BA204" s="8">
        <f>VLOOKUP($G204,'Population90 20'!$C$6:$AU$231,37,FALSE)</f>
        <v>19364809</v>
      </c>
      <c r="BB204" s="8">
        <f>VLOOKUP($G204,'Overview GDP (PPP)'!$C$6:$AI$231,33,FALSE)</f>
        <v>18095287.109375</v>
      </c>
      <c r="BC204" s="36">
        <f>Table12[[#This Row],[Income]]/Table12[[#This Row],[Population]]</f>
        <v>0.93444180675239297</v>
      </c>
      <c r="BD204" s="36">
        <f>Table12[[#This Row],[GHG emissions excl LULUCF]]*1000000/Table12[[#This Row],[Population]]</f>
        <v>2.8879670850355406</v>
      </c>
      <c r="BE204" s="23" t="e">
        <f>VLOOKUP($G204,EGR2023_MASTER!$B$4:$S$38,14,FALSE)</f>
        <v>#N/A</v>
      </c>
      <c r="BF204" s="23" t="e">
        <f>VLOOKUP($G204,EGR2023_MASTER!$B$4:$S$38,15,FALSE)</f>
        <v>#N/A</v>
      </c>
      <c r="BG204" s="23" t="e">
        <f>VLOOKUP($G204,EGR2023_MASTER!$B$4:$S$38,16,FALSE)</f>
        <v>#N/A</v>
      </c>
      <c r="BH204" s="23" t="e">
        <f t="shared" ref="BH204:BH239" si="29">IF(AND(BE204="Y",AND(BF204="credible",BG204="Y")),"higher",IF(BG204="Y","lower",IF(AND(BG204="N",OR(BE204="Y",BF204="credible")),"lower","much lower")))</f>
        <v>#N/A</v>
      </c>
      <c r="BI204" s="23" t="e">
        <f t="shared" ref="BI204:BI238" si="30">IF(AND($BF204="credible",BG204="Y"),"stronger","weak")</f>
        <v>#N/A</v>
      </c>
      <c r="BJ204" s="552">
        <f>(Table12[[#This Row],[Current Policies 2030 excl LULUCF]]/Table12[[#This Row],[GHG emissions excl LULUCF]])^(1/(2030-2021))-1</f>
        <v>-7.8335703807896895E-4</v>
      </c>
      <c r="BK204" s="552" t="str">
        <f>IF(Table12[[#This Row],[Net-zero target status]]&lt;=1,"",IF(Table12[[#This Row],[NZ GHG year]]="","",((MAX(Table12[[#This Row],[residual LULUCF emissions in 2050]],0.1)/Table12[[#This Row],[Current Policies 2030 excl LULUCF]])^(1/(Table12[[#This Row],[NZ GHG year]]-2021))-1)))</f>
        <v/>
      </c>
      <c r="BL204" s="552" t="str">
        <f>IF(Table12[[#This Row],[Net-zero target status]]&lt;=1,"",IF(Table12[[#This Row],[NZ GHG year]]="","",((MAX(Table12[[#This Row],[residual LULUCF emissions in 2050]],0.1)/Table12[[#This Row],[GHG emissions excl LULUCF]])^(1/(Table12[[#This Row],[NZ GHG year]]-2021))-1)))</f>
        <v/>
      </c>
      <c r="BM204" s="552" t="str">
        <f>IF(Table12[[#This Row],[Net-zero target status]]&lt;=1,"",IF(Table12[[#This Row],[NZ GHG year]]="","",((MAX(Table12[[#This Row],[residual LULUCF emissions in 2050]],0.1)/AVERAGE(Table12[[#This Row],[2030 conditional NDCs]:[2030 conditional NDCs2]]))^(1/(Table12[[#This Row],[NZ GHG year]]-2021))-1)))</f>
        <v/>
      </c>
      <c r="BN204" s="23"/>
      <c r="BO204" s="23"/>
      <c r="BP204" s="23"/>
      <c r="BQ204" s="23"/>
      <c r="BR204" s="50" t="s">
        <v>437</v>
      </c>
      <c r="BT204" s="30" t="str">
        <f>IF(Table12[[#This Row],[Reduction rate 2021 to NZ target2]]="","",J204*(1+AN204)^(Table12[[#This Row],[NZ GHG year]]-2021))</f>
        <v/>
      </c>
    </row>
    <row r="205" spans="1:72" ht="15" x14ac:dyDescent="0.25">
      <c r="A205">
        <v>0</v>
      </c>
      <c r="B205">
        <v>0</v>
      </c>
      <c r="C205">
        <v>158</v>
      </c>
      <c r="D205">
        <v>41</v>
      </c>
      <c r="E205">
        <v>20</v>
      </c>
      <c r="F205" t="str">
        <f>'input site'!M205</f>
        <v>incl</v>
      </c>
      <c r="G205" s="31" t="s">
        <v>438</v>
      </c>
      <c r="H205" s="1" t="s">
        <v>439</v>
      </c>
      <c r="I205" s="8">
        <v>0</v>
      </c>
      <c r="J205" s="32">
        <f>'input site'!AS205</f>
        <v>303.75721999999996</v>
      </c>
      <c r="K205" s="32">
        <f>'input site'!BS205</f>
        <v>305.07648351210202</v>
      </c>
      <c r="L205" s="32">
        <f t="shared" ref="L205:L236" si="31">IF(I205&gt;=1,O205,K205)</f>
        <v>305.07648351210202</v>
      </c>
      <c r="M205" s="32">
        <f t="shared" ref="M205:M236" si="32">IF(I205&gt;=1,O205,N205)</f>
        <v>53.434083448752517</v>
      </c>
      <c r="N205" s="32">
        <f>'input site'!EV205</f>
        <v>53.434083448752517</v>
      </c>
      <c r="O205" s="8"/>
      <c r="P205" s="8"/>
      <c r="Q205" s="32">
        <f t="shared" si="28"/>
        <v>25.136877926668458</v>
      </c>
      <c r="R205" s="32">
        <f>'input site'!EZ205</f>
        <v>25.136877926668458</v>
      </c>
      <c r="S205" s="37">
        <f>'input site'!FA205</f>
        <v>0</v>
      </c>
      <c r="T205" s="37" t="str">
        <f>Table12[[#This Row],[(Mt CO2 equivalent)]]</f>
        <v>Taiwan</v>
      </c>
      <c r="U205" s="35">
        <v>2100</v>
      </c>
      <c r="V205" s="35">
        <v>2100</v>
      </c>
      <c r="W205" s="32">
        <f>-IF('LUC NGHGI'!EC195="",MIN('LUC NGHGI'!DW195,0.1),MIN('LUC NGHGI'!EC195,0.1))</f>
        <v>0</v>
      </c>
      <c r="X205" s="32" t="str">
        <f>'LUC NGHGI'!EC195</f>
        <v/>
      </c>
      <c r="Y205" s="32" t="str">
        <f>'LUC NGHGI'!DY195</f>
        <v/>
      </c>
      <c r="Z205" s="32" t="str">
        <f>'LUC NGHGI'!DZ195</f>
        <v/>
      </c>
      <c r="AA205" s="32">
        <f>Table12[[#This Row],[2021 emissions]]</f>
        <v>303.75721999999996</v>
      </c>
      <c r="AB205" s="32">
        <f>'LUC NGHGI'!DW195</f>
        <v>0</v>
      </c>
      <c r="AC205" s="32">
        <f>IF(F205="incl",Table12[[#This Row],[GHG emissions incl LULUCF]]-Table12[[#This Row],[LULUCF emis-sions in 20213]],Table12[[#This Row],[GHG emissions incl LULUCF]])</f>
        <v>303.75721999999996</v>
      </c>
      <c r="AD205" s="32">
        <f>'input site'!BS205</f>
        <v>305.07648351210202</v>
      </c>
      <c r="AE205" s="32">
        <f>'LUC NGHGI'!EH195</f>
        <v>0</v>
      </c>
      <c r="AF205" s="32">
        <f>IF(F205="incl",Table12[[#This Row],[Current Policies 2030 incl LULUCF]]-Table12[[#This Row],[LULUCF CurPol 2030]],Table12[[#This Row],[Current Policies 2030 incl LULUCF]])</f>
        <v>305.07648351210202</v>
      </c>
      <c r="AG205" s="32" t="str">
        <f>IF(Table12[[#This Row],[Net-zero target status]]&lt;=1,"",IF(Table12[[#This Row],[NZ GHG year]]="","",1000000000*(Table12[[#This Row],[residual LULUCF emissions in 2050]]-Table12[[#This Row],[GHG emissions excl LULUCF]])/(Table12[[#This Row],[NZ GHG year]]-2021)/Table12[[#This Row],[Population]]))</f>
        <v/>
      </c>
      <c r="AH205" s="32" t="str">
        <f>IF(Table12[[#This Row],[Peak revised]]="Yes",IF(Table12[[#This Row],[Net-zero target status]]&lt;=1,"",IF(Table12[[#This Row],[NZ GHG year]]="","",1000000000*(Table12[[#This Row],[residual LULUCF emissions in 2050]]-Table12[[#This Row],[GHG emissions excl LULUCF]])/(Table12[[#This Row],[NZ GHG year]]-2021)/Table12[[#This Row],[Population]])),"")</f>
        <v/>
      </c>
      <c r="AI205" s="32">
        <f>MAX(0,(1000000*(Table12[[#This Row],[Current Policies 2030 excl LULUCF]]/2+Table12[[#This Row],[GHG emissions excl LULUCF]]/2)/Table12[[#This Row],[Population]]-$AI$8)*10)*$AI$10</f>
        <v>-574.31877745866154</v>
      </c>
      <c r="AJ20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5" s="32" t="str">
        <f>IF(Table12[[#This Row],[Formule no Peak (2)]]="","",Table12[[#This Row],[Penalty (1)]]+Table12[[#This Row],[Formule no Peak (2)]])</f>
        <v/>
      </c>
      <c r="AL205" s="313">
        <f>(Table12[[#This Row],[Current Policies 2030 excl LULUCF]]-Table12[[#This Row],[GHG emissions excl LULUCF]])/(2030-2021)/Table12[[#This Row],[GHG emissions excl LULUCF]]</f>
        <v>4.8257234734373083E-4</v>
      </c>
      <c r="AM205" s="313" t="str">
        <f>IF(Table12[[#This Row],[Net-zero target status]]&lt;=1,"",IF(Table12[[#This Row],[NZ GHG year]]="","",(Table12[[#This Row],[residual LULUCF emissions in 2050]]-Table12[[#This Row],[Current Policies 2030 excl LULUCF]])/(Table12[[#This Row],[NZ GHG year]]-2030)/Table12[[#This Row],[Current Policies 2030 excl LULUCF]]))</f>
        <v/>
      </c>
      <c r="AN205" s="313" t="str">
        <f>IF(Table12[[#This Row],[Net-zero target status]]&lt;=1,"",IF(Table12[[#This Row],[NZ GHG year]]="","",(Table12[[#This Row],[residual LULUCF emissions in 2050]]-Table12[[#This Row],[GHG emissions excl LULUCF]])/(Table12[[#This Row],[NZ GHG year]]-2021)/Table12[[#This Row],[GHG emissions excl LULUCF]]))</f>
        <v/>
      </c>
      <c r="AO205" s="313" t="str">
        <f>IF(Table12[[#This Row],[Net-zero target status]]&lt;=1,"",IF(Table12[[#This Row],[NZ GHG year]]="","",(Table12[[#This Row],[residual LULUCF emissions in 2050]]-Table12[[#This Row],[2030 conditional NDCs]])/(Table12[[#This Row],[NZ GHG year]]-2030)/Table12[[#This Row],[2030 conditional NDCs]]))</f>
        <v/>
      </c>
      <c r="AP205" s="96">
        <f>MAX('input site'!AH205:AS205)</f>
        <v>304.72496000000001</v>
      </c>
      <c r="AQ205" s="95" t="str">
        <f>IF(Table12[[#This Row],[Current Policies 2030 incl LULUCF]]&gt;Table12[[#This Row],[Maximum inventory data]],"No","Yes")</f>
        <v>No</v>
      </c>
      <c r="AR205" s="34" t="str">
        <f>IF(Table12[[#This Row],[Net-zero target status]]&gt;=1.5,Table12[[#This Row],[residual LULUCF emissions in 2050]]/Table12[[#This Row],[GHG emissions excl LULUCF]],"")</f>
        <v/>
      </c>
      <c r="AS205" s="74">
        <f>'input site'!BE205</f>
        <v>214</v>
      </c>
      <c r="AT205" s="74">
        <f>'input site'!BF205</f>
        <v>214</v>
      </c>
      <c r="AU205" s="74">
        <f>'input site'!BG205</f>
        <v>214</v>
      </c>
      <c r="AV205" s="74">
        <f>'input site'!BH205</f>
        <v>214</v>
      </c>
      <c r="AW205" s="74"/>
      <c r="AX205" s="74"/>
      <c r="AY205" s="74"/>
      <c r="AZ205" s="74"/>
      <c r="BA205" s="8">
        <f>VLOOKUP($G205,'Population90 20'!$C$6:$AU$231,37,FALSE)</f>
        <v>23888595</v>
      </c>
      <c r="BB205" s="8">
        <f>VLOOKUP($G205,'Overview GDP (PPP)'!$C$6:$AI$231,33,FALSE)</f>
        <v>1039426219.546875</v>
      </c>
      <c r="BC205" s="36">
        <f>Table12[[#This Row],[Income]]/Table12[[#This Row],[Population]]</f>
        <v>43.511400295700732</v>
      </c>
      <c r="BD205" s="36">
        <f>Table12[[#This Row],[GHG emissions excl LULUCF]]*1000000/Table12[[#This Row],[Population]]</f>
        <v>12.715574942770806</v>
      </c>
      <c r="BE205" s="23" t="e">
        <f>VLOOKUP($G205,EGR2023_MASTER!$B$4:$S$38,14,FALSE)</f>
        <v>#N/A</v>
      </c>
      <c r="BF205" s="23" t="e">
        <f>VLOOKUP($G205,EGR2023_MASTER!$B$4:$S$38,15,FALSE)</f>
        <v>#N/A</v>
      </c>
      <c r="BG205" s="23" t="e">
        <f>VLOOKUP($G205,EGR2023_MASTER!$B$4:$S$38,16,FALSE)</f>
        <v>#N/A</v>
      </c>
      <c r="BH205" s="23" t="e">
        <f t="shared" si="29"/>
        <v>#N/A</v>
      </c>
      <c r="BI205" s="23" t="e">
        <f t="shared" si="30"/>
        <v>#N/A</v>
      </c>
      <c r="BJ205" s="552">
        <f>(Table12[[#This Row],[Current Policies 2030 excl LULUCF]]/Table12[[#This Row],[GHG emissions excl LULUCF]])^(1/(2030-2021))-1</f>
        <v>4.8164338236866833E-4</v>
      </c>
      <c r="BK205" s="552" t="str">
        <f>IF(Table12[[#This Row],[Net-zero target status]]&lt;=1,"",IF(Table12[[#This Row],[NZ GHG year]]="","",((MAX(Table12[[#This Row],[residual LULUCF emissions in 2050]],0.1)/Table12[[#This Row],[Current Policies 2030 excl LULUCF]])^(1/(Table12[[#This Row],[NZ GHG year]]-2021))-1)))</f>
        <v/>
      </c>
      <c r="BL205" s="552" t="str">
        <f>IF(Table12[[#This Row],[Net-zero target status]]&lt;=1,"",IF(Table12[[#This Row],[NZ GHG year]]="","",((MAX(Table12[[#This Row],[residual LULUCF emissions in 2050]],0.1)/Table12[[#This Row],[GHG emissions excl LULUCF]])^(1/(Table12[[#This Row],[NZ GHG year]]-2021))-1)))</f>
        <v/>
      </c>
      <c r="BM205" s="552" t="str">
        <f>IF(Table12[[#This Row],[Net-zero target status]]&lt;=1,"",IF(Table12[[#This Row],[NZ GHG year]]="","",((MAX(Table12[[#This Row],[residual LULUCF emissions in 2050]],0.1)/AVERAGE(Table12[[#This Row],[2030 conditional NDCs]:[2030 conditional NDCs2]]))^(1/(Table12[[#This Row],[NZ GHG year]]-2021))-1)))</f>
        <v/>
      </c>
      <c r="BN205" s="23"/>
      <c r="BO205" s="23"/>
      <c r="BP205" s="23"/>
      <c r="BQ205" s="23"/>
      <c r="BR205" s="50" t="s">
        <v>439</v>
      </c>
      <c r="BT205" s="30" t="str">
        <f>IF(Table12[[#This Row],[Reduction rate 2021 to NZ target2]]="","",J205*(1+AN205)^(Table12[[#This Row],[NZ GHG year]]-2021))</f>
        <v/>
      </c>
    </row>
    <row r="206" spans="1:72" ht="15" x14ac:dyDescent="0.25">
      <c r="A206">
        <v>0</v>
      </c>
      <c r="B206">
        <v>0</v>
      </c>
      <c r="C206">
        <v>762</v>
      </c>
      <c r="D206">
        <v>196</v>
      </c>
      <c r="E206">
        <v>15</v>
      </c>
      <c r="F206" t="str">
        <f>'input site'!M206</f>
        <v>incl</v>
      </c>
      <c r="G206" s="31" t="s">
        <v>440</v>
      </c>
      <c r="H206" s="1" t="s">
        <v>441</v>
      </c>
      <c r="I206" s="8">
        <f>VLOOKUP($G206,'NZT data'!$B$3:$C$200,2,FALSE)</f>
        <v>0</v>
      </c>
      <c r="J206" s="32">
        <f>'input site'!AS206</f>
        <v>11.902433978835976</v>
      </c>
      <c r="K206" s="32">
        <f>'input site'!BS206</f>
        <v>14.631996825555365</v>
      </c>
      <c r="L206" s="32">
        <f t="shared" si="31"/>
        <v>14.631996825555365</v>
      </c>
      <c r="M206" s="32">
        <f t="shared" si="32"/>
        <v>5.2516084163686134</v>
      </c>
      <c r="N206" s="32">
        <f>'input site'!EV206</f>
        <v>5.2516084163686134</v>
      </c>
      <c r="O206" s="8"/>
      <c r="P206" s="8"/>
      <c r="Q206" s="32">
        <f t="shared" ref="Q206:Q236" si="33">IF(I206&gt;=1,O206,R206)</f>
        <v>3.3363798870476642</v>
      </c>
      <c r="R206" s="32">
        <f>'input site'!EZ206</f>
        <v>3.3363798870476642</v>
      </c>
      <c r="S206" s="37">
        <f>'input site'!FA206</f>
        <v>0</v>
      </c>
      <c r="T206" s="37" t="str">
        <f>Table12[[#This Row],[(Mt CO2 equivalent)]]</f>
        <v>Tajikistan</v>
      </c>
      <c r="U206" s="8">
        <f>VLOOKUP($G206,'NZT data'!$B$3:$F$200,4,FALSE)</f>
        <v>2110</v>
      </c>
      <c r="V206" s="32" t="str">
        <f>VLOOKUP($G206,'NZT data'!$B$3:$F$200,5,FALSE)</f>
        <v/>
      </c>
      <c r="W206" s="32">
        <f>-IF('LUC NGHGI'!EC196="",MIN('LUC NGHGI'!DW196,0.1),MIN('LUC NGHGI'!EC196,0.1))</f>
        <v>1.393838386243381</v>
      </c>
      <c r="X206" s="32">
        <f>'LUC NGHGI'!EC196</f>
        <v>-1.393838386243381</v>
      </c>
      <c r="Y206" s="32">
        <f>'LUC NGHGI'!DY196</f>
        <v>-1.393838386243381</v>
      </c>
      <c r="Z206" s="32">
        <f>'LUC NGHGI'!DZ196</f>
        <v>-1.393838386243381</v>
      </c>
      <c r="AA206" s="32">
        <f>Table12[[#This Row],[2021 emissions]]</f>
        <v>11.902433978835976</v>
      </c>
      <c r="AB206" s="32">
        <f>'LUC NGHGI'!DW196</f>
        <v>-1.375004021164024</v>
      </c>
      <c r="AC206" s="32">
        <f>IF(F206="incl",Table12[[#This Row],[GHG emissions incl LULUCF]]-Table12[[#This Row],[LULUCF emis-sions in 20213]],Table12[[#This Row],[GHG emissions incl LULUCF]])</f>
        <v>13.277438</v>
      </c>
      <c r="AD206" s="32">
        <f>'input site'!BS206</f>
        <v>14.631996825555365</v>
      </c>
      <c r="AE206" s="32">
        <f>'LUC NGHGI'!EH196</f>
        <v>-1.8567449221919152</v>
      </c>
      <c r="AF206" s="32">
        <f>IF(F206="incl",Table12[[#This Row],[Current Policies 2030 incl LULUCF]]-Table12[[#This Row],[LULUCF CurPol 2030]],Table12[[#This Row],[Current Policies 2030 incl LULUCF]])</f>
        <v>16.48874174774728</v>
      </c>
      <c r="AG206" s="32" t="str">
        <f>IF(Table12[[#This Row],[Net-zero target status]]&lt;=1,"",IF(Table12[[#This Row],[NZ GHG year]]="","",1000000000*(Table12[[#This Row],[residual LULUCF emissions in 2050]]-Table12[[#This Row],[GHG emissions excl LULUCF]])/(Table12[[#This Row],[NZ GHG year]]-2021)/Table12[[#This Row],[Population]]))</f>
        <v/>
      </c>
      <c r="AH206" s="32" t="str">
        <f>IF(Table12[[#This Row],[Peak revised]]="Yes",IF(Table12[[#This Row],[Net-zero target status]]&lt;=1,"",IF(Table12[[#This Row],[NZ GHG year]]="","",1000000000*(Table12[[#This Row],[residual LULUCF emissions in 2050]]-Table12[[#This Row],[GHG emissions excl LULUCF]])/(Table12[[#This Row],[NZ GHG year]]-2021)/Table12[[#This Row],[Population]])),"")</f>
        <v/>
      </c>
      <c r="AI206" s="32">
        <f>MAX(0,(1000000*(Table12[[#This Row],[Current Policies 2030 excl LULUCF]]/2+Table12[[#This Row],[GHG emissions excl LULUCF]]/2)/Table12[[#This Row],[Population]]-$AI$8)*10)*$AI$10</f>
        <v>0</v>
      </c>
      <c r="AJ20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6" s="32" t="str">
        <f>IF(Table12[[#This Row],[Formule no Peak (2)]]="","",Table12[[#This Row],[Penalty (1)]]+Table12[[#This Row],[Formule no Peak (2)]])</f>
        <v/>
      </c>
      <c r="AL206" s="313">
        <f>(Table12[[#This Row],[Current Policies 2030 excl LULUCF]]-Table12[[#This Row],[GHG emissions excl LULUCF]])/(2030-2021)/Table12[[#This Row],[GHG emissions excl LULUCF]]</f>
        <v>2.6873522401496101E-2</v>
      </c>
      <c r="AM206" s="313" t="str">
        <f>IF(Table12[[#This Row],[Net-zero target status]]&lt;=1,"",IF(Table12[[#This Row],[NZ GHG year]]="","",(Table12[[#This Row],[residual LULUCF emissions in 2050]]-Table12[[#This Row],[Current Policies 2030 excl LULUCF]])/(Table12[[#This Row],[NZ GHG year]]-2030)/Table12[[#This Row],[Current Policies 2030 excl LULUCF]]))</f>
        <v/>
      </c>
      <c r="AN206" s="313" t="str">
        <f>IF(Table12[[#This Row],[Net-zero target status]]&lt;=1,"",IF(Table12[[#This Row],[NZ GHG year]]="","",(Table12[[#This Row],[residual LULUCF emissions in 2050]]-Table12[[#This Row],[GHG emissions excl LULUCF]])/(Table12[[#This Row],[NZ GHG year]]-2021)/Table12[[#This Row],[GHG emissions excl LULUCF]]))</f>
        <v/>
      </c>
      <c r="AO206" s="313" t="str">
        <f>IF(Table12[[#This Row],[Net-zero target status]]&lt;=1,"",IF(Table12[[#This Row],[NZ GHG year]]="","",(Table12[[#This Row],[residual LULUCF emissions in 2050]]-Table12[[#This Row],[2030 conditional NDCs]])/(Table12[[#This Row],[NZ GHG year]]-2030)/Table12[[#This Row],[2030 conditional NDCs]]))</f>
        <v/>
      </c>
      <c r="AP206" s="96">
        <f>MAX('input site'!AH206:AS206)</f>
        <v>12.108446518518521</v>
      </c>
      <c r="AQ206" s="95" t="str">
        <f>IF(Table12[[#This Row],[Current Policies 2030 incl LULUCF]]&gt;Table12[[#This Row],[Maximum inventory data]],"No","Yes")</f>
        <v>No</v>
      </c>
      <c r="AR206" s="34" t="str">
        <f>IF(Table12[[#This Row],[Net-zero target status]]&gt;=1.5,Table12[[#This Row],[residual LULUCF emissions in 2050]]/Table12[[#This Row],[GHG emissions excl LULUCF]],"")</f>
        <v/>
      </c>
      <c r="AS206" s="74">
        <f>'input site'!BE206</f>
        <v>25.958073600000002</v>
      </c>
      <c r="AT206" s="74">
        <f>'input site'!BF206</f>
        <v>25.958073600000002</v>
      </c>
      <c r="AU206" s="74">
        <f>'input site'!BG206</f>
        <v>21.631728000000003</v>
      </c>
      <c r="AV206" s="74">
        <f>'input site'!BH206</f>
        <v>21.631728000000003</v>
      </c>
      <c r="AW206" s="74">
        <f>IF(Table12[[#This Row],[2030 unconditional NDCs]]="","",IF(F206="incl",Table12[[#This Row],[2030 unconditional NDCs]]-Table12[[#This Row],[LULUCF NDC uncond]],Table12[[#This Row],[2030 unconditional NDCs]]))</f>
        <v>27.351911986243383</v>
      </c>
      <c r="AX206" s="74">
        <f>IF(Table12[[#This Row],[2030 unconditional NDCs2]]="","",IF(F206="incl",Table12[[#This Row],[2030 unconditional NDCs2]]-Table12[[#This Row],[LULUCF NDC uncond]],Table12[[#This Row],[2030 unconditional NDCs2]]))</f>
        <v>27.351911986243383</v>
      </c>
      <c r="AY206" s="74">
        <f>IF(Table12[[#This Row],[2030 conditional NDCs]]="","",IF(F206="incl",Table12[[#This Row],[2030 conditional NDCs]]-Table12[[#This Row],[LULUCF NDC cond]],Table12[[#This Row],[2030 conditional NDCs]]))</f>
        <v>23.025566386243383</v>
      </c>
      <c r="AZ206" s="74">
        <f>IF(Table12[[#This Row],[2030 conditional NDCs2]]="","",IF(F206="incl",Table12[[#This Row],[2030 conditional NDCs2]]-Table12[[#This Row],[LULUCF NDC cond]],Table12[[#This Row],[2030 conditional NDCs2]]))</f>
        <v>23.025566386243383</v>
      </c>
      <c r="BA206" s="8">
        <f>VLOOKUP($G206,'Population90 20'!$C$6:$AU$231,37,FALSE)</f>
        <v>9957464</v>
      </c>
      <c r="BB206" s="8">
        <f>VLOOKUP($G206,'Overview GDP (PPP)'!$C$6:$AI$231,33,FALSE)</f>
        <v>27858305.681435991</v>
      </c>
      <c r="BC206" s="36">
        <f>Table12[[#This Row],[Income]]/Table12[[#This Row],[Population]]</f>
        <v>2.7977309967112101</v>
      </c>
      <c r="BD206" s="36">
        <f>Table12[[#This Row],[GHG emissions excl LULUCF]]*1000000/Table12[[#This Row],[Population]]</f>
        <v>1.333415616667055</v>
      </c>
      <c r="BE206" s="23" t="e">
        <f>VLOOKUP($G206,EGR2023_MASTER!$B$4:$S$38,14,FALSE)</f>
        <v>#N/A</v>
      </c>
      <c r="BF206" s="23" t="e">
        <f>VLOOKUP($G206,EGR2023_MASTER!$B$4:$S$38,15,FALSE)</f>
        <v>#N/A</v>
      </c>
      <c r="BG206" s="23" t="e">
        <f>VLOOKUP($G206,EGR2023_MASTER!$B$4:$S$38,16,FALSE)</f>
        <v>#N/A</v>
      </c>
      <c r="BH206" s="23" t="e">
        <f t="shared" si="29"/>
        <v>#N/A</v>
      </c>
      <c r="BI206" s="23" t="e">
        <f t="shared" si="30"/>
        <v>#N/A</v>
      </c>
      <c r="BJ206" s="552">
        <f>(Table12[[#This Row],[Current Policies 2030 excl LULUCF]]/Table12[[#This Row],[GHG emissions excl LULUCF]])^(1/(2030-2021))-1</f>
        <v>2.4359929427294036E-2</v>
      </c>
      <c r="BK206" s="552" t="str">
        <f>IF(Table12[[#This Row],[Net-zero target status]]&lt;=1,"",IF(Table12[[#This Row],[NZ GHG year]]="","",((MAX(Table12[[#This Row],[residual LULUCF emissions in 2050]],0.1)/Table12[[#This Row],[Current Policies 2030 excl LULUCF]])^(1/(Table12[[#This Row],[NZ GHG year]]-2021))-1)))</f>
        <v/>
      </c>
      <c r="BL206" s="552" t="str">
        <f>IF(Table12[[#This Row],[Net-zero target status]]&lt;=1,"",IF(Table12[[#This Row],[NZ GHG year]]="","",((MAX(Table12[[#This Row],[residual LULUCF emissions in 2050]],0.1)/Table12[[#This Row],[GHG emissions excl LULUCF]])^(1/(Table12[[#This Row],[NZ GHG year]]-2021))-1)))</f>
        <v/>
      </c>
      <c r="BM206" s="552" t="str">
        <f>IF(Table12[[#This Row],[Net-zero target status]]&lt;=1,"",IF(Table12[[#This Row],[NZ GHG year]]="","",((MAX(Table12[[#This Row],[residual LULUCF emissions in 2050]],0.1)/AVERAGE(Table12[[#This Row],[2030 conditional NDCs]:[2030 conditional NDCs2]]))^(1/(Table12[[#This Row],[NZ GHG year]]-2021))-1)))</f>
        <v/>
      </c>
      <c r="BN206" s="23"/>
      <c r="BO206" s="23"/>
      <c r="BP206" s="23"/>
      <c r="BQ206" s="23"/>
      <c r="BR206" s="50" t="s">
        <v>441</v>
      </c>
      <c r="BT206" s="30" t="str">
        <f>IF(Table12[[#This Row],[Reduction rate 2021 to NZ target2]]="","",J206*(1+AN206)^(Table12[[#This Row],[NZ GHG year]]-2021))</f>
        <v/>
      </c>
    </row>
    <row r="207" spans="1:72" ht="15" x14ac:dyDescent="0.25">
      <c r="A207">
        <v>0</v>
      </c>
      <c r="B207">
        <v>0</v>
      </c>
      <c r="C207">
        <v>834</v>
      </c>
      <c r="D207">
        <v>213</v>
      </c>
      <c r="E207">
        <v>26</v>
      </c>
      <c r="F207" t="str">
        <f>'input site'!M207</f>
        <v>excl</v>
      </c>
      <c r="G207" s="31" t="s">
        <v>442</v>
      </c>
      <c r="H207" s="1" t="s">
        <v>443</v>
      </c>
      <c r="I207" s="8">
        <f>VLOOKUP($G207,'NZT data'!$B$3:$C$200,2,FALSE)</f>
        <v>1</v>
      </c>
      <c r="J207" s="32">
        <f>'input site'!AS207</f>
        <v>96.240530000000007</v>
      </c>
      <c r="K207" s="32">
        <f>'input site'!BS207</f>
        <v>117.12848772424611</v>
      </c>
      <c r="L207" s="32">
        <f t="shared" si="31"/>
        <v>0</v>
      </c>
      <c r="M207" s="32">
        <f t="shared" si="32"/>
        <v>0</v>
      </c>
      <c r="N207" s="32">
        <f>'input site'!EV207</f>
        <v>62.813624025181802</v>
      </c>
      <c r="O207" s="8"/>
      <c r="P207" s="36"/>
      <c r="Q207" s="32">
        <f t="shared" si="33"/>
        <v>0</v>
      </c>
      <c r="R207" s="32">
        <f>'input site'!EZ207</f>
        <v>58.573052488286628</v>
      </c>
      <c r="S207" s="37">
        <f>'input site'!FA207</f>
        <v>2050</v>
      </c>
      <c r="T207" s="37" t="str">
        <f>Table12[[#This Row],[(Mt CO2 equivalent)]]</f>
        <v>Tanzania</v>
      </c>
      <c r="U207" s="8">
        <f>VLOOKUP($G207,'NZT data'!$B$3:$F$200,4,FALSE)</f>
        <v>2110</v>
      </c>
      <c r="V207" s="32">
        <f>VLOOKUP($G207,'NZT data'!$B$3:$F$200,5,FALSE)</f>
        <v>2125</v>
      </c>
      <c r="W207" s="32">
        <f>-IF('LUC NGHGI'!EC197="",MIN('LUC NGHGI'!DW197,0.1),MIN('LUC NGHGI'!EC197,0.1))</f>
        <v>-0.1</v>
      </c>
      <c r="X207" s="32">
        <f>'LUC NGHGI'!EC197</f>
        <v>190.06168681318707</v>
      </c>
      <c r="Y207" s="32">
        <f>'LUC NGHGI'!DY197</f>
        <v>190.06168681318707</v>
      </c>
      <c r="Z207" s="32">
        <f>'LUC NGHGI'!DZ197</f>
        <v>190.06168681318707</v>
      </c>
      <c r="AA207" s="32">
        <f>Table12[[#This Row],[2021 emissions]]</f>
        <v>96.240530000000007</v>
      </c>
      <c r="AB207" s="32">
        <f>'LUC NGHGI'!DW197</f>
        <v>190.51781318681333</v>
      </c>
      <c r="AC207" s="32">
        <f>IF(F207="incl",Table12[[#This Row],[GHG emissions incl LULUCF]]-Table12[[#This Row],[LULUCF emis-sions in 20213]],Table12[[#This Row],[GHG emissions incl LULUCF]])</f>
        <v>96.240530000000007</v>
      </c>
      <c r="AD207" s="32">
        <f>'input site'!BS207</f>
        <v>117.12848772424611</v>
      </c>
      <c r="AE207" s="32">
        <f>'LUC NGHGI'!EH197</f>
        <v>145.29138204407053</v>
      </c>
      <c r="AF207" s="32">
        <f>IF(F207="incl",Table12[[#This Row],[Current Policies 2030 incl LULUCF]]-Table12[[#This Row],[LULUCF CurPol 2030]],Table12[[#This Row],[Current Policies 2030 incl LULUCF]])</f>
        <v>117.12848772424611</v>
      </c>
      <c r="AG207" s="32" t="str">
        <f>IF(Table12[[#This Row],[Net-zero target status]]&lt;=1,"",IF(Table12[[#This Row],[NZ GHG year]]="","",1000000000*(Table12[[#This Row],[residual LULUCF emissions in 2050]]-Table12[[#This Row],[GHG emissions excl LULUCF]])/(Table12[[#This Row],[NZ GHG year]]-2021)/Table12[[#This Row],[Population]]))</f>
        <v/>
      </c>
      <c r="AH207" s="32" t="str">
        <f>IF(Table12[[#This Row],[Peak revised]]="Yes",IF(Table12[[#This Row],[Net-zero target status]]&lt;=1,"",IF(Table12[[#This Row],[NZ GHG year]]="","",1000000000*(Table12[[#This Row],[residual LULUCF emissions in 2050]]-Table12[[#This Row],[GHG emissions excl LULUCF]])/(Table12[[#This Row],[NZ GHG year]]-2021)/Table12[[#This Row],[Population]])),"")</f>
        <v/>
      </c>
      <c r="AI207" s="32">
        <f>MAX(0,(1000000*(Table12[[#This Row],[Current Policies 2030 excl LULUCF]]/2+Table12[[#This Row],[GHG emissions excl LULUCF]]/2)/Table12[[#This Row],[Population]]-$AI$8)*10)*$AI$10</f>
        <v>0</v>
      </c>
      <c r="AJ20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7" s="32" t="str">
        <f>IF(Table12[[#This Row],[Formule no Peak (2)]]="","",Table12[[#This Row],[Penalty (1)]]+Table12[[#This Row],[Formule no Peak (2)]])</f>
        <v/>
      </c>
      <c r="AL207" s="313">
        <f>(Table12[[#This Row],[Current Policies 2030 excl LULUCF]]-Table12[[#This Row],[GHG emissions excl LULUCF]])/(2030-2021)/Table12[[#This Row],[GHG emissions excl LULUCF]]</f>
        <v>2.4115455220195696E-2</v>
      </c>
      <c r="AM207" s="313" t="str">
        <f>IF(Table12[[#This Row],[Net-zero target status]]&lt;=1,"",IF(Table12[[#This Row],[NZ GHG year]]="","",(Table12[[#This Row],[residual LULUCF emissions in 2050]]-Table12[[#This Row],[Current Policies 2030 excl LULUCF]])/(Table12[[#This Row],[NZ GHG year]]-2030)/Table12[[#This Row],[Current Policies 2030 excl LULUCF]]))</f>
        <v/>
      </c>
      <c r="AN207" s="313" t="str">
        <f>IF(Table12[[#This Row],[Net-zero target status]]&lt;=1,"",IF(Table12[[#This Row],[NZ GHG year]]="","",(Table12[[#This Row],[residual LULUCF emissions in 2050]]-Table12[[#This Row],[GHG emissions excl LULUCF]])/(Table12[[#This Row],[NZ GHG year]]-2021)/Table12[[#This Row],[GHG emissions excl LULUCF]]))</f>
        <v/>
      </c>
      <c r="AO207" s="313" t="str">
        <f>IF(Table12[[#This Row],[Net-zero target status]]&lt;=1,"",IF(Table12[[#This Row],[NZ GHG year]]="","",(Table12[[#This Row],[residual LULUCF emissions in 2050]]-Table12[[#This Row],[2030 conditional NDCs]])/(Table12[[#This Row],[NZ GHG year]]-2030)/Table12[[#This Row],[2030 conditional NDCs]]))</f>
        <v/>
      </c>
      <c r="AP207" s="96">
        <f>MAX('input site'!AH207:AS207)</f>
        <v>96.240530000000007</v>
      </c>
      <c r="AQ207" s="95" t="str">
        <f>IF(Table12[[#This Row],[Current Policies 2030 incl LULUCF]]&gt;Table12[[#This Row],[Maximum inventory data]],"No","Yes")</f>
        <v>No</v>
      </c>
      <c r="AR207" s="34" t="str">
        <f>IF(Table12[[#This Row],[Net-zero target status]]&gt;=1.5,Table12[[#This Row],[residual LULUCF emissions in 2050]]/Table12[[#This Row],[GHG emissions excl LULUCF]],"")</f>
        <v/>
      </c>
      <c r="AS207" s="76">
        <f>'input site'!BE207</f>
        <v>101.85</v>
      </c>
      <c r="AT207" s="76">
        <f>'input site'!BF207</f>
        <v>101.85</v>
      </c>
      <c r="AU207" s="76">
        <f>'input site'!BG207</f>
        <v>94.575000000000003</v>
      </c>
      <c r="AV207" s="77">
        <f>'input site'!BH207</f>
        <v>94.575000000000003</v>
      </c>
      <c r="AW207" s="74">
        <f>IF(Table12[[#This Row],[2030 unconditional NDCs]]="","",IF(F207="incl",Table12[[#This Row],[2030 unconditional NDCs]]-Table12[[#This Row],[LULUCF NDC uncond]],Table12[[#This Row],[2030 unconditional NDCs]]))</f>
        <v>101.85</v>
      </c>
      <c r="AX207" s="74">
        <f>IF(Table12[[#This Row],[2030 unconditional NDCs2]]="","",IF(F207="incl",Table12[[#This Row],[2030 unconditional NDCs2]]-Table12[[#This Row],[LULUCF NDC uncond]],Table12[[#This Row],[2030 unconditional NDCs2]]))</f>
        <v>101.85</v>
      </c>
      <c r="AY207" s="74">
        <f>IF(Table12[[#This Row],[2030 conditional NDCs]]="","",IF(F207="incl",Table12[[#This Row],[2030 conditional NDCs]]-Table12[[#This Row],[LULUCF NDC cond]],Table12[[#This Row],[2030 conditional NDCs]]))</f>
        <v>94.575000000000003</v>
      </c>
      <c r="AZ207" s="74">
        <f>IF(Table12[[#This Row],[2030 conditional NDCs2]]="","",IF(F207="incl",Table12[[#This Row],[2030 conditional NDCs2]]-Table12[[#This Row],[LULUCF NDC cond]],Table12[[#This Row],[2030 conditional NDCs2]]))</f>
        <v>94.575000000000003</v>
      </c>
      <c r="BA207" s="8">
        <f>VLOOKUP($G207,'Population90 20'!$C$6:$AU$231,37,FALSE)</f>
        <v>63298550</v>
      </c>
      <c r="BB207" s="8">
        <f>VLOOKUP($G207,'Overview GDP (PPP)'!$C$6:$AI$231,33,FALSE)</f>
        <v>156810806.44397235</v>
      </c>
      <c r="BC207" s="36">
        <f>Table12[[#This Row],[Income]]/Table12[[#This Row],[Population]]</f>
        <v>2.477320672337239</v>
      </c>
      <c r="BD207" s="36">
        <f>Table12[[#This Row],[GHG emissions excl LULUCF]]*1000000/Table12[[#This Row],[Population]]</f>
        <v>1.5204223477473022</v>
      </c>
      <c r="BE207" s="23" t="e">
        <f>VLOOKUP($G207,EGR2023_MASTER!$B$4:$S$38,14,FALSE)</f>
        <v>#N/A</v>
      </c>
      <c r="BF207" s="23" t="e">
        <f>VLOOKUP($G207,EGR2023_MASTER!$B$4:$S$38,15,FALSE)</f>
        <v>#N/A</v>
      </c>
      <c r="BG207" s="23" t="e">
        <f>VLOOKUP($G207,EGR2023_MASTER!$B$4:$S$38,16,FALSE)</f>
        <v>#N/A</v>
      </c>
      <c r="BH207" s="23" t="e">
        <f t="shared" si="29"/>
        <v>#N/A</v>
      </c>
      <c r="BI207" s="23" t="e">
        <f t="shared" si="30"/>
        <v>#N/A</v>
      </c>
      <c r="BJ207" s="552">
        <f>(Table12[[#This Row],[Current Policies 2030 excl LULUCF]]/Table12[[#This Row],[GHG emissions excl LULUCF]])^(1/(2030-2021))-1</f>
        <v>2.2064446304015162E-2</v>
      </c>
      <c r="BK207" s="552" t="str">
        <f>IF(Table12[[#This Row],[Net-zero target status]]&lt;=1,"",IF(Table12[[#This Row],[NZ GHG year]]="","",((MAX(Table12[[#This Row],[residual LULUCF emissions in 2050]],0.1)/Table12[[#This Row],[Current Policies 2030 excl LULUCF]])^(1/(Table12[[#This Row],[NZ GHG year]]-2021))-1)))</f>
        <v/>
      </c>
      <c r="BL207" s="552" t="str">
        <f>IF(Table12[[#This Row],[Net-zero target status]]&lt;=1,"",IF(Table12[[#This Row],[NZ GHG year]]="","",((MAX(Table12[[#This Row],[residual LULUCF emissions in 2050]],0.1)/Table12[[#This Row],[GHG emissions excl LULUCF]])^(1/(Table12[[#This Row],[NZ GHG year]]-2021))-1)))</f>
        <v/>
      </c>
      <c r="BM207" s="552" t="str">
        <f>IF(Table12[[#This Row],[Net-zero target status]]&lt;=1,"",IF(Table12[[#This Row],[NZ GHG year]]="","",((MAX(Table12[[#This Row],[residual LULUCF emissions in 2050]],0.1)/AVERAGE(Table12[[#This Row],[2030 conditional NDCs]:[2030 conditional NDCs2]]))^(1/(Table12[[#This Row],[NZ GHG year]]-2021))-1)))</f>
        <v/>
      </c>
      <c r="BN207" s="23"/>
      <c r="BO207" s="23"/>
      <c r="BP207" s="23"/>
      <c r="BQ207" s="23"/>
      <c r="BR207" s="50" t="s">
        <v>443</v>
      </c>
      <c r="BT207" s="30" t="str">
        <f>IF(Table12[[#This Row],[Reduction rate 2021 to NZ target2]]="","",J207*(1+AN207)^(Table12[[#This Row],[NZ GHG year]]-2021))</f>
        <v/>
      </c>
    </row>
    <row r="208" spans="1:72" ht="15" x14ac:dyDescent="0.25">
      <c r="A208">
        <v>1</v>
      </c>
      <c r="B208">
        <v>0</v>
      </c>
      <c r="C208">
        <v>764</v>
      </c>
      <c r="D208">
        <v>197</v>
      </c>
      <c r="E208">
        <v>21</v>
      </c>
      <c r="F208" t="str">
        <f>'input site'!M208</f>
        <v>excl</v>
      </c>
      <c r="G208" s="31" t="s">
        <v>444</v>
      </c>
      <c r="H208" s="1" t="s">
        <v>445</v>
      </c>
      <c r="I208" s="8">
        <f>VLOOKUP($G208,'NZT data'!$B$3:$C$200,2,FALSE)</f>
        <v>3</v>
      </c>
      <c r="J208" s="32">
        <f>'input site'!AS208</f>
        <v>359.71600000000001</v>
      </c>
      <c r="K208" s="32">
        <f>'input site'!BS208</f>
        <v>403.73009665000001</v>
      </c>
      <c r="L208" s="32">
        <f t="shared" si="31"/>
        <v>0</v>
      </c>
      <c r="M208" s="32">
        <f t="shared" si="32"/>
        <v>0</v>
      </c>
      <c r="N208" s="32">
        <f>'input site'!EV208</f>
        <v>120.76084209217444</v>
      </c>
      <c r="O208" s="8"/>
      <c r="P208" s="8"/>
      <c r="Q208" s="32">
        <f t="shared" si="33"/>
        <v>0</v>
      </c>
      <c r="R208" s="32">
        <f>'input site'!EZ208</f>
        <v>8.1084555095284614</v>
      </c>
      <c r="S208" s="37">
        <f>'input site'!FA208</f>
        <v>0</v>
      </c>
      <c r="T208" s="37" t="str">
        <f>Table12[[#This Row],[(Mt CO2 equivalent)]]</f>
        <v>Thailand</v>
      </c>
      <c r="U208" s="8">
        <f>VLOOKUP($G208,'NZT data'!$B$3:$F$200,4,FALSE)</f>
        <v>2065</v>
      </c>
      <c r="V208" s="32">
        <f>VLOOKUP($G208,'NZT data'!$B$3:$F$200,5,FALSE)</f>
        <v>2065</v>
      </c>
      <c r="W208" s="32">
        <f>-IF('LUC NGHGI'!EC198="",MIN('LUC NGHGI'!DW198,0.1),MIN('LUC NGHGI'!EC198,0.1))</f>
        <v>120</v>
      </c>
      <c r="X208" s="32">
        <f>'LUC NGHGI'!EC198</f>
        <v>-120</v>
      </c>
      <c r="Y208" s="32">
        <f>'LUC NGHGI'!DY198</f>
        <v>-110</v>
      </c>
      <c r="Z208" s="32">
        <f>'LUC NGHGI'!DZ198</f>
        <v>-110</v>
      </c>
      <c r="AA208" s="32">
        <f>Table12[[#This Row],[2021 emissions]]</f>
        <v>359.71600000000001</v>
      </c>
      <c r="AB208" s="32">
        <f>'LUC NGHGI'!DW198</f>
        <v>-93.904660506488653</v>
      </c>
      <c r="AC208" s="32">
        <f>IF(F208="incl",Table12[[#This Row],[GHG emissions incl LULUCF]]-Table12[[#This Row],[LULUCF emis-sions in 20213]],Table12[[#This Row],[GHG emissions incl LULUCF]])</f>
        <v>359.71600000000001</v>
      </c>
      <c r="AD208" s="32">
        <f>'input site'!BS208</f>
        <v>403.73009665000001</v>
      </c>
      <c r="AE208" s="32">
        <f>'LUC NGHGI'!EH198</f>
        <v>-97.457002000000003</v>
      </c>
      <c r="AF208" s="32">
        <f>IF(F208="incl",Table12[[#This Row],[Current Policies 2030 incl LULUCF]]-Table12[[#This Row],[LULUCF CurPol 2030]],Table12[[#This Row],[Current Policies 2030 incl LULUCF]])</f>
        <v>403.73009665000001</v>
      </c>
      <c r="AG208" s="32">
        <f>IF(Table12[[#This Row],[Net-zero target status]]&lt;=1,"",IF(Table12[[#This Row],[NZ GHG year]]="","",1000000000*(Table12[[#This Row],[residual LULUCF emissions in 2050]]-Table12[[#This Row],[GHG emissions excl LULUCF]])/(Table12[[#This Row],[NZ GHG year]]-2021)/Table12[[#This Row],[Population]]))</f>
        <v>-77.743016742180288</v>
      </c>
      <c r="AH208" s="32" t="str">
        <f>IF(Table12[[#This Row],[Peak revised]]="Yes",IF(Table12[[#This Row],[Net-zero target status]]&lt;=1,"",IF(Table12[[#This Row],[NZ GHG year]]="","",1000000000*(Table12[[#This Row],[residual LULUCF emissions in 2050]]-Table12[[#This Row],[GHG emissions excl LULUCF]])/(Table12[[#This Row],[NZ GHG year]]-2021)/Table12[[#This Row],[Population]])),"")</f>
        <v/>
      </c>
      <c r="AI208" s="32">
        <f>MAX(0,(1000000*(Table12[[#This Row],[Current Policies 2030 excl LULUCF]]/2+Table12[[#This Row],[GHG emissions excl LULUCF]]/2)/Table12[[#This Row],[Population]]-$AI$8)*10)*$AI$10</f>
        <v>0</v>
      </c>
      <c r="AJ208" s="32">
        <f>IF(Table12[[#This Row],[Peak revised]]="No",IF(Table12[[#This Row],[Net-zero target status]]&lt;=1,"",IF(Table12[[#This Row],[NZ GHG year]]="","",1000000000*(Table12[[#This Row],[residual LULUCF emissions in 2050]]-Table12[[#This Row],[Current Policies 2030 excl LULUCF]])/(Table12[[#This Row],[NZ GHG year]]-2021)/Table12[[#This Row],[Population]])),"")</f>
        <v>-92.017360769082501</v>
      </c>
      <c r="AK208" s="32">
        <f>IF(Table12[[#This Row],[Formule no Peak (2)]]="","",Table12[[#This Row],[Penalty (1)]]+Table12[[#This Row],[Formule no Peak (2)]])</f>
        <v>-92.017360769082501</v>
      </c>
      <c r="AL208" s="313">
        <f>(Table12[[#This Row],[Current Policies 2030 excl LULUCF]]-Table12[[#This Row],[GHG emissions excl LULUCF]])/(2030-2021)/Table12[[#This Row],[GHG emissions excl LULUCF]]</f>
        <v>1.3595322930682354E-2</v>
      </c>
      <c r="AM208" s="313">
        <f>IF(Table12[[#This Row],[Net-zero target status]]&lt;=1,"",IF(Table12[[#This Row],[NZ GHG year]]="","",(Table12[[#This Row],[residual LULUCF emissions in 2050]]-Table12[[#This Row],[Current Policies 2030 excl LULUCF]])/(Table12[[#This Row],[NZ GHG year]]-2030)/Table12[[#This Row],[Current Policies 2030 excl LULUCF]]))</f>
        <v>-2.007919215650578E-2</v>
      </c>
      <c r="AN208" s="313">
        <f>IF(Table12[[#This Row],[Net-zero target status]]&lt;=1,"",IF(Table12[[#This Row],[NZ GHG year]]="","",(Table12[[#This Row],[residual LULUCF emissions in 2050]]-Table12[[#This Row],[GHG emissions excl LULUCF]])/(Table12[[#This Row],[NZ GHG year]]-2021)/Table12[[#This Row],[GHG emissions excl LULUCF]]))</f>
        <v>-1.5145534002076385E-2</v>
      </c>
      <c r="AO208" s="313">
        <f>IF(Table12[[#This Row],[Net-zero target status]]&lt;=1,"",IF(Table12[[#This Row],[NZ GHG year]]="","",(Table12[[#This Row],[residual LULUCF emissions in 2050]]-Table12[[#This Row],[2030 conditional NDCs]])/(Table12[[#This Row],[NZ GHG year]]-2030)/Table12[[#This Row],[2030 conditional NDCs]]))</f>
        <v>-1.8275418275418273E-2</v>
      </c>
      <c r="AP208" s="96">
        <f>MAX('input site'!AH208:AS208)</f>
        <v>372.71600000000001</v>
      </c>
      <c r="AQ208" s="95" t="str">
        <f>IF(Table12[[#This Row],[Current Policies 2030 incl LULUCF]]&gt;Table12[[#This Row],[Maximum inventory data]],"No","Yes")</f>
        <v>No</v>
      </c>
      <c r="AR208" s="34">
        <f>IF(Table12[[#This Row],[Net-zero target status]]&gt;=1.5,Table12[[#This Row],[residual LULUCF emissions in 2050]]/Table12[[#This Row],[GHG emissions excl LULUCF]],"")</f>
        <v>0.33359650390863904</v>
      </c>
      <c r="AS208" s="76">
        <f>'input site'!BE208</f>
        <v>388.5</v>
      </c>
      <c r="AT208" s="76">
        <f>'input site'!BF208</f>
        <v>388.5</v>
      </c>
      <c r="AU208" s="76">
        <f>'input site'!BG208</f>
        <v>333</v>
      </c>
      <c r="AV208" s="77">
        <f>'input site'!BH208</f>
        <v>333</v>
      </c>
      <c r="AW208" s="74">
        <f>IF(Table12[[#This Row],[2030 unconditional NDCs]]="","",IF(F208="incl",Table12[[#This Row],[2030 unconditional NDCs]]-Table12[[#This Row],[LULUCF NDC uncond]],Table12[[#This Row],[2030 unconditional NDCs]]))</f>
        <v>388.5</v>
      </c>
      <c r="AX208" s="74">
        <f>IF(Table12[[#This Row],[2030 unconditional NDCs2]]="","",IF(F208="incl",Table12[[#This Row],[2030 unconditional NDCs2]]-Table12[[#This Row],[LULUCF NDC uncond]],Table12[[#This Row],[2030 unconditional NDCs2]]))</f>
        <v>388.5</v>
      </c>
      <c r="AY208" s="74">
        <f>IF(Table12[[#This Row],[2030 conditional NDCs]]="","",IF(F208="incl",Table12[[#This Row],[2030 conditional NDCs]]-Table12[[#This Row],[LULUCF NDC cond]],Table12[[#This Row],[2030 conditional NDCs]]))</f>
        <v>333</v>
      </c>
      <c r="AZ208" s="74">
        <f>IF(Table12[[#This Row],[2030 conditional NDCs2]]="","",IF(F208="incl",Table12[[#This Row],[2030 conditional NDCs2]]-Table12[[#This Row],[LULUCF NDC cond]],Table12[[#This Row],[2030 conditional NDCs2]]))</f>
        <v>333</v>
      </c>
      <c r="BA208" s="8">
        <f>VLOOKUP($G208,'Population90 20'!$C$6:$AU$231,37,FALSE)</f>
        <v>70078203</v>
      </c>
      <c r="BB208" s="8">
        <f>VLOOKUP($G208,'Overview GDP (PPP)'!$C$6:$AI$231,33,FALSE)</f>
        <v>1173668257.3586833</v>
      </c>
      <c r="BC208" s="36">
        <f>Table12[[#This Row],[Income]]/Table12[[#This Row],[Population]]</f>
        <v>16.747978788193006</v>
      </c>
      <c r="BD208" s="36">
        <f>Table12[[#This Row],[GHG emissions excl LULUCF]]*1000000/Table12[[#This Row],[Population]]</f>
        <v>5.1330654126504927</v>
      </c>
      <c r="BE208" s="23" t="str">
        <f>VLOOKUP($G208,EGR2023_MASTER!$B$4:$S$38,14,FALSE)</f>
        <v>N</v>
      </c>
      <c r="BF208" s="23" t="str">
        <f>VLOOKUP($G208,EGR2023_MASTER!$B$4:$S$38,15,FALSE)</f>
        <v>Credible</v>
      </c>
      <c r="BG208" s="23" t="str">
        <f>VLOOKUP($G208,EGR2023_MASTER!$B$4:$S$38,16,FALSE)</f>
        <v>n</v>
      </c>
      <c r="BH208" s="23" t="str">
        <f t="shared" si="29"/>
        <v>lower</v>
      </c>
      <c r="BI208" s="23" t="str">
        <f t="shared" si="30"/>
        <v>weak</v>
      </c>
      <c r="BJ208" s="552">
        <f>(Table12[[#This Row],[Current Policies 2030 excl LULUCF]]/Table12[[#This Row],[GHG emissions excl LULUCF]])^(1/(2030-2021))-1</f>
        <v>1.2908352236616016E-2</v>
      </c>
      <c r="BK208" s="552">
        <f>IF(Table12[[#This Row],[Net-zero target status]]&lt;=1,"",IF(Table12[[#This Row],[NZ GHG year]]="","",((MAX(Table12[[#This Row],[residual LULUCF emissions in 2050]],0.1)/Table12[[#This Row],[Current Policies 2030 excl LULUCF]])^(1/(Table12[[#This Row],[NZ GHG year]]-2021))-1)))</f>
        <v>-2.7197281737122547E-2</v>
      </c>
      <c r="BL208" s="552">
        <f>IF(Table12[[#This Row],[Net-zero target status]]&lt;=1,"",IF(Table12[[#This Row],[NZ GHG year]]="","",((MAX(Table12[[#This Row],[residual LULUCF emissions in 2050]],0.1)/Table12[[#This Row],[GHG emissions excl LULUCF]])^(1/(Table12[[#This Row],[NZ GHG year]]-2021))-1)))</f>
        <v>-2.4641833063885232E-2</v>
      </c>
      <c r="BM208" s="552">
        <f>IF(Table12[[#This Row],[Net-zero target status]]&lt;=1,"",IF(Table12[[#This Row],[NZ GHG year]]="","",((MAX(Table12[[#This Row],[residual LULUCF emissions in 2050]],0.1)/AVERAGE(Table12[[#This Row],[2030 conditional NDCs]:[2030 conditional NDCs2]]))^(1/(Table12[[#This Row],[NZ GHG year]]-2021))-1)))</f>
        <v>-2.2929634855848535E-2</v>
      </c>
      <c r="BN208" s="23"/>
      <c r="BO208" s="23"/>
      <c r="BP208" s="23"/>
      <c r="BQ208" s="23"/>
      <c r="BR208" s="50" t="s">
        <v>445</v>
      </c>
      <c r="BT208" s="30">
        <f>IF(Table12[[#This Row],[Reduction rate 2021 to NZ target2]]="","",J208*(1+AN208)^(Table12[[#This Row],[NZ GHG year]]-2021))</f>
        <v>183.79357925955847</v>
      </c>
    </row>
    <row r="209" spans="1:72" ht="15" x14ac:dyDescent="0.25">
      <c r="A209">
        <v>0</v>
      </c>
      <c r="B209">
        <v>0</v>
      </c>
      <c r="C209">
        <v>626</v>
      </c>
      <c r="D209">
        <v>162</v>
      </c>
      <c r="E209">
        <v>22</v>
      </c>
      <c r="F209" t="str">
        <f>'input site'!M209</f>
        <v>excl</v>
      </c>
      <c r="G209" s="31" t="s">
        <v>446</v>
      </c>
      <c r="H209" s="1" t="s">
        <v>447</v>
      </c>
      <c r="I209" s="8">
        <f>VLOOKUP($G209,'NZT data'!$B$3:$C$200,2,FALSE)</f>
        <v>1</v>
      </c>
      <c r="J209" s="32">
        <f>'input site'!AS209</f>
        <v>2.4731975000000004</v>
      </c>
      <c r="K209" s="32">
        <f>'input site'!BS209</f>
        <v>2.8184304613217495</v>
      </c>
      <c r="L209" s="32">
        <f t="shared" si="31"/>
        <v>0</v>
      </c>
      <c r="M209" s="32">
        <f t="shared" si="32"/>
        <v>0</v>
      </c>
      <c r="N209" s="32">
        <f>'input site'!EV209</f>
        <v>1.2212826029281758</v>
      </c>
      <c r="O209" s="8">
        <v>0</v>
      </c>
      <c r="P209" s="36">
        <f>O209-N209</f>
        <v>-1.2212826029281758</v>
      </c>
      <c r="Q209" s="32">
        <f t="shared" si="33"/>
        <v>0</v>
      </c>
      <c r="R209" s="32">
        <f>'input site'!EZ209</f>
        <v>-0.31627054477363437</v>
      </c>
      <c r="S209" s="37">
        <f>'input site'!FA209</f>
        <v>2050</v>
      </c>
      <c r="T209" s="37" t="str">
        <f>Table12[[#This Row],[(Mt CO2 equivalent)]]</f>
        <v>Timor-Leste</v>
      </c>
      <c r="U209" s="8">
        <f>VLOOKUP($G209,'NZT data'!$B$3:$F$200,4,FALSE)</f>
        <v>2110</v>
      </c>
      <c r="V209" s="32">
        <f>VLOOKUP($G209,'NZT data'!$B$3:$F$200,5,FALSE)</f>
        <v>2110</v>
      </c>
      <c r="W209" s="32">
        <f>-IF('LUC NGHGI'!EC199="",MIN('LUC NGHGI'!DW199,0.1),MIN('LUC NGHGI'!EC199,0.1))</f>
        <v>2.4839594871794759</v>
      </c>
      <c r="X209" s="32">
        <f>'LUC NGHGI'!EC199</f>
        <v>-2.4839594871794759</v>
      </c>
      <c r="Y209" s="32">
        <f>'LUC NGHGI'!DY199</f>
        <v>-2.4839594871794759</v>
      </c>
      <c r="Z209" s="32">
        <f>'LUC NGHGI'!DZ199</f>
        <v>-2.4839594871794759</v>
      </c>
      <c r="AA209" s="32">
        <f>Table12[[#This Row],[2021 emissions]]</f>
        <v>2.4731975000000004</v>
      </c>
      <c r="AB209" s="32">
        <f>'LUC NGHGI'!DW199</f>
        <v>-2.5698874358974422</v>
      </c>
      <c r="AC209" s="32">
        <f>IF(F209="incl",Table12[[#This Row],[GHG emissions incl LULUCF]]-Table12[[#This Row],[LULUCF emis-sions in 20213]],Table12[[#This Row],[GHG emissions incl LULUCF]])</f>
        <v>2.4731975000000004</v>
      </c>
      <c r="AD209" s="32">
        <f>'input site'!BS209</f>
        <v>2.8184304613217495</v>
      </c>
      <c r="AE209" s="32">
        <f>'LUC NGHGI'!EH199</f>
        <v>-2.3177685896190905</v>
      </c>
      <c r="AF209" s="32">
        <f>IF(F209="incl",Table12[[#This Row],[Current Policies 2030 incl LULUCF]]-Table12[[#This Row],[LULUCF CurPol 2030]],Table12[[#This Row],[Current Policies 2030 incl LULUCF]])</f>
        <v>2.8184304613217495</v>
      </c>
      <c r="AG209" s="32" t="str">
        <f>IF(Table12[[#This Row],[Net-zero target status]]&lt;=1,"",IF(Table12[[#This Row],[NZ GHG year]]="","",1000000000*(Table12[[#This Row],[residual LULUCF emissions in 2050]]-Table12[[#This Row],[GHG emissions excl LULUCF]])/(Table12[[#This Row],[NZ GHG year]]-2021)/Table12[[#This Row],[Population]]))</f>
        <v/>
      </c>
      <c r="AH209" s="32" t="str">
        <f>IF(Table12[[#This Row],[Peak revised]]="Yes",IF(Table12[[#This Row],[Net-zero target status]]&lt;=1,"",IF(Table12[[#This Row],[NZ GHG year]]="","",1000000000*(Table12[[#This Row],[residual LULUCF emissions in 2050]]-Table12[[#This Row],[GHG emissions excl LULUCF]])/(Table12[[#This Row],[NZ GHG year]]-2021)/Table12[[#This Row],[Population]])),"")</f>
        <v/>
      </c>
      <c r="AI209" s="32">
        <f>MAX(0,(1000000*(Table12[[#This Row],[Current Policies 2030 excl LULUCF]]/2+Table12[[#This Row],[GHG emissions excl LULUCF]]/2)/Table12[[#This Row],[Population]]-$AI$8)*10)*$AI$10</f>
        <v>0</v>
      </c>
      <c r="AJ20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09" s="32" t="str">
        <f>IF(Table12[[#This Row],[Formule no Peak (2)]]="","",Table12[[#This Row],[Penalty (1)]]+Table12[[#This Row],[Formule no Peak (2)]])</f>
        <v/>
      </c>
      <c r="AL209" s="313">
        <f>(Table12[[#This Row],[Current Policies 2030 excl LULUCF]]-Table12[[#This Row],[GHG emissions excl LULUCF]])/(2030-2021)/Table12[[#This Row],[GHG emissions excl LULUCF]]</f>
        <v>1.5509969553437919E-2</v>
      </c>
      <c r="AM209" s="313" t="str">
        <f>IF(Table12[[#This Row],[Net-zero target status]]&lt;=1,"",IF(Table12[[#This Row],[NZ GHG year]]="","",(Table12[[#This Row],[residual LULUCF emissions in 2050]]-Table12[[#This Row],[Current Policies 2030 excl LULUCF]])/(Table12[[#This Row],[NZ GHG year]]-2030)/Table12[[#This Row],[Current Policies 2030 excl LULUCF]]))</f>
        <v/>
      </c>
      <c r="AN209" s="313" t="str">
        <f>IF(Table12[[#This Row],[Net-zero target status]]&lt;=1,"",IF(Table12[[#This Row],[NZ GHG year]]="","",(Table12[[#This Row],[residual LULUCF emissions in 2050]]-Table12[[#This Row],[GHG emissions excl LULUCF]])/(Table12[[#This Row],[NZ GHG year]]-2021)/Table12[[#This Row],[GHG emissions excl LULUCF]]))</f>
        <v/>
      </c>
      <c r="AO209" s="313" t="str">
        <f>IF(Table12[[#This Row],[Net-zero target status]]&lt;=1,"",IF(Table12[[#This Row],[NZ GHG year]]="","",(Table12[[#This Row],[residual LULUCF emissions in 2050]]-Table12[[#This Row],[2030 conditional NDCs]])/(Table12[[#This Row],[NZ GHG year]]-2030)/Table12[[#This Row],[2030 conditional NDCs]]))</f>
        <v/>
      </c>
      <c r="AP209" s="96">
        <f>MAX('input site'!AH209:AS209)</f>
        <v>4.1672853999999999</v>
      </c>
      <c r="AQ209" s="95" t="str">
        <f>IF(Table12[[#This Row],[Current Policies 2030 incl LULUCF]]&gt;Table12[[#This Row],[Maximum inventory data]],"No","Yes")</f>
        <v>Yes</v>
      </c>
      <c r="AR209" s="34" t="str">
        <f>IF(Table12[[#This Row],[Net-zero target status]]&gt;=1.5,Table12[[#This Row],[residual LULUCF emissions in 2050]]/Table12[[#This Row],[GHG emissions excl LULUCF]],"")</f>
        <v/>
      </c>
      <c r="AS209" s="74" t="str">
        <f>'input site'!BE209</f>
        <v/>
      </c>
      <c r="AT209" s="74">
        <f>'input site'!BF209</f>
        <v>0</v>
      </c>
      <c r="AU209" s="74" t="str">
        <f>'input site'!BG209</f>
        <v/>
      </c>
      <c r="AV209" s="75">
        <f>'input site'!BH209</f>
        <v>0</v>
      </c>
      <c r="AW209" s="74" t="str">
        <f>IF(Table12[[#This Row],[2030 unconditional NDCs]]="","",IF(F209="incl",Table12[[#This Row],[2030 unconditional NDCs]]-Table12[[#This Row],[LULUCF NDC uncond]],Table12[[#This Row],[2030 unconditional NDCs]]))</f>
        <v/>
      </c>
      <c r="AX209" s="74">
        <f>IF(Table12[[#This Row],[2030 unconditional NDCs2]]="","",IF(F209="incl",Table12[[#This Row],[2030 unconditional NDCs2]]-Table12[[#This Row],[LULUCF NDC uncond]],Table12[[#This Row],[2030 unconditional NDCs2]]))</f>
        <v>0</v>
      </c>
      <c r="AY209" s="74" t="str">
        <f>IF(Table12[[#This Row],[2030 conditional NDCs]]="","",IF(F209="incl",Table12[[#This Row],[2030 conditional NDCs]]-Table12[[#This Row],[LULUCF NDC cond]],Table12[[#This Row],[2030 conditional NDCs]]))</f>
        <v/>
      </c>
      <c r="AZ209" s="74">
        <f>IF(Table12[[#This Row],[2030 conditional NDCs2]]="","",IF(F209="incl",Table12[[#This Row],[2030 conditional NDCs2]]-Table12[[#This Row],[LULUCF NDC cond]],Table12[[#This Row],[2030 conditional NDCs2]]))</f>
        <v>0</v>
      </c>
      <c r="BA209" s="8">
        <f>VLOOKUP($G209,'Population90 20'!$C$6:$AU$231,37,FALSE)</f>
        <v>1369429</v>
      </c>
      <c r="BB209" s="8">
        <f>VLOOKUP($G209,'Overview GDP (PPP)'!$C$6:$AI$231,33,FALSE)</f>
        <v>8616516.8248704057</v>
      </c>
      <c r="BC209" s="36">
        <f>Table12[[#This Row],[Income]]/Table12[[#This Row],[Population]]</f>
        <v>6.292050792608018</v>
      </c>
      <c r="BD209" s="36">
        <f>Table12[[#This Row],[GHG emissions excl LULUCF]]*1000000/Table12[[#This Row],[Population]]</f>
        <v>1.8060063719988408</v>
      </c>
      <c r="BE209" s="23" t="e">
        <f>VLOOKUP($G209,EGR2023_MASTER!$B$4:$S$38,14,FALSE)</f>
        <v>#N/A</v>
      </c>
      <c r="BF209" s="23" t="e">
        <f>VLOOKUP($G209,EGR2023_MASTER!$B$4:$S$38,15,FALSE)</f>
        <v>#N/A</v>
      </c>
      <c r="BG209" s="23" t="e">
        <f>VLOOKUP($G209,EGR2023_MASTER!$B$4:$S$38,16,FALSE)</f>
        <v>#N/A</v>
      </c>
      <c r="BH209" s="23" t="e">
        <f t="shared" si="29"/>
        <v>#N/A</v>
      </c>
      <c r="BI209" s="23" t="e">
        <f t="shared" si="30"/>
        <v>#N/A</v>
      </c>
      <c r="BJ209" s="552">
        <f>(Table12[[#This Row],[Current Policies 2030 excl LULUCF]]/Table12[[#This Row],[GHG emissions excl LULUCF]])^(1/(2030-2021))-1</f>
        <v>1.4624609171870473E-2</v>
      </c>
      <c r="BK209" s="552" t="str">
        <f>IF(Table12[[#This Row],[Net-zero target status]]&lt;=1,"",IF(Table12[[#This Row],[NZ GHG year]]="","",((MAX(Table12[[#This Row],[residual LULUCF emissions in 2050]],0.1)/Table12[[#This Row],[Current Policies 2030 excl LULUCF]])^(1/(Table12[[#This Row],[NZ GHG year]]-2021))-1)))</f>
        <v/>
      </c>
      <c r="BL209" s="552" t="str">
        <f>IF(Table12[[#This Row],[Net-zero target status]]&lt;=1,"",IF(Table12[[#This Row],[NZ GHG year]]="","",((MAX(Table12[[#This Row],[residual LULUCF emissions in 2050]],0.1)/Table12[[#This Row],[GHG emissions excl LULUCF]])^(1/(Table12[[#This Row],[NZ GHG year]]-2021))-1)))</f>
        <v/>
      </c>
      <c r="BM209" s="552" t="str">
        <f>IF(Table12[[#This Row],[Net-zero target status]]&lt;=1,"",IF(Table12[[#This Row],[NZ GHG year]]="","",((MAX(Table12[[#This Row],[residual LULUCF emissions in 2050]],0.1)/AVERAGE(Table12[[#This Row],[2030 conditional NDCs]:[2030 conditional NDCs2]]))^(1/(Table12[[#This Row],[NZ GHG year]]-2021))-1)))</f>
        <v/>
      </c>
      <c r="BN209" s="23"/>
      <c r="BO209" s="23"/>
      <c r="BP209" s="23"/>
      <c r="BQ209" s="23"/>
      <c r="BR209" s="50" t="s">
        <v>447</v>
      </c>
      <c r="BT209" s="30" t="str">
        <f>IF(Table12[[#This Row],[Reduction rate 2021 to NZ target2]]="","",J209*(1+AN209)^(Table12[[#This Row],[NZ GHG year]]-2021))</f>
        <v/>
      </c>
    </row>
    <row r="210" spans="1:72" ht="15" x14ac:dyDescent="0.25">
      <c r="A210">
        <v>0</v>
      </c>
      <c r="B210">
        <v>0</v>
      </c>
      <c r="C210">
        <v>768</v>
      </c>
      <c r="D210">
        <v>198</v>
      </c>
      <c r="E210">
        <v>8</v>
      </c>
      <c r="F210" t="str">
        <f>'input site'!M210</f>
        <v>incl</v>
      </c>
      <c r="G210" s="31" t="s">
        <v>448</v>
      </c>
      <c r="H210" s="1" t="s">
        <v>449</v>
      </c>
      <c r="I210" s="8">
        <f>VLOOKUP($G210,'NZT data'!$B$3:$C$200,2,FALSE)</f>
        <v>1</v>
      </c>
      <c r="J210" s="32">
        <f>'input site'!AS210</f>
        <v>49.933387246305443</v>
      </c>
      <c r="K210" s="32">
        <f>'input site'!BS210</f>
        <v>59.469993271257785</v>
      </c>
      <c r="L210" s="32">
        <f t="shared" si="31"/>
        <v>0</v>
      </c>
      <c r="M210" s="32">
        <f t="shared" si="32"/>
        <v>0</v>
      </c>
      <c r="N210" s="32">
        <f>'input site'!EV210</f>
        <v>42.127884116331153</v>
      </c>
      <c r="O210" s="8"/>
      <c r="P210" s="36"/>
      <c r="Q210" s="32">
        <f t="shared" si="33"/>
        <v>0</v>
      </c>
      <c r="R210" s="32">
        <f>'input site'!EZ210</f>
        <v>23.996054796899987</v>
      </c>
      <c r="S210" s="37">
        <f>'input site'!FA210</f>
        <v>2050</v>
      </c>
      <c r="T210" s="37" t="str">
        <f>Table12[[#This Row],[(Mt CO2 equivalent)]]</f>
        <v>Togo</v>
      </c>
      <c r="U210" s="8">
        <f>VLOOKUP($G210,'NZT data'!$B$3:$F$200,4,FALSE)</f>
        <v>2110</v>
      </c>
      <c r="V210" s="32">
        <f>VLOOKUP($G210,'NZT data'!$B$3:$F$200,5,FALSE)</f>
        <v>2110</v>
      </c>
      <c r="W210" s="32">
        <f>-IF('LUC NGHGI'!EC200="",MIN('LUC NGHGI'!DW200,0.1),MIN('LUC NGHGI'!EC200,0.1))</f>
        <v>-0.1</v>
      </c>
      <c r="X210" s="32">
        <f>'LUC NGHGI'!EC200</f>
        <v>20.142915497536933</v>
      </c>
      <c r="Y210" s="32">
        <f>'LUC NGHGI'!DY200</f>
        <v>20.142915497536933</v>
      </c>
      <c r="Z210" s="32">
        <f>'LUC NGHGI'!DZ200</f>
        <v>20.142915497536933</v>
      </c>
      <c r="AA210" s="32">
        <f>Table12[[#This Row],[2021 emissions]]</f>
        <v>49.933387246305443</v>
      </c>
      <c r="AB210" s="32">
        <f>'LUC NGHGI'!DW200</f>
        <v>20.660954246305437</v>
      </c>
      <c r="AC210" s="32">
        <f>IF(F210="incl",Table12[[#This Row],[GHG emissions incl LULUCF]]-Table12[[#This Row],[LULUCF emis-sions in 20213]],Table12[[#This Row],[GHG emissions incl LULUCF]])</f>
        <v>29.272433000000007</v>
      </c>
      <c r="AD210" s="32">
        <f>'input site'!BS210</f>
        <v>59.469993271257785</v>
      </c>
      <c r="AE210" s="32">
        <f>'LUC NGHGI'!EH200</f>
        <v>14.146437980187354</v>
      </c>
      <c r="AF210" s="32">
        <f>IF(F210="incl",Table12[[#This Row],[Current Policies 2030 incl LULUCF]]-Table12[[#This Row],[LULUCF CurPol 2030]],Table12[[#This Row],[Current Policies 2030 incl LULUCF]])</f>
        <v>45.323555291070434</v>
      </c>
      <c r="AG210" s="32" t="str">
        <f>IF(Table12[[#This Row],[Net-zero target status]]&lt;=1,"",IF(Table12[[#This Row],[NZ GHG year]]="","",1000000000*(Table12[[#This Row],[residual LULUCF emissions in 2050]]-Table12[[#This Row],[GHG emissions excl LULUCF]])/(Table12[[#This Row],[NZ GHG year]]-2021)/Table12[[#This Row],[Population]]))</f>
        <v/>
      </c>
      <c r="AH210" s="32" t="str">
        <f>IF(Table12[[#This Row],[Peak revised]]="Yes",IF(Table12[[#This Row],[Net-zero target status]]&lt;=1,"",IF(Table12[[#This Row],[NZ GHG year]]="","",1000000000*(Table12[[#This Row],[residual LULUCF emissions in 2050]]-Table12[[#This Row],[GHG emissions excl LULUCF]])/(Table12[[#This Row],[NZ GHG year]]-2021)/Table12[[#This Row],[Population]])),"")</f>
        <v/>
      </c>
      <c r="AI210" s="32">
        <f>MAX(0,(1000000*(Table12[[#This Row],[Current Policies 2030 excl LULUCF]]/2+Table12[[#This Row],[GHG emissions excl LULUCF]]/2)/Table12[[#This Row],[Population]]-$AI$8)*10)*$AI$10</f>
        <v>0</v>
      </c>
      <c r="AJ21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0" s="32" t="str">
        <f>IF(Table12[[#This Row],[Formule no Peak (2)]]="","",Table12[[#This Row],[Penalty (1)]]+Table12[[#This Row],[Formule no Peak (2)]])</f>
        <v/>
      </c>
      <c r="AL210" s="313">
        <f>(Table12[[#This Row],[Current Policies 2030 excl LULUCF]]-Table12[[#This Row],[GHG emissions excl LULUCF]])/(2030-2021)/Table12[[#This Row],[GHG emissions excl LULUCF]]</f>
        <v>6.0926197434328679E-2</v>
      </c>
      <c r="AM210" s="313" t="str">
        <f>IF(Table12[[#This Row],[Net-zero target status]]&lt;=1,"",IF(Table12[[#This Row],[NZ GHG year]]="","",(Table12[[#This Row],[residual LULUCF emissions in 2050]]-Table12[[#This Row],[Current Policies 2030 excl LULUCF]])/(Table12[[#This Row],[NZ GHG year]]-2030)/Table12[[#This Row],[Current Policies 2030 excl LULUCF]]))</f>
        <v/>
      </c>
      <c r="AN210" s="313" t="str">
        <f>IF(Table12[[#This Row],[Net-zero target status]]&lt;=1,"",IF(Table12[[#This Row],[NZ GHG year]]="","",(Table12[[#This Row],[residual LULUCF emissions in 2050]]-Table12[[#This Row],[GHG emissions excl LULUCF]])/(Table12[[#This Row],[NZ GHG year]]-2021)/Table12[[#This Row],[GHG emissions excl LULUCF]]))</f>
        <v/>
      </c>
      <c r="AO210" s="313" t="str">
        <f>IF(Table12[[#This Row],[Net-zero target status]]&lt;=1,"",IF(Table12[[#This Row],[NZ GHG year]]="","",(Table12[[#This Row],[residual LULUCF emissions in 2050]]-Table12[[#This Row],[2030 conditional NDCs]])/(Table12[[#This Row],[NZ GHG year]]-2030)/Table12[[#This Row],[2030 conditional NDCs]]))</f>
        <v/>
      </c>
      <c r="AP210" s="96">
        <f>MAX('input site'!AH210:AS210)</f>
        <v>49.933387246305443</v>
      </c>
      <c r="AQ210" s="95" t="str">
        <f>IF(Table12[[#This Row],[Current Policies 2030 incl LULUCF]]&gt;Table12[[#This Row],[Maximum inventory data]],"No","Yes")</f>
        <v>No</v>
      </c>
      <c r="AR210" s="34" t="str">
        <f>IF(Table12[[#This Row],[Net-zero target status]]&gt;=1.5,Table12[[#This Row],[residual LULUCF emissions in 2050]]/Table12[[#This Row],[GHG emissions excl LULUCF]],"")</f>
        <v/>
      </c>
      <c r="AS210" s="74">
        <f>'input site'!BE210</f>
        <v>34.532204495999999</v>
      </c>
      <c r="AT210" s="74">
        <f>'input site'!BF210</f>
        <v>34.532204495999999</v>
      </c>
      <c r="AU210" s="74">
        <f>'input site'!BG210</f>
        <v>26.759932495999998</v>
      </c>
      <c r="AV210" s="74">
        <f>'input site'!BH210</f>
        <v>26.759932495999998</v>
      </c>
      <c r="AW210" s="74">
        <f>IF(Table12[[#This Row],[2030 unconditional NDCs]]="","",IF(F210="incl",Table12[[#This Row],[2030 unconditional NDCs]]-Table12[[#This Row],[LULUCF NDC uncond]],Table12[[#This Row],[2030 unconditional NDCs]]))</f>
        <v>14.389288998463066</v>
      </c>
      <c r="AX210" s="74">
        <f>IF(Table12[[#This Row],[2030 unconditional NDCs2]]="","",IF(F210="incl",Table12[[#This Row],[2030 unconditional NDCs2]]-Table12[[#This Row],[LULUCF NDC uncond]],Table12[[#This Row],[2030 unconditional NDCs2]]))</f>
        <v>14.389288998463066</v>
      </c>
      <c r="AY210" s="74">
        <f>IF(Table12[[#This Row],[2030 conditional NDCs]]="","",IF(F210="incl",Table12[[#This Row],[2030 conditional NDCs]]-Table12[[#This Row],[LULUCF NDC cond]],Table12[[#This Row],[2030 conditional NDCs]]))</f>
        <v>6.6170169984630647</v>
      </c>
      <c r="AZ210" s="74">
        <f>IF(Table12[[#This Row],[2030 conditional NDCs2]]="","",IF(F210="incl",Table12[[#This Row],[2030 conditional NDCs2]]-Table12[[#This Row],[LULUCF NDC cond]],Table12[[#This Row],[2030 conditional NDCs2]]))</f>
        <v>6.6170169984630647</v>
      </c>
      <c r="BA210" s="8">
        <f>VLOOKUP($G210,'Population90 20'!$C$6:$AU$231,37,FALSE)</f>
        <v>8680837</v>
      </c>
      <c r="BB210" s="8">
        <f>VLOOKUP($G210,'Overview GDP (PPP)'!$C$6:$AI$231,33,FALSE)</f>
        <v>12350039.048094414</v>
      </c>
      <c r="BC210" s="36">
        <f>Table12[[#This Row],[Income]]/Table12[[#This Row],[Population]]</f>
        <v>1.4226783716932381</v>
      </c>
      <c r="BD210" s="36">
        <f>Table12[[#This Row],[GHG emissions excl LULUCF]]*1000000/Table12[[#This Row],[Population]]</f>
        <v>3.3720749508371148</v>
      </c>
      <c r="BE210" s="23" t="e">
        <f>VLOOKUP($G210,EGR2023_MASTER!$B$4:$S$38,14,FALSE)</f>
        <v>#N/A</v>
      </c>
      <c r="BF210" s="23" t="e">
        <f>VLOOKUP($G210,EGR2023_MASTER!$B$4:$S$38,15,FALSE)</f>
        <v>#N/A</v>
      </c>
      <c r="BG210" s="23" t="e">
        <f>VLOOKUP($G210,EGR2023_MASTER!$B$4:$S$38,16,FALSE)</f>
        <v>#N/A</v>
      </c>
      <c r="BH210" s="23" t="e">
        <f t="shared" si="29"/>
        <v>#N/A</v>
      </c>
      <c r="BI210" s="23" t="e">
        <f t="shared" si="30"/>
        <v>#N/A</v>
      </c>
      <c r="BJ210" s="552">
        <f>(Table12[[#This Row],[Current Policies 2030 excl LULUCF]]/Table12[[#This Row],[GHG emissions excl LULUCF]])^(1/(2030-2021))-1</f>
        <v>4.9774762326265876E-2</v>
      </c>
      <c r="BK210" s="552" t="str">
        <f>IF(Table12[[#This Row],[Net-zero target status]]&lt;=1,"",IF(Table12[[#This Row],[NZ GHG year]]="","",((MAX(Table12[[#This Row],[residual LULUCF emissions in 2050]],0.1)/Table12[[#This Row],[Current Policies 2030 excl LULUCF]])^(1/(Table12[[#This Row],[NZ GHG year]]-2021))-1)))</f>
        <v/>
      </c>
      <c r="BL210" s="552" t="str">
        <f>IF(Table12[[#This Row],[Net-zero target status]]&lt;=1,"",IF(Table12[[#This Row],[NZ GHG year]]="","",((MAX(Table12[[#This Row],[residual LULUCF emissions in 2050]],0.1)/Table12[[#This Row],[GHG emissions excl LULUCF]])^(1/(Table12[[#This Row],[NZ GHG year]]-2021))-1)))</f>
        <v/>
      </c>
      <c r="BM210" s="552" t="str">
        <f>IF(Table12[[#This Row],[Net-zero target status]]&lt;=1,"",IF(Table12[[#This Row],[NZ GHG year]]="","",((MAX(Table12[[#This Row],[residual LULUCF emissions in 2050]],0.1)/AVERAGE(Table12[[#This Row],[2030 conditional NDCs]:[2030 conditional NDCs2]]))^(1/(Table12[[#This Row],[NZ GHG year]]-2021))-1)))</f>
        <v/>
      </c>
      <c r="BN210" s="23"/>
      <c r="BO210" s="23"/>
      <c r="BP210" s="23"/>
      <c r="BQ210" s="23"/>
      <c r="BR210" s="50" t="s">
        <v>449</v>
      </c>
      <c r="BT210" s="30" t="str">
        <f>IF(Table12[[#This Row],[Reduction rate 2021 to NZ target2]]="","",J210*(1+AN210)^(Table12[[#This Row],[NZ GHG year]]-2021))</f>
        <v/>
      </c>
    </row>
    <row r="211" spans="1:72" ht="15" x14ac:dyDescent="0.25">
      <c r="A211">
        <v>0</v>
      </c>
      <c r="B211">
        <v>0</v>
      </c>
      <c r="C211">
        <v>772</v>
      </c>
      <c r="D211">
        <v>199</v>
      </c>
      <c r="E211">
        <v>24</v>
      </c>
      <c r="F211" t="str">
        <f>'input site'!M211</f>
        <v>excl</v>
      </c>
      <c r="G211" s="31" t="s">
        <v>450</v>
      </c>
      <c r="H211" s="1" t="s">
        <v>451</v>
      </c>
      <c r="I211" s="8">
        <v>0</v>
      </c>
      <c r="J211" s="32">
        <f>'input site'!AS211</f>
        <v>6.1173333000000003E-4</v>
      </c>
      <c r="K211" s="32">
        <f>'input site'!BS211</f>
        <v>6.4129756382062689E-4</v>
      </c>
      <c r="L211" s="32">
        <f t="shared" si="31"/>
        <v>6.4129756382062689E-4</v>
      </c>
      <c r="M211" s="32">
        <f t="shared" si="32"/>
        <v>2.4246784822252819E-4</v>
      </c>
      <c r="N211" s="32">
        <f>'input site'!EV211</f>
        <v>2.4246784822252819E-4</v>
      </c>
      <c r="O211" s="8"/>
      <c r="P211" s="8"/>
      <c r="Q211" s="32">
        <f t="shared" si="33"/>
        <v>1.0488278484708361E-4</v>
      </c>
      <c r="R211" s="32">
        <f>'input site'!EZ211</f>
        <v>1.0488278484708361E-4</v>
      </c>
      <c r="S211" s="37">
        <f>'input site'!FA211</f>
        <v>0</v>
      </c>
      <c r="T211" s="37" t="str">
        <f>Table12[[#This Row],[(Mt CO2 equivalent)]]</f>
        <v>Tokelau</v>
      </c>
      <c r="U211" s="35">
        <v>2100</v>
      </c>
      <c r="V211" s="35">
        <v>2100</v>
      </c>
      <c r="W211" s="32">
        <f>-IF('LUC NGHGI'!EC201="",MIN('LUC NGHGI'!DW201,0.1),MIN('LUC NGHGI'!EC201,0.1))</f>
        <v>0</v>
      </c>
      <c r="X211" s="32" t="str">
        <f>'LUC NGHGI'!EC201</f>
        <v/>
      </c>
      <c r="Y211" s="32" t="str">
        <f>'LUC NGHGI'!DY201</f>
        <v/>
      </c>
      <c r="Z211" s="32" t="str">
        <f>'LUC NGHGI'!DZ201</f>
        <v/>
      </c>
      <c r="AA211" s="32">
        <f>Table12[[#This Row],[2021 emissions]]</f>
        <v>6.1173333000000003E-4</v>
      </c>
      <c r="AB211" s="32">
        <f>'LUC NGHGI'!DW201</f>
        <v>0</v>
      </c>
      <c r="AC211" s="32">
        <f>IF(F211="incl",Table12[[#This Row],[GHG emissions incl LULUCF]]-Table12[[#This Row],[LULUCF emis-sions in 20213]],Table12[[#This Row],[GHG emissions incl LULUCF]])</f>
        <v>6.1173333000000003E-4</v>
      </c>
      <c r="AD211" s="32">
        <f>'input site'!BS211</f>
        <v>6.4129756382062689E-4</v>
      </c>
      <c r="AE211" s="32">
        <f>'LUC NGHGI'!EH201</f>
        <v>0</v>
      </c>
      <c r="AF211" s="32">
        <f>IF(F211="incl",Table12[[#This Row],[Current Policies 2030 incl LULUCF]]-Table12[[#This Row],[LULUCF CurPol 2030]],Table12[[#This Row],[Current Policies 2030 incl LULUCF]])</f>
        <v>6.4129756382062689E-4</v>
      </c>
      <c r="AG211" s="32" t="str">
        <f>IF(Table12[[#This Row],[Net-zero target status]]&lt;=1,"",IF(Table12[[#This Row],[NZ GHG year]]="","",1000000000*(Table12[[#This Row],[residual LULUCF emissions in 2050]]-Table12[[#This Row],[GHG emissions excl LULUCF]])/(Table12[[#This Row],[NZ GHG year]]-2021)/Table12[[#This Row],[Population]]))</f>
        <v/>
      </c>
      <c r="AH211" s="32" t="str">
        <f>IF(Table12[[#This Row],[Peak revised]]="Yes",IF(Table12[[#This Row],[Net-zero target status]]&lt;=1,"",IF(Table12[[#This Row],[NZ GHG year]]="","",1000000000*(Table12[[#This Row],[residual LULUCF emissions in 2050]]-Table12[[#This Row],[GHG emissions excl LULUCF]])/(Table12[[#This Row],[NZ GHG year]]-2021)/Table12[[#This Row],[Population]])),"")</f>
        <v/>
      </c>
      <c r="AI211" s="32" t="e">
        <f>MAX(0,(1000000*(Table12[[#This Row],[Current Policies 2030 excl LULUCF]]/2+Table12[[#This Row],[GHG emissions excl LULUCF]]/2)/Table12[[#This Row],[Population]]-$AI$8)*10)*$AI$10</f>
        <v>#DIV/0!</v>
      </c>
      <c r="AJ21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1" s="32" t="str">
        <f>IF(Table12[[#This Row],[Formule no Peak (2)]]="","",Table12[[#This Row],[Penalty (1)]]+Table12[[#This Row],[Formule no Peak (2)]])</f>
        <v/>
      </c>
      <c r="AL211" s="313">
        <f>(Table12[[#This Row],[Current Policies 2030 excl LULUCF]]-Table12[[#This Row],[GHG emissions excl LULUCF]])/(2030-2021)/Table12[[#This Row],[GHG emissions excl LULUCF]]</f>
        <v>5.3698477880198877E-3</v>
      </c>
      <c r="AM211" s="313" t="str">
        <f>IF(Table12[[#This Row],[Net-zero target status]]&lt;=1,"",IF(Table12[[#This Row],[NZ GHG year]]="","",(Table12[[#This Row],[residual LULUCF emissions in 2050]]-Table12[[#This Row],[Current Policies 2030 excl LULUCF]])/(Table12[[#This Row],[NZ GHG year]]-2030)/Table12[[#This Row],[Current Policies 2030 excl LULUCF]]))</f>
        <v/>
      </c>
      <c r="AN211" s="313" t="str">
        <f>IF(Table12[[#This Row],[Net-zero target status]]&lt;=1,"",IF(Table12[[#This Row],[NZ GHG year]]="","",(Table12[[#This Row],[residual LULUCF emissions in 2050]]-Table12[[#This Row],[GHG emissions excl LULUCF]])/(Table12[[#This Row],[NZ GHG year]]-2021)/Table12[[#This Row],[GHG emissions excl LULUCF]]))</f>
        <v/>
      </c>
      <c r="AO211" s="313" t="str">
        <f>IF(Table12[[#This Row],[Net-zero target status]]&lt;=1,"",IF(Table12[[#This Row],[NZ GHG year]]="","",(Table12[[#This Row],[residual LULUCF emissions in 2050]]-Table12[[#This Row],[2030 conditional NDCs]])/(Table12[[#This Row],[NZ GHG year]]-2030)/Table12[[#This Row],[2030 conditional NDCs]]))</f>
        <v/>
      </c>
      <c r="AP211" s="96">
        <f>MAX('input site'!AH211:AS211)</f>
        <v>6.1189999999999997E-4</v>
      </c>
      <c r="AQ211" s="95" t="str">
        <f>IF(Table12[[#This Row],[Current Policies 2030 incl LULUCF]]&gt;Table12[[#This Row],[Maximum inventory data]],"No","Yes")</f>
        <v>No</v>
      </c>
      <c r="AR211" s="34" t="str">
        <f>IF(Table12[[#This Row],[Net-zero target status]]&gt;=1.5,Table12[[#This Row],[residual LULUCF emissions in 2050]]/Table12[[#This Row],[GHG emissions excl LULUCF]],"")</f>
        <v/>
      </c>
      <c r="AS211" s="74" t="str">
        <f>'input site'!BE211</f>
        <v/>
      </c>
      <c r="AT211" s="74" t="str">
        <f>'input site'!BF211</f>
        <v/>
      </c>
      <c r="AU211" s="74" t="str">
        <f>'input site'!BG211</f>
        <v/>
      </c>
      <c r="AV211" s="74" t="str">
        <f>'input site'!BH211</f>
        <v/>
      </c>
      <c r="AW211" s="74" t="str">
        <f>IF(Table12[[#This Row],[2030 unconditional NDCs]]="","",IF(F211="incl",Table12[[#This Row],[2030 unconditional NDCs]]-Table12[[#This Row],[LULUCF NDC uncond]],Table12[[#This Row],[2030 unconditional NDCs]]))</f>
        <v/>
      </c>
      <c r="AX211" s="74" t="str">
        <f>IF(Table12[[#This Row],[2030 unconditional NDCs2]]="","",IF(F211="incl",Table12[[#This Row],[2030 unconditional NDCs2]]-Table12[[#This Row],[LULUCF NDC uncond]],Table12[[#This Row],[2030 unconditional NDCs2]]))</f>
        <v/>
      </c>
      <c r="AY211" s="74" t="str">
        <f>IF(Table12[[#This Row],[2030 conditional NDCs]]="","",IF(F211="incl",Table12[[#This Row],[2030 conditional NDCs]]-Table12[[#This Row],[LULUCF NDC cond]],Table12[[#This Row],[2030 conditional NDCs]]))</f>
        <v/>
      </c>
      <c r="AZ211" s="74" t="str">
        <f>IF(Table12[[#This Row],[2030 conditional NDCs2]]="","",IF(F211="incl",Table12[[#This Row],[2030 conditional NDCs2]]-Table12[[#This Row],[LULUCF NDC cond]],Table12[[#This Row],[2030 conditional NDCs2]]))</f>
        <v/>
      </c>
      <c r="BA211" s="8"/>
      <c r="BB211" s="8"/>
      <c r="BC211" s="36"/>
      <c r="BD211" s="36" t="e">
        <f>Table12[[#This Row],[GHG emissions excl LULUCF]]*1000000/Table12[[#This Row],[Population]]</f>
        <v>#DIV/0!</v>
      </c>
      <c r="BE211" s="23" t="e">
        <f>VLOOKUP($G211,EGR2023_MASTER!$B$4:$S$38,14,FALSE)</f>
        <v>#N/A</v>
      </c>
      <c r="BF211" s="23" t="e">
        <f>VLOOKUP($G211,EGR2023_MASTER!$B$4:$S$38,15,FALSE)</f>
        <v>#N/A</v>
      </c>
      <c r="BG211" s="23" t="e">
        <f>VLOOKUP($G211,EGR2023_MASTER!$B$4:$S$38,16,FALSE)</f>
        <v>#N/A</v>
      </c>
      <c r="BH211" s="23" t="e">
        <f t="shared" si="29"/>
        <v>#N/A</v>
      </c>
      <c r="BI211" s="23" t="e">
        <f t="shared" si="30"/>
        <v>#N/A</v>
      </c>
      <c r="BJ211" s="552">
        <f>(Table12[[#This Row],[Current Policies 2030 excl LULUCF]]/Table12[[#This Row],[GHG emissions excl LULUCF]])^(1/(2030-2021))-1</f>
        <v>5.2578983828655002E-3</v>
      </c>
      <c r="BK211" s="552" t="str">
        <f>IF(Table12[[#This Row],[Net-zero target status]]&lt;=1,"",IF(Table12[[#This Row],[NZ GHG year]]="","",((MAX(Table12[[#This Row],[residual LULUCF emissions in 2050]],0.1)/Table12[[#This Row],[Current Policies 2030 excl LULUCF]])^(1/(Table12[[#This Row],[NZ GHG year]]-2021))-1)))</f>
        <v/>
      </c>
      <c r="BL211" s="552" t="str">
        <f>IF(Table12[[#This Row],[Net-zero target status]]&lt;=1,"",IF(Table12[[#This Row],[NZ GHG year]]="","",((MAX(Table12[[#This Row],[residual LULUCF emissions in 2050]],0.1)/Table12[[#This Row],[GHG emissions excl LULUCF]])^(1/(Table12[[#This Row],[NZ GHG year]]-2021))-1)))</f>
        <v/>
      </c>
      <c r="BM211" s="552" t="str">
        <f>IF(Table12[[#This Row],[Net-zero target status]]&lt;=1,"",IF(Table12[[#This Row],[NZ GHG year]]="","",((MAX(Table12[[#This Row],[residual LULUCF emissions in 2050]],0.1)/AVERAGE(Table12[[#This Row],[2030 conditional NDCs]:[2030 conditional NDCs2]]))^(1/(Table12[[#This Row],[NZ GHG year]]-2021))-1)))</f>
        <v/>
      </c>
      <c r="BN211" s="23"/>
      <c r="BO211" s="23"/>
      <c r="BP211" s="23"/>
      <c r="BQ211" s="23"/>
      <c r="BR211" s="50" t="s">
        <v>451</v>
      </c>
      <c r="BT211" s="30" t="str">
        <f>IF(Table12[[#This Row],[Reduction rate 2021 to NZ target2]]="","",J211*(1+AN211)^(Table12[[#This Row],[NZ GHG year]]-2021))</f>
        <v/>
      </c>
    </row>
    <row r="212" spans="1:72" ht="15" x14ac:dyDescent="0.25">
      <c r="A212">
        <v>0</v>
      </c>
      <c r="B212">
        <v>0</v>
      </c>
      <c r="C212">
        <v>776</v>
      </c>
      <c r="D212">
        <v>200</v>
      </c>
      <c r="E212">
        <v>24</v>
      </c>
      <c r="F212" t="str">
        <f>'input site'!M212</f>
        <v>excl</v>
      </c>
      <c r="G212" s="31" t="s">
        <v>452</v>
      </c>
      <c r="H212" s="1" t="s">
        <v>453</v>
      </c>
      <c r="I212" s="8">
        <f>VLOOKUP($G212,'NZT data'!$B$3:$C$200,2,FALSE)</f>
        <v>3</v>
      </c>
      <c r="J212" s="32">
        <f>'input site'!AS212</f>
        <v>0.25389497999999999</v>
      </c>
      <c r="K212" s="32">
        <f>'input site'!BS212</f>
        <v>0.26616537657068118</v>
      </c>
      <c r="L212" s="32">
        <f t="shared" si="31"/>
        <v>0</v>
      </c>
      <c r="M212" s="32">
        <f t="shared" si="32"/>
        <v>0</v>
      </c>
      <c r="N212" s="32">
        <f>'input site'!EV212</f>
        <v>9.3565033907824002E-2</v>
      </c>
      <c r="O212" s="8">
        <v>0</v>
      </c>
      <c r="P212" s="36">
        <f>O212-N212</f>
        <v>-9.3565033907824002E-2</v>
      </c>
      <c r="Q212" s="32">
        <f t="shared" si="33"/>
        <v>0</v>
      </c>
      <c r="R212" s="32">
        <f>'input site'!EZ212</f>
        <v>4.0472835439847837E-2</v>
      </c>
      <c r="S212" s="37">
        <f>'input site'!FA212</f>
        <v>2050</v>
      </c>
      <c r="T212" s="37" t="str">
        <f>Table12[[#This Row],[(Mt CO2 equivalent)]]</f>
        <v>Tonga</v>
      </c>
      <c r="U212" s="8">
        <f>VLOOKUP($G212,'NZT data'!$B$3:$F$200,4,FALSE)</f>
        <v>2050</v>
      </c>
      <c r="V212" s="32">
        <f>VLOOKUP($G212,'NZT data'!$B$3:$F$200,5,FALSE)</f>
        <v>2050</v>
      </c>
      <c r="W212" s="32">
        <f>-IF('LUC NGHGI'!EC202="",MIN('LUC NGHGI'!DW202,0.1),MIN('LUC NGHGI'!EC202,0.1))</f>
        <v>3.7671471078431011</v>
      </c>
      <c r="X212" s="32">
        <f>'LUC NGHGI'!EC202</f>
        <v>-3.7671471078431011</v>
      </c>
      <c r="Y212" s="32">
        <f>'LUC NGHGI'!DY202</f>
        <v>-3.7671471078431011</v>
      </c>
      <c r="Z212" s="32">
        <f>'LUC NGHGI'!DZ202</f>
        <v>-3.7671471078431011</v>
      </c>
      <c r="AA212" s="32">
        <f>Table12[[#This Row],[2021 emissions]]</f>
        <v>0.25389497999999999</v>
      </c>
      <c r="AB212" s="32">
        <f>'LUC NGHGI'!DW202</f>
        <v>-3.8869750245097805</v>
      </c>
      <c r="AC212" s="32">
        <f>IF(F212="incl",Table12[[#This Row],[GHG emissions incl LULUCF]]-Table12[[#This Row],[LULUCF emis-sions in 20213]],Table12[[#This Row],[GHG emissions incl LULUCF]])</f>
        <v>0.25389497999999999</v>
      </c>
      <c r="AD212" s="32">
        <f>'input site'!BS212</f>
        <v>0.26616537657068118</v>
      </c>
      <c r="AE212" s="32">
        <f>'LUC NGHGI'!EH202</f>
        <v>-3.5151037221414487</v>
      </c>
      <c r="AF212" s="32">
        <f>IF(F212="incl",Table12[[#This Row],[Current Policies 2030 incl LULUCF]]-Table12[[#This Row],[LULUCF CurPol 2030]],Table12[[#This Row],[Current Policies 2030 incl LULUCF]])</f>
        <v>0.26616537657068118</v>
      </c>
      <c r="AG212" s="32">
        <f>IF(Table12[[#This Row],[Net-zero target status]]&lt;=1,"",IF(Table12[[#This Row],[NZ GHG year]]="","",1000000000*(Table12[[#This Row],[residual LULUCF emissions in 2050]]-Table12[[#This Row],[GHG emissions excl LULUCF]])/(Table12[[#This Row],[NZ GHG year]]-2021)/Table12[[#This Row],[Population]]))</f>
        <v>1124.3410620798149</v>
      </c>
      <c r="AH212" s="32" t="str">
        <f>IF(Table12[[#This Row],[Peak revised]]="Yes",IF(Table12[[#This Row],[Net-zero target status]]&lt;=1,"",IF(Table12[[#This Row],[NZ GHG year]]="","",1000000000*(Table12[[#This Row],[residual LULUCF emissions in 2050]]-Table12[[#This Row],[GHG emissions excl LULUCF]])/(Table12[[#This Row],[NZ GHG year]]-2021)/Table12[[#This Row],[Population]])),"")</f>
        <v/>
      </c>
      <c r="AI212" s="32">
        <f>MAX(0,(1000000*(Table12[[#This Row],[Current Policies 2030 excl LULUCF]]/2+Table12[[#This Row],[GHG emissions excl LULUCF]]/2)/Table12[[#This Row],[Population]]-$AI$8)*10)*$AI$10</f>
        <v>0</v>
      </c>
      <c r="AJ212" s="32">
        <f>IF(Table12[[#This Row],[Peak revised]]="No",IF(Table12[[#This Row],[Net-zero target status]]&lt;=1,"",IF(Table12[[#This Row],[NZ GHG year]]="","",1000000000*(Table12[[#This Row],[residual LULUCF emissions in 2050]]-Table12[[#This Row],[Current Policies 2030 excl LULUCF]])/(Table12[[#This Row],[NZ GHG year]]-2021)/Table12[[#This Row],[Population]])),"")</f>
        <v>1120.4141845855743</v>
      </c>
      <c r="AK212" s="32">
        <f>IF(Table12[[#This Row],[Formule no Peak (2)]]="","",Table12[[#This Row],[Penalty (1)]]+Table12[[#This Row],[Formule no Peak (2)]])</f>
        <v>1120.4141845855743</v>
      </c>
      <c r="AL212" s="313">
        <f>(Table12[[#This Row],[Current Policies 2030 excl LULUCF]]-Table12[[#This Row],[GHG emissions excl LULUCF]])/(2030-2021)/Table12[[#This Row],[GHG emissions excl LULUCF]]</f>
        <v>5.3698477880198894E-3</v>
      </c>
      <c r="AM212" s="313">
        <f>IF(Table12[[#This Row],[Net-zero target status]]&lt;=1,"",IF(Table12[[#This Row],[NZ GHG year]]="","",(Table12[[#This Row],[residual LULUCF emissions in 2050]]-Table12[[#This Row],[Current Policies 2030 excl LULUCF]])/(Table12[[#This Row],[NZ GHG year]]-2030)/Table12[[#This Row],[Current Policies 2030 excl LULUCF]]))</f>
        <v>0.65767038830888691</v>
      </c>
      <c r="AN212" s="313">
        <f>IF(Table12[[#This Row],[Net-zero target status]]&lt;=1,"",IF(Table12[[#This Row],[NZ GHG year]]="","",(Table12[[#This Row],[residual LULUCF emissions in 2050]]-Table12[[#This Row],[GHG emissions excl LULUCF]])/(Table12[[#This Row],[NZ GHG year]]-2021)/Table12[[#This Row],[GHG emissions excl LULUCF]]))</f>
        <v>0.4771525025742453</v>
      </c>
      <c r="AO212" s="313" t="e">
        <f>IF(Table12[[#This Row],[Net-zero target status]]&lt;=1,"",IF(Table12[[#This Row],[NZ GHG year]]="","",(Table12[[#This Row],[residual LULUCF emissions in 2050]]-Table12[[#This Row],[2030 conditional NDCs]])/(Table12[[#This Row],[NZ GHG year]]-2030)/Table12[[#This Row],[2030 conditional NDCs]]))</f>
        <v>#VALUE!</v>
      </c>
      <c r="AP212" s="96">
        <f>MAX('input site'!AH212:AS212)</f>
        <v>0.25389497999999999</v>
      </c>
      <c r="AQ212" s="95" t="str">
        <f>IF(Table12[[#This Row],[Current Policies 2030 incl LULUCF]]&gt;Table12[[#This Row],[Maximum inventory data]],"No","Yes")</f>
        <v>No</v>
      </c>
      <c r="AR212" s="34">
        <f>IF(Table12[[#This Row],[Net-zero target status]]&gt;=1.5,Table12[[#This Row],[residual LULUCF emissions in 2050]]/Table12[[#This Row],[GHG emissions excl LULUCF]],"")</f>
        <v>14.837422574653116</v>
      </c>
      <c r="AS212" s="74" t="str">
        <f>'input site'!BE212</f>
        <v/>
      </c>
      <c r="AT212" s="74" t="str">
        <f>'input site'!BF212</f>
        <v/>
      </c>
      <c r="AU212" s="74" t="str">
        <f>'input site'!BG212</f>
        <v/>
      </c>
      <c r="AV212" s="74" t="str">
        <f>'input site'!BH212</f>
        <v/>
      </c>
      <c r="AW212" s="74" t="str">
        <f>IF(Table12[[#This Row],[2030 unconditional NDCs]]="","",IF(F212="incl",Table12[[#This Row],[2030 unconditional NDCs]]-Table12[[#This Row],[LULUCF NDC uncond]],Table12[[#This Row],[2030 unconditional NDCs]]))</f>
        <v/>
      </c>
      <c r="AX212" s="74" t="str">
        <f>IF(Table12[[#This Row],[2030 unconditional NDCs2]]="","",IF(F212="incl",Table12[[#This Row],[2030 unconditional NDCs2]]-Table12[[#This Row],[LULUCF NDC uncond]],Table12[[#This Row],[2030 unconditional NDCs2]]))</f>
        <v/>
      </c>
      <c r="AY212" s="74" t="str">
        <f>IF(Table12[[#This Row],[2030 conditional NDCs]]="","",IF(F212="incl",Table12[[#This Row],[2030 conditional NDCs]]-Table12[[#This Row],[LULUCF NDC cond]],Table12[[#This Row],[2030 conditional NDCs]]))</f>
        <v/>
      </c>
      <c r="AZ212" s="74" t="str">
        <f>IF(Table12[[#This Row],[2030 conditional NDCs2]]="","",IF(F212="incl",Table12[[#This Row],[2030 conditional NDCs2]]-Table12[[#This Row],[LULUCF NDC cond]],Table12[[#This Row],[2030 conditional NDCs2]]))</f>
        <v/>
      </c>
      <c r="BA212" s="8">
        <f>VLOOKUP($G212,'Population90 20'!$C$6:$AU$231,37,FALSE)</f>
        <v>107749</v>
      </c>
      <c r="BB212" s="8">
        <f>VLOOKUP($G212,'Overview GDP (PPP)'!$C$6:$AI$231,33,FALSE)</f>
        <v>587833.7665337167</v>
      </c>
      <c r="BC212" s="36">
        <f>Table12[[#This Row],[Income]]/Table12[[#This Row],[Population]]</f>
        <v>5.4555844280106234</v>
      </c>
      <c r="BD212" s="36">
        <f>Table12[[#This Row],[GHG emissions excl LULUCF]]*1000000/Table12[[#This Row],[Population]]</f>
        <v>2.3563557898449172</v>
      </c>
      <c r="BE212" s="23" t="e">
        <f>VLOOKUP($G212,EGR2023_MASTER!$B$4:$S$38,14,FALSE)</f>
        <v>#N/A</v>
      </c>
      <c r="BF212" s="23" t="e">
        <f>VLOOKUP($G212,EGR2023_MASTER!$B$4:$S$38,15,FALSE)</f>
        <v>#N/A</v>
      </c>
      <c r="BG212" s="23" t="e">
        <f>VLOOKUP($G212,EGR2023_MASTER!$B$4:$S$38,16,FALSE)</f>
        <v>#N/A</v>
      </c>
      <c r="BH212" s="23" t="e">
        <f t="shared" si="29"/>
        <v>#N/A</v>
      </c>
      <c r="BI212" s="23" t="e">
        <f t="shared" si="30"/>
        <v>#N/A</v>
      </c>
      <c r="BJ212" s="552">
        <f>(Table12[[#This Row],[Current Policies 2030 excl LULUCF]]/Table12[[#This Row],[GHG emissions excl LULUCF]])^(1/(2030-2021))-1</f>
        <v>5.2578983828655002E-3</v>
      </c>
      <c r="BK212" s="552">
        <f>IF(Table12[[#This Row],[Net-zero target status]]&lt;=1,"",IF(Table12[[#This Row],[NZ GHG year]]="","",((MAX(Table12[[#This Row],[residual LULUCF emissions in 2050]],0.1)/Table12[[#This Row],[Current Policies 2030 excl LULUCF]])^(1/(Table12[[#This Row],[NZ GHG year]]-2021))-1)))</f>
        <v>9.5682846844177716E-2</v>
      </c>
      <c r="BL212" s="552">
        <f>IF(Table12[[#This Row],[Net-zero target status]]&lt;=1,"",IF(Table12[[#This Row],[NZ GHG year]]="","",((MAX(Table12[[#This Row],[residual LULUCF emissions in 2050]],0.1)/Table12[[#This Row],[GHG emissions excl LULUCF]])^(1/(Table12[[#This Row],[NZ GHG year]]-2021))-1)))</f>
        <v>9.7467507996388703E-2</v>
      </c>
      <c r="BM212" s="552" t="e">
        <f>IF(Table12[[#This Row],[Net-zero target status]]&lt;=1,"",IF(Table12[[#This Row],[NZ GHG year]]="","",((MAX(Table12[[#This Row],[residual LULUCF emissions in 2050]],0.1)/AVERAGE(Table12[[#This Row],[2030 conditional NDCs]:[2030 conditional NDCs2]]))^(1/(Table12[[#This Row],[NZ GHG year]]-2021))-1)))</f>
        <v>#DIV/0!</v>
      </c>
      <c r="BN212" s="23"/>
      <c r="BO212" s="23"/>
      <c r="BP212" s="23"/>
      <c r="BQ212" s="23"/>
      <c r="BR212" s="50" t="s">
        <v>453</v>
      </c>
      <c r="BT212" s="30">
        <f>IF(Table12[[#This Row],[Reduction rate 2021 to NZ target2]]="","",J212*(1+AN212)^(Table12[[#This Row],[NZ GHG year]]-2021))</f>
        <v>20796.431364605014</v>
      </c>
    </row>
    <row r="213" spans="1:72" ht="15" x14ac:dyDescent="0.25">
      <c r="A213">
        <v>0</v>
      </c>
      <c r="B213">
        <v>0</v>
      </c>
      <c r="C213">
        <v>780</v>
      </c>
      <c r="D213">
        <v>201</v>
      </c>
      <c r="E213">
        <v>4</v>
      </c>
      <c r="F213" t="str">
        <f>'input site'!M213</f>
        <v>excl</v>
      </c>
      <c r="G213" s="31" t="s">
        <v>454</v>
      </c>
      <c r="H213" s="1" t="s">
        <v>455</v>
      </c>
      <c r="I213" s="8">
        <f>VLOOKUP($G213,'NZT data'!$B$3:$C$200,2,FALSE)</f>
        <v>1</v>
      </c>
      <c r="J213" s="32">
        <f>'input site'!AS213</f>
        <v>42.832557999999999</v>
      </c>
      <c r="K213" s="32">
        <f>'input site'!BS213</f>
        <v>52.815507550179994</v>
      </c>
      <c r="L213" s="32">
        <f t="shared" si="31"/>
        <v>0</v>
      </c>
      <c r="M213" s="32">
        <f t="shared" si="32"/>
        <v>0</v>
      </c>
      <c r="N213" s="32">
        <f>'input site'!EV213</f>
        <v>28.110962663142221</v>
      </c>
      <c r="O213" s="8">
        <v>0</v>
      </c>
      <c r="P213" s="36">
        <f>O213-N213</f>
        <v>-28.110962663142221</v>
      </c>
      <c r="Q213" s="32">
        <f t="shared" si="33"/>
        <v>0</v>
      </c>
      <c r="R213" s="32">
        <f>'input site'!EZ213</f>
        <v>5.7172189154696236</v>
      </c>
      <c r="S213" s="37">
        <f>'input site'!FA213</f>
        <v>2050</v>
      </c>
      <c r="T213" s="37" t="str">
        <f>Table12[[#This Row],[(Mt CO2 equivalent)]]</f>
        <v>Trinidad and Tobago</v>
      </c>
      <c r="U213" s="8">
        <f>VLOOKUP($G213,'NZT data'!$B$3:$F$200,4,FALSE)</f>
        <v>2110</v>
      </c>
      <c r="V213" s="32">
        <f>VLOOKUP($G213,'NZT data'!$B$3:$F$200,5,FALSE)</f>
        <v>2125</v>
      </c>
      <c r="W213" s="32">
        <f>-IF('LUC NGHGI'!EC203="",MIN('LUC NGHGI'!DW203,0.1),MIN('LUC NGHGI'!EC203,0.1))</f>
        <v>2.7949034285714305</v>
      </c>
      <c r="X213" s="32">
        <f>'LUC NGHGI'!EC203</f>
        <v>-2.7949034285714305</v>
      </c>
      <c r="Y213" s="32">
        <f>'LUC NGHGI'!DY203</f>
        <v>-1</v>
      </c>
      <c r="Z213" s="32">
        <f>'LUC NGHGI'!DZ203</f>
        <v>-1</v>
      </c>
      <c r="AA213" s="32">
        <f>Table12[[#This Row],[2021 emissions]]</f>
        <v>42.832557999999999</v>
      </c>
      <c r="AB213" s="32">
        <f>'LUC NGHGI'!DW203</f>
        <v>-2.8381951428571455</v>
      </c>
      <c r="AC213" s="32">
        <f>IF(F213="incl",Table12[[#This Row],[GHG emissions incl LULUCF]]-Table12[[#This Row],[LULUCF emis-sions in 20213]],Table12[[#This Row],[GHG emissions incl LULUCF]])</f>
        <v>42.832557999999999</v>
      </c>
      <c r="AD213" s="32">
        <f>'input site'!BS213</f>
        <v>52.815507550179994</v>
      </c>
      <c r="AE213" s="32">
        <f>'LUC NGHGI'!EH203</f>
        <v>-3.9280925495808807</v>
      </c>
      <c r="AF213" s="32">
        <f>IF(F213="incl",Table12[[#This Row],[Current Policies 2030 incl LULUCF]]-Table12[[#This Row],[LULUCF CurPol 2030]],Table12[[#This Row],[Current Policies 2030 incl LULUCF]])</f>
        <v>52.815507550179994</v>
      </c>
      <c r="AG213" s="32" t="str">
        <f>IF(Table12[[#This Row],[Net-zero target status]]&lt;=1,"",IF(Table12[[#This Row],[NZ GHG year]]="","",1000000000*(Table12[[#This Row],[residual LULUCF emissions in 2050]]-Table12[[#This Row],[GHG emissions excl LULUCF]])/(Table12[[#This Row],[NZ GHG year]]-2021)/Table12[[#This Row],[Population]]))</f>
        <v/>
      </c>
      <c r="AH213" s="32" t="str">
        <f>IF(Table12[[#This Row],[Peak revised]]="Yes",IF(Table12[[#This Row],[Net-zero target status]]&lt;=1,"",IF(Table12[[#This Row],[NZ GHG year]]="","",1000000000*(Table12[[#This Row],[residual LULUCF emissions in 2050]]-Table12[[#This Row],[GHG emissions excl LULUCF]])/(Table12[[#This Row],[NZ GHG year]]-2021)/Table12[[#This Row],[Population]])),"")</f>
        <v/>
      </c>
      <c r="AI213" s="32">
        <f>MAX(0,(1000000*(Table12[[#This Row],[Current Policies 2030 excl LULUCF]]/2+Table12[[#This Row],[GHG emissions excl LULUCF]]/2)/Table12[[#This Row],[Population]]-$AI$8)*10)*$AI$10</f>
        <v>-2700.0101504772192</v>
      </c>
      <c r="AJ21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3" s="32" t="str">
        <f>IF(Table12[[#This Row],[Formule no Peak (2)]]="","",Table12[[#This Row],[Penalty (1)]]+Table12[[#This Row],[Formule no Peak (2)]])</f>
        <v/>
      </c>
      <c r="AL213" s="313">
        <f>(Table12[[#This Row],[Current Policies 2030 excl LULUCF]]-Table12[[#This Row],[GHG emissions excl LULUCF]])/(2030-2021)/Table12[[#This Row],[GHG emissions excl LULUCF]]</f>
        <v>2.5896576540832938E-2</v>
      </c>
      <c r="AM213" s="313" t="str">
        <f>IF(Table12[[#This Row],[Net-zero target status]]&lt;=1,"",IF(Table12[[#This Row],[NZ GHG year]]="","",(Table12[[#This Row],[residual LULUCF emissions in 2050]]-Table12[[#This Row],[Current Policies 2030 excl LULUCF]])/(Table12[[#This Row],[NZ GHG year]]-2030)/Table12[[#This Row],[Current Policies 2030 excl LULUCF]]))</f>
        <v/>
      </c>
      <c r="AN213" s="313" t="str">
        <f>IF(Table12[[#This Row],[Net-zero target status]]&lt;=1,"",IF(Table12[[#This Row],[NZ GHG year]]="","",(Table12[[#This Row],[residual LULUCF emissions in 2050]]-Table12[[#This Row],[GHG emissions excl LULUCF]])/(Table12[[#This Row],[NZ GHG year]]-2021)/Table12[[#This Row],[GHG emissions excl LULUCF]]))</f>
        <v/>
      </c>
      <c r="AO213" s="313" t="str">
        <f>IF(Table12[[#This Row],[Net-zero target status]]&lt;=1,"",IF(Table12[[#This Row],[NZ GHG year]]="","",(Table12[[#This Row],[residual LULUCF emissions in 2050]]-Table12[[#This Row],[2030 conditional NDCs]])/(Table12[[#This Row],[NZ GHG year]]-2030)/Table12[[#This Row],[2030 conditional NDCs]]))</f>
        <v/>
      </c>
      <c r="AP213" s="96">
        <f>MAX('input site'!AH213:AS213)</f>
        <v>62.079069000000004</v>
      </c>
      <c r="AQ213" s="95" t="str">
        <f>IF(Table12[[#This Row],[Current Policies 2030 incl LULUCF]]&gt;Table12[[#This Row],[Maximum inventory data]],"No","Yes")</f>
        <v>Yes</v>
      </c>
      <c r="AR213" s="34" t="str">
        <f>IF(Table12[[#This Row],[Net-zero target status]]&gt;=1.5,Table12[[#This Row],[residual LULUCF emissions in 2050]]/Table12[[#This Row],[GHG emissions excl LULUCF]],"")</f>
        <v/>
      </c>
      <c r="AS213" s="74" t="str">
        <f>'input site'!BE213</f>
        <v/>
      </c>
      <c r="AT213" s="74" t="str">
        <f>'input site'!BF213</f>
        <v/>
      </c>
      <c r="AU213" s="74">
        <f>'input site'!BG213</f>
        <v>87.899010000000004</v>
      </c>
      <c r="AV213" s="74">
        <f>'input site'!BH213</f>
        <v>87.899010000000004</v>
      </c>
      <c r="AW213" s="74" t="str">
        <f>IF(Table12[[#This Row],[2030 unconditional NDCs]]="","",IF(F213="incl",Table12[[#This Row],[2030 unconditional NDCs]]-Table12[[#This Row],[LULUCF NDC uncond]],Table12[[#This Row],[2030 unconditional NDCs]]))</f>
        <v/>
      </c>
      <c r="AX213" s="74" t="str">
        <f>IF(Table12[[#This Row],[2030 unconditional NDCs2]]="","",IF(F213="incl",Table12[[#This Row],[2030 unconditional NDCs2]]-Table12[[#This Row],[LULUCF NDC uncond]],Table12[[#This Row],[2030 unconditional NDCs2]]))</f>
        <v/>
      </c>
      <c r="AY213" s="74">
        <f>IF(Table12[[#This Row],[2030 conditional NDCs]]="","",IF(F213="incl",Table12[[#This Row],[2030 conditional NDCs]]-Table12[[#This Row],[LULUCF NDC cond]],Table12[[#This Row],[2030 conditional NDCs]]))</f>
        <v>87.899010000000004</v>
      </c>
      <c r="AZ213" s="74">
        <f>IF(Table12[[#This Row],[2030 conditional NDCs2]]="","",IF(F213="incl",Table12[[#This Row],[2030 conditional NDCs2]]-Table12[[#This Row],[LULUCF NDC cond]],Table12[[#This Row],[2030 conditional NDCs2]]))</f>
        <v>87.899010000000004</v>
      </c>
      <c r="BA213" s="8">
        <f>VLOOKUP($G213,'Population90 20'!$C$6:$AU$231,37,FALSE)</f>
        <v>1406585</v>
      </c>
      <c r="BB213" s="8">
        <f>VLOOKUP($G213,'Overview GDP (PPP)'!$C$6:$AI$231,33,FALSE)</f>
        <v>39815334.82401567</v>
      </c>
      <c r="BC213" s="36">
        <f>Table12[[#This Row],[Income]]/Table12[[#This Row],[Population]]</f>
        <v>28.306383776320427</v>
      </c>
      <c r="BD213" s="36">
        <f>Table12[[#This Row],[GHG emissions excl LULUCF]]*1000000/Table12[[#This Row],[Population]]</f>
        <v>30.451453698141243</v>
      </c>
      <c r="BE213" s="23" t="e">
        <f>VLOOKUP($G213,EGR2023_MASTER!$B$4:$S$38,14,FALSE)</f>
        <v>#N/A</v>
      </c>
      <c r="BF213" s="23" t="e">
        <f>VLOOKUP($G213,EGR2023_MASTER!$B$4:$S$38,15,FALSE)</f>
        <v>#N/A</v>
      </c>
      <c r="BG213" s="23" t="e">
        <f>VLOOKUP($G213,EGR2023_MASTER!$B$4:$S$38,16,FALSE)</f>
        <v>#N/A</v>
      </c>
      <c r="BH213" s="23" t="e">
        <f t="shared" si="29"/>
        <v>#N/A</v>
      </c>
      <c r="BI213" s="23" t="e">
        <f t="shared" si="30"/>
        <v>#N/A</v>
      </c>
      <c r="BJ213" s="552">
        <f>(Table12[[#This Row],[Current Policies 2030 excl LULUCF]]/Table12[[#This Row],[GHG emissions excl LULUCF]])^(1/(2030-2021))-1</f>
        <v>2.3551540411518301E-2</v>
      </c>
      <c r="BK213" s="552" t="str">
        <f>IF(Table12[[#This Row],[Net-zero target status]]&lt;=1,"",IF(Table12[[#This Row],[NZ GHG year]]="","",((MAX(Table12[[#This Row],[residual LULUCF emissions in 2050]],0.1)/Table12[[#This Row],[Current Policies 2030 excl LULUCF]])^(1/(Table12[[#This Row],[NZ GHG year]]-2021))-1)))</f>
        <v/>
      </c>
      <c r="BL213" s="552" t="str">
        <f>IF(Table12[[#This Row],[Net-zero target status]]&lt;=1,"",IF(Table12[[#This Row],[NZ GHG year]]="","",((MAX(Table12[[#This Row],[residual LULUCF emissions in 2050]],0.1)/Table12[[#This Row],[GHG emissions excl LULUCF]])^(1/(Table12[[#This Row],[NZ GHG year]]-2021))-1)))</f>
        <v/>
      </c>
      <c r="BM213" s="552" t="str">
        <f>IF(Table12[[#This Row],[Net-zero target status]]&lt;=1,"",IF(Table12[[#This Row],[NZ GHG year]]="","",((MAX(Table12[[#This Row],[residual LULUCF emissions in 2050]],0.1)/AVERAGE(Table12[[#This Row],[2030 conditional NDCs]:[2030 conditional NDCs2]]))^(1/(Table12[[#This Row],[NZ GHG year]]-2021))-1)))</f>
        <v/>
      </c>
      <c r="BN213" s="23"/>
      <c r="BO213" s="23"/>
      <c r="BP213" s="23"/>
      <c r="BQ213" s="23"/>
      <c r="BR213" s="50" t="s">
        <v>455</v>
      </c>
      <c r="BT213" s="30" t="str">
        <f>IF(Table12[[#This Row],[Reduction rate 2021 to NZ target2]]="","",J213*(1+AN213)^(Table12[[#This Row],[NZ GHG year]]-2021))</f>
        <v/>
      </c>
    </row>
    <row r="214" spans="1:72" ht="15" x14ac:dyDescent="0.25">
      <c r="A214">
        <v>0</v>
      </c>
      <c r="B214">
        <v>0</v>
      </c>
      <c r="C214">
        <v>788</v>
      </c>
      <c r="D214">
        <v>203</v>
      </c>
      <c r="E214">
        <v>7</v>
      </c>
      <c r="F214" t="str">
        <f>'input site'!M214</f>
        <v>excl</v>
      </c>
      <c r="G214" s="31" t="s">
        <v>456</v>
      </c>
      <c r="H214" s="1" t="s">
        <v>457</v>
      </c>
      <c r="I214" s="8">
        <f>VLOOKUP($G214,'NZT data'!$B$3:$C$200,2,FALSE)</f>
        <v>3</v>
      </c>
      <c r="J214" s="32">
        <f>'input site'!AS214</f>
        <v>43.363604000000002</v>
      </c>
      <c r="K214" s="32">
        <f>'input site'!BS214</f>
        <v>43.239664409746638</v>
      </c>
      <c r="L214" s="32">
        <f t="shared" si="31"/>
        <v>0</v>
      </c>
      <c r="M214" s="32">
        <f t="shared" si="32"/>
        <v>0</v>
      </c>
      <c r="N214" s="32">
        <f>'input site'!EV214</f>
        <v>19.019395907860204</v>
      </c>
      <c r="O214" s="8"/>
      <c r="P214" s="8"/>
      <c r="Q214" s="32">
        <f t="shared" si="33"/>
        <v>0</v>
      </c>
      <c r="R214" s="32">
        <f>'input site'!EZ214</f>
        <v>5.6636109350026596</v>
      </c>
      <c r="S214" s="37">
        <f>'input site'!FA214</f>
        <v>0</v>
      </c>
      <c r="T214" s="37" t="str">
        <f>Table12[[#This Row],[(Mt CO2 equivalent)]]</f>
        <v>Tunisia</v>
      </c>
      <c r="U214" s="8">
        <f>VLOOKUP($G214,'NZT data'!$B$3:$F$200,4,FALSE)</f>
        <v>2050</v>
      </c>
      <c r="V214" s="32">
        <f>VLOOKUP($G214,'NZT data'!$B$3:$F$200,5,FALSE)</f>
        <v>2065</v>
      </c>
      <c r="W214" s="32">
        <f>-IF('LUC NGHGI'!EC204="",MIN('LUC NGHGI'!DW204,0.1),MIN('LUC NGHGI'!EC204,0.1))</f>
        <v>33.799999999999997</v>
      </c>
      <c r="X214" s="32">
        <f>'LUC NGHGI'!EC204</f>
        <v>-33.799999999999997</v>
      </c>
      <c r="Y214" s="32">
        <f>'LUC NGHGI'!DY204</f>
        <v>-4</v>
      </c>
      <c r="Z214" s="32">
        <f>'LUC NGHGI'!DZ204</f>
        <v>-4</v>
      </c>
      <c r="AA214" s="32">
        <f>Table12[[#This Row],[2021 emissions]]</f>
        <v>43.363604000000002</v>
      </c>
      <c r="AB214" s="32">
        <f>'LUC NGHGI'!DW204</f>
        <v>-17.254000000000001</v>
      </c>
      <c r="AC214" s="32">
        <f>IF(F214="incl",Table12[[#This Row],[GHG emissions incl LULUCF]]-Table12[[#This Row],[LULUCF emis-sions in 20213]],Table12[[#This Row],[GHG emissions incl LULUCF]])</f>
        <v>43.363604000000002</v>
      </c>
      <c r="AD214" s="32">
        <f>'input site'!BS214</f>
        <v>43.239664409746638</v>
      </c>
      <c r="AE214" s="32">
        <f>'LUC NGHGI'!EH204</f>
        <v>-21.836497174860551</v>
      </c>
      <c r="AF214" s="32">
        <f>IF(F214="incl",Table12[[#This Row],[Current Policies 2030 incl LULUCF]]-Table12[[#This Row],[LULUCF CurPol 2030]],Table12[[#This Row],[Current Policies 2030 incl LULUCF]])</f>
        <v>43.239664409746638</v>
      </c>
      <c r="AG214" s="32">
        <f>IF(Table12[[#This Row],[Net-zero target status]]&lt;=1,"",IF(Table12[[#This Row],[NZ GHG year]]="","",1000000000*(Table12[[#This Row],[residual LULUCF emissions in 2050]]-Table12[[#This Row],[GHG emissions excl LULUCF]])/(Table12[[#This Row],[NZ GHG year]]-2021)/Table12[[#This Row],[Population]]))</f>
        <v>-18.042736205270284</v>
      </c>
      <c r="AH214" s="32">
        <f>IF(Table12[[#This Row],[Peak revised]]="Yes",IF(Table12[[#This Row],[Net-zero target status]]&lt;=1,"",IF(Table12[[#This Row],[NZ GHG year]]="","",1000000000*(Table12[[#This Row],[residual LULUCF emissions in 2050]]-Table12[[#This Row],[GHG emissions excl LULUCF]])/(Table12[[#This Row],[NZ GHG year]]-2021)/Table12[[#This Row],[Population]])),"")</f>
        <v>-18.042736205270284</v>
      </c>
      <c r="AI214" s="32">
        <f>MAX(0,(1000000*(Table12[[#This Row],[Current Policies 2030 excl LULUCF]]/2+Table12[[#This Row],[GHG emissions excl LULUCF]]/2)/Table12[[#This Row],[Population]]-$AI$8)*10)*$AI$10</f>
        <v>0</v>
      </c>
      <c r="AJ21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4" s="32" t="str">
        <f>IF(Table12[[#This Row],[Formule no Peak (2)]]="","",Table12[[#This Row],[Penalty (1)]]+Table12[[#This Row],[Formule no Peak (2)]])</f>
        <v/>
      </c>
      <c r="AL214" s="313">
        <f>(Table12[[#This Row],[Current Policies 2030 excl LULUCF]]-Table12[[#This Row],[GHG emissions excl LULUCF]])/(2030-2021)/Table12[[#This Row],[GHG emissions excl LULUCF]]</f>
        <v>-3.1757198003438914E-4</v>
      </c>
      <c r="AM214" s="313">
        <f>IF(Table12[[#This Row],[Net-zero target status]]&lt;=1,"",IF(Table12[[#This Row],[NZ GHG year]]="","",(Table12[[#This Row],[residual LULUCF emissions in 2050]]-Table12[[#This Row],[Current Policies 2030 excl LULUCF]])/(Table12[[#This Row],[NZ GHG year]]-2030)/Table12[[#This Row],[Current Policies 2030 excl LULUCF]]))</f>
        <v>-6.2374373414549105E-3</v>
      </c>
      <c r="AN214" s="313">
        <f>IF(Table12[[#This Row],[Net-zero target status]]&lt;=1,"",IF(Table12[[#This Row],[NZ GHG year]]="","",(Table12[[#This Row],[residual LULUCF emissions in 2050]]-Table12[[#This Row],[GHG emissions excl LULUCF]])/(Table12[[#This Row],[NZ GHG year]]-2021)/Table12[[#This Row],[GHG emissions excl LULUCF]]))</f>
        <v>-5.0123748100742837E-3</v>
      </c>
      <c r="AO214" s="313">
        <f>IF(Table12[[#This Row],[Net-zero target status]]&lt;=1,"",IF(Table12[[#This Row],[NZ GHG year]]="","",(Table12[[#This Row],[residual LULUCF emissions in 2050]]-Table12[[#This Row],[2030 conditional NDCs]])/(Table12[[#This Row],[NZ GHG year]]-2030)/Table12[[#This Row],[2030 conditional NDCs]]))</f>
        <v>2.58064516129032E-3</v>
      </c>
      <c r="AP214" s="96">
        <f>MAX('input site'!AH214:AS214)</f>
        <v>45.833656000000005</v>
      </c>
      <c r="AQ214" s="95" t="str">
        <f>IF(Table12[[#This Row],[Current Policies 2030 incl LULUCF]]&gt;Table12[[#This Row],[Maximum inventory data]],"No","Yes")</f>
        <v>Yes</v>
      </c>
      <c r="AR214" s="34">
        <f>IF(Table12[[#This Row],[Net-zero target status]]&gt;=1.5,Table12[[#This Row],[residual LULUCF emissions in 2050]]/Table12[[#This Row],[GHG emissions excl LULUCF]],"")</f>
        <v>0.7794555083567315</v>
      </c>
      <c r="AS214" s="76">
        <f>'input site'!BE214</f>
        <v>41.145454545454541</v>
      </c>
      <c r="AT214" s="76">
        <f>'input site'!BF214</f>
        <v>41.145454545454541</v>
      </c>
      <c r="AU214" s="76">
        <f>'input site'!BG214</f>
        <v>31</v>
      </c>
      <c r="AV214" s="77">
        <f>'input site'!BH214</f>
        <v>31</v>
      </c>
      <c r="AW214" s="74">
        <f>IF(Table12[[#This Row],[2030 unconditional NDCs]]="","",IF(F214="incl",Table12[[#This Row],[2030 unconditional NDCs]]-Table12[[#This Row],[LULUCF NDC uncond]],Table12[[#This Row],[2030 unconditional NDCs]]))</f>
        <v>41.145454545454541</v>
      </c>
      <c r="AX214" s="74">
        <f>IF(Table12[[#This Row],[2030 unconditional NDCs2]]="","",IF(F214="incl",Table12[[#This Row],[2030 unconditional NDCs2]]-Table12[[#This Row],[LULUCF NDC uncond]],Table12[[#This Row],[2030 unconditional NDCs2]]))</f>
        <v>41.145454545454541</v>
      </c>
      <c r="AY214" s="74">
        <f>IF(Table12[[#This Row],[2030 conditional NDCs]]="","",IF(F214="incl",Table12[[#This Row],[2030 conditional NDCs]]-Table12[[#This Row],[LULUCF NDC cond]],Table12[[#This Row],[2030 conditional NDCs]]))</f>
        <v>31</v>
      </c>
      <c r="AZ214" s="74">
        <f>IF(Table12[[#This Row],[2030 conditional NDCs2]]="","",IF(F214="incl",Table12[[#This Row],[2030 conditional NDCs2]]-Table12[[#This Row],[LULUCF NDC cond]],Table12[[#This Row],[2030 conditional NDCs2]]))</f>
        <v>31</v>
      </c>
      <c r="BA214" s="8">
        <f>VLOOKUP($G214,'Population90 20'!$C$6:$AU$231,37,FALSE)</f>
        <v>12046656</v>
      </c>
      <c r="BB214" s="8">
        <f>VLOOKUP($G214,'Overview GDP (PPP)'!$C$6:$AI$231,33,FALSE)</f>
        <v>128333103.48668499</v>
      </c>
      <c r="BC214" s="36">
        <f>Table12[[#This Row],[Income]]/Table12[[#This Row],[Population]]</f>
        <v>10.653006401667399</v>
      </c>
      <c r="BD214" s="36">
        <f>Table12[[#This Row],[GHG emissions excl LULUCF]]*1000000/Table12[[#This Row],[Population]]</f>
        <v>3.5996382730610055</v>
      </c>
      <c r="BE214" s="23" t="e">
        <f>VLOOKUP($G214,EGR2023_MASTER!$B$4:$S$38,14,FALSE)</f>
        <v>#N/A</v>
      </c>
      <c r="BF214" s="23" t="e">
        <f>VLOOKUP($G214,EGR2023_MASTER!$B$4:$S$38,15,FALSE)</f>
        <v>#N/A</v>
      </c>
      <c r="BG214" s="23" t="e">
        <f>VLOOKUP($G214,EGR2023_MASTER!$B$4:$S$38,16,FALSE)</f>
        <v>#N/A</v>
      </c>
      <c r="BH214" s="23" t="e">
        <f t="shared" si="29"/>
        <v>#N/A</v>
      </c>
      <c r="BI214" s="23" t="e">
        <f t="shared" si="30"/>
        <v>#N/A</v>
      </c>
      <c r="BJ214" s="552">
        <f>(Table12[[#This Row],[Current Policies 2030 excl LULUCF]]/Table12[[#This Row],[GHG emissions excl LULUCF]])^(1/(2030-2021))-1</f>
        <v>-3.1797611534878367E-4</v>
      </c>
      <c r="BK214" s="552">
        <f>IF(Table12[[#This Row],[Net-zero target status]]&lt;=1,"",IF(Table12[[#This Row],[NZ GHG year]]="","",((MAX(Table12[[#This Row],[residual LULUCF emissions in 2050]],0.1)/Table12[[#This Row],[Current Policies 2030 excl LULUCF]])^(1/(Table12[[#This Row],[NZ GHG year]]-2021))-1)))</f>
        <v>-5.5820310878978985E-3</v>
      </c>
      <c r="BL214" s="552">
        <f>IF(Table12[[#This Row],[Net-zero target status]]&lt;=1,"",IF(Table12[[#This Row],[NZ GHG year]]="","",((MAX(Table12[[#This Row],[residual LULUCF emissions in 2050]],0.1)/Table12[[#This Row],[GHG emissions excl LULUCF]])^(1/(Table12[[#This Row],[NZ GHG year]]-2021))-1)))</f>
        <v>-5.6467167796457884E-3</v>
      </c>
      <c r="BM214" s="552">
        <f>IF(Table12[[#This Row],[Net-zero target status]]&lt;=1,"",IF(Table12[[#This Row],[NZ GHG year]]="","",((MAX(Table12[[#This Row],[residual LULUCF emissions in 2050]],0.1)/AVERAGE(Table12[[#This Row],[2030 conditional NDCs]:[2030 conditional NDCs2]]))^(1/(Table12[[#This Row],[NZ GHG year]]-2021))-1)))</f>
        <v>1.96724153113359E-3</v>
      </c>
      <c r="BN214" s="23"/>
      <c r="BO214" s="23"/>
      <c r="BP214" s="23"/>
      <c r="BQ214" s="23"/>
      <c r="BR214" s="50" t="s">
        <v>457</v>
      </c>
      <c r="BT214" s="30">
        <f>IF(Table12[[#This Row],[Reduction rate 2021 to NZ target2]]="","",J214*(1+AN214)^(Table12[[#This Row],[NZ GHG year]]-2021))</f>
        <v>34.761880564789109</v>
      </c>
    </row>
    <row r="215" spans="1:72" ht="15" x14ac:dyDescent="0.25">
      <c r="A215">
        <v>1</v>
      </c>
      <c r="B215">
        <v>1</v>
      </c>
      <c r="C215">
        <v>792</v>
      </c>
      <c r="D215">
        <v>204</v>
      </c>
      <c r="E215">
        <v>13</v>
      </c>
      <c r="F215" t="str">
        <f>'input site'!M215</f>
        <v>incl</v>
      </c>
      <c r="G215" s="31" t="s">
        <v>458</v>
      </c>
      <c r="H215" s="1" t="s">
        <v>459</v>
      </c>
      <c r="I215" s="8">
        <f>VLOOKUP($G215,'NZT data'!$B$3:$C$200,2,FALSE)</f>
        <v>3</v>
      </c>
      <c r="J215" s="32">
        <f>'input site'!AS215</f>
        <v>517.24399047999998</v>
      </c>
      <c r="K215" s="32">
        <f>'input site'!BS215</f>
        <v>548.41404172390696</v>
      </c>
      <c r="L215" s="32">
        <f t="shared" si="31"/>
        <v>346.62500000000006</v>
      </c>
      <c r="M215" s="32">
        <f t="shared" si="32"/>
        <v>346.62500000000006</v>
      </c>
      <c r="N215" s="32">
        <f>'input site'!EV215</f>
        <v>198.45929505778599</v>
      </c>
      <c r="O215" s="32">
        <f>'input site'!EW215</f>
        <v>346.62500000000006</v>
      </c>
      <c r="P215" s="8"/>
      <c r="Q215" s="32">
        <f t="shared" si="33"/>
        <v>346.62500000000006</v>
      </c>
      <c r="R215" s="32">
        <f>'input site'!EZ215</f>
        <v>39.754210150857055</v>
      </c>
      <c r="S215" s="37">
        <f>'input site'!FA215</f>
        <v>0</v>
      </c>
      <c r="T215" s="37" t="str">
        <f>Table12[[#This Row],[(Mt CO2 equivalent)]]</f>
        <v>Turkey</v>
      </c>
      <c r="U215" s="8">
        <f>VLOOKUP($G215,'NZT data'!$B$3:$F$200,4,FALSE)</f>
        <v>2053</v>
      </c>
      <c r="V215" s="32">
        <f>VLOOKUP($G215,'NZT data'!$B$3:$F$200,5,FALSE)</f>
        <v>2053</v>
      </c>
      <c r="W215" s="32">
        <f>-IF('LUC NGHGI'!EC205="",MIN('LUC NGHGI'!DW205,0.1),MIN('LUC NGHGI'!EC205,0.1))</f>
        <v>57.02557700163154</v>
      </c>
      <c r="X215" s="32">
        <f>'LUC NGHGI'!EC205</f>
        <v>-57.02557700163154</v>
      </c>
      <c r="Y215" s="32">
        <f>'LUC NGHGI'!DY205</f>
        <v>-57.02557700163154</v>
      </c>
      <c r="Z215" s="32">
        <f>'LUC NGHGI'!DZ205</f>
        <v>-57.02557700163154</v>
      </c>
      <c r="AA215" s="32">
        <f>Table12[[#This Row],[2021 emissions]]</f>
        <v>517.24399047999998</v>
      </c>
      <c r="AB215" s="32">
        <f>'LUC NGHGI'!DW205</f>
        <v>-47.223901614016647</v>
      </c>
      <c r="AC215" s="32">
        <f>IF(F215="incl",Table12[[#This Row],[GHG emissions incl LULUCF]]-Table12[[#This Row],[LULUCF emis-sions in 20213]],Table12[[#This Row],[GHG emissions incl LULUCF]])</f>
        <v>564.46789209401663</v>
      </c>
      <c r="AD215" s="32">
        <f>'input site'!BS215</f>
        <v>548.41404172390696</v>
      </c>
      <c r="AE215" s="32">
        <f>'LUC NGHGI'!EH205</f>
        <v>-44.406157350000001</v>
      </c>
      <c r="AF215" s="32">
        <f>IF(F215="incl",Table12[[#This Row],[Current Policies 2030 incl LULUCF]]-Table12[[#This Row],[LULUCF CurPol 2030]],Table12[[#This Row],[Current Policies 2030 incl LULUCF]])</f>
        <v>592.82019907390691</v>
      </c>
      <c r="AG215" s="32">
        <f>IF(Table12[[#This Row],[Net-zero target status]]&lt;=1,"",IF(Table12[[#This Row],[NZ GHG year]]="","",1000000000*(Table12[[#This Row],[residual LULUCF emissions in 2050]]-Table12[[#This Row],[GHG emissions excl LULUCF]])/(Table12[[#This Row],[NZ GHG year]]-2021)/Table12[[#This Row],[Population]]))</f>
        <v>-185.33433994835551</v>
      </c>
      <c r="AH215" s="32" t="str">
        <f>IF(Table12[[#This Row],[Peak revised]]="Yes",IF(Table12[[#This Row],[Net-zero target status]]&lt;=1,"",IF(Table12[[#This Row],[NZ GHG year]]="","",1000000000*(Table12[[#This Row],[residual LULUCF emissions in 2050]]-Table12[[#This Row],[GHG emissions excl LULUCF]])/(Table12[[#This Row],[NZ GHG year]]-2021)/Table12[[#This Row],[Population]])),"")</f>
        <v/>
      </c>
      <c r="AI215" s="32">
        <f>MAX(0,(1000000*(Table12[[#This Row],[Current Policies 2030 excl LULUCF]]/2+Table12[[#This Row],[GHG emissions excl LULUCF]]/2)/Table12[[#This Row],[Population]]-$AI$8)*10)*$AI$10</f>
        <v>0</v>
      </c>
      <c r="AJ215" s="32">
        <f>IF(Table12[[#This Row],[Peak revised]]="No",IF(Table12[[#This Row],[Net-zero target status]]&lt;=1,"",IF(Table12[[#This Row],[NZ GHG year]]="","",1000000000*(Table12[[#This Row],[residual LULUCF emissions in 2050]]-Table12[[#This Row],[Current Policies 2030 excl LULUCF]])/(Table12[[#This Row],[NZ GHG year]]-2021)/Table12[[#This Row],[Population]])),"")</f>
        <v>-195.68951913591391</v>
      </c>
      <c r="AK215" s="32">
        <f>IF(Table12[[#This Row],[Formule no Peak (2)]]="","",Table12[[#This Row],[Penalty (1)]]+Table12[[#This Row],[Formule no Peak (2)]])</f>
        <v>-195.68951913591391</v>
      </c>
      <c r="AL215" s="313">
        <f>(Table12[[#This Row],[Current Policies 2030 excl LULUCF]]-Table12[[#This Row],[GHG emissions excl LULUCF]])/(2030-2021)/Table12[[#This Row],[GHG emissions excl LULUCF]]</f>
        <v>5.5809309532422772E-3</v>
      </c>
      <c r="AM215" s="313">
        <f>IF(Table12[[#This Row],[Net-zero target status]]&lt;=1,"",IF(Table12[[#This Row],[NZ GHG year]]="","",(Table12[[#This Row],[residual LULUCF emissions in 2050]]-Table12[[#This Row],[Current Policies 2030 excl LULUCF]])/(Table12[[#This Row],[NZ GHG year]]-2030)/Table12[[#This Row],[Current Policies 2030 excl LULUCF]]))</f>
        <v>-3.9295925454902146E-2</v>
      </c>
      <c r="AN215" s="313">
        <f>IF(Table12[[#This Row],[Net-zero target status]]&lt;=1,"",IF(Table12[[#This Row],[NZ GHG year]]="","",(Table12[[#This Row],[residual LULUCF emissions in 2050]]-Table12[[#This Row],[GHG emissions excl LULUCF]])/(Table12[[#This Row],[NZ GHG year]]-2021)/Table12[[#This Row],[GHG emissions excl LULUCF]]))</f>
        <v>-2.8092957223501084E-2</v>
      </c>
      <c r="AO215" s="313">
        <f>IF(Table12[[#This Row],[Net-zero target status]]&lt;=1,"",IF(Table12[[#This Row],[NZ GHG year]]="","",(Table12[[#This Row],[residual LULUCF emissions in 2050]]-Table12[[#This Row],[2030 conditional NDCs]])/(Table12[[#This Row],[NZ GHG year]]-2030)/Table12[[#This Row],[2030 conditional NDCs]]))</f>
        <v>-3.9901812383284059E-2</v>
      </c>
      <c r="AP215" s="96">
        <f>MAX('input site'!AH215:AS215)</f>
        <v>517.24399047999998</v>
      </c>
      <c r="AQ215" s="95" t="str">
        <f>IF(Table12[[#This Row],[Current Policies 2030 incl LULUCF]]&gt;Table12[[#This Row],[Maximum inventory data]],"No","Yes")</f>
        <v>No</v>
      </c>
      <c r="AR215" s="34">
        <f>IF(Table12[[#This Row],[Net-zero target status]]&gt;=1.5,Table12[[#This Row],[residual LULUCF emissions in 2050]]/Table12[[#This Row],[GHG emissions excl LULUCF]],"")</f>
        <v>0.10102536884796535</v>
      </c>
      <c r="AS215" s="82">
        <f>'input site'!BE215</f>
        <v>693.25000000000011</v>
      </c>
      <c r="AT215" s="82">
        <f>'input site'!BF215</f>
        <v>693.25000000000011</v>
      </c>
      <c r="AU215" s="82">
        <f>'input site'!BG215</f>
        <v>693.25000000000011</v>
      </c>
      <c r="AV215" s="83">
        <f>'input site'!BH215</f>
        <v>693.25000000000011</v>
      </c>
      <c r="AW215" s="74">
        <f>IF(Table12[[#This Row],[2030 unconditional NDCs]]="","",IF(F215="incl",Table12[[#This Row],[2030 unconditional NDCs]]-Table12[[#This Row],[LULUCF NDC uncond]],Table12[[#This Row],[2030 unconditional NDCs]]))</f>
        <v>750.27557700163163</v>
      </c>
      <c r="AX215" s="74">
        <f>IF(Table12[[#This Row],[2030 unconditional NDCs2]]="","",IF(F215="incl",Table12[[#This Row],[2030 unconditional NDCs2]]-Table12[[#This Row],[LULUCF NDC uncond]],Table12[[#This Row],[2030 unconditional NDCs2]]))</f>
        <v>750.27557700163163</v>
      </c>
      <c r="AY215" s="74">
        <f>IF(Table12[[#This Row],[2030 conditional NDCs]]="","",IF(F215="incl",Table12[[#This Row],[2030 conditional NDCs]]-Table12[[#This Row],[LULUCF NDC cond]],Table12[[#This Row],[2030 conditional NDCs]]))</f>
        <v>750.27557700163163</v>
      </c>
      <c r="AZ215" s="74">
        <f>IF(Table12[[#This Row],[2030 conditional NDCs2]]="","",IF(F215="incl",Table12[[#This Row],[2030 conditional NDCs2]]-Table12[[#This Row],[LULUCF NDC cond]],Table12[[#This Row],[2030 conditional NDCs2]]))</f>
        <v>750.27557700163163</v>
      </c>
      <c r="BA215" s="8">
        <f>VLOOKUP($G215,'Population90 20'!$C$6:$AU$231,37,FALSE)</f>
        <v>85561976</v>
      </c>
      <c r="BB215" s="8">
        <f>VLOOKUP($G215,'Overview GDP (PPP)'!$C$6:$AI$231,33,FALSE)</f>
        <v>2081584542.0071933</v>
      </c>
      <c r="BC215" s="36">
        <f>Table12[[#This Row],[Income]]/Table12[[#This Row],[Population]]</f>
        <v>24.328383229569095</v>
      </c>
      <c r="BD215" s="36">
        <f>Table12[[#This Row],[GHG emissions excl LULUCF]]*1000000/Table12[[#This Row],[Population]]</f>
        <v>6.5971815809164651</v>
      </c>
      <c r="BE215" s="23" t="str">
        <f>VLOOKUP($G215,EGR2023_MASTER!$B$4:$S$38,14,FALSE)</f>
        <v>N</v>
      </c>
      <c r="BF215" s="23" t="str">
        <f>VLOOKUP($G215,EGR2023_MASTER!$B$4:$S$38,15,FALSE)</f>
        <v>Credible</v>
      </c>
      <c r="BG215" s="23" t="str">
        <f>VLOOKUP($G215,EGR2023_MASTER!$B$4:$S$38,16,FALSE)</f>
        <v>n</v>
      </c>
      <c r="BH215" s="23" t="str">
        <f t="shared" si="29"/>
        <v>lower</v>
      </c>
      <c r="BI215" s="23" t="str">
        <f t="shared" si="30"/>
        <v>weak</v>
      </c>
      <c r="BJ215" s="552">
        <f>(Table12[[#This Row],[Current Policies 2030 excl LULUCF]]/Table12[[#This Row],[GHG emissions excl LULUCF]])^(1/(2030-2021))-1</f>
        <v>5.4601463284789098E-3</v>
      </c>
      <c r="BK215" s="552">
        <f>IF(Table12[[#This Row],[Net-zero target status]]&lt;=1,"",IF(Table12[[#This Row],[NZ GHG year]]="","",((MAX(Table12[[#This Row],[residual LULUCF emissions in 2050]],0.1)/Table12[[#This Row],[Current Policies 2030 excl LULUCF]])^(1/(Table12[[#This Row],[NZ GHG year]]-2021))-1)))</f>
        <v>-7.0555773050695825E-2</v>
      </c>
      <c r="BL215" s="552">
        <f>IF(Table12[[#This Row],[Net-zero target status]]&lt;=1,"",IF(Table12[[#This Row],[NZ GHG year]]="","",((MAX(Table12[[#This Row],[residual LULUCF emissions in 2050]],0.1)/Table12[[#This Row],[GHG emissions excl LULUCF]])^(1/(Table12[[#This Row],[NZ GHG year]]-2021))-1)))</f>
        <v>-6.9131249016365137E-2</v>
      </c>
      <c r="BM215" s="552">
        <f>IF(Table12[[#This Row],[Net-zero target status]]&lt;=1,"",IF(Table12[[#This Row],[NZ GHG year]]="","",((MAX(Table12[[#This Row],[residual LULUCF emissions in 2050]],0.1)/AVERAGE(Table12[[#This Row],[2030 conditional NDCs]:[2030 conditional NDCs2]]))^(1/(Table12[[#This Row],[NZ GHG year]]-2021))-1)))</f>
        <v>-7.5090225618949291E-2</v>
      </c>
      <c r="BN215" s="23"/>
      <c r="BO215" s="23"/>
      <c r="BP215" s="23"/>
      <c r="BQ215" s="23"/>
      <c r="BR215" s="50" t="s">
        <v>459</v>
      </c>
      <c r="BT215" s="30">
        <f>IF(Table12[[#This Row],[Reduction rate 2021 to NZ target2]]="","",J215*(1+AN215)^(Table12[[#This Row],[NZ GHG year]]-2021))</f>
        <v>207.81973539671398</v>
      </c>
    </row>
    <row r="216" spans="1:72" ht="15" x14ac:dyDescent="0.25">
      <c r="A216">
        <v>0</v>
      </c>
      <c r="B216">
        <v>0</v>
      </c>
      <c r="C216">
        <v>795</v>
      </c>
      <c r="D216">
        <v>205</v>
      </c>
      <c r="E216">
        <v>15</v>
      </c>
      <c r="F216" t="str">
        <f>'input site'!M216</f>
        <v>excl</v>
      </c>
      <c r="G216" s="31" t="s">
        <v>460</v>
      </c>
      <c r="H216" s="1" t="s">
        <v>461</v>
      </c>
      <c r="I216" s="8">
        <f>VLOOKUP($G216,'NZT data'!$B$3:$C$200,2,FALSE)</f>
        <v>0</v>
      </c>
      <c r="J216" s="32">
        <f>'input site'!AS216</f>
        <v>109.66130000000001</v>
      </c>
      <c r="K216" s="32">
        <f>'input site'!BS216</f>
        <v>134.80972012442086</v>
      </c>
      <c r="L216" s="32">
        <f t="shared" si="31"/>
        <v>134.80972012442086</v>
      </c>
      <c r="M216" s="32">
        <f t="shared" si="32"/>
        <v>46.827080397639406</v>
      </c>
      <c r="N216" s="32">
        <f>'input site'!EV216</f>
        <v>46.827080397639406</v>
      </c>
      <c r="O216" s="8"/>
      <c r="P216" s="8"/>
      <c r="Q216" s="32">
        <f t="shared" si="33"/>
        <v>29.749538964270329</v>
      </c>
      <c r="R216" s="32">
        <f>'input site'!EZ216</f>
        <v>29.749538964270329</v>
      </c>
      <c r="S216" s="37">
        <f>'input site'!FA216</f>
        <v>0</v>
      </c>
      <c r="T216" s="37" t="str">
        <f>Table12[[#This Row],[(Mt CO2 equivalent)]]</f>
        <v>Turkmenistan</v>
      </c>
      <c r="U216" s="8">
        <f>VLOOKUP($G216,'NZT data'!$B$3:$F$200,4,FALSE)</f>
        <v>2110</v>
      </c>
      <c r="V216" s="32" t="str">
        <f>VLOOKUP($G216,'NZT data'!$B$3:$F$200,5,FALSE)</f>
        <v/>
      </c>
      <c r="W216" s="32">
        <f>-IF('LUC NGHGI'!EC206="",MIN('LUC NGHGI'!DW206,0.1),MIN('LUC NGHGI'!EC206,0.1))</f>
        <v>0.82999599999999785</v>
      </c>
      <c r="X216" s="32">
        <f>'LUC NGHGI'!EC206</f>
        <v>-0.82999599999999785</v>
      </c>
      <c r="Y216" s="32">
        <f>'LUC NGHGI'!DY206</f>
        <v>-0.82999599999999785</v>
      </c>
      <c r="Z216" s="32">
        <f>'LUC NGHGI'!DZ206</f>
        <v>-0.82999599999999785</v>
      </c>
      <c r="AA216" s="32">
        <f>Table12[[#This Row],[2021 emissions]]</f>
        <v>109.66130000000001</v>
      </c>
      <c r="AB216" s="32">
        <f>'LUC NGHGI'!DW206</f>
        <v>-0.82999599999999762</v>
      </c>
      <c r="AC216" s="32">
        <f>IF(F216="incl",Table12[[#This Row],[GHG emissions incl LULUCF]]-Table12[[#This Row],[LULUCF emis-sions in 20213]],Table12[[#This Row],[GHG emissions incl LULUCF]])</f>
        <v>109.66130000000001</v>
      </c>
      <c r="AD216" s="32">
        <f>'input site'!BS216</f>
        <v>134.80972012442086</v>
      </c>
      <c r="AE216" s="32">
        <f>'LUC NGHGI'!EH206</f>
        <v>-1.1056452983714167</v>
      </c>
      <c r="AF216" s="32">
        <f>IF(F216="incl",Table12[[#This Row],[Current Policies 2030 incl LULUCF]]-Table12[[#This Row],[LULUCF CurPol 2030]],Table12[[#This Row],[Current Policies 2030 incl LULUCF]])</f>
        <v>134.80972012442086</v>
      </c>
      <c r="AG216" s="32" t="str">
        <f>IF(Table12[[#This Row],[Net-zero target status]]&lt;=1,"",IF(Table12[[#This Row],[NZ GHG year]]="","",1000000000*(Table12[[#This Row],[residual LULUCF emissions in 2050]]-Table12[[#This Row],[GHG emissions excl LULUCF]])/(Table12[[#This Row],[NZ GHG year]]-2021)/Table12[[#This Row],[Population]]))</f>
        <v/>
      </c>
      <c r="AH216" s="32" t="str">
        <f>IF(Table12[[#This Row],[Peak revised]]="Yes",IF(Table12[[#This Row],[Net-zero target status]]&lt;=1,"",IF(Table12[[#This Row],[NZ GHG year]]="","",1000000000*(Table12[[#This Row],[residual LULUCF emissions in 2050]]-Table12[[#This Row],[GHG emissions excl LULUCF]])/(Table12[[#This Row],[NZ GHG year]]-2021)/Table12[[#This Row],[Population]])),"")</f>
        <v/>
      </c>
      <c r="AI216" s="32">
        <f>MAX(0,(1000000*(Table12[[#This Row],[Current Policies 2030 excl LULUCF]]/2+Table12[[#This Row],[GHG emissions excl LULUCF]]/2)/Table12[[#This Row],[Population]]-$AI$8)*10)*$AI$10</f>
        <v>-1270.922823092867</v>
      </c>
      <c r="AJ21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6" s="32" t="str">
        <f>IF(Table12[[#This Row],[Formule no Peak (2)]]="","",Table12[[#This Row],[Penalty (1)]]+Table12[[#This Row],[Formule no Peak (2)]])</f>
        <v/>
      </c>
      <c r="AL216" s="313">
        <f>(Table12[[#This Row],[Current Policies 2030 excl LULUCF]]-Table12[[#This Row],[GHG emissions excl LULUCF]])/(2030-2021)/Table12[[#This Row],[GHG emissions excl LULUCF]]</f>
        <v>2.5480902585628913E-2</v>
      </c>
      <c r="AM216" s="313" t="str">
        <f>IF(Table12[[#This Row],[Net-zero target status]]&lt;=1,"",IF(Table12[[#This Row],[NZ GHG year]]="","",(Table12[[#This Row],[residual LULUCF emissions in 2050]]-Table12[[#This Row],[Current Policies 2030 excl LULUCF]])/(Table12[[#This Row],[NZ GHG year]]-2030)/Table12[[#This Row],[Current Policies 2030 excl LULUCF]]))</f>
        <v/>
      </c>
      <c r="AN216" s="313" t="str">
        <f>IF(Table12[[#This Row],[Net-zero target status]]&lt;=1,"",IF(Table12[[#This Row],[NZ GHG year]]="","",(Table12[[#This Row],[residual LULUCF emissions in 2050]]-Table12[[#This Row],[GHG emissions excl LULUCF]])/(Table12[[#This Row],[NZ GHG year]]-2021)/Table12[[#This Row],[GHG emissions excl LULUCF]]))</f>
        <v/>
      </c>
      <c r="AO216" s="313" t="str">
        <f>IF(Table12[[#This Row],[Net-zero target status]]&lt;=1,"",IF(Table12[[#This Row],[NZ GHG year]]="","",(Table12[[#This Row],[residual LULUCF emissions in 2050]]-Table12[[#This Row],[2030 conditional NDCs]])/(Table12[[#This Row],[NZ GHG year]]-2030)/Table12[[#This Row],[2030 conditional NDCs]]))</f>
        <v/>
      </c>
      <c r="AP216" s="96">
        <f>MAX('input site'!AH216:AS216)</f>
        <v>120.90983</v>
      </c>
      <c r="AQ216" s="95" t="str">
        <f>IF(Table12[[#This Row],[Current Policies 2030 incl LULUCF]]&gt;Table12[[#This Row],[Maximum inventory data]],"No","Yes")</f>
        <v>No</v>
      </c>
      <c r="AR216" s="34" t="str">
        <f>IF(Table12[[#This Row],[Net-zero target status]]&gt;=1.5,Table12[[#This Row],[residual LULUCF emissions in 2050]]/Table12[[#This Row],[GHG emissions excl LULUCF]],"")</f>
        <v/>
      </c>
      <c r="AS216" s="74" t="str">
        <f>'input site'!BE216</f>
        <v/>
      </c>
      <c r="AT216" s="74"/>
      <c r="AU216" s="74"/>
      <c r="AV216" s="75"/>
      <c r="AW216" s="74" t="str">
        <f>IF(Table12[[#This Row],[2030 unconditional NDCs]]="","",IF(F216="incl",Table12[[#This Row],[2030 unconditional NDCs]]-Table12[[#This Row],[LULUCF NDC uncond]],Table12[[#This Row],[2030 unconditional NDCs]]))</f>
        <v/>
      </c>
      <c r="AX216" s="74" t="str">
        <f>IF(Table12[[#This Row],[2030 unconditional NDCs2]]="","",IF(F216="incl",Table12[[#This Row],[2030 unconditional NDCs2]]-Table12[[#This Row],[LULUCF NDC uncond]],Table12[[#This Row],[2030 unconditional NDCs2]]))</f>
        <v/>
      </c>
      <c r="AY216" s="74" t="str">
        <f>IF(Table12[[#This Row],[2030 conditional NDCs]]="","",IF(F216="incl",Table12[[#This Row],[2030 conditional NDCs]]-Table12[[#This Row],[LULUCF NDC cond]],Table12[[#This Row],[2030 conditional NDCs]]))</f>
        <v/>
      </c>
      <c r="AZ216" s="74" t="str">
        <f>IF(Table12[[#This Row],[2030 conditional NDCs2]]="","",IF(F216="incl",Table12[[#This Row],[2030 conditional NDCs2]]-Table12[[#This Row],[LULUCF NDC cond]],Table12[[#This Row],[2030 conditional NDCs2]]))</f>
        <v/>
      </c>
      <c r="BA216" s="8">
        <f>VLOOKUP($G216,'Population90 20'!$C$6:$AU$231,37,FALSE)</f>
        <v>6201943</v>
      </c>
      <c r="BB216" s="8">
        <f>VLOOKUP($G216,'Overview GDP (PPP)'!$C$6:$AI$231,33,FALSE)</f>
        <v>100220117.33226077</v>
      </c>
      <c r="BC216" s="36">
        <f>Table12[[#This Row],[Income]]/Table12[[#This Row],[Population]]</f>
        <v>16.159470883924726</v>
      </c>
      <c r="BD216" s="36">
        <f>Table12[[#This Row],[GHG emissions excl LULUCF]]*1000000/Table12[[#This Row],[Population]]</f>
        <v>17.681765214546477</v>
      </c>
      <c r="BE216" s="23" t="e">
        <f>VLOOKUP($G216,EGR2023_MASTER!$B$4:$S$38,14,FALSE)</f>
        <v>#N/A</v>
      </c>
      <c r="BF216" s="23" t="e">
        <f>VLOOKUP($G216,EGR2023_MASTER!$B$4:$S$38,15,FALSE)</f>
        <v>#N/A</v>
      </c>
      <c r="BG216" s="23" t="e">
        <f>VLOOKUP($G216,EGR2023_MASTER!$B$4:$S$38,16,FALSE)</f>
        <v>#N/A</v>
      </c>
      <c r="BH216" s="23" t="e">
        <f t="shared" si="29"/>
        <v>#N/A</v>
      </c>
      <c r="BI216" s="23" t="e">
        <f t="shared" si="30"/>
        <v>#N/A</v>
      </c>
      <c r="BJ216" s="552">
        <f>(Table12[[#This Row],[Current Policies 2030 excl LULUCF]]/Table12[[#This Row],[GHG emissions excl LULUCF]])^(1/(2030-2021))-1</f>
        <v>2.3206029775657999E-2</v>
      </c>
      <c r="BK216" s="552" t="str">
        <f>IF(Table12[[#This Row],[Net-zero target status]]&lt;=1,"",IF(Table12[[#This Row],[NZ GHG year]]="","",((MAX(Table12[[#This Row],[residual LULUCF emissions in 2050]],0.1)/Table12[[#This Row],[Current Policies 2030 excl LULUCF]])^(1/(Table12[[#This Row],[NZ GHG year]]-2021))-1)))</f>
        <v/>
      </c>
      <c r="BL216" s="552" t="str">
        <f>IF(Table12[[#This Row],[Net-zero target status]]&lt;=1,"",IF(Table12[[#This Row],[NZ GHG year]]="","",((MAX(Table12[[#This Row],[residual LULUCF emissions in 2050]],0.1)/Table12[[#This Row],[GHG emissions excl LULUCF]])^(1/(Table12[[#This Row],[NZ GHG year]]-2021))-1)))</f>
        <v/>
      </c>
      <c r="BM216" s="552" t="str">
        <f>IF(Table12[[#This Row],[Net-zero target status]]&lt;=1,"",IF(Table12[[#This Row],[NZ GHG year]]="","",((MAX(Table12[[#This Row],[residual LULUCF emissions in 2050]],0.1)/AVERAGE(Table12[[#This Row],[2030 conditional NDCs]:[2030 conditional NDCs2]]))^(1/(Table12[[#This Row],[NZ GHG year]]-2021))-1)))</f>
        <v/>
      </c>
      <c r="BN216" s="23"/>
      <c r="BO216" s="23"/>
      <c r="BP216" s="23"/>
      <c r="BQ216" s="23"/>
      <c r="BR216" s="50" t="s">
        <v>461</v>
      </c>
      <c r="BT216" s="30" t="str">
        <f>IF(Table12[[#This Row],[Reduction rate 2021 to NZ target2]]="","",J216*(1+AN216)^(Table12[[#This Row],[NZ GHG year]]-2021))</f>
        <v/>
      </c>
    </row>
    <row r="217" spans="1:72" ht="15" x14ac:dyDescent="0.25">
      <c r="A217">
        <v>0</v>
      </c>
      <c r="B217">
        <v>0</v>
      </c>
      <c r="C217">
        <v>796</v>
      </c>
      <c r="D217">
        <v>206</v>
      </c>
      <c r="E217">
        <v>4</v>
      </c>
      <c r="F217" t="str">
        <f>'input site'!M217</f>
        <v>excl</v>
      </c>
      <c r="G217" s="31" t="s">
        <v>462</v>
      </c>
      <c r="H217" s="1" t="s">
        <v>463</v>
      </c>
      <c r="I217" s="8">
        <v>0</v>
      </c>
      <c r="J217" s="32">
        <f>'input site'!AS217</f>
        <v>0.23557052000000001</v>
      </c>
      <c r="K217" s="32">
        <f>'input site'!BS217</f>
        <v>0.29047475001749434</v>
      </c>
      <c r="L217" s="32">
        <f t="shared" si="31"/>
        <v>0.29047475001749434</v>
      </c>
      <c r="M217" s="32">
        <f t="shared" si="32"/>
        <v>0.13279044525378528</v>
      </c>
      <c r="N217" s="32">
        <f>'input site'!EV217</f>
        <v>0.13279044525378528</v>
      </c>
      <c r="O217" s="8"/>
      <c r="P217" s="8"/>
      <c r="Q217" s="32">
        <f t="shared" si="33"/>
        <v>2.7006974271784431E-2</v>
      </c>
      <c r="R217" s="32">
        <f>'input site'!EZ217</f>
        <v>2.7006974271784431E-2</v>
      </c>
      <c r="S217" s="37">
        <f>'input site'!FA217</f>
        <v>0</v>
      </c>
      <c r="T217" s="37" t="str">
        <f>Table12[[#This Row],[(Mt CO2 equivalent)]]</f>
        <v>Turks and Caicos Islands.</v>
      </c>
      <c r="U217" s="35">
        <v>2100</v>
      </c>
      <c r="V217" s="35">
        <v>2100</v>
      </c>
      <c r="W217" s="32">
        <f>-IF('LUC NGHGI'!EC207="",MIN('LUC NGHGI'!DW207,0.1),MIN('LUC NGHGI'!EC207,0.1))</f>
        <v>0</v>
      </c>
      <c r="X217" s="32" t="str">
        <f>'LUC NGHGI'!EC207</f>
        <v/>
      </c>
      <c r="Y217" s="32" t="str">
        <f>'LUC NGHGI'!DY207</f>
        <v/>
      </c>
      <c r="Z217" s="32" t="str">
        <f>'LUC NGHGI'!DZ207</f>
        <v/>
      </c>
      <c r="AA217" s="32">
        <f>Table12[[#This Row],[2021 emissions]]</f>
        <v>0.23557052000000001</v>
      </c>
      <c r="AB217" s="32">
        <f>'LUC NGHGI'!DW207</f>
        <v>0</v>
      </c>
      <c r="AC217" s="32">
        <f>IF(F217="incl",Table12[[#This Row],[GHG emissions incl LULUCF]]-Table12[[#This Row],[LULUCF emis-sions in 20213]],Table12[[#This Row],[GHG emissions incl LULUCF]])</f>
        <v>0.23557052000000001</v>
      </c>
      <c r="AD217" s="32">
        <f>'input site'!BS217</f>
        <v>0.29047475001749434</v>
      </c>
      <c r="AE217" s="32">
        <f>'LUC NGHGI'!EH207</f>
        <v>0</v>
      </c>
      <c r="AF217" s="32">
        <f>IF(F217="incl",Table12[[#This Row],[Current Policies 2030 incl LULUCF]]-Table12[[#This Row],[LULUCF CurPol 2030]],Table12[[#This Row],[Current Policies 2030 incl LULUCF]])</f>
        <v>0.29047475001749434</v>
      </c>
      <c r="AG217" s="32" t="str">
        <f>IF(Table12[[#This Row],[Net-zero target status]]&lt;=1,"",IF(Table12[[#This Row],[NZ GHG year]]="","",1000000000*(Table12[[#This Row],[residual LULUCF emissions in 2050]]-Table12[[#This Row],[GHG emissions excl LULUCF]])/(Table12[[#This Row],[NZ GHG year]]-2021)/Table12[[#This Row],[Population]]))</f>
        <v/>
      </c>
      <c r="AH217" s="32" t="str">
        <f>IF(Table12[[#This Row],[Peak revised]]="Yes",IF(Table12[[#This Row],[Net-zero target status]]&lt;=1,"",IF(Table12[[#This Row],[NZ GHG year]]="","",1000000000*(Table12[[#This Row],[residual LULUCF emissions in 2050]]-Table12[[#This Row],[GHG emissions excl LULUCF]])/(Table12[[#This Row],[NZ GHG year]]-2021)/Table12[[#This Row],[Population]])),"")</f>
        <v/>
      </c>
      <c r="AI217" s="32">
        <f>MAX(0,(1000000*(Table12[[#This Row],[Current Policies 2030 excl LULUCF]]/2+Table12[[#This Row],[GHG emissions excl LULUCF]]/2)/Table12[[#This Row],[Population]]-$AI$8)*10)*$AI$10</f>
        <v>0</v>
      </c>
      <c r="AJ21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7" s="32" t="str">
        <f>IF(Table12[[#This Row],[Formule no Peak (2)]]="","",Table12[[#This Row],[Penalty (1)]]+Table12[[#This Row],[Formule no Peak (2)]])</f>
        <v/>
      </c>
      <c r="AL217" s="313">
        <f>(Table12[[#This Row],[Current Policies 2030 excl LULUCF]]-Table12[[#This Row],[GHG emissions excl LULUCF]])/(2030-2021)/Table12[[#This Row],[GHG emissions excl LULUCF]]</f>
        <v>2.5896576540832932E-2</v>
      </c>
      <c r="AM217" s="313" t="str">
        <f>IF(Table12[[#This Row],[Net-zero target status]]&lt;=1,"",IF(Table12[[#This Row],[NZ GHG year]]="","",(Table12[[#This Row],[residual LULUCF emissions in 2050]]-Table12[[#This Row],[Current Policies 2030 excl LULUCF]])/(Table12[[#This Row],[NZ GHG year]]-2030)/Table12[[#This Row],[Current Policies 2030 excl LULUCF]]))</f>
        <v/>
      </c>
      <c r="AN217" s="313" t="str">
        <f>IF(Table12[[#This Row],[Net-zero target status]]&lt;=1,"",IF(Table12[[#This Row],[NZ GHG year]]="","",(Table12[[#This Row],[residual LULUCF emissions in 2050]]-Table12[[#This Row],[GHG emissions excl LULUCF]])/(Table12[[#This Row],[NZ GHG year]]-2021)/Table12[[#This Row],[GHG emissions excl LULUCF]]))</f>
        <v/>
      </c>
      <c r="AO217" s="313" t="str">
        <f>IF(Table12[[#This Row],[Net-zero target status]]&lt;=1,"",IF(Table12[[#This Row],[NZ GHG year]]="","",(Table12[[#This Row],[residual LULUCF emissions in 2050]]-Table12[[#This Row],[2030 conditional NDCs]])/(Table12[[#This Row],[NZ GHG year]]-2030)/Table12[[#This Row],[2030 conditional NDCs]]))</f>
        <v/>
      </c>
      <c r="AP217" s="96">
        <f>MAX('input site'!AH217:AS217)</f>
        <v>0.25918698000000001</v>
      </c>
      <c r="AQ217" s="95" t="str">
        <f>IF(Table12[[#This Row],[Current Policies 2030 incl LULUCF]]&gt;Table12[[#This Row],[Maximum inventory data]],"No","Yes")</f>
        <v>No</v>
      </c>
      <c r="AR217" s="34" t="str">
        <f>IF(Table12[[#This Row],[Net-zero target status]]&gt;=1.5,Table12[[#This Row],[residual LULUCF emissions in 2050]]/Table12[[#This Row],[GHG emissions excl LULUCF]],"")</f>
        <v/>
      </c>
      <c r="AS217" s="74" t="str">
        <f>'input site'!BE217</f>
        <v/>
      </c>
      <c r="AT217" s="74"/>
      <c r="AU217" s="74"/>
      <c r="AV217" s="75"/>
      <c r="AW217" s="74" t="str">
        <f>IF(Table12[[#This Row],[2030 unconditional NDCs]]="","",IF(F217="incl",Table12[[#This Row],[2030 unconditional NDCs]]-Table12[[#This Row],[LULUCF NDC uncond]],Table12[[#This Row],[2030 unconditional NDCs]]))</f>
        <v/>
      </c>
      <c r="AX217" s="74" t="str">
        <f>IF(Table12[[#This Row],[2030 unconditional NDCs2]]="","",IF(F217="incl",Table12[[#This Row],[2030 unconditional NDCs2]]-Table12[[#This Row],[LULUCF NDC uncond]],Table12[[#This Row],[2030 unconditional NDCs2]]))</f>
        <v/>
      </c>
      <c r="AY217" s="74" t="str">
        <f>IF(Table12[[#This Row],[2030 conditional NDCs]]="","",IF(F217="incl",Table12[[#This Row],[2030 conditional NDCs]]-Table12[[#This Row],[LULUCF NDC cond]],Table12[[#This Row],[2030 conditional NDCs]]))</f>
        <v/>
      </c>
      <c r="AZ217" s="74" t="str">
        <f>IF(Table12[[#This Row],[2030 conditional NDCs2]]="","",IF(F217="incl",Table12[[#This Row],[2030 conditional NDCs2]]-Table12[[#This Row],[LULUCF NDC cond]],Table12[[#This Row],[2030 conditional NDCs2]]))</f>
        <v/>
      </c>
      <c r="BA217" s="8">
        <f>VLOOKUP($G217,'Population90 20'!$C$6:$AU$231,37,FALSE)</f>
        <v>39741</v>
      </c>
      <c r="BB217" s="8">
        <f>VLOOKUP($G217,'Overview GDP (PPP)'!$C$6:$AI$231,33,FALSE)</f>
        <v>47169.921875</v>
      </c>
      <c r="BC217" s="36">
        <f>Table12[[#This Row],[Income]]/Table12[[#This Row],[Population]]</f>
        <v>1.1869334409048589</v>
      </c>
      <c r="BD217" s="36">
        <f>Table12[[#This Row],[GHG emissions excl LULUCF]]*1000000/Table12[[#This Row],[Population]]</f>
        <v>5.9276444981253622</v>
      </c>
      <c r="BE217" s="23" t="e">
        <f>VLOOKUP($G217,EGR2023_MASTER!$B$4:$S$38,14,FALSE)</f>
        <v>#N/A</v>
      </c>
      <c r="BF217" s="23" t="e">
        <f>VLOOKUP($G217,EGR2023_MASTER!$B$4:$S$38,15,FALSE)</f>
        <v>#N/A</v>
      </c>
      <c r="BG217" s="23" t="e">
        <f>VLOOKUP($G217,EGR2023_MASTER!$B$4:$S$38,16,FALSE)</f>
        <v>#N/A</v>
      </c>
      <c r="BH217" s="23" t="e">
        <f t="shared" si="29"/>
        <v>#N/A</v>
      </c>
      <c r="BI217" s="23" t="e">
        <f t="shared" si="30"/>
        <v>#N/A</v>
      </c>
      <c r="BJ217" s="552">
        <f>(Table12[[#This Row],[Current Policies 2030 excl LULUCF]]/Table12[[#This Row],[GHG emissions excl LULUCF]])^(1/(2030-2021))-1</f>
        <v>2.3551540411518301E-2</v>
      </c>
      <c r="BK217" s="552" t="str">
        <f>IF(Table12[[#This Row],[Net-zero target status]]&lt;=1,"",IF(Table12[[#This Row],[NZ GHG year]]="","",((MAX(Table12[[#This Row],[residual LULUCF emissions in 2050]],0.1)/Table12[[#This Row],[Current Policies 2030 excl LULUCF]])^(1/(Table12[[#This Row],[NZ GHG year]]-2021))-1)))</f>
        <v/>
      </c>
      <c r="BL217" s="552" t="str">
        <f>IF(Table12[[#This Row],[Net-zero target status]]&lt;=1,"",IF(Table12[[#This Row],[NZ GHG year]]="","",((MAX(Table12[[#This Row],[residual LULUCF emissions in 2050]],0.1)/Table12[[#This Row],[GHG emissions excl LULUCF]])^(1/(Table12[[#This Row],[NZ GHG year]]-2021))-1)))</f>
        <v/>
      </c>
      <c r="BM217" s="552" t="str">
        <f>IF(Table12[[#This Row],[Net-zero target status]]&lt;=1,"",IF(Table12[[#This Row],[NZ GHG year]]="","",((MAX(Table12[[#This Row],[residual LULUCF emissions in 2050]],0.1)/AVERAGE(Table12[[#This Row],[2030 conditional NDCs]:[2030 conditional NDCs2]]))^(1/(Table12[[#This Row],[NZ GHG year]]-2021))-1)))</f>
        <v/>
      </c>
      <c r="BN217" s="23"/>
      <c r="BO217" s="23"/>
      <c r="BP217" s="23"/>
      <c r="BQ217" s="23"/>
      <c r="BR217" s="50" t="s">
        <v>463</v>
      </c>
      <c r="BT217" s="30" t="str">
        <f>IF(Table12[[#This Row],[Reduction rate 2021 to NZ target2]]="","",J217*(1+AN217)^(Table12[[#This Row],[NZ GHG year]]-2021))</f>
        <v/>
      </c>
    </row>
    <row r="218" spans="1:72" ht="15" x14ac:dyDescent="0.25">
      <c r="A218">
        <v>0</v>
      </c>
      <c r="B218">
        <v>0</v>
      </c>
      <c r="C218">
        <v>798</v>
      </c>
      <c r="D218">
        <v>207</v>
      </c>
      <c r="E218">
        <v>24</v>
      </c>
      <c r="F218" t="str">
        <f>'input site'!M218</f>
        <v>excl</v>
      </c>
      <c r="G218" s="31" t="s">
        <v>464</v>
      </c>
      <c r="H218" s="1" t="s">
        <v>465</v>
      </c>
      <c r="I218" s="8">
        <f>VLOOKUP($G218,'NZT data'!$B$3:$C$200,2,FALSE)</f>
        <v>3</v>
      </c>
      <c r="J218" s="32">
        <f>'input site'!AS218</f>
        <v>2.3062172000000002E-2</v>
      </c>
      <c r="K218" s="32">
        <f>'input site'!BS218</f>
        <v>2.417673517971021E-2</v>
      </c>
      <c r="L218" s="32">
        <f t="shared" si="31"/>
        <v>0</v>
      </c>
      <c r="M218" s="32">
        <f t="shared" si="32"/>
        <v>0</v>
      </c>
      <c r="N218" s="32">
        <f>'input site'!EV218</f>
        <v>8.4944202298546916E-3</v>
      </c>
      <c r="O218" s="8">
        <v>0</v>
      </c>
      <c r="P218" s="36">
        <f>O218-N218</f>
        <v>-8.4944202298546916E-3</v>
      </c>
      <c r="Q218" s="32">
        <f t="shared" si="33"/>
        <v>0</v>
      </c>
      <c r="R218" s="32">
        <f>'input site'!EZ218</f>
        <v>3.6743776789362661E-3</v>
      </c>
      <c r="S218" s="37">
        <f>'input site'!FA218</f>
        <v>2050</v>
      </c>
      <c r="T218" s="37" t="str">
        <f>Table12[[#This Row],[(Mt CO2 equivalent)]]</f>
        <v>Tuvalu</v>
      </c>
      <c r="U218" s="8">
        <f>VLOOKUP($G218,'NZT data'!$B$3:$F$200,4,FALSE)</f>
        <v>2050</v>
      </c>
      <c r="V218" s="32">
        <f>VLOOKUP($G218,'NZT data'!$B$3:$F$200,5,FALSE)</f>
        <v>2050</v>
      </c>
      <c r="W218" s="32">
        <f>-IF('LUC NGHGI'!EC208="",MIN('LUC NGHGI'!DW208,0.1),MIN('LUC NGHGI'!EC208,0.1))</f>
        <v>3.3400000000000039E-5</v>
      </c>
      <c r="X218" s="32">
        <f>'LUC NGHGI'!EC208</f>
        <v>-3.3400000000000039E-5</v>
      </c>
      <c r="Y218" s="32">
        <f>'LUC NGHGI'!DY208</f>
        <v>-3.3400000000000039E-5</v>
      </c>
      <c r="Z218" s="32">
        <f>'LUC NGHGI'!DZ208</f>
        <v>-3.3400000000000039E-5</v>
      </c>
      <c r="AA218" s="32">
        <f>Table12[[#This Row],[2021 emissions]]</f>
        <v>2.3062172000000002E-2</v>
      </c>
      <c r="AB218" s="32">
        <f>'LUC NGHGI'!DW208</f>
        <v>-3.3400000000000039E-5</v>
      </c>
      <c r="AC218" s="32">
        <f>IF(F218="incl",Table12[[#This Row],[GHG emissions incl LULUCF]]-Table12[[#This Row],[LULUCF emis-sions in 20213]],Table12[[#This Row],[GHG emissions incl LULUCF]])</f>
        <v>2.3062172000000002E-2</v>
      </c>
      <c r="AD218" s="32">
        <f>'input site'!BS218</f>
        <v>2.417673517971021E-2</v>
      </c>
      <c r="AE218" s="32">
        <f>'LUC NGHGI'!EH208</f>
        <v>-3.1165351646366963E-5</v>
      </c>
      <c r="AF218" s="32">
        <f>IF(F218="incl",Table12[[#This Row],[Current Policies 2030 incl LULUCF]]-Table12[[#This Row],[LULUCF CurPol 2030]],Table12[[#This Row],[Current Policies 2030 incl LULUCF]])</f>
        <v>2.417673517971021E-2</v>
      </c>
      <c r="AG218" s="32">
        <f>IF(Table12[[#This Row],[Net-zero target status]]&lt;=1,"",IF(Table12[[#This Row],[NZ GHG year]]="","",1000000000*(Table12[[#This Row],[residual LULUCF emissions in 2050]]-Table12[[#This Row],[GHG emissions excl LULUCF]])/(Table12[[#This Row],[NZ GHG year]]-2021)/Table12[[#This Row],[Population]]))</f>
        <v>-65.812662539938401</v>
      </c>
      <c r="AH218" s="32" t="str">
        <f>IF(Table12[[#This Row],[Peak revised]]="Yes",IF(Table12[[#This Row],[Net-zero target status]]&lt;=1,"",IF(Table12[[#This Row],[NZ GHG year]]="","",1000000000*(Table12[[#This Row],[residual LULUCF emissions in 2050]]-Table12[[#This Row],[GHG emissions excl LULUCF]])/(Table12[[#This Row],[NZ GHG year]]-2021)/Table12[[#This Row],[Population]])),"")</f>
        <v/>
      </c>
      <c r="AI218" s="32">
        <f>MAX(0,(1000000*(Table12[[#This Row],[Current Policies 2030 excl LULUCF]]/2+Table12[[#This Row],[GHG emissions excl LULUCF]]/2)/Table12[[#This Row],[Population]]-$AI$8)*10)*$AI$10</f>
        <v>0</v>
      </c>
      <c r="AJ218" s="32">
        <f>IF(Table12[[#This Row],[Peak revised]]="No",IF(Table12[[#This Row],[Net-zero target status]]&lt;=1,"",IF(Table12[[#This Row],[NZ GHG year]]="","",1000000000*(Table12[[#This Row],[residual LULUCF emissions in 2050]]-Table12[[#This Row],[Current Policies 2030 excl LULUCF]])/(Table12[[#This Row],[NZ GHG year]]-2021)/Table12[[#This Row],[Population]])),"")</f>
        <v>-68.997911428837398</v>
      </c>
      <c r="AK218" s="32">
        <f>IF(Table12[[#This Row],[Formule no Peak (2)]]="","",Table12[[#This Row],[Penalty (1)]]+Table12[[#This Row],[Formule no Peak (2)]])</f>
        <v>-68.997911428837398</v>
      </c>
      <c r="AL218" s="313">
        <f>(Table12[[#This Row],[Current Policies 2030 excl LULUCF]]-Table12[[#This Row],[GHG emissions excl LULUCF]])/(2030-2021)/Table12[[#This Row],[GHG emissions excl LULUCF]]</f>
        <v>5.3698477880198868E-3</v>
      </c>
      <c r="AM218" s="313">
        <f>IF(Table12[[#This Row],[Net-zero target status]]&lt;=1,"",IF(Table12[[#This Row],[NZ GHG year]]="","",(Table12[[#This Row],[residual LULUCF emissions in 2050]]-Table12[[#This Row],[Current Policies 2030 excl LULUCF]])/(Table12[[#This Row],[NZ GHG year]]-2030)/Table12[[#This Row],[Current Policies 2030 excl LULUCF]]))</f>
        <v>-4.9930925330174375E-2</v>
      </c>
      <c r="AN218" s="313">
        <f>IF(Table12[[#This Row],[Net-zero target status]]&lt;=1,"",IF(Table12[[#This Row],[NZ GHG year]]="","",(Table12[[#This Row],[residual LULUCF emissions in 2050]]-Table12[[#This Row],[GHG emissions excl LULUCF]])/(Table12[[#This Row],[NZ GHG year]]-2021)/Table12[[#This Row],[GHG emissions excl LULUCF]]))</f>
        <v>-3.443281865241906E-2</v>
      </c>
      <c r="AO218" s="313" t="e">
        <f>IF(Table12[[#This Row],[Net-zero target status]]&lt;=1,"",IF(Table12[[#This Row],[NZ GHG year]]="","",(Table12[[#This Row],[residual LULUCF emissions in 2050]]-Table12[[#This Row],[2030 conditional NDCs]])/(Table12[[#This Row],[NZ GHG year]]-2030)/Table12[[#This Row],[2030 conditional NDCs]]))</f>
        <v>#DIV/0!</v>
      </c>
      <c r="AP218" s="96">
        <f>MAX('input site'!AH218:AS218)</f>
        <v>2.3062172000000002E-2</v>
      </c>
      <c r="AQ218" s="95" t="str">
        <f>IF(Table12[[#This Row],[Current Policies 2030 incl LULUCF]]&gt;Table12[[#This Row],[Maximum inventory data]],"No","Yes")</f>
        <v>No</v>
      </c>
      <c r="AR218" s="34">
        <f>IF(Table12[[#This Row],[Net-zero target status]]&gt;=1.5,Table12[[#This Row],[residual LULUCF emissions in 2050]]/Table12[[#This Row],[GHG emissions excl LULUCF]],"")</f>
        <v>1.4482590798472943E-3</v>
      </c>
      <c r="AS218" s="74" t="str">
        <f>'input site'!BE218</f>
        <v/>
      </c>
      <c r="AT218" s="74"/>
      <c r="AU218" s="74"/>
      <c r="AV218" s="75"/>
      <c r="AW218" s="74" t="str">
        <f>IF(Table12[[#This Row],[2030 unconditional NDCs]]="","",IF(F218="incl",Table12[[#This Row],[2030 unconditional NDCs]]-Table12[[#This Row],[LULUCF NDC uncond]],Table12[[#This Row],[2030 unconditional NDCs]]))</f>
        <v/>
      </c>
      <c r="AX218" s="74" t="str">
        <f>IF(Table12[[#This Row],[2030 unconditional NDCs2]]="","",IF(F218="incl",Table12[[#This Row],[2030 unconditional NDCs2]]-Table12[[#This Row],[LULUCF NDC uncond]],Table12[[#This Row],[2030 unconditional NDCs2]]))</f>
        <v/>
      </c>
      <c r="AY218" s="74" t="str">
        <f>IF(Table12[[#This Row],[2030 conditional NDCs]]="","",IF(F218="incl",Table12[[#This Row],[2030 conditional NDCs]]-Table12[[#This Row],[LULUCF NDC cond]],Table12[[#This Row],[2030 conditional NDCs]]))</f>
        <v/>
      </c>
      <c r="AZ218" s="74" t="str">
        <f>IF(Table12[[#This Row],[2030 conditional NDCs2]]="","",IF(F218="incl",Table12[[#This Row],[2030 conditional NDCs2]]-Table12[[#This Row],[LULUCF NDC cond]],Table12[[#This Row],[2030 conditional NDCs2]]))</f>
        <v/>
      </c>
      <c r="BA218" s="8">
        <f>VLOOKUP($G218,'Population90 20'!$C$6:$AU$231,37,FALSE)</f>
        <v>12066</v>
      </c>
      <c r="BB218" s="8">
        <f>VLOOKUP($G218,'Overview GDP (PPP)'!$C$6:$AI$231,33,FALSE)</f>
        <v>41351.39931363798</v>
      </c>
      <c r="BC218" s="36">
        <f>Table12[[#This Row],[Income]]/Table12[[#This Row],[Population]]</f>
        <v>3.427100887919607</v>
      </c>
      <c r="BD218" s="36">
        <f>Table12[[#This Row],[GHG emissions excl LULUCF]]*1000000/Table12[[#This Row],[Population]]</f>
        <v>1.9113353223935026</v>
      </c>
      <c r="BE218" s="23" t="e">
        <f>VLOOKUP($G218,EGR2023_MASTER!$B$4:$S$38,14,FALSE)</f>
        <v>#N/A</v>
      </c>
      <c r="BF218" s="23" t="e">
        <f>VLOOKUP($G218,EGR2023_MASTER!$B$4:$S$38,15,FALSE)</f>
        <v>#N/A</v>
      </c>
      <c r="BG218" s="23" t="e">
        <f>VLOOKUP($G218,EGR2023_MASTER!$B$4:$S$38,16,FALSE)</f>
        <v>#N/A</v>
      </c>
      <c r="BH218" s="23" t="e">
        <f t="shared" si="29"/>
        <v>#N/A</v>
      </c>
      <c r="BI218" s="23" t="e">
        <f t="shared" si="30"/>
        <v>#N/A</v>
      </c>
      <c r="BJ218" s="552">
        <f>(Table12[[#This Row],[Current Policies 2030 excl LULUCF]]/Table12[[#This Row],[GHG emissions excl LULUCF]])^(1/(2030-2021))-1</f>
        <v>5.2578983828655002E-3</v>
      </c>
      <c r="BK218" s="552">
        <f>IF(Table12[[#This Row],[Net-zero target status]]&lt;=1,"",IF(Table12[[#This Row],[NZ GHG year]]="","",((MAX(Table12[[#This Row],[residual LULUCF emissions in 2050]],0.1)/Table12[[#This Row],[Current Policies 2030 excl LULUCF]])^(1/(Table12[[#This Row],[NZ GHG year]]-2021))-1)))</f>
        <v>5.0176147223428336E-2</v>
      </c>
      <c r="BL218" s="552">
        <f>IF(Table12[[#This Row],[Net-zero target status]]&lt;=1,"",IF(Table12[[#This Row],[NZ GHG year]]="","",((MAX(Table12[[#This Row],[residual LULUCF emissions in 2050]],0.1)/Table12[[#This Row],[GHG emissions excl LULUCF]])^(1/(Table12[[#This Row],[NZ GHG year]]-2021))-1)))</f>
        <v>5.1886686526225745E-2</v>
      </c>
      <c r="BM218" s="552" t="e">
        <f>IF(Table12[[#This Row],[Net-zero target status]]&lt;=1,"",IF(Table12[[#This Row],[NZ GHG year]]="","",((MAX(Table12[[#This Row],[residual LULUCF emissions in 2050]],0.1)/AVERAGE(Table12[[#This Row],[2030 conditional NDCs]:[2030 conditional NDCs2]]))^(1/(Table12[[#This Row],[NZ GHG year]]-2021))-1)))</f>
        <v>#DIV/0!</v>
      </c>
      <c r="BN218" s="23"/>
      <c r="BO218" s="23"/>
      <c r="BP218" s="23"/>
      <c r="BQ218" s="23"/>
      <c r="BR218" s="50" t="s">
        <v>465</v>
      </c>
      <c r="BT218" s="30">
        <f>IF(Table12[[#This Row],[Reduction rate 2021 to NZ target2]]="","",J218*(1+AN218)^(Table12[[#This Row],[NZ GHG year]]-2021))</f>
        <v>8.3481951748746782E-3</v>
      </c>
    </row>
    <row r="219" spans="1:72" ht="15" x14ac:dyDescent="0.25">
      <c r="A219">
        <v>0</v>
      </c>
      <c r="B219">
        <v>0</v>
      </c>
      <c r="C219">
        <v>800</v>
      </c>
      <c r="D219">
        <v>208</v>
      </c>
      <c r="E219">
        <v>9</v>
      </c>
      <c r="F219" t="str">
        <f>'input site'!M219</f>
        <v>excl</v>
      </c>
      <c r="G219" s="31" t="s">
        <v>466</v>
      </c>
      <c r="H219" s="1" t="s">
        <v>467</v>
      </c>
      <c r="I219" s="8">
        <f>VLOOKUP($G219,'NZT data'!$B$3:$C$200,2,FALSE)</f>
        <v>1</v>
      </c>
      <c r="J219" s="32">
        <f>'input site'!AS219</f>
        <v>49.951321000000007</v>
      </c>
      <c r="K219" s="32">
        <f>'input site'!BS219</f>
        <v>78.618192444243888</v>
      </c>
      <c r="L219" s="32">
        <f t="shared" si="31"/>
        <v>0</v>
      </c>
      <c r="M219" s="32">
        <f t="shared" si="32"/>
        <v>0</v>
      </c>
      <c r="N219" s="32">
        <f>'input site'!EV219</f>
        <v>54.639098760926267</v>
      </c>
      <c r="O219" s="8"/>
      <c r="P219" s="36"/>
      <c r="Q219" s="32">
        <f t="shared" si="33"/>
        <v>0</v>
      </c>
      <c r="R219" s="32">
        <f>'input site'!EZ219</f>
        <v>49.922275188500429</v>
      </c>
      <c r="S219" s="37">
        <f>'input site'!FA219</f>
        <v>2050</v>
      </c>
      <c r="T219" s="37" t="str">
        <f>Table12[[#This Row],[(Mt CO2 equivalent)]]</f>
        <v>Uganda</v>
      </c>
      <c r="U219" s="8">
        <f>VLOOKUP($G219,'NZT data'!$B$3:$F$200,4,FALSE)</f>
        <v>2110</v>
      </c>
      <c r="V219" s="32">
        <f>VLOOKUP($G219,'NZT data'!$B$3:$F$200,5,FALSE)</f>
        <v>2125</v>
      </c>
      <c r="W219" s="32">
        <f>-IF('LUC NGHGI'!EC209="",MIN('LUC NGHGI'!DW209,0.1),MIN('LUC NGHGI'!EC209,0.1))</f>
        <v>-0.1</v>
      </c>
      <c r="X219" s="32">
        <f>'LUC NGHGI'!EC209</f>
        <v>59.125808292282272</v>
      </c>
      <c r="Y219" s="32">
        <f>'LUC NGHGI'!DY209</f>
        <v>79.050279409867571</v>
      </c>
      <c r="Z219" s="32">
        <f>'LUC NGHGI'!DZ209</f>
        <v>77.024208817585077</v>
      </c>
      <c r="AA219" s="32">
        <f>Table12[[#This Row],[2021 emissions]]</f>
        <v>49.951321000000007</v>
      </c>
      <c r="AB219" s="32">
        <f>'LUC NGHGI'!DW209</f>
        <v>60.859797755883847</v>
      </c>
      <c r="AC219" s="32">
        <f>IF(F219="incl",Table12[[#This Row],[GHG emissions incl LULUCF]]-Table12[[#This Row],[LULUCF emis-sions in 20213]],Table12[[#This Row],[GHG emissions incl LULUCF]])</f>
        <v>49.951321000000007</v>
      </c>
      <c r="AD219" s="32">
        <f>'input site'!BS219</f>
        <v>78.618192444243888</v>
      </c>
      <c r="AE219" s="32">
        <f>'LUC NGHGI'!EH209</f>
        <v>45.198327686642543</v>
      </c>
      <c r="AF219" s="32">
        <f>IF(F219="incl",Table12[[#This Row],[Current Policies 2030 incl LULUCF]]-Table12[[#This Row],[LULUCF CurPol 2030]],Table12[[#This Row],[Current Policies 2030 incl LULUCF]])</f>
        <v>78.618192444243888</v>
      </c>
      <c r="AG219" s="32" t="str">
        <f>IF(Table12[[#This Row],[Net-zero target status]]&lt;=1,"",IF(Table12[[#This Row],[NZ GHG year]]="","",1000000000*(Table12[[#This Row],[residual LULUCF emissions in 2050]]-Table12[[#This Row],[GHG emissions excl LULUCF]])/(Table12[[#This Row],[NZ GHG year]]-2021)/Table12[[#This Row],[Population]]))</f>
        <v/>
      </c>
      <c r="AH219" s="32" t="str">
        <f>IF(Table12[[#This Row],[Peak revised]]="Yes",IF(Table12[[#This Row],[Net-zero target status]]&lt;=1,"",IF(Table12[[#This Row],[NZ GHG year]]="","",1000000000*(Table12[[#This Row],[residual LULUCF emissions in 2050]]-Table12[[#This Row],[GHG emissions excl LULUCF]])/(Table12[[#This Row],[NZ GHG year]]-2021)/Table12[[#This Row],[Population]])),"")</f>
        <v/>
      </c>
      <c r="AI219" s="32">
        <f>MAX(0,(1000000*(Table12[[#This Row],[Current Policies 2030 excl LULUCF]]/2+Table12[[#This Row],[GHG emissions excl LULUCF]]/2)/Table12[[#This Row],[Population]]-$AI$8)*10)*$AI$10</f>
        <v>0</v>
      </c>
      <c r="AJ219"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19" s="32" t="str">
        <f>IF(Table12[[#This Row],[Formule no Peak (2)]]="","",Table12[[#This Row],[Penalty (1)]]+Table12[[#This Row],[Formule no Peak (2)]])</f>
        <v/>
      </c>
      <c r="AL219" s="313">
        <f>(Table12[[#This Row],[Current Policies 2030 excl LULUCF]]-Table12[[#This Row],[GHG emissions excl LULUCF]])/(2030-2021)/Table12[[#This Row],[GHG emissions excl LULUCF]]</f>
        <v>6.3766240301218857E-2</v>
      </c>
      <c r="AM219" s="313" t="str">
        <f>IF(Table12[[#This Row],[Net-zero target status]]&lt;=1,"",IF(Table12[[#This Row],[NZ GHG year]]="","",(Table12[[#This Row],[residual LULUCF emissions in 2050]]-Table12[[#This Row],[Current Policies 2030 excl LULUCF]])/(Table12[[#This Row],[NZ GHG year]]-2030)/Table12[[#This Row],[Current Policies 2030 excl LULUCF]]))</f>
        <v/>
      </c>
      <c r="AN219" s="313" t="str">
        <f>IF(Table12[[#This Row],[Net-zero target status]]&lt;=1,"",IF(Table12[[#This Row],[NZ GHG year]]="","",(Table12[[#This Row],[residual LULUCF emissions in 2050]]-Table12[[#This Row],[GHG emissions excl LULUCF]])/(Table12[[#This Row],[NZ GHG year]]-2021)/Table12[[#This Row],[GHG emissions excl LULUCF]]))</f>
        <v/>
      </c>
      <c r="AO219" s="313" t="str">
        <f>IF(Table12[[#This Row],[Net-zero target status]]&lt;=1,"",IF(Table12[[#This Row],[NZ GHG year]]="","",(Table12[[#This Row],[residual LULUCF emissions in 2050]]-Table12[[#This Row],[2030 conditional NDCs]])/(Table12[[#This Row],[NZ GHG year]]-2030)/Table12[[#This Row],[2030 conditional NDCs]]))</f>
        <v/>
      </c>
      <c r="AP219" s="96">
        <f>MAX('input site'!AH219:AS219)</f>
        <v>49.951321000000007</v>
      </c>
      <c r="AQ219" s="95" t="str">
        <f>IF(Table12[[#This Row],[Current Policies 2030 incl LULUCF]]&gt;Table12[[#This Row],[Maximum inventory data]],"No","Yes")</f>
        <v>No</v>
      </c>
      <c r="AR219" s="34" t="str">
        <f>IF(Table12[[#This Row],[Net-zero target status]]&gt;=1.5,Table12[[#This Row],[residual LULUCF emissions in 2050]]/Table12[[#This Row],[GHG emissions excl LULUCF]],"")</f>
        <v/>
      </c>
      <c r="AS219" s="74" t="str">
        <f>'input site'!BE219</f>
        <v/>
      </c>
      <c r="AT219" s="74"/>
      <c r="AU219" s="74">
        <f>'input site'!BG219</f>
        <v>60.293999999999997</v>
      </c>
      <c r="AV219" s="74">
        <f>'input site'!BH219</f>
        <v>60.293999999999997</v>
      </c>
      <c r="AW219" s="74" t="str">
        <f>IF(Table12[[#This Row],[2030 unconditional NDCs]]="","",IF(F219="incl",Table12[[#This Row],[2030 unconditional NDCs]]-Table12[[#This Row],[LULUCF NDC uncond]],Table12[[#This Row],[2030 unconditional NDCs]]))</f>
        <v/>
      </c>
      <c r="AX219" s="74" t="str">
        <f>IF(Table12[[#This Row],[2030 unconditional NDCs2]]="","",IF(F219="incl",Table12[[#This Row],[2030 unconditional NDCs2]]-Table12[[#This Row],[LULUCF NDC uncond]],Table12[[#This Row],[2030 unconditional NDCs2]]))</f>
        <v/>
      </c>
      <c r="AY219" s="74">
        <f>IF(Table12[[#This Row],[2030 conditional NDCs]]="","",IF(F219="incl",Table12[[#This Row],[2030 conditional NDCs]]-Table12[[#This Row],[LULUCF NDC cond]],Table12[[#This Row],[2030 conditional NDCs]]))</f>
        <v>60.293999999999997</v>
      </c>
      <c r="AZ219" s="74">
        <f>IF(Table12[[#This Row],[2030 conditional NDCs2]]="","",IF(F219="incl",Table12[[#This Row],[2030 conditional NDCs2]]-Table12[[#This Row],[LULUCF NDC cond]],Table12[[#This Row],[2030 conditional NDCs2]]))</f>
        <v>60.293999999999997</v>
      </c>
      <c r="BA219" s="8">
        <f>VLOOKUP($G219,'Population90 20'!$C$6:$AU$231,37,FALSE)</f>
        <v>48432863</v>
      </c>
      <c r="BB219" s="8">
        <f>VLOOKUP($G219,'Overview GDP (PPP)'!$C$6:$AI$231,33,FALSE)</f>
        <v>77216575.549983948</v>
      </c>
      <c r="BC219" s="36">
        <f>Table12[[#This Row],[Income]]/Table12[[#This Row],[Population]]</f>
        <v>1.5943012815489339</v>
      </c>
      <c r="BD219" s="36">
        <f>Table12[[#This Row],[GHG emissions excl LULUCF]]*1000000/Table12[[#This Row],[Population]]</f>
        <v>1.0313518116820806</v>
      </c>
      <c r="BE219" s="23" t="e">
        <f>VLOOKUP($G219,EGR2023_MASTER!$B$4:$S$38,14,FALSE)</f>
        <v>#N/A</v>
      </c>
      <c r="BF219" s="23" t="e">
        <f>VLOOKUP($G219,EGR2023_MASTER!$B$4:$S$38,15,FALSE)</f>
        <v>#N/A</v>
      </c>
      <c r="BG219" s="23" t="e">
        <f>VLOOKUP($G219,EGR2023_MASTER!$B$4:$S$38,16,FALSE)</f>
        <v>#N/A</v>
      </c>
      <c r="BH219" s="23" t="e">
        <f t="shared" si="29"/>
        <v>#N/A</v>
      </c>
      <c r="BI219" s="23" t="e">
        <f t="shared" si="30"/>
        <v>#N/A</v>
      </c>
      <c r="BJ219" s="552">
        <f>(Table12[[#This Row],[Current Policies 2030 excl LULUCF]]/Table12[[#This Row],[GHG emissions excl LULUCF]])^(1/(2030-2021))-1</f>
        <v>5.1686334369222875E-2</v>
      </c>
      <c r="BK219" s="552" t="str">
        <f>IF(Table12[[#This Row],[Net-zero target status]]&lt;=1,"",IF(Table12[[#This Row],[NZ GHG year]]="","",((MAX(Table12[[#This Row],[residual LULUCF emissions in 2050]],0.1)/Table12[[#This Row],[Current Policies 2030 excl LULUCF]])^(1/(Table12[[#This Row],[NZ GHG year]]-2021))-1)))</f>
        <v/>
      </c>
      <c r="BL219" s="552" t="str">
        <f>IF(Table12[[#This Row],[Net-zero target status]]&lt;=1,"",IF(Table12[[#This Row],[NZ GHG year]]="","",((MAX(Table12[[#This Row],[residual LULUCF emissions in 2050]],0.1)/Table12[[#This Row],[GHG emissions excl LULUCF]])^(1/(Table12[[#This Row],[NZ GHG year]]-2021))-1)))</f>
        <v/>
      </c>
      <c r="BM219" s="552" t="str">
        <f>IF(Table12[[#This Row],[Net-zero target status]]&lt;=1,"",IF(Table12[[#This Row],[NZ GHG year]]="","",((MAX(Table12[[#This Row],[residual LULUCF emissions in 2050]],0.1)/AVERAGE(Table12[[#This Row],[2030 conditional NDCs]:[2030 conditional NDCs2]]))^(1/(Table12[[#This Row],[NZ GHG year]]-2021))-1)))</f>
        <v/>
      </c>
      <c r="BN219" s="23"/>
      <c r="BO219" s="23"/>
      <c r="BP219" s="23"/>
      <c r="BQ219" s="23"/>
      <c r="BR219" s="50" t="s">
        <v>467</v>
      </c>
      <c r="BT219" s="30" t="str">
        <f>IF(Table12[[#This Row],[Reduction rate 2021 to NZ target2]]="","",J219*(1+AN219)^(Table12[[#This Row],[NZ GHG year]]-2021))</f>
        <v/>
      </c>
    </row>
    <row r="220" spans="1:72" ht="15" x14ac:dyDescent="0.25">
      <c r="A220">
        <v>1</v>
      </c>
      <c r="B220">
        <v>0</v>
      </c>
      <c r="C220">
        <v>804</v>
      </c>
      <c r="D220">
        <v>209</v>
      </c>
      <c r="E220">
        <v>14</v>
      </c>
      <c r="F220" t="str">
        <f>'input site'!M220</f>
        <v>incl</v>
      </c>
      <c r="G220" s="31" t="s">
        <v>468</v>
      </c>
      <c r="H220" s="1" t="s">
        <v>469</v>
      </c>
      <c r="I220" s="8">
        <f>VLOOKUP($G220,'NZT data'!$B$3:$C$200,2,FALSE)</f>
        <v>3</v>
      </c>
      <c r="J220" s="32">
        <f>'input site'!AS220</f>
        <v>341.489125309999</v>
      </c>
      <c r="K220" s="32">
        <f>'input site'!BS220</f>
        <v>399.35365855999999</v>
      </c>
      <c r="L220" s="32">
        <f t="shared" si="31"/>
        <v>0</v>
      </c>
      <c r="M220" s="32">
        <f t="shared" si="32"/>
        <v>0</v>
      </c>
      <c r="N220" s="32">
        <f>'input site'!EV220</f>
        <v>53.662377382744324</v>
      </c>
      <c r="O220" s="8"/>
      <c r="P220" s="8"/>
      <c r="Q220" s="32">
        <f t="shared" si="33"/>
        <v>0</v>
      </c>
      <c r="R220" s="32">
        <f>'input site'!EZ220</f>
        <v>-64.330289378432781</v>
      </c>
      <c r="S220" s="37">
        <f>'input site'!FA220</f>
        <v>0</v>
      </c>
      <c r="T220" s="37" t="str">
        <f>Table12[[#This Row],[(Mt CO2 equivalent)]]</f>
        <v>Ukraine</v>
      </c>
      <c r="U220" s="8">
        <f>VLOOKUP($G220,'NZT data'!$B$3:$F$200,4,FALSE)</f>
        <v>2060</v>
      </c>
      <c r="V220" s="32">
        <f>VLOOKUP($G220,'NZT data'!$B$3:$F$200,5,FALSE)</f>
        <v>2060</v>
      </c>
      <c r="W220" s="32">
        <f>-IF('LUC NGHGI'!EC210="",MIN('LUC NGHGI'!DW210,0.1),MIN('LUC NGHGI'!EC210,0.1))</f>
        <v>0.40317473119244235</v>
      </c>
      <c r="X220" s="32">
        <f>'LUC NGHGI'!EC210</f>
        <v>-0.40317473119244235</v>
      </c>
      <c r="Y220" s="32">
        <f>'LUC NGHGI'!DY210</f>
        <v>-17</v>
      </c>
      <c r="Z220" s="32">
        <f>'LUC NGHGI'!DZ210</f>
        <v>-17</v>
      </c>
      <c r="AA220" s="32">
        <f>Table12[[#This Row],[2021 emissions]]</f>
        <v>341.489125309999</v>
      </c>
      <c r="AB220" s="32">
        <f>'LUC NGHGI'!DW210</f>
        <v>14.230098496152248</v>
      </c>
      <c r="AC220" s="32">
        <f>IF(F220="incl",Table12[[#This Row],[GHG emissions incl LULUCF]]-Table12[[#This Row],[LULUCF emis-sions in 20213]],Table12[[#This Row],[GHG emissions incl LULUCF]])</f>
        <v>327.25902681384673</v>
      </c>
      <c r="AD220" s="32">
        <f>'input site'!BS220</f>
        <v>399.35365855999999</v>
      </c>
      <c r="AE220" s="32">
        <f>'LUC NGHGI'!EH210</f>
        <v>-1.2244007311924423</v>
      </c>
      <c r="AF220" s="32">
        <f>IF(F220="incl",Table12[[#This Row],[Current Policies 2030 incl LULUCF]]-Table12[[#This Row],[LULUCF CurPol 2030]],Table12[[#This Row],[Current Policies 2030 incl LULUCF]])</f>
        <v>400.5780592911924</v>
      </c>
      <c r="AG220" s="32">
        <f>IF(Table12[[#This Row],[Net-zero target status]]&lt;=1,"",IF(Table12[[#This Row],[NZ GHG year]]="","",1000000000*(Table12[[#This Row],[residual LULUCF emissions in 2050]]-Table12[[#This Row],[GHG emissions excl LULUCF]])/(Table12[[#This Row],[NZ GHG year]]-2021)/Table12[[#This Row],[Population]]))</f>
        <v>-194.03814621959586</v>
      </c>
      <c r="AH220" s="32">
        <f>IF(Table12[[#This Row],[Peak revised]]="Yes",IF(Table12[[#This Row],[Net-zero target status]]&lt;=1,"",IF(Table12[[#This Row],[NZ GHG year]]="","",1000000000*(Table12[[#This Row],[residual LULUCF emissions in 2050]]-Table12[[#This Row],[GHG emissions excl LULUCF]])/(Table12[[#This Row],[NZ GHG year]]-2021)/Table12[[#This Row],[Population]])),"")</f>
        <v>-194.03814621959586</v>
      </c>
      <c r="AI220" s="32">
        <f>MAX(0,(1000000*(Table12[[#This Row],[Current Policies 2030 excl LULUCF]]/2+Table12[[#This Row],[GHG emissions excl LULUCF]]/2)/Table12[[#This Row],[Population]]-$AI$8)*10)*$AI$10</f>
        <v>-142.55768459933407</v>
      </c>
      <c r="AJ22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0" s="32" t="str">
        <f>IF(Table12[[#This Row],[Formule no Peak (2)]]="","",Table12[[#This Row],[Penalty (1)]]+Table12[[#This Row],[Formule no Peak (2)]])</f>
        <v/>
      </c>
      <c r="AL220" s="313">
        <f>(Table12[[#This Row],[Current Policies 2030 excl LULUCF]]-Table12[[#This Row],[GHG emissions excl LULUCF]])/(2030-2021)/Table12[[#This Row],[GHG emissions excl LULUCF]]</f>
        <v>2.4893306209040001E-2</v>
      </c>
      <c r="AM220" s="313">
        <f>IF(Table12[[#This Row],[Net-zero target status]]&lt;=1,"",IF(Table12[[#This Row],[NZ GHG year]]="","",(Table12[[#This Row],[residual LULUCF emissions in 2050]]-Table12[[#This Row],[Current Policies 2030 excl LULUCF]])/(Table12[[#This Row],[NZ GHG year]]-2030)/Table12[[#This Row],[Current Policies 2030 excl LULUCF]]))</f>
        <v>-3.3299783922938281E-2</v>
      </c>
      <c r="AN220" s="313">
        <f>IF(Table12[[#This Row],[Net-zero target status]]&lt;=1,"",IF(Table12[[#This Row],[NZ GHG year]]="","",(Table12[[#This Row],[residual LULUCF emissions in 2050]]-Table12[[#This Row],[GHG emissions excl LULUCF]])/(Table12[[#This Row],[NZ GHG year]]-2021)/Table12[[#This Row],[GHG emissions excl LULUCF]]))</f>
        <v>-2.5609436554787233E-2</v>
      </c>
      <c r="AO220" s="313">
        <f>IF(Table12[[#This Row],[Net-zero target status]]&lt;=1,"",IF(Table12[[#This Row],[NZ GHG year]]="","",(Table12[[#This Row],[residual LULUCF emissions in 2050]]-Table12[[#This Row],[2030 conditional NDCs]])/(Table12[[#This Row],[NZ GHG year]]-2030)/Table12[[#This Row],[2030 conditional NDCs]]))</f>
        <v>-3.3289907948873695E-2</v>
      </c>
      <c r="AP220" s="96">
        <f>MAX('input site'!AH220:AS220)</f>
        <v>437.35872897199999</v>
      </c>
      <c r="AQ220" s="95" t="str">
        <f>IF(Table12[[#This Row],[Current Policies 2030 incl LULUCF]]&gt;Table12[[#This Row],[Maximum inventory data]],"No","Yes")</f>
        <v>Yes</v>
      </c>
      <c r="AR220" s="34">
        <f>IF(Table12[[#This Row],[Net-zero target status]]&gt;=1.5,Table12[[#This Row],[residual LULUCF emissions in 2050]]/Table12[[#This Row],[GHG emissions excl LULUCF]],"")</f>
        <v>1.2319743632977873E-3</v>
      </c>
      <c r="AS220" s="76">
        <f>'input site'!BE220</f>
        <v>309.47699999999998</v>
      </c>
      <c r="AT220" s="76">
        <f>'input site'!BF220</f>
        <v>309.47699999999998</v>
      </c>
      <c r="AU220" s="76">
        <f>'input site'!BG220</f>
        <v>309.47699999999998</v>
      </c>
      <c r="AV220" s="77">
        <f>'input site'!BH220</f>
        <v>309.47699999999998</v>
      </c>
      <c r="AW220" s="74">
        <f>IF(Table12[[#This Row],[2030 unconditional NDCs]]="","",IF(F220="incl",Table12[[#This Row],[2030 unconditional NDCs]]-Table12[[#This Row],[LULUCF NDC uncond]],Table12[[#This Row],[2030 unconditional NDCs]]))</f>
        <v>326.47699999999998</v>
      </c>
      <c r="AX220" s="74">
        <f>IF(Table12[[#This Row],[2030 unconditional NDCs2]]="","",IF(F220="incl",Table12[[#This Row],[2030 unconditional NDCs2]]-Table12[[#This Row],[LULUCF NDC uncond]],Table12[[#This Row],[2030 unconditional NDCs2]]))</f>
        <v>326.47699999999998</v>
      </c>
      <c r="AY220" s="74">
        <f>IF(Table12[[#This Row],[2030 conditional NDCs]]="","",IF(F220="incl",Table12[[#This Row],[2030 conditional NDCs]]-Table12[[#This Row],[LULUCF NDC cond]],Table12[[#This Row],[2030 conditional NDCs]]))</f>
        <v>326.47699999999998</v>
      </c>
      <c r="AZ220" s="74">
        <f>IF(Table12[[#This Row],[2030 conditional NDCs2]]="","",IF(F220="incl",Table12[[#This Row],[2030 conditional NDCs2]]-Table12[[#This Row],[LULUCF NDC cond]],Table12[[#This Row],[2030 conditional NDCs2]]))</f>
        <v>326.47699999999998</v>
      </c>
      <c r="BA220" s="8">
        <f>VLOOKUP($G220,'Population90 20'!$C$6:$AU$231,37,FALSE)</f>
        <v>43192122</v>
      </c>
      <c r="BB220" s="8">
        <f>VLOOKUP($G220,'Overview GDP (PPP)'!$C$6:$AI$231,33,FALSE)</f>
        <v>346919524.02450305</v>
      </c>
      <c r="BC220" s="36">
        <f>Table12[[#This Row],[Income]]/Table12[[#This Row],[Population]]</f>
        <v>8.0320092637380274</v>
      </c>
      <c r="BD220" s="36">
        <f>Table12[[#This Row],[GHG emissions excl LULUCF]]*1000000/Table12[[#This Row],[Population]]</f>
        <v>7.5768221532122615</v>
      </c>
      <c r="BE220" s="23" t="str">
        <f>VLOOKUP($G220,EGR2023_MASTER!$B$4:$S$38,14,FALSE)</f>
        <v>N</v>
      </c>
      <c r="BF220" s="23" t="str">
        <f>VLOOKUP($G220,EGR2023_MASTER!$B$4:$S$38,15,FALSE)</f>
        <v>None</v>
      </c>
      <c r="BG220" s="23" t="str">
        <f>VLOOKUP($G220,EGR2023_MASTER!$B$4:$S$38,16,FALSE)</f>
        <v>n</v>
      </c>
      <c r="BH220" s="23" t="str">
        <f t="shared" si="29"/>
        <v>much lower</v>
      </c>
      <c r="BI220" s="23" t="str">
        <f t="shared" si="30"/>
        <v>weak</v>
      </c>
      <c r="BJ220" s="552">
        <f>(Table12[[#This Row],[Current Policies 2030 excl LULUCF]]/Table12[[#This Row],[GHG emissions excl LULUCF]])^(1/(2030-2021))-1</f>
        <v>2.2716018378896363E-2</v>
      </c>
      <c r="BK220" s="552">
        <f>IF(Table12[[#This Row],[Net-zero target status]]&lt;=1,"",IF(Table12[[#This Row],[NZ GHG year]]="","",((MAX(Table12[[#This Row],[residual LULUCF emissions in 2050]],0.1)/Table12[[#This Row],[Current Policies 2030 excl LULUCF]])^(1/(Table12[[#This Row],[NZ GHG year]]-2021))-1)))</f>
        <v>-0.16218356475180962</v>
      </c>
      <c r="BL220" s="552">
        <f>IF(Table12[[#This Row],[Net-zero target status]]&lt;=1,"",IF(Table12[[#This Row],[NZ GHG year]]="","",((MAX(Table12[[#This Row],[residual LULUCF emissions in 2050]],0.1)/Table12[[#This Row],[GHG emissions excl LULUCF]])^(1/(Table12[[#This Row],[NZ GHG year]]-2021))-1)))</f>
        <v>-0.15782946474086312</v>
      </c>
      <c r="BM220" s="552">
        <f>IF(Table12[[#This Row],[Net-zero target status]]&lt;=1,"",IF(Table12[[#This Row],[NZ GHG year]]="","",((MAX(Table12[[#This Row],[residual LULUCF emissions in 2050]],0.1)/AVERAGE(Table12[[#This Row],[2030 conditional NDCs]:[2030 conditional NDCs2]]))^(1/(Table12[[#This Row],[NZ GHG year]]-2021))-1)))</f>
        <v>-0.15662217554212077</v>
      </c>
      <c r="BN220" s="23"/>
      <c r="BO220" s="23"/>
      <c r="BP220" s="23"/>
      <c r="BQ220" s="23"/>
      <c r="BR220" s="50" t="s">
        <v>469</v>
      </c>
      <c r="BT220" s="30">
        <f>IF(Table12[[#This Row],[Reduction rate 2021 to NZ target2]]="","",J220*(1+AN220)^(Table12[[#This Row],[NZ GHG year]]-2021))</f>
        <v>124.15567715839384</v>
      </c>
    </row>
    <row r="221" spans="1:72" ht="15" x14ac:dyDescent="0.25">
      <c r="A221">
        <v>1</v>
      </c>
      <c r="B221">
        <v>0</v>
      </c>
      <c r="C221">
        <v>784</v>
      </c>
      <c r="D221">
        <v>202</v>
      </c>
      <c r="E221">
        <v>17</v>
      </c>
      <c r="F221" t="str">
        <f>'input site'!M221</f>
        <v>incl</v>
      </c>
      <c r="G221" s="31" t="s">
        <v>470</v>
      </c>
      <c r="H221" s="1" t="s">
        <v>471</v>
      </c>
      <c r="I221" s="8">
        <f>VLOOKUP($G221,'NZT data'!$B$3:$C$200,2,FALSE)</f>
        <v>3</v>
      </c>
      <c r="J221" s="32">
        <f>'input site'!AS221</f>
        <v>229.33015636000002</v>
      </c>
      <c r="K221" s="32">
        <f>'input site'!BS221</f>
        <v>216.11209984999999</v>
      </c>
      <c r="L221" s="32">
        <f t="shared" si="31"/>
        <v>0</v>
      </c>
      <c r="M221" s="32">
        <f t="shared" si="32"/>
        <v>0</v>
      </c>
      <c r="N221" s="32">
        <f>'input site'!EV221</f>
        <v>109.0477518776018</v>
      </c>
      <c r="O221" s="8"/>
      <c r="P221" s="8"/>
      <c r="Q221" s="32">
        <f t="shared" si="33"/>
        <v>0</v>
      </c>
      <c r="R221" s="32">
        <f>'input site'!EZ221</f>
        <v>18.994917831453773</v>
      </c>
      <c r="S221" s="37">
        <f>'input site'!FA221</f>
        <v>0</v>
      </c>
      <c r="T221" s="37" t="str">
        <f>Table12[[#This Row],[(Mt CO2 equivalent)]]</f>
        <v>United Arab Emirates</v>
      </c>
      <c r="U221" s="8">
        <f>VLOOKUP($G221,'NZT data'!$B$3:$F$200,4,FALSE)</f>
        <v>2050</v>
      </c>
      <c r="V221" s="32">
        <f>VLOOKUP($G221,'NZT data'!$B$3:$F$200,5,FALSE)</f>
        <v>2065</v>
      </c>
      <c r="W221" s="32">
        <f>-IF('LUC NGHGI'!EC211="",MIN('LUC NGHGI'!DW211,0.1),MIN('LUC NGHGI'!EC211,0.1))</f>
        <v>13</v>
      </c>
      <c r="X221" s="32">
        <f>'LUC NGHGI'!EC211</f>
        <v>-13</v>
      </c>
      <c r="Y221" s="32">
        <f>'LUC NGHGI'!DY211</f>
        <v>-2.1252207914285712</v>
      </c>
      <c r="Z221" s="32">
        <f>'LUC NGHGI'!DZ211</f>
        <v>-2.1252207914285712</v>
      </c>
      <c r="AA221" s="32">
        <f>Table12[[#This Row],[2021 emissions]]</f>
        <v>229.33015636000002</v>
      </c>
      <c r="AB221" s="32">
        <f>'LUC NGHGI'!DW211</f>
        <v>-1.07369559</v>
      </c>
      <c r="AC221" s="32">
        <f>IF(F221="incl",Table12[[#This Row],[GHG emissions incl LULUCF]]-Table12[[#This Row],[LULUCF emis-sions in 20213]],Table12[[#This Row],[GHG emissions incl LULUCF]])</f>
        <v>230.40385195000002</v>
      </c>
      <c r="AD221" s="32">
        <f>'input site'!BS221</f>
        <v>216.11209984999999</v>
      </c>
      <c r="AE221" s="32">
        <f>'LUC NGHGI'!EH211</f>
        <v>-8.279541</v>
      </c>
      <c r="AF221" s="32">
        <f>IF(F221="incl",Table12[[#This Row],[Current Policies 2030 incl LULUCF]]-Table12[[#This Row],[LULUCF CurPol 2030]],Table12[[#This Row],[Current Policies 2030 incl LULUCF]])</f>
        <v>224.39164084999999</v>
      </c>
      <c r="AG221" s="32">
        <f>IF(Table12[[#This Row],[Net-zero target status]]&lt;=1,"",IF(Table12[[#This Row],[NZ GHG year]]="","",1000000000*(Table12[[#This Row],[residual LULUCF emissions in 2050]]-Table12[[#This Row],[GHG emissions excl LULUCF]])/(Table12[[#This Row],[NZ GHG year]]-2021)/Table12[[#This Row],[Population]]))</f>
        <v>-490.09145059404392</v>
      </c>
      <c r="AH221" s="32">
        <f>IF(Table12[[#This Row],[Peak revised]]="Yes",IF(Table12[[#This Row],[Net-zero target status]]&lt;=1,"",IF(Table12[[#This Row],[NZ GHG year]]="","",1000000000*(Table12[[#This Row],[residual LULUCF emissions in 2050]]-Table12[[#This Row],[GHG emissions excl LULUCF]])/(Table12[[#This Row],[NZ GHG year]]-2021)/Table12[[#This Row],[Population]])),"")</f>
        <v>-490.09145059404392</v>
      </c>
      <c r="AI221" s="32">
        <f>MAX(0,(1000000*(Table12[[#This Row],[Current Policies 2030 excl LULUCF]]/2+Table12[[#This Row],[GHG emissions excl LULUCF]]/2)/Table12[[#This Row],[Population]]-$AI$8)*10)*$AI$10</f>
        <v>-1555.5306069312132</v>
      </c>
      <c r="AJ22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1" s="32" t="str">
        <f>IF(Table12[[#This Row],[Formule no Peak (2)]]="","",Table12[[#This Row],[Penalty (1)]]+Table12[[#This Row],[Formule no Peak (2)]])</f>
        <v/>
      </c>
      <c r="AL221" s="313">
        <f>(Table12[[#This Row],[Current Policies 2030 excl LULUCF]]-Table12[[#This Row],[GHG emissions excl LULUCF]])/(2030-2021)/Table12[[#This Row],[GHG emissions excl LULUCF]]</f>
        <v>-2.8993588861549362E-3</v>
      </c>
      <c r="AM221" s="313">
        <f>IF(Table12[[#This Row],[Net-zero target status]]&lt;=1,"",IF(Table12[[#This Row],[NZ GHG year]]="","",(Table12[[#This Row],[residual LULUCF emissions in 2050]]-Table12[[#This Row],[Current Policies 2030 excl LULUCF]])/(Table12[[#This Row],[NZ GHG year]]-2030)/Table12[[#This Row],[Current Policies 2030 excl LULUCF]]))</f>
        <v>-2.6916159373246352E-2</v>
      </c>
      <c r="AN221" s="313">
        <f>IF(Table12[[#This Row],[Net-zero target status]]&lt;=1,"",IF(Table12[[#This Row],[NZ GHG year]]="","",(Table12[[#This Row],[residual LULUCF emissions in 2050]]-Table12[[#This Row],[GHG emissions excl LULUCF]])/(Table12[[#This Row],[NZ GHG year]]-2021)/Table12[[#This Row],[GHG emissions excl LULUCF]]))</f>
        <v>-2.1444939368025492E-2</v>
      </c>
      <c r="AO221" s="313">
        <f>IF(Table12[[#This Row],[Net-zero target status]]&lt;=1,"",IF(Table12[[#This Row],[NZ GHG year]]="","",(Table12[[#This Row],[residual LULUCF emissions in 2050]]-Table12[[#This Row],[2030 conditional NDCs]])/(Table12[[#This Row],[NZ GHG year]]-2030)/Table12[[#This Row],[2030 conditional NDCs]]))</f>
        <v>-2.6520203420007805E-2</v>
      </c>
      <c r="AP221" s="96">
        <f>MAX('input site'!AH221:AS221)</f>
        <v>260.00538000000006</v>
      </c>
      <c r="AQ221" s="95" t="str">
        <f>IF(Table12[[#This Row],[Current Policies 2030 incl LULUCF]]&gt;Table12[[#This Row],[Maximum inventory data]],"No","Yes")</f>
        <v>Yes</v>
      </c>
      <c r="AR221" s="34">
        <f>IF(Table12[[#This Row],[Net-zero target status]]&gt;=1.5,Table12[[#This Row],[residual LULUCF emissions in 2050]]/Table12[[#This Row],[GHG emissions excl LULUCF]],"")</f>
        <v>5.6422667806878213E-2</v>
      </c>
      <c r="AS221" s="76">
        <f>'input site'!BE221</f>
        <v>181.0764513936</v>
      </c>
      <c r="AT221" s="76">
        <f>'input site'!BF221</f>
        <v>181.0764513936</v>
      </c>
      <c r="AU221" s="76">
        <f>'input site'!BG221</f>
        <v>181.0764513936</v>
      </c>
      <c r="AV221" s="77">
        <f>'input site'!BH221</f>
        <v>181.0764513936</v>
      </c>
      <c r="AW221" s="74">
        <f>IF(Table12[[#This Row],[2030 unconditional NDCs]]="","",IF(F221="incl",Table12[[#This Row],[2030 unconditional NDCs]]-Table12[[#This Row],[LULUCF NDC uncond]],Table12[[#This Row],[2030 unconditional NDCs]]))</f>
        <v>183.20167218502857</v>
      </c>
      <c r="AX221" s="74">
        <f>IF(Table12[[#This Row],[2030 unconditional NDCs2]]="","",IF(F221="incl",Table12[[#This Row],[2030 unconditional NDCs2]]-Table12[[#This Row],[LULUCF NDC uncond]],Table12[[#This Row],[2030 unconditional NDCs2]]))</f>
        <v>183.20167218502857</v>
      </c>
      <c r="AY221" s="74">
        <f>IF(Table12[[#This Row],[2030 conditional NDCs]]="","",IF(F221="incl",Table12[[#This Row],[2030 conditional NDCs]]-Table12[[#This Row],[LULUCF NDC cond]],Table12[[#This Row],[2030 conditional NDCs]]))</f>
        <v>183.20167218502857</v>
      </c>
      <c r="AZ221" s="74">
        <f>IF(Table12[[#This Row],[2030 conditional NDCs2]]="","",IF(F221="incl",Table12[[#This Row],[2030 conditional NDCs2]]-Table12[[#This Row],[LULUCF NDC cond]],Table12[[#This Row],[2030 conditional NDCs2]]))</f>
        <v>183.20167218502857</v>
      </c>
      <c r="BA221" s="8">
        <f>VLOOKUP($G221,'Population90 20'!$C$6:$AU$231,37,FALSE)</f>
        <v>10081785</v>
      </c>
      <c r="BB221" s="8">
        <f>VLOOKUP($G221,'Overview GDP (PPP)'!$C$6:$AI$231,33,FALSE)</f>
        <v>641575261.04043663</v>
      </c>
      <c r="BC221" s="36">
        <f>Table12[[#This Row],[Income]]/Table12[[#This Row],[Population]]</f>
        <v>63.637070324395594</v>
      </c>
      <c r="BD221" s="36">
        <f>Table12[[#This Row],[GHG emissions excl LULUCF]]*1000000/Table12[[#This Row],[Population]]</f>
        <v>22.853478024972762</v>
      </c>
      <c r="BE221" s="23" t="str">
        <f>VLOOKUP($G221,EGR2023_MASTER!$B$4:$S$38,14,FALSE)</f>
        <v>N</v>
      </c>
      <c r="BF221" s="23" t="str">
        <f>VLOOKUP($G221,EGR2023_MASTER!$B$4:$S$38,15,FALSE)</f>
        <v>None</v>
      </c>
      <c r="BG221" s="23" t="str">
        <f>VLOOKUP($G221,EGR2023_MASTER!$B$4:$S$38,16,FALSE)</f>
        <v>n</v>
      </c>
      <c r="BH221" s="23" t="str">
        <f t="shared" si="29"/>
        <v>much lower</v>
      </c>
      <c r="BI221" s="23" t="str">
        <f t="shared" si="30"/>
        <v>weak</v>
      </c>
      <c r="BJ221" s="552">
        <f>(Table12[[#This Row],[Current Policies 2030 excl LULUCF]]/Table12[[#This Row],[GHG emissions excl LULUCF]])^(1/(2030-2021))-1</f>
        <v>-2.9335470920252016E-3</v>
      </c>
      <c r="BK221" s="552">
        <f>IF(Table12[[#This Row],[Net-zero target status]]&lt;=1,"",IF(Table12[[#This Row],[NZ GHG year]]="","",((MAX(Table12[[#This Row],[residual LULUCF emissions in 2050]],0.1)/Table12[[#This Row],[Current Policies 2030 excl LULUCF]])^(1/(Table12[[#This Row],[NZ GHG year]]-2021))-1)))</f>
        <v>-6.2686387030399415E-2</v>
      </c>
      <c r="BL221" s="552">
        <f>IF(Table12[[#This Row],[Net-zero target status]]&lt;=1,"",IF(Table12[[#This Row],[NZ GHG year]]="","",((MAX(Table12[[#This Row],[residual LULUCF emissions in 2050]],0.1)/Table12[[#This Row],[GHG emissions excl LULUCF]])^(1/(Table12[[#This Row],[NZ GHG year]]-2021))-1)))</f>
        <v>-6.3249473550321733E-2</v>
      </c>
      <c r="BM221" s="552">
        <f>IF(Table12[[#This Row],[Net-zero target status]]&lt;=1,"",IF(Table12[[#This Row],[NZ GHG year]]="","",((MAX(Table12[[#This Row],[residual LULUCF emissions in 2050]],0.1)/AVERAGE(Table12[[#This Row],[2030 conditional NDCs]:[2030 conditional NDCs2]]))^(1/(Table12[[#This Row],[NZ GHG year]]-2021))-1)))</f>
        <v>-5.8106392338232782E-2</v>
      </c>
      <c r="BN221" s="23"/>
      <c r="BO221" s="23"/>
      <c r="BP221" s="23"/>
      <c r="BQ221" s="23"/>
      <c r="BR221" s="50" t="s">
        <v>471</v>
      </c>
      <c r="BT221" s="30">
        <f>IF(Table12[[#This Row],[Reduction rate 2021 to NZ target2]]="","",J221*(1+AN221)^(Table12[[#This Row],[NZ GHG year]]-2021))</f>
        <v>88.351296359330689</v>
      </c>
    </row>
    <row r="222" spans="1:72" ht="15" x14ac:dyDescent="0.25">
      <c r="A222">
        <v>1</v>
      </c>
      <c r="B222">
        <v>1</v>
      </c>
      <c r="C222">
        <v>826</v>
      </c>
      <c r="D222">
        <v>212</v>
      </c>
      <c r="E222">
        <v>11</v>
      </c>
      <c r="F222" t="str">
        <f>'input site'!M222</f>
        <v>incl</v>
      </c>
      <c r="G222" s="31" t="s">
        <v>472</v>
      </c>
      <c r="H222" s="1" t="s">
        <v>473</v>
      </c>
      <c r="I222" s="8">
        <f>VLOOKUP($G222,'NZT data'!$B$3:$C$200,2,FALSE)</f>
        <v>4</v>
      </c>
      <c r="J222" s="32">
        <f>'input site'!AS222</f>
        <v>430.65374372500003</v>
      </c>
      <c r="K222" s="32">
        <f>'input site'!BS222</f>
        <v>349.05918402499998</v>
      </c>
      <c r="L222" s="32">
        <f t="shared" si="31"/>
        <v>0</v>
      </c>
      <c r="M222" s="32">
        <f t="shared" si="32"/>
        <v>0</v>
      </c>
      <c r="N222" s="32">
        <f>'input site'!EV222</f>
        <v>95.829250436169957</v>
      </c>
      <c r="O222" s="8"/>
      <c r="P222" s="8"/>
      <c r="Q222" s="32">
        <f t="shared" si="33"/>
        <v>0</v>
      </c>
      <c r="R222" s="32">
        <f>'input site'!EZ222</f>
        <v>53.005449067013686</v>
      </c>
      <c r="S222" s="37">
        <f>'input site'!FA222</f>
        <v>2050</v>
      </c>
      <c r="T222" s="37" t="str">
        <f>Table12[[#This Row],[(Mt CO2 equivalent)]]</f>
        <v>United Kingdom</v>
      </c>
      <c r="U222" s="8">
        <f>VLOOKUP($G222,'NZT data'!$B$3:$F$200,4,FALSE)</f>
        <v>2050</v>
      </c>
      <c r="V222" s="32">
        <f>VLOOKUP($G222,'NZT data'!$B$3:$F$200,5,FALSE)</f>
        <v>2050</v>
      </c>
      <c r="W222" s="32">
        <f>-IF('LUC NGHGI'!EC212="",MIN('LUC NGHGI'!DW212,0.1),MIN('LUC NGHGI'!EC212,0.1))</f>
        <v>-0.1</v>
      </c>
      <c r="X222" s="32">
        <f>'LUC NGHGI'!EC212</f>
        <v>1.1055433073677507</v>
      </c>
      <c r="Y222" s="32">
        <f>'LUC NGHGI'!DY212</f>
        <v>-5.3711799999999998</v>
      </c>
      <c r="Z222" s="32">
        <f>'LUC NGHGI'!DZ212</f>
        <v>-5.3711799999999998</v>
      </c>
      <c r="AA222" s="32">
        <f>Table12[[#This Row],[2021 emissions]]</f>
        <v>430.65374372500003</v>
      </c>
      <c r="AB222" s="32">
        <f>'LUC NGHGI'!DW212</f>
        <v>1.0113778276688663</v>
      </c>
      <c r="AC222" s="32">
        <f>IF(F222="incl",Table12[[#This Row],[GHG emissions incl LULUCF]]-Table12[[#This Row],[LULUCF emis-sions in 20213]],Table12[[#This Row],[GHG emissions incl LULUCF]])</f>
        <v>429.64236589733116</v>
      </c>
      <c r="AD222" s="32">
        <f>'input site'!BS222</f>
        <v>349.05918402499998</v>
      </c>
      <c r="AE222" s="32">
        <f>'LUC NGHGI'!EH212</f>
        <v>0.98427262500000001</v>
      </c>
      <c r="AF222" s="32">
        <f>IF(F222="incl",Table12[[#This Row],[Current Policies 2030 incl LULUCF]]-Table12[[#This Row],[LULUCF CurPol 2030]],Table12[[#This Row],[Current Policies 2030 incl LULUCF]])</f>
        <v>348.07491139999996</v>
      </c>
      <c r="AG222" s="32">
        <f>IF(Table12[[#This Row],[Net-zero target status]]&lt;=1,"",IF(Table12[[#This Row],[NZ GHG year]]="","",1000000000*(Table12[[#This Row],[residual LULUCF emissions in 2050]]-Table12[[#This Row],[GHG emissions excl LULUCF]])/(Table12[[#This Row],[NZ GHG year]]-2021)/Table12[[#This Row],[Population]]))</f>
        <v>-216.33803018713789</v>
      </c>
      <c r="AH222" s="32">
        <f>IF(Table12[[#This Row],[Peak revised]]="Yes",IF(Table12[[#This Row],[Net-zero target status]]&lt;=1,"",IF(Table12[[#This Row],[NZ GHG year]]="","",1000000000*(Table12[[#This Row],[residual LULUCF emissions in 2050]]-Table12[[#This Row],[GHG emissions excl LULUCF]])/(Table12[[#This Row],[NZ GHG year]]-2021)/Table12[[#This Row],[Population]])),"")</f>
        <v>-216.33803018713789</v>
      </c>
      <c r="AI222" s="32">
        <f>MAX(0,(1000000*(Table12[[#This Row],[Current Policies 2030 excl LULUCF]]/2+Table12[[#This Row],[GHG emissions excl LULUCF]]/2)/Table12[[#This Row],[Population]]-$AI$8)*10)*$AI$10</f>
        <v>0</v>
      </c>
      <c r="AJ22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2" s="32" t="str">
        <f>IF(Table12[[#This Row],[Formule no Peak (2)]]="","",Table12[[#This Row],[Penalty (1)]]+Table12[[#This Row],[Formule no Peak (2)]])</f>
        <v/>
      </c>
      <c r="AL222" s="313">
        <f>(Table12[[#This Row],[Current Policies 2030 excl LULUCF]]-Table12[[#This Row],[GHG emissions excl LULUCF]])/(2030-2021)/Table12[[#This Row],[GHG emissions excl LULUCF]]</f>
        <v>-2.1094405996891854E-2</v>
      </c>
      <c r="AM222" s="313">
        <f>IF(Table12[[#This Row],[Net-zero target status]]&lt;=1,"",IF(Table12[[#This Row],[NZ GHG year]]="","",(Table12[[#This Row],[residual LULUCF emissions in 2050]]-Table12[[#This Row],[Current Policies 2030 excl LULUCF]])/(Table12[[#This Row],[NZ GHG year]]-2030)/Table12[[#This Row],[Current Policies 2030 excl LULUCF]]))</f>
        <v>-5.0014364723903519E-2</v>
      </c>
      <c r="AN222" s="313">
        <f>IF(Table12[[#This Row],[Net-zero target status]]&lt;=1,"",IF(Table12[[#This Row],[NZ GHG year]]="","",(Table12[[#This Row],[residual LULUCF emissions in 2050]]-Table12[[#This Row],[GHG emissions excl LULUCF]])/(Table12[[#This Row],[NZ GHG year]]-2021)/Table12[[#This Row],[GHG emissions excl LULUCF]]))</f>
        <v>-3.4490784542097259E-2</v>
      </c>
      <c r="AO222" s="313">
        <f>IF(Table12[[#This Row],[Net-zero target status]]&lt;=1,"",IF(Table12[[#This Row],[NZ GHG year]]="","",(Table12[[#This Row],[residual LULUCF emissions in 2050]]-Table12[[#This Row],[2030 conditional NDCs]])/(Table12[[#This Row],[NZ GHG year]]-2030)/Table12[[#This Row],[2030 conditional NDCs]]))</f>
        <v>-5.0019114217908486E-2</v>
      </c>
      <c r="AP222" s="96">
        <f>MAX('input site'!AH222:AS222)</f>
        <v>617.48194659499995</v>
      </c>
      <c r="AQ222" s="95" t="str">
        <f>IF(Table12[[#This Row],[Current Policies 2030 incl LULUCF]]&gt;Table12[[#This Row],[Maximum inventory data]],"No","Yes")</f>
        <v>Yes</v>
      </c>
      <c r="AR222" s="34">
        <f>IF(Table12[[#This Row],[Net-zero target status]]&gt;=1.5,Table12[[#This Row],[residual LULUCF emissions in 2050]]/Table12[[#This Row],[GHG emissions excl LULUCF]],"")</f>
        <v>-2.3275172082051228E-4</v>
      </c>
      <c r="AS222" s="76">
        <f>'input site'!BE222</f>
        <v>261.585382354621</v>
      </c>
      <c r="AT222" s="76">
        <f>'input site'!BF222</f>
        <v>261.585382354621</v>
      </c>
      <c r="AU222" s="76">
        <f>'input site'!BG222</f>
        <v>261.585382354621</v>
      </c>
      <c r="AV222" s="77">
        <f>'input site'!BH222</f>
        <v>261.585382354621</v>
      </c>
      <c r="AW222" s="74">
        <f>IF(Table12[[#This Row],[2030 unconditional NDCs]]="","",IF(F222="incl",Table12[[#This Row],[2030 unconditional NDCs]]-Table12[[#This Row],[LULUCF NDC uncond]],Table12[[#This Row],[2030 unconditional NDCs]]))</f>
        <v>266.95656235462098</v>
      </c>
      <c r="AX222" s="74">
        <f>IF(Table12[[#This Row],[2030 unconditional NDCs2]]="","",IF(F222="incl",Table12[[#This Row],[2030 unconditional NDCs2]]-Table12[[#This Row],[LULUCF NDC uncond]],Table12[[#This Row],[2030 unconditional NDCs2]]))</f>
        <v>266.95656235462098</v>
      </c>
      <c r="AY222" s="74">
        <f>IF(Table12[[#This Row],[2030 conditional NDCs]]="","",IF(F222="incl",Table12[[#This Row],[2030 conditional NDCs]]-Table12[[#This Row],[LULUCF NDC cond]],Table12[[#This Row],[2030 conditional NDCs]]))</f>
        <v>266.95656235462098</v>
      </c>
      <c r="AZ222" s="74">
        <f>IF(Table12[[#This Row],[2030 conditional NDCs2]]="","",IF(F222="incl",Table12[[#This Row],[2030 conditional NDCs2]]-Table12[[#This Row],[LULUCF NDC cond]],Table12[[#This Row],[2030 conditional NDCs2]]))</f>
        <v>266.95656235462098</v>
      </c>
      <c r="BA222" s="8">
        <f>VLOOKUP($G222,'Population90 20'!$C$6:$AU$231,37,FALSE)</f>
        <v>68497907</v>
      </c>
      <c r="BB222" s="8">
        <f>VLOOKUP($G222,'Overview GDP (PPP)'!$C$6:$AI$231,33,FALSE)</f>
        <v>2670063718.9718757</v>
      </c>
      <c r="BC222" s="36">
        <f>Table12[[#This Row],[Income]]/Table12[[#This Row],[Population]]</f>
        <v>38.980223424518293</v>
      </c>
      <c r="BD222" s="36">
        <f>Table12[[#This Row],[GHG emissions excl LULUCF]]*1000000/Table12[[#This Row],[Population]]</f>
        <v>6.2723429768055716</v>
      </c>
      <c r="BE222" s="23" t="str">
        <f>VLOOKUP($G222,EGR2023_MASTER!$B$4:$S$38,14,FALSE)</f>
        <v>Y</v>
      </c>
      <c r="BF222" s="23" t="str">
        <f>VLOOKUP($G222,EGR2023_MASTER!$B$4:$S$38,15,FALSE)</f>
        <v>Credible</v>
      </c>
      <c r="BG222" s="23" t="str">
        <f>VLOOKUP($G222,EGR2023_MASTER!$B$4:$S$38,16,FALSE)</f>
        <v>y</v>
      </c>
      <c r="BH222" s="23" t="str">
        <f t="shared" si="29"/>
        <v>higher</v>
      </c>
      <c r="BI222" s="23" t="str">
        <f t="shared" si="30"/>
        <v>stronger</v>
      </c>
      <c r="BJ222" s="552">
        <f>(Table12[[#This Row],[Current Policies 2030 excl LULUCF]]/Table12[[#This Row],[GHG emissions excl LULUCF]])^(1/(2030-2021))-1</f>
        <v>-2.3121335181624958E-2</v>
      </c>
      <c r="BK222" s="552">
        <f>IF(Table12[[#This Row],[Net-zero target status]]&lt;=1,"",IF(Table12[[#This Row],[NZ GHG year]]="","",((MAX(Table12[[#This Row],[residual LULUCF emissions in 2050]],0.1)/Table12[[#This Row],[Current Policies 2030 excl LULUCF]])^(1/(Table12[[#This Row],[NZ GHG year]]-2021))-1)))</f>
        <v>-0.2451279343230115</v>
      </c>
      <c r="BL222" s="552">
        <f>IF(Table12[[#This Row],[Net-zero target status]]&lt;=1,"",IF(Table12[[#This Row],[NZ GHG year]]="","",((MAX(Table12[[#This Row],[residual LULUCF emissions in 2050]],0.1)/Table12[[#This Row],[GHG emissions excl LULUCF]])^(1/(Table12[[#This Row],[NZ GHG year]]-2021))-1)))</f>
        <v>-0.25058834189023382</v>
      </c>
      <c r="BM222" s="552">
        <f>IF(Table12[[#This Row],[Net-zero target status]]&lt;=1,"",IF(Table12[[#This Row],[NZ GHG year]]="","",((MAX(Table12[[#This Row],[residual LULUCF emissions in 2050]],0.1)/AVERAGE(Table12[[#This Row],[2030 conditional NDCs]:[2030 conditional NDCs2]]))^(1/(Table12[[#This Row],[NZ GHG year]]-2021))-1)))</f>
        <v>-0.23765552069274321</v>
      </c>
      <c r="BN222" s="23"/>
      <c r="BO222" s="23"/>
      <c r="BP222" s="23"/>
      <c r="BQ222" s="23"/>
      <c r="BR222" s="50" t="s">
        <v>473</v>
      </c>
      <c r="BT222" s="30">
        <f>IF(Table12[[#This Row],[Reduction rate 2021 to NZ target2]]="","",J222*(1+AN222)^(Table12[[#This Row],[NZ GHG year]]-2021))</f>
        <v>155.61967481583778</v>
      </c>
    </row>
    <row r="223" spans="1:72" ht="15" x14ac:dyDescent="0.25">
      <c r="A223">
        <v>1</v>
      </c>
      <c r="B223">
        <v>1</v>
      </c>
      <c r="C223">
        <v>840</v>
      </c>
      <c r="D223">
        <v>214</v>
      </c>
      <c r="E223">
        <v>2</v>
      </c>
      <c r="F223" t="str">
        <f>'input site'!M223</f>
        <v>incl</v>
      </c>
      <c r="G223" s="31" t="s">
        <v>474</v>
      </c>
      <c r="H223" s="1" t="s">
        <v>475</v>
      </c>
      <c r="I223" s="8">
        <f>VLOOKUP($G223,'NZT data'!$B$3:$C$200,2,FALSE)</f>
        <v>4</v>
      </c>
      <c r="J223" s="32">
        <f>'input site'!AS223</f>
        <v>5586.0032584999999</v>
      </c>
      <c r="K223" s="32">
        <f>'input site'!BS223</f>
        <v>3535.3947036293598</v>
      </c>
      <c r="L223" s="32">
        <f t="shared" si="31"/>
        <v>0</v>
      </c>
      <c r="M223" s="32">
        <f t="shared" si="32"/>
        <v>0</v>
      </c>
      <c r="N223" s="32">
        <f>'input site'!EV223</f>
        <v>1248.3378063451446</v>
      </c>
      <c r="O223" s="8">
        <v>0</v>
      </c>
      <c r="P223" s="40">
        <f>O223-N223</f>
        <v>-1248.3378063451446</v>
      </c>
      <c r="Q223" s="32">
        <f t="shared" si="33"/>
        <v>0</v>
      </c>
      <c r="R223" s="32">
        <f>'input site'!EZ223</f>
        <v>-187.46200843184818</v>
      </c>
      <c r="S223" s="37" t="str">
        <f>'input site'!FA223</f>
        <v>California: 2045</v>
      </c>
      <c r="T223" s="37" t="str">
        <f>Table12[[#This Row],[(Mt CO2 equivalent)]]</f>
        <v>United States</v>
      </c>
      <c r="U223" s="8">
        <f>VLOOKUP($G223,'NZT data'!$B$3:$F$200,4,FALSE)</f>
        <v>2050</v>
      </c>
      <c r="V223" s="32">
        <f>VLOOKUP($G223,'NZT data'!$B$3:$F$200,5,FALSE)</f>
        <v>2050</v>
      </c>
      <c r="W223" s="32">
        <f>-IF('LUC NGHGI'!EC213="",MIN('LUC NGHGI'!DW213,0.1),MIN('LUC NGHGI'!EC213,0.1))</f>
        <v>950</v>
      </c>
      <c r="X223" s="32">
        <f>'LUC NGHGI'!EC213</f>
        <v>-950</v>
      </c>
      <c r="Y223" s="32">
        <f>'LUC NGHGI'!DY213</f>
        <v>-920</v>
      </c>
      <c r="Z223" s="32">
        <f>'LUC NGHGI'!DZ213</f>
        <v>-920</v>
      </c>
      <c r="AA223" s="32">
        <f>Table12[[#This Row],[2021 emissions]]</f>
        <v>5586.0032584999999</v>
      </c>
      <c r="AB223" s="32">
        <f>'LUC NGHGI'!DW213</f>
        <v>-754.65583755201544</v>
      </c>
      <c r="AC223" s="32">
        <f>IF(F223="incl",Table12[[#This Row],[GHG emissions incl LULUCF]]-Table12[[#This Row],[LULUCF emis-sions in 20213]],Table12[[#This Row],[GHG emissions incl LULUCF]])</f>
        <v>6340.6590960520152</v>
      </c>
      <c r="AD223" s="32">
        <f>'input site'!BS223</f>
        <v>3535.3947036293598</v>
      </c>
      <c r="AE223" s="32">
        <f>'LUC NGHGI'!EH213</f>
        <v>-786.87001350000003</v>
      </c>
      <c r="AF223" s="32">
        <f>IF(F223="incl",Table12[[#This Row],[Current Policies 2030 incl LULUCF]]-Table12[[#This Row],[LULUCF CurPol 2030]],Table12[[#This Row],[Current Policies 2030 incl LULUCF]])</f>
        <v>4322.2647171293602</v>
      </c>
      <c r="AG223" s="32">
        <f>IF(Table12[[#This Row],[Net-zero target status]]&lt;=1,"",IF(Table12[[#This Row],[NZ GHG year]]="","",1000000000*(Table12[[#This Row],[residual LULUCF emissions in 2050]]-Table12[[#This Row],[GHG emissions excl LULUCF]])/(Table12[[#This Row],[NZ GHG year]]-2021)/Table12[[#This Row],[Population]]))</f>
        <v>-555.20272118413618</v>
      </c>
      <c r="AH223" s="32">
        <f>IF(Table12[[#This Row],[Peak revised]]="Yes",IF(Table12[[#This Row],[Net-zero target status]]&lt;=1,"",IF(Table12[[#This Row],[NZ GHG year]]="","",1000000000*(Table12[[#This Row],[residual LULUCF emissions in 2050]]-Table12[[#This Row],[GHG emissions excl LULUCF]])/(Table12[[#This Row],[NZ GHG year]]-2021)/Table12[[#This Row],[Population]])),"")</f>
        <v>-555.20272118413618</v>
      </c>
      <c r="AI223" s="32">
        <f>MAX(0,(1000000*(Table12[[#This Row],[Current Policies 2030 excl LULUCF]]/2+Table12[[#This Row],[GHG emissions excl LULUCF]]/2)/Table12[[#This Row],[Population]]-$AI$8)*10)*$AI$10</f>
        <v>-892.40681083507309</v>
      </c>
      <c r="AJ22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3" s="32" t="str">
        <f>IF(Table12[[#This Row],[Formule no Peak (2)]]="","",Table12[[#This Row],[Penalty (1)]]+Table12[[#This Row],[Formule no Peak (2)]])</f>
        <v/>
      </c>
      <c r="AL223" s="313">
        <f>(Table12[[#This Row],[Current Policies 2030 excl LULUCF]]-Table12[[#This Row],[GHG emissions excl LULUCF]])/(2030-2021)/Table12[[#This Row],[GHG emissions excl LULUCF]]</f>
        <v>-3.5369515803515682E-2</v>
      </c>
      <c r="AM223" s="313">
        <f>IF(Table12[[#This Row],[Net-zero target status]]&lt;=1,"",IF(Table12[[#This Row],[NZ GHG year]]="","",(Table12[[#This Row],[residual LULUCF emissions in 2050]]-Table12[[#This Row],[Current Policies 2030 excl LULUCF]])/(Table12[[#This Row],[NZ GHG year]]-2030)/Table12[[#This Row],[Current Policies 2030 excl LULUCF]]))</f>
        <v>-3.9010390823182341E-2</v>
      </c>
      <c r="AN223" s="313">
        <f>IF(Table12[[#This Row],[Net-zero target status]]&lt;=1,"",IF(Table12[[#This Row],[NZ GHG year]]="","",(Table12[[#This Row],[residual LULUCF emissions in 2050]]-Table12[[#This Row],[GHG emissions excl LULUCF]])/(Table12[[#This Row],[NZ GHG year]]-2021)/Table12[[#This Row],[GHG emissions excl LULUCF]]))</f>
        <v>-2.9316320842943142E-2</v>
      </c>
      <c r="AO223" s="313">
        <f>IF(Table12[[#This Row],[Net-zero target status]]&lt;=1,"",IF(Table12[[#This Row],[NZ GHG year]]="","",(Table12[[#This Row],[residual LULUCF emissions in 2050]]-Table12[[#This Row],[2030 conditional NDCs]])/(Table12[[#This Row],[NZ GHG year]]-2030)/Table12[[#This Row],[2030 conditional NDCs]]))</f>
        <v>-3.5221858468774681E-2</v>
      </c>
      <c r="AP223" s="96">
        <f>MAX('input site'!AH223:AS223)</f>
        <v>6307.1768000000002</v>
      </c>
      <c r="AQ223" s="95" t="str">
        <f>IF(Table12[[#This Row],[Current Policies 2030 incl LULUCF]]&gt;Table12[[#This Row],[Maximum inventory data]],"No","Yes")</f>
        <v>Yes</v>
      </c>
      <c r="AR223" s="34">
        <f>IF(Table12[[#This Row],[Net-zero target status]]&gt;=1.5,Table12[[#This Row],[residual LULUCF emissions in 2050]]/Table12[[#This Row],[GHG emissions excl LULUCF]],"")</f>
        <v>0.14982669555464881</v>
      </c>
      <c r="AS223" s="78">
        <f>'input site'!BE223</f>
        <v>3214.2065969279952</v>
      </c>
      <c r="AT223" s="78">
        <f>'input site'!BF223</f>
        <v>3348.1318717999952</v>
      </c>
      <c r="AU223" s="78">
        <f>'input site'!BG223</f>
        <v>3214.2065969279952</v>
      </c>
      <c r="AV223" s="79">
        <f>'input site'!BH223</f>
        <v>3348.1318717999952</v>
      </c>
      <c r="AW223" s="74">
        <f>IF(Table12[[#This Row],[2030 unconditional NDCs]]="","",IF(F223="incl",Table12[[#This Row],[2030 unconditional NDCs]]-Table12[[#This Row],[LULUCF NDC uncond]],Table12[[#This Row],[2030 unconditional NDCs]]))</f>
        <v>4134.2065969279956</v>
      </c>
      <c r="AX223" s="74">
        <f>IF(Table12[[#This Row],[2030 unconditional NDCs2]]="","",IF(F223="incl",Table12[[#This Row],[2030 unconditional NDCs2]]-Table12[[#This Row],[LULUCF NDC uncond]],Table12[[#This Row],[2030 unconditional NDCs2]]))</f>
        <v>4268.1318717999948</v>
      </c>
      <c r="AY223" s="74">
        <f>IF(Table12[[#This Row],[2030 conditional NDCs]]="","",IF(F223="incl",Table12[[#This Row],[2030 conditional NDCs]]-Table12[[#This Row],[LULUCF NDC cond]],Table12[[#This Row],[2030 conditional NDCs]]))</f>
        <v>4134.2065969279956</v>
      </c>
      <c r="AZ223" s="74">
        <f>IF(Table12[[#This Row],[2030 conditional NDCs2]]="","",IF(F223="incl",Table12[[#This Row],[2030 conditional NDCs2]]-Table12[[#This Row],[LULUCF NDC cond]],Table12[[#This Row],[2030 conditional NDCs2]]))</f>
        <v>4268.1318717999948</v>
      </c>
      <c r="BA223" s="8">
        <f>VLOOKUP($G223,'Population90 20'!$C$6:$AU$231,37,FALSE)</f>
        <v>334805269</v>
      </c>
      <c r="BB223" s="8">
        <f>VLOOKUP($G223,'Overview GDP (PPP)'!$C$6:$AI$231,33,FALSE)</f>
        <v>18217025360.144855</v>
      </c>
      <c r="BC223" s="36">
        <f>Table12[[#This Row],[Income]]/Table12[[#This Row],[Population]]</f>
        <v>54.410808451598342</v>
      </c>
      <c r="BD223" s="36">
        <f>Table12[[#This Row],[GHG emissions excl LULUCF]]*1000000/Table12[[#This Row],[Population]]</f>
        <v>18.93834919322018</v>
      </c>
      <c r="BE223" s="23" t="str">
        <f>VLOOKUP($G223,EGR2023_MASTER!$B$4:$S$38,14,FALSE)</f>
        <v>N</v>
      </c>
      <c r="BF223" s="23" t="str">
        <f>VLOOKUP($G223,EGR2023_MASTER!$B$4:$S$38,15,FALSE)</f>
        <v>Credible</v>
      </c>
      <c r="BG223" s="23" t="str">
        <f>VLOOKUP($G223,EGR2023_MASTER!$B$4:$S$38,16,FALSE)</f>
        <v>y</v>
      </c>
      <c r="BH223" s="23" t="str">
        <f t="shared" si="29"/>
        <v>lower</v>
      </c>
      <c r="BI223" s="23" t="str">
        <f t="shared" si="30"/>
        <v>stronger</v>
      </c>
      <c r="BJ223" s="552">
        <f>(Table12[[#This Row],[Current Policies 2030 excl LULUCF]]/Table12[[#This Row],[GHG emissions excl LULUCF]])^(1/(2030-2021))-1</f>
        <v>-4.1684415546728304E-2</v>
      </c>
      <c r="BK223" s="552">
        <f>IF(Table12[[#This Row],[Net-zero target status]]&lt;=1,"",IF(Table12[[#This Row],[NZ GHG year]]="","",((MAX(Table12[[#This Row],[residual LULUCF emissions in 2050]],0.1)/Table12[[#This Row],[Current Policies 2030 excl LULUCF]])^(1/(Table12[[#This Row],[NZ GHG year]]-2021))-1)))</f>
        <v>-5.0902636394175138E-2</v>
      </c>
      <c r="BL223" s="552">
        <f>IF(Table12[[#This Row],[Net-zero target status]]&lt;=1,"",IF(Table12[[#This Row],[NZ GHG year]]="","",((MAX(Table12[[#This Row],[residual LULUCF emissions in 2050]],0.1)/Table12[[#This Row],[GHG emissions excl LULUCF]])^(1/(Table12[[#This Row],[NZ GHG year]]-2021))-1)))</f>
        <v>-6.3361421977390031E-2</v>
      </c>
      <c r="BM223" s="552">
        <f>IF(Table12[[#This Row],[Net-zero target status]]&lt;=1,"",IF(Table12[[#This Row],[NZ GHG year]]="","",((MAX(Table12[[#This Row],[residual LULUCF emissions in 2050]],0.1)/AVERAGE(Table12[[#This Row],[2030 conditional NDCs]:[2030 conditional NDCs2]]))^(1/(Table12[[#This Row],[NZ GHG year]]-2021))-1)))</f>
        <v>-4.1840615112409663E-2</v>
      </c>
      <c r="BN223" s="23">
        <f>'Supplementary Data 2'!AC9</f>
        <v>1000</v>
      </c>
      <c r="BO223" s="23">
        <f>Table12[[#This Row],[Low residual LULUCF ]]</f>
        <v>1000</v>
      </c>
      <c r="BP223" s="23">
        <f>'Supplementary Data 2'!Z9</f>
        <v>500</v>
      </c>
      <c r="BQ223" s="23">
        <f>'Supplementary Data 2'!Z9</f>
        <v>500</v>
      </c>
      <c r="BR223" s="50" t="s">
        <v>475</v>
      </c>
      <c r="BT223" s="30">
        <f>IF(Table12[[#This Row],[Reduction rate 2021 to NZ target2]]="","",J223*(1+AN223)^(Table12[[#This Row],[NZ GHG year]]-2021))</f>
        <v>2356.9766712149808</v>
      </c>
    </row>
    <row r="224" spans="1:72" ht="15" x14ac:dyDescent="0.25">
      <c r="A224">
        <v>0</v>
      </c>
      <c r="B224">
        <v>0</v>
      </c>
      <c r="C224">
        <v>858</v>
      </c>
      <c r="D224">
        <v>217</v>
      </c>
      <c r="E224">
        <v>6</v>
      </c>
      <c r="F224" t="str">
        <f>'input site'!M224</f>
        <v>excl</v>
      </c>
      <c r="G224" s="31" t="s">
        <v>476</v>
      </c>
      <c r="H224" s="1" t="s">
        <v>477</v>
      </c>
      <c r="I224" s="8">
        <f>VLOOKUP($G224,'NZT data'!$B$3:$C$200,2,FALSE)</f>
        <v>3</v>
      </c>
      <c r="J224" s="32">
        <f>'input site'!AS224</f>
        <v>33.570784000000003</v>
      </c>
      <c r="K224" s="32">
        <f>'input site'!BS224</f>
        <v>37.312146175526799</v>
      </c>
      <c r="L224" s="32">
        <f t="shared" si="31"/>
        <v>0</v>
      </c>
      <c r="M224" s="32">
        <f t="shared" si="32"/>
        <v>0</v>
      </c>
      <c r="N224" s="32">
        <f>'input site'!EV224</f>
        <v>21.864884753072854</v>
      </c>
      <c r="O224" s="8">
        <v>0</v>
      </c>
      <c r="P224" s="36">
        <f>O224-N224</f>
        <v>-21.864884753072854</v>
      </c>
      <c r="Q224" s="32">
        <f t="shared" si="33"/>
        <v>0</v>
      </c>
      <c r="R224" s="32">
        <f>'input site'!EZ224</f>
        <v>12.935840298559453</v>
      </c>
      <c r="S224" s="37">
        <v>2030</v>
      </c>
      <c r="T224" s="37" t="str">
        <f>Table12[[#This Row],[(Mt CO2 equivalent)]]</f>
        <v>Uruguay</v>
      </c>
      <c r="U224" s="8">
        <f>VLOOKUP($G224,'NZT data'!$B$3:$F$200,4,FALSE)</f>
        <v>2050</v>
      </c>
      <c r="V224" s="32">
        <f>VLOOKUP($G224,'NZT data'!$B$3:$F$200,5,FALSE)</f>
        <v>2050</v>
      </c>
      <c r="W224" s="32">
        <f>-IF('LUC NGHGI'!EC214="",MIN('LUC NGHGI'!DW214,0.1),MIN('LUC NGHGI'!EC214,0.1))</f>
        <v>7.3469999999999995</v>
      </c>
      <c r="X224" s="32">
        <f>'LUC NGHGI'!EC214</f>
        <v>-7.3469999999999995</v>
      </c>
      <c r="Y224" s="32">
        <f>'LUC NGHGI'!DY214</f>
        <v>-9.6712999999999987</v>
      </c>
      <c r="Z224" s="32">
        <f>'LUC NGHGI'!DZ214</f>
        <v>-9.6712999999999987</v>
      </c>
      <c r="AA224" s="32">
        <f>Table12[[#This Row],[2021 emissions]]</f>
        <v>33.570784000000003</v>
      </c>
      <c r="AB224" s="32">
        <f>'LUC NGHGI'!DW214</f>
        <v>-15.063695483870958</v>
      </c>
      <c r="AC224" s="32">
        <f>IF(F224="incl",Table12[[#This Row],[GHG emissions incl LULUCF]]-Table12[[#This Row],[LULUCF emis-sions in 20213]],Table12[[#This Row],[GHG emissions incl LULUCF]])</f>
        <v>33.570784000000003</v>
      </c>
      <c r="AD224" s="32">
        <f>'input site'!BS224</f>
        <v>37.312146175526799</v>
      </c>
      <c r="AE224" s="32">
        <f>'LUC NGHGI'!EH214</f>
        <v>-12.171972356271871</v>
      </c>
      <c r="AF224" s="32">
        <f>IF(F224="incl",Table12[[#This Row],[Current Policies 2030 incl LULUCF]]-Table12[[#This Row],[LULUCF CurPol 2030]],Table12[[#This Row],[Current Policies 2030 incl LULUCF]])</f>
        <v>37.312146175526799</v>
      </c>
      <c r="AG224" s="32">
        <f>IF(Table12[[#This Row],[Net-zero target status]]&lt;=1,"",IF(Table12[[#This Row],[NZ GHG year]]="","",1000000000*(Table12[[#This Row],[residual LULUCF emissions in 2050]]-Table12[[#This Row],[GHG emissions excl LULUCF]])/(Table12[[#This Row],[NZ GHG year]]-2021)/Table12[[#This Row],[Population]]))</f>
        <v>-258.65682931459799</v>
      </c>
      <c r="AH224" s="32" t="str">
        <f>IF(Table12[[#This Row],[Peak revised]]="Yes",IF(Table12[[#This Row],[Net-zero target status]]&lt;=1,"",IF(Table12[[#This Row],[NZ GHG year]]="","",1000000000*(Table12[[#This Row],[residual LULUCF emissions in 2050]]-Table12[[#This Row],[GHG emissions excl LULUCF]])/(Table12[[#This Row],[NZ GHG year]]-2021)/Table12[[#This Row],[Population]])),"")</f>
        <v/>
      </c>
      <c r="AI224" s="32">
        <f>MAX(0,(1000000*(Table12[[#This Row],[Current Policies 2030 excl LULUCF]]/2+Table12[[#This Row],[GHG emissions excl LULUCF]]/2)/Table12[[#This Row],[Population]]-$AI$8)*10)*$AI$10</f>
        <v>-313.7672449943995</v>
      </c>
      <c r="AJ224" s="32">
        <f>IF(Table12[[#This Row],[Peak revised]]="No",IF(Table12[[#This Row],[Net-zero target status]]&lt;=1,"",IF(Table12[[#This Row],[NZ GHG year]]="","",1000000000*(Table12[[#This Row],[residual LULUCF emissions in 2050]]-Table12[[#This Row],[Current Policies 2030 excl LULUCF]])/(Table12[[#This Row],[NZ GHG year]]-2021)/Table12[[#This Row],[Population]])),"")</f>
        <v>-295.55954623902534</v>
      </c>
      <c r="AK224" s="32">
        <f>IF(Table12[[#This Row],[Formule no Peak (2)]]="","",Table12[[#This Row],[Penalty (1)]]+Table12[[#This Row],[Formule no Peak (2)]])</f>
        <v>-609.32679123342484</v>
      </c>
      <c r="AL224" s="313">
        <f>(Table12[[#This Row],[Current Policies 2030 excl LULUCF]]-Table12[[#This Row],[GHG emissions excl LULUCF]])/(2030-2021)/Table12[[#This Row],[GHG emissions excl LULUCF]]</f>
        <v>1.2382996726911892E-2</v>
      </c>
      <c r="AM224" s="313">
        <f>IF(Table12[[#This Row],[Net-zero target status]]&lt;=1,"",IF(Table12[[#This Row],[NZ GHG year]]="","",(Table12[[#This Row],[residual LULUCF emissions in 2050]]-Table12[[#This Row],[Current Policies 2030 excl LULUCF]])/(Table12[[#This Row],[NZ GHG year]]-2030)/Table12[[#This Row],[Current Policies 2030 excl LULUCF]]))</f>
        <v>-4.0154680508811186E-2</v>
      </c>
      <c r="AN224" s="313">
        <f>IF(Table12[[#This Row],[Net-zero target status]]&lt;=1,"",IF(Table12[[#This Row],[NZ GHG year]]="","",(Table12[[#This Row],[residual LULUCF emissions in 2050]]-Table12[[#This Row],[GHG emissions excl LULUCF]])/(Table12[[#This Row],[NZ GHG year]]-2021)/Table12[[#This Row],[GHG emissions excl LULUCF]]))</f>
        <v>-2.6936172053446932E-2</v>
      </c>
      <c r="AO224" s="313" t="e">
        <f>IF(Table12[[#This Row],[Net-zero target status]]&lt;=1,"",IF(Table12[[#This Row],[NZ GHG year]]="","",(Table12[[#This Row],[residual LULUCF emissions in 2050]]-Table12[[#This Row],[2030 conditional NDCs]])/(Table12[[#This Row],[NZ GHG year]]-2030)/Table12[[#This Row],[2030 conditional NDCs]]))</f>
        <v>#DIV/0!</v>
      </c>
      <c r="AP224" s="96">
        <f>MAX('input site'!AH224:AS224)</f>
        <v>37.128732000000007</v>
      </c>
      <c r="AQ224" s="95" t="str">
        <f>IF(Table12[[#This Row],[Current Policies 2030 incl LULUCF]]&gt;Table12[[#This Row],[Maximum inventory data]],"No","Yes")</f>
        <v>No</v>
      </c>
      <c r="AR224" s="34">
        <f>IF(Table12[[#This Row],[Net-zero target status]]&gt;=1.5,Table12[[#This Row],[residual LULUCF emissions in 2050]]/Table12[[#This Row],[GHG emissions excl LULUCF]],"")</f>
        <v>0.21885101045003891</v>
      </c>
      <c r="AS224" s="380" t="str">
        <f>'input site'!BE224</f>
        <v/>
      </c>
      <c r="AT224" s="380"/>
      <c r="AU224" s="380"/>
      <c r="AV224" s="380"/>
      <c r="AW224" s="74" t="str">
        <f>IF(Table12[[#This Row],[2030 unconditional NDCs]]="","",IF(F224="incl",Table12[[#This Row],[2030 unconditional NDCs]]-Table12[[#This Row],[LULUCF NDC uncond]],Table12[[#This Row],[2030 unconditional NDCs]]))</f>
        <v/>
      </c>
      <c r="AX224" s="74" t="str">
        <f>IF(Table12[[#This Row],[2030 unconditional NDCs2]]="","",IF(F224="incl",Table12[[#This Row],[2030 unconditional NDCs2]]-Table12[[#This Row],[LULUCF NDC uncond]],Table12[[#This Row],[2030 unconditional NDCs2]]))</f>
        <v/>
      </c>
      <c r="AY224" s="74" t="str">
        <f>IF(Table12[[#This Row],[2030 conditional NDCs]]="","",IF(F224="incl",Table12[[#This Row],[2030 conditional NDCs]]-Table12[[#This Row],[LULUCF NDC cond]],Table12[[#This Row],[2030 conditional NDCs]]))</f>
        <v/>
      </c>
      <c r="AZ224" s="74" t="str">
        <f>IF(Table12[[#This Row],[2030 conditional NDCs2]]="","",IF(F224="incl",Table12[[#This Row],[2030 conditional NDCs2]]-Table12[[#This Row],[LULUCF NDC cond]],Table12[[#This Row],[2030 conditional NDCs2]]))</f>
        <v/>
      </c>
      <c r="BA224" s="8">
        <f>VLOOKUP($G224,'Population90 20'!$C$6:$AU$231,37,FALSE)</f>
        <v>3496016</v>
      </c>
      <c r="BB224" s="8">
        <f>VLOOKUP($G224,'Overview GDP (PPP)'!$C$6:$AI$231,33,FALSE)</f>
        <v>72146055.910812885</v>
      </c>
      <c r="BC224" s="36">
        <f>Table12[[#This Row],[Income]]/Table12[[#This Row],[Population]]</f>
        <v>20.636649234675382</v>
      </c>
      <c r="BD224" s="36">
        <f>Table12[[#This Row],[GHG emissions excl LULUCF]]*1000000/Table12[[#This Row],[Population]]</f>
        <v>9.6025830545397959</v>
      </c>
      <c r="BE224" s="23" t="e">
        <f>VLOOKUP($G224,EGR2023_MASTER!$B$4:$S$38,14,FALSE)</f>
        <v>#N/A</v>
      </c>
      <c r="BF224" s="23" t="e">
        <f>VLOOKUP($G224,EGR2023_MASTER!$B$4:$S$38,15,FALSE)</f>
        <v>#N/A</v>
      </c>
      <c r="BG224" s="23" t="e">
        <f>VLOOKUP($G224,EGR2023_MASTER!$B$4:$S$38,16,FALSE)</f>
        <v>#N/A</v>
      </c>
      <c r="BH224" s="23" t="e">
        <f t="shared" si="29"/>
        <v>#N/A</v>
      </c>
      <c r="BI224" s="23" t="e">
        <f t="shared" si="30"/>
        <v>#N/A</v>
      </c>
      <c r="BJ224" s="552">
        <f>(Table12[[#This Row],[Current Policies 2030 excl LULUCF]]/Table12[[#This Row],[GHG emissions excl LULUCF]])^(1/(2030-2021))-1</f>
        <v>1.1809492705935565E-2</v>
      </c>
      <c r="BK224" s="552">
        <f>IF(Table12[[#This Row],[Net-zero target status]]&lt;=1,"",IF(Table12[[#This Row],[NZ GHG year]]="","",((MAX(Table12[[#This Row],[residual LULUCF emissions in 2050]],0.1)/Table12[[#This Row],[Current Policies 2030 excl LULUCF]])^(1/(Table12[[#This Row],[NZ GHG year]]-2021))-1)))</f>
        <v>-5.4494343484064789E-2</v>
      </c>
      <c r="BL224" s="552">
        <f>IF(Table12[[#This Row],[Net-zero target status]]&lt;=1,"",IF(Table12[[#This Row],[NZ GHG year]]="","",((MAX(Table12[[#This Row],[residual LULUCF emissions in 2050]],0.1)/Table12[[#This Row],[GHG emissions excl LULUCF]])^(1/(Table12[[#This Row],[NZ GHG year]]-2021))-1)))</f>
        <v>-5.1043069468541313E-2</v>
      </c>
      <c r="BM224" s="552" t="e">
        <f>IF(Table12[[#This Row],[Net-zero target status]]&lt;=1,"",IF(Table12[[#This Row],[NZ GHG year]]="","",((MAX(Table12[[#This Row],[residual LULUCF emissions in 2050]],0.1)/AVERAGE(Table12[[#This Row],[2030 conditional NDCs]:[2030 conditional NDCs2]]))^(1/(Table12[[#This Row],[NZ GHG year]]-2021))-1)))</f>
        <v>#DIV/0!</v>
      </c>
      <c r="BN224" s="23"/>
      <c r="BO224" s="23"/>
      <c r="BP224" s="23"/>
      <c r="BQ224" s="23"/>
      <c r="BR224" s="50" t="s">
        <v>477</v>
      </c>
      <c r="BT224" s="30">
        <f>IF(Table12[[#This Row],[Reduction rate 2021 to NZ target2]]="","",J224*(1+AN224)^(Table12[[#This Row],[NZ GHG year]]-2021))</f>
        <v>15.20757668816219</v>
      </c>
    </row>
    <row r="225" spans="1:72" ht="15" x14ac:dyDescent="0.25">
      <c r="A225">
        <v>0</v>
      </c>
      <c r="B225">
        <v>0</v>
      </c>
      <c r="C225">
        <v>860</v>
      </c>
      <c r="D225">
        <v>218</v>
      </c>
      <c r="E225">
        <v>15</v>
      </c>
      <c r="F225" t="str">
        <f>'input site'!M225</f>
        <v>excl</v>
      </c>
      <c r="G225" s="31" t="s">
        <v>478</v>
      </c>
      <c r="H225" s="1" t="s">
        <v>479</v>
      </c>
      <c r="I225" s="8">
        <f>VLOOKUP($G225,'NZT data'!$B$3:$C$200,2,FALSE)</f>
        <v>0</v>
      </c>
      <c r="J225" s="32">
        <f>'input site'!AS225</f>
        <v>197.98414000000002</v>
      </c>
      <c r="K225" s="32">
        <f>'input site'!BS225</f>
        <v>243.38747126355565</v>
      </c>
      <c r="L225" s="32">
        <f t="shared" si="31"/>
        <v>243.38747126355565</v>
      </c>
      <c r="M225" s="32">
        <f t="shared" si="32"/>
        <v>90.438421787211141</v>
      </c>
      <c r="N225" s="32">
        <f>'input site'!EV225</f>
        <v>90.438421787211141</v>
      </c>
      <c r="O225" s="8"/>
      <c r="P225" s="8"/>
      <c r="Q225" s="32">
        <f t="shared" si="33"/>
        <v>62.797395825055858</v>
      </c>
      <c r="R225" s="32">
        <f>'[5]input site'!CN225</f>
        <v>62.797395825055858</v>
      </c>
      <c r="S225" s="37"/>
      <c r="T225" s="37" t="str">
        <f>Table12[[#This Row],[(Mt CO2 equivalent)]]</f>
        <v>Uzbekistan</v>
      </c>
      <c r="U225" s="8">
        <f>VLOOKUP($G225,'NZT data'!$B$3:$F$200,4,FALSE)</f>
        <v>2110</v>
      </c>
      <c r="V225" s="32">
        <f>VLOOKUP($G225,'NZT data'!$B$3:$F$200,5,FALSE)</f>
        <v>2110</v>
      </c>
      <c r="W225" s="32">
        <f>-IF('LUC NGHGI'!EC215="",MIN('LUC NGHGI'!DW215,0.1),MIN('LUC NGHGI'!EC215,0.1))</f>
        <v>11.170087575260006</v>
      </c>
      <c r="X225" s="32">
        <f>'LUC NGHGI'!EC215</f>
        <v>-11.170087575260006</v>
      </c>
      <c r="Y225" s="32">
        <f>'LUC NGHGI'!DY215</f>
        <v>-11.170087575260006</v>
      </c>
      <c r="Z225" s="32">
        <f>'LUC NGHGI'!DZ215</f>
        <v>-11.170087575260006</v>
      </c>
      <c r="AA225" s="32">
        <f>Table12[[#This Row],[2021 emissions]]</f>
        <v>197.98414000000002</v>
      </c>
      <c r="AB225" s="32">
        <f>'LUC NGHGI'!DW215</f>
        <v>-11.203014960773586</v>
      </c>
      <c r="AC225" s="32">
        <f>IF(F225="incl",Table12[[#This Row],[GHG emissions incl LULUCF]]-Table12[[#This Row],[LULUCF emis-sions in 20213]],Table12[[#This Row],[GHG emissions incl LULUCF]])</f>
        <v>197.98414000000002</v>
      </c>
      <c r="AD225" s="32">
        <f>'input site'!BS225</f>
        <v>243.38747126355565</v>
      </c>
      <c r="AE225" s="32">
        <f>'LUC NGHGI'!EH215</f>
        <v>-14.879776300106549</v>
      </c>
      <c r="AF225" s="32">
        <f>IF(F225="incl",Table12[[#This Row],[Current Policies 2030 incl LULUCF]]-Table12[[#This Row],[LULUCF CurPol 2030]],Table12[[#This Row],[Current Policies 2030 incl LULUCF]])</f>
        <v>243.38747126355565</v>
      </c>
      <c r="AG225" s="32" t="str">
        <f>IF(Table12[[#This Row],[Net-zero target status]]&lt;=1,"",IF(Table12[[#This Row],[NZ GHG year]]="","",1000000000*(Table12[[#This Row],[residual LULUCF emissions in 2050]]-Table12[[#This Row],[GHG emissions excl LULUCF]])/(Table12[[#This Row],[NZ GHG year]]-2021)/Table12[[#This Row],[Population]]))</f>
        <v/>
      </c>
      <c r="AH225" s="32" t="str">
        <f>IF(Table12[[#This Row],[Peak revised]]="Yes",IF(Table12[[#This Row],[Net-zero target status]]&lt;=1,"",IF(Table12[[#This Row],[NZ GHG year]]="","",1000000000*(Table12[[#This Row],[residual LULUCF emissions in 2050]]-Table12[[#This Row],[GHG emissions excl LULUCF]])/(Table12[[#This Row],[NZ GHG year]]-2021)/Table12[[#This Row],[Population]])),"")</f>
        <v/>
      </c>
      <c r="AI225" s="32">
        <f>MAX(0,(1000000*(Table12[[#This Row],[Current Policies 2030 excl LULUCF]]/2+Table12[[#This Row],[GHG emissions excl LULUCF]]/2)/Table12[[#This Row],[Population]]-$AI$8)*10)*$AI$10</f>
        <v>0</v>
      </c>
      <c r="AJ22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5" s="32" t="str">
        <f>IF(Table12[[#This Row],[Formule no Peak (2)]]="","",Table12[[#This Row],[Penalty (1)]]+Table12[[#This Row],[Formule no Peak (2)]])</f>
        <v/>
      </c>
      <c r="AL225" s="313">
        <f>(Table12[[#This Row],[Current Policies 2030 excl LULUCF]]-Table12[[#This Row],[GHG emissions excl LULUCF]])/(2030-2021)/Table12[[#This Row],[GHG emissions excl LULUCF]]</f>
        <v>2.5480902585628899E-2</v>
      </c>
      <c r="AM225" s="313" t="str">
        <f>IF(Table12[[#This Row],[Net-zero target status]]&lt;=1,"",IF(Table12[[#This Row],[NZ GHG year]]="","",(Table12[[#This Row],[residual LULUCF emissions in 2050]]-Table12[[#This Row],[Current Policies 2030 excl LULUCF]])/(Table12[[#This Row],[NZ GHG year]]-2030)/Table12[[#This Row],[Current Policies 2030 excl LULUCF]]))</f>
        <v/>
      </c>
      <c r="AN225" s="313" t="str">
        <f>IF(Table12[[#This Row],[Net-zero target status]]&lt;=1,"",IF(Table12[[#This Row],[NZ GHG year]]="","",(Table12[[#This Row],[residual LULUCF emissions in 2050]]-Table12[[#This Row],[GHG emissions excl LULUCF]])/(Table12[[#This Row],[NZ GHG year]]-2021)/Table12[[#This Row],[GHG emissions excl LULUCF]]))</f>
        <v/>
      </c>
      <c r="AO225" s="313" t="str">
        <f>IF(Table12[[#This Row],[Net-zero target status]]&lt;=1,"",IF(Table12[[#This Row],[NZ GHG year]]="","",(Table12[[#This Row],[residual LULUCF emissions in 2050]]-Table12[[#This Row],[2030 conditional NDCs]])/(Table12[[#This Row],[NZ GHG year]]-2030)/Table12[[#This Row],[2030 conditional NDCs]]))</f>
        <v/>
      </c>
      <c r="AP225" s="96">
        <f>MAX('input site'!AH225:AS225)</f>
        <v>203.14347000000001</v>
      </c>
      <c r="AQ225" s="95" t="str">
        <f>IF(Table12[[#This Row],[Current Policies 2030 incl LULUCF]]&gt;Table12[[#This Row],[Maximum inventory data]],"No","Yes")</f>
        <v>No</v>
      </c>
      <c r="AR225" s="34" t="str">
        <f>IF(Table12[[#This Row],[Net-zero target status]]&gt;=1.5,Table12[[#This Row],[residual LULUCF emissions in 2050]]/Table12[[#This Row],[GHG emissions excl LULUCF]],"")</f>
        <v/>
      </c>
      <c r="AS225" s="380">
        <f>'input site'!BE225</f>
        <v>380</v>
      </c>
      <c r="AT225" s="380">
        <f>'input site'!BF225</f>
        <v>380</v>
      </c>
      <c r="AU225" s="380">
        <f>'input site'!BG225</f>
        <v>380</v>
      </c>
      <c r="AV225" s="380">
        <f>'input site'!BH225</f>
        <v>380</v>
      </c>
      <c r="AW225" s="74">
        <f>IF(Table12[[#This Row],[2030 unconditional NDCs]]="","",IF(F225="incl",Table12[[#This Row],[2030 unconditional NDCs]]-Table12[[#This Row],[LULUCF NDC uncond]],Table12[[#This Row],[2030 unconditional NDCs]]))</f>
        <v>380</v>
      </c>
      <c r="AX225" s="74">
        <f>IF(Table12[[#This Row],[2030 unconditional NDCs2]]="","",IF(F225="incl",Table12[[#This Row],[2030 unconditional NDCs2]]-Table12[[#This Row],[LULUCF NDC uncond]],Table12[[#This Row],[2030 unconditional NDCs2]]))</f>
        <v>380</v>
      </c>
      <c r="AY225" s="74">
        <f>IF(Table12[[#This Row],[2030 conditional NDCs]]="","",IF(F225="incl",Table12[[#This Row],[2030 conditional NDCs]]-Table12[[#This Row],[LULUCF NDC cond]],Table12[[#This Row],[2030 conditional NDCs]]))</f>
        <v>380</v>
      </c>
      <c r="AZ225" s="74">
        <f>IF(Table12[[#This Row],[2030 conditional NDCs2]]="","",IF(F225="incl",Table12[[#This Row],[2030 conditional NDCs2]]-Table12[[#This Row],[LULUCF NDC cond]],Table12[[#This Row],[2030 conditional NDCs2]]))</f>
        <v>380</v>
      </c>
      <c r="BA225" s="8">
        <f>VLOOKUP($G225,'Population90 20'!$C$6:$AU$231,37,FALSE)</f>
        <v>34382084</v>
      </c>
      <c r="BB225" s="8">
        <f>VLOOKUP($G225,'Overview GDP (PPP)'!$C$6:$AI$231,33,FALSE)</f>
        <v>205651762.96513206</v>
      </c>
      <c r="BC225" s="36">
        <f>Table12[[#This Row],[Income]]/Table12[[#This Row],[Population]]</f>
        <v>5.9813641012898477</v>
      </c>
      <c r="BD225" s="36">
        <f>Table12[[#This Row],[GHG emissions excl LULUCF]]*1000000/Table12[[#This Row],[Population]]</f>
        <v>5.7583519370146394</v>
      </c>
      <c r="BE225" s="23" t="e">
        <f>VLOOKUP($G225,EGR2023_MASTER!$B$4:$S$38,14,FALSE)</f>
        <v>#N/A</v>
      </c>
      <c r="BF225" s="23" t="e">
        <f>VLOOKUP($G225,EGR2023_MASTER!$B$4:$S$38,15,FALSE)</f>
        <v>#N/A</v>
      </c>
      <c r="BG225" s="23" t="e">
        <f>VLOOKUP($G225,EGR2023_MASTER!$B$4:$S$38,16,FALSE)</f>
        <v>#N/A</v>
      </c>
      <c r="BH225" s="23" t="e">
        <f t="shared" si="29"/>
        <v>#N/A</v>
      </c>
      <c r="BI225" s="23" t="e">
        <f t="shared" si="30"/>
        <v>#N/A</v>
      </c>
      <c r="BJ225" s="552">
        <f>(Table12[[#This Row],[Current Policies 2030 excl LULUCF]]/Table12[[#This Row],[GHG emissions excl LULUCF]])^(1/(2030-2021))-1</f>
        <v>2.3206029775657999E-2</v>
      </c>
      <c r="BK225" s="552" t="str">
        <f>IF(Table12[[#This Row],[Net-zero target status]]&lt;=1,"",IF(Table12[[#This Row],[NZ GHG year]]="","",((MAX(Table12[[#This Row],[residual LULUCF emissions in 2050]],0.1)/Table12[[#This Row],[Current Policies 2030 excl LULUCF]])^(1/(Table12[[#This Row],[NZ GHG year]]-2021))-1)))</f>
        <v/>
      </c>
      <c r="BL225" s="552" t="str">
        <f>IF(Table12[[#This Row],[Net-zero target status]]&lt;=1,"",IF(Table12[[#This Row],[NZ GHG year]]="","",((MAX(Table12[[#This Row],[residual LULUCF emissions in 2050]],0.1)/Table12[[#This Row],[GHG emissions excl LULUCF]])^(1/(Table12[[#This Row],[NZ GHG year]]-2021))-1)))</f>
        <v/>
      </c>
      <c r="BM225" s="552" t="str">
        <f>IF(Table12[[#This Row],[Net-zero target status]]&lt;=1,"",IF(Table12[[#This Row],[NZ GHG year]]="","",((MAX(Table12[[#This Row],[residual LULUCF emissions in 2050]],0.1)/AVERAGE(Table12[[#This Row],[2030 conditional NDCs]:[2030 conditional NDCs2]]))^(1/(Table12[[#This Row],[NZ GHG year]]-2021))-1)))</f>
        <v/>
      </c>
      <c r="BN225" s="23"/>
      <c r="BO225" s="23"/>
      <c r="BP225" s="23"/>
      <c r="BQ225" s="23"/>
      <c r="BR225" s="50" t="s">
        <v>479</v>
      </c>
      <c r="BT225" s="30" t="str">
        <f>IF(Table12[[#This Row],[Reduction rate 2021 to NZ target2]]="","",J225*(1+AN225)^(Table12[[#This Row],[NZ GHG year]]-2021))</f>
        <v/>
      </c>
    </row>
    <row r="226" spans="1:72" ht="15" x14ac:dyDescent="0.25">
      <c r="A226">
        <v>0</v>
      </c>
      <c r="B226">
        <v>0</v>
      </c>
      <c r="C226">
        <v>548</v>
      </c>
      <c r="D226">
        <v>141</v>
      </c>
      <c r="E226">
        <v>24</v>
      </c>
      <c r="F226" t="str">
        <f>'input site'!M226</f>
        <v>excl</v>
      </c>
      <c r="G226" s="31" t="s">
        <v>480</v>
      </c>
      <c r="H226" s="1" t="s">
        <v>481</v>
      </c>
      <c r="I226" s="8">
        <f>VLOOKUP($G226,'NZT data'!$B$3:$C$200,2,FALSE)</f>
        <v>3</v>
      </c>
      <c r="J226" s="32">
        <f>'input site'!AS226</f>
        <v>0.50023710999999993</v>
      </c>
      <c r="K226" s="32">
        <f>'input site'!BS226</f>
        <v>0.5244128842475706</v>
      </c>
      <c r="L226" s="32">
        <f t="shared" si="31"/>
        <v>0</v>
      </c>
      <c r="M226" s="32">
        <f t="shared" si="32"/>
        <v>0</v>
      </c>
      <c r="N226" s="32">
        <f>'input site'!EV226</f>
        <v>0.20651998665935675</v>
      </c>
      <c r="O226" s="8">
        <v>0</v>
      </c>
      <c r="P226" s="36">
        <f>O226-N226</f>
        <v>-0.20651998665935675</v>
      </c>
      <c r="Q226" s="32">
        <f t="shared" si="33"/>
        <v>0</v>
      </c>
      <c r="R226" s="32">
        <f>'input site'!EZ226</f>
        <v>8.9333045540688633E-2</v>
      </c>
      <c r="S226" s="37">
        <v>2050</v>
      </c>
      <c r="T226" s="37" t="str">
        <f>Table12[[#This Row],[(Mt CO2 equivalent)]]</f>
        <v>Vanuatu</v>
      </c>
      <c r="U226" s="8">
        <f>VLOOKUP($G226,'NZT data'!$B$3:$F$200,4,FALSE)</f>
        <v>2050</v>
      </c>
      <c r="V226" s="32">
        <f>VLOOKUP($G226,'NZT data'!$B$3:$F$200,5,FALSE)</f>
        <v>2050</v>
      </c>
      <c r="W226" s="32">
        <f>-IF('LUC NGHGI'!EC216="",MIN('LUC NGHGI'!DW216,0.1),MIN('LUC NGHGI'!EC216,0.1))</f>
        <v>6.9740000000000002</v>
      </c>
      <c r="X226" s="32">
        <f>'LUC NGHGI'!EC216</f>
        <v>-6.9740000000000002</v>
      </c>
      <c r="Y226" s="32">
        <f>'LUC NGHGI'!DY216</f>
        <v>-10.854139570085522</v>
      </c>
      <c r="Z226" s="32">
        <f>'LUC NGHGI'!DZ216</f>
        <v>-10.854139570085522</v>
      </c>
      <c r="AA226" s="32">
        <f>Table12[[#This Row],[2021 emissions]]</f>
        <v>0.50023710999999993</v>
      </c>
      <c r="AB226" s="32">
        <f>'LUC NGHGI'!DW216</f>
        <v>-11.171881949914564</v>
      </c>
      <c r="AC226" s="32">
        <f>IF(F226="incl",Table12[[#This Row],[GHG emissions incl LULUCF]]-Table12[[#This Row],[LULUCF emis-sions in 20213]],Table12[[#This Row],[GHG emissions incl LULUCF]])</f>
        <v>0.50023710999999993</v>
      </c>
      <c r="AD226" s="32">
        <f>'input site'!BS226</f>
        <v>0.5244128842475706</v>
      </c>
      <c r="AE226" s="32">
        <f>'LUC NGHGI'!EH216</f>
        <v>-10.1279364227683</v>
      </c>
      <c r="AF226" s="32">
        <f>IF(F226="incl",Table12[[#This Row],[Current Policies 2030 incl LULUCF]]-Table12[[#This Row],[LULUCF CurPol 2030]],Table12[[#This Row],[Current Policies 2030 incl LULUCF]])</f>
        <v>0.5244128842475706</v>
      </c>
      <c r="AG226" s="32">
        <f>IF(Table12[[#This Row],[Net-zero target status]]&lt;=1,"",IF(Table12[[#This Row],[NZ GHG year]]="","",1000000000*(Table12[[#This Row],[residual LULUCF emissions in 2050]]-Table12[[#This Row],[GHG emissions excl LULUCF]])/(Table12[[#This Row],[NZ GHG year]]-2021)/Table12[[#This Row],[Population]]))</f>
        <v>693.63271241967334</v>
      </c>
      <c r="AH226" s="32">
        <f>IF(Table12[[#This Row],[Peak revised]]="Yes",IF(Table12[[#This Row],[Net-zero target status]]&lt;=1,"",IF(Table12[[#This Row],[NZ GHG year]]="","",1000000000*(Table12[[#This Row],[residual LULUCF emissions in 2050]]-Table12[[#This Row],[GHG emissions excl LULUCF]])/(Table12[[#This Row],[NZ GHG year]]-2021)/Table12[[#This Row],[Population]])),"")</f>
        <v>693.63271241967334</v>
      </c>
      <c r="AI226" s="32">
        <f>MAX(0,(1000000*(Table12[[#This Row],[Current Policies 2030 excl LULUCF]]/2+Table12[[#This Row],[GHG emissions excl LULUCF]]/2)/Table12[[#This Row],[Population]]-$AI$8)*10)*$AI$10</f>
        <v>0</v>
      </c>
      <c r="AJ22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6" s="32" t="str">
        <f>IF(Table12[[#This Row],[Formule no Peak (2)]]="","",Table12[[#This Row],[Penalty (1)]]+Table12[[#This Row],[Formule no Peak (2)]])</f>
        <v/>
      </c>
      <c r="AL226" s="313">
        <f>(Table12[[#This Row],[Current Policies 2030 excl LULUCF]]-Table12[[#This Row],[GHG emissions excl LULUCF]])/(2030-2021)/Table12[[#This Row],[GHG emissions excl LULUCF]]</f>
        <v>5.369847788019892E-3</v>
      </c>
      <c r="AM226" s="313">
        <f>IF(Table12[[#This Row],[Net-zero target status]]&lt;=1,"",IF(Table12[[#This Row],[NZ GHG year]]="","",(Table12[[#This Row],[residual LULUCF emissions in 2050]]-Table12[[#This Row],[Current Policies 2030 excl LULUCF]])/(Table12[[#This Row],[NZ GHG year]]-2030)/Table12[[#This Row],[Current Policies 2030 excl LULUCF]]))</f>
        <v>0.61493408242689518</v>
      </c>
      <c r="AN226" s="313">
        <f>IF(Table12[[#This Row],[Net-zero target status]]&lt;=1,"",IF(Table12[[#This Row],[NZ GHG year]]="","",(Table12[[#This Row],[residual LULUCF emissions in 2050]]-Table12[[#This Row],[GHG emissions excl LULUCF]])/(Table12[[#This Row],[NZ GHG year]]-2021)/Table12[[#This Row],[GHG emissions excl LULUCF]]))</f>
        <v>0.44625478326357743</v>
      </c>
      <c r="AO226" s="313" t="e">
        <f>IF(Table12[[#This Row],[Net-zero target status]]&lt;=1,"",IF(Table12[[#This Row],[NZ GHG year]]="","",(Table12[[#This Row],[residual LULUCF emissions in 2050]]-Table12[[#This Row],[2030 conditional NDCs]])/(Table12[[#This Row],[NZ GHG year]]-2030)/Table12[[#This Row],[2030 conditional NDCs]]))</f>
        <v>#DIV/0!</v>
      </c>
      <c r="AP226" s="96">
        <f>MAX('input site'!AH226:AS226)</f>
        <v>0.58184644000000008</v>
      </c>
      <c r="AQ226" s="95" t="str">
        <f>IF(Table12[[#This Row],[Current Policies 2030 incl LULUCF]]&gt;Table12[[#This Row],[Maximum inventory data]],"No","Yes")</f>
        <v>Yes</v>
      </c>
      <c r="AR226" s="34">
        <f>IF(Table12[[#This Row],[Net-zero target status]]&gt;=1.5,Table12[[#This Row],[residual LULUCF emissions in 2050]]/Table12[[#This Row],[GHG emissions excl LULUCF]],"")</f>
        <v>13.941388714643743</v>
      </c>
      <c r="AS226" s="380" t="str">
        <f>'input site'!BE226</f>
        <v/>
      </c>
      <c r="AT226" s="380"/>
      <c r="AU226" s="380"/>
      <c r="AV226" s="380"/>
      <c r="AW226" s="74" t="str">
        <f>IF(Table12[[#This Row],[2030 unconditional NDCs]]="","",IF(F226="incl",Table12[[#This Row],[2030 unconditional NDCs]]-Table12[[#This Row],[LULUCF NDC uncond]],Table12[[#This Row],[2030 unconditional NDCs]]))</f>
        <v/>
      </c>
      <c r="AX226" s="74" t="str">
        <f>IF(Table12[[#This Row],[2030 unconditional NDCs2]]="","",IF(F226="incl",Table12[[#This Row],[2030 unconditional NDCs2]]-Table12[[#This Row],[LULUCF NDC uncond]],Table12[[#This Row],[2030 unconditional NDCs2]]))</f>
        <v/>
      </c>
      <c r="AY226" s="74" t="str">
        <f>IF(Table12[[#This Row],[2030 conditional NDCs]]="","",IF(F226="incl",Table12[[#This Row],[2030 conditional NDCs]]-Table12[[#This Row],[LULUCF NDC cond]],Table12[[#This Row],[2030 conditional NDCs]]))</f>
        <v/>
      </c>
      <c r="AZ226" s="74" t="str">
        <f>IF(Table12[[#This Row],[2030 conditional NDCs2]]="","",IF(F226="incl",Table12[[#This Row],[2030 conditional NDCs2]]-Table12[[#This Row],[LULUCF NDC cond]],Table12[[#This Row],[2030 conditional NDCs2]]))</f>
        <v/>
      </c>
      <c r="BA226" s="8">
        <f>VLOOKUP($G226,'Population90 20'!$C$6:$AU$231,37,FALSE)</f>
        <v>321832</v>
      </c>
      <c r="BB226" s="8">
        <f>VLOOKUP($G226,'Overview GDP (PPP)'!$C$6:$AI$231,33,FALSE)</f>
        <v>832988.85184846108</v>
      </c>
      <c r="BC226" s="36">
        <f>Table12[[#This Row],[Income]]/Table12[[#This Row],[Population]]</f>
        <v>2.5882723030912436</v>
      </c>
      <c r="BD226" s="36">
        <f>Table12[[#This Row],[GHG emissions excl LULUCF]]*1000000/Table12[[#This Row],[Population]]</f>
        <v>1.554342358746178</v>
      </c>
      <c r="BE226" s="23" t="e">
        <f>VLOOKUP($G226,EGR2023_MASTER!$B$4:$S$38,14,FALSE)</f>
        <v>#N/A</v>
      </c>
      <c r="BF226" s="23" t="e">
        <f>VLOOKUP($G226,EGR2023_MASTER!$B$4:$S$38,15,FALSE)</f>
        <v>#N/A</v>
      </c>
      <c r="BG226" s="23" t="e">
        <f>VLOOKUP($G226,EGR2023_MASTER!$B$4:$S$38,16,FALSE)</f>
        <v>#N/A</v>
      </c>
      <c r="BH226" s="23" t="e">
        <f t="shared" si="29"/>
        <v>#N/A</v>
      </c>
      <c r="BI226" s="23" t="e">
        <f t="shared" si="30"/>
        <v>#N/A</v>
      </c>
      <c r="BJ226" s="552">
        <f>(Table12[[#This Row],[Current Policies 2030 excl LULUCF]]/Table12[[#This Row],[GHG emissions excl LULUCF]])^(1/(2030-2021))-1</f>
        <v>5.2578983828655002E-3</v>
      </c>
      <c r="BK226" s="552">
        <f>IF(Table12[[#This Row],[Net-zero target status]]&lt;=1,"",IF(Table12[[#This Row],[NZ GHG year]]="","",((MAX(Table12[[#This Row],[residual LULUCF emissions in 2050]],0.1)/Table12[[#This Row],[Current Policies 2030 excl LULUCF]])^(1/(Table12[[#This Row],[NZ GHG year]]-2021))-1)))</f>
        <v>9.3331901747512491E-2</v>
      </c>
      <c r="BL226" s="552">
        <f>IF(Table12[[#This Row],[Net-zero target status]]&lt;=1,"",IF(Table12[[#This Row],[NZ GHG year]]="","",((MAX(Table12[[#This Row],[residual LULUCF emissions in 2050]],0.1)/Table12[[#This Row],[GHG emissions excl LULUCF]])^(1/(Table12[[#This Row],[NZ GHG year]]-2021))-1)))</f>
        <v>9.5112733652604087E-2</v>
      </c>
      <c r="BM226" s="552" t="e">
        <f>IF(Table12[[#This Row],[Net-zero target status]]&lt;=1,"",IF(Table12[[#This Row],[NZ GHG year]]="","",((MAX(Table12[[#This Row],[residual LULUCF emissions in 2050]],0.1)/AVERAGE(Table12[[#This Row],[2030 conditional NDCs]:[2030 conditional NDCs2]]))^(1/(Table12[[#This Row],[NZ GHG year]]-2021))-1)))</f>
        <v>#DIV/0!</v>
      </c>
      <c r="BN226" s="23"/>
      <c r="BO226" s="23"/>
      <c r="BP226" s="23"/>
      <c r="BQ226" s="23"/>
      <c r="BR226" s="50" t="s">
        <v>481</v>
      </c>
      <c r="BT226" s="30">
        <f>IF(Table12[[#This Row],[Reduction rate 2021 to NZ target2]]="","",J226*(1+AN226)^(Table12[[#This Row],[NZ GHG year]]-2021))</f>
        <v>22196.032295178218</v>
      </c>
    </row>
    <row r="227" spans="1:72" ht="15" x14ac:dyDescent="0.25">
      <c r="A227">
        <v>0</v>
      </c>
      <c r="B227">
        <v>0</v>
      </c>
      <c r="C227">
        <v>336</v>
      </c>
      <c r="D227">
        <v>85</v>
      </c>
      <c r="E227">
        <v>11</v>
      </c>
      <c r="F227" t="str">
        <f>'input site'!M227</f>
        <v>excl</v>
      </c>
      <c r="G227" s="31" t="s">
        <v>482</v>
      </c>
      <c r="H227" s="1" t="s">
        <v>483</v>
      </c>
      <c r="I227" s="8">
        <v>0</v>
      </c>
      <c r="J227" s="32">
        <f>'input site'!AS227</f>
        <v>5.1801183999999993E-3</v>
      </c>
      <c r="K227" s="32">
        <f>'input site'!BS227</f>
        <v>2.8902445126569626E-3</v>
      </c>
      <c r="L227" s="32">
        <f t="shared" si="31"/>
        <v>2.8902445126569626E-3</v>
      </c>
      <c r="M227" s="32">
        <f t="shared" si="32"/>
        <v>1.1338154588382185E-3</v>
      </c>
      <c r="N227" s="32">
        <f>'input site'!EV227</f>
        <v>1.1338154588382185E-3</v>
      </c>
      <c r="O227" s="8"/>
      <c r="P227" s="8"/>
      <c r="Q227" s="32">
        <f t="shared" si="33"/>
        <v>0</v>
      </c>
      <c r="R227" s="32">
        <f>'[5]input site'!CN227</f>
        <v>0</v>
      </c>
      <c r="S227" s="37"/>
      <c r="T227" s="37" t="str">
        <f>Table12[[#This Row],[(Mt CO2 equivalent)]]</f>
        <v>Vatican City State</v>
      </c>
      <c r="U227" s="35">
        <v>2100</v>
      </c>
      <c r="V227" s="35">
        <v>2100</v>
      </c>
      <c r="W227" s="32">
        <f>-IF('LUC NGHGI'!EC217="",MIN('LUC NGHGI'!DW217,0.1),MIN('LUC NGHGI'!EC217,0.1))</f>
        <v>0</v>
      </c>
      <c r="X227" s="32" t="str">
        <f>'LUC NGHGI'!EC217</f>
        <v/>
      </c>
      <c r="Y227" s="32" t="str">
        <f>'LUC NGHGI'!DY217</f>
        <v/>
      </c>
      <c r="Z227" s="32" t="str">
        <f>'LUC NGHGI'!DZ217</f>
        <v/>
      </c>
      <c r="AA227" s="32">
        <f>Table12[[#This Row],[2021 emissions]]</f>
        <v>5.1801183999999993E-3</v>
      </c>
      <c r="AB227" s="32">
        <f>'LUC NGHGI'!DW217</f>
        <v>0</v>
      </c>
      <c r="AC227" s="32">
        <f>IF(F227="incl",Table12[[#This Row],[GHG emissions incl LULUCF]]-Table12[[#This Row],[LULUCF emis-sions in 20213]],Table12[[#This Row],[GHG emissions incl LULUCF]])</f>
        <v>5.1801183999999993E-3</v>
      </c>
      <c r="AD227" s="32">
        <f>'input site'!BS227</f>
        <v>2.8902445126569626E-3</v>
      </c>
      <c r="AE227" s="32">
        <f>'LUC NGHGI'!EH217</f>
        <v>0</v>
      </c>
      <c r="AF227" s="32">
        <f>IF(F227="incl",Table12[[#This Row],[Current Policies 2030 incl LULUCF]]-Table12[[#This Row],[LULUCF CurPol 2030]],Table12[[#This Row],[Current Policies 2030 incl LULUCF]])</f>
        <v>2.8902445126569626E-3</v>
      </c>
      <c r="AG227" s="32" t="str">
        <f>IF(Table12[[#This Row],[Net-zero target status]]&lt;=1,"",IF(Table12[[#This Row],[NZ GHG year]]="","",1000000000*(Table12[[#This Row],[residual LULUCF emissions in 2050]]-Table12[[#This Row],[GHG emissions excl LULUCF]])/(Table12[[#This Row],[NZ GHG year]]-2021)/Table12[[#This Row],[Population]]))</f>
        <v/>
      </c>
      <c r="AH227" s="32" t="str">
        <f>IF(Table12[[#This Row],[Peak revised]]="Yes",IF(Table12[[#This Row],[Net-zero target status]]&lt;=1,"",IF(Table12[[#This Row],[NZ GHG year]]="","",1000000000*(Table12[[#This Row],[residual LULUCF emissions in 2050]]-Table12[[#This Row],[GHG emissions excl LULUCF]])/(Table12[[#This Row],[NZ GHG year]]-2021)/Table12[[#This Row],[Population]])),"")</f>
        <v/>
      </c>
      <c r="AI227" s="32" t="e">
        <f>MAX(0,(1000000*(Table12[[#This Row],[Current Policies 2030 excl LULUCF]]/2+Table12[[#This Row],[GHG emissions excl LULUCF]]/2)/Table12[[#This Row],[Population]]-$AI$8)*10)*$AI$10</f>
        <v>#DIV/0!</v>
      </c>
      <c r="AJ22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7" s="32" t="str">
        <f>IF(Table12[[#This Row],[Formule no Peak (2)]]="","",Table12[[#This Row],[Penalty (1)]]+Table12[[#This Row],[Formule no Peak (2)]])</f>
        <v/>
      </c>
      <c r="AL227" s="313">
        <f>(Table12[[#This Row],[Current Policies 2030 excl LULUCF]]-Table12[[#This Row],[GHG emissions excl LULUCF]])/(2030-2021)/Table12[[#This Row],[GHG emissions excl LULUCF]]</f>
        <v>-4.9116721333435955E-2</v>
      </c>
      <c r="AM227" s="313" t="str">
        <f>IF(Table12[[#This Row],[Net-zero target status]]&lt;=1,"",IF(Table12[[#This Row],[NZ GHG year]]="","",(Table12[[#This Row],[residual LULUCF emissions in 2050]]-Table12[[#This Row],[Current Policies 2030 excl LULUCF]])/(Table12[[#This Row],[NZ GHG year]]-2030)/Table12[[#This Row],[Current Policies 2030 excl LULUCF]]))</f>
        <v/>
      </c>
      <c r="AN227" s="313" t="str">
        <f>IF(Table12[[#This Row],[Net-zero target status]]&lt;=1,"",IF(Table12[[#This Row],[NZ GHG year]]="","",(Table12[[#This Row],[residual LULUCF emissions in 2050]]-Table12[[#This Row],[GHG emissions excl LULUCF]])/(Table12[[#This Row],[NZ GHG year]]-2021)/Table12[[#This Row],[GHG emissions excl LULUCF]]))</f>
        <v/>
      </c>
      <c r="AO227" s="313" t="str">
        <f>IF(Table12[[#This Row],[Net-zero target status]]&lt;=1,"",IF(Table12[[#This Row],[NZ GHG year]]="","",(Table12[[#This Row],[residual LULUCF emissions in 2050]]-Table12[[#This Row],[2030 conditional NDCs]])/(Table12[[#This Row],[NZ GHG year]]-2030)/Table12[[#This Row],[2030 conditional NDCs]]))</f>
        <v/>
      </c>
      <c r="AP227" s="96">
        <f>MAX('input site'!AH227:AS227)</f>
        <v>6.7667045000000007E-3</v>
      </c>
      <c r="AQ227" s="95" t="str">
        <f>IF(Table12[[#This Row],[Current Policies 2030 incl LULUCF]]&gt;Table12[[#This Row],[Maximum inventory data]],"No","Yes")</f>
        <v>Yes</v>
      </c>
      <c r="AR227" s="34" t="str">
        <f>IF(Table12[[#This Row],[Net-zero target status]]&gt;=1.5,Table12[[#This Row],[residual LULUCF emissions in 2050]]/Table12[[#This Row],[GHG emissions excl LULUCF]],"")</f>
        <v/>
      </c>
      <c r="AS227" s="380" t="str">
        <f>'input site'!BE227</f>
        <v/>
      </c>
      <c r="AT227" s="380"/>
      <c r="AU227" s="380"/>
      <c r="AV227" s="380"/>
      <c r="AW227" s="74" t="str">
        <f>IF(Table12[[#This Row],[2030 unconditional NDCs]]="","",IF(F227="incl",Table12[[#This Row],[2030 unconditional NDCs]]-Table12[[#This Row],[LULUCF NDC uncond]],Table12[[#This Row],[2030 unconditional NDCs]]))</f>
        <v/>
      </c>
      <c r="AX227" s="74" t="str">
        <f>IF(Table12[[#This Row],[2030 unconditional NDCs2]]="","",IF(F227="incl",Table12[[#This Row],[2030 unconditional NDCs2]]-Table12[[#This Row],[LULUCF NDC uncond]],Table12[[#This Row],[2030 unconditional NDCs2]]))</f>
        <v/>
      </c>
      <c r="AY227" s="74" t="str">
        <f>IF(Table12[[#This Row],[2030 conditional NDCs]]="","",IF(F227="incl",Table12[[#This Row],[2030 conditional NDCs]]-Table12[[#This Row],[LULUCF NDC cond]],Table12[[#This Row],[2030 conditional NDCs]]))</f>
        <v/>
      </c>
      <c r="AZ227" s="74" t="str">
        <f>IF(Table12[[#This Row],[2030 conditional NDCs2]]="","",IF(F227="incl",Table12[[#This Row],[2030 conditional NDCs2]]-Table12[[#This Row],[LULUCF NDC cond]],Table12[[#This Row],[2030 conditional NDCs2]]))</f>
        <v/>
      </c>
      <c r="BA227" s="8"/>
      <c r="BB227" s="8"/>
      <c r="BC227" s="36"/>
      <c r="BD227" s="36" t="e">
        <f>Table12[[#This Row],[GHG emissions excl LULUCF]]*1000000/Table12[[#This Row],[Population]]</f>
        <v>#DIV/0!</v>
      </c>
      <c r="BE227" s="23" t="e">
        <f>VLOOKUP($G227,EGR2023_MASTER!$B$4:$S$38,14,FALSE)</f>
        <v>#N/A</v>
      </c>
      <c r="BF227" s="23" t="e">
        <f>VLOOKUP($G227,EGR2023_MASTER!$B$4:$S$38,15,FALSE)</f>
        <v>#N/A</v>
      </c>
      <c r="BG227" s="23" t="e">
        <f>VLOOKUP($G227,EGR2023_MASTER!$B$4:$S$38,16,FALSE)</f>
        <v>#N/A</v>
      </c>
      <c r="BH227" s="23" t="e">
        <f t="shared" si="29"/>
        <v>#N/A</v>
      </c>
      <c r="BI227" s="23" t="e">
        <f t="shared" si="30"/>
        <v>#N/A</v>
      </c>
      <c r="BJ227" s="552">
        <f>(Table12[[#This Row],[Current Policies 2030 excl LULUCF]]/Table12[[#This Row],[GHG emissions excl LULUCF]])^(1/(2030-2021))-1</f>
        <v>-6.2774971949692504E-2</v>
      </c>
      <c r="BK227" s="552" t="str">
        <f>IF(Table12[[#This Row],[Net-zero target status]]&lt;=1,"",IF(Table12[[#This Row],[NZ GHG year]]="","",((MAX(Table12[[#This Row],[residual LULUCF emissions in 2050]],0.1)/Table12[[#This Row],[Current Policies 2030 excl LULUCF]])^(1/(Table12[[#This Row],[NZ GHG year]]-2021))-1)))</f>
        <v/>
      </c>
      <c r="BL227" s="552" t="str">
        <f>IF(Table12[[#This Row],[Net-zero target status]]&lt;=1,"",IF(Table12[[#This Row],[NZ GHG year]]="","",((MAX(Table12[[#This Row],[residual LULUCF emissions in 2050]],0.1)/Table12[[#This Row],[GHG emissions excl LULUCF]])^(1/(Table12[[#This Row],[NZ GHG year]]-2021))-1)))</f>
        <v/>
      </c>
      <c r="BM227" s="552" t="str">
        <f>IF(Table12[[#This Row],[Net-zero target status]]&lt;=1,"",IF(Table12[[#This Row],[NZ GHG year]]="","",((MAX(Table12[[#This Row],[residual LULUCF emissions in 2050]],0.1)/AVERAGE(Table12[[#This Row],[2030 conditional NDCs]:[2030 conditional NDCs2]]))^(1/(Table12[[#This Row],[NZ GHG year]]-2021))-1)))</f>
        <v/>
      </c>
      <c r="BN227" s="23"/>
      <c r="BO227" s="23"/>
      <c r="BP227" s="23"/>
      <c r="BQ227" s="23"/>
      <c r="BR227" s="50" t="s">
        <v>483</v>
      </c>
      <c r="BT227" s="30" t="str">
        <f>IF(Table12[[#This Row],[Reduction rate 2021 to NZ target2]]="","",J227*(1+AN227)^(Table12[[#This Row],[NZ GHG year]]-2021))</f>
        <v/>
      </c>
    </row>
    <row r="228" spans="1:72" ht="15" x14ac:dyDescent="0.25">
      <c r="A228">
        <v>0</v>
      </c>
      <c r="B228">
        <v>0</v>
      </c>
      <c r="C228">
        <v>862</v>
      </c>
      <c r="D228">
        <v>219</v>
      </c>
      <c r="E228">
        <v>6</v>
      </c>
      <c r="F228" t="str">
        <f>'input site'!M228</f>
        <v>excl</v>
      </c>
      <c r="G228" s="31" t="s">
        <v>484</v>
      </c>
      <c r="H228" s="1" t="s">
        <v>485</v>
      </c>
      <c r="I228" s="8">
        <f>VLOOKUP($G228,'NZT data'!$B$3:$C$200,2,FALSE)</f>
        <v>0</v>
      </c>
      <c r="J228" s="32">
        <f>'input site'!AS228</f>
        <v>163.06128000000001</v>
      </c>
      <c r="K228" s="32">
        <f>'input site'!BS228</f>
        <v>181.23396566873458</v>
      </c>
      <c r="L228" s="32">
        <f t="shared" si="31"/>
        <v>181.23396566873458</v>
      </c>
      <c r="M228" s="32">
        <f t="shared" si="32"/>
        <v>122.73869493621525</v>
      </c>
      <c r="N228" s="32">
        <f>'input site'!EV228</f>
        <v>122.73869493621525</v>
      </c>
      <c r="O228" s="8"/>
      <c r="P228" s="8"/>
      <c r="Q228" s="32">
        <f t="shared" si="33"/>
        <v>102.50891547381839</v>
      </c>
      <c r="R228" s="32">
        <f>'[5]input site'!CN228</f>
        <v>102.50891547381839</v>
      </c>
      <c r="S228" s="37"/>
      <c r="T228" s="37" t="str">
        <f>Table12[[#This Row],[(Mt CO2 equivalent)]]</f>
        <v>Venezuela</v>
      </c>
      <c r="U228" s="8">
        <f>VLOOKUP($G228,'NZT data'!$B$3:$F$200,4,FALSE)</f>
        <v>2110</v>
      </c>
      <c r="V228" s="32" t="str">
        <f>VLOOKUP($G228,'NZT data'!$B$3:$F$200,5,FALSE)</f>
        <v/>
      </c>
      <c r="W228" s="32">
        <f>-IF('LUC NGHGI'!EC218="",MIN('LUC NGHGI'!DW218,0.1),MIN('LUC NGHGI'!EC218,0.1))</f>
        <v>35.417246753246673</v>
      </c>
      <c r="X228" s="32">
        <f>'LUC NGHGI'!EC218</f>
        <v>-35.417246753246673</v>
      </c>
      <c r="Y228" s="32">
        <f>'LUC NGHGI'!DY218</f>
        <v>-35.417246753246673</v>
      </c>
      <c r="Z228" s="32">
        <f>'LUC NGHGI'!DZ218</f>
        <v>-35.417246753246673</v>
      </c>
      <c r="AA228" s="32">
        <f>Table12[[#This Row],[2021 emissions]]</f>
        <v>163.06128000000001</v>
      </c>
      <c r="AB228" s="32">
        <f>'LUC NGHGI'!DW218</f>
        <v>-36.24576623376629</v>
      </c>
      <c r="AC228" s="32">
        <f>IF(F228="incl",Table12[[#This Row],[GHG emissions incl LULUCF]]-Table12[[#This Row],[LULUCF emis-sions in 20213]],Table12[[#This Row],[GHG emissions incl LULUCF]])</f>
        <v>163.06128000000001</v>
      </c>
      <c r="AD228" s="32">
        <f>'input site'!BS228</f>
        <v>181.23396566873458</v>
      </c>
      <c r="AE228" s="32">
        <f>'LUC NGHGI'!EH218</f>
        <v>-44.574953565268189</v>
      </c>
      <c r="AF228" s="32">
        <f>IF(F228="incl",Table12[[#This Row],[Current Policies 2030 incl LULUCF]]-Table12[[#This Row],[LULUCF CurPol 2030]],Table12[[#This Row],[Current Policies 2030 incl LULUCF]])</f>
        <v>181.23396566873458</v>
      </c>
      <c r="AG228" s="32" t="str">
        <f>IF(Table12[[#This Row],[Net-zero target status]]&lt;=1,"",IF(Table12[[#This Row],[NZ GHG year]]="","",1000000000*(Table12[[#This Row],[residual LULUCF emissions in 2050]]-Table12[[#This Row],[GHG emissions excl LULUCF]])/(Table12[[#This Row],[NZ GHG year]]-2021)/Table12[[#This Row],[Population]]))</f>
        <v/>
      </c>
      <c r="AH228" s="32" t="str">
        <f>IF(Table12[[#This Row],[Peak revised]]="Yes",IF(Table12[[#This Row],[Net-zero target status]]&lt;=1,"",IF(Table12[[#This Row],[NZ GHG year]]="","",1000000000*(Table12[[#This Row],[residual LULUCF emissions in 2050]]-Table12[[#This Row],[GHG emissions excl LULUCF]])/(Table12[[#This Row],[NZ GHG year]]-2021)/Table12[[#This Row],[Population]])),"")</f>
        <v/>
      </c>
      <c r="AI228" s="32">
        <f>MAX(0,(1000000*(Table12[[#This Row],[Current Policies 2030 excl LULUCF]]/2+Table12[[#This Row],[GHG emissions excl LULUCF]]/2)/Table12[[#This Row],[Population]]-$AI$8)*10)*$AI$10</f>
        <v>0</v>
      </c>
      <c r="AJ22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28" s="32" t="str">
        <f>IF(Table12[[#This Row],[Formule no Peak (2)]]="","",Table12[[#This Row],[Penalty (1)]]+Table12[[#This Row],[Formule no Peak (2)]])</f>
        <v/>
      </c>
      <c r="AL228" s="313">
        <f>(Table12[[#This Row],[Current Policies 2030 excl LULUCF]]-Table12[[#This Row],[GHG emissions excl LULUCF]])/(2030-2021)/Table12[[#This Row],[GHG emissions excl LULUCF]]</f>
        <v>1.2382996726911892E-2</v>
      </c>
      <c r="AM228" s="313" t="str">
        <f>IF(Table12[[#This Row],[Net-zero target status]]&lt;=1,"",IF(Table12[[#This Row],[NZ GHG year]]="","",(Table12[[#This Row],[residual LULUCF emissions in 2050]]-Table12[[#This Row],[Current Policies 2030 excl LULUCF]])/(Table12[[#This Row],[NZ GHG year]]-2030)/Table12[[#This Row],[Current Policies 2030 excl LULUCF]]))</f>
        <v/>
      </c>
      <c r="AN228" s="313" t="str">
        <f>IF(Table12[[#This Row],[Net-zero target status]]&lt;=1,"",IF(Table12[[#This Row],[NZ GHG year]]="","",(Table12[[#This Row],[residual LULUCF emissions in 2050]]-Table12[[#This Row],[GHG emissions excl LULUCF]])/(Table12[[#This Row],[NZ GHG year]]-2021)/Table12[[#This Row],[GHG emissions excl LULUCF]]))</f>
        <v/>
      </c>
      <c r="AO228" s="313" t="str">
        <f>IF(Table12[[#This Row],[Net-zero target status]]&lt;=1,"",IF(Table12[[#This Row],[NZ GHG year]]="","",(Table12[[#This Row],[residual LULUCF emissions in 2050]]-Table12[[#This Row],[2030 conditional NDCs]])/(Table12[[#This Row],[NZ GHG year]]-2030)/Table12[[#This Row],[2030 conditional NDCs]]))</f>
        <v/>
      </c>
      <c r="AP228" s="96">
        <f>MAX('input site'!AH228:AS228)</f>
        <v>286.78861999999998</v>
      </c>
      <c r="AQ228" s="95" t="str">
        <f>IF(Table12[[#This Row],[Current Policies 2030 incl LULUCF]]&gt;Table12[[#This Row],[Maximum inventory data]],"No","Yes")</f>
        <v>Yes</v>
      </c>
      <c r="AR228" s="34" t="str">
        <f>IF(Table12[[#This Row],[Net-zero target status]]&gt;=1.5,Table12[[#This Row],[residual LULUCF emissions in 2050]]/Table12[[#This Row],[GHG emissions excl LULUCF]],"")</f>
        <v/>
      </c>
      <c r="AS228" s="380" t="str">
        <f>'input site'!BE228</f>
        <v/>
      </c>
      <c r="AT228" s="380"/>
      <c r="AU228" s="380">
        <f>'input site'!BG228</f>
        <v>334.90536000000003</v>
      </c>
      <c r="AV228" s="380">
        <f>'input site'!BH228</f>
        <v>334.90536000000003</v>
      </c>
      <c r="AW228" s="74" t="str">
        <f>IF(Table12[[#This Row],[2030 unconditional NDCs]]="","",IF(F228="incl",Table12[[#This Row],[2030 unconditional NDCs]]-Table12[[#This Row],[LULUCF NDC uncond]],Table12[[#This Row],[2030 unconditional NDCs]]))</f>
        <v/>
      </c>
      <c r="AX228" s="74" t="str">
        <f>IF(Table12[[#This Row],[2030 unconditional NDCs2]]="","",IF(F228="incl",Table12[[#This Row],[2030 unconditional NDCs2]]-Table12[[#This Row],[LULUCF NDC uncond]],Table12[[#This Row],[2030 unconditional NDCs2]]))</f>
        <v/>
      </c>
      <c r="AY228" s="74">
        <f>IF(Table12[[#This Row],[2030 conditional NDCs]]="","",IF(F228="incl",Table12[[#This Row],[2030 conditional NDCs]]-Table12[[#This Row],[LULUCF NDC cond]],Table12[[#This Row],[2030 conditional NDCs]]))</f>
        <v>334.90536000000003</v>
      </c>
      <c r="AZ228" s="74">
        <f>IF(Table12[[#This Row],[2030 conditional NDCs2]]="","",IF(F228="incl",Table12[[#This Row],[2030 conditional NDCs2]]-Table12[[#This Row],[LULUCF NDC cond]],Table12[[#This Row],[2030 conditional NDCs2]]))</f>
        <v>334.90536000000003</v>
      </c>
      <c r="BA228" s="8">
        <f>VLOOKUP($G228,'Population90 20'!$C$6:$AU$231,37,FALSE)</f>
        <v>29266991</v>
      </c>
      <c r="BB228" s="8">
        <f>VLOOKUP($G228,'Overview GDP (PPP)'!$C$6:$AI$231,33,FALSE)</f>
        <v>276905646.93349606</v>
      </c>
      <c r="BC228" s="36">
        <f>Table12[[#This Row],[Income]]/Table12[[#This Row],[Population]]</f>
        <v>9.4613637231615666</v>
      </c>
      <c r="BD228" s="36">
        <f>Table12[[#This Row],[GHG emissions excl LULUCF]]*1000000/Table12[[#This Row],[Population]]</f>
        <v>5.5715081881837456</v>
      </c>
      <c r="BE228" s="23" t="e">
        <f>VLOOKUP($G228,EGR2023_MASTER!$B$4:$S$38,14,FALSE)</f>
        <v>#N/A</v>
      </c>
      <c r="BF228" s="23" t="e">
        <f>VLOOKUP($G228,EGR2023_MASTER!$B$4:$S$38,15,FALSE)</f>
        <v>#N/A</v>
      </c>
      <c r="BG228" s="23" t="e">
        <f>VLOOKUP($G228,EGR2023_MASTER!$B$4:$S$38,16,FALSE)</f>
        <v>#N/A</v>
      </c>
      <c r="BH228" s="23" t="e">
        <f t="shared" si="29"/>
        <v>#N/A</v>
      </c>
      <c r="BI228" s="23" t="e">
        <f t="shared" si="30"/>
        <v>#N/A</v>
      </c>
      <c r="BJ228" s="552">
        <f>(Table12[[#This Row],[Current Policies 2030 excl LULUCF]]/Table12[[#This Row],[GHG emissions excl LULUCF]])^(1/(2030-2021))-1</f>
        <v>1.1809492705935565E-2</v>
      </c>
      <c r="BK228" s="552" t="str">
        <f>IF(Table12[[#This Row],[Net-zero target status]]&lt;=1,"",IF(Table12[[#This Row],[NZ GHG year]]="","",((MAX(Table12[[#This Row],[residual LULUCF emissions in 2050]],0.1)/Table12[[#This Row],[Current Policies 2030 excl LULUCF]])^(1/(Table12[[#This Row],[NZ GHG year]]-2021))-1)))</f>
        <v/>
      </c>
      <c r="BL228" s="552" t="str">
        <f>IF(Table12[[#This Row],[Net-zero target status]]&lt;=1,"",IF(Table12[[#This Row],[NZ GHG year]]="","",((MAX(Table12[[#This Row],[residual LULUCF emissions in 2050]],0.1)/Table12[[#This Row],[GHG emissions excl LULUCF]])^(1/(Table12[[#This Row],[NZ GHG year]]-2021))-1)))</f>
        <v/>
      </c>
      <c r="BM228" s="552" t="str">
        <f>IF(Table12[[#This Row],[Net-zero target status]]&lt;=1,"",IF(Table12[[#This Row],[NZ GHG year]]="","",((MAX(Table12[[#This Row],[residual LULUCF emissions in 2050]],0.1)/AVERAGE(Table12[[#This Row],[2030 conditional NDCs]:[2030 conditional NDCs2]]))^(1/(Table12[[#This Row],[NZ GHG year]]-2021))-1)))</f>
        <v/>
      </c>
      <c r="BN228" s="23"/>
      <c r="BO228" s="23"/>
      <c r="BP228" s="23"/>
      <c r="BQ228" s="23"/>
      <c r="BR228" s="50" t="s">
        <v>485</v>
      </c>
      <c r="BT228" s="30" t="str">
        <f>IF(Table12[[#This Row],[Reduction rate 2021 to NZ target2]]="","",J228*(1+AN228)^(Table12[[#This Row],[NZ GHG year]]-2021))</f>
        <v/>
      </c>
    </row>
    <row r="229" spans="1:72" ht="15" x14ac:dyDescent="0.25">
      <c r="A229">
        <v>1</v>
      </c>
      <c r="B229">
        <v>0</v>
      </c>
      <c r="C229">
        <v>704</v>
      </c>
      <c r="D229">
        <v>183</v>
      </c>
      <c r="E229">
        <v>21</v>
      </c>
      <c r="F229" t="str">
        <f>'input site'!M229</f>
        <v>incl</v>
      </c>
      <c r="G229" s="31" t="s">
        <v>486</v>
      </c>
      <c r="H229" s="1" t="s">
        <v>487</v>
      </c>
      <c r="I229" s="8">
        <f>VLOOKUP($G229,'NZT data'!$B$3:$C$200,2,FALSE)</f>
        <v>3</v>
      </c>
      <c r="J229" s="32">
        <f>'input site'!AS229</f>
        <v>389.59613569999999</v>
      </c>
      <c r="K229" s="32">
        <f>'input site'!BS229</f>
        <v>596.58099029999994</v>
      </c>
      <c r="L229" s="32">
        <f t="shared" si="31"/>
        <v>0</v>
      </c>
      <c r="M229" s="32">
        <f t="shared" si="32"/>
        <v>0</v>
      </c>
      <c r="N229" s="32">
        <f>'input site'!EV229</f>
        <v>116.43669103183281</v>
      </c>
      <c r="O229" s="8"/>
      <c r="P229" s="8"/>
      <c r="Q229" s="32">
        <f t="shared" si="33"/>
        <v>0</v>
      </c>
      <c r="R229" s="32">
        <f>'[5]input site'!CN229</f>
        <v>7.421840719353149</v>
      </c>
      <c r="S229" s="37"/>
      <c r="T229" s="37" t="str">
        <f>Table12[[#This Row],[(Mt CO2 equivalent)]]</f>
        <v>Vietnam</v>
      </c>
      <c r="U229" s="8">
        <f>VLOOKUP($G229,'NZT data'!$B$3:$F$200,4,FALSE)</f>
        <v>2050</v>
      </c>
      <c r="V229" s="32">
        <f>VLOOKUP($G229,'NZT data'!$B$3:$F$200,5,FALSE)</f>
        <v>2050</v>
      </c>
      <c r="W229" s="32">
        <f>-IF('LUC NGHGI'!EC219="",MIN('LUC NGHGI'!DW219,0.1),MIN('LUC NGHGI'!EC219,0.1))</f>
        <v>38.758915643874388</v>
      </c>
      <c r="X229" s="32">
        <f>'LUC NGHGI'!EC219</f>
        <v>-38.758915643874388</v>
      </c>
      <c r="Y229" s="32">
        <f>'LUC NGHGI'!DY219</f>
        <v>-95.6</v>
      </c>
      <c r="Z229" s="32">
        <f>'LUC NGHGI'!DZ219</f>
        <v>-81.7</v>
      </c>
      <c r="AA229" s="32">
        <f>Table12[[#This Row],[2021 emissions]]</f>
        <v>389.59613569999999</v>
      </c>
      <c r="AB229" s="32">
        <f>'LUC NGHGI'!DW219</f>
        <v>-41.093770350997147</v>
      </c>
      <c r="AC229" s="32">
        <f>IF(F229="incl",Table12[[#This Row],[GHG emissions incl LULUCF]]-Table12[[#This Row],[LULUCF emis-sions in 20213]],Table12[[#This Row],[GHG emissions incl LULUCF]])</f>
        <v>430.68990605099714</v>
      </c>
      <c r="AD229" s="32">
        <f>'input site'!BS229</f>
        <v>596.58099029999994</v>
      </c>
      <c r="AE229" s="32">
        <f>'LUC NGHGI'!EH219</f>
        <v>-48.784640000000003</v>
      </c>
      <c r="AF229" s="32">
        <f>IF(F229="incl",Table12[[#This Row],[Current Policies 2030 incl LULUCF]]-Table12[[#This Row],[LULUCF CurPol 2030]],Table12[[#This Row],[Current Policies 2030 incl LULUCF]])</f>
        <v>645.36563029999991</v>
      </c>
      <c r="AG229" s="32">
        <f>IF(Table12[[#This Row],[Net-zero target status]]&lt;=1,"",IF(Table12[[#This Row],[NZ GHG year]]="","",1000000000*(Table12[[#This Row],[residual LULUCF emissions in 2050]]-Table12[[#This Row],[GHG emissions excl LULUCF]])/(Table12[[#This Row],[NZ GHG year]]-2021)/Table12[[#This Row],[Population]]))</f>
        <v>-136.57784857013502</v>
      </c>
      <c r="AH229" s="32" t="str">
        <f>IF(Table12[[#This Row],[Peak revised]]="Yes",IF(Table12[[#This Row],[Net-zero target status]]&lt;=1,"",IF(Table12[[#This Row],[NZ GHG year]]="","",1000000000*(Table12[[#This Row],[residual LULUCF emissions in 2050]]-Table12[[#This Row],[GHG emissions excl LULUCF]])/(Table12[[#This Row],[NZ GHG year]]-2021)/Table12[[#This Row],[Population]])),"")</f>
        <v/>
      </c>
      <c r="AI229" s="32">
        <f>MAX(0,(1000000*(Table12[[#This Row],[Current Policies 2030 excl LULUCF]]/2+Table12[[#This Row],[GHG emissions excl LULUCF]]/2)/Table12[[#This Row],[Population]]-$AI$8)*10)*$AI$10</f>
        <v>0</v>
      </c>
      <c r="AJ229" s="32">
        <f>IF(Table12[[#This Row],[Peak revised]]="No",IF(Table12[[#This Row],[Net-zero target status]]&lt;=1,"",IF(Table12[[#This Row],[NZ GHG year]]="","",1000000000*(Table12[[#This Row],[residual LULUCF emissions in 2050]]-Table12[[#This Row],[Current Policies 2030 excl LULUCF]])/(Table12[[#This Row],[NZ GHG year]]-2021)/Table12[[#This Row],[Population]])),"")</f>
        <v>-211.38680544212909</v>
      </c>
      <c r="AK229" s="32">
        <f>IF(Table12[[#This Row],[Formule no Peak (2)]]="","",Table12[[#This Row],[Penalty (1)]]+Table12[[#This Row],[Formule no Peak (2)]])</f>
        <v>-211.38680544212909</v>
      </c>
      <c r="AL229" s="313">
        <f>(Table12[[#This Row],[Current Policies 2030 excl LULUCF]]-Table12[[#This Row],[GHG emissions excl LULUCF]])/(2030-2021)/Table12[[#This Row],[GHG emissions excl LULUCF]]</f>
        <v>5.5382905228953346E-2</v>
      </c>
      <c r="AM229" s="313">
        <f>IF(Table12[[#This Row],[Net-zero target status]]&lt;=1,"",IF(Table12[[#This Row],[NZ GHG year]]="","",(Table12[[#This Row],[residual LULUCF emissions in 2050]]-Table12[[#This Row],[Current Policies 2030 excl LULUCF]])/(Table12[[#This Row],[NZ GHG year]]-2030)/Table12[[#This Row],[Current Policies 2030 excl LULUCF]]))</f>
        <v>-4.6997135125877623E-2</v>
      </c>
      <c r="AN229" s="313">
        <f>IF(Table12[[#This Row],[Net-zero target status]]&lt;=1,"",IF(Table12[[#This Row],[NZ GHG year]]="","",(Table12[[#This Row],[residual LULUCF emissions in 2050]]-Table12[[#This Row],[GHG emissions excl LULUCF]])/(Table12[[#This Row],[NZ GHG year]]-2021)/Table12[[#This Row],[GHG emissions excl LULUCF]]))</f>
        <v>-3.1379564620157077E-2</v>
      </c>
      <c r="AO229" s="313">
        <f>IF(Table12[[#This Row],[Net-zero target status]]&lt;=1,"",IF(Table12[[#This Row],[NZ GHG year]]="","",(Table12[[#This Row],[residual LULUCF emissions in 2050]]-Table12[[#This Row],[2030 conditional NDCs]])/(Table12[[#This Row],[NZ GHG year]]-2030)/Table12[[#This Row],[2030 conditional NDCs]]))</f>
        <v>-4.6303887354680884E-2</v>
      </c>
      <c r="AP229" s="96">
        <f>MAX('input site'!AH229:AS229)</f>
        <v>403.8156937</v>
      </c>
      <c r="AQ229" s="95" t="str">
        <f>IF(Table12[[#This Row],[Current Policies 2030 incl LULUCF]]&gt;Table12[[#This Row],[Maximum inventory data]],"No","Yes")</f>
        <v>No</v>
      </c>
      <c r="AR229" s="34">
        <f>IF(Table12[[#This Row],[Net-zero target status]]&gt;=1.5,Table12[[#This Row],[residual LULUCF emissions in 2050]]/Table12[[#This Row],[GHG emissions excl LULUCF]],"")</f>
        <v>8.9992626015444679E-2</v>
      </c>
      <c r="AS229" s="380">
        <f>'input site'!BE229</f>
        <v>781.37599999999998</v>
      </c>
      <c r="AT229" s="380">
        <f>'input site'!BF229</f>
        <v>781.37599999999998</v>
      </c>
      <c r="AU229" s="380">
        <f>'input site'!BG229</f>
        <v>524.31999999999994</v>
      </c>
      <c r="AV229" s="380">
        <f>'input site'!BH229</f>
        <v>524.31999999999994</v>
      </c>
      <c r="AW229" s="74">
        <f>IF(Table12[[#This Row],[2030 unconditional NDCs]]="","",IF(F229="incl",Table12[[#This Row],[2030 unconditional NDCs]]-Table12[[#This Row],[LULUCF NDC uncond]],Table12[[#This Row],[2030 unconditional NDCs]]))</f>
        <v>876.976</v>
      </c>
      <c r="AX229" s="74">
        <f>IF(Table12[[#This Row],[2030 unconditional NDCs2]]="","",IF(F229="incl",Table12[[#This Row],[2030 unconditional NDCs2]]-Table12[[#This Row],[LULUCF NDC uncond]],Table12[[#This Row],[2030 unconditional NDCs2]]))</f>
        <v>876.976</v>
      </c>
      <c r="AY229" s="74">
        <f>IF(Table12[[#This Row],[2030 conditional NDCs]]="","",IF(F229="incl",Table12[[#This Row],[2030 conditional NDCs]]-Table12[[#This Row],[LULUCF NDC cond]],Table12[[#This Row],[2030 conditional NDCs]]))</f>
        <v>606.02</v>
      </c>
      <c r="AZ229" s="74">
        <f>IF(Table12[[#This Row],[2030 conditional NDCs2]]="","",IF(F229="incl",Table12[[#This Row],[2030 conditional NDCs2]]-Table12[[#This Row],[LULUCF NDC cond]],Table12[[#This Row],[2030 conditional NDCs2]]))</f>
        <v>606.02</v>
      </c>
      <c r="BA229" s="8">
        <f>VLOOKUP($G229,'Population90 20'!$C$6:$AU$231,37,FALSE)</f>
        <v>98953541</v>
      </c>
      <c r="BB229" s="8">
        <f>VLOOKUP($G229,'Overview GDP (PPP)'!$C$6:$AI$231,33,FALSE)</f>
        <v>631390326.24589169</v>
      </c>
      <c r="BC229" s="36">
        <f>Table12[[#This Row],[Income]]/Table12[[#This Row],[Population]]</f>
        <v>6.3806744040204855</v>
      </c>
      <c r="BD229" s="36">
        <f>Table12[[#This Row],[GHG emissions excl LULUCF]]*1000000/Table12[[#This Row],[Population]]</f>
        <v>4.3524456194144392</v>
      </c>
      <c r="BE229" s="23" t="str">
        <f>VLOOKUP($G229,EGR2023_MASTER!$B$4:$S$38,14,FALSE)</f>
        <v>Y</v>
      </c>
      <c r="BF229" s="23" t="str">
        <f>VLOOKUP($G229,EGR2023_MASTER!$B$4:$S$38,15,FALSE)</f>
        <v>Credible</v>
      </c>
      <c r="BG229" s="23" t="str">
        <f>VLOOKUP($G229,EGR2023_MASTER!$B$4:$S$38,16,FALSE)</f>
        <v>n</v>
      </c>
      <c r="BH229" s="23" t="str">
        <f t="shared" si="29"/>
        <v>lower</v>
      </c>
      <c r="BI229" s="23" t="str">
        <f t="shared" si="30"/>
        <v>weak</v>
      </c>
      <c r="BJ229" s="552">
        <f>(Table12[[#This Row],[Current Policies 2030 excl LULUCF]]/Table12[[#This Row],[GHG emissions excl LULUCF]])^(1/(2030-2021))-1</f>
        <v>4.5961458916202513E-2</v>
      </c>
      <c r="BK229" s="552">
        <f>IF(Table12[[#This Row],[Net-zero target status]]&lt;=1,"",IF(Table12[[#This Row],[NZ GHG year]]="","",((MAX(Table12[[#This Row],[residual LULUCF emissions in 2050]],0.1)/Table12[[#This Row],[Current Policies 2030 excl LULUCF]])^(1/(Table12[[#This Row],[NZ GHG year]]-2021))-1)))</f>
        <v>-9.2426975918005749E-2</v>
      </c>
      <c r="BL229" s="552">
        <f>IF(Table12[[#This Row],[Net-zero target status]]&lt;=1,"",IF(Table12[[#This Row],[NZ GHG year]]="","",((MAX(Table12[[#This Row],[residual LULUCF emissions in 2050]],0.1)/Table12[[#This Row],[GHG emissions excl LULUCF]])^(1/(Table12[[#This Row],[NZ GHG year]]-2021))-1)))</f>
        <v>-7.96814626289154E-2</v>
      </c>
      <c r="BM229" s="552">
        <f>IF(Table12[[#This Row],[Net-zero target status]]&lt;=1,"",IF(Table12[[#This Row],[NZ GHG year]]="","",((MAX(Table12[[#This Row],[residual LULUCF emissions in 2050]],0.1)/AVERAGE(Table12[[#This Row],[2030 conditional NDCs]:[2030 conditional NDCs2]]))^(1/(Table12[[#This Row],[NZ GHG year]]-2021))-1)))</f>
        <v>-8.5903074810837587E-2</v>
      </c>
      <c r="BN229" s="23"/>
      <c r="BO229" s="23"/>
      <c r="BP229" s="23"/>
      <c r="BQ229" s="23"/>
      <c r="BR229" s="50" t="s">
        <v>487</v>
      </c>
      <c r="BT229" s="30">
        <f>IF(Table12[[#This Row],[Reduction rate 2021 to NZ target2]]="","",J229*(1+AN229)^(Table12[[#This Row],[NZ GHG year]]-2021))</f>
        <v>154.55029277902966</v>
      </c>
    </row>
    <row r="230" spans="1:72" ht="15" x14ac:dyDescent="0.25">
      <c r="A230">
        <v>0</v>
      </c>
      <c r="B230">
        <v>0</v>
      </c>
      <c r="C230">
        <v>92</v>
      </c>
      <c r="D230">
        <v>25</v>
      </c>
      <c r="E230">
        <v>4</v>
      </c>
      <c r="F230" t="str">
        <f>'input site'!M230</f>
        <v>excl</v>
      </c>
      <c r="G230" s="31" t="s">
        <v>488</v>
      </c>
      <c r="H230" s="1" t="s">
        <v>489</v>
      </c>
      <c r="I230" s="8">
        <v>0</v>
      </c>
      <c r="J230" s="32">
        <f>'input site'!AS230</f>
        <v>0.17485306</v>
      </c>
      <c r="K230" s="32">
        <f>'input site'!BS230</f>
        <v>0.2156059208651997</v>
      </c>
      <c r="L230" s="32">
        <f t="shared" si="31"/>
        <v>0.2156059208651997</v>
      </c>
      <c r="M230" s="32">
        <f t="shared" si="32"/>
        <v>9.8188588956784062E-2</v>
      </c>
      <c r="N230" s="32">
        <f>'input site'!EV230</f>
        <v>9.8188588956784062E-2</v>
      </c>
      <c r="O230" s="8"/>
      <c r="P230" s="8"/>
      <c r="Q230" s="32">
        <f t="shared" si="33"/>
        <v>1.8786919818967757E-2</v>
      </c>
      <c r="R230" s="32">
        <f>'[5]input site'!CN230</f>
        <v>1.8786919818967757E-2</v>
      </c>
      <c r="S230" s="37"/>
      <c r="T230" s="37" t="str">
        <f>Table12[[#This Row],[(Mt CO2 equivalent)]]</f>
        <v>Virgin Island (Br.)</v>
      </c>
      <c r="U230" s="35">
        <v>2100</v>
      </c>
      <c r="V230" s="35">
        <v>2100</v>
      </c>
      <c r="W230" s="32">
        <f>-IF('LUC NGHGI'!EC220="",MIN('LUC NGHGI'!DW220,0.1),MIN('LUC NGHGI'!EC220,0.1))</f>
        <v>0</v>
      </c>
      <c r="X230" s="32" t="str">
        <f>'LUC NGHGI'!EC220</f>
        <v/>
      </c>
      <c r="Y230" s="32" t="str">
        <f>'LUC NGHGI'!DY220</f>
        <v/>
      </c>
      <c r="Z230" s="32" t="str">
        <f>'LUC NGHGI'!DZ220</f>
        <v/>
      </c>
      <c r="AA230" s="32">
        <f>Table12[[#This Row],[2021 emissions]]</f>
        <v>0.17485306</v>
      </c>
      <c r="AB230" s="32">
        <f>'LUC NGHGI'!DW220</f>
        <v>0</v>
      </c>
      <c r="AC230" s="32">
        <f>IF(F230="incl",Table12[[#This Row],[GHG emissions incl LULUCF]]-Table12[[#This Row],[LULUCF emis-sions in 20213]],Table12[[#This Row],[GHG emissions incl LULUCF]])</f>
        <v>0.17485306</v>
      </c>
      <c r="AD230" s="32">
        <f>'input site'!BS230</f>
        <v>0.2156059208651997</v>
      </c>
      <c r="AE230" s="32">
        <f>'LUC NGHGI'!EH220</f>
        <v>0</v>
      </c>
      <c r="AF230" s="32">
        <f>IF(F230="incl",Table12[[#This Row],[Current Policies 2030 incl LULUCF]]-Table12[[#This Row],[LULUCF CurPol 2030]],Table12[[#This Row],[Current Policies 2030 incl LULUCF]])</f>
        <v>0.2156059208651997</v>
      </c>
      <c r="AG230" s="32" t="str">
        <f>IF(Table12[[#This Row],[Net-zero target status]]&lt;=1,"",IF(Table12[[#This Row],[NZ GHG year]]="","",1000000000*(Table12[[#This Row],[residual LULUCF emissions in 2050]]-Table12[[#This Row],[GHG emissions excl LULUCF]])/(Table12[[#This Row],[NZ GHG year]]-2021)/Table12[[#This Row],[Population]]))</f>
        <v/>
      </c>
      <c r="AH230" s="32" t="str">
        <f>IF(Table12[[#This Row],[Peak revised]]="Yes",IF(Table12[[#This Row],[Net-zero target status]]&lt;=1,"",IF(Table12[[#This Row],[NZ GHG year]]="","",1000000000*(Table12[[#This Row],[residual LULUCF emissions in 2050]]-Table12[[#This Row],[GHG emissions excl LULUCF]])/(Table12[[#This Row],[NZ GHG year]]-2021)/Table12[[#This Row],[Population]])),"")</f>
        <v/>
      </c>
      <c r="AI230" s="32">
        <f>MAX(0,(1000000*(Table12[[#This Row],[Current Policies 2030 excl LULUCF]]/2+Table12[[#This Row],[GHG emissions excl LULUCF]]/2)/Table12[[#This Row],[Population]]-$AI$8)*10)*$AI$10</f>
        <v>0</v>
      </c>
      <c r="AJ230"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0" s="32" t="str">
        <f>IF(Table12[[#This Row],[Formule no Peak (2)]]="","",Table12[[#This Row],[Penalty (1)]]+Table12[[#This Row],[Formule no Peak (2)]])</f>
        <v/>
      </c>
      <c r="AL230" s="313">
        <f>(Table12[[#This Row],[Current Policies 2030 excl LULUCF]]-Table12[[#This Row],[GHG emissions excl LULUCF]])/(2030-2021)/Table12[[#This Row],[GHG emissions excl LULUCF]]</f>
        <v>2.5896576540832942E-2</v>
      </c>
      <c r="AM230" s="313" t="str">
        <f>IF(Table12[[#This Row],[Net-zero target status]]&lt;=1,"",IF(Table12[[#This Row],[NZ GHG year]]="","",(Table12[[#This Row],[residual LULUCF emissions in 2050]]-Table12[[#This Row],[Current Policies 2030 excl LULUCF]])/(Table12[[#This Row],[NZ GHG year]]-2030)/Table12[[#This Row],[Current Policies 2030 excl LULUCF]]))</f>
        <v/>
      </c>
      <c r="AN230" s="313" t="str">
        <f>IF(Table12[[#This Row],[Net-zero target status]]&lt;=1,"",IF(Table12[[#This Row],[NZ GHG year]]="","",(Table12[[#This Row],[residual LULUCF emissions in 2050]]-Table12[[#This Row],[GHG emissions excl LULUCF]])/(Table12[[#This Row],[NZ GHG year]]-2021)/Table12[[#This Row],[GHG emissions excl LULUCF]]))</f>
        <v/>
      </c>
      <c r="AO230" s="313" t="str">
        <f>IF(Table12[[#This Row],[Net-zero target status]]&lt;=1,"",IF(Table12[[#This Row],[NZ GHG year]]="","",(Table12[[#This Row],[residual LULUCF emissions in 2050]]-Table12[[#This Row],[2030 conditional NDCs]])/(Table12[[#This Row],[NZ GHG year]]-2030)/Table12[[#This Row],[2030 conditional NDCs]]))</f>
        <v/>
      </c>
      <c r="AP230" s="96">
        <f>MAX('input site'!AH230:AS230)</f>
        <v>0.22779476000000001</v>
      </c>
      <c r="AQ230" s="95" t="str">
        <f>IF(Table12[[#This Row],[Current Policies 2030 incl LULUCF]]&gt;Table12[[#This Row],[Maximum inventory data]],"No","Yes")</f>
        <v>Yes</v>
      </c>
      <c r="AR230" s="34" t="str">
        <f>IF(Table12[[#This Row],[Net-zero target status]]&gt;=1.5,Table12[[#This Row],[residual LULUCF emissions in 2050]]/Table12[[#This Row],[GHG emissions excl LULUCF]],"")</f>
        <v/>
      </c>
      <c r="AS230" s="380" t="str">
        <f>'input site'!BE230</f>
        <v/>
      </c>
      <c r="AT230" s="380"/>
      <c r="AU230" s="380"/>
      <c r="AV230" s="380"/>
      <c r="AW230" s="74" t="str">
        <f>IF(Table12[[#This Row],[2030 unconditional NDCs]]="","",IF(F230="incl",Table12[[#This Row],[2030 unconditional NDCs]]-Table12[[#This Row],[LULUCF NDC uncond]],Table12[[#This Row],[2030 unconditional NDCs]]))</f>
        <v/>
      </c>
      <c r="AX230" s="74" t="str">
        <f>IF(Table12[[#This Row],[2030 unconditional NDCs2]]="","",IF(F230="incl",Table12[[#This Row],[2030 unconditional NDCs2]]-Table12[[#This Row],[LULUCF NDC uncond]],Table12[[#This Row],[2030 unconditional NDCs2]]))</f>
        <v/>
      </c>
      <c r="AY230" s="74" t="str">
        <f>IF(Table12[[#This Row],[2030 conditional NDCs]]="","",IF(F230="incl",Table12[[#This Row],[2030 conditional NDCs]]-Table12[[#This Row],[LULUCF NDC cond]],Table12[[#This Row],[2030 conditional NDCs]]))</f>
        <v/>
      </c>
      <c r="AZ230" s="74" t="str">
        <f>IF(Table12[[#This Row],[2030 conditional NDCs2]]="","",IF(F230="incl",Table12[[#This Row],[2030 conditional NDCs2]]-Table12[[#This Row],[LULUCF NDC cond]],Table12[[#This Row],[2030 conditional NDCs2]]))</f>
        <v/>
      </c>
      <c r="BA230" s="8">
        <f>VLOOKUP($G230,'Population90 20'!$C$6:$AU$231,37,FALSE)</f>
        <v>30596</v>
      </c>
      <c r="BB230" s="8">
        <f>VLOOKUP($G230,'Overview GDP (PPP)'!$C$6:$AI$231,33,FALSE)</f>
        <v>540518.4326171875</v>
      </c>
      <c r="BC230" s="36">
        <f>Table12[[#This Row],[Income]]/Table12[[#This Row],[Population]]</f>
        <v>17.666310387540445</v>
      </c>
      <c r="BD230" s="36">
        <f>Table12[[#This Row],[GHG emissions excl LULUCF]]*1000000/Table12[[#This Row],[Population]]</f>
        <v>5.7148993332461755</v>
      </c>
      <c r="BE230" s="23" t="e">
        <f>VLOOKUP($G230,EGR2023_MASTER!$B$4:$S$38,14,FALSE)</f>
        <v>#N/A</v>
      </c>
      <c r="BF230" s="23" t="e">
        <f>VLOOKUP($G230,EGR2023_MASTER!$B$4:$S$38,15,FALSE)</f>
        <v>#N/A</v>
      </c>
      <c r="BG230" s="23" t="e">
        <f>VLOOKUP($G230,EGR2023_MASTER!$B$4:$S$38,16,FALSE)</f>
        <v>#N/A</v>
      </c>
      <c r="BH230" s="23" t="e">
        <f t="shared" si="29"/>
        <v>#N/A</v>
      </c>
      <c r="BI230" s="23" t="e">
        <f t="shared" si="30"/>
        <v>#N/A</v>
      </c>
      <c r="BJ230" s="552">
        <f>(Table12[[#This Row],[Current Policies 2030 excl LULUCF]]/Table12[[#This Row],[GHG emissions excl LULUCF]])^(1/(2030-2021))-1</f>
        <v>2.3551540411518301E-2</v>
      </c>
      <c r="BK230" s="552" t="str">
        <f>IF(Table12[[#This Row],[Net-zero target status]]&lt;=1,"",IF(Table12[[#This Row],[NZ GHG year]]="","",((MAX(Table12[[#This Row],[residual LULUCF emissions in 2050]],0.1)/Table12[[#This Row],[Current Policies 2030 excl LULUCF]])^(1/(Table12[[#This Row],[NZ GHG year]]-2021))-1)))</f>
        <v/>
      </c>
      <c r="BL230" s="552" t="str">
        <f>IF(Table12[[#This Row],[Net-zero target status]]&lt;=1,"",IF(Table12[[#This Row],[NZ GHG year]]="","",((MAX(Table12[[#This Row],[residual LULUCF emissions in 2050]],0.1)/Table12[[#This Row],[GHG emissions excl LULUCF]])^(1/(Table12[[#This Row],[NZ GHG year]]-2021))-1)))</f>
        <v/>
      </c>
      <c r="BM230" s="552" t="str">
        <f>IF(Table12[[#This Row],[Net-zero target status]]&lt;=1,"",IF(Table12[[#This Row],[NZ GHG year]]="","",((MAX(Table12[[#This Row],[residual LULUCF emissions in 2050]],0.1)/AVERAGE(Table12[[#This Row],[2030 conditional NDCs]:[2030 conditional NDCs2]]))^(1/(Table12[[#This Row],[NZ GHG year]]-2021))-1)))</f>
        <v/>
      </c>
      <c r="BN230" s="23"/>
      <c r="BO230" s="23"/>
      <c r="BP230" s="23"/>
      <c r="BQ230" s="23"/>
      <c r="BR230" s="50" t="s">
        <v>489</v>
      </c>
      <c r="BT230" s="30" t="str">
        <f>IF(Table12[[#This Row],[Reduction rate 2021 to NZ target2]]="","",J230*(1+AN230)^(Table12[[#This Row],[NZ GHG year]]-2021))</f>
        <v/>
      </c>
    </row>
    <row r="231" spans="1:72" ht="15" x14ac:dyDescent="0.25">
      <c r="A231">
        <v>0</v>
      </c>
      <c r="B231">
        <v>0</v>
      </c>
      <c r="C231">
        <v>850</v>
      </c>
      <c r="D231">
        <v>215</v>
      </c>
      <c r="E231">
        <v>4</v>
      </c>
      <c r="F231" t="str">
        <f>'input site'!M231</f>
        <v>excl</v>
      </c>
      <c r="G231" s="31" t="s">
        <v>490</v>
      </c>
      <c r="H231" s="1" t="s">
        <v>491</v>
      </c>
      <c r="I231" s="8">
        <v>0</v>
      </c>
      <c r="J231" s="32">
        <f>'input site'!AS231</f>
        <v>0</v>
      </c>
      <c r="K231" s="32">
        <f>'input site'!BS231</f>
        <v>0</v>
      </c>
      <c r="L231" s="32">
        <f t="shared" si="31"/>
        <v>0</v>
      </c>
      <c r="M231" s="32">
        <f t="shared" si="32"/>
        <v>0</v>
      </c>
      <c r="N231" s="32">
        <f>'input site'!EV231</f>
        <v>0</v>
      </c>
      <c r="O231" s="8"/>
      <c r="P231" s="8"/>
      <c r="Q231" s="32">
        <f t="shared" si="33"/>
        <v>5.8653120673121334E-3</v>
      </c>
      <c r="R231" s="32">
        <f>'[5]input site'!CN231</f>
        <v>5.8653120673121334E-3</v>
      </c>
      <c r="S231" s="37"/>
      <c r="T231" s="37" t="str">
        <f>Table12[[#This Row],[(Mt CO2 equivalent)]]</f>
        <v>Virgin Islands (U.S.)</v>
      </c>
      <c r="U231" s="35">
        <v>2100</v>
      </c>
      <c r="V231" s="35">
        <v>2100</v>
      </c>
      <c r="W231" s="32">
        <f>-IF('LUC NGHGI'!EC221="",MIN('LUC NGHGI'!DW221,0.1),MIN('LUC NGHGI'!EC221,0.1))</f>
        <v>0</v>
      </c>
      <c r="X231" s="32" t="str">
        <f>'LUC NGHGI'!EC221</f>
        <v/>
      </c>
      <c r="Y231" s="32" t="str">
        <f>'LUC NGHGI'!DY221</f>
        <v/>
      </c>
      <c r="Z231" s="32" t="str">
        <f>'LUC NGHGI'!DZ221</f>
        <v/>
      </c>
      <c r="AA231" s="32">
        <f>Table12[[#This Row],[2021 emissions]]</f>
        <v>0</v>
      </c>
      <c r="AB231" s="32">
        <f>'LUC NGHGI'!DW221</f>
        <v>0</v>
      </c>
      <c r="AC231" s="32">
        <f>IF(F231="incl",Table12[[#This Row],[GHG emissions incl LULUCF]]-Table12[[#This Row],[LULUCF emis-sions in 20213]],Table12[[#This Row],[GHG emissions incl LULUCF]])</f>
        <v>0</v>
      </c>
      <c r="AD231" s="32">
        <f>'input site'!BS231</f>
        <v>0</v>
      </c>
      <c r="AE231" s="32">
        <f>'LUC NGHGI'!EH221</f>
        <v>0</v>
      </c>
      <c r="AF231" s="32">
        <f>IF(F231="incl",Table12[[#This Row],[Current Policies 2030 incl LULUCF]]-Table12[[#This Row],[LULUCF CurPol 2030]],Table12[[#This Row],[Current Policies 2030 incl LULUCF]])</f>
        <v>0</v>
      </c>
      <c r="AG231" s="32" t="str">
        <f>IF(Table12[[#This Row],[Net-zero target status]]&lt;=1,"",IF(Table12[[#This Row],[NZ GHG year]]="","",1000000000*(Table12[[#This Row],[residual LULUCF emissions in 2050]]-Table12[[#This Row],[GHG emissions excl LULUCF]])/(Table12[[#This Row],[NZ GHG year]]-2021)/Table12[[#This Row],[Population]]))</f>
        <v/>
      </c>
      <c r="AH231" s="32" t="str">
        <f>IF(Table12[[#This Row],[Peak revised]]="Yes",IF(Table12[[#This Row],[Net-zero target status]]&lt;=1,"",IF(Table12[[#This Row],[NZ GHG year]]="","",1000000000*(Table12[[#This Row],[residual LULUCF emissions in 2050]]-Table12[[#This Row],[GHG emissions excl LULUCF]])/(Table12[[#This Row],[NZ GHG year]]-2021)/Table12[[#This Row],[Population]])),"")</f>
        <v/>
      </c>
      <c r="AI231" s="32">
        <f>MAX(0,(1000000*(Table12[[#This Row],[Current Policies 2030 excl LULUCF]]/2+Table12[[#This Row],[GHG emissions excl LULUCF]]/2)/Table12[[#This Row],[Population]]-$AI$8)*10)*$AI$10</f>
        <v>0</v>
      </c>
      <c r="AJ231"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1" s="32" t="str">
        <f>IF(Table12[[#This Row],[Formule no Peak (2)]]="","",Table12[[#This Row],[Penalty (1)]]+Table12[[#This Row],[Formule no Peak (2)]])</f>
        <v/>
      </c>
      <c r="AL231" s="313" t="e">
        <f>(Table12[[#This Row],[Current Policies 2030 excl LULUCF]]-Table12[[#This Row],[GHG emissions excl LULUCF]])/(2030-2021)/Table12[[#This Row],[GHG emissions excl LULUCF]]</f>
        <v>#DIV/0!</v>
      </c>
      <c r="AM231" s="313" t="str">
        <f>IF(Table12[[#This Row],[Net-zero target status]]&lt;=1,"",IF(Table12[[#This Row],[NZ GHG year]]="","",(Table12[[#This Row],[residual LULUCF emissions in 2050]]-Table12[[#This Row],[Current Policies 2030 excl LULUCF]])/(Table12[[#This Row],[NZ GHG year]]-2030)/Table12[[#This Row],[Current Policies 2030 excl LULUCF]]))</f>
        <v/>
      </c>
      <c r="AN231" s="313" t="str">
        <f>IF(Table12[[#This Row],[Net-zero target status]]&lt;=1,"",IF(Table12[[#This Row],[NZ GHG year]]="","",(Table12[[#This Row],[residual LULUCF emissions in 2050]]-Table12[[#This Row],[GHG emissions excl LULUCF]])/(Table12[[#This Row],[NZ GHG year]]-2021)/Table12[[#This Row],[GHG emissions excl LULUCF]]))</f>
        <v/>
      </c>
      <c r="AO231" s="313" t="str">
        <f>IF(Table12[[#This Row],[Net-zero target status]]&lt;=1,"",IF(Table12[[#This Row],[NZ GHG year]]="","",(Table12[[#This Row],[residual LULUCF emissions in 2050]]-Table12[[#This Row],[2030 conditional NDCs]])/(Table12[[#This Row],[NZ GHG year]]-2030)/Table12[[#This Row],[2030 conditional NDCs]]))</f>
        <v/>
      </c>
      <c r="AP231" s="96">
        <f>MAX('input site'!AH231:AS231)</f>
        <v>0</v>
      </c>
      <c r="AQ231" s="95" t="str">
        <f>IF(Table12[[#This Row],[Current Policies 2030 incl LULUCF]]&gt;Table12[[#This Row],[Maximum inventory data]],"No","Yes")</f>
        <v>Yes</v>
      </c>
      <c r="AR231" s="34" t="str">
        <f>IF(Table12[[#This Row],[Net-zero target status]]&gt;=1.5,Table12[[#This Row],[residual LULUCF emissions in 2050]]/Table12[[#This Row],[GHG emissions excl LULUCF]],"")</f>
        <v/>
      </c>
      <c r="AS231" s="380" t="str">
        <f>'input site'!BE231</f>
        <v/>
      </c>
      <c r="AT231" s="380"/>
      <c r="AU231" s="380"/>
      <c r="AV231" s="380"/>
      <c r="AW231" s="74" t="str">
        <f>IF(Table12[[#This Row],[2030 unconditional NDCs]]="","",IF(F231="incl",Table12[[#This Row],[2030 unconditional NDCs]]-Table12[[#This Row],[LULUCF NDC uncond]],Table12[[#This Row],[2030 unconditional NDCs]]))</f>
        <v/>
      </c>
      <c r="AX231" s="74" t="str">
        <f>IF(Table12[[#This Row],[2030 unconditional NDCs2]]="","",IF(F231="incl",Table12[[#This Row],[2030 unconditional NDCs2]]-Table12[[#This Row],[LULUCF NDC uncond]],Table12[[#This Row],[2030 unconditional NDCs2]]))</f>
        <v/>
      </c>
      <c r="AY231" s="74" t="str">
        <f>IF(Table12[[#This Row],[2030 conditional NDCs]]="","",IF(F231="incl",Table12[[#This Row],[2030 conditional NDCs]]-Table12[[#This Row],[LULUCF NDC cond]],Table12[[#This Row],[2030 conditional NDCs]]))</f>
        <v/>
      </c>
      <c r="AZ231" s="74" t="str">
        <f>IF(Table12[[#This Row],[2030 conditional NDCs2]]="","",IF(F231="incl",Table12[[#This Row],[2030 conditional NDCs2]]-Table12[[#This Row],[LULUCF NDC cond]],Table12[[#This Row],[2030 conditional NDCs2]]))</f>
        <v/>
      </c>
      <c r="BA231" s="8">
        <f>VLOOKUP($G231,'Population90 20'!$C$6:$AU$231,37,FALSE)</f>
        <v>103971</v>
      </c>
      <c r="BB231" s="8">
        <f>VLOOKUP($G231,'Overview GDP (PPP)'!$C$6:$AI$231,33,FALSE)</f>
        <v>3146155.8817584841</v>
      </c>
      <c r="BC231" s="36">
        <f>Table12[[#This Row],[Income]]/Table12[[#This Row],[Population]]</f>
        <v>30.259936730035147</v>
      </c>
      <c r="BD231" s="36">
        <f>Table12[[#This Row],[GHG emissions excl LULUCF]]*1000000/Table12[[#This Row],[Population]]</f>
        <v>0</v>
      </c>
      <c r="BE231" s="23" t="e">
        <f>VLOOKUP($G231,EGR2023_MASTER!$B$4:$S$38,14,FALSE)</f>
        <v>#N/A</v>
      </c>
      <c r="BF231" s="23" t="e">
        <f>VLOOKUP($G231,EGR2023_MASTER!$B$4:$S$38,15,FALSE)</f>
        <v>#N/A</v>
      </c>
      <c r="BG231" s="23" t="e">
        <f>VLOOKUP($G231,EGR2023_MASTER!$B$4:$S$38,16,FALSE)</f>
        <v>#N/A</v>
      </c>
      <c r="BH231" s="23" t="e">
        <f t="shared" si="29"/>
        <v>#N/A</v>
      </c>
      <c r="BI231" s="23" t="e">
        <f t="shared" si="30"/>
        <v>#N/A</v>
      </c>
      <c r="BJ231" s="552" t="e">
        <f>(Table12[[#This Row],[Current Policies 2030 excl LULUCF]]/Table12[[#This Row],[GHG emissions excl LULUCF]])^(1/(2030-2021))-1</f>
        <v>#DIV/0!</v>
      </c>
      <c r="BK231" s="552" t="str">
        <f>IF(Table12[[#This Row],[Net-zero target status]]&lt;=1,"",IF(Table12[[#This Row],[NZ GHG year]]="","",((MAX(Table12[[#This Row],[residual LULUCF emissions in 2050]],0.1)/Table12[[#This Row],[Current Policies 2030 excl LULUCF]])^(1/(Table12[[#This Row],[NZ GHG year]]-2021))-1)))</f>
        <v/>
      </c>
      <c r="BL231" s="552" t="str">
        <f>IF(Table12[[#This Row],[Net-zero target status]]&lt;=1,"",IF(Table12[[#This Row],[NZ GHG year]]="","",((MAX(Table12[[#This Row],[residual LULUCF emissions in 2050]],0.1)/Table12[[#This Row],[GHG emissions excl LULUCF]])^(1/(Table12[[#This Row],[NZ GHG year]]-2021))-1)))</f>
        <v/>
      </c>
      <c r="BM231" s="552" t="str">
        <f>IF(Table12[[#This Row],[Net-zero target status]]&lt;=1,"",IF(Table12[[#This Row],[NZ GHG year]]="","",((MAX(Table12[[#This Row],[residual LULUCF emissions in 2050]],0.1)/AVERAGE(Table12[[#This Row],[2030 conditional NDCs]:[2030 conditional NDCs2]]))^(1/(Table12[[#This Row],[NZ GHG year]]-2021))-1)))</f>
        <v/>
      </c>
      <c r="BN231" s="23"/>
      <c r="BO231" s="23"/>
      <c r="BP231" s="23"/>
      <c r="BQ231" s="23"/>
      <c r="BR231" s="50" t="s">
        <v>491</v>
      </c>
      <c r="BT231" s="30" t="str">
        <f>IF(Table12[[#This Row],[Reduction rate 2021 to NZ target2]]="","",J231*(1+AN231)^(Table12[[#This Row],[NZ GHG year]]-2021))</f>
        <v/>
      </c>
    </row>
    <row r="232" spans="1:72" ht="15" x14ac:dyDescent="0.25">
      <c r="A232">
        <v>0</v>
      </c>
      <c r="B232">
        <v>0</v>
      </c>
      <c r="C232">
        <v>876</v>
      </c>
      <c r="D232">
        <v>220</v>
      </c>
      <c r="E232">
        <v>24</v>
      </c>
      <c r="F232" t="str">
        <f>'input site'!M232</f>
        <v>excl</v>
      </c>
      <c r="G232" s="31" t="s">
        <v>492</v>
      </c>
      <c r="H232" s="1" t="s">
        <v>493</v>
      </c>
      <c r="I232" s="8">
        <v>0</v>
      </c>
      <c r="J232" s="32">
        <f>'input site'!AS232</f>
        <v>0</v>
      </c>
      <c r="K232" s="32">
        <f>'input site'!BS232</f>
        <v>0</v>
      </c>
      <c r="L232" s="32">
        <f t="shared" si="31"/>
        <v>0</v>
      </c>
      <c r="M232" s="32">
        <f t="shared" si="32"/>
        <v>0</v>
      </c>
      <c r="N232" s="32">
        <f>'input site'!EV232</f>
        <v>0</v>
      </c>
      <c r="O232" s="8"/>
      <c r="P232" s="8"/>
      <c r="Q232" s="32">
        <f t="shared" si="33"/>
        <v>1.6298368520077076E-3</v>
      </c>
      <c r="R232" s="32">
        <f>'[5]input site'!CN232</f>
        <v>1.6298368520077076E-3</v>
      </c>
      <c r="S232" s="37"/>
      <c r="T232" s="37" t="str">
        <f>Table12[[#This Row],[(Mt CO2 equivalent)]]</f>
        <v>Wallisans Futuna Island</v>
      </c>
      <c r="U232" s="35">
        <v>2100</v>
      </c>
      <c r="V232" s="35">
        <v>2100</v>
      </c>
      <c r="W232" s="32">
        <f>-IF('LUC NGHGI'!EC222="",MIN('LUC NGHGI'!DW222,0.1),MIN('LUC NGHGI'!EC222,0.1))</f>
        <v>0</v>
      </c>
      <c r="X232" s="32" t="str">
        <f>'LUC NGHGI'!EC222</f>
        <v/>
      </c>
      <c r="Y232" s="32" t="str">
        <f>'LUC NGHGI'!DY222</f>
        <v/>
      </c>
      <c r="Z232" s="32" t="str">
        <f>'LUC NGHGI'!DZ222</f>
        <v/>
      </c>
      <c r="AA232" s="32">
        <f>Table12[[#This Row],[2021 emissions]]</f>
        <v>0</v>
      </c>
      <c r="AB232" s="32">
        <f>'LUC NGHGI'!DW222</f>
        <v>0</v>
      </c>
      <c r="AC232" s="32">
        <f>IF(F232="incl",Table12[[#This Row],[GHG emissions incl LULUCF]]-Table12[[#This Row],[LULUCF emis-sions in 20213]],Table12[[#This Row],[GHG emissions incl LULUCF]])</f>
        <v>0</v>
      </c>
      <c r="AD232" s="32">
        <f>'input site'!BS232</f>
        <v>0</v>
      </c>
      <c r="AE232" s="32">
        <f>'LUC NGHGI'!EH222</f>
        <v>0</v>
      </c>
      <c r="AF232" s="32">
        <f>IF(F232="incl",Table12[[#This Row],[Current Policies 2030 incl LULUCF]]-Table12[[#This Row],[LULUCF CurPol 2030]],Table12[[#This Row],[Current Policies 2030 incl LULUCF]])</f>
        <v>0</v>
      </c>
      <c r="AG232" s="32" t="str">
        <f>IF(Table12[[#This Row],[Net-zero target status]]&lt;=1,"",IF(Table12[[#This Row],[NZ GHG year]]="","",1000000000*(Table12[[#This Row],[residual LULUCF emissions in 2050]]-Table12[[#This Row],[GHG emissions excl LULUCF]])/(Table12[[#This Row],[NZ GHG year]]-2021)/Table12[[#This Row],[Population]]))</f>
        <v/>
      </c>
      <c r="AH232" s="32" t="str">
        <f>IF(Table12[[#This Row],[Peak revised]]="Yes",IF(Table12[[#This Row],[Net-zero target status]]&lt;=1,"",IF(Table12[[#This Row],[NZ GHG year]]="","",1000000000*(Table12[[#This Row],[residual LULUCF emissions in 2050]]-Table12[[#This Row],[GHG emissions excl LULUCF]])/(Table12[[#This Row],[NZ GHG year]]-2021)/Table12[[#This Row],[Population]])),"")</f>
        <v/>
      </c>
      <c r="AI232" s="32" t="e">
        <f>MAX(0,(1000000*(Table12[[#This Row],[Current Policies 2030 excl LULUCF]]/2+Table12[[#This Row],[GHG emissions excl LULUCF]]/2)/Table12[[#This Row],[Population]]-$AI$8)*10)*$AI$10</f>
        <v>#DIV/0!</v>
      </c>
      <c r="AJ232"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2" s="32" t="str">
        <f>IF(Table12[[#This Row],[Formule no Peak (2)]]="","",Table12[[#This Row],[Penalty (1)]]+Table12[[#This Row],[Formule no Peak (2)]])</f>
        <v/>
      </c>
      <c r="AL232" s="313" t="e">
        <f>(Table12[[#This Row],[Current Policies 2030 excl LULUCF]]-Table12[[#This Row],[GHG emissions excl LULUCF]])/(2030-2021)/Table12[[#This Row],[GHG emissions excl LULUCF]]</f>
        <v>#DIV/0!</v>
      </c>
      <c r="AM232" s="313" t="str">
        <f>IF(Table12[[#This Row],[Net-zero target status]]&lt;=1,"",IF(Table12[[#This Row],[NZ GHG year]]="","",(Table12[[#This Row],[residual LULUCF emissions in 2050]]-Table12[[#This Row],[Current Policies 2030 excl LULUCF]])/(Table12[[#This Row],[NZ GHG year]]-2030)/Table12[[#This Row],[Current Policies 2030 excl LULUCF]]))</f>
        <v/>
      </c>
      <c r="AN232" s="313" t="str">
        <f>IF(Table12[[#This Row],[Net-zero target status]]&lt;=1,"",IF(Table12[[#This Row],[NZ GHG year]]="","",(Table12[[#This Row],[residual LULUCF emissions in 2050]]-Table12[[#This Row],[GHG emissions excl LULUCF]])/(Table12[[#This Row],[NZ GHG year]]-2021)/Table12[[#This Row],[GHG emissions excl LULUCF]]))</f>
        <v/>
      </c>
      <c r="AO232" s="313" t="str">
        <f>IF(Table12[[#This Row],[Net-zero target status]]&lt;=1,"",IF(Table12[[#This Row],[NZ GHG year]]="","",(Table12[[#This Row],[residual LULUCF emissions in 2050]]-Table12[[#This Row],[2030 conditional NDCs]])/(Table12[[#This Row],[NZ GHG year]]-2030)/Table12[[#This Row],[2030 conditional NDCs]]))</f>
        <v/>
      </c>
      <c r="AP232" s="96">
        <f>MAX('input site'!AH232:AS232)</f>
        <v>0</v>
      </c>
      <c r="AQ232" s="95" t="str">
        <f>IF(Table12[[#This Row],[Current Policies 2030 incl LULUCF]]&gt;Table12[[#This Row],[Maximum inventory data]],"No","Yes")</f>
        <v>Yes</v>
      </c>
      <c r="AR232" s="34" t="str">
        <f>IF(Table12[[#This Row],[Net-zero target status]]&gt;=1.5,Table12[[#This Row],[residual LULUCF emissions in 2050]]/Table12[[#This Row],[GHG emissions excl LULUCF]],"")</f>
        <v/>
      </c>
      <c r="AS232" s="380" t="str">
        <f>'input site'!BE232</f>
        <v/>
      </c>
      <c r="AT232" s="380"/>
      <c r="AU232" s="380"/>
      <c r="AV232" s="380"/>
      <c r="AW232" s="74" t="str">
        <f>IF(Table12[[#This Row],[2030 unconditional NDCs]]="","",IF(F232="incl",Table12[[#This Row],[2030 unconditional NDCs]]-Table12[[#This Row],[LULUCF NDC uncond]],Table12[[#This Row],[2030 unconditional NDCs]]))</f>
        <v/>
      </c>
      <c r="AX232" s="74" t="str">
        <f>IF(Table12[[#This Row],[2030 unconditional NDCs2]]="","",IF(F232="incl",Table12[[#This Row],[2030 unconditional NDCs2]]-Table12[[#This Row],[LULUCF NDC uncond]],Table12[[#This Row],[2030 unconditional NDCs2]]))</f>
        <v/>
      </c>
      <c r="AY232" s="74" t="str">
        <f>IF(Table12[[#This Row],[2030 conditional NDCs]]="","",IF(F232="incl",Table12[[#This Row],[2030 conditional NDCs]]-Table12[[#This Row],[LULUCF NDC cond]],Table12[[#This Row],[2030 conditional NDCs]]))</f>
        <v/>
      </c>
      <c r="AZ232" s="74" t="str">
        <f>IF(Table12[[#This Row],[2030 conditional NDCs2]]="","",IF(F232="incl",Table12[[#This Row],[2030 conditional NDCs2]]-Table12[[#This Row],[LULUCF NDC cond]],Table12[[#This Row],[2030 conditional NDCs2]]))</f>
        <v/>
      </c>
      <c r="BA232" s="8"/>
      <c r="BB232" s="8"/>
      <c r="BC232" s="36"/>
      <c r="BD232" s="36" t="e">
        <f>Table12[[#This Row],[GHG emissions excl LULUCF]]*1000000/Table12[[#This Row],[Population]]</f>
        <v>#DIV/0!</v>
      </c>
      <c r="BE232" s="23" t="e">
        <f>VLOOKUP($G232,EGR2023_MASTER!$B$4:$S$38,14,FALSE)</f>
        <v>#N/A</v>
      </c>
      <c r="BF232" s="23" t="e">
        <f>VLOOKUP($G232,EGR2023_MASTER!$B$4:$S$38,15,FALSE)</f>
        <v>#N/A</v>
      </c>
      <c r="BG232" s="23" t="e">
        <f>VLOOKUP($G232,EGR2023_MASTER!$B$4:$S$38,16,FALSE)</f>
        <v>#N/A</v>
      </c>
      <c r="BH232" s="23" t="e">
        <f t="shared" si="29"/>
        <v>#N/A</v>
      </c>
      <c r="BI232" s="23" t="e">
        <f t="shared" si="30"/>
        <v>#N/A</v>
      </c>
      <c r="BJ232" s="552" t="e">
        <f>(Table12[[#This Row],[Current Policies 2030 excl LULUCF]]/Table12[[#This Row],[GHG emissions excl LULUCF]])^(1/(2030-2021))-1</f>
        <v>#DIV/0!</v>
      </c>
      <c r="BK232" s="552" t="str">
        <f>IF(Table12[[#This Row],[Net-zero target status]]&lt;=1,"",IF(Table12[[#This Row],[NZ GHG year]]="","",((MAX(Table12[[#This Row],[residual LULUCF emissions in 2050]],0.1)/Table12[[#This Row],[Current Policies 2030 excl LULUCF]])^(1/(Table12[[#This Row],[NZ GHG year]]-2021))-1)))</f>
        <v/>
      </c>
      <c r="BL232" s="552" t="str">
        <f>IF(Table12[[#This Row],[Net-zero target status]]&lt;=1,"",IF(Table12[[#This Row],[NZ GHG year]]="","",((MAX(Table12[[#This Row],[residual LULUCF emissions in 2050]],0.1)/Table12[[#This Row],[GHG emissions excl LULUCF]])^(1/(Table12[[#This Row],[NZ GHG year]]-2021))-1)))</f>
        <v/>
      </c>
      <c r="BM232" s="552" t="str">
        <f>IF(Table12[[#This Row],[Net-zero target status]]&lt;=1,"",IF(Table12[[#This Row],[NZ GHG year]]="","",((MAX(Table12[[#This Row],[residual LULUCF emissions in 2050]],0.1)/AVERAGE(Table12[[#This Row],[2030 conditional NDCs]:[2030 conditional NDCs2]]))^(1/(Table12[[#This Row],[NZ GHG year]]-2021))-1)))</f>
        <v/>
      </c>
      <c r="BN232" s="23"/>
      <c r="BO232" s="23"/>
      <c r="BP232" s="23"/>
      <c r="BQ232" s="23"/>
      <c r="BR232" s="50" t="s">
        <v>493</v>
      </c>
      <c r="BT232" s="30" t="str">
        <f>IF(Table12[[#This Row],[Reduction rate 2021 to NZ target2]]="","",J232*(1+AN232)^(Table12[[#This Row],[NZ GHG year]]-2021))</f>
        <v/>
      </c>
    </row>
    <row r="233" spans="1:72" ht="15" x14ac:dyDescent="0.25">
      <c r="A233">
        <v>0</v>
      </c>
      <c r="B233">
        <v>0</v>
      </c>
      <c r="C233">
        <v>732</v>
      </c>
      <c r="D233">
        <v>189</v>
      </c>
      <c r="E233">
        <v>7</v>
      </c>
      <c r="F233" t="str">
        <f>'input site'!M233</f>
        <v>excl</v>
      </c>
      <c r="G233" s="31" t="s">
        <v>494</v>
      </c>
      <c r="H233" s="1" t="s">
        <v>495</v>
      </c>
      <c r="I233" s="8">
        <v>0</v>
      </c>
      <c r="J233" s="32">
        <f>'input site'!AS233</f>
        <v>0</v>
      </c>
      <c r="K233" s="32">
        <f>'input site'!BS233</f>
        <v>0</v>
      </c>
      <c r="L233" s="32">
        <f t="shared" si="31"/>
        <v>0</v>
      </c>
      <c r="M233" s="32">
        <f t="shared" si="32"/>
        <v>0</v>
      </c>
      <c r="N233" s="32">
        <f>'input site'!EV233</f>
        <v>0</v>
      </c>
      <c r="O233" s="8"/>
      <c r="P233" s="8"/>
      <c r="Q233" s="32">
        <f t="shared" si="33"/>
        <v>0.12479246072830691</v>
      </c>
      <c r="R233" s="32">
        <f>'[5]input site'!CN233</f>
        <v>0.12479246072830691</v>
      </c>
      <c r="S233" s="37"/>
      <c r="T233" s="37" t="str">
        <f>Table12[[#This Row],[(Mt CO2 equivalent)]]</f>
        <v>Western Sahara</v>
      </c>
      <c r="U233" s="35">
        <v>2100</v>
      </c>
      <c r="V233" s="35">
        <v>2100</v>
      </c>
      <c r="W233" s="32">
        <f>-IF('LUC NGHGI'!EC223="",MIN('LUC NGHGI'!DW223,0.1),MIN('LUC NGHGI'!EC223,0.1))</f>
        <v>0</v>
      </c>
      <c r="X233" s="32" t="str">
        <f>'LUC NGHGI'!EC223</f>
        <v/>
      </c>
      <c r="Y233" s="32" t="str">
        <f>'LUC NGHGI'!DY223</f>
        <v/>
      </c>
      <c r="Z233" s="32" t="str">
        <f>'LUC NGHGI'!DZ223</f>
        <v/>
      </c>
      <c r="AA233" s="32">
        <f>Table12[[#This Row],[2021 emissions]]</f>
        <v>0</v>
      </c>
      <c r="AB233" s="32">
        <f>'LUC NGHGI'!DW223</f>
        <v>0</v>
      </c>
      <c r="AC233" s="32">
        <f>IF(F233="incl",Table12[[#This Row],[GHG emissions incl LULUCF]]-Table12[[#This Row],[LULUCF emis-sions in 20213]],Table12[[#This Row],[GHG emissions incl LULUCF]])</f>
        <v>0</v>
      </c>
      <c r="AD233" s="32">
        <f>'input site'!BS233</f>
        <v>0</v>
      </c>
      <c r="AE233" s="32">
        <f>'LUC NGHGI'!EH223</f>
        <v>0</v>
      </c>
      <c r="AF233" s="32">
        <f>IF(F233="incl",Table12[[#This Row],[Current Policies 2030 incl LULUCF]]-Table12[[#This Row],[LULUCF CurPol 2030]],Table12[[#This Row],[Current Policies 2030 incl LULUCF]])</f>
        <v>0</v>
      </c>
      <c r="AG233" s="32" t="str">
        <f>IF(Table12[[#This Row],[Net-zero target status]]&lt;=1,"",IF(Table12[[#This Row],[NZ GHG year]]="","",1000000000*(Table12[[#This Row],[residual LULUCF emissions in 2050]]-Table12[[#This Row],[GHG emissions excl LULUCF]])/(Table12[[#This Row],[NZ GHG year]]-2021)/Table12[[#This Row],[Population]]))</f>
        <v/>
      </c>
      <c r="AH233" s="32" t="str">
        <f>IF(Table12[[#This Row],[Peak revised]]="Yes",IF(Table12[[#This Row],[Net-zero target status]]&lt;=1,"",IF(Table12[[#This Row],[NZ GHG year]]="","",1000000000*(Table12[[#This Row],[residual LULUCF emissions in 2050]]-Table12[[#This Row],[GHG emissions excl LULUCF]])/(Table12[[#This Row],[NZ GHG year]]-2021)/Table12[[#This Row],[Population]])),"")</f>
        <v/>
      </c>
      <c r="AI233" s="32" t="e">
        <f>MAX(0,(1000000*(Table12[[#This Row],[Current Policies 2030 excl LULUCF]]/2+Table12[[#This Row],[GHG emissions excl LULUCF]]/2)/Table12[[#This Row],[Population]]-$AI$8)*10)*$AI$10</f>
        <v>#DIV/0!</v>
      </c>
      <c r="AJ233"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3" s="32" t="str">
        <f>IF(Table12[[#This Row],[Formule no Peak (2)]]="","",Table12[[#This Row],[Penalty (1)]]+Table12[[#This Row],[Formule no Peak (2)]])</f>
        <v/>
      </c>
      <c r="AL233" s="313" t="e">
        <f>(Table12[[#This Row],[Current Policies 2030 excl LULUCF]]-Table12[[#This Row],[GHG emissions excl LULUCF]])/(2030-2021)/Table12[[#This Row],[GHG emissions excl LULUCF]]</f>
        <v>#DIV/0!</v>
      </c>
      <c r="AM233" s="313" t="str">
        <f>IF(Table12[[#This Row],[Net-zero target status]]&lt;=1,"",IF(Table12[[#This Row],[NZ GHG year]]="","",(Table12[[#This Row],[residual LULUCF emissions in 2050]]-Table12[[#This Row],[Current Policies 2030 excl LULUCF]])/(Table12[[#This Row],[NZ GHG year]]-2030)/Table12[[#This Row],[Current Policies 2030 excl LULUCF]]))</f>
        <v/>
      </c>
      <c r="AN233" s="313" t="str">
        <f>IF(Table12[[#This Row],[Net-zero target status]]&lt;=1,"",IF(Table12[[#This Row],[NZ GHG year]]="","",(Table12[[#This Row],[residual LULUCF emissions in 2050]]-Table12[[#This Row],[GHG emissions excl LULUCF]])/(Table12[[#This Row],[NZ GHG year]]-2021)/Table12[[#This Row],[GHG emissions excl LULUCF]]))</f>
        <v/>
      </c>
      <c r="AO233" s="313" t="str">
        <f>IF(Table12[[#This Row],[Net-zero target status]]&lt;=1,"",IF(Table12[[#This Row],[NZ GHG year]]="","",(Table12[[#This Row],[residual LULUCF emissions in 2050]]-Table12[[#This Row],[2030 conditional NDCs]])/(Table12[[#This Row],[NZ GHG year]]-2030)/Table12[[#This Row],[2030 conditional NDCs]]))</f>
        <v/>
      </c>
      <c r="AP233" s="96">
        <f>MAX('input site'!AH233:AS233)</f>
        <v>0</v>
      </c>
      <c r="AQ233" s="95" t="str">
        <f>IF(Table12[[#This Row],[Current Policies 2030 incl LULUCF]]&gt;Table12[[#This Row],[Maximum inventory data]],"No","Yes")</f>
        <v>Yes</v>
      </c>
      <c r="AR233" s="34" t="str">
        <f>IF(Table12[[#This Row],[Net-zero target status]]&gt;=1.5,Table12[[#This Row],[residual LULUCF emissions in 2050]]/Table12[[#This Row],[GHG emissions excl LULUCF]],"")</f>
        <v/>
      </c>
      <c r="AS233" s="380" t="str">
        <f>'input site'!BE233</f>
        <v/>
      </c>
      <c r="AT233" s="380"/>
      <c r="AU233" s="380"/>
      <c r="AV233" s="380"/>
      <c r="AW233" s="74" t="str">
        <f>IF(Table12[[#This Row],[2030 unconditional NDCs]]="","",IF(F233="incl",Table12[[#This Row],[2030 unconditional NDCs]]-Table12[[#This Row],[LULUCF NDC uncond]],Table12[[#This Row],[2030 unconditional NDCs]]))</f>
        <v/>
      </c>
      <c r="AX233" s="74" t="str">
        <f>IF(Table12[[#This Row],[2030 unconditional NDCs2]]="","",IF(F233="incl",Table12[[#This Row],[2030 unconditional NDCs2]]-Table12[[#This Row],[LULUCF NDC uncond]],Table12[[#This Row],[2030 unconditional NDCs2]]))</f>
        <v/>
      </c>
      <c r="AY233" s="74" t="str">
        <f>IF(Table12[[#This Row],[2030 conditional NDCs]]="","",IF(F233="incl",Table12[[#This Row],[2030 conditional NDCs]]-Table12[[#This Row],[LULUCF NDC cond]],Table12[[#This Row],[2030 conditional NDCs]]))</f>
        <v/>
      </c>
      <c r="AZ233" s="74" t="str">
        <f>IF(Table12[[#This Row],[2030 conditional NDCs2]]="","",IF(F233="incl",Table12[[#This Row],[2030 conditional NDCs2]]-Table12[[#This Row],[LULUCF NDC cond]],Table12[[#This Row],[2030 conditional NDCs2]]))</f>
        <v/>
      </c>
      <c r="BA233" s="8"/>
      <c r="BB233" s="8"/>
      <c r="BC233" s="36"/>
      <c r="BD233" s="36" t="e">
        <f>Table12[[#This Row],[GHG emissions excl LULUCF]]*1000000/Table12[[#This Row],[Population]]</f>
        <v>#DIV/0!</v>
      </c>
      <c r="BE233" s="23" t="e">
        <f>VLOOKUP($G233,EGR2023_MASTER!$B$4:$S$38,14,FALSE)</f>
        <v>#N/A</v>
      </c>
      <c r="BF233" s="23" t="e">
        <f>VLOOKUP($G233,EGR2023_MASTER!$B$4:$S$38,15,FALSE)</f>
        <v>#N/A</v>
      </c>
      <c r="BG233" s="23" t="e">
        <f>VLOOKUP($G233,EGR2023_MASTER!$B$4:$S$38,16,FALSE)</f>
        <v>#N/A</v>
      </c>
      <c r="BH233" s="23" t="e">
        <f t="shared" si="29"/>
        <v>#N/A</v>
      </c>
      <c r="BI233" s="23" t="e">
        <f t="shared" si="30"/>
        <v>#N/A</v>
      </c>
      <c r="BJ233" s="552" t="e">
        <f>(Table12[[#This Row],[Current Policies 2030 excl LULUCF]]/Table12[[#This Row],[GHG emissions excl LULUCF]])^(1/(2030-2021))-1</f>
        <v>#DIV/0!</v>
      </c>
      <c r="BK233" s="552" t="str">
        <f>IF(Table12[[#This Row],[Net-zero target status]]&lt;=1,"",IF(Table12[[#This Row],[NZ GHG year]]="","",((MAX(Table12[[#This Row],[residual LULUCF emissions in 2050]],0.1)/Table12[[#This Row],[Current Policies 2030 excl LULUCF]])^(1/(Table12[[#This Row],[NZ GHG year]]-2021))-1)))</f>
        <v/>
      </c>
      <c r="BL233" s="552" t="str">
        <f>IF(Table12[[#This Row],[Net-zero target status]]&lt;=1,"",IF(Table12[[#This Row],[NZ GHG year]]="","",((MAX(Table12[[#This Row],[residual LULUCF emissions in 2050]],0.1)/Table12[[#This Row],[GHG emissions excl LULUCF]])^(1/(Table12[[#This Row],[NZ GHG year]]-2021))-1)))</f>
        <v/>
      </c>
      <c r="BM233" s="552" t="str">
        <f>IF(Table12[[#This Row],[Net-zero target status]]&lt;=1,"",IF(Table12[[#This Row],[NZ GHG year]]="","",((MAX(Table12[[#This Row],[residual LULUCF emissions in 2050]],0.1)/AVERAGE(Table12[[#This Row],[2030 conditional NDCs]:[2030 conditional NDCs2]]))^(1/(Table12[[#This Row],[NZ GHG year]]-2021))-1)))</f>
        <v/>
      </c>
      <c r="BN233" s="23"/>
      <c r="BO233" s="23"/>
      <c r="BP233" s="23"/>
      <c r="BQ233" s="23"/>
      <c r="BR233" s="50" t="s">
        <v>495</v>
      </c>
      <c r="BT233" s="30" t="str">
        <f>IF(Table12[[#This Row],[Reduction rate 2021 to NZ target2]]="","",J233*(1+AN233)^(Table12[[#This Row],[NZ GHG year]]-2021))</f>
        <v/>
      </c>
    </row>
    <row r="234" spans="1:72" ht="15" x14ac:dyDescent="0.25">
      <c r="A234">
        <v>0</v>
      </c>
      <c r="B234">
        <v>0</v>
      </c>
      <c r="C234">
        <v>887</v>
      </c>
      <c r="D234">
        <v>222</v>
      </c>
      <c r="E234">
        <v>17</v>
      </c>
      <c r="F234" t="str">
        <f>'input site'!M234</f>
        <v>excl</v>
      </c>
      <c r="G234" s="31" t="s">
        <v>496</v>
      </c>
      <c r="H234" s="1" t="s">
        <v>497</v>
      </c>
      <c r="I234" s="8">
        <f>VLOOKUP($G234,'NZT data'!$B$3:$C$200,2,FALSE)</f>
        <v>1</v>
      </c>
      <c r="J234" s="32">
        <f>'input site'!AS234</f>
        <v>43.429230000000004</v>
      </c>
      <c r="K234" s="32">
        <f>'input site'!BS234</f>
        <v>43.124002321362632</v>
      </c>
      <c r="L234" s="32">
        <f t="shared" si="31"/>
        <v>0</v>
      </c>
      <c r="M234" s="32">
        <f t="shared" si="32"/>
        <v>0</v>
      </c>
      <c r="N234" s="32">
        <f>'input site'!EV234</f>
        <v>20.35036687693129</v>
      </c>
      <c r="O234" s="8"/>
      <c r="P234" s="36"/>
      <c r="Q234" s="32">
        <f t="shared" si="33"/>
        <v>0</v>
      </c>
      <c r="R234" s="32">
        <f>'[5]input site'!CN234</f>
        <v>3.0351133770769891</v>
      </c>
      <c r="S234" s="37">
        <v>2050</v>
      </c>
      <c r="T234" s="37" t="str">
        <f>Table12[[#This Row],[(Mt CO2 equivalent)]]</f>
        <v>Yemen</v>
      </c>
      <c r="U234" s="8">
        <f>VLOOKUP($G234,'NZT data'!$B$3:$F$200,4,FALSE)</f>
        <v>2110</v>
      </c>
      <c r="V234" s="32">
        <f>VLOOKUP($G234,'NZT data'!$B$3:$F$200,5,FALSE)</f>
        <v>2110</v>
      </c>
      <c r="W234" s="32">
        <f>-IF('LUC NGHGI'!EC224="",MIN('LUC NGHGI'!DW224,0.1),MIN('LUC NGHGI'!EC224,0.1))</f>
        <v>-0.1</v>
      </c>
      <c r="X234" s="32">
        <f>'LUC NGHGI'!EC224</f>
        <v>4.316131078063222</v>
      </c>
      <c r="Y234" s="32">
        <f>'LUC NGHGI'!DY224</f>
        <v>4.316131078063222</v>
      </c>
      <c r="Z234" s="32">
        <f>'LUC NGHGI'!DZ224</f>
        <v>4.316131078063222</v>
      </c>
      <c r="AA234" s="32">
        <f>Table12[[#This Row],[2021 emissions]]</f>
        <v>43.429230000000004</v>
      </c>
      <c r="AB234" s="32">
        <f>'LUC NGHGI'!DW224</f>
        <v>4.7772851897232158</v>
      </c>
      <c r="AC234" s="32">
        <f>IF(F234="incl",Table12[[#This Row],[GHG emissions incl LULUCF]]-Table12[[#This Row],[LULUCF emis-sions in 20213]],Table12[[#This Row],[GHG emissions incl LULUCF]])</f>
        <v>43.429230000000004</v>
      </c>
      <c r="AD234" s="32">
        <f>'input site'!BS234</f>
        <v>43.124002321362632</v>
      </c>
      <c r="AE234" s="32">
        <f>'LUC NGHGI'!EH224</f>
        <v>3.1930583006121784</v>
      </c>
      <c r="AF234" s="32">
        <f>IF(F234="incl",Table12[[#This Row],[Current Policies 2030 incl LULUCF]]-Table12[[#This Row],[LULUCF CurPol 2030]],Table12[[#This Row],[Current Policies 2030 incl LULUCF]])</f>
        <v>43.124002321362632</v>
      </c>
      <c r="AG234" s="32" t="str">
        <f>IF(Table12[[#This Row],[Net-zero target status]]&lt;=1,"",IF(Table12[[#This Row],[NZ GHG year]]="","",1000000000*(Table12[[#This Row],[residual LULUCF emissions in 2050]]-Table12[[#This Row],[GHG emissions excl LULUCF]])/(Table12[[#This Row],[NZ GHG year]]-2021)/Table12[[#This Row],[Population]]))</f>
        <v/>
      </c>
      <c r="AH234" s="32" t="str">
        <f>IF(Table12[[#This Row],[Peak revised]]="Yes",IF(Table12[[#This Row],[Net-zero target status]]&lt;=1,"",IF(Table12[[#This Row],[NZ GHG year]]="","",1000000000*(Table12[[#This Row],[residual LULUCF emissions in 2050]]-Table12[[#This Row],[GHG emissions excl LULUCF]])/(Table12[[#This Row],[NZ GHG year]]-2021)/Table12[[#This Row],[Population]])),"")</f>
        <v/>
      </c>
      <c r="AI234" s="32">
        <f>MAX(0,(1000000*(Table12[[#This Row],[Current Policies 2030 excl LULUCF]]/2+Table12[[#This Row],[GHG emissions excl LULUCF]]/2)/Table12[[#This Row],[Population]]-$AI$8)*10)*$AI$10</f>
        <v>0</v>
      </c>
      <c r="AJ234"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4" s="32" t="str">
        <f>IF(Table12[[#This Row],[Formule no Peak (2)]]="","",Table12[[#This Row],[Penalty (1)]]+Table12[[#This Row],[Formule no Peak (2)]])</f>
        <v/>
      </c>
      <c r="AL234" s="313">
        <f>(Table12[[#This Row],[Current Policies 2030 excl LULUCF]]-Table12[[#This Row],[GHG emissions excl LULUCF]])/(2030-2021)/Table12[[#This Row],[GHG emissions excl LULUCF]]</f>
        <v>-7.8090692640103449E-4</v>
      </c>
      <c r="AM234" s="313" t="str">
        <f>IF(Table12[[#This Row],[Net-zero target status]]&lt;=1,"",IF(Table12[[#This Row],[NZ GHG year]]="","",(Table12[[#This Row],[residual LULUCF emissions in 2050]]-Table12[[#This Row],[Current Policies 2030 excl LULUCF]])/(Table12[[#This Row],[NZ GHG year]]-2030)/Table12[[#This Row],[Current Policies 2030 excl LULUCF]]))</f>
        <v/>
      </c>
      <c r="AN234" s="313" t="str">
        <f>IF(Table12[[#This Row],[Net-zero target status]]&lt;=1,"",IF(Table12[[#This Row],[NZ GHG year]]="","",(Table12[[#This Row],[residual LULUCF emissions in 2050]]-Table12[[#This Row],[GHG emissions excl LULUCF]])/(Table12[[#This Row],[NZ GHG year]]-2021)/Table12[[#This Row],[GHG emissions excl LULUCF]]))</f>
        <v/>
      </c>
      <c r="AO234" s="313" t="str">
        <f>IF(Table12[[#This Row],[Net-zero target status]]&lt;=1,"",IF(Table12[[#This Row],[NZ GHG year]]="","",(Table12[[#This Row],[residual LULUCF emissions in 2050]]-Table12[[#This Row],[2030 conditional NDCs]])/(Table12[[#This Row],[NZ GHG year]]-2030)/Table12[[#This Row],[2030 conditional NDCs]]))</f>
        <v/>
      </c>
      <c r="AP234" s="96">
        <f>MAX('input site'!AH234:AS234)</f>
        <v>54.374969</v>
      </c>
      <c r="AQ234" s="95" t="str">
        <f>IF(Table12[[#This Row],[Current Policies 2030 incl LULUCF]]&gt;Table12[[#This Row],[Maximum inventory data]],"No","Yes")</f>
        <v>Yes</v>
      </c>
      <c r="AR234" s="34" t="str">
        <f>IF(Table12[[#This Row],[Net-zero target status]]&gt;=1.5,Table12[[#This Row],[residual LULUCF emissions in 2050]]/Table12[[#This Row],[GHG emissions excl LULUCF]],"")</f>
        <v/>
      </c>
      <c r="AS234" s="380">
        <f>'input site'!BE234</f>
        <v>43.371900000000004</v>
      </c>
      <c r="AT234" s="380">
        <f>'input site'!BF234</f>
        <v>43.371900000000004</v>
      </c>
      <c r="AU234" s="380">
        <f>'input site'!BG234</f>
        <v>37.676600000000001</v>
      </c>
      <c r="AV234" s="380">
        <f>'input site'!BH234</f>
        <v>37.676600000000001</v>
      </c>
      <c r="AW234" s="74">
        <f>IF(Table12[[#This Row],[2030 unconditional NDCs]]="","",IF(F234="incl",Table12[[#This Row],[2030 unconditional NDCs]]-Table12[[#This Row],[LULUCF NDC uncond]],Table12[[#This Row],[2030 unconditional NDCs]]))</f>
        <v>43.371900000000004</v>
      </c>
      <c r="AX234" s="74">
        <f>IF(Table12[[#This Row],[2030 unconditional NDCs2]]="","",IF(F234="incl",Table12[[#This Row],[2030 unconditional NDCs2]]-Table12[[#This Row],[LULUCF NDC uncond]],Table12[[#This Row],[2030 unconditional NDCs2]]))</f>
        <v>43.371900000000004</v>
      </c>
      <c r="AY234" s="74">
        <f>IF(Table12[[#This Row],[2030 conditional NDCs]]="","",IF(F234="incl",Table12[[#This Row],[2030 conditional NDCs]]-Table12[[#This Row],[LULUCF NDC cond]],Table12[[#This Row],[2030 conditional NDCs]]))</f>
        <v>37.676600000000001</v>
      </c>
      <c r="AZ234" s="74">
        <f>IF(Table12[[#This Row],[2030 conditional NDCs2]]="","",IF(F234="incl",Table12[[#This Row],[2030 conditional NDCs2]]-Table12[[#This Row],[LULUCF NDC cond]],Table12[[#This Row],[2030 conditional NDCs2]]))</f>
        <v>37.676600000000001</v>
      </c>
      <c r="BA234" s="8">
        <f>VLOOKUP($G234,'Population90 20'!$C$6:$AU$231,37,FALSE)</f>
        <v>31154867</v>
      </c>
      <c r="BB234" s="8">
        <f>VLOOKUP($G234,'Overview GDP (PPP)'!$C$6:$AI$231,33,FALSE)</f>
        <v>65118659.200534806</v>
      </c>
      <c r="BC234" s="36">
        <f>Table12[[#This Row],[Income]]/Table12[[#This Row],[Population]]</f>
        <v>2.0901600767717867</v>
      </c>
      <c r="BD234" s="36">
        <f>Table12[[#This Row],[GHG emissions excl LULUCF]]*1000000/Table12[[#This Row],[Population]]</f>
        <v>1.3939789889008356</v>
      </c>
      <c r="BE234" s="23" t="e">
        <f>VLOOKUP($G234,EGR2023_MASTER!$B$4:$S$38,14,FALSE)</f>
        <v>#N/A</v>
      </c>
      <c r="BF234" s="23" t="e">
        <f>VLOOKUP($G234,EGR2023_MASTER!$B$4:$S$38,15,FALSE)</f>
        <v>#N/A</v>
      </c>
      <c r="BG234" s="23" t="e">
        <f>VLOOKUP($G234,EGR2023_MASTER!$B$4:$S$38,16,FALSE)</f>
        <v>#N/A</v>
      </c>
      <c r="BH234" s="23" t="e">
        <f t="shared" si="29"/>
        <v>#N/A</v>
      </c>
      <c r="BI234" s="23" t="e">
        <f t="shared" si="30"/>
        <v>#N/A</v>
      </c>
      <c r="BJ234" s="552">
        <f>(Table12[[#This Row],[Current Policies 2030 excl LULUCF]]/Table12[[#This Row],[GHG emissions excl LULUCF]])^(1/(2030-2021))-1</f>
        <v>-7.8335703807896895E-4</v>
      </c>
      <c r="BK234" s="552" t="str">
        <f>IF(Table12[[#This Row],[Net-zero target status]]&lt;=1,"",IF(Table12[[#This Row],[NZ GHG year]]="","",((MAX(Table12[[#This Row],[residual LULUCF emissions in 2050]],0.1)/Table12[[#This Row],[Current Policies 2030 excl LULUCF]])^(1/(Table12[[#This Row],[NZ GHG year]]-2021))-1)))</f>
        <v/>
      </c>
      <c r="BL234" s="552" t="str">
        <f>IF(Table12[[#This Row],[Net-zero target status]]&lt;=1,"",IF(Table12[[#This Row],[NZ GHG year]]="","",((MAX(Table12[[#This Row],[residual LULUCF emissions in 2050]],0.1)/Table12[[#This Row],[GHG emissions excl LULUCF]])^(1/(Table12[[#This Row],[NZ GHG year]]-2021))-1)))</f>
        <v/>
      </c>
      <c r="BM234" s="552" t="str">
        <f>IF(Table12[[#This Row],[Net-zero target status]]&lt;=1,"",IF(Table12[[#This Row],[NZ GHG year]]="","",((MAX(Table12[[#This Row],[residual LULUCF emissions in 2050]],0.1)/AVERAGE(Table12[[#This Row],[2030 conditional NDCs]:[2030 conditional NDCs2]]))^(1/(Table12[[#This Row],[NZ GHG year]]-2021))-1)))</f>
        <v/>
      </c>
      <c r="BN234" s="23"/>
      <c r="BO234" s="23"/>
      <c r="BP234" s="23"/>
      <c r="BQ234" s="23"/>
      <c r="BR234" s="50" t="s">
        <v>497</v>
      </c>
      <c r="BT234" s="30" t="str">
        <f>IF(Table12[[#This Row],[Reduction rate 2021 to NZ target2]]="","",J234*(1+AN234)^(Table12[[#This Row],[NZ GHG year]]-2021))</f>
        <v/>
      </c>
    </row>
    <row r="235" spans="1:72" ht="15" x14ac:dyDescent="0.25">
      <c r="A235">
        <v>0</v>
      </c>
      <c r="B235">
        <v>0</v>
      </c>
      <c r="C235">
        <v>894</v>
      </c>
      <c r="D235">
        <v>224</v>
      </c>
      <c r="E235">
        <v>26</v>
      </c>
      <c r="F235" t="str">
        <f>'input site'!M235</f>
        <v>incl</v>
      </c>
      <c r="G235" s="31" t="s">
        <v>498</v>
      </c>
      <c r="H235" s="1" t="s">
        <v>499</v>
      </c>
      <c r="I235" s="8">
        <f>VLOOKUP($G235,'NZT data'!$B$3:$C$200,2,FALSE)</f>
        <v>1</v>
      </c>
      <c r="J235" s="32">
        <f>'input site'!AS235</f>
        <v>12.203251752950507</v>
      </c>
      <c r="K235" s="32">
        <f>'input site'!BS235</f>
        <v>14.85183449365198</v>
      </c>
      <c r="L235" s="32">
        <f t="shared" si="31"/>
        <v>0</v>
      </c>
      <c r="M235" s="32">
        <f t="shared" si="32"/>
        <v>0</v>
      </c>
      <c r="N235" s="32">
        <f>'input site'!EV235</f>
        <v>5.1792491644890477</v>
      </c>
      <c r="O235" s="8"/>
      <c r="P235" s="36"/>
      <c r="Q235" s="32">
        <f t="shared" si="33"/>
        <v>0</v>
      </c>
      <c r="R235" s="32">
        <f>'[5]input site'!CN235</f>
        <v>30.365733834740876</v>
      </c>
      <c r="S235" s="37">
        <v>2050</v>
      </c>
      <c r="T235" s="37" t="str">
        <f>Table12[[#This Row],[(Mt CO2 equivalent)]]</f>
        <v>Zambia</v>
      </c>
      <c r="U235" s="8">
        <f>VLOOKUP($G235,'NZT data'!$B$3:$F$200,4,FALSE)</f>
        <v>2110</v>
      </c>
      <c r="V235" s="32">
        <f>VLOOKUP($G235,'NZT data'!$B$3:$F$200,5,FALSE)</f>
        <v>2110</v>
      </c>
      <c r="W235" s="32">
        <f>-IF('LUC NGHGI'!EC225="",MIN('LUC NGHGI'!DW225,0.1),MIN('LUC NGHGI'!EC225,0.1))</f>
        <v>23.398434371184067</v>
      </c>
      <c r="X235" s="32">
        <f>'LUC NGHGI'!EC225</f>
        <v>-23.398434371184067</v>
      </c>
      <c r="Y235" s="32">
        <f>'LUC NGHGI'!DY225</f>
        <v>-52.398434371184067</v>
      </c>
      <c r="Z235" s="32">
        <f>'LUC NGHGI'!DZ225</f>
        <v>-40.398434371184067</v>
      </c>
      <c r="AA235" s="32">
        <f>Table12[[#This Row],[2021 emissions]]</f>
        <v>12.203251752950507</v>
      </c>
      <c r="AB235" s="32">
        <f>'LUC NGHGI'!DW225</f>
        <v>-21.810099247049493</v>
      </c>
      <c r="AC235" s="32">
        <f>IF(F235="incl",Table12[[#This Row],[GHG emissions incl LULUCF]]-Table12[[#This Row],[LULUCF emis-sions in 20213]],Table12[[#This Row],[GHG emissions incl LULUCF]])</f>
        <v>34.013351</v>
      </c>
      <c r="AD235" s="32">
        <f>'input site'!BS235</f>
        <v>14.85183449365198</v>
      </c>
      <c r="AE235" s="32">
        <f>'LUC NGHGI'!EH225</f>
        <v>-28.03748812769043</v>
      </c>
      <c r="AF235" s="32">
        <f>IF(F235="incl",Table12[[#This Row],[Current Policies 2030 incl LULUCF]]-Table12[[#This Row],[LULUCF CurPol 2030]],Table12[[#This Row],[Current Policies 2030 incl LULUCF]])</f>
        <v>42.889322621342409</v>
      </c>
      <c r="AG235" s="32" t="str">
        <f>IF(Table12[[#This Row],[Net-zero target status]]&lt;=1,"",IF(Table12[[#This Row],[NZ GHG year]]="","",1000000000*(Table12[[#This Row],[residual LULUCF emissions in 2050]]-Table12[[#This Row],[GHG emissions excl LULUCF]])/(Table12[[#This Row],[NZ GHG year]]-2021)/Table12[[#This Row],[Population]]))</f>
        <v/>
      </c>
      <c r="AH235" s="32" t="str">
        <f>IF(Table12[[#This Row],[Peak revised]]="Yes",IF(Table12[[#This Row],[Net-zero target status]]&lt;=1,"",IF(Table12[[#This Row],[NZ GHG year]]="","",1000000000*(Table12[[#This Row],[residual LULUCF emissions in 2050]]-Table12[[#This Row],[GHG emissions excl LULUCF]])/(Table12[[#This Row],[NZ GHG year]]-2021)/Table12[[#This Row],[Population]])),"")</f>
        <v/>
      </c>
      <c r="AI235" s="32">
        <f>MAX(0,(1000000*(Table12[[#This Row],[Current Policies 2030 excl LULUCF]]/2+Table12[[#This Row],[GHG emissions excl LULUCF]]/2)/Table12[[#This Row],[Population]]-$AI$8)*10)*$AI$10</f>
        <v>0</v>
      </c>
      <c r="AJ235"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5" s="32" t="str">
        <f>IF(Table12[[#This Row],[Formule no Peak (2)]]="","",Table12[[#This Row],[Penalty (1)]]+Table12[[#This Row],[Formule no Peak (2)]])</f>
        <v/>
      </c>
      <c r="AL235" s="313">
        <f>(Table12[[#This Row],[Current Policies 2030 excl LULUCF]]-Table12[[#This Row],[GHG emissions excl LULUCF]])/(2030-2021)/Table12[[#This Row],[GHG emissions excl LULUCF]]</f>
        <v>2.8995057530145894E-2</v>
      </c>
      <c r="AM235" s="313" t="str">
        <f>IF(Table12[[#This Row],[Net-zero target status]]&lt;=1,"",IF(Table12[[#This Row],[NZ GHG year]]="","",(Table12[[#This Row],[residual LULUCF emissions in 2050]]-Table12[[#This Row],[Current Policies 2030 excl LULUCF]])/(Table12[[#This Row],[NZ GHG year]]-2030)/Table12[[#This Row],[Current Policies 2030 excl LULUCF]]))</f>
        <v/>
      </c>
      <c r="AN235" s="313" t="str">
        <f>IF(Table12[[#This Row],[Net-zero target status]]&lt;=1,"",IF(Table12[[#This Row],[NZ GHG year]]="","",(Table12[[#This Row],[residual LULUCF emissions in 2050]]-Table12[[#This Row],[GHG emissions excl LULUCF]])/(Table12[[#This Row],[NZ GHG year]]-2021)/Table12[[#This Row],[GHG emissions excl LULUCF]]))</f>
        <v/>
      </c>
      <c r="AO235" s="313" t="str">
        <f>IF(Table12[[#This Row],[Net-zero target status]]&lt;=1,"",IF(Table12[[#This Row],[NZ GHG year]]="","",(Table12[[#This Row],[residual LULUCF emissions in 2050]]-Table12[[#This Row],[2030 conditional NDCs]])/(Table12[[#This Row],[NZ GHG year]]-2030)/Table12[[#This Row],[2030 conditional NDCs]]))</f>
        <v/>
      </c>
      <c r="AP235" s="96">
        <f>MAX('input site'!AH235:AS235)</f>
        <v>12.203251752950507</v>
      </c>
      <c r="AQ235" s="95" t="str">
        <f>IF(Table12[[#This Row],[Current Policies 2030 incl LULUCF]]&gt;Table12[[#This Row],[Maximum inventory data]],"No","Yes")</f>
        <v>No</v>
      </c>
      <c r="AR235" s="34" t="str">
        <f>IF(Table12[[#This Row],[Net-zero target status]]&gt;=1.5,Table12[[#This Row],[residual LULUCF emissions in 2050]]/Table12[[#This Row],[GHG emissions excl LULUCF]],"")</f>
        <v/>
      </c>
      <c r="AS235" s="380">
        <f>'input site'!BE235</f>
        <v>90.449999999999989</v>
      </c>
      <c r="AT235" s="380">
        <f>'input site'!BF235</f>
        <v>90.449999999999989</v>
      </c>
      <c r="AU235" s="380">
        <f>'input site'!BG235</f>
        <v>63.917999999999999</v>
      </c>
      <c r="AV235" s="380">
        <f>'input site'!BH235</f>
        <v>63.917999999999999</v>
      </c>
      <c r="AW235" s="74">
        <f>IF(Table12[[#This Row],[2030 unconditional NDCs]]="","",IF(F235="incl",Table12[[#This Row],[2030 unconditional NDCs]]-Table12[[#This Row],[LULUCF NDC uncond]],Table12[[#This Row],[2030 unconditional NDCs]]))</f>
        <v>142.84843437118406</v>
      </c>
      <c r="AX235" s="74">
        <f>IF(Table12[[#This Row],[2030 unconditional NDCs2]]="","",IF(F235="incl",Table12[[#This Row],[2030 unconditional NDCs2]]-Table12[[#This Row],[LULUCF NDC uncond]],Table12[[#This Row],[2030 unconditional NDCs2]]))</f>
        <v>142.84843437118406</v>
      </c>
      <c r="AY235" s="74">
        <f>IF(Table12[[#This Row],[2030 conditional NDCs]]="","",IF(F235="incl",Table12[[#This Row],[2030 conditional NDCs]]-Table12[[#This Row],[LULUCF NDC cond]],Table12[[#This Row],[2030 conditional NDCs]]))</f>
        <v>104.31643437118407</v>
      </c>
      <c r="AZ235" s="74">
        <f>IF(Table12[[#This Row],[2030 conditional NDCs2]]="","",IF(F235="incl",Table12[[#This Row],[2030 conditional NDCs2]]-Table12[[#This Row],[LULUCF NDC cond]],Table12[[#This Row],[2030 conditional NDCs2]]))</f>
        <v>104.31643437118407</v>
      </c>
      <c r="BA235" s="8">
        <f>VLOOKUP($G235,'Population90 20'!$C$6:$AU$231,37,FALSE)</f>
        <v>19470234</v>
      </c>
      <c r="BB235" s="8">
        <f>VLOOKUP($G235,'Overview GDP (PPP)'!$C$6:$AI$231,33,FALSE)</f>
        <v>65034150.898254536</v>
      </c>
      <c r="BC235" s="36">
        <f>Table12[[#This Row],[Income]]/Table12[[#This Row],[Population]]</f>
        <v>3.3401833228226501</v>
      </c>
      <c r="BD235" s="36">
        <f>Table12[[#This Row],[GHG emissions excl LULUCF]]*1000000/Table12[[#This Row],[Population]]</f>
        <v>1.7469410485770227</v>
      </c>
      <c r="BE235" s="23" t="e">
        <f>VLOOKUP($G235,EGR2023_MASTER!$B$4:$S$38,14,FALSE)</f>
        <v>#N/A</v>
      </c>
      <c r="BF235" s="23" t="e">
        <f>VLOOKUP($G235,EGR2023_MASTER!$B$4:$S$38,15,FALSE)</f>
        <v>#N/A</v>
      </c>
      <c r="BG235" s="23" t="e">
        <f>VLOOKUP($G235,EGR2023_MASTER!$B$4:$S$38,16,FALSE)</f>
        <v>#N/A</v>
      </c>
      <c r="BH235" s="23" t="e">
        <f t="shared" si="29"/>
        <v>#N/A</v>
      </c>
      <c r="BI235" s="23" t="e">
        <f t="shared" si="30"/>
        <v>#N/A</v>
      </c>
      <c r="BJ235" s="552">
        <f>(Table12[[#This Row],[Current Policies 2030 excl LULUCF]]/Table12[[#This Row],[GHG emissions excl LULUCF]])^(1/(2030-2021))-1</f>
        <v>2.6098051554990453E-2</v>
      </c>
      <c r="BK235" s="552" t="str">
        <f>IF(Table12[[#This Row],[Net-zero target status]]&lt;=1,"",IF(Table12[[#This Row],[NZ GHG year]]="","",((MAX(Table12[[#This Row],[residual LULUCF emissions in 2050]],0.1)/Table12[[#This Row],[Current Policies 2030 excl LULUCF]])^(1/(Table12[[#This Row],[NZ GHG year]]-2021))-1)))</f>
        <v/>
      </c>
      <c r="BL235" s="552" t="str">
        <f>IF(Table12[[#This Row],[Net-zero target status]]&lt;=1,"",IF(Table12[[#This Row],[NZ GHG year]]="","",((MAX(Table12[[#This Row],[residual LULUCF emissions in 2050]],0.1)/Table12[[#This Row],[GHG emissions excl LULUCF]])^(1/(Table12[[#This Row],[NZ GHG year]]-2021))-1)))</f>
        <v/>
      </c>
      <c r="BM235" s="552" t="str">
        <f>IF(Table12[[#This Row],[Net-zero target status]]&lt;=1,"",IF(Table12[[#This Row],[NZ GHG year]]="","",((MAX(Table12[[#This Row],[residual LULUCF emissions in 2050]],0.1)/AVERAGE(Table12[[#This Row],[2030 conditional NDCs]:[2030 conditional NDCs2]]))^(1/(Table12[[#This Row],[NZ GHG year]]-2021))-1)))</f>
        <v/>
      </c>
      <c r="BN235" s="23"/>
      <c r="BO235" s="23"/>
      <c r="BP235" s="23"/>
      <c r="BQ235" s="23"/>
      <c r="BR235" s="50" t="s">
        <v>499</v>
      </c>
      <c r="BT235" s="30" t="str">
        <f>IF(Table12[[#This Row],[Reduction rate 2021 to NZ target2]]="","",J235*(1+AN235)^(Table12[[#This Row],[NZ GHG year]]-2021))</f>
        <v/>
      </c>
    </row>
    <row r="236" spans="1:72" ht="15" x14ac:dyDescent="0.25">
      <c r="A236">
        <v>0</v>
      </c>
      <c r="B236">
        <v>0</v>
      </c>
      <c r="C236">
        <v>716</v>
      </c>
      <c r="D236">
        <v>187</v>
      </c>
      <c r="E236">
        <v>26</v>
      </c>
      <c r="F236" t="str">
        <f>'input site'!M236</f>
        <v>excl</v>
      </c>
      <c r="G236" s="31" t="s">
        <v>500</v>
      </c>
      <c r="H236" s="1" t="s">
        <v>501</v>
      </c>
      <c r="I236" s="94">
        <v>0</v>
      </c>
      <c r="J236" s="32">
        <f>'input site'!AS236</f>
        <v>27.356321000000001</v>
      </c>
      <c r="K236" s="32">
        <f>'input site'!BS236</f>
        <v>33.293712206583194</v>
      </c>
      <c r="L236" s="32">
        <f t="shared" si="31"/>
        <v>33.293712206583194</v>
      </c>
      <c r="M236" s="32">
        <f t="shared" si="32"/>
        <v>20.155958530287332</v>
      </c>
      <c r="N236" s="32">
        <f>'input site'!EV236</f>
        <v>20.155958530287332</v>
      </c>
      <c r="O236" s="8"/>
      <c r="P236" s="8"/>
      <c r="Q236" s="32">
        <f t="shared" si="33"/>
        <v>22.985393710636941</v>
      </c>
      <c r="R236" s="32">
        <f>'[5]input site'!CN236</f>
        <v>22.985393710636941</v>
      </c>
      <c r="S236" s="37"/>
      <c r="T236" s="37" t="str">
        <f>Table12[[#This Row],[(Mt CO2 equivalent)]]</f>
        <v>Zimbabwe</v>
      </c>
      <c r="U236" s="8">
        <f>VLOOKUP($G236,'NZT data'!$B$3:$F$200,4,FALSE)</f>
        <v>2110</v>
      </c>
      <c r="V236" s="32" t="str">
        <f>VLOOKUP($G236,'NZT data'!$B$3:$F$200,5,FALSE)</f>
        <v/>
      </c>
      <c r="W236" s="32">
        <f>-IF('LUC NGHGI'!EC226="",'LUC NGHGI'!DW226,'LUC NGHGI'!EC226)</f>
        <v>-0.59</v>
      </c>
      <c r="X236" s="32">
        <f>'LUC NGHGI'!EC226</f>
        <v>0.59</v>
      </c>
      <c r="Y236" s="32">
        <f>'LUC NGHGI'!DY226</f>
        <v>-4.9818123973727779</v>
      </c>
      <c r="Z236" s="32">
        <f>'LUC NGHGI'!DZ226</f>
        <v>-32.316795183360654</v>
      </c>
      <c r="AA236" s="32">
        <f>Table12[[#This Row],[2021 emissions]]</f>
        <v>27.356321000000001</v>
      </c>
      <c r="AB236" s="32">
        <f>'LUC NGHGI'!DW226</f>
        <v>-16.096795183360655</v>
      </c>
      <c r="AC236" s="32">
        <f>IF(F236="incl",Table12[[#This Row],[GHG emissions incl LULUCF]]-Table12[[#This Row],[LULUCF emis-sions in 20213]],Table12[[#This Row],[GHG emissions incl LULUCF]])</f>
        <v>27.356321000000001</v>
      </c>
      <c r="AD236" s="32">
        <f>'input site'!BS236</f>
        <v>33.293712206583194</v>
      </c>
      <c r="AE236" s="32">
        <f>'LUC NGHGI'!EH226</f>
        <v>-20.348684699364835</v>
      </c>
      <c r="AF236" s="32">
        <f>IF(F236="incl",Table12[[#This Row],[Current Policies 2030 incl LULUCF]]-Table12[[#This Row],[LULUCF CurPol 2030]],Table12[[#This Row],[Current Policies 2030 incl LULUCF]])</f>
        <v>33.293712206583194</v>
      </c>
      <c r="AG236" s="32" t="str">
        <f>IF(Table12[[#This Row],[Net-zero target status]]&lt;=1,"",IF(Table12[[#This Row],[NZ GHG year]]="","",1000000000*(Table12[[#This Row],[residual LULUCF emissions in 2050]]-Table12[[#This Row],[GHG emissions excl LULUCF]])/(Table12[[#This Row],[NZ GHG year]]-2021)/Table12[[#This Row],[Population]]))</f>
        <v/>
      </c>
      <c r="AH236" s="32" t="str">
        <f>IF(Table12[[#This Row],[Peak revised]]="Yes",IF(Table12[[#This Row],[Net-zero target status]]&lt;=1,"",IF(Table12[[#This Row],[NZ GHG year]]="","",1000000000*(Table12[[#This Row],[residual LULUCF emissions in 2050]]-Table12[[#This Row],[GHG emissions excl LULUCF]])/(Table12[[#This Row],[NZ GHG year]]-2021)/Table12[[#This Row],[Population]])),"")</f>
        <v/>
      </c>
      <c r="AI236" s="32">
        <f>MAX(0,(1000000*(Table12[[#This Row],[Current Policies 2030 excl LULUCF]]/2+Table12[[#This Row],[GHG emissions excl LULUCF]]/2)/Table12[[#This Row],[Population]]-$AI$8)*10)*$AI$10</f>
        <v>0</v>
      </c>
      <c r="AJ236"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6" s="32" t="str">
        <f>IF(Table12[[#This Row],[Formule no Peak (2)]]="","",Table12[[#This Row],[Penalty (1)]]+Table12[[#This Row],[Formule no Peak (2)]])</f>
        <v/>
      </c>
      <c r="AL236" s="313">
        <f>(Table12[[#This Row],[Current Policies 2030 excl LULUCF]]-Table12[[#This Row],[GHG emissions excl LULUCF]])/(2030-2021)/Table12[[#This Row],[GHG emissions excl LULUCF]]</f>
        <v>2.4115455220195699E-2</v>
      </c>
      <c r="AM236" s="313" t="str">
        <f>IF(Table12[[#This Row],[Net-zero target status]]&lt;=1,"",IF(Table12[[#This Row],[NZ GHG year]]="","",(Table12[[#This Row],[residual LULUCF emissions in 2050]]-Table12[[#This Row],[Current Policies 2030 excl LULUCF]])/(Table12[[#This Row],[NZ GHG year]]-2030)/Table12[[#This Row],[Current Policies 2030 excl LULUCF]]))</f>
        <v/>
      </c>
      <c r="AN236" s="313" t="str">
        <f>IF(Table12[[#This Row],[Net-zero target status]]&lt;=1,"",IF(Table12[[#This Row],[NZ GHG year]]="","",(Table12[[#This Row],[residual LULUCF emissions in 2050]]-Table12[[#This Row],[GHG emissions excl LULUCF]])/(Table12[[#This Row],[NZ GHG year]]-2021)/Table12[[#This Row],[GHG emissions excl LULUCF]]))</f>
        <v/>
      </c>
      <c r="AO236" s="313" t="str">
        <f>IF(Table12[[#This Row],[Net-zero target status]]&lt;=1,"",IF(Table12[[#This Row],[NZ GHG year]]="","",(Table12[[#This Row],[residual LULUCF emissions in 2050]]-Table12[[#This Row],[2030 conditional NDCs]])/(Table12[[#This Row],[NZ GHG year]]-2030)/Table12[[#This Row],[2030 conditional NDCs]]))</f>
        <v/>
      </c>
      <c r="AP236" s="96">
        <f>MAX('input site'!AH236:AS236)</f>
        <v>32.356965000000002</v>
      </c>
      <c r="AQ236" s="95" t="str">
        <f>IF(Table12[[#This Row],[Current Policies 2030 incl LULUCF]]&gt;Table12[[#This Row],[Maximum inventory data]],"No","Yes")</f>
        <v>No</v>
      </c>
      <c r="AR236" s="34" t="str">
        <f>IF(Table12[[#This Row],[Net-zero target status]]&gt;=1.5,Table12[[#This Row],[residual LULUCF emissions in 2050]]/Table12[[#This Row],[GHG emissions excl LULUCF]],"")</f>
        <v/>
      </c>
      <c r="AS236" s="380" t="str">
        <f>'input site'!BE236</f>
        <v/>
      </c>
      <c r="AT236" s="380"/>
      <c r="AU236" s="380"/>
      <c r="AV236" s="380"/>
      <c r="AW236" s="74" t="str">
        <f>IF(Table12[[#This Row],[2030 unconditional NDCs]]="","",IF(F236="incl",Table12[[#This Row],[2030 unconditional NDCs]]-Table12[[#This Row],[LULUCF NDC uncond]],Table12[[#This Row],[2030 unconditional NDCs]]))</f>
        <v/>
      </c>
      <c r="AX236" s="74" t="str">
        <f>IF(Table12[[#This Row],[2030 unconditional NDCs2]]="","",IF(F236="incl",Table12[[#This Row],[2030 unconditional NDCs2]]-Table12[[#This Row],[LULUCF NDC uncond]],Table12[[#This Row],[2030 unconditional NDCs2]]))</f>
        <v/>
      </c>
      <c r="AY236" s="74" t="str">
        <f>IF(Table12[[#This Row],[2030 conditional NDCs]]="","",IF(F236="incl",Table12[[#This Row],[2030 conditional NDCs]]-Table12[[#This Row],[LULUCF NDC cond]],Table12[[#This Row],[2030 conditional NDCs]]))</f>
        <v/>
      </c>
      <c r="AZ236" s="74" t="str">
        <f>IF(Table12[[#This Row],[2030 conditional NDCs2]]="","",IF(F236="incl",Table12[[#This Row],[2030 conditional NDCs2]]-Table12[[#This Row],[LULUCF NDC cond]],Table12[[#This Row],[2030 conditional NDCs2]]))</f>
        <v/>
      </c>
      <c r="BA236" s="8">
        <f>VLOOKUP($G236,'Population90 20'!$C$6:$AU$231,37,FALSE)</f>
        <v>15331428</v>
      </c>
      <c r="BB236" s="8">
        <f>VLOOKUP($G236,'Overview GDP (PPP)'!$C$6:$AI$231,33,FALSE)</f>
        <v>38817956.227731146</v>
      </c>
      <c r="BC236" s="36">
        <f>Table12[[#This Row],[Income]]/Table12[[#This Row],[Population]]</f>
        <v>2.5319204595769649</v>
      </c>
      <c r="BD236" s="36">
        <f>Table12[[#This Row],[GHG emissions excl LULUCF]]*1000000/Table12[[#This Row],[Population]]</f>
        <v>1.7843296136537314</v>
      </c>
      <c r="BE236" s="23" t="e">
        <f>VLOOKUP($G236,EGR2023_MASTER!$B$4:$S$38,14,FALSE)</f>
        <v>#N/A</v>
      </c>
      <c r="BF236" s="23" t="e">
        <f>VLOOKUP($G236,EGR2023_MASTER!$B$4:$S$38,15,FALSE)</f>
        <v>#N/A</v>
      </c>
      <c r="BG236" s="23" t="e">
        <f>VLOOKUP($G236,EGR2023_MASTER!$B$4:$S$38,16,FALSE)</f>
        <v>#N/A</v>
      </c>
      <c r="BH236" s="23" t="e">
        <f t="shared" si="29"/>
        <v>#N/A</v>
      </c>
      <c r="BI236" s="23" t="e">
        <f t="shared" si="30"/>
        <v>#N/A</v>
      </c>
      <c r="BJ236" s="552">
        <f>(Table12[[#This Row],[Current Policies 2030 excl LULUCF]]/Table12[[#This Row],[GHG emissions excl LULUCF]])^(1/(2030-2021))-1</f>
        <v>2.2064446304015162E-2</v>
      </c>
      <c r="BK236" s="552" t="str">
        <f>IF(Table12[[#This Row],[Net-zero target status]]&lt;=1,"",IF(Table12[[#This Row],[NZ GHG year]]="","",((MAX(Table12[[#This Row],[residual LULUCF emissions in 2050]],0.1)/Table12[[#This Row],[Current Policies 2030 excl LULUCF]])^(1/(Table12[[#This Row],[NZ GHG year]]-2021))-1)))</f>
        <v/>
      </c>
      <c r="BL236" s="552" t="str">
        <f>IF(Table12[[#This Row],[Net-zero target status]]&lt;=1,"",IF(Table12[[#This Row],[NZ GHG year]]="","",((MAX(Table12[[#This Row],[residual LULUCF emissions in 2050]],0.1)/Table12[[#This Row],[GHG emissions excl LULUCF]])^(1/(Table12[[#This Row],[NZ GHG year]]-2021))-1)))</f>
        <v/>
      </c>
      <c r="BM236" s="552" t="str">
        <f>IF(Table12[[#This Row],[Net-zero target status]]&lt;=1,"",IF(Table12[[#This Row],[NZ GHG year]]="","",((MAX(Table12[[#This Row],[residual LULUCF emissions in 2050]],0.1)/AVERAGE(Table12[[#This Row],[2030 conditional NDCs]:[2030 conditional NDCs2]]))^(1/(Table12[[#This Row],[NZ GHG year]]-2021))-1)))</f>
        <v/>
      </c>
      <c r="BN236" s="23"/>
      <c r="BO236" s="23"/>
      <c r="BP236" s="23"/>
      <c r="BQ236" s="23"/>
      <c r="BR236" s="50" t="s">
        <v>501</v>
      </c>
      <c r="BT236" s="30" t="str">
        <f>IF(Table12[[#This Row],[Reduction rate 2021 to NZ target2]]="","",J236*(1+AN236)^(Table12[[#This Row],[NZ GHG year]]-2021))</f>
        <v/>
      </c>
    </row>
    <row r="237" spans="1:72" x14ac:dyDescent="0.25">
      <c r="A237" s="1">
        <v>0</v>
      </c>
      <c r="B237" s="1">
        <v>0</v>
      </c>
      <c r="C237" s="1">
        <v>0</v>
      </c>
      <c r="D237" s="1">
        <v>0</v>
      </c>
      <c r="E237" s="1">
        <v>0</v>
      </c>
      <c r="F237" s="1">
        <v>0</v>
      </c>
      <c r="J237" s="32"/>
      <c r="K237" s="32"/>
      <c r="L237" s="32"/>
      <c r="M237" s="32"/>
      <c r="N237" s="32"/>
      <c r="O237" s="8"/>
      <c r="P237" s="8"/>
      <c r="Q237" s="32"/>
      <c r="R237" s="32"/>
      <c r="S237" s="37"/>
      <c r="T237" s="33"/>
      <c r="U237" s="8"/>
      <c r="V237" s="32"/>
      <c r="W237" s="32"/>
      <c r="X237" s="32">
        <f>'LUC NGHGI'!EC227</f>
        <v>-386</v>
      </c>
      <c r="Y237" s="32">
        <f>'LUC NGHGI'!DY227</f>
        <v>-310</v>
      </c>
      <c r="Z237" s="32">
        <f>'LUC NGHGI'!DZ227</f>
        <v>-310</v>
      </c>
      <c r="AA237" s="32"/>
      <c r="AB237" s="32"/>
      <c r="AC237" s="32">
        <f>IF(F237="incl",Table12[[#This Row],[GHG emissions incl LULUCF]]-Table12[[#This Row],[LULUCF emis-sions in 20213]],Table12[[#This Row],[GHG emissions incl LULUCF]])</f>
        <v>0</v>
      </c>
      <c r="AD237" s="32"/>
      <c r="AE237" s="32"/>
      <c r="AF237" s="32"/>
      <c r="AG237" s="32" t="str">
        <f>IF(Table12[[#This Row],[Net-zero target status]]&lt;=1,"",IF(Table12[[#This Row],[NZ GHG year]]="","",1000000000*(Table12[[#This Row],[residual LULUCF emissions in 2050]]-Table12[[#This Row],[GHG emissions excl LULUCF]])/(Table12[[#This Row],[NZ GHG year]]-2021)/Table12[[#This Row],[Population]]))</f>
        <v/>
      </c>
      <c r="AH237" s="32" t="str">
        <f>IF(Table12[[#This Row],[Peak revised]]="Yes",IF(Table12[[#This Row],[Net-zero target status]]&lt;=1,"",IF(Table12[[#This Row],[NZ GHG year]]="","",1000000000*(Table12[[#This Row],[residual LULUCF emissions in 2050]]-Table12[[#This Row],[GHG emissions excl LULUCF]])/(Table12[[#This Row],[NZ GHG year]]-2021)/Table12[[#This Row],[Population]])),"")</f>
        <v/>
      </c>
      <c r="AI237" s="32" t="e">
        <f>MAX(0,(1000000*(Table12[[#This Row],[Current Policies 2030 excl LULUCF]]/2+Table12[[#This Row],[GHG emissions excl LULUCF]]/2)/Table12[[#This Row],[Population]]-$AI$8)*10)*$AI$10</f>
        <v>#DIV/0!</v>
      </c>
      <c r="AJ237"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7" s="32" t="str">
        <f>IF(Table12[[#This Row],[Formule no Peak (2)]]="","",Table12[[#This Row],[Penalty (1)]]+Table12[[#This Row],[Formule no Peak (2)]])</f>
        <v/>
      </c>
      <c r="AL237" s="378" t="e">
        <f>(Table12[[#This Row],[Current Policies 2030 excl LULUCF]]-Table12[[#This Row],[GHG emissions excl LULUCF]])/(2030-2021)/Table12[[#This Row],[GHG emissions excl LULUCF]]</f>
        <v>#DIV/0!</v>
      </c>
      <c r="AM237" s="378" t="str">
        <f>IF(Table12[[#This Row],[Net-zero target status]]&lt;=1,"",IF(Table12[[#This Row],[NZ GHG year]]="","",(Table12[[#This Row],[residual LULUCF emissions in 2050]]-Table12[[#This Row],[Current Policies 2030 excl LULUCF]])/(Table12[[#This Row],[NZ GHG year]]-2030)/Table12[[#This Row],[Current Policies 2030 excl LULUCF]]))</f>
        <v/>
      </c>
      <c r="AN237" s="379" t="str">
        <f>IF(Table12[[#This Row],[Net-zero target status]]&lt;=1,"",IF(Table12[[#This Row],[NZ GHG year]]="","",(Table12[[#This Row],[residual LULUCF emissions in 2050]]-Table12[[#This Row],[GHG emissions excl LULUCF]])/(Table12[[#This Row],[NZ GHG year]]-2021)/Table12[[#This Row],[GHG emissions excl LULUCF]]))</f>
        <v/>
      </c>
      <c r="AO237" s="379" t="str">
        <f>IF(Table12[[#This Row],[Net-zero target status]]&lt;=1,"",IF(Table12[[#This Row],[NZ GHG year]]="","",(Table12[[#This Row],[residual LULUCF emissions in 2050]]-Table12[[#This Row],[2030 conditional NDCs]])/(Table12[[#This Row],[NZ GHG year]]-2030)/Table12[[#This Row],[2030 conditional NDCs]]))</f>
        <v/>
      </c>
      <c r="AP237" s="96">
        <f>MAX('input site'!AH237:AS237)</f>
        <v>0</v>
      </c>
      <c r="AQ237" s="95" t="str">
        <f>IF(Table12[[#This Row],[Current Policies 2030 incl LULUCF]]&gt;Table12[[#This Row],[Maximum inventory data]],"No","Yes")</f>
        <v>Yes</v>
      </c>
      <c r="AR237" s="96" t="str">
        <f>IF(Table12[[#This Row],[Net-zero target status]]&gt;=1.5,Table12[[#This Row],[residual LULUCF emissions in 2050]]/Table12[[#This Row],[GHG emissions excl LULUCF]],"")</f>
        <v/>
      </c>
      <c r="AS237" s="381"/>
      <c r="AT237" s="381"/>
      <c r="AU237" s="381"/>
      <c r="AV237" s="381"/>
      <c r="AW237" s="74" t="str">
        <f>IF(Table12[[#This Row],[2030 unconditional NDCs]]="","",IF(F237="incl",Table12[[#This Row],[2030 unconditional NDCs]]-Table12[[#This Row],[LULUCF NDC uncond]],Table12[[#This Row],[2030 unconditional NDCs]]))</f>
        <v/>
      </c>
      <c r="AX237" s="74" t="str">
        <f>IF(Table12[[#This Row],[2030 unconditional NDCs2]]="","",IF(F237="incl",Table12[[#This Row],[2030 unconditional NDCs2]]-Table12[[#This Row],[LULUCF NDC uncond]],Table12[[#This Row],[2030 unconditional NDCs2]]))</f>
        <v/>
      </c>
      <c r="AY237" s="74" t="str">
        <f>IF(Table12[[#This Row],[2030 conditional NDCs]]="","",IF(F237="incl",Table12[[#This Row],[2030 conditional NDCs]]-Table12[[#This Row],[LULUCF NDC cond]],Table12[[#This Row],[2030 conditional NDCs]]))</f>
        <v/>
      </c>
      <c r="AZ237" s="74" t="str">
        <f>IF(Table12[[#This Row],[2030 conditional NDCs2]]="","",IF(F237="incl",Table12[[#This Row],[2030 conditional NDCs2]]-Table12[[#This Row],[LULUCF NDC cond]],Table12[[#This Row],[2030 conditional NDCs2]]))</f>
        <v/>
      </c>
      <c r="BA237" s="8"/>
      <c r="BB237" s="8"/>
      <c r="BC237" s="36"/>
      <c r="BD237" s="36" t="e">
        <f>Table12[[#This Row],[GHG emissions excl LULUCF]]*1000000/Table12[[#This Row],[Population]]</f>
        <v>#DIV/0!</v>
      </c>
      <c r="BE237" s="23" t="e">
        <f>VLOOKUP($G237,EGR2023_MASTER!$B$4:$S$38,14,FALSE)</f>
        <v>#N/A</v>
      </c>
      <c r="BF237" s="23" t="e">
        <f>VLOOKUP($G237,EGR2023_MASTER!$B$4:$S$38,15,FALSE)</f>
        <v>#N/A</v>
      </c>
      <c r="BG237" s="23" t="e">
        <f>VLOOKUP($G237,EGR2023_MASTER!$B$4:$S$38,16,FALSE)</f>
        <v>#N/A</v>
      </c>
      <c r="BH237" s="23" t="e">
        <f t="shared" si="29"/>
        <v>#N/A</v>
      </c>
      <c r="BI237" s="23" t="e">
        <f t="shared" si="30"/>
        <v>#N/A</v>
      </c>
      <c r="BJ237" s="552" t="e">
        <f>(Table12[[#This Row],[Current Policies 2030 excl LULUCF]]/Table12[[#This Row],[GHG emissions excl LULUCF]])^(1/(2030-2021))-1</f>
        <v>#DIV/0!</v>
      </c>
      <c r="BK237" s="552" t="str">
        <f>IF(Table12[[#This Row],[Net-zero target status]]&lt;=1,"",IF(Table12[[#This Row],[NZ GHG year]]="","",((MAX(Table12[[#This Row],[residual LULUCF emissions in 2050]],0.1)/Table12[[#This Row],[Current Policies 2030 excl LULUCF]])^(1/(Table12[[#This Row],[NZ GHG year]]-2021))-1)))</f>
        <v/>
      </c>
      <c r="BL237" s="552" t="str">
        <f>IF(Table12[[#This Row],[Net-zero target status]]&lt;=1,"",IF(Table12[[#This Row],[NZ GHG year]]="","",((MAX(Table12[[#This Row],[residual LULUCF emissions in 2050]],0.1)/Table12[[#This Row],[GHG emissions excl LULUCF]])^(1/(Table12[[#This Row],[NZ GHG year]]-2021))-1)))</f>
        <v/>
      </c>
      <c r="BM237" s="552" t="str">
        <f>IF(Table12[[#This Row],[Net-zero target status]]&lt;=1,"",IF(Table12[[#This Row],[NZ GHG year]]="","",((MAX(Table12[[#This Row],[residual LULUCF emissions in 2050]],0.1)/AVERAGE(Table12[[#This Row],[2030 conditional NDCs]:[2030 conditional NDCs2]]))^(1/(Table12[[#This Row],[NZ GHG year]]-2021))-1)))</f>
        <v/>
      </c>
      <c r="BN237" s="23"/>
      <c r="BO237" s="23"/>
      <c r="BP237" s="23"/>
      <c r="BQ237" s="23"/>
      <c r="BR237" s="50"/>
      <c r="BT237" s="67"/>
    </row>
    <row r="238" spans="1:72" ht="15" x14ac:dyDescent="0.25">
      <c r="A238" s="1">
        <v>1</v>
      </c>
      <c r="B238" s="1">
        <v>1</v>
      </c>
      <c r="C238" s="1">
        <v>0</v>
      </c>
      <c r="D238" s="1">
        <v>0</v>
      </c>
      <c r="E238" s="1">
        <v>0</v>
      </c>
      <c r="F238" s="1" t="s">
        <v>2353</v>
      </c>
      <c r="G238" s="31" t="s">
        <v>2197</v>
      </c>
      <c r="H238" s="44" t="s">
        <v>502</v>
      </c>
      <c r="I238" s="40">
        <v>2</v>
      </c>
      <c r="J238" s="40">
        <f>'input site'!ER238</f>
        <v>3489.8668493</v>
      </c>
      <c r="K238" s="40">
        <f>'input site'!ES238</f>
        <v>3492.9891818531241</v>
      </c>
      <c r="L238" s="40">
        <f>IF(I238&gt;=1,O238,K238)</f>
        <v>0</v>
      </c>
      <c r="M238" s="40">
        <f>IF(I238&gt;=1,O238,N238)</f>
        <v>0</v>
      </c>
      <c r="N238" s="40">
        <f>'input site'!EV238</f>
        <v>737.87976456758611</v>
      </c>
      <c r="O238" s="40">
        <v>0</v>
      </c>
      <c r="P238" s="40">
        <f>O238-N238</f>
        <v>-737.87976456758611</v>
      </c>
      <c r="Q238" s="40">
        <f>IF(I238&gt;=1,O238,R238)</f>
        <v>0</v>
      </c>
      <c r="R238" s="40">
        <f>'input site'!EZ238</f>
        <v>399.8131520737922</v>
      </c>
      <c r="S238" s="40">
        <v>2050</v>
      </c>
      <c r="T238" s="44" t="s">
        <v>502</v>
      </c>
      <c r="U238" s="1">
        <v>2050</v>
      </c>
      <c r="V238" s="1">
        <v>2050</v>
      </c>
      <c r="W238" s="45">
        <f>-'LUC NGHGI'!EC227</f>
        <v>386</v>
      </c>
      <c r="X238" s="32">
        <f>'LUC NGHGI'!EC227</f>
        <v>-386</v>
      </c>
      <c r="Y238" s="32">
        <f>'LUC NGHGI'!DY227</f>
        <v>-310</v>
      </c>
      <c r="Z238" s="32">
        <f>'LUC NGHGI'!DZ227</f>
        <v>-310</v>
      </c>
      <c r="AA238" s="548">
        <f>Table12[[#This Row],[2021 emissions]]</f>
        <v>3489.8668493</v>
      </c>
      <c r="AB238" s="548">
        <f>'LUC NGHGI'!DW227</f>
        <v>-230.77871276794869</v>
      </c>
      <c r="AC238" s="32">
        <f>IF(F238="incl",Table12[[#This Row],[GHG emissions incl LULUCF]]-Table12[[#This Row],[LULUCF emis-sions in 20213]],Table12[[#This Row],[GHG emissions incl LULUCF]])</f>
        <v>3720.6455620679485</v>
      </c>
      <c r="AD238" s="32">
        <f>'input site'!BS238</f>
        <v>1776.8186778599099</v>
      </c>
      <c r="AE238" s="32">
        <f>'LUC NGHGI'!EH227</f>
        <v>-310</v>
      </c>
      <c r="AF238" s="32">
        <f>IF(F238="incl",Table12[[#This Row],[Current Policies 2030 incl LULUCF]]-Table12[[#This Row],[LULUCF CurPol 2030]],Table12[[#This Row],[Current Policies 2030 incl LULUCF]])</f>
        <v>2086.8186778599102</v>
      </c>
      <c r="AG238" s="32">
        <f>IF(Table12[[#This Row],[Net-zero target status]]&lt;=1,"",IF(Table12[[#This Row],[NZ GHG year]]="","",1000000000*(Table12[[#This Row],[residual LULUCF emissions in 2050]]-Table12[[#This Row],[GHG emissions excl LULUCF]])/(Table12[[#This Row],[NZ GHG year]]-2021)/Table12[[#This Row],[Population]]))</f>
        <v>-223.83462573969322</v>
      </c>
      <c r="AH238" s="32">
        <f>IF(Table12[[#This Row],[Peak revised]]="Yes",IF(Table12[[#This Row],[Net-zero target status]]&lt;=1,"",IF(Table12[[#This Row],[NZ GHG year]]="","",1000000000*(Table12[[#This Row],[residual LULUCF emissions in 2050]]-Table12[[#This Row],[GHG emissions excl LULUCF]])/(Table12[[#This Row],[NZ GHG year]]-2021)/Table12[[#This Row],[Population]])),"")</f>
        <v>-223.83462573969322</v>
      </c>
      <c r="AI238" s="32">
        <f>MAX(0,(1000000*(Table12[[#This Row],[Current Policies 2030 excl LULUCF]]/2+Table12[[#This Row],[GHG emissions excl LULUCF]]/2)/Table12[[#This Row],[Population]]-$AI$8)*10)*$AI$10</f>
        <v>0</v>
      </c>
      <c r="AJ238" s="32" t="str">
        <f>IF(Table12[[#This Row],[Peak revised]]="No",IF(Table12[[#This Row],[Net-zero target status]]&lt;=1,"",IF(Table12[[#This Row],[NZ GHG year]]="","",1000000000*(Table12[[#This Row],[residual LULUCF emissions in 2050]]-Table12[[#This Row],[Current Policies 2030 excl LULUCF]])/(Table12[[#This Row],[NZ GHG year]]-2021)/Table12[[#This Row],[Population]])),"")</f>
        <v/>
      </c>
      <c r="AK238" s="32" t="str">
        <f>IF(Table12[[#This Row],[Formule no Peak (2)]]="","",Table12[[#This Row],[Penalty (1)]]+Table12[[#This Row],[Formule no Peak (2)]])</f>
        <v/>
      </c>
      <c r="AL238" s="314">
        <f>(Table12[[#This Row],[Current Policies 2030 excl LULUCF]]-Table12[[#This Row],[GHG emissions excl LULUCF]])/(2030-2021)/Table12[[#This Row],[GHG emissions excl LULUCF]]</f>
        <v>-4.8791618937940776E-2</v>
      </c>
      <c r="AM238" s="314">
        <f>IF(Table12[[#This Row],[Net-zero target status]]&lt;=1,"",IF(Table12[[#This Row],[NZ GHG year]]="","",(Table12[[#This Row],[residual LULUCF emissions in 2050]]-Table12[[#This Row],[Current Policies 2030 excl LULUCF]])/(Table12[[#This Row],[NZ GHG year]]-2030)/Table12[[#This Row],[Current Policies 2030 excl LULUCF]]))</f>
        <v>-4.0751472466312846E-2</v>
      </c>
      <c r="AN238" s="314">
        <f>IF(Table12[[#This Row],[Net-zero target status]]&lt;=1,"",IF(Table12[[#This Row],[NZ GHG year]]="","",(Table12[[#This Row],[residual LULUCF emissions in 2050]]-Table12[[#This Row],[GHG emissions excl LULUCF]])/(Table12[[#This Row],[NZ GHG year]]-2021)/Table12[[#This Row],[GHG emissions excl LULUCF]]))</f>
        <v>-3.0905329756385724E-2</v>
      </c>
      <c r="AO238" s="314">
        <f>IF(Table12[[#This Row],[Net-zero target status]]&lt;=1,"",IF(Table12[[#This Row],[NZ GHG year]]="","",(Table12[[#This Row],[residual LULUCF emissions in 2050]]-Table12[[#This Row],[2030 conditional NDCs]])/(Table12[[#This Row],[NZ GHG year]]-2030)/Table12[[#This Row],[2030 conditional NDCs]]))</f>
        <v>-4.0743138891287035E-2</v>
      </c>
      <c r="AP238" s="96">
        <f>MAX('input site'!AH238:AS238)</f>
        <v>3824.2039411000001</v>
      </c>
      <c r="AQ238" s="95" t="str">
        <f>IF(Table12[[#This Row],[Current Policies 2030 incl LULUCF]]&gt;Table12[[#This Row],[Maximum inventory data]],"No","Yes")</f>
        <v>Yes</v>
      </c>
      <c r="AR238" s="46">
        <f>IF(Table12[[#This Row],[Net-zero target status]]&gt;=1.5,Table12[[#This Row],[residual LULUCF emissions in 2050]]/Table12[[#This Row],[GHG emissions excl LULUCF]],"")</f>
        <v>0.10374543706481404</v>
      </c>
      <c r="AS238" s="382">
        <f>'input site'!BE238</f>
        <v>2084.9399999999996</v>
      </c>
      <c r="AT238" s="382">
        <f>'input site'!BF238</f>
        <v>2084.9399999999996</v>
      </c>
      <c r="AU238" s="382">
        <f>'input site'!BG238</f>
        <v>2084.9399999999996</v>
      </c>
      <c r="AV238" s="382">
        <f>'input site'!BH238</f>
        <v>2084.9399999999996</v>
      </c>
      <c r="AW238" s="74">
        <f>IF(Table12[[#This Row],[2030 unconditional NDCs]]="","",IF(F238="incl",Table12[[#This Row],[2030 unconditional NDCs]]-Table12[[#This Row],[LULUCF NDC uncond]],Table12[[#This Row],[2030 unconditional NDCs]]))</f>
        <v>2394.9399999999996</v>
      </c>
      <c r="AX238" s="74">
        <f>IF(Table12[[#This Row],[2030 unconditional NDCs2]]="","",IF(F238="incl",Table12[[#This Row],[2030 unconditional NDCs2]]-Table12[[#This Row],[LULUCF NDC uncond]],Table12[[#This Row],[2030 unconditional NDCs2]]))</f>
        <v>2394.9399999999996</v>
      </c>
      <c r="AY238" s="74">
        <f>IF(Table12[[#This Row],[2030 conditional NDCs]]="","",IF(F238="incl",Table12[[#This Row],[2030 conditional NDCs]]-Table12[[#This Row],[LULUCF NDC cond]],Table12[[#This Row],[2030 conditional NDCs]]))</f>
        <v>2394.9399999999996</v>
      </c>
      <c r="AZ238" s="74">
        <f>IF(Table12[[#This Row],[2030 conditional NDCs2]]="","",IF(F238="incl",Table12[[#This Row],[2030 conditional NDCs2]]-Table12[[#This Row],[LULUCF NDC cond]],Table12[[#This Row],[2030 conditional NDCs2]]))</f>
        <v>2394.9399999999996</v>
      </c>
      <c r="BA238" s="377">
        <f>'Population90 20'!AM231*1000</f>
        <v>513717561.00000018</v>
      </c>
      <c r="BB238" s="377">
        <f>'Overview GDP (PPP)'!AI231*1000</f>
        <v>19246201824.968151</v>
      </c>
      <c r="BC238" s="36">
        <f>Table12[[#This Row],[Income]]/Table12[[#This Row],[Population]]</f>
        <v>37.464558905682701</v>
      </c>
      <c r="BD238" s="36">
        <f>Table12[[#This Row],[GHG emissions excl LULUCF]]*1000000/Table12[[#This Row],[Population]]</f>
        <v>7.2425897896606015</v>
      </c>
      <c r="BE238" s="23" t="str">
        <f>EGR2023_MASTER!O$9</f>
        <v>Y</v>
      </c>
      <c r="BF238" s="23" t="str">
        <f>EGR2023_MASTER!P$9</f>
        <v>Credible</v>
      </c>
      <c r="BG238" s="23" t="str">
        <f>EGR2023_MASTER!R$9</f>
        <v>y</v>
      </c>
      <c r="BH238" s="23" t="str">
        <f t="shared" si="29"/>
        <v>higher</v>
      </c>
      <c r="BI238" s="23" t="str">
        <f t="shared" si="30"/>
        <v>stronger</v>
      </c>
      <c r="BJ238" s="552">
        <f>(Table12[[#This Row],[Current Policies 2030 excl LULUCF]]/Table12[[#This Row],[GHG emissions excl LULUCF]])^(1/(2030-2021))-1</f>
        <v>-6.2230144354015082E-2</v>
      </c>
      <c r="BK238" s="552">
        <f>IF(Table12[[#This Row],[Net-zero target status]]&lt;=1,"",IF(Table12[[#This Row],[NZ GHG year]]="","",((MAX(Table12[[#This Row],[residual LULUCF emissions in 2050]],0.1)/Table12[[#This Row],[Current Policies 2030 excl LULUCF]])^(1/(Table12[[#This Row],[NZ GHG year]]-2021))-1)))</f>
        <v>-5.6530911842520792E-2</v>
      </c>
      <c r="BL238" s="552">
        <f>IF(Table12[[#This Row],[Net-zero target status]]&lt;=1,"",IF(Table12[[#This Row],[NZ GHG year]]="","",((MAX(Table12[[#This Row],[residual LULUCF emissions in 2050]],0.1)/Table12[[#This Row],[GHG emissions excl LULUCF]])^(1/(Table12[[#This Row],[NZ GHG year]]-2021))-1)))</f>
        <v>-7.515724933722312E-2</v>
      </c>
      <c r="BM238" s="552">
        <f>IF(Table12[[#This Row],[Net-zero target status]]&lt;=1,"",IF(Table12[[#This Row],[NZ GHG year]]="","",((MAX(Table12[[#This Row],[residual LULUCF emissions in 2050]],0.1)/AVERAGE(Table12[[#This Row],[2030 conditional NDCs]:[2030 conditional NDCs2]]))^(1/(Table12[[#This Row],[NZ GHG year]]-2021))-1)))</f>
        <v>-5.6501609685860266E-2</v>
      </c>
      <c r="BN238" s="23"/>
      <c r="BO238" s="23"/>
      <c r="BP238" s="23"/>
      <c r="BQ238" s="23"/>
      <c r="BR238" s="50" t="s">
        <v>502</v>
      </c>
      <c r="BT238" s="30">
        <f>J238*(1+AN238)^(2050-2021)</f>
        <v>1404.1994694411937</v>
      </c>
    </row>
    <row r="239" spans="1:72" x14ac:dyDescent="0.25">
      <c r="J239" s="30"/>
      <c r="K239" s="30"/>
      <c r="L239" s="30"/>
      <c r="M239" s="30"/>
      <c r="N239" s="30"/>
      <c r="S239" s="41"/>
      <c r="T239" s="33">
        <f>Table12[[#This Row],[(Mt CO2 equivalent)]]</f>
        <v>0</v>
      </c>
      <c r="U239" s="8"/>
      <c r="V239" s="32" t="e">
        <f>VLOOKUP($G239,'[12]NZT data'!$B$3:$F$200,4,FALSE)</f>
        <v>#N/A</v>
      </c>
      <c r="W239" s="32">
        <f>-IF('[12]LUC NGHGI'!EC229="",'[12]LUC NGHGI'!DW229,'[12]LUC NGHGI'!EC229)</f>
        <v>4157.6907401159478</v>
      </c>
      <c r="X239" s="32">
        <f>'LUC NGHGI'!EC229</f>
        <v>-5218.6018951665428</v>
      </c>
      <c r="Y239" s="32">
        <f>'LUC NGHGI'!DY229</f>
        <v>-4658.4473808914445</v>
      </c>
      <c r="Z239" s="32">
        <f>'LUC NGHGI'!DZ229</f>
        <v>-5690.9131140844747</v>
      </c>
      <c r="AA239" s="32"/>
      <c r="AB239" s="32">
        <f>'LUC NGHGI'!DW229</f>
        <v>-4157.6907401159478</v>
      </c>
      <c r="AC239" s="32">
        <f>IF(F239="incl",Table12[[#This Row],[GHG emissions incl LULUCF]]-Table12[[#This Row],[LULUCF emis-sions in 20213]],Table12[[#This Row],[GHG emissions incl LULUCF]])</f>
        <v>0</v>
      </c>
      <c r="AD239" s="379">
        <f>'input site'!BN239</f>
        <v>0</v>
      </c>
      <c r="AE239" s="32"/>
      <c r="AF239" s="32"/>
      <c r="AG239" s="32" t="str">
        <f>IF(Table12[[#This Row],[Net-zero target status]]&lt;=1,"",IF(Table12[[#This Row],[NZ GHG year]]="","",1000000000*(Table12[[#This Row],[residual LULUCF emissions in 2050]]-Table12[[#This Row],[GHG emissions excl LULUCF]])/(Table12[[#This Row],[NZ GHG year]]-2021))/Table12[[#This Row],[Population]])</f>
        <v/>
      </c>
      <c r="AH239" s="32"/>
      <c r="AI239" s="32"/>
      <c r="AJ239" s="32"/>
      <c r="AK239" s="32"/>
      <c r="AL239" s="378"/>
      <c r="AM239" s="313"/>
      <c r="AN239" s="379" t="str">
        <f>IF(Table12[[#This Row],[Net-zero target status]]&lt;=1,"",IF(Table12[[#This Row],[NZ GHG year]]="","",((MAX(Table12[[#This Row],[residual LULUCF emissions in 2050]],0.1)/Table12[[#This Row],[2021 emissions]])^(1/(Table12[[#This Row],[NZ GHG year]]-2021))-1)))</f>
        <v/>
      </c>
      <c r="AO239" s="313"/>
      <c r="AP239" s="96">
        <f>MAX('input site'!O239:AS239)</f>
        <v>0</v>
      </c>
      <c r="AQ239" s="95" t="str">
        <f>IF(Table12[[#This Row],[Current Policies 2030 incl LULUCF]]&gt;Table12[[#This Row],[Maximum inventory data]],"No","Yes")</f>
        <v>Yes</v>
      </c>
      <c r="AR239" s="96" t="e">
        <f>Table12[[#This Row],[residual LULUCF emissions in 2050]]/Table12[[#This Row],[2021 emissions]]</f>
        <v>#DIV/0!</v>
      </c>
      <c r="AS239" s="8"/>
      <c r="AT239" s="8"/>
      <c r="AU239" s="8"/>
      <c r="AV239" s="8"/>
      <c r="AW239" s="32" t="str">
        <f>IF(Table12[[#This Row],[2030 unconditional NDCs]]="","",IF(F239="incl",Table12[[#This Row],[2030 unconditional NDCs]]-Table12[[#This Row],[LULUCF NDC uncond]],Table12[[#This Row],[2030 unconditional NDCs]]))</f>
        <v/>
      </c>
      <c r="AX239" s="32" t="str">
        <f>IF(Table12[[#This Row],[2030 unconditional NDCs2]]="","",IF(F239="incl",Table12[[#This Row],[2030 unconditional NDCs2]]-Table12[[#This Row],[LULUCF NDC uncond]],Table12[[#This Row],[2030 unconditional NDCs2]]))</f>
        <v/>
      </c>
      <c r="AY239" s="32" t="str">
        <f>IF(Table12[[#This Row],[2030 conditional NDCs]]="","",IF(F239="incl",Table12[[#This Row],[2030 conditional NDCs]]-Table12[[#This Row],[LULUCF NDC cond]],Table12[[#This Row],[2030 conditional NDCs]]))</f>
        <v/>
      </c>
      <c r="AZ239" s="32" t="str">
        <f>IF(Table12[[#This Row],[2030 conditional NDCs2]]="","",IF(F239="incl",Table12[[#This Row],[2030 conditional NDCs2]]-Table12[[#This Row],[LULUCF NDC cond]],Table12[[#This Row],[2030 conditional NDCs2]]))</f>
        <v/>
      </c>
      <c r="BA239" s="8" t="e">
        <f>VLOOKUP($G239,'Population90 20'!$C$6:$AU$231,37,FALSE)</f>
        <v>#N/A</v>
      </c>
      <c r="BB239" s="8" t="e">
        <f>VLOOKUP($G239,'Overview GDP (PPP)'!$C$6:$AI$231,33,FALSE)</f>
        <v>#N/A</v>
      </c>
      <c r="BC239" s="8" t="e">
        <f>VLOOKUP($G239,'Overview GDP (PPP)'!$C$6:$AI$231,33,FALSE)</f>
        <v>#N/A</v>
      </c>
      <c r="BD239" s="36"/>
      <c r="BE239" s="23" t="e">
        <f>VLOOKUP($G239,EGR2023_MASTER!$B$4:$S$38,14,FALSE)</f>
        <v>#N/A</v>
      </c>
      <c r="BF239" s="23" t="e">
        <f>VLOOKUP($G239,EGR2023_MASTER!$B$4:$S$38,15,FALSE)</f>
        <v>#N/A</v>
      </c>
      <c r="BG239" s="23" t="e">
        <f>VLOOKUP($G239,EGR2023_MASTER!$B$4:$S$38,16,FALSE)</f>
        <v>#N/A</v>
      </c>
      <c r="BH239" s="23" t="e">
        <f t="shared" si="29"/>
        <v>#N/A</v>
      </c>
      <c r="BI239" s="23" t="e">
        <f t="shared" ref="BI239" si="34">IF(AND($BF239="credible",BG239="Y"),"stronger","weak")</f>
        <v>#N/A</v>
      </c>
      <c r="BJ239" s="23"/>
      <c r="BK239" s="23"/>
      <c r="BL239" s="23"/>
      <c r="BM239" s="23"/>
      <c r="BN239" s="23"/>
      <c r="BO239" s="23"/>
      <c r="BP239" s="23"/>
      <c r="BQ239" s="23"/>
      <c r="BR239" s="23"/>
    </row>
    <row r="240" spans="1:72" x14ac:dyDescent="0.25">
      <c r="AW240" s="30"/>
      <c r="AX240" s="30"/>
      <c r="AY240" s="30"/>
      <c r="AZ240" s="30"/>
      <c r="BF240" s="23"/>
      <c r="BG240" s="23"/>
      <c r="BH240" s="23"/>
      <c r="BI240" s="23"/>
    </row>
    <row r="241" spans="8:61" ht="15" x14ac:dyDescent="0.25">
      <c r="M241" s="48"/>
      <c r="N241" s="48"/>
      <c r="O241" s="48"/>
      <c r="P241" s="22"/>
      <c r="Q241" s="22"/>
      <c r="R241" s="22"/>
      <c r="S241" s="49"/>
      <c r="T241" s="49"/>
      <c r="U241" s="47"/>
      <c r="V241" s="47"/>
      <c r="W241" s="47"/>
      <c r="X241" s="47"/>
      <c r="Y241" s="47"/>
      <c r="Z241" s="47"/>
      <c r="AA241" s="47"/>
      <c r="AB241" s="47"/>
      <c r="AC241" s="47"/>
      <c r="AD241" s="47"/>
      <c r="AE241" s="47"/>
      <c r="AF241" s="47"/>
      <c r="AG241" s="47"/>
      <c r="AH241" s="47"/>
      <c r="AI241" s="47"/>
      <c r="AJ241" s="47"/>
      <c r="AK241" s="47"/>
      <c r="AL241" s="47"/>
      <c r="AM241" s="47"/>
      <c r="AS241" s="42"/>
      <c r="AT241" s="43"/>
      <c r="AU241" s="42"/>
      <c r="AV241" s="43"/>
      <c r="AW241" s="106"/>
      <c r="AX241" s="106"/>
      <c r="AY241" s="106"/>
      <c r="AZ241" s="106"/>
      <c r="BF241" s="385"/>
      <c r="BG241" s="23"/>
      <c r="BH241" s="23"/>
      <c r="BI241" s="23"/>
    </row>
    <row r="242" spans="8:61" x14ac:dyDescent="0.25">
      <c r="H242" s="1" t="s">
        <v>503</v>
      </c>
      <c r="AW242" s="30"/>
      <c r="AX242" s="30"/>
      <c r="AY242" s="30"/>
      <c r="AZ242" s="30"/>
      <c r="BF242" s="23"/>
      <c r="BG242" s="23"/>
      <c r="BH242" s="23"/>
      <c r="BI242" s="23"/>
    </row>
    <row r="243" spans="8:61" x14ac:dyDescent="0.25">
      <c r="H243" s="47" t="s">
        <v>504</v>
      </c>
      <c r="I243" s="47"/>
      <c r="J243" s="51">
        <f>'input site'!CP241</f>
        <v>1369.8462354807</v>
      </c>
      <c r="K243" s="51">
        <f>'input site'!CQ241</f>
        <v>1699</v>
      </c>
      <c r="L243" s="51">
        <f>'input site'!CR241</f>
        <v>1699</v>
      </c>
      <c r="M243" s="52">
        <f>'input site'!CS241</f>
        <v>697.73582116832836</v>
      </c>
      <c r="N243" s="52">
        <f>'input site'!CT241</f>
        <v>697.73582116832836</v>
      </c>
      <c r="O243" s="52">
        <f>'input site'!CU241</f>
        <v>697.73582116832836</v>
      </c>
      <c r="P243" s="51">
        <f>'input site'!CR259</f>
        <v>0</v>
      </c>
      <c r="Q243" s="52">
        <f>'input site'!CS259</f>
        <v>0</v>
      </c>
      <c r="R243" s="52">
        <f>'input site'!CT259</f>
        <v>0</v>
      </c>
      <c r="S243" s="53"/>
      <c r="T243" s="53"/>
      <c r="U243" s="47"/>
      <c r="V243" s="47"/>
      <c r="W243" s="47"/>
      <c r="X243" s="47"/>
      <c r="Y243" s="47"/>
      <c r="Z243" s="47"/>
      <c r="AA243" s="47"/>
      <c r="AB243" s="47"/>
      <c r="AC243" s="47"/>
      <c r="AD243" s="47"/>
      <c r="AE243" s="47"/>
      <c r="AF243" s="47"/>
      <c r="AG243" s="47"/>
      <c r="AH243" s="47"/>
      <c r="AI243" s="47"/>
      <c r="AJ243" s="47"/>
      <c r="AK243" s="47"/>
      <c r="AL243" s="47"/>
      <c r="AM243" s="47"/>
      <c r="AW243" s="30"/>
      <c r="AX243" s="30"/>
      <c r="AY243" s="30"/>
      <c r="AZ243" s="30"/>
      <c r="BF243" s="23"/>
      <c r="BG243" s="23"/>
      <c r="BH243" s="23"/>
      <c r="BI243" s="23"/>
    </row>
    <row r="244" spans="8:61" x14ac:dyDescent="0.25">
      <c r="H244" s="3" t="s">
        <v>505</v>
      </c>
      <c r="J244" s="30">
        <f>'input site'!CP242</f>
        <v>-1216.4034791428915</v>
      </c>
      <c r="K244" s="30">
        <f>'input site'!CQ242</f>
        <v>-1306.8545161426136</v>
      </c>
      <c r="L244" s="30">
        <f>'input site'!CR242</f>
        <v>-1306.8545161426136</v>
      </c>
      <c r="M244" s="54">
        <f>'input site'!CS242</f>
        <v>-406.32250867899421</v>
      </c>
      <c r="N244" s="54">
        <f>'input site'!CT242</f>
        <v>-406.32250867899421</v>
      </c>
      <c r="O244" s="54">
        <f>'input site'!CU242</f>
        <v>-406.32250867899421</v>
      </c>
      <c r="P244" s="30">
        <f>'input site'!CR260</f>
        <v>0</v>
      </c>
      <c r="Q244" s="54">
        <f>'input site'!CS260</f>
        <v>0</v>
      </c>
      <c r="R244" s="54">
        <f>'input site'!CT260</f>
        <v>0</v>
      </c>
      <c r="BF244" s="23"/>
      <c r="BG244" s="23"/>
      <c r="BH244" s="23"/>
      <c r="BI244" s="23"/>
    </row>
    <row r="245" spans="8:61" ht="15" x14ac:dyDescent="0.25">
      <c r="H245" s="55" t="s">
        <v>506</v>
      </c>
      <c r="I245" s="51"/>
      <c r="J245" s="56">
        <f>J261+J246</f>
        <v>56769.326905074289</v>
      </c>
      <c r="K245" s="56">
        <f>K261+K246</f>
        <v>57000.510541693096</v>
      </c>
      <c r="L245" s="56">
        <f>L261+L246</f>
        <v>20633.561791141849</v>
      </c>
      <c r="M245" s="56">
        <f>M261+M246</f>
        <v>13001.698990107283</v>
      </c>
      <c r="N245" s="56">
        <f>N261+N246</f>
        <v>17778.389261672422</v>
      </c>
      <c r="O245" s="56">
        <f>O261+J246*N263/J263</f>
        <v>16415.883223884775</v>
      </c>
      <c r="P245" s="56">
        <f>-M245+O245</f>
        <v>3414.1842337774924</v>
      </c>
      <c r="Q245" s="56">
        <f>Q261+Q246</f>
        <v>9428.8297898635374</v>
      </c>
      <c r="R245" s="56">
        <f>R261+R246</f>
        <v>5587.8717094868907</v>
      </c>
      <c r="S245" s="57"/>
      <c r="T245" s="57"/>
      <c r="BF245" s="23"/>
      <c r="BG245" s="23"/>
      <c r="BH245" s="23"/>
      <c r="BI245" s="23"/>
    </row>
    <row r="246" spans="8:61" x14ac:dyDescent="0.25">
      <c r="H246" s="1" t="s">
        <v>507</v>
      </c>
      <c r="J246" s="30">
        <f>'input site'!CP244</f>
        <v>6562</v>
      </c>
      <c r="K246" s="30">
        <f>'input site'!CQ244</f>
        <v>6562</v>
      </c>
      <c r="L246" s="30">
        <f>'input site'!CR244</f>
        <v>6562</v>
      </c>
      <c r="M246" s="30">
        <f>'input site'!CS244</f>
        <v>2040.2334529336356</v>
      </c>
      <c r="N246" s="30">
        <f>'input site'!CT244</f>
        <v>2040.2334529336356</v>
      </c>
      <c r="O246" s="30"/>
      <c r="P246" s="30">
        <f>'input site'!CR262</f>
        <v>0</v>
      </c>
      <c r="Q246" s="30">
        <f>'input site'!CS262</f>
        <v>0</v>
      </c>
      <c r="R246" s="30">
        <f>'input site'!CT262</f>
        <v>0</v>
      </c>
    </row>
    <row r="247" spans="8:61" x14ac:dyDescent="0.25">
      <c r="J247" s="30"/>
      <c r="K247" s="30"/>
      <c r="L247" s="30"/>
      <c r="M247" s="30"/>
      <c r="N247" s="30"/>
      <c r="O247" s="30"/>
      <c r="P247" s="30"/>
      <c r="Q247" s="30"/>
      <c r="R247" s="30"/>
    </row>
    <row r="248" spans="8:61" ht="27" x14ac:dyDescent="0.25">
      <c r="I248" s="58" t="s">
        <v>508</v>
      </c>
      <c r="J248" s="58" t="s">
        <v>509</v>
      </c>
      <c r="K248" s="58" t="s">
        <v>510</v>
      </c>
      <c r="L248" s="59" t="s">
        <v>511</v>
      </c>
      <c r="M248" s="59" t="s">
        <v>33</v>
      </c>
      <c r="N248" s="58" t="s">
        <v>34</v>
      </c>
      <c r="O248" s="58" t="s">
        <v>512</v>
      </c>
      <c r="P248" s="58" t="s">
        <v>513</v>
      </c>
      <c r="Q248" s="30"/>
      <c r="R248" s="30"/>
    </row>
    <row r="249" spans="8:61" x14ac:dyDescent="0.25">
      <c r="I249" s="1" t="s">
        <v>514</v>
      </c>
      <c r="J249" s="54">
        <f>J238/1000</f>
        <v>3.4898668492999998</v>
      </c>
      <c r="K249" s="54">
        <f>K238/1000</f>
        <v>3.4929891818531242</v>
      </c>
      <c r="L249" s="54">
        <f>L238/1000</f>
        <v>0</v>
      </c>
      <c r="M249" s="54">
        <f>M238/1000</f>
        <v>0</v>
      </c>
      <c r="N249" s="54">
        <f>N238/1000</f>
        <v>0.73787976456758608</v>
      </c>
      <c r="O249" s="54">
        <f>Q238/1000</f>
        <v>0</v>
      </c>
      <c r="P249" s="54">
        <f>R238/1000</f>
        <v>0.3998131520737922</v>
      </c>
    </row>
    <row r="250" spans="8:61" x14ac:dyDescent="0.25">
      <c r="I250" s="1" t="s">
        <v>515</v>
      </c>
      <c r="J250" s="54">
        <f>J52/1000</f>
        <v>13.038949070000001</v>
      </c>
      <c r="K250" s="54">
        <f>K52/1000</f>
        <v>13.845495529695199</v>
      </c>
      <c r="L250" s="54">
        <f>L52/1000</f>
        <v>4.7626249274752119</v>
      </c>
      <c r="M250" s="54">
        <f>M52/1000</f>
        <v>4.7626249274752119</v>
      </c>
      <c r="N250" s="54">
        <f>N52/1000</f>
        <v>2.1157686358692485</v>
      </c>
      <c r="O250" s="54">
        <f>Q52/1000</f>
        <v>4.7626249274752119</v>
      </c>
      <c r="P250" s="54">
        <f>R52/1000</f>
        <v>0.99531636903488041</v>
      </c>
    </row>
    <row r="251" spans="8:61" x14ac:dyDescent="0.25">
      <c r="I251" s="1" t="s">
        <v>516</v>
      </c>
      <c r="J251" s="54">
        <f>SUMIF($I$13:$I$236,2,J13:J236)/1000+SUMIF($I$13:$I$236,3,J13:J236)/1000+SUMIF($I$13:$I$236,4,J13:J236)/1000+SUMIF($I$13:$I$236,5,J13:J236)/1000-J52/1000-J223/1000</f>
        <v>20.356628854261523</v>
      </c>
      <c r="K251" s="54">
        <f>SUMIF($I$13:$I$236,2,K13:K236)/1000+SUMIF($I$13:$I$236,3,K13:K236)/1000+SUMIF($I$13:$I$236,4,K13:K236)/1000+SUMIF($I$13:$I$236,5,K13:K236)/1000</f>
        <v>38.154096028785318</v>
      </c>
      <c r="L251" s="54">
        <f>SUMIF($I$13:$I$236,2,L13:L236)/1000+SUMIF($I$13:$I$236,3,L13:L236)/1000+SUMIF($I$13:$I$236,4,L13:L236)/1000+SUMIF($I$13:$I$236,5,L13:L236)/1000</f>
        <v>8.7228945232185549</v>
      </c>
      <c r="M251" s="54">
        <f>SUMIF($I$13:$I$236,2,M13:M236)/1000+SUMIF($I$13:$I$236,3,M13:M236)/1000+SUMIF($I$13:$I$236,4,M13:M236)/1000+SUMIF($I$13:$I$236,5,M13:M236)/1000</f>
        <v>8.7228945232185549</v>
      </c>
      <c r="N251" s="54">
        <f>SUMIF($I$13:$I$236,2,N13:N236)/1000+SUMIF($I$13:$I$236,3,N13:N236)/1000+SUMIF($I$13:$I$236,4,N13:N236)/1000+SUMIF($I$13:$I$236,5,N13:N236)/1000</f>
        <v>10.767854015405517</v>
      </c>
      <c r="O251" s="54">
        <f>SUMIF($I$13:$I$236,2,Q13:Q236)/1000+SUMIF($I$13:$I$236,3,Q13:Q236)/1000+SUMIF($I$13:$I$236,4,Q13:Q236)/1000+SUMIF($I$13:$I$236,5,Q13:Q236)/1000</f>
        <v>8.7228945232185549</v>
      </c>
      <c r="P251" s="54">
        <f>SUMIF($I$13:$I$236,2,R13:R236)/1000+SUMIF($I$13:$I$236,3,R13:R236)/1000+SUMIF($I$13:$I$236,4,R13:R236)/1000+SUMIF($I$13:$I$236,5,R13:R236)/1000</f>
        <v>3.2600617446465829</v>
      </c>
    </row>
    <row r="252" spans="8:61" x14ac:dyDescent="0.25">
      <c r="I252" s="1" t="s">
        <v>9</v>
      </c>
      <c r="J252" s="54">
        <f>SUMIF($I$13:$I$236,1,J13:J236)/1000</f>
        <v>3.0354144682867474</v>
      </c>
      <c r="K252" s="54">
        <f>SUMIF($I$13:$I$236,1,K13:K236)/1000-K250</f>
        <v>-10.402737466563806</v>
      </c>
      <c r="L252" s="54">
        <f>SUMIF($I$13:$I$236,1,L13:L236)/1000-L250</f>
        <v>-4.7626249274752119</v>
      </c>
      <c r="M252" s="54">
        <f>SUMIF($I$13:$I$236,1,M13:M236)/1000-M250</f>
        <v>-4.7626249274752119</v>
      </c>
      <c r="N252" s="54">
        <f>SUMIF($I$13:$I$236,1,N13:N236)/1000-N250</f>
        <v>-0.12191762105866055</v>
      </c>
      <c r="O252" s="54">
        <f>SUMIF($I$13:$I$236,1,Q13:Q236)/1000-O250</f>
        <v>-4.7626249274752119</v>
      </c>
      <c r="P252" s="54">
        <f>SUMIF($I$13:$I$236,1,R13:R236)/1000-P250</f>
        <v>0.22674517708664921</v>
      </c>
    </row>
    <row r="253" spans="8:61" x14ac:dyDescent="0.25">
      <c r="I253" s="1" t="s">
        <v>517</v>
      </c>
      <c r="J253" s="54">
        <f>J223/1000</f>
        <v>5.5860032584999999</v>
      </c>
      <c r="K253" s="54">
        <f>K223/1000</f>
        <v>3.5353947036293598</v>
      </c>
      <c r="L253" s="54">
        <f>L223/1000</f>
        <v>0</v>
      </c>
      <c r="M253" s="54">
        <f>M223/1000</f>
        <v>0</v>
      </c>
      <c r="N253" s="54">
        <f>N223/1000</f>
        <v>1.2483378063451447</v>
      </c>
      <c r="O253" s="54">
        <f>Q223/1000</f>
        <v>0</v>
      </c>
      <c r="P253" s="54">
        <f>R223/1000</f>
        <v>-0.18746200843184818</v>
      </c>
    </row>
    <row r="254" spans="8:61" x14ac:dyDescent="0.25">
      <c r="I254" s="1" t="s">
        <v>518</v>
      </c>
      <c r="J254" s="54">
        <f>(J245-J246)/1000-SUM(J249:J253)</f>
        <v>4.70046440472602</v>
      </c>
      <c r="K254" s="54">
        <f>(K245-K246)/1000-SUM(K249:K253)</f>
        <v>1.8132725642939036</v>
      </c>
      <c r="L254" s="54">
        <f>(L245-L246)/1000-SUM(L249:L253)</f>
        <v>5.3486672679232932</v>
      </c>
      <c r="M254" s="54">
        <f>(M245-M246)/1000-SUM(M249:M253)</f>
        <v>2.2385710139550934</v>
      </c>
      <c r="N254" s="54">
        <f>(N245-N246)/1000-SUM(N249:N253)</f>
        <v>0.99023320760995226</v>
      </c>
      <c r="O254" s="54">
        <f>(Q245-Q246)/1000-SUM(O249:O253)</f>
        <v>0.70593526664498185</v>
      </c>
      <c r="P254" s="54">
        <f>(R245-R246)/1000-SUM(P249:P253)</f>
        <v>0.89339727507683353</v>
      </c>
    </row>
    <row r="255" spans="8:61" x14ac:dyDescent="0.25">
      <c r="J255" s="54">
        <f t="shared" ref="J255:P255" si="35">SUM(J249:J254)</f>
        <v>50.207326905074289</v>
      </c>
      <c r="K255" s="54">
        <f t="shared" si="35"/>
        <v>50.438510541693098</v>
      </c>
      <c r="L255" s="54">
        <f t="shared" si="35"/>
        <v>14.071561791141848</v>
      </c>
      <c r="M255" s="54">
        <f t="shared" si="35"/>
        <v>10.961465537173648</v>
      </c>
      <c r="N255" s="54">
        <f t="shared" si="35"/>
        <v>15.738155808738787</v>
      </c>
      <c r="O255" s="54">
        <f t="shared" si="35"/>
        <v>9.4288297898635367</v>
      </c>
      <c r="P255" s="54">
        <f t="shared" si="35"/>
        <v>5.5878717094868904</v>
      </c>
    </row>
    <row r="256" spans="8:61" ht="15" x14ac:dyDescent="0.25">
      <c r="I256" s="8" t="s">
        <v>519</v>
      </c>
      <c r="J256" s="60">
        <f>(SUM(J249:J251)+J253)/(J255)</f>
        <v>0.84592131567492546</v>
      </c>
      <c r="K256" s="8"/>
      <c r="L256" s="8"/>
      <c r="M256" s="8"/>
      <c r="N256" s="8"/>
    </row>
    <row r="258" spans="8:18" x14ac:dyDescent="0.25">
      <c r="H258" s="61" t="s">
        <v>520</v>
      </c>
      <c r="J258" s="62">
        <f>SUM(J13:J236)</f>
        <v>46564.017299436484</v>
      </c>
      <c r="K258" s="62">
        <f>SUM(K13:K236)</f>
        <v>46553.375875982587</v>
      </c>
      <c r="L258" s="62">
        <f>SUM(L13:L236)</f>
        <v>13679.416307284462</v>
      </c>
      <c r="M258" s="62">
        <f>SUM(M13:M236)</f>
        <v>10670.052224684314</v>
      </c>
      <c r="N258" s="62">
        <f>SUM(N13:N236)</f>
        <v>14708.862731681867</v>
      </c>
      <c r="O258" s="62">
        <f>SUM(O13:O236)+SUMIF(O13:O236,"",N13:N236)</f>
        <v>14084.236458461804</v>
      </c>
      <c r="Q258" s="62">
        <f>SUM(Q13:Q236)+SUMIF(Q13:Q236,"",P13:P236)</f>
        <v>9428.8297898635374</v>
      </c>
      <c r="R258" s="62">
        <f>SUM(R13:R236)+SUMIF(R13:R236,"",Q13:Q236)</f>
        <v>5188.0585574130982</v>
      </c>
    </row>
    <row r="259" spans="8:18" x14ac:dyDescent="0.25">
      <c r="H259" s="61" t="s">
        <v>521</v>
      </c>
      <c r="J259" s="62">
        <f t="shared" ref="J259:O259" si="36">SUMIF($U$13:$U$236,1,J13:J236)</f>
        <v>0</v>
      </c>
      <c r="K259" s="62">
        <f t="shared" si="36"/>
        <v>0</v>
      </c>
      <c r="L259" s="62">
        <f t="shared" si="36"/>
        <v>0</v>
      </c>
      <c r="M259" s="62">
        <f t="shared" si="36"/>
        <v>0</v>
      </c>
      <c r="N259" s="62">
        <f t="shared" si="36"/>
        <v>0</v>
      </c>
      <c r="O259" s="62">
        <f t="shared" si="36"/>
        <v>0</v>
      </c>
      <c r="Q259" s="62">
        <f>SUMIF($U$13:$U$236,1,Q13:Q236)</f>
        <v>0</v>
      </c>
      <c r="R259" s="62">
        <f>SUMIF($U$13:$U$236,1,R13:R236)</f>
        <v>0</v>
      </c>
    </row>
    <row r="260" spans="8:18" x14ac:dyDescent="0.25">
      <c r="H260" s="61" t="s">
        <v>522</v>
      </c>
      <c r="J260" s="62">
        <f t="shared" ref="J260:O260" si="37">J238</f>
        <v>3489.8668493</v>
      </c>
      <c r="K260" s="62">
        <f t="shared" si="37"/>
        <v>3492.9891818531241</v>
      </c>
      <c r="L260" s="62">
        <f t="shared" si="37"/>
        <v>0</v>
      </c>
      <c r="M260" s="62">
        <f t="shared" si="37"/>
        <v>0</v>
      </c>
      <c r="N260" s="62">
        <f t="shared" si="37"/>
        <v>737.87976456758611</v>
      </c>
      <c r="O260" s="62">
        <f t="shared" si="37"/>
        <v>0</v>
      </c>
      <c r="Q260" s="62">
        <f>Q238</f>
        <v>0</v>
      </c>
      <c r="R260" s="62">
        <f>R238</f>
        <v>399.8131520737922</v>
      </c>
    </row>
    <row r="261" spans="8:18" x14ac:dyDescent="0.25">
      <c r="H261" s="61" t="s">
        <v>523</v>
      </c>
      <c r="J261" s="62">
        <f t="shared" ref="J261:O261" si="38">J258-J259+J260+J244+J243</f>
        <v>50207.326905074289</v>
      </c>
      <c r="K261" s="62">
        <f t="shared" si="38"/>
        <v>50438.510541693096</v>
      </c>
      <c r="L261" s="62">
        <f t="shared" si="38"/>
        <v>14071.561791141849</v>
      </c>
      <c r="M261" s="62">
        <f t="shared" si="38"/>
        <v>10961.465537173648</v>
      </c>
      <c r="N261" s="62">
        <f t="shared" si="38"/>
        <v>15738.155808738788</v>
      </c>
      <c r="O261" s="62">
        <f t="shared" si="38"/>
        <v>14375.649770951139</v>
      </c>
      <c r="Q261" s="62">
        <f>Q258-Q259+Q260+Q244+Q243</f>
        <v>9428.8297898635374</v>
      </c>
      <c r="R261" s="62">
        <f>R258-R259+R260+R244+R243</f>
        <v>5587.8717094868907</v>
      </c>
    </row>
    <row r="262" spans="8:18" x14ac:dyDescent="0.25">
      <c r="H262" s="61" t="s">
        <v>524</v>
      </c>
    </row>
    <row r="263" spans="8:18" x14ac:dyDescent="0.25">
      <c r="H263" s="63" t="s">
        <v>525</v>
      </c>
      <c r="I263" s="3"/>
      <c r="J263" s="64">
        <f>'input site'!CP257</f>
        <v>53059.76171875</v>
      </c>
      <c r="K263" s="64">
        <f>'input site'!CQ257</f>
        <v>66541</v>
      </c>
      <c r="L263" s="64"/>
      <c r="M263" s="30"/>
      <c r="N263" s="64">
        <f>'input site'!CT257</f>
        <v>16497.150390625</v>
      </c>
      <c r="Q263" s="64"/>
      <c r="R263" s="64">
        <f>'input site'!CT275</f>
        <v>0</v>
      </c>
    </row>
    <row r="289" spans="16:20" ht="27" x14ac:dyDescent="0.25">
      <c r="P289" s="2" t="s">
        <v>0</v>
      </c>
      <c r="Q289" s="2" t="s">
        <v>2</v>
      </c>
      <c r="R289" s="2" t="s">
        <v>0</v>
      </c>
      <c r="S289" s="2" t="s">
        <v>3</v>
      </c>
      <c r="T289" s="2"/>
    </row>
    <row r="290" spans="16:20" ht="15" x14ac:dyDescent="0.25">
      <c r="P290" s="6" t="s">
        <v>526</v>
      </c>
      <c r="Q290" s="8">
        <f t="shared" ref="Q290:Q297" si="39">I2</f>
        <v>6</v>
      </c>
      <c r="R290" s="6" t="s">
        <v>526</v>
      </c>
      <c r="S290" s="9">
        <f t="shared" ref="S290:S297" si="40">J2</f>
        <v>5.7882977338734646E-4</v>
      </c>
      <c r="T290" s="9"/>
    </row>
    <row r="291" spans="16:20" ht="15" x14ac:dyDescent="0.25">
      <c r="P291" s="6" t="s">
        <v>527</v>
      </c>
      <c r="Q291" s="8">
        <f t="shared" si="39"/>
        <v>27</v>
      </c>
      <c r="R291" s="6" t="s">
        <v>527</v>
      </c>
      <c r="S291" s="65">
        <f t="shared" si="40"/>
        <v>0.23567346508729103</v>
      </c>
      <c r="T291" s="65"/>
    </row>
    <row r="292" spans="16:20" ht="15" x14ac:dyDescent="0.25">
      <c r="P292" s="6" t="s">
        <v>528</v>
      </c>
      <c r="Q292" s="8">
        <f t="shared" si="39"/>
        <v>51</v>
      </c>
      <c r="R292" s="6" t="s">
        <v>528</v>
      </c>
      <c r="S292" s="9">
        <f t="shared" si="40"/>
        <v>0.48575043699152776</v>
      </c>
      <c r="T292" s="9"/>
    </row>
    <row r="293" spans="16:20" ht="15" x14ac:dyDescent="0.25">
      <c r="P293" s="6" t="s">
        <v>7</v>
      </c>
      <c r="Q293" s="8">
        <f t="shared" si="39"/>
        <v>12</v>
      </c>
      <c r="R293" s="6" t="s">
        <v>7</v>
      </c>
      <c r="S293" s="9">
        <f t="shared" si="40"/>
        <v>0.12391858382271935</v>
      </c>
      <c r="T293" s="9"/>
    </row>
    <row r="294" spans="16:20" ht="15" x14ac:dyDescent="0.25">
      <c r="P294" s="6" t="s">
        <v>9</v>
      </c>
      <c r="Q294" s="8">
        <f t="shared" si="39"/>
        <v>55</v>
      </c>
      <c r="R294" s="6" t="s">
        <v>9</v>
      </c>
      <c r="S294" s="65">
        <f t="shared" si="40"/>
        <v>6.0457599625363997E-2</v>
      </c>
      <c r="T294" s="65"/>
    </row>
    <row r="295" spans="16:20" ht="15" x14ac:dyDescent="0.25">
      <c r="P295" s="6" t="s">
        <v>11</v>
      </c>
      <c r="Q295" s="8">
        <f t="shared" si="39"/>
        <v>0</v>
      </c>
      <c r="R295" s="6" t="s">
        <v>11</v>
      </c>
      <c r="S295" s="65">
        <f t="shared" si="40"/>
        <v>0</v>
      </c>
      <c r="T295" s="65"/>
    </row>
    <row r="296" spans="16:20" ht="15" x14ac:dyDescent="0.25">
      <c r="P296" s="6" t="s">
        <v>17</v>
      </c>
      <c r="Q296" s="8">
        <f t="shared" si="39"/>
        <v>74</v>
      </c>
      <c r="R296" s="6" t="s">
        <v>17</v>
      </c>
      <c r="S296" s="65">
        <f t="shared" si="40"/>
        <v>9.0564902150340035E-2</v>
      </c>
      <c r="T296" s="65"/>
    </row>
    <row r="297" spans="16:20" x14ac:dyDescent="0.25">
      <c r="Q297" s="1">
        <f t="shared" si="39"/>
        <v>225</v>
      </c>
      <c r="S297" s="66">
        <f t="shared" si="40"/>
        <v>0.99694381745062965</v>
      </c>
      <c r="T297" s="66"/>
    </row>
  </sheetData>
  <autoFilter ref="A11:G238" xr:uid="{E9D6B87F-D7E0-4092-BB76-3696F942B01A}"/>
  <phoneticPr fontId="35" type="noConversion"/>
  <pageMargins left="0.7" right="0.7" top="0.75" bottom="0.75" header="0.3" footer="0.3"/>
  <pageSetup orientation="portrait" r:id="rId1"/>
  <drawing r:id="rId2"/>
  <legacyDrawing r:id="rId3"/>
  <tableParts count="3">
    <tablePart r:id="rId4"/>
    <tablePart r:id="rId5"/>
    <tablePart r:id="rId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A87E1-E3F6-41E6-BFF7-E4BBE2E17454}">
  <sheetPr>
    <tabColor theme="7" tint="0.59999389629810485"/>
  </sheetPr>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2EA3F-C392-421B-9589-AC6E2CDDDE16}">
  <dimension ref="B1:BD76"/>
  <sheetViews>
    <sheetView showGridLines="0" topLeftCell="A39" zoomScaleNormal="100" workbookViewId="0">
      <selection activeCell="B47" sqref="B47"/>
    </sheetView>
  </sheetViews>
  <sheetFormatPr defaultRowHeight="15" x14ac:dyDescent="0.25"/>
  <cols>
    <col min="2" max="2" width="13.7109375" customWidth="1"/>
    <col min="3" max="3" width="30.7109375" customWidth="1"/>
    <col min="4" max="5" width="41.85546875" customWidth="1"/>
    <col min="6" max="6" width="47" bestFit="1" customWidth="1"/>
    <col min="7" max="7" width="32.85546875" bestFit="1" customWidth="1"/>
    <col min="8" max="8" width="5.7109375" bestFit="1" customWidth="1"/>
    <col min="9" max="9" width="8.28515625" bestFit="1" customWidth="1"/>
    <col min="10" max="10" width="7.140625" bestFit="1" customWidth="1"/>
    <col min="11" max="11" width="9.140625" bestFit="1" customWidth="1"/>
    <col min="12" max="12" width="5.7109375" bestFit="1" customWidth="1"/>
    <col min="13" max="13" width="5.140625" bestFit="1" customWidth="1"/>
    <col min="14" max="14" width="26.85546875" bestFit="1" customWidth="1"/>
    <col min="15" max="15" width="20.5703125" bestFit="1" customWidth="1"/>
    <col min="16" max="16" width="20.5703125" customWidth="1"/>
    <col min="17" max="17" width="40.140625" bestFit="1" customWidth="1"/>
    <col min="18" max="24" width="13" customWidth="1"/>
    <col min="25" max="25" width="40.140625" customWidth="1"/>
    <col min="26" max="26" width="15.140625" customWidth="1"/>
    <col min="27" max="29" width="8.85546875" customWidth="1"/>
    <col min="30" max="30" width="16.85546875" customWidth="1"/>
    <col min="31" max="31" width="21.5703125" customWidth="1"/>
    <col min="32" max="32" width="19.7109375" customWidth="1"/>
    <col min="33" max="56" width="8.85546875" customWidth="1"/>
  </cols>
  <sheetData>
    <row r="1" spans="2:56" x14ac:dyDescent="0.25">
      <c r="I1" s="560" t="s">
        <v>2736</v>
      </c>
    </row>
    <row r="2" spans="2:56" x14ac:dyDescent="0.25">
      <c r="B2" s="561"/>
      <c r="C2" s="561"/>
      <c r="D2" s="561"/>
      <c r="E2" s="561"/>
      <c r="F2" s="561"/>
      <c r="I2" s="562" t="s">
        <v>2737</v>
      </c>
      <c r="J2" s="562" t="s">
        <v>2738</v>
      </c>
      <c r="K2" s="562"/>
    </row>
    <row r="3" spans="2:56" ht="25.5" x14ac:dyDescent="0.35">
      <c r="B3" s="563" t="s">
        <v>2739</v>
      </c>
      <c r="C3" s="561"/>
      <c r="D3" s="561"/>
      <c r="E3" s="561"/>
      <c r="F3" s="561"/>
      <c r="I3" s="562" t="s">
        <v>2740</v>
      </c>
      <c r="J3" s="562" t="s">
        <v>2741</v>
      </c>
      <c r="K3" s="562"/>
    </row>
    <row r="4" spans="2:56" x14ac:dyDescent="0.25">
      <c r="B4" s="561"/>
      <c r="C4" s="561"/>
      <c r="D4" s="561"/>
      <c r="E4" s="561"/>
      <c r="F4" s="561"/>
      <c r="I4" s="562" t="s">
        <v>2742</v>
      </c>
      <c r="J4" s="562" t="s">
        <v>2743</v>
      </c>
      <c r="K4" s="562"/>
    </row>
    <row r="5" spans="2:56" x14ac:dyDescent="0.25">
      <c r="B5" s="564" t="s">
        <v>2744</v>
      </c>
      <c r="C5" s="561" t="s">
        <v>2745</v>
      </c>
      <c r="D5" s="561"/>
      <c r="E5" s="561"/>
      <c r="F5" s="561"/>
    </row>
    <row r="6" spans="2:56" x14ac:dyDescent="0.25">
      <c r="H6" s="591" t="s">
        <v>2746</v>
      </c>
      <c r="I6" s="591"/>
      <c r="J6" s="591"/>
      <c r="K6" s="591"/>
      <c r="L6" s="591"/>
      <c r="M6" s="591"/>
      <c r="N6" s="591"/>
      <c r="O6" s="591"/>
      <c r="P6" s="591"/>
      <c r="Q6" s="591"/>
      <c r="R6" s="591" t="s">
        <v>2747</v>
      </c>
      <c r="S6" s="591"/>
      <c r="T6" s="591"/>
      <c r="U6" s="591"/>
      <c r="V6" s="591"/>
      <c r="W6" s="591"/>
      <c r="X6" s="591"/>
      <c r="Y6" s="591" t="s">
        <v>2748</v>
      </c>
      <c r="Z6" s="591"/>
      <c r="AA6" s="591"/>
      <c r="AB6" s="591"/>
      <c r="AC6" s="591"/>
      <c r="AD6" s="591"/>
      <c r="AE6" s="591"/>
      <c r="AF6" s="591"/>
    </row>
    <row r="7" spans="2:56" x14ac:dyDescent="0.25">
      <c r="B7" s="560" t="s">
        <v>40</v>
      </c>
      <c r="C7" s="560" t="s">
        <v>2749</v>
      </c>
      <c r="D7" s="560" t="s">
        <v>2750</v>
      </c>
      <c r="E7" s="560" t="s">
        <v>2751</v>
      </c>
      <c r="F7" s="560" t="s">
        <v>2752</v>
      </c>
      <c r="G7" s="560" t="s">
        <v>2753</v>
      </c>
      <c r="H7" s="560" t="s">
        <v>2754</v>
      </c>
      <c r="I7" s="560" t="s">
        <v>2755</v>
      </c>
      <c r="J7" s="560" t="s">
        <v>2756</v>
      </c>
      <c r="K7" s="560" t="s">
        <v>2757</v>
      </c>
      <c r="L7" s="560" t="s">
        <v>2758</v>
      </c>
      <c r="M7" s="560" t="s">
        <v>518</v>
      </c>
      <c r="N7" s="560" t="s">
        <v>2759</v>
      </c>
      <c r="O7" s="560" t="s">
        <v>2760</v>
      </c>
      <c r="P7" s="560" t="s">
        <v>2761</v>
      </c>
      <c r="Q7" s="560" t="s">
        <v>2762</v>
      </c>
      <c r="R7" s="560" t="s">
        <v>2763</v>
      </c>
      <c r="S7" s="560" t="s">
        <v>2764</v>
      </c>
      <c r="T7" s="560" t="s">
        <v>2765</v>
      </c>
      <c r="U7" s="560" t="s">
        <v>2766</v>
      </c>
      <c r="V7" s="560" t="s">
        <v>2767</v>
      </c>
      <c r="W7" s="560" t="s">
        <v>2768</v>
      </c>
      <c r="X7" s="560" t="s">
        <v>2769</v>
      </c>
      <c r="Y7" s="560" t="s">
        <v>2770</v>
      </c>
      <c r="Z7" s="560" t="s">
        <v>2771</v>
      </c>
      <c r="AA7" s="560" t="s">
        <v>2772</v>
      </c>
      <c r="AB7" s="560" t="s">
        <v>2773</v>
      </c>
      <c r="AC7" s="560" t="s">
        <v>27</v>
      </c>
      <c r="AD7" s="560" t="s">
        <v>2774</v>
      </c>
      <c r="AE7" s="560" t="s">
        <v>2775</v>
      </c>
      <c r="AF7" s="560" t="s">
        <v>2776</v>
      </c>
      <c r="AG7" s="560" t="s">
        <v>2777</v>
      </c>
      <c r="AH7" s="560" t="s">
        <v>2778</v>
      </c>
      <c r="AI7" s="560" t="s">
        <v>2779</v>
      </c>
      <c r="AJ7" s="560" t="s">
        <v>2780</v>
      </c>
      <c r="AK7" s="560" t="s">
        <v>2781</v>
      </c>
      <c r="AL7" s="560" t="s">
        <v>2782</v>
      </c>
      <c r="AM7" s="560" t="s">
        <v>2779</v>
      </c>
      <c r="AN7" s="560" t="s">
        <v>2783</v>
      </c>
      <c r="AO7" s="560" t="s">
        <v>2784</v>
      </c>
      <c r="AP7" s="560" t="s">
        <v>2785</v>
      </c>
      <c r="AQ7" s="560" t="s">
        <v>2786</v>
      </c>
      <c r="AR7" s="560" t="s">
        <v>2787</v>
      </c>
      <c r="AS7" s="560" t="s">
        <v>2788</v>
      </c>
      <c r="AT7" s="560" t="s">
        <v>2789</v>
      </c>
      <c r="AU7" s="560" t="s">
        <v>2790</v>
      </c>
      <c r="AV7" s="560" t="s">
        <v>2791</v>
      </c>
      <c r="AW7" s="560" t="s">
        <v>2779</v>
      </c>
      <c r="AX7" s="560" t="s">
        <v>2792</v>
      </c>
      <c r="AY7" s="560" t="s">
        <v>2793</v>
      </c>
      <c r="AZ7" s="560" t="s">
        <v>2794</v>
      </c>
      <c r="BA7" s="560" t="s">
        <v>2795</v>
      </c>
      <c r="BB7" s="560" t="s">
        <v>2796</v>
      </c>
      <c r="BC7" s="560" t="s">
        <v>2797</v>
      </c>
      <c r="BD7" s="560" t="s">
        <v>2798</v>
      </c>
    </row>
    <row r="8" spans="2:56" x14ac:dyDescent="0.25">
      <c r="B8" s="562" t="s">
        <v>133</v>
      </c>
      <c r="C8" s="565" t="s">
        <v>2799</v>
      </c>
      <c r="D8" s="565" t="s">
        <v>2799</v>
      </c>
      <c r="E8" s="562" t="s">
        <v>2800</v>
      </c>
      <c r="F8" s="562" t="s">
        <v>2801</v>
      </c>
      <c r="G8" s="562"/>
      <c r="H8" s="562"/>
      <c r="I8" s="562"/>
      <c r="J8" s="562"/>
      <c r="K8" s="562"/>
      <c r="L8" s="562"/>
      <c r="M8" s="562"/>
      <c r="N8" s="562"/>
      <c r="O8" s="562"/>
      <c r="P8" s="562"/>
      <c r="Q8" s="562"/>
      <c r="R8" s="562"/>
      <c r="S8" s="562"/>
      <c r="T8" s="562"/>
      <c r="U8" s="562"/>
      <c r="V8" s="562"/>
      <c r="W8" s="562"/>
      <c r="X8" s="562"/>
      <c r="Y8" s="562"/>
      <c r="Z8" s="562"/>
      <c r="AA8" s="562"/>
      <c r="AB8" s="562"/>
      <c r="AC8" s="562"/>
      <c r="AD8" s="562"/>
      <c r="AE8" s="562"/>
      <c r="AF8" s="562"/>
      <c r="AG8" s="562"/>
      <c r="AH8" s="562"/>
      <c r="AI8" s="562"/>
      <c r="AJ8" s="562"/>
      <c r="AK8" s="562"/>
      <c r="AL8" s="562"/>
      <c r="AM8" s="562"/>
      <c r="AN8" s="562"/>
      <c r="AO8" s="562"/>
      <c r="AP8" s="566" t="s">
        <v>2477</v>
      </c>
      <c r="AQ8" s="566" t="s">
        <v>2477</v>
      </c>
      <c r="AR8" s="566" t="s">
        <v>2477</v>
      </c>
      <c r="AS8" s="566" t="s">
        <v>2477</v>
      </c>
      <c r="AT8" s="566" t="s">
        <v>2477</v>
      </c>
      <c r="AU8" s="566"/>
      <c r="AV8" s="566" t="s">
        <v>2477</v>
      </c>
      <c r="AW8" s="562"/>
      <c r="AX8" s="567" t="s">
        <v>2477</v>
      </c>
      <c r="AY8" s="567" t="s">
        <v>2477</v>
      </c>
      <c r="AZ8" s="567" t="s">
        <v>2477</v>
      </c>
      <c r="BA8" s="567" t="s">
        <v>2477</v>
      </c>
      <c r="BB8" s="567" t="s">
        <v>2477</v>
      </c>
      <c r="BC8" s="567" t="s">
        <v>2477</v>
      </c>
      <c r="BD8" s="567" t="s">
        <v>2477</v>
      </c>
    </row>
    <row r="9" spans="2:56" x14ac:dyDescent="0.25">
      <c r="B9" s="562" t="s">
        <v>475</v>
      </c>
      <c r="C9" s="565" t="s">
        <v>2802</v>
      </c>
      <c r="D9" s="565" t="s">
        <v>2799</v>
      </c>
      <c r="E9" s="562" t="s">
        <v>2803</v>
      </c>
      <c r="F9" s="562" t="s">
        <v>2804</v>
      </c>
      <c r="G9" s="562" t="s">
        <v>2805</v>
      </c>
      <c r="H9" s="562"/>
      <c r="I9" s="562"/>
      <c r="J9" s="562"/>
      <c r="K9" s="562"/>
      <c r="L9" s="562"/>
      <c r="M9" s="562"/>
      <c r="N9" s="562"/>
      <c r="O9" s="562">
        <v>1500</v>
      </c>
      <c r="P9" s="562">
        <v>2050</v>
      </c>
      <c r="Q9" s="562" t="s">
        <v>2806</v>
      </c>
      <c r="R9" s="562"/>
      <c r="S9" s="562"/>
      <c r="T9" s="562"/>
      <c r="U9" s="562"/>
      <c r="V9" s="562"/>
      <c r="W9" s="562"/>
      <c r="X9" s="562"/>
      <c r="Y9" s="562" t="s">
        <v>2807</v>
      </c>
      <c r="Z9" s="562">
        <v>500</v>
      </c>
      <c r="AB9" s="562"/>
      <c r="AC9" s="562">
        <v>1000</v>
      </c>
      <c r="AD9" s="562"/>
      <c r="AE9" s="562"/>
      <c r="AF9" s="562"/>
      <c r="AG9" s="566">
        <v>6571.7257461659046</v>
      </c>
      <c r="AH9" s="562">
        <v>2019</v>
      </c>
      <c r="AI9" s="562" t="s">
        <v>2808</v>
      </c>
      <c r="AJ9" s="567">
        <v>0.2282505475635733</v>
      </c>
      <c r="AK9" s="566">
        <v>7463.7864069872203</v>
      </c>
      <c r="AL9" s="566">
        <v>2007</v>
      </c>
      <c r="AM9" s="562" t="s">
        <v>2809</v>
      </c>
      <c r="AN9" s="567">
        <v>0.20097038127936989</v>
      </c>
      <c r="AO9" s="567">
        <v>0.88048148591360897</v>
      </c>
      <c r="AP9" s="566" t="s">
        <v>2477</v>
      </c>
      <c r="AQ9" s="566" t="s">
        <v>2477</v>
      </c>
      <c r="AR9" s="566" t="s">
        <v>2477</v>
      </c>
      <c r="AS9" s="566" t="s">
        <v>2477</v>
      </c>
      <c r="AT9" s="566" t="s">
        <v>2477</v>
      </c>
      <c r="AU9" s="566"/>
      <c r="AV9" s="566" t="s">
        <v>2477</v>
      </c>
      <c r="AW9" s="562"/>
      <c r="AX9" s="567" t="s">
        <v>2477</v>
      </c>
      <c r="AY9" s="567" t="s">
        <v>2477</v>
      </c>
      <c r="AZ9" s="567" t="s">
        <v>2477</v>
      </c>
      <c r="BA9" s="567" t="s">
        <v>2477</v>
      </c>
      <c r="BB9" s="567" t="s">
        <v>2477</v>
      </c>
      <c r="BC9" s="567" t="s">
        <v>2477</v>
      </c>
      <c r="BD9" s="567" t="s">
        <v>2477</v>
      </c>
    </row>
    <row r="10" spans="2:56" x14ac:dyDescent="0.25">
      <c r="B10" s="562" t="s">
        <v>231</v>
      </c>
      <c r="C10" s="565" t="s">
        <v>2799</v>
      </c>
      <c r="D10" s="565" t="s">
        <v>2799</v>
      </c>
      <c r="E10" s="562" t="s">
        <v>2810</v>
      </c>
      <c r="F10" s="562" t="s">
        <v>2801</v>
      </c>
      <c r="G10" s="562"/>
      <c r="H10" s="562"/>
      <c r="I10" s="562"/>
      <c r="J10" s="562"/>
      <c r="K10" s="562"/>
      <c r="L10" s="562"/>
      <c r="M10" s="562"/>
      <c r="N10" s="562"/>
      <c r="O10" s="562"/>
      <c r="P10" s="562"/>
      <c r="Q10" s="562"/>
      <c r="R10" s="562"/>
      <c r="S10" s="562"/>
      <c r="T10" s="562"/>
      <c r="U10" s="562"/>
      <c r="V10" s="562"/>
      <c r="W10" s="562"/>
      <c r="X10" s="562"/>
      <c r="Y10" s="562"/>
      <c r="Z10" s="562"/>
      <c r="AA10" s="562"/>
      <c r="AB10" s="562"/>
      <c r="AC10" s="562"/>
      <c r="AD10" s="562"/>
      <c r="AE10" s="562"/>
      <c r="AF10" s="562"/>
      <c r="AG10" s="562"/>
      <c r="AH10" s="562"/>
      <c r="AI10" s="562"/>
      <c r="AJ10" s="562"/>
      <c r="AK10" s="562"/>
      <c r="AL10" s="562"/>
      <c r="AM10" s="562"/>
      <c r="AN10" s="562"/>
      <c r="AO10" s="562"/>
      <c r="AP10" s="566" t="s">
        <v>2477</v>
      </c>
      <c r="AQ10" s="566" t="s">
        <v>2477</v>
      </c>
      <c r="AR10" s="566" t="s">
        <v>2477</v>
      </c>
      <c r="AS10" s="566" t="s">
        <v>2477</v>
      </c>
      <c r="AT10" s="566" t="s">
        <v>2477</v>
      </c>
      <c r="AU10" s="566"/>
      <c r="AV10" s="566" t="s">
        <v>2477</v>
      </c>
      <c r="AW10" s="562"/>
      <c r="AX10" s="567" t="s">
        <v>2477</v>
      </c>
      <c r="AY10" s="567" t="s">
        <v>2477</v>
      </c>
      <c r="AZ10" s="567" t="s">
        <v>2477</v>
      </c>
      <c r="BA10" s="567" t="s">
        <v>2477</v>
      </c>
      <c r="BB10" s="567" t="s">
        <v>2477</v>
      </c>
      <c r="BC10" s="567" t="s">
        <v>2477</v>
      </c>
      <c r="BD10" s="567" t="s">
        <v>2477</v>
      </c>
    </row>
    <row r="11" spans="2:56" x14ac:dyDescent="0.25">
      <c r="B11" s="562" t="s">
        <v>2811</v>
      </c>
      <c r="C11" s="565" t="s">
        <v>2799</v>
      </c>
      <c r="D11" s="565" t="s">
        <v>2799</v>
      </c>
      <c r="E11" s="562" t="s">
        <v>2812</v>
      </c>
      <c r="F11" s="562" t="s">
        <v>2801</v>
      </c>
      <c r="G11" s="562"/>
      <c r="H11" s="562"/>
      <c r="I11" s="562"/>
      <c r="J11" s="562"/>
      <c r="K11" s="562"/>
      <c r="L11" s="562"/>
      <c r="M11" s="562"/>
      <c r="N11" s="562"/>
      <c r="O11" s="562"/>
      <c r="P11" s="562"/>
      <c r="Q11" s="562"/>
      <c r="R11" s="562"/>
      <c r="S11" s="562"/>
      <c r="T11" s="562"/>
      <c r="U11" s="562"/>
      <c r="V11" s="562"/>
      <c r="W11" s="562"/>
      <c r="X11" s="562"/>
      <c r="Y11" s="562"/>
      <c r="Z11" s="562"/>
      <c r="AA11" s="562"/>
      <c r="AB11" s="562"/>
      <c r="AC11" s="562"/>
      <c r="AD11" s="562"/>
      <c r="AE11" s="562"/>
      <c r="AF11" s="562"/>
      <c r="AG11" s="562"/>
      <c r="AH11" s="562"/>
      <c r="AI11" s="562"/>
      <c r="AJ11" s="562"/>
      <c r="AK11" s="562"/>
      <c r="AL11" s="562"/>
      <c r="AM11" s="562"/>
      <c r="AN11" s="562"/>
      <c r="AO11" s="562"/>
      <c r="AP11" s="566" t="s">
        <v>2477</v>
      </c>
      <c r="AQ11" s="566" t="s">
        <v>2477</v>
      </c>
      <c r="AR11" s="566" t="s">
        <v>2477</v>
      </c>
      <c r="AS11" s="566" t="s">
        <v>2477</v>
      </c>
      <c r="AT11" s="566" t="s">
        <v>2477</v>
      </c>
      <c r="AU11" s="566"/>
      <c r="AV11" s="566" t="s">
        <v>2477</v>
      </c>
      <c r="AW11" s="562"/>
      <c r="AX11" s="567" t="s">
        <v>2477</v>
      </c>
      <c r="AY11" s="567" t="s">
        <v>2477</v>
      </c>
      <c r="AZ11" s="567" t="s">
        <v>2477</v>
      </c>
      <c r="BA11" s="567" t="s">
        <v>2477</v>
      </c>
      <c r="BB11" s="567" t="s">
        <v>2477</v>
      </c>
      <c r="BC11" s="567" t="s">
        <v>2477</v>
      </c>
      <c r="BD11" s="567" t="s">
        <v>2477</v>
      </c>
    </row>
    <row r="12" spans="2:56" x14ac:dyDescent="0.25">
      <c r="B12" s="562" t="s">
        <v>247</v>
      </c>
      <c r="C12" s="565" t="s">
        <v>2799</v>
      </c>
      <c r="D12" s="565" t="s">
        <v>2799</v>
      </c>
      <c r="E12" s="562" t="s">
        <v>2813</v>
      </c>
      <c r="F12" s="562" t="s">
        <v>2801</v>
      </c>
      <c r="G12" s="562"/>
      <c r="H12" s="562"/>
      <c r="I12" s="562"/>
      <c r="J12" s="562"/>
      <c r="K12" s="562"/>
      <c r="L12" s="562"/>
      <c r="M12" s="562"/>
      <c r="N12" s="562"/>
      <c r="O12" s="562"/>
      <c r="P12" s="562"/>
      <c r="Q12" s="562"/>
      <c r="R12" s="562"/>
      <c r="S12" s="562"/>
      <c r="T12" s="562"/>
      <c r="U12" s="562"/>
      <c r="V12" s="562"/>
      <c r="W12" s="562"/>
      <c r="X12" s="562"/>
      <c r="Y12" s="562"/>
      <c r="Z12" s="562"/>
      <c r="AA12" s="562"/>
      <c r="AB12" s="562"/>
      <c r="AC12" s="562"/>
      <c r="AD12" s="562"/>
      <c r="AE12" s="562"/>
      <c r="AF12" s="562"/>
      <c r="AG12" s="562"/>
      <c r="AH12" s="562"/>
      <c r="AI12" s="562"/>
      <c r="AJ12" s="562"/>
      <c r="AK12" s="562"/>
      <c r="AL12" s="562"/>
      <c r="AM12" s="562"/>
      <c r="AN12" s="562"/>
      <c r="AO12" s="562"/>
      <c r="AP12" s="566" t="s">
        <v>2477</v>
      </c>
      <c r="AQ12" s="566" t="s">
        <v>2477</v>
      </c>
      <c r="AR12" s="566" t="s">
        <v>2477</v>
      </c>
      <c r="AS12" s="566" t="s">
        <v>2477</v>
      </c>
      <c r="AT12" s="566" t="s">
        <v>2477</v>
      </c>
      <c r="AU12" s="566"/>
      <c r="AV12" s="566" t="s">
        <v>2477</v>
      </c>
      <c r="AW12" s="562"/>
      <c r="AX12" s="567" t="s">
        <v>2477</v>
      </c>
      <c r="AY12" s="567" t="s">
        <v>2477</v>
      </c>
      <c r="AZ12" s="567" t="s">
        <v>2477</v>
      </c>
      <c r="BA12" s="567" t="s">
        <v>2477</v>
      </c>
      <c r="BB12" s="567" t="s">
        <v>2477</v>
      </c>
      <c r="BC12" s="567" t="s">
        <v>2477</v>
      </c>
      <c r="BD12" s="567" t="s">
        <v>2477</v>
      </c>
    </row>
    <row r="13" spans="2:56" x14ac:dyDescent="0.25">
      <c r="B13" s="562" t="s">
        <v>233</v>
      </c>
      <c r="C13" s="565" t="s">
        <v>2799</v>
      </c>
      <c r="D13" s="565" t="s">
        <v>2799</v>
      </c>
      <c r="E13" s="562" t="s">
        <v>2814</v>
      </c>
      <c r="F13" s="562" t="s">
        <v>2801</v>
      </c>
      <c r="G13" s="562"/>
      <c r="H13" s="562"/>
      <c r="I13" s="562"/>
      <c r="J13" s="562"/>
      <c r="K13" s="562"/>
      <c r="L13" s="562"/>
      <c r="M13" s="562"/>
      <c r="N13" s="562"/>
      <c r="O13" s="562"/>
      <c r="P13" s="562"/>
      <c r="Q13" s="562"/>
      <c r="R13" s="562"/>
      <c r="S13" s="562"/>
      <c r="T13" s="562"/>
      <c r="U13" s="562"/>
      <c r="V13" s="562"/>
      <c r="W13" s="562"/>
      <c r="X13" s="562"/>
      <c r="Y13" s="562"/>
      <c r="Z13" s="562"/>
      <c r="AA13" s="562"/>
      <c r="AB13" s="562"/>
      <c r="AC13" s="562"/>
      <c r="AD13" s="562"/>
      <c r="AE13" s="562"/>
      <c r="AF13" s="562"/>
      <c r="AG13" s="562"/>
      <c r="AH13" s="562"/>
      <c r="AI13" s="562"/>
      <c r="AJ13" s="562"/>
      <c r="AK13" s="562"/>
      <c r="AL13" s="562"/>
      <c r="AM13" s="562"/>
      <c r="AN13" s="562"/>
      <c r="AO13" s="562"/>
      <c r="AP13" s="566" t="s">
        <v>2477</v>
      </c>
      <c r="AQ13" s="566" t="s">
        <v>2477</v>
      </c>
      <c r="AR13" s="566" t="s">
        <v>2477</v>
      </c>
      <c r="AS13" s="566" t="s">
        <v>2477</v>
      </c>
      <c r="AT13" s="566" t="s">
        <v>2477</v>
      </c>
      <c r="AU13" s="566"/>
      <c r="AV13" s="566" t="s">
        <v>2477</v>
      </c>
      <c r="AW13" s="562"/>
      <c r="AX13" s="567" t="s">
        <v>2477</v>
      </c>
      <c r="AY13" s="567" t="s">
        <v>2477</v>
      </c>
      <c r="AZ13" s="567" t="s">
        <v>2477</v>
      </c>
      <c r="BA13" s="567" t="s">
        <v>2477</v>
      </c>
      <c r="BB13" s="567" t="s">
        <v>2477</v>
      </c>
      <c r="BC13" s="567" t="s">
        <v>2477</v>
      </c>
      <c r="BD13" s="567" t="s">
        <v>2477</v>
      </c>
    </row>
    <row r="14" spans="2:56" x14ac:dyDescent="0.25">
      <c r="B14" s="562" t="s">
        <v>199</v>
      </c>
      <c r="C14" s="565" t="s">
        <v>2799</v>
      </c>
      <c r="D14" s="565" t="s">
        <v>2799</v>
      </c>
      <c r="E14" s="562" t="s">
        <v>2815</v>
      </c>
      <c r="F14" s="562" t="s">
        <v>2801</v>
      </c>
      <c r="G14" s="562"/>
      <c r="H14" s="562"/>
      <c r="I14" s="562"/>
      <c r="J14" s="562"/>
      <c r="K14" s="562"/>
      <c r="L14" s="562"/>
      <c r="M14" s="562"/>
      <c r="N14" s="562"/>
      <c r="O14" s="562"/>
      <c r="P14" s="562"/>
      <c r="Q14" s="562"/>
      <c r="R14" s="562"/>
      <c r="S14" s="562"/>
      <c r="T14" s="562"/>
      <c r="U14" s="562"/>
      <c r="V14" s="562"/>
      <c r="W14" s="562"/>
      <c r="X14" s="562"/>
      <c r="Y14" s="562"/>
      <c r="Z14" s="562"/>
      <c r="AA14" s="562"/>
      <c r="AB14" s="562"/>
      <c r="AC14" s="562"/>
      <c r="AD14" s="562"/>
      <c r="AE14" s="562"/>
      <c r="AF14" s="562"/>
      <c r="AG14" s="562"/>
      <c r="AH14" s="562"/>
      <c r="AI14" s="562"/>
      <c r="AJ14" s="562"/>
      <c r="AK14" s="562"/>
      <c r="AL14" s="562"/>
      <c r="AM14" s="562"/>
      <c r="AN14" s="562"/>
      <c r="AO14" s="562"/>
      <c r="AP14" s="566" t="s">
        <v>2477</v>
      </c>
      <c r="AQ14" s="566" t="s">
        <v>2477</v>
      </c>
      <c r="AR14" s="566" t="s">
        <v>2477</v>
      </c>
      <c r="AS14" s="566" t="s">
        <v>2477</v>
      </c>
      <c r="AT14" s="566" t="s">
        <v>2477</v>
      </c>
      <c r="AU14" s="566"/>
      <c r="AV14" s="566" t="s">
        <v>2477</v>
      </c>
      <c r="AW14" s="562"/>
      <c r="AX14" s="567" t="s">
        <v>2477</v>
      </c>
      <c r="AY14" s="567" t="s">
        <v>2477</v>
      </c>
      <c r="AZ14" s="567" t="s">
        <v>2477</v>
      </c>
      <c r="BA14" s="567" t="s">
        <v>2477</v>
      </c>
      <c r="BB14" s="567" t="s">
        <v>2477</v>
      </c>
      <c r="BC14" s="567" t="s">
        <v>2477</v>
      </c>
      <c r="BD14" s="567" t="s">
        <v>2477</v>
      </c>
    </row>
    <row r="15" spans="2:56" x14ac:dyDescent="0.25">
      <c r="B15" s="562" t="s">
        <v>307</v>
      </c>
      <c r="C15" s="565" t="s">
        <v>2799</v>
      </c>
      <c r="D15" s="565" t="s">
        <v>2799</v>
      </c>
      <c r="E15" s="562" t="s">
        <v>2816</v>
      </c>
      <c r="F15" s="562" t="s">
        <v>2801</v>
      </c>
      <c r="G15" s="562"/>
      <c r="H15" s="562"/>
      <c r="I15" s="562"/>
      <c r="J15" s="562"/>
      <c r="K15" s="562"/>
      <c r="L15" s="562"/>
      <c r="M15" s="562"/>
      <c r="N15" s="562"/>
      <c r="O15" s="562"/>
      <c r="P15" s="562"/>
      <c r="Q15" s="562"/>
      <c r="R15" s="562"/>
      <c r="S15" s="562"/>
      <c r="T15" s="562"/>
      <c r="U15" s="562"/>
      <c r="V15" s="562"/>
      <c r="W15" s="562"/>
      <c r="X15" s="562"/>
      <c r="Y15" s="562"/>
      <c r="Z15" s="562"/>
      <c r="AA15" s="562"/>
      <c r="AB15" s="562"/>
      <c r="AC15" s="562"/>
      <c r="AD15" s="562"/>
      <c r="AE15" s="562"/>
      <c r="AF15" s="562"/>
      <c r="AG15" s="562"/>
      <c r="AH15" s="562"/>
      <c r="AI15" s="562"/>
      <c r="AJ15" s="562"/>
      <c r="AK15" s="562"/>
      <c r="AL15" s="562"/>
      <c r="AM15" s="562"/>
      <c r="AN15" s="562"/>
      <c r="AO15" s="562"/>
      <c r="AP15" s="566" t="s">
        <v>2477</v>
      </c>
      <c r="AQ15" s="566" t="s">
        <v>2477</v>
      </c>
      <c r="AR15" s="566" t="s">
        <v>2477</v>
      </c>
      <c r="AS15" s="566" t="s">
        <v>2477</v>
      </c>
      <c r="AT15" s="566" t="s">
        <v>2477</v>
      </c>
      <c r="AU15" s="566"/>
      <c r="AV15" s="566" t="s">
        <v>2477</v>
      </c>
      <c r="AW15" s="562"/>
      <c r="AX15" s="567" t="s">
        <v>2477</v>
      </c>
      <c r="AY15" s="567" t="s">
        <v>2477</v>
      </c>
      <c r="AZ15" s="567" t="s">
        <v>2477</v>
      </c>
      <c r="BA15" s="567" t="s">
        <v>2477</v>
      </c>
      <c r="BB15" s="567" t="s">
        <v>2477</v>
      </c>
      <c r="BC15" s="567" t="s">
        <v>2477</v>
      </c>
      <c r="BD15" s="567" t="s">
        <v>2477</v>
      </c>
    </row>
    <row r="16" spans="2:56" x14ac:dyDescent="0.25">
      <c r="B16" s="562" t="s">
        <v>121</v>
      </c>
      <c r="C16" s="565" t="s">
        <v>2802</v>
      </c>
      <c r="D16" s="565" t="s">
        <v>2799</v>
      </c>
      <c r="E16" s="562" t="s">
        <v>2817</v>
      </c>
      <c r="F16" s="562" t="s">
        <v>2818</v>
      </c>
      <c r="G16" s="562" t="s">
        <v>2819</v>
      </c>
      <c r="H16" s="562"/>
      <c r="I16" s="562"/>
      <c r="J16" s="562"/>
      <c r="K16" s="562"/>
      <c r="L16" s="562"/>
      <c r="M16" s="562"/>
      <c r="N16" s="562"/>
      <c r="O16" s="562">
        <v>273</v>
      </c>
      <c r="P16" s="562">
        <v>2050</v>
      </c>
      <c r="Q16" s="562" t="s">
        <v>2820</v>
      </c>
      <c r="R16" s="562"/>
      <c r="S16" s="562"/>
      <c r="T16" s="562"/>
      <c r="U16" s="562"/>
      <c r="V16" s="562"/>
      <c r="W16" s="562"/>
      <c r="X16" s="562"/>
      <c r="Y16" s="562" t="s">
        <v>2821</v>
      </c>
      <c r="Z16" s="562"/>
      <c r="AA16" s="562">
        <v>133</v>
      </c>
      <c r="AB16" s="562">
        <v>40</v>
      </c>
      <c r="AC16" s="562">
        <v>100</v>
      </c>
      <c r="AD16" s="562"/>
      <c r="AE16" s="568" t="s">
        <v>2822</v>
      </c>
      <c r="AF16" s="562" t="s">
        <v>2823</v>
      </c>
      <c r="AG16" s="566">
        <v>738.28344606874987</v>
      </c>
      <c r="AH16" s="562">
        <v>2019</v>
      </c>
      <c r="AI16" s="562" t="s">
        <v>2808</v>
      </c>
      <c r="AJ16" s="567">
        <v>0.36977667785141954</v>
      </c>
      <c r="AK16" s="566">
        <v>756.83325810556869</v>
      </c>
      <c r="AL16" s="566">
        <v>2007</v>
      </c>
      <c r="AM16" s="562" t="s">
        <v>2809</v>
      </c>
      <c r="AN16" s="567">
        <v>0.36071353508347004</v>
      </c>
      <c r="AO16" s="567">
        <v>0.97549022609913982</v>
      </c>
      <c r="AP16" s="566" t="s">
        <v>2477</v>
      </c>
      <c r="AQ16" s="566" t="s">
        <v>2477</v>
      </c>
      <c r="AR16" s="566" t="s">
        <v>2477</v>
      </c>
      <c r="AS16" s="566" t="s">
        <v>2477</v>
      </c>
      <c r="AT16" s="566" t="s">
        <v>2477</v>
      </c>
      <c r="AU16" s="566"/>
      <c r="AV16" s="566" t="s">
        <v>2477</v>
      </c>
      <c r="AW16" s="562"/>
      <c r="AX16" s="567" t="s">
        <v>2477</v>
      </c>
      <c r="AY16" s="567" t="s">
        <v>2477</v>
      </c>
      <c r="AZ16" s="567" t="s">
        <v>2477</v>
      </c>
      <c r="BA16" s="567" t="s">
        <v>2477</v>
      </c>
      <c r="BB16" s="567" t="s">
        <v>2477</v>
      </c>
      <c r="BC16" s="567" t="s">
        <v>2477</v>
      </c>
      <c r="BD16" s="567" t="s">
        <v>2477</v>
      </c>
    </row>
    <row r="17" spans="2:56" x14ac:dyDescent="0.25">
      <c r="B17" s="562" t="s">
        <v>121</v>
      </c>
      <c r="C17" s="565" t="s">
        <v>2802</v>
      </c>
      <c r="D17" s="565" t="s">
        <v>2799</v>
      </c>
      <c r="E17" s="562" t="s">
        <v>2824</v>
      </c>
      <c r="F17" s="562" t="s">
        <v>2825</v>
      </c>
      <c r="G17" s="562" t="s">
        <v>2819</v>
      </c>
      <c r="H17" s="562"/>
      <c r="I17" s="562"/>
      <c r="J17" s="562"/>
      <c r="K17" s="562"/>
      <c r="L17" s="562"/>
      <c r="M17" s="562"/>
      <c r="N17" s="562"/>
      <c r="O17" s="562">
        <v>101</v>
      </c>
      <c r="P17" s="562">
        <v>2050</v>
      </c>
      <c r="Q17" s="562" t="s">
        <v>2820</v>
      </c>
      <c r="R17" s="562"/>
      <c r="S17" s="562"/>
      <c r="T17" s="562"/>
      <c r="U17" s="562"/>
      <c r="V17" s="562"/>
      <c r="W17" s="562"/>
      <c r="X17" s="562"/>
      <c r="Y17" s="562" t="s">
        <v>2821</v>
      </c>
      <c r="Z17" s="562"/>
      <c r="AA17" s="562"/>
      <c r="AB17" s="562">
        <v>1</v>
      </c>
      <c r="AC17" s="562">
        <v>100</v>
      </c>
      <c r="AD17" s="562"/>
      <c r="AE17" s="568" t="s">
        <v>2822</v>
      </c>
      <c r="AF17" s="562" t="s">
        <v>2823</v>
      </c>
      <c r="AG17" s="566">
        <v>738.28344606874987</v>
      </c>
      <c r="AH17" s="562">
        <v>2019</v>
      </c>
      <c r="AI17" s="562" t="s">
        <v>2808</v>
      </c>
      <c r="AJ17" s="567">
        <v>0.13680382587177059</v>
      </c>
      <c r="AK17" s="566">
        <v>756.83325810556869</v>
      </c>
      <c r="AL17" s="566">
        <v>2007</v>
      </c>
      <c r="AM17" s="562" t="s">
        <v>2809</v>
      </c>
      <c r="AN17" s="567">
        <v>0.13345079503088086</v>
      </c>
      <c r="AO17" s="567">
        <v>0.97549022609913982</v>
      </c>
      <c r="AP17" s="566" t="s">
        <v>2477</v>
      </c>
      <c r="AQ17" s="566" t="s">
        <v>2477</v>
      </c>
      <c r="AR17" s="566" t="s">
        <v>2477</v>
      </c>
      <c r="AS17" s="566" t="s">
        <v>2477</v>
      </c>
      <c r="AT17" s="566" t="s">
        <v>2477</v>
      </c>
      <c r="AU17" s="566"/>
      <c r="AV17" s="566" t="s">
        <v>2477</v>
      </c>
      <c r="AW17" s="562"/>
      <c r="AX17" s="567" t="s">
        <v>2477</v>
      </c>
      <c r="AY17" s="567" t="s">
        <v>2477</v>
      </c>
      <c r="AZ17" s="567" t="s">
        <v>2477</v>
      </c>
      <c r="BA17" s="567" t="s">
        <v>2477</v>
      </c>
      <c r="BB17" s="567" t="s">
        <v>2477</v>
      </c>
      <c r="BC17" s="567" t="s">
        <v>2477</v>
      </c>
      <c r="BD17" s="567" t="s">
        <v>2477</v>
      </c>
    </row>
    <row r="18" spans="2:56" x14ac:dyDescent="0.25">
      <c r="B18" s="562" t="s">
        <v>121</v>
      </c>
      <c r="C18" s="565" t="s">
        <v>2802</v>
      </c>
      <c r="D18" s="565" t="s">
        <v>2799</v>
      </c>
      <c r="E18" s="562" t="s">
        <v>2824</v>
      </c>
      <c r="F18" s="562" t="s">
        <v>2826</v>
      </c>
      <c r="G18" s="562" t="s">
        <v>2819</v>
      </c>
      <c r="H18" s="562"/>
      <c r="I18" s="562"/>
      <c r="J18" s="562"/>
      <c r="K18" s="562"/>
      <c r="L18" s="562"/>
      <c r="M18" s="562"/>
      <c r="N18" s="562"/>
      <c r="O18" s="562">
        <v>271</v>
      </c>
      <c r="P18" s="562">
        <v>2050</v>
      </c>
      <c r="Q18" s="562" t="s">
        <v>2820</v>
      </c>
      <c r="R18" s="562"/>
      <c r="S18" s="562"/>
      <c r="T18" s="562"/>
      <c r="U18" s="562"/>
      <c r="V18" s="562"/>
      <c r="W18" s="562"/>
      <c r="X18" s="562"/>
      <c r="Y18" s="562" t="s">
        <v>2821</v>
      </c>
      <c r="Z18" s="562"/>
      <c r="AA18" s="562">
        <v>133</v>
      </c>
      <c r="AB18" s="562">
        <v>38</v>
      </c>
      <c r="AC18" s="562">
        <v>100</v>
      </c>
      <c r="AD18" s="562"/>
      <c r="AE18" s="568" t="s">
        <v>2822</v>
      </c>
      <c r="AF18" s="562" t="s">
        <v>2823</v>
      </c>
      <c r="AG18" s="566">
        <v>738.28344606874987</v>
      </c>
      <c r="AH18" s="562">
        <v>2019</v>
      </c>
      <c r="AI18" s="562" t="s">
        <v>2808</v>
      </c>
      <c r="AJ18" s="567">
        <v>0.36706769120049337</v>
      </c>
      <c r="AK18" s="566">
        <v>756.83325810556869</v>
      </c>
      <c r="AL18" s="566">
        <v>2007</v>
      </c>
      <c r="AM18" s="562" t="s">
        <v>2809</v>
      </c>
      <c r="AN18" s="567">
        <v>0.35807094508285853</v>
      </c>
      <c r="AO18" s="567">
        <v>0.97549022609913982</v>
      </c>
      <c r="AP18" s="566" t="s">
        <v>2477</v>
      </c>
      <c r="AQ18" s="566" t="s">
        <v>2477</v>
      </c>
      <c r="AR18" s="566" t="s">
        <v>2477</v>
      </c>
      <c r="AS18" s="566" t="s">
        <v>2477</v>
      </c>
      <c r="AT18" s="566" t="s">
        <v>2477</v>
      </c>
      <c r="AU18" s="566"/>
      <c r="AV18" s="566" t="s">
        <v>2477</v>
      </c>
      <c r="AW18" s="562"/>
      <c r="AX18" s="567" t="s">
        <v>2477</v>
      </c>
      <c r="AY18" s="567" t="s">
        <v>2477</v>
      </c>
      <c r="AZ18" s="567" t="s">
        <v>2477</v>
      </c>
      <c r="BA18" s="567" t="s">
        <v>2477</v>
      </c>
      <c r="BB18" s="567" t="s">
        <v>2477</v>
      </c>
      <c r="BC18" s="567" t="s">
        <v>2477</v>
      </c>
      <c r="BD18" s="567" t="s">
        <v>2477</v>
      </c>
    </row>
    <row r="19" spans="2:56" x14ac:dyDescent="0.25">
      <c r="B19" s="562" t="s">
        <v>121</v>
      </c>
      <c r="C19" s="565" t="s">
        <v>2802</v>
      </c>
      <c r="D19" s="565" t="s">
        <v>2799</v>
      </c>
      <c r="E19" s="562" t="s">
        <v>2824</v>
      </c>
      <c r="F19" s="562" t="s">
        <v>2827</v>
      </c>
      <c r="G19" s="562" t="s">
        <v>2819</v>
      </c>
      <c r="H19" s="562"/>
      <c r="I19" s="562"/>
      <c r="J19" s="562"/>
      <c r="K19" s="562"/>
      <c r="L19" s="562"/>
      <c r="M19" s="562"/>
      <c r="N19" s="562"/>
      <c r="O19" s="562">
        <v>103</v>
      </c>
      <c r="P19" s="562">
        <v>2050</v>
      </c>
      <c r="Q19" s="562" t="s">
        <v>2820</v>
      </c>
      <c r="R19" s="562"/>
      <c r="S19" s="562"/>
      <c r="T19" s="562"/>
      <c r="U19" s="562"/>
      <c r="V19" s="562"/>
      <c r="W19" s="562"/>
      <c r="X19" s="562"/>
      <c r="Y19" s="562" t="s">
        <v>2821</v>
      </c>
      <c r="Z19" s="562"/>
      <c r="AA19" s="562"/>
      <c r="AB19" s="562">
        <v>3</v>
      </c>
      <c r="AC19" s="562">
        <v>100</v>
      </c>
      <c r="AD19" s="562"/>
      <c r="AE19" s="568" t="s">
        <v>2822</v>
      </c>
      <c r="AF19" s="562" t="s">
        <v>2823</v>
      </c>
      <c r="AG19" s="566">
        <v>738.28344606874987</v>
      </c>
      <c r="AH19" s="562">
        <v>2019</v>
      </c>
      <c r="AI19" s="562" t="s">
        <v>2808</v>
      </c>
      <c r="AJ19" s="567">
        <v>0.13951281252269676</v>
      </c>
      <c r="AK19" s="566">
        <v>756.83325810556869</v>
      </c>
      <c r="AL19" s="566">
        <v>2007</v>
      </c>
      <c r="AM19" s="562" t="s">
        <v>2809</v>
      </c>
      <c r="AN19" s="567">
        <v>0.13609338503149238</v>
      </c>
      <c r="AO19" s="567">
        <v>0.97549022609913982</v>
      </c>
      <c r="AP19" s="566" t="s">
        <v>2477</v>
      </c>
      <c r="AQ19" s="566" t="s">
        <v>2477</v>
      </c>
      <c r="AR19" s="566" t="s">
        <v>2477</v>
      </c>
      <c r="AS19" s="566" t="s">
        <v>2477</v>
      </c>
      <c r="AT19" s="566" t="s">
        <v>2477</v>
      </c>
      <c r="AU19" s="566"/>
      <c r="AV19" s="566" t="s">
        <v>2477</v>
      </c>
      <c r="AW19" s="562"/>
      <c r="AX19" s="567" t="s">
        <v>2477</v>
      </c>
      <c r="AY19" s="567" t="s">
        <v>2477</v>
      </c>
      <c r="AZ19" s="567" t="s">
        <v>2477</v>
      </c>
      <c r="BA19" s="567" t="s">
        <v>2477</v>
      </c>
      <c r="BB19" s="567" t="s">
        <v>2477</v>
      </c>
      <c r="BC19" s="567" t="s">
        <v>2477</v>
      </c>
      <c r="BD19" s="567" t="s">
        <v>2477</v>
      </c>
    </row>
    <row r="20" spans="2:56" x14ac:dyDescent="0.25">
      <c r="B20" s="562" t="s">
        <v>121</v>
      </c>
      <c r="C20" s="565" t="s">
        <v>2802</v>
      </c>
      <c r="D20" s="565" t="s">
        <v>2799</v>
      </c>
      <c r="E20" s="562" t="s">
        <v>2824</v>
      </c>
      <c r="F20" s="562" t="s">
        <v>2828</v>
      </c>
      <c r="G20" s="562" t="s">
        <v>2819</v>
      </c>
      <c r="H20" s="562"/>
      <c r="I20" s="562"/>
      <c r="J20" s="562"/>
      <c r="K20" s="562"/>
      <c r="L20" s="562"/>
      <c r="M20" s="562"/>
      <c r="N20" s="562"/>
      <c r="O20" s="562">
        <v>253</v>
      </c>
      <c r="P20" s="562">
        <v>2050</v>
      </c>
      <c r="Q20" s="562" t="s">
        <v>2820</v>
      </c>
      <c r="R20" s="562"/>
      <c r="S20" s="562"/>
      <c r="T20" s="562"/>
      <c r="U20" s="562"/>
      <c r="V20" s="562"/>
      <c r="W20" s="562"/>
      <c r="X20" s="562"/>
      <c r="Y20" s="562" t="s">
        <v>2821</v>
      </c>
      <c r="Z20" s="562"/>
      <c r="AA20" s="562">
        <v>99</v>
      </c>
      <c r="AB20" s="562">
        <v>54</v>
      </c>
      <c r="AC20" s="562">
        <v>100</v>
      </c>
      <c r="AD20" s="562"/>
      <c r="AE20" s="568" t="s">
        <v>2822</v>
      </c>
      <c r="AF20" s="562" t="s">
        <v>2823</v>
      </c>
      <c r="AG20" s="566">
        <v>738.28344606874987</v>
      </c>
      <c r="AH20" s="562">
        <v>2019</v>
      </c>
      <c r="AI20" s="562" t="s">
        <v>2808</v>
      </c>
      <c r="AJ20" s="567">
        <v>0.34268681134215806</v>
      </c>
      <c r="AK20" s="566">
        <v>756.83325810556869</v>
      </c>
      <c r="AL20" s="566">
        <v>2007</v>
      </c>
      <c r="AM20" s="562" t="s">
        <v>2809</v>
      </c>
      <c r="AN20" s="567">
        <v>0.33428763507735504</v>
      </c>
      <c r="AO20" s="567">
        <v>0.97549022609913982</v>
      </c>
      <c r="AP20" s="566" t="s">
        <v>2477</v>
      </c>
      <c r="AQ20" s="566" t="s">
        <v>2477</v>
      </c>
      <c r="AR20" s="566" t="s">
        <v>2477</v>
      </c>
      <c r="AS20" s="566" t="s">
        <v>2477</v>
      </c>
      <c r="AT20" s="566" t="s">
        <v>2477</v>
      </c>
      <c r="AU20" s="566"/>
      <c r="AV20" s="566" t="s">
        <v>2477</v>
      </c>
      <c r="AW20" s="562"/>
      <c r="AX20" s="567" t="s">
        <v>2477</v>
      </c>
      <c r="AY20" s="567" t="s">
        <v>2477</v>
      </c>
      <c r="AZ20" s="567" t="s">
        <v>2477</v>
      </c>
      <c r="BA20" s="567" t="s">
        <v>2477</v>
      </c>
      <c r="BB20" s="567" t="s">
        <v>2477</v>
      </c>
      <c r="BC20" s="567" t="s">
        <v>2477</v>
      </c>
      <c r="BD20" s="567" t="s">
        <v>2477</v>
      </c>
    </row>
    <row r="21" spans="2:56" x14ac:dyDescent="0.25">
      <c r="B21" s="562" t="s">
        <v>121</v>
      </c>
      <c r="C21" s="565" t="s">
        <v>2802</v>
      </c>
      <c r="D21" s="565" t="s">
        <v>2799</v>
      </c>
      <c r="E21" s="562" t="s">
        <v>2824</v>
      </c>
      <c r="F21" s="562" t="s">
        <v>2829</v>
      </c>
      <c r="G21" s="562" t="s">
        <v>2819</v>
      </c>
      <c r="H21" s="562"/>
      <c r="I21" s="562"/>
      <c r="J21" s="562"/>
      <c r="K21" s="562"/>
      <c r="L21" s="562"/>
      <c r="M21" s="562"/>
      <c r="N21" s="562"/>
      <c r="O21" s="562">
        <v>102</v>
      </c>
      <c r="P21" s="562">
        <v>2050</v>
      </c>
      <c r="Q21" s="562" t="s">
        <v>2820</v>
      </c>
      <c r="R21" s="562"/>
      <c r="S21" s="562"/>
      <c r="T21" s="562"/>
      <c r="U21" s="562"/>
      <c r="V21" s="562"/>
      <c r="W21" s="562"/>
      <c r="X21" s="562"/>
      <c r="Y21" s="562" t="s">
        <v>2821</v>
      </c>
      <c r="Z21" s="562"/>
      <c r="AA21" s="562"/>
      <c r="AB21" s="562">
        <v>2</v>
      </c>
      <c r="AC21" s="562">
        <v>100</v>
      </c>
      <c r="AD21" s="562"/>
      <c r="AE21" s="568" t="s">
        <v>2822</v>
      </c>
      <c r="AF21" s="562" t="s">
        <v>2823</v>
      </c>
      <c r="AG21" s="566">
        <v>738.28344606874987</v>
      </c>
      <c r="AH21" s="562">
        <v>2019</v>
      </c>
      <c r="AI21" s="562" t="s">
        <v>2808</v>
      </c>
      <c r="AJ21" s="567">
        <v>0.13815831919723368</v>
      </c>
      <c r="AK21" s="566">
        <v>756.83325810556869</v>
      </c>
      <c r="AL21" s="566">
        <v>2007</v>
      </c>
      <c r="AM21" s="562" t="s">
        <v>2809</v>
      </c>
      <c r="AN21" s="567">
        <v>0.13477209003118662</v>
      </c>
      <c r="AO21" s="567">
        <v>0.97549022609913982</v>
      </c>
      <c r="AP21" s="566" t="s">
        <v>2477</v>
      </c>
      <c r="AQ21" s="566" t="s">
        <v>2477</v>
      </c>
      <c r="AR21" s="566" t="s">
        <v>2477</v>
      </c>
      <c r="AS21" s="566" t="s">
        <v>2477</v>
      </c>
      <c r="AT21" s="566" t="s">
        <v>2477</v>
      </c>
      <c r="AU21" s="566"/>
      <c r="AV21" s="566" t="s">
        <v>2477</v>
      </c>
      <c r="AW21" s="562"/>
      <c r="AX21" s="567" t="s">
        <v>2477</v>
      </c>
      <c r="AY21" s="567" t="s">
        <v>2477</v>
      </c>
      <c r="AZ21" s="567" t="s">
        <v>2477</v>
      </c>
      <c r="BA21" s="567" t="s">
        <v>2477</v>
      </c>
      <c r="BB21" s="567" t="s">
        <v>2477</v>
      </c>
      <c r="BC21" s="567" t="s">
        <v>2477</v>
      </c>
      <c r="BD21" s="567" t="s">
        <v>2477</v>
      </c>
    </row>
    <row r="22" spans="2:56" x14ac:dyDescent="0.25">
      <c r="B22" s="562" t="s">
        <v>121</v>
      </c>
      <c r="C22" s="565" t="s">
        <v>2802</v>
      </c>
      <c r="D22" s="565" t="s">
        <v>2799</v>
      </c>
      <c r="E22" s="562" t="s">
        <v>2824</v>
      </c>
      <c r="F22" s="562" t="s">
        <v>2830</v>
      </c>
      <c r="G22" s="562" t="s">
        <v>2819</v>
      </c>
      <c r="H22" s="562"/>
      <c r="I22" s="562"/>
      <c r="J22" s="562"/>
      <c r="K22" s="562"/>
      <c r="L22" s="562"/>
      <c r="M22" s="562"/>
      <c r="N22" s="562"/>
      <c r="O22" s="562">
        <v>345</v>
      </c>
      <c r="P22" s="562">
        <v>2050</v>
      </c>
      <c r="Q22" s="562" t="s">
        <v>2820</v>
      </c>
      <c r="R22" s="562"/>
      <c r="S22" s="562"/>
      <c r="T22" s="562"/>
      <c r="U22" s="562"/>
      <c r="V22" s="562"/>
      <c r="W22" s="562"/>
      <c r="X22" s="562"/>
      <c r="Y22" s="562" t="s">
        <v>2821</v>
      </c>
      <c r="Z22" s="562"/>
      <c r="AA22" s="562">
        <v>201</v>
      </c>
      <c r="AB22" s="562">
        <v>44</v>
      </c>
      <c r="AC22" s="562">
        <v>100</v>
      </c>
      <c r="AD22" s="562"/>
      <c r="AE22" s="568" t="s">
        <v>2822</v>
      </c>
      <c r="AF22" s="562" t="s">
        <v>2823</v>
      </c>
      <c r="AG22" s="566">
        <v>738.28344606874987</v>
      </c>
      <c r="AH22" s="562">
        <v>2019</v>
      </c>
      <c r="AI22" s="562" t="s">
        <v>2808</v>
      </c>
      <c r="AJ22" s="567">
        <v>0.46730019728476097</v>
      </c>
      <c r="AK22" s="566">
        <v>756.83325810556869</v>
      </c>
      <c r="AL22" s="566">
        <v>2007</v>
      </c>
      <c r="AM22" s="562" t="s">
        <v>2809</v>
      </c>
      <c r="AN22" s="567">
        <v>0.45584677510548416</v>
      </c>
      <c r="AO22" s="567">
        <v>0.97549022609913982</v>
      </c>
      <c r="AP22" s="566" t="s">
        <v>2477</v>
      </c>
      <c r="AQ22" s="566" t="s">
        <v>2477</v>
      </c>
      <c r="AR22" s="566" t="s">
        <v>2477</v>
      </c>
      <c r="AS22" s="566" t="s">
        <v>2477</v>
      </c>
      <c r="AT22" s="566" t="s">
        <v>2477</v>
      </c>
      <c r="AU22" s="566"/>
      <c r="AV22" s="566" t="s">
        <v>2477</v>
      </c>
      <c r="AW22" s="562"/>
      <c r="AX22" s="567" t="s">
        <v>2477</v>
      </c>
      <c r="AY22" s="567" t="s">
        <v>2477</v>
      </c>
      <c r="AZ22" s="567" t="s">
        <v>2477</v>
      </c>
      <c r="BA22" s="567" t="s">
        <v>2477</v>
      </c>
      <c r="BB22" s="567" t="s">
        <v>2477</v>
      </c>
      <c r="BC22" s="567" t="s">
        <v>2477</v>
      </c>
      <c r="BD22" s="567" t="s">
        <v>2477</v>
      </c>
    </row>
    <row r="23" spans="2:56" x14ac:dyDescent="0.25">
      <c r="B23" s="562" t="s">
        <v>121</v>
      </c>
      <c r="C23" s="565" t="s">
        <v>2802</v>
      </c>
      <c r="D23" s="565" t="s">
        <v>2799</v>
      </c>
      <c r="E23" s="562" t="s">
        <v>2824</v>
      </c>
      <c r="F23" s="562" t="s">
        <v>2831</v>
      </c>
      <c r="G23" s="562" t="s">
        <v>2819</v>
      </c>
      <c r="H23" s="562"/>
      <c r="I23" s="562"/>
      <c r="J23" s="562"/>
      <c r="K23" s="562"/>
      <c r="L23" s="562"/>
      <c r="M23" s="562"/>
      <c r="N23" s="562"/>
      <c r="O23" s="562">
        <v>136</v>
      </c>
      <c r="P23" s="562">
        <v>2050</v>
      </c>
      <c r="Q23" s="562" t="s">
        <v>2820</v>
      </c>
      <c r="R23" s="562"/>
      <c r="S23" s="562"/>
      <c r="T23" s="562"/>
      <c r="U23" s="562"/>
      <c r="V23" s="562"/>
      <c r="W23" s="562"/>
      <c r="X23" s="562"/>
      <c r="Y23" s="562" t="s">
        <v>2821</v>
      </c>
      <c r="Z23" s="562"/>
      <c r="AA23" s="562">
        <v>32</v>
      </c>
      <c r="AB23" s="562">
        <v>4</v>
      </c>
      <c r="AC23" s="562">
        <v>100</v>
      </c>
      <c r="AD23" s="562"/>
      <c r="AE23" s="568" t="s">
        <v>2822</v>
      </c>
      <c r="AF23" s="562" t="s">
        <v>2823</v>
      </c>
      <c r="AG23" s="566">
        <v>738.28344606874987</v>
      </c>
      <c r="AH23" s="562">
        <v>2019</v>
      </c>
      <c r="AI23" s="562" t="s">
        <v>2808</v>
      </c>
      <c r="AJ23" s="567">
        <v>0.18421109226297824</v>
      </c>
      <c r="AK23" s="566">
        <v>756.83325810556869</v>
      </c>
      <c r="AL23" s="566">
        <v>2007</v>
      </c>
      <c r="AM23" s="562" t="s">
        <v>2809</v>
      </c>
      <c r="AN23" s="567">
        <v>0.17969612004158214</v>
      </c>
      <c r="AO23" s="567">
        <v>0.97549022609913982</v>
      </c>
      <c r="AP23" s="566" t="s">
        <v>2477</v>
      </c>
      <c r="AQ23" s="566" t="s">
        <v>2477</v>
      </c>
      <c r="AR23" s="566" t="s">
        <v>2477</v>
      </c>
      <c r="AS23" s="566" t="s">
        <v>2477</v>
      </c>
      <c r="AT23" s="566" t="s">
        <v>2477</v>
      </c>
      <c r="AU23" s="566"/>
      <c r="AV23" s="566" t="s">
        <v>2477</v>
      </c>
      <c r="AW23" s="562"/>
      <c r="AX23" s="567" t="s">
        <v>2477</v>
      </c>
      <c r="AY23" s="567" t="s">
        <v>2477</v>
      </c>
      <c r="AZ23" s="567" t="s">
        <v>2477</v>
      </c>
      <c r="BA23" s="567" t="s">
        <v>2477</v>
      </c>
      <c r="BB23" s="567" t="s">
        <v>2477</v>
      </c>
      <c r="BC23" s="567" t="s">
        <v>2477</v>
      </c>
      <c r="BD23" s="567" t="s">
        <v>2477</v>
      </c>
    </row>
    <row r="24" spans="2:56" x14ac:dyDescent="0.25">
      <c r="B24" s="562" t="s">
        <v>259</v>
      </c>
      <c r="C24" s="565" t="s">
        <v>2799</v>
      </c>
      <c r="D24" s="565" t="s">
        <v>2799</v>
      </c>
      <c r="E24" s="562" t="s">
        <v>2832</v>
      </c>
      <c r="F24" s="562" t="s">
        <v>2801</v>
      </c>
      <c r="G24" s="562"/>
      <c r="H24" s="562"/>
      <c r="I24" s="562"/>
      <c r="J24" s="562"/>
      <c r="K24" s="562"/>
      <c r="L24" s="562"/>
      <c r="M24" s="562"/>
      <c r="N24" s="562"/>
      <c r="O24" s="562"/>
      <c r="P24" s="562"/>
      <c r="Q24" s="562"/>
      <c r="R24" s="562"/>
      <c r="S24" s="562"/>
      <c r="T24" s="562"/>
      <c r="U24" s="562"/>
      <c r="V24" s="562"/>
      <c r="W24" s="562"/>
      <c r="X24" s="562"/>
      <c r="Y24" s="562"/>
      <c r="Z24" s="562"/>
      <c r="AA24" s="562"/>
      <c r="AB24" s="562"/>
      <c r="AC24" s="562"/>
      <c r="AD24" s="562"/>
      <c r="AE24" s="562"/>
      <c r="AF24" s="562"/>
      <c r="AG24" s="562"/>
      <c r="AH24" s="562"/>
      <c r="AI24" s="562"/>
      <c r="AJ24" s="562"/>
      <c r="AK24" s="562"/>
      <c r="AL24" s="562"/>
      <c r="AM24" s="562"/>
      <c r="AN24" s="562"/>
      <c r="AO24" s="562"/>
      <c r="AP24" s="566" t="s">
        <v>2477</v>
      </c>
      <c r="AQ24" s="566" t="s">
        <v>2477</v>
      </c>
      <c r="AR24" s="566" t="s">
        <v>2477</v>
      </c>
      <c r="AS24" s="566" t="s">
        <v>2477</v>
      </c>
      <c r="AT24" s="566" t="s">
        <v>2477</v>
      </c>
      <c r="AU24" s="566"/>
      <c r="AV24" s="566" t="s">
        <v>2477</v>
      </c>
      <c r="AW24" s="562"/>
      <c r="AX24" s="567" t="s">
        <v>2477</v>
      </c>
      <c r="AY24" s="567" t="s">
        <v>2477</v>
      </c>
      <c r="AZ24" s="567" t="s">
        <v>2477</v>
      </c>
      <c r="BA24" s="567" t="s">
        <v>2477</v>
      </c>
      <c r="BB24" s="567" t="s">
        <v>2477</v>
      </c>
      <c r="BC24" s="567" t="s">
        <v>2477</v>
      </c>
      <c r="BD24" s="567" t="s">
        <v>2477</v>
      </c>
    </row>
    <row r="25" spans="2:56" x14ac:dyDescent="0.25">
      <c r="B25" s="562" t="s">
        <v>75</v>
      </c>
      <c r="C25" s="565" t="s">
        <v>2802</v>
      </c>
      <c r="D25" s="565" t="s">
        <v>2802</v>
      </c>
      <c r="E25" s="562" t="s">
        <v>2833</v>
      </c>
      <c r="F25" s="562" t="s">
        <v>2834</v>
      </c>
      <c r="G25" s="562" t="s">
        <v>2835</v>
      </c>
      <c r="H25" s="562">
        <v>103</v>
      </c>
      <c r="I25" s="562">
        <v>31</v>
      </c>
      <c r="J25" s="562">
        <v>27</v>
      </c>
      <c r="K25" s="562">
        <v>39</v>
      </c>
      <c r="L25" s="562" t="s">
        <v>2737</v>
      </c>
      <c r="M25" s="562" t="s">
        <v>2740</v>
      </c>
      <c r="N25" s="562" t="s">
        <v>2836</v>
      </c>
      <c r="O25" s="562">
        <v>200</v>
      </c>
      <c r="P25" s="562">
        <v>2050</v>
      </c>
      <c r="Q25" s="569" t="s">
        <v>2837</v>
      </c>
      <c r="R25" s="567">
        <v>0.51500000000000001</v>
      </c>
      <c r="S25" s="567">
        <v>0.155</v>
      </c>
      <c r="T25" s="567">
        <v>0.13500000000000001</v>
      </c>
      <c r="U25" s="567">
        <v>0.19500000000000001</v>
      </c>
      <c r="V25" s="567" t="s">
        <v>2477</v>
      </c>
      <c r="W25" s="567" t="s">
        <v>2477</v>
      </c>
      <c r="X25" s="567" t="s">
        <v>2477</v>
      </c>
      <c r="Y25" s="562" t="s">
        <v>2838</v>
      </c>
      <c r="Z25" s="562"/>
      <c r="AA25" s="562"/>
      <c r="AB25" s="562">
        <v>43</v>
      </c>
      <c r="AC25" s="562">
        <v>63</v>
      </c>
      <c r="AD25" s="562">
        <v>94</v>
      </c>
      <c r="AE25" s="562"/>
      <c r="AF25" s="562"/>
      <c r="AG25" s="566">
        <v>546.6066243410562</v>
      </c>
      <c r="AH25" s="562">
        <v>2019</v>
      </c>
      <c r="AI25" s="562" t="s">
        <v>2808</v>
      </c>
      <c r="AJ25" s="567">
        <v>0.36589384594653146</v>
      </c>
      <c r="AK25" s="566">
        <v>552.48402471644135</v>
      </c>
      <c r="AL25" s="566">
        <v>2018</v>
      </c>
      <c r="AM25" s="562" t="s">
        <v>2809</v>
      </c>
      <c r="AN25" s="567">
        <v>0.36200141733084251</v>
      </c>
      <c r="AO25" s="567">
        <v>0.98936186366944878</v>
      </c>
      <c r="AP25" s="566">
        <v>331.2693318134551</v>
      </c>
      <c r="AQ25" s="566">
        <v>100.31564440566031</v>
      </c>
      <c r="AR25" s="566">
        <v>33.409399999999998</v>
      </c>
      <c r="AS25" s="566">
        <v>69.752800000000008</v>
      </c>
      <c r="AT25" s="566" t="s">
        <v>2477</v>
      </c>
      <c r="AU25" s="566"/>
      <c r="AV25" s="566" t="s">
        <v>2477</v>
      </c>
      <c r="AW25" s="562" t="s">
        <v>2839</v>
      </c>
      <c r="AX25" s="567">
        <v>0.68907474943076974</v>
      </c>
      <c r="AY25" s="567">
        <v>0.69097541880266455</v>
      </c>
      <c r="AZ25" s="567">
        <v>0.19184421150933564</v>
      </c>
      <c r="BA25" s="567">
        <v>0.44088265990755932</v>
      </c>
      <c r="BB25" s="567" t="s">
        <v>2477</v>
      </c>
      <c r="BC25" s="567" t="s">
        <v>2477</v>
      </c>
      <c r="BD25" s="567" t="s">
        <v>2477</v>
      </c>
    </row>
    <row r="26" spans="2:56" x14ac:dyDescent="0.25">
      <c r="B26" s="562" t="s">
        <v>75</v>
      </c>
      <c r="C26" s="565" t="s">
        <v>2802</v>
      </c>
      <c r="D26" s="565" t="s">
        <v>2802</v>
      </c>
      <c r="E26" s="562" t="s">
        <v>2833</v>
      </c>
      <c r="F26" s="562" t="s">
        <v>2840</v>
      </c>
      <c r="G26" s="562" t="s">
        <v>2835</v>
      </c>
      <c r="H26" s="562">
        <v>128</v>
      </c>
      <c r="I26" s="562">
        <v>57</v>
      </c>
      <c r="J26" s="562">
        <v>54</v>
      </c>
      <c r="K26" s="562">
        <v>54</v>
      </c>
      <c r="L26" s="562" t="s">
        <v>2737</v>
      </c>
      <c r="M26" s="562" t="s">
        <v>2740</v>
      </c>
      <c r="N26" s="562" t="s">
        <v>2836</v>
      </c>
      <c r="O26" s="562">
        <v>293</v>
      </c>
      <c r="P26" s="562">
        <v>2050</v>
      </c>
      <c r="Q26" s="569" t="s">
        <v>2841</v>
      </c>
      <c r="R26" s="567">
        <v>0.43686006825938567</v>
      </c>
      <c r="S26" s="567">
        <v>0.19453924914675769</v>
      </c>
      <c r="T26" s="567">
        <v>0.18430034129692832</v>
      </c>
      <c r="U26" s="567">
        <v>0.18430034129692832</v>
      </c>
      <c r="V26" s="567" t="s">
        <v>2477</v>
      </c>
      <c r="W26" s="567" t="s">
        <v>2477</v>
      </c>
      <c r="X26" s="567" t="s">
        <v>2477</v>
      </c>
      <c r="Y26" s="562" t="s">
        <v>2838</v>
      </c>
      <c r="Z26" s="562"/>
      <c r="AA26" s="562"/>
      <c r="AB26" s="562">
        <v>54</v>
      </c>
      <c r="AC26" s="562">
        <v>78</v>
      </c>
      <c r="AD26" s="562">
        <v>161</v>
      </c>
      <c r="AE26" s="562"/>
      <c r="AF26" s="562"/>
      <c r="AG26" s="566">
        <v>546.6066243410562</v>
      </c>
      <c r="AH26" s="562">
        <v>2019</v>
      </c>
      <c r="AI26" s="562" t="s">
        <v>2808</v>
      </c>
      <c r="AJ26" s="567">
        <v>0.53603448431166856</v>
      </c>
      <c r="AK26" s="566">
        <v>552.48402471644135</v>
      </c>
      <c r="AL26" s="566">
        <v>2018</v>
      </c>
      <c r="AM26" s="562" t="s">
        <v>2809</v>
      </c>
      <c r="AN26" s="567">
        <v>0.53033207638968427</v>
      </c>
      <c r="AO26" s="567">
        <v>0.98936186366944878</v>
      </c>
      <c r="AP26" s="566">
        <v>331.2693318134551</v>
      </c>
      <c r="AQ26" s="566">
        <v>100.31564440566031</v>
      </c>
      <c r="AR26" s="566">
        <v>33.409399999999998</v>
      </c>
      <c r="AS26" s="566">
        <v>69.752800000000008</v>
      </c>
      <c r="AT26" s="566" t="s">
        <v>2477</v>
      </c>
      <c r="AU26" s="566"/>
      <c r="AV26" s="566" t="s">
        <v>2477</v>
      </c>
      <c r="AW26" s="562" t="s">
        <v>2839</v>
      </c>
      <c r="AX26" s="567">
        <v>0.61360745560328667</v>
      </c>
      <c r="AY26" s="567">
        <v>0.43179351199199617</v>
      </c>
      <c r="AZ26" s="567">
        <v>-0.61631157698132866</v>
      </c>
      <c r="BA26" s="567">
        <v>0.22583752910277446</v>
      </c>
      <c r="BB26" s="567" t="s">
        <v>2477</v>
      </c>
      <c r="BC26" s="567" t="s">
        <v>2477</v>
      </c>
      <c r="BD26" s="567" t="s">
        <v>2477</v>
      </c>
    </row>
    <row r="27" spans="2:56" x14ac:dyDescent="0.25">
      <c r="B27" s="562" t="s">
        <v>75</v>
      </c>
      <c r="C27" s="565" t="s">
        <v>2802</v>
      </c>
      <c r="D27" s="565" t="s">
        <v>2802</v>
      </c>
      <c r="E27" s="562" t="s">
        <v>2833</v>
      </c>
      <c r="F27" s="562" t="s">
        <v>2842</v>
      </c>
      <c r="G27" s="562" t="s">
        <v>2835</v>
      </c>
      <c r="H27" s="562">
        <v>121</v>
      </c>
      <c r="I27" s="562">
        <v>52</v>
      </c>
      <c r="J27" s="562">
        <v>49</v>
      </c>
      <c r="K27" s="562">
        <v>47</v>
      </c>
      <c r="L27" s="562" t="s">
        <v>2737</v>
      </c>
      <c r="M27" s="562" t="s">
        <v>2740</v>
      </c>
      <c r="N27" s="562" t="s">
        <v>2836</v>
      </c>
      <c r="O27" s="562">
        <v>269</v>
      </c>
      <c r="P27" s="562">
        <v>2050</v>
      </c>
      <c r="Q27" s="569" t="s">
        <v>2843</v>
      </c>
      <c r="R27" s="567">
        <v>0.44981412639405205</v>
      </c>
      <c r="S27" s="567">
        <v>0.19330855018587362</v>
      </c>
      <c r="T27" s="567">
        <v>0.18215613382899629</v>
      </c>
      <c r="U27" s="567">
        <v>0.17472118959107807</v>
      </c>
      <c r="V27" s="567" t="s">
        <v>2477</v>
      </c>
      <c r="W27" s="567" t="s">
        <v>2477</v>
      </c>
      <c r="X27" s="567" t="s">
        <v>2477</v>
      </c>
      <c r="Y27" s="562" t="s">
        <v>2838</v>
      </c>
      <c r="Z27" s="562"/>
      <c r="AA27" s="562"/>
      <c r="AB27" s="562">
        <v>64</v>
      </c>
      <c r="AC27" s="562">
        <v>204</v>
      </c>
      <c r="AD27" s="562"/>
      <c r="AE27" s="562"/>
      <c r="AF27" s="562"/>
      <c r="AG27" s="566">
        <v>546.6066243410562</v>
      </c>
      <c r="AH27" s="562">
        <v>2019</v>
      </c>
      <c r="AI27" s="562" t="s">
        <v>2808</v>
      </c>
      <c r="AJ27" s="567">
        <v>0.4921272227980848</v>
      </c>
      <c r="AK27" s="566">
        <v>552.48402471644135</v>
      </c>
      <c r="AL27" s="566">
        <v>2018</v>
      </c>
      <c r="AM27" s="562" t="s">
        <v>2809</v>
      </c>
      <c r="AN27" s="567">
        <v>0.48689190630998319</v>
      </c>
      <c r="AO27" s="567">
        <v>0.98936186366944878</v>
      </c>
      <c r="AP27" s="566">
        <v>331.2693318134551</v>
      </c>
      <c r="AQ27" s="566">
        <v>100.31564440566031</v>
      </c>
      <c r="AR27" s="566">
        <v>33.409399999999998</v>
      </c>
      <c r="AS27" s="566">
        <v>69.752800000000008</v>
      </c>
      <c r="AT27" s="566" t="s">
        <v>2477</v>
      </c>
      <c r="AU27" s="566"/>
      <c r="AV27" s="566" t="s">
        <v>2477</v>
      </c>
      <c r="AW27" s="562" t="s">
        <v>2839</v>
      </c>
      <c r="AX27" s="567">
        <v>0.63473829787498193</v>
      </c>
      <c r="AY27" s="567">
        <v>0.48163618637866318</v>
      </c>
      <c r="AZ27" s="567">
        <v>-0.46665309763120566</v>
      </c>
      <c r="BA27" s="567">
        <v>0.32619192347834075</v>
      </c>
      <c r="BB27" s="567" t="s">
        <v>2477</v>
      </c>
      <c r="BC27" s="567" t="s">
        <v>2477</v>
      </c>
      <c r="BD27" s="567" t="s">
        <v>2477</v>
      </c>
    </row>
    <row r="28" spans="2:56" x14ac:dyDescent="0.25">
      <c r="B28" s="562" t="s">
        <v>75</v>
      </c>
      <c r="C28" s="565" t="s">
        <v>2802</v>
      </c>
      <c r="D28" s="565" t="s">
        <v>2802</v>
      </c>
      <c r="E28" s="562" t="s">
        <v>2833</v>
      </c>
      <c r="F28" s="562" t="s">
        <v>2844</v>
      </c>
      <c r="G28" s="562" t="s">
        <v>2835</v>
      </c>
      <c r="H28" s="562">
        <v>106</v>
      </c>
      <c r="I28" s="562">
        <v>41</v>
      </c>
      <c r="J28" s="562">
        <v>41</v>
      </c>
      <c r="K28" s="562">
        <v>32</v>
      </c>
      <c r="L28" s="562" t="s">
        <v>2737</v>
      </c>
      <c r="M28" s="562" t="s">
        <v>2740</v>
      </c>
      <c r="N28" s="562" t="s">
        <v>2836</v>
      </c>
      <c r="O28" s="562">
        <v>220</v>
      </c>
      <c r="P28" s="562">
        <v>2050</v>
      </c>
      <c r="Q28" s="569" t="s">
        <v>2845</v>
      </c>
      <c r="R28" s="567">
        <v>0.48181818181818181</v>
      </c>
      <c r="S28" s="567">
        <v>0.18636363636363637</v>
      </c>
      <c r="T28" s="567">
        <v>0.18636363636363637</v>
      </c>
      <c r="U28" s="567">
        <v>0.14545454545454545</v>
      </c>
      <c r="V28" s="567" t="s">
        <v>2477</v>
      </c>
      <c r="W28" s="567" t="s">
        <v>2477</v>
      </c>
      <c r="X28" s="567" t="s">
        <v>2477</v>
      </c>
      <c r="Y28" s="562" t="s">
        <v>2838</v>
      </c>
      <c r="Z28" s="562"/>
      <c r="AA28" s="562">
        <v>132</v>
      </c>
      <c r="AB28" s="562">
        <v>84</v>
      </c>
      <c r="AC28" s="562">
        <v>3</v>
      </c>
      <c r="AD28" s="562"/>
      <c r="AE28" s="562"/>
      <c r="AF28" s="562"/>
      <c r="AG28" s="566">
        <v>546.6066243410562</v>
      </c>
      <c r="AH28" s="562">
        <v>2019</v>
      </c>
      <c r="AI28" s="562" t="s">
        <v>2808</v>
      </c>
      <c r="AJ28" s="567">
        <v>0.40248323054118457</v>
      </c>
      <c r="AK28" s="566">
        <v>552.48402471644135</v>
      </c>
      <c r="AL28" s="566">
        <v>2018</v>
      </c>
      <c r="AM28" s="562" t="s">
        <v>2809</v>
      </c>
      <c r="AN28" s="567">
        <v>0.39820155906392679</v>
      </c>
      <c r="AO28" s="567">
        <v>0.98936186366944878</v>
      </c>
      <c r="AP28" s="566">
        <v>331.2693318134551</v>
      </c>
      <c r="AQ28" s="566">
        <v>100.31564440566031</v>
      </c>
      <c r="AR28" s="566">
        <v>33.409399999999998</v>
      </c>
      <c r="AS28" s="566">
        <v>69.752800000000008</v>
      </c>
      <c r="AT28" s="566" t="s">
        <v>2477</v>
      </c>
      <c r="AU28" s="566"/>
      <c r="AV28" s="566" t="s">
        <v>2477</v>
      </c>
      <c r="AW28" s="562" t="s">
        <v>2839</v>
      </c>
      <c r="AX28" s="567">
        <v>0.68001867417147177</v>
      </c>
      <c r="AY28" s="567">
        <v>0.59129007002933054</v>
      </c>
      <c r="AZ28" s="567">
        <v>-0.22719953067100884</v>
      </c>
      <c r="BA28" s="567">
        <v>0.54123705428312563</v>
      </c>
      <c r="BB28" s="567" t="s">
        <v>2477</v>
      </c>
      <c r="BC28" s="567" t="s">
        <v>2477</v>
      </c>
      <c r="BD28" s="567" t="s">
        <v>2477</v>
      </c>
    </row>
    <row r="29" spans="2:56" x14ac:dyDescent="0.25">
      <c r="B29" s="562" t="s">
        <v>411</v>
      </c>
      <c r="C29" s="565" t="s">
        <v>2799</v>
      </c>
      <c r="D29" s="565" t="s">
        <v>2799</v>
      </c>
      <c r="E29" s="562" t="s">
        <v>2846</v>
      </c>
      <c r="F29" s="562" t="s">
        <v>2801</v>
      </c>
      <c r="G29" s="562"/>
      <c r="H29" s="562"/>
      <c r="I29" s="562"/>
      <c r="J29" s="562"/>
      <c r="K29" s="562"/>
      <c r="L29" s="562"/>
      <c r="M29" s="562"/>
      <c r="N29" s="562"/>
      <c r="O29" s="562"/>
      <c r="P29" s="562"/>
      <c r="Q29" s="562"/>
      <c r="R29" s="562"/>
      <c r="S29" s="562"/>
      <c r="T29" s="562"/>
      <c r="U29" s="562"/>
      <c r="V29" s="562"/>
      <c r="W29" s="562"/>
      <c r="X29" s="562"/>
      <c r="Y29" s="562"/>
      <c r="Z29" s="562"/>
      <c r="AA29" s="562"/>
      <c r="AB29" s="562"/>
      <c r="AC29" s="562"/>
      <c r="AD29" s="562"/>
      <c r="AE29" s="562"/>
      <c r="AF29" s="562"/>
      <c r="AG29" s="562"/>
      <c r="AH29" s="562"/>
      <c r="AI29" s="562"/>
      <c r="AJ29" s="562"/>
      <c r="AK29" s="562"/>
      <c r="AL29" s="562"/>
      <c r="AM29" s="562"/>
      <c r="AN29" s="562"/>
      <c r="AO29" s="562"/>
      <c r="AP29" s="566" t="s">
        <v>2477</v>
      </c>
      <c r="AQ29" s="566" t="s">
        <v>2477</v>
      </c>
      <c r="AR29" s="566" t="s">
        <v>2477</v>
      </c>
      <c r="AS29" s="566" t="s">
        <v>2477</v>
      </c>
      <c r="AT29" s="566" t="s">
        <v>2477</v>
      </c>
      <c r="AU29" s="566"/>
      <c r="AV29" s="566" t="s">
        <v>2477</v>
      </c>
      <c r="AW29" s="562"/>
      <c r="AX29" s="567" t="s">
        <v>2477</v>
      </c>
      <c r="AY29" s="567" t="s">
        <v>2477</v>
      </c>
      <c r="AZ29" s="567" t="s">
        <v>2477</v>
      </c>
      <c r="BA29" s="567" t="s">
        <v>2477</v>
      </c>
      <c r="BB29" s="567" t="s">
        <v>2477</v>
      </c>
      <c r="BC29" s="567" t="s">
        <v>2477</v>
      </c>
      <c r="BD29" s="567" t="s">
        <v>2477</v>
      </c>
    </row>
    <row r="30" spans="2:56" x14ac:dyDescent="0.25">
      <c r="B30" s="562" t="s">
        <v>473</v>
      </c>
      <c r="C30" s="565" t="s">
        <v>2802</v>
      </c>
      <c r="D30" s="565" t="s">
        <v>2802</v>
      </c>
      <c r="E30" s="562" t="s">
        <v>2847</v>
      </c>
      <c r="F30" s="562" t="s">
        <v>2848</v>
      </c>
      <c r="G30" s="562" t="s">
        <v>2849</v>
      </c>
      <c r="H30" s="562">
        <v>3</v>
      </c>
      <c r="I30" s="562">
        <v>3</v>
      </c>
      <c r="J30" s="562">
        <v>3</v>
      </c>
      <c r="K30" s="562">
        <v>20</v>
      </c>
      <c r="L30" s="562">
        <v>12</v>
      </c>
      <c r="M30" s="562" t="s">
        <v>2740</v>
      </c>
      <c r="N30" s="562">
        <v>35</v>
      </c>
      <c r="O30" s="562">
        <v>76</v>
      </c>
      <c r="P30" s="562">
        <v>2050</v>
      </c>
      <c r="Q30" s="569" t="s">
        <v>2850</v>
      </c>
      <c r="R30" s="567">
        <v>3.9473684210526314E-2</v>
      </c>
      <c r="S30" s="567">
        <v>3.9473684210526314E-2</v>
      </c>
      <c r="T30" s="567">
        <v>3.9473684210526314E-2</v>
      </c>
      <c r="U30" s="567">
        <v>0.26315789473684209</v>
      </c>
      <c r="V30" s="567">
        <v>0.15789473684210525</v>
      </c>
      <c r="W30" s="567" t="s">
        <v>2477</v>
      </c>
      <c r="X30" s="567">
        <v>0.46052631578947367</v>
      </c>
      <c r="Y30" s="562" t="s">
        <v>2851</v>
      </c>
      <c r="Z30" s="562">
        <v>75</v>
      </c>
      <c r="AA30" s="562"/>
      <c r="AB30" s="562"/>
      <c r="AC30" s="562"/>
      <c r="AD30" s="562"/>
      <c r="AE30" s="568" t="s">
        <v>2822</v>
      </c>
      <c r="AF30" s="562" t="s">
        <v>2852</v>
      </c>
      <c r="AG30" s="566">
        <v>448.38963835809608</v>
      </c>
      <c r="AH30" s="562">
        <v>2019</v>
      </c>
      <c r="AI30" s="562" t="s">
        <v>2808</v>
      </c>
      <c r="AJ30" s="567">
        <v>0.16949544212996365</v>
      </c>
      <c r="AK30" s="566">
        <v>805.85721397160671</v>
      </c>
      <c r="AL30" s="566">
        <v>1991</v>
      </c>
      <c r="AM30" s="562" t="s">
        <v>2809</v>
      </c>
      <c r="AN30" s="567">
        <v>9.4309511266195301E-2</v>
      </c>
      <c r="AO30" s="567">
        <v>0.55641325855760659</v>
      </c>
      <c r="AP30" s="566">
        <v>229.67313284605962</v>
      </c>
      <c r="AQ30" s="566">
        <v>120.8757671539404</v>
      </c>
      <c r="AR30" s="566">
        <v>36.466629813970371</v>
      </c>
      <c r="AS30" s="566">
        <v>42.263149898306111</v>
      </c>
      <c r="AT30" s="566">
        <v>19.110925850378099</v>
      </c>
      <c r="AU30" s="566"/>
      <c r="AV30" s="566">
        <v>46.67594703263844</v>
      </c>
      <c r="AW30" s="562"/>
      <c r="AX30" s="567">
        <v>0.98693795846808618</v>
      </c>
      <c r="AY30" s="567">
        <v>0.97518112959581571</v>
      </c>
      <c r="AZ30" s="567">
        <v>0.91773300644166744</v>
      </c>
      <c r="BA30" s="567">
        <v>0.526774505730781</v>
      </c>
      <c r="BB30" s="567">
        <v>0.37208693634470946</v>
      </c>
      <c r="BC30" s="567" t="s">
        <v>2477</v>
      </c>
      <c r="BD30" s="567">
        <v>0.25014911908426762</v>
      </c>
    </row>
    <row r="31" spans="2:56" x14ac:dyDescent="0.25">
      <c r="B31" s="562" t="s">
        <v>473</v>
      </c>
      <c r="C31" s="565" t="s">
        <v>2802</v>
      </c>
      <c r="D31" s="565" t="s">
        <v>2802</v>
      </c>
      <c r="E31" s="562" t="s">
        <v>2847</v>
      </c>
      <c r="F31" s="562" t="s">
        <v>2853</v>
      </c>
      <c r="G31" s="562" t="s">
        <v>2849</v>
      </c>
      <c r="H31" s="562">
        <v>7</v>
      </c>
      <c r="I31" s="562">
        <v>4</v>
      </c>
      <c r="J31" s="562">
        <v>3</v>
      </c>
      <c r="K31" s="562">
        <v>14</v>
      </c>
      <c r="L31" s="562">
        <v>13</v>
      </c>
      <c r="M31" s="562" t="s">
        <v>2740</v>
      </c>
      <c r="N31" s="562">
        <v>35</v>
      </c>
      <c r="O31" s="562">
        <v>76</v>
      </c>
      <c r="P31" s="562">
        <v>2050</v>
      </c>
      <c r="Q31" s="569" t="s">
        <v>2854</v>
      </c>
      <c r="R31" s="567">
        <v>9.2105263157894732E-2</v>
      </c>
      <c r="S31" s="567">
        <v>5.2631578947368418E-2</v>
      </c>
      <c r="T31" s="567">
        <v>3.9473684210526314E-2</v>
      </c>
      <c r="U31" s="567">
        <v>0.18421052631578946</v>
      </c>
      <c r="V31" s="567">
        <v>0.17105263157894737</v>
      </c>
      <c r="W31" s="567" t="s">
        <v>2477</v>
      </c>
      <c r="X31" s="567">
        <v>0.46052631578947367</v>
      </c>
      <c r="Y31" s="562" t="s">
        <v>2851</v>
      </c>
      <c r="Z31" s="562">
        <v>76</v>
      </c>
      <c r="AA31" s="562"/>
      <c r="AB31" s="562"/>
      <c r="AC31" s="562"/>
      <c r="AD31" s="562"/>
      <c r="AE31" s="568" t="s">
        <v>2822</v>
      </c>
      <c r="AF31" s="562" t="s">
        <v>2852</v>
      </c>
      <c r="AG31" s="566">
        <v>448.38963835809608</v>
      </c>
      <c r="AH31" s="562">
        <v>2019</v>
      </c>
      <c r="AI31" s="562" t="s">
        <v>2808</v>
      </c>
      <c r="AJ31" s="567">
        <v>0.16949544212996365</v>
      </c>
      <c r="AK31" s="566">
        <v>805.85721397160671</v>
      </c>
      <c r="AL31" s="566">
        <v>1991</v>
      </c>
      <c r="AM31" s="562" t="s">
        <v>2809</v>
      </c>
      <c r="AN31" s="567">
        <v>9.4309511266195301E-2</v>
      </c>
      <c r="AO31" s="567">
        <v>0.55641325855760659</v>
      </c>
      <c r="AP31" s="566">
        <v>229.67313284605962</v>
      </c>
      <c r="AQ31" s="566">
        <v>120.8757671539404</v>
      </c>
      <c r="AR31" s="566">
        <v>36.466629813970371</v>
      </c>
      <c r="AS31" s="566">
        <v>42.263149898306111</v>
      </c>
      <c r="AT31" s="566">
        <v>19.110925850378099</v>
      </c>
      <c r="AU31" s="566"/>
      <c r="AV31" s="566">
        <v>46.67594703263844</v>
      </c>
      <c r="AW31" s="562"/>
      <c r="AX31" s="567">
        <v>0.96952190309220099</v>
      </c>
      <c r="AY31" s="567">
        <v>0.96690817279442098</v>
      </c>
      <c r="AZ31" s="567">
        <v>0.91773300644166744</v>
      </c>
      <c r="BA31" s="567">
        <v>0.66874215401154669</v>
      </c>
      <c r="BB31" s="567">
        <v>0.3197608477067686</v>
      </c>
      <c r="BC31" s="567" t="s">
        <v>2477</v>
      </c>
      <c r="BD31" s="567">
        <v>0.25014911908426762</v>
      </c>
    </row>
    <row r="32" spans="2:56" x14ac:dyDescent="0.25">
      <c r="B32" s="562" t="s">
        <v>473</v>
      </c>
      <c r="C32" s="565" t="s">
        <v>2802</v>
      </c>
      <c r="D32" s="565" t="s">
        <v>2802</v>
      </c>
      <c r="E32" s="562" t="s">
        <v>2847</v>
      </c>
      <c r="F32" s="562" t="s">
        <v>2855</v>
      </c>
      <c r="G32" s="562" t="s">
        <v>2849</v>
      </c>
      <c r="H32" s="562">
        <v>11</v>
      </c>
      <c r="I32" s="562">
        <v>5</v>
      </c>
      <c r="J32" s="562">
        <v>10</v>
      </c>
      <c r="K32" s="562">
        <v>21</v>
      </c>
      <c r="L32" s="562">
        <v>13</v>
      </c>
      <c r="M32" s="562" t="s">
        <v>2740</v>
      </c>
      <c r="N32" s="562">
        <v>21</v>
      </c>
      <c r="O32" s="562">
        <v>81</v>
      </c>
      <c r="P32" s="562">
        <v>2050</v>
      </c>
      <c r="Q32" s="569" t="s">
        <v>2856</v>
      </c>
      <c r="R32" s="567">
        <v>0.13580246913580246</v>
      </c>
      <c r="S32" s="567">
        <v>6.1728395061728392E-2</v>
      </c>
      <c r="T32" s="567">
        <v>0.12345679012345678</v>
      </c>
      <c r="U32" s="567">
        <v>0.25925925925925924</v>
      </c>
      <c r="V32" s="567">
        <v>0.16049382716049382</v>
      </c>
      <c r="W32" s="567" t="s">
        <v>2477</v>
      </c>
      <c r="X32" s="567">
        <v>0.25925925925925924</v>
      </c>
      <c r="Y32" s="562" t="s">
        <v>2851</v>
      </c>
      <c r="Z32" s="562">
        <v>81</v>
      </c>
      <c r="AA32" s="562"/>
      <c r="AB32" s="562"/>
      <c r="AC32" s="562"/>
      <c r="AD32" s="562"/>
      <c r="AE32" s="568" t="s">
        <v>2822</v>
      </c>
      <c r="AF32" s="562" t="s">
        <v>2852</v>
      </c>
      <c r="AG32" s="566">
        <v>448.38963835809608</v>
      </c>
      <c r="AH32" s="562">
        <v>2019</v>
      </c>
      <c r="AI32" s="562" t="s">
        <v>2808</v>
      </c>
      <c r="AJ32" s="567">
        <v>0.1806464580595665</v>
      </c>
      <c r="AK32" s="566">
        <v>805.85721397160671</v>
      </c>
      <c r="AL32" s="566">
        <v>1991</v>
      </c>
      <c r="AM32" s="562" t="s">
        <v>2809</v>
      </c>
      <c r="AN32" s="567">
        <v>0.10051408437581341</v>
      </c>
      <c r="AO32" s="567">
        <v>0.55641325855760659</v>
      </c>
      <c r="AP32" s="566">
        <v>229.67313284605962</v>
      </c>
      <c r="AQ32" s="566">
        <v>120.8757671539404</v>
      </c>
      <c r="AR32" s="566">
        <v>36.466629813970371</v>
      </c>
      <c r="AS32" s="566">
        <v>42.263149898306111</v>
      </c>
      <c r="AT32" s="566">
        <v>19.110925850378099</v>
      </c>
      <c r="AU32" s="566"/>
      <c r="AV32" s="566">
        <v>46.67594703263844</v>
      </c>
      <c r="AW32" s="562"/>
      <c r="AX32" s="567">
        <v>0.9521058477163159</v>
      </c>
      <c r="AY32" s="567">
        <v>0.95863521599302626</v>
      </c>
      <c r="AZ32" s="567">
        <v>0.72577668813889129</v>
      </c>
      <c r="BA32" s="567">
        <v>0.50311323101732008</v>
      </c>
      <c r="BB32" s="567">
        <v>0.3197608477067686</v>
      </c>
      <c r="BC32" s="567" t="s">
        <v>2477</v>
      </c>
      <c r="BD32" s="567">
        <v>0.55008947145056053</v>
      </c>
    </row>
    <row r="33" spans="2:56" x14ac:dyDescent="0.25">
      <c r="B33" s="562" t="s">
        <v>187</v>
      </c>
      <c r="C33" s="565" t="s">
        <v>2802</v>
      </c>
      <c r="D33" s="565" t="s">
        <v>2802</v>
      </c>
      <c r="E33" s="562" t="s">
        <v>2857</v>
      </c>
      <c r="F33" s="562" t="s">
        <v>2858</v>
      </c>
      <c r="G33" s="562" t="s">
        <v>2859</v>
      </c>
      <c r="H33" s="562">
        <v>7</v>
      </c>
      <c r="I33" s="562">
        <v>4</v>
      </c>
      <c r="J33" s="562">
        <v>10</v>
      </c>
      <c r="K33" s="562">
        <v>48</v>
      </c>
      <c r="L33" s="562">
        <v>6</v>
      </c>
      <c r="M33" s="562" t="s">
        <v>2740</v>
      </c>
      <c r="N33" s="562" t="s">
        <v>2836</v>
      </c>
      <c r="O33" s="562">
        <v>75</v>
      </c>
      <c r="P33" s="562">
        <v>2050</v>
      </c>
      <c r="Q33" s="569" t="s">
        <v>2860</v>
      </c>
      <c r="R33" s="567">
        <v>9.3333333333333338E-2</v>
      </c>
      <c r="S33" s="567">
        <v>5.3333333333333337E-2</v>
      </c>
      <c r="T33" s="567">
        <v>0.13333333333333333</v>
      </c>
      <c r="U33" s="567">
        <v>0.64</v>
      </c>
      <c r="V33" s="567">
        <v>0.08</v>
      </c>
      <c r="W33" s="567" t="s">
        <v>2477</v>
      </c>
      <c r="X33" s="567" t="s">
        <v>2477</v>
      </c>
      <c r="Y33" s="562" t="s">
        <v>2861</v>
      </c>
      <c r="AA33" s="562"/>
      <c r="AB33" s="562">
        <v>10</v>
      </c>
      <c r="AC33" s="562">
        <v>67</v>
      </c>
      <c r="AD33" s="562"/>
      <c r="AE33" s="562"/>
      <c r="AF33" s="562"/>
      <c r="AG33" s="566">
        <v>441.48801258991</v>
      </c>
      <c r="AH33" s="562">
        <v>2019</v>
      </c>
      <c r="AI33" s="562" t="s">
        <v>2808</v>
      </c>
      <c r="AJ33" s="567">
        <v>0.16988003719517999</v>
      </c>
      <c r="AK33" s="566">
        <v>574.17433366396415</v>
      </c>
      <c r="AL33" s="566">
        <v>1991</v>
      </c>
      <c r="AM33" s="562" t="s">
        <v>2809</v>
      </c>
      <c r="AN33" s="567">
        <v>0.13062234865394348</v>
      </c>
      <c r="AO33" s="567">
        <v>0.76890934809407752</v>
      </c>
      <c r="AP33" s="566">
        <v>170.62740897104857</v>
      </c>
      <c r="AQ33" s="566">
        <v>132.96033327931326</v>
      </c>
      <c r="AR33" s="566">
        <v>46.655182265707225</v>
      </c>
      <c r="AS33" s="566">
        <v>72.770509392292539</v>
      </c>
      <c r="AT33" s="566">
        <v>18.47457868154838</v>
      </c>
      <c r="AU33" s="566"/>
      <c r="AV33" s="566" t="s">
        <v>2477</v>
      </c>
      <c r="AW33" s="562"/>
      <c r="AX33" s="567">
        <v>0.95897493818717172</v>
      </c>
      <c r="AY33" s="567">
        <v>0.96991583954894955</v>
      </c>
      <c r="AZ33" s="567">
        <v>0.78566153823923091</v>
      </c>
      <c r="BA33" s="567">
        <v>0.34039213960643372</v>
      </c>
      <c r="BB33" s="567">
        <v>0.67522940017070354</v>
      </c>
      <c r="BC33" s="567" t="s">
        <v>2477</v>
      </c>
      <c r="BD33" s="567" t="s">
        <v>2477</v>
      </c>
    </row>
    <row r="34" spans="2:56" x14ac:dyDescent="0.25">
      <c r="B34" s="562" t="s">
        <v>445</v>
      </c>
      <c r="C34" s="565" t="s">
        <v>2802</v>
      </c>
      <c r="D34" s="565" t="s">
        <v>2802</v>
      </c>
      <c r="E34" s="562" t="s">
        <v>2862</v>
      </c>
      <c r="F34" s="562" t="s">
        <v>2863</v>
      </c>
      <c r="G34" s="562" t="s">
        <v>2864</v>
      </c>
      <c r="H34" s="562">
        <v>50</v>
      </c>
      <c r="I34" s="562" t="s">
        <v>2737</v>
      </c>
      <c r="J34" s="562">
        <v>20</v>
      </c>
      <c r="K34" s="562">
        <v>40</v>
      </c>
      <c r="L34" s="562">
        <v>10</v>
      </c>
      <c r="M34" s="562" t="s">
        <v>2740</v>
      </c>
      <c r="N34" s="562" t="s">
        <v>2836</v>
      </c>
      <c r="O34" s="562">
        <v>120</v>
      </c>
      <c r="P34" s="562">
        <v>2065</v>
      </c>
      <c r="Q34" s="569" t="s">
        <v>2865</v>
      </c>
      <c r="R34" s="567">
        <v>0.41666666666666669</v>
      </c>
      <c r="S34" s="567" t="s">
        <v>2477</v>
      </c>
      <c r="T34" s="567">
        <v>0.16666666666666666</v>
      </c>
      <c r="U34" s="567">
        <v>0.33333333333333331</v>
      </c>
      <c r="V34" s="567">
        <v>8.3333333333333329E-2</v>
      </c>
      <c r="W34" s="567" t="s">
        <v>2477</v>
      </c>
      <c r="X34" s="567" t="s">
        <v>2477</v>
      </c>
      <c r="Y34" s="562" t="s">
        <v>2866</v>
      </c>
      <c r="Z34" s="562"/>
      <c r="AA34" s="562"/>
      <c r="AB34" s="562"/>
      <c r="AC34" s="562">
        <v>120</v>
      </c>
      <c r="AD34" s="562"/>
      <c r="AE34" s="568" t="s">
        <v>2822</v>
      </c>
      <c r="AF34" s="562" t="s">
        <v>2867</v>
      </c>
      <c r="AG34" s="566">
        <v>372.64877000000001</v>
      </c>
      <c r="AH34" s="562">
        <v>2018</v>
      </c>
      <c r="AI34" s="562" t="s">
        <v>2868</v>
      </c>
      <c r="AJ34" s="567">
        <v>0.32201904222037281</v>
      </c>
      <c r="AK34" s="566">
        <v>372.64877000000001</v>
      </c>
      <c r="AL34" s="570">
        <v>2018</v>
      </c>
      <c r="AM34" s="562" t="s">
        <v>2869</v>
      </c>
      <c r="AN34" s="567">
        <v>0.32201904222037281</v>
      </c>
      <c r="AO34" s="567">
        <v>1</v>
      </c>
      <c r="AP34" s="566">
        <v>257.34089</v>
      </c>
      <c r="AQ34" s="566"/>
      <c r="AR34" s="566">
        <v>40.118180000000002</v>
      </c>
      <c r="AS34" s="566">
        <v>58.468019999999996</v>
      </c>
      <c r="AT34" s="566">
        <v>16.703679999999999</v>
      </c>
      <c r="AU34" s="566"/>
      <c r="AV34" s="566"/>
      <c r="AW34" s="562" t="s">
        <v>2870</v>
      </c>
      <c r="AX34" s="567">
        <v>0.80570518738782637</v>
      </c>
      <c r="AY34" s="567" t="s">
        <v>2477</v>
      </c>
      <c r="AZ34" s="567">
        <v>0.501472898321908</v>
      </c>
      <c r="BA34" s="567">
        <v>0.3158653226156794</v>
      </c>
      <c r="BB34" s="567">
        <v>0.40132952738558203</v>
      </c>
      <c r="BC34" s="567" t="s">
        <v>2477</v>
      </c>
      <c r="BD34" s="567" t="s">
        <v>2477</v>
      </c>
    </row>
    <row r="35" spans="2:56" x14ac:dyDescent="0.25">
      <c r="B35" s="562" t="s">
        <v>343</v>
      </c>
      <c r="C35" s="565" t="s">
        <v>2799</v>
      </c>
      <c r="D35" s="565" t="s">
        <v>2799</v>
      </c>
      <c r="E35" s="562" t="s">
        <v>2871</v>
      </c>
      <c r="F35" s="562" t="s">
        <v>2801</v>
      </c>
      <c r="G35" s="562"/>
      <c r="H35" s="562"/>
      <c r="I35" s="562"/>
      <c r="J35" s="562"/>
      <c r="K35" s="562"/>
      <c r="L35" s="562"/>
      <c r="M35" s="562"/>
      <c r="N35" s="562"/>
      <c r="O35" s="562"/>
      <c r="P35" s="562"/>
      <c r="Q35" s="562"/>
      <c r="R35" s="562"/>
      <c r="S35" s="562"/>
      <c r="T35" s="562"/>
      <c r="U35" s="562"/>
      <c r="V35" s="562"/>
      <c r="W35" s="562"/>
      <c r="X35" s="562"/>
      <c r="Y35" s="562"/>
      <c r="Z35" s="562"/>
      <c r="AA35" s="562"/>
      <c r="AB35" s="562"/>
      <c r="AC35" s="562"/>
      <c r="AD35" s="562"/>
      <c r="AE35" s="562"/>
      <c r="AF35" s="562"/>
      <c r="AG35" s="562"/>
      <c r="AH35" s="562"/>
      <c r="AI35" s="562"/>
      <c r="AJ35" s="562"/>
      <c r="AK35" s="562"/>
      <c r="AL35" s="562"/>
      <c r="AM35" s="562"/>
      <c r="AN35" s="562"/>
      <c r="AO35" s="562"/>
      <c r="AP35" s="566" t="s">
        <v>2477</v>
      </c>
      <c r="AQ35" s="566" t="s">
        <v>2477</v>
      </c>
      <c r="AR35" s="566" t="s">
        <v>2477</v>
      </c>
      <c r="AS35" s="566" t="s">
        <v>2477</v>
      </c>
      <c r="AT35" s="566" t="s">
        <v>2477</v>
      </c>
      <c r="AU35" s="566"/>
      <c r="AV35" s="566" t="s">
        <v>2477</v>
      </c>
      <c r="AW35" s="562"/>
      <c r="AX35" s="567" t="s">
        <v>2477</v>
      </c>
      <c r="AY35" s="567" t="s">
        <v>2477</v>
      </c>
      <c r="AZ35" s="567" t="s">
        <v>2477</v>
      </c>
      <c r="BA35" s="567" t="s">
        <v>2477</v>
      </c>
      <c r="BB35" s="567" t="s">
        <v>2477</v>
      </c>
      <c r="BC35" s="567" t="s">
        <v>2477</v>
      </c>
      <c r="BD35" s="567" t="s">
        <v>2477</v>
      </c>
    </row>
    <row r="36" spans="2:56" x14ac:dyDescent="0.25">
      <c r="B36" s="562" t="s">
        <v>469</v>
      </c>
      <c r="C36" s="565" t="s">
        <v>2799</v>
      </c>
      <c r="D36" s="565" t="s">
        <v>2799</v>
      </c>
      <c r="E36" s="562" t="s">
        <v>2872</v>
      </c>
      <c r="F36" s="562" t="s">
        <v>2801</v>
      </c>
      <c r="G36" s="562"/>
      <c r="H36" s="562"/>
      <c r="I36" s="562"/>
      <c r="J36" s="562"/>
      <c r="K36" s="562"/>
      <c r="L36" s="562"/>
      <c r="M36" s="562"/>
      <c r="N36" s="562"/>
      <c r="O36" s="562"/>
      <c r="P36" s="562"/>
      <c r="Q36" s="562"/>
      <c r="R36" s="562"/>
      <c r="S36" s="562"/>
      <c r="T36" s="562"/>
      <c r="U36" s="562"/>
      <c r="V36" s="562"/>
      <c r="W36" s="562"/>
      <c r="X36" s="562"/>
      <c r="Y36" s="562"/>
      <c r="Z36" s="562"/>
      <c r="AA36" s="562"/>
      <c r="AB36" s="562"/>
      <c r="AC36" s="562"/>
      <c r="AD36" s="562"/>
      <c r="AE36" s="562"/>
      <c r="AF36" s="562"/>
      <c r="AG36" s="562"/>
      <c r="AH36" s="562"/>
      <c r="AI36" s="571"/>
      <c r="AJ36" s="562"/>
      <c r="AK36" s="562"/>
      <c r="AL36" s="562"/>
      <c r="AM36" s="562"/>
      <c r="AN36" s="562"/>
      <c r="AO36" s="562"/>
      <c r="AP36" s="566" t="s">
        <v>2477</v>
      </c>
      <c r="AQ36" s="566" t="s">
        <v>2477</v>
      </c>
      <c r="AR36" s="566" t="s">
        <v>2477</v>
      </c>
      <c r="AS36" s="566" t="s">
        <v>2477</v>
      </c>
      <c r="AT36" s="566" t="s">
        <v>2477</v>
      </c>
      <c r="AU36" s="566"/>
      <c r="AV36" s="566" t="s">
        <v>2477</v>
      </c>
      <c r="AW36" s="562"/>
      <c r="AX36" s="567" t="s">
        <v>2477</v>
      </c>
      <c r="AY36" s="567" t="s">
        <v>2477</v>
      </c>
      <c r="AZ36" s="567" t="s">
        <v>2477</v>
      </c>
      <c r="BA36" s="567" t="s">
        <v>2477</v>
      </c>
      <c r="BB36" s="567" t="s">
        <v>2477</v>
      </c>
      <c r="BC36" s="567" t="s">
        <v>2477</v>
      </c>
      <c r="BD36" s="567" t="s">
        <v>2477</v>
      </c>
    </row>
    <row r="37" spans="2:56" x14ac:dyDescent="0.25">
      <c r="B37" s="562" t="s">
        <v>331</v>
      </c>
      <c r="C37" s="565" t="s">
        <v>2799</v>
      </c>
      <c r="D37" s="565" t="s">
        <v>2799</v>
      </c>
      <c r="E37" s="562" t="s">
        <v>2873</v>
      </c>
      <c r="F37" s="562" t="s">
        <v>2801</v>
      </c>
      <c r="G37" s="562"/>
      <c r="H37" s="562"/>
      <c r="I37" s="562"/>
      <c r="J37" s="562"/>
      <c r="K37" s="562"/>
      <c r="L37" s="562"/>
      <c r="M37" s="562"/>
      <c r="N37" s="562"/>
      <c r="O37" s="562"/>
      <c r="P37" s="562"/>
      <c r="Q37" s="562"/>
      <c r="R37" s="562"/>
      <c r="S37" s="562"/>
      <c r="T37" s="562"/>
      <c r="U37" s="562"/>
      <c r="V37" s="562"/>
      <c r="W37" s="562"/>
      <c r="X37" s="562"/>
      <c r="Y37" s="562"/>
      <c r="Z37" s="562"/>
      <c r="AA37" s="562"/>
      <c r="AB37" s="562"/>
      <c r="AC37" s="562"/>
      <c r="AD37" s="562"/>
      <c r="AE37" s="562"/>
      <c r="AF37" s="562"/>
      <c r="AG37" s="562"/>
      <c r="AH37" s="562"/>
      <c r="AI37" s="562"/>
      <c r="AJ37" s="562"/>
      <c r="AK37" s="562"/>
      <c r="AL37" s="562"/>
      <c r="AM37" s="562"/>
      <c r="AN37" s="562"/>
      <c r="AO37" s="562"/>
      <c r="AP37" s="566" t="s">
        <v>2477</v>
      </c>
      <c r="AQ37" s="566" t="s">
        <v>2477</v>
      </c>
      <c r="AR37" s="566" t="s">
        <v>2477</v>
      </c>
      <c r="AS37" s="566" t="s">
        <v>2477</v>
      </c>
      <c r="AT37" s="566" t="s">
        <v>2477</v>
      </c>
      <c r="AU37" s="566"/>
      <c r="AV37" s="566" t="s">
        <v>2477</v>
      </c>
      <c r="AW37" s="562"/>
      <c r="AX37" s="567" t="s">
        <v>2477</v>
      </c>
      <c r="AY37" s="567" t="s">
        <v>2477</v>
      </c>
      <c r="AZ37" s="567" t="s">
        <v>2477</v>
      </c>
      <c r="BA37" s="567" t="s">
        <v>2477</v>
      </c>
      <c r="BB37" s="567" t="s">
        <v>2477</v>
      </c>
      <c r="BC37" s="567" t="s">
        <v>2477</v>
      </c>
      <c r="BD37" s="567" t="s">
        <v>2477</v>
      </c>
    </row>
    <row r="38" spans="2:56" x14ac:dyDescent="0.25">
      <c r="B38" s="562" t="s">
        <v>155</v>
      </c>
      <c r="C38" s="565" t="s">
        <v>2799</v>
      </c>
      <c r="D38" s="565" t="s">
        <v>2799</v>
      </c>
      <c r="E38" s="562" t="s">
        <v>2874</v>
      </c>
      <c r="F38" s="562" t="s">
        <v>2801</v>
      </c>
      <c r="G38" s="562"/>
      <c r="H38" s="562"/>
      <c r="I38" s="562"/>
      <c r="J38" s="562"/>
      <c r="K38" s="562"/>
      <c r="L38" s="562"/>
      <c r="M38" s="562"/>
      <c r="N38" s="562"/>
      <c r="O38" s="562"/>
      <c r="P38" s="562"/>
      <c r="Q38" s="562"/>
      <c r="R38" s="562"/>
      <c r="S38" s="562"/>
      <c r="T38" s="562"/>
      <c r="U38" s="562"/>
      <c r="V38" s="562"/>
      <c r="W38" s="562"/>
      <c r="X38" s="562"/>
      <c r="Y38" s="562"/>
      <c r="Z38" s="562"/>
      <c r="AA38" s="562"/>
      <c r="AB38" s="562"/>
      <c r="AC38" s="562"/>
      <c r="AD38" s="562"/>
      <c r="AE38" s="562"/>
      <c r="AF38" s="562"/>
      <c r="AG38" s="562"/>
      <c r="AH38" s="562"/>
      <c r="AI38" s="562"/>
      <c r="AJ38" s="562"/>
      <c r="AK38" s="562"/>
      <c r="AL38" s="562"/>
      <c r="AM38" s="562"/>
      <c r="AN38" s="562"/>
      <c r="AO38" s="562"/>
      <c r="AP38" s="566" t="s">
        <v>2477</v>
      </c>
      <c r="AQ38" s="566" t="s">
        <v>2477</v>
      </c>
      <c r="AR38" s="566" t="s">
        <v>2477</v>
      </c>
      <c r="AS38" s="566" t="s">
        <v>2477</v>
      </c>
      <c r="AT38" s="566" t="s">
        <v>2477</v>
      </c>
      <c r="AU38" s="566"/>
      <c r="AV38" s="566" t="s">
        <v>2477</v>
      </c>
      <c r="AW38" s="562"/>
      <c r="AX38" s="567" t="s">
        <v>2477</v>
      </c>
      <c r="AY38" s="567" t="s">
        <v>2477</v>
      </c>
      <c r="AZ38" s="567" t="s">
        <v>2477</v>
      </c>
      <c r="BA38" s="567" t="s">
        <v>2477</v>
      </c>
      <c r="BB38" s="567" t="s">
        <v>2477</v>
      </c>
      <c r="BC38" s="567" t="s">
        <v>2477</v>
      </c>
      <c r="BD38" s="567" t="s">
        <v>2477</v>
      </c>
    </row>
    <row r="39" spans="2:56" x14ac:dyDescent="0.25">
      <c r="B39" s="562" t="s">
        <v>337</v>
      </c>
      <c r="C39" s="565" t="s">
        <v>2799</v>
      </c>
      <c r="D39" s="565" t="s">
        <v>2799</v>
      </c>
      <c r="E39" s="562" t="s">
        <v>2875</v>
      </c>
      <c r="F39" s="562" t="s">
        <v>2801</v>
      </c>
      <c r="G39" s="562"/>
      <c r="H39" s="562"/>
      <c r="I39" s="562"/>
      <c r="J39" s="562"/>
      <c r="K39" s="562"/>
      <c r="L39" s="562"/>
      <c r="M39" s="562"/>
      <c r="N39" s="562"/>
      <c r="O39" s="562"/>
      <c r="P39" s="562"/>
      <c r="Q39" s="562"/>
      <c r="R39" s="562"/>
      <c r="S39" s="562"/>
      <c r="T39" s="562"/>
      <c r="U39" s="562"/>
      <c r="V39" s="562"/>
      <c r="W39" s="562"/>
      <c r="X39" s="562"/>
      <c r="Y39" s="562"/>
      <c r="Z39" s="562"/>
      <c r="AA39" s="562"/>
      <c r="AB39" s="562"/>
      <c r="AC39" s="562"/>
      <c r="AD39" s="562"/>
      <c r="AE39" s="562"/>
      <c r="AF39" s="562"/>
      <c r="AG39" s="562"/>
      <c r="AH39" s="562"/>
      <c r="AI39" s="562"/>
      <c r="AJ39" s="562"/>
      <c r="AK39" s="562"/>
      <c r="AL39" s="562"/>
      <c r="AM39" s="562"/>
      <c r="AN39" s="562"/>
      <c r="AO39" s="562"/>
      <c r="AP39" s="566" t="s">
        <v>2477</v>
      </c>
      <c r="AQ39" s="566" t="s">
        <v>2477</v>
      </c>
      <c r="AR39" s="566" t="s">
        <v>2477</v>
      </c>
      <c r="AS39" s="566" t="s">
        <v>2477</v>
      </c>
      <c r="AT39" s="566" t="s">
        <v>2477</v>
      </c>
      <c r="AU39" s="566"/>
      <c r="AV39" s="566" t="s">
        <v>2477</v>
      </c>
      <c r="AW39" s="562"/>
      <c r="AX39" s="567" t="s">
        <v>2477</v>
      </c>
      <c r="AY39" s="567" t="s">
        <v>2477</v>
      </c>
      <c r="AZ39" s="567" t="s">
        <v>2477</v>
      </c>
      <c r="BA39" s="567" t="s">
        <v>2477</v>
      </c>
      <c r="BB39" s="567" t="s">
        <v>2477</v>
      </c>
      <c r="BC39" s="567" t="s">
        <v>2477</v>
      </c>
      <c r="BD39" s="567" t="s">
        <v>2477</v>
      </c>
    </row>
    <row r="40" spans="2:56" x14ac:dyDescent="0.25">
      <c r="B40" s="562" t="s">
        <v>77</v>
      </c>
      <c r="C40" s="565" t="s">
        <v>2802</v>
      </c>
      <c r="D40" s="565" t="s">
        <v>2802</v>
      </c>
      <c r="E40" s="562" t="s">
        <v>2876</v>
      </c>
      <c r="F40" s="562" t="s">
        <v>2877</v>
      </c>
      <c r="G40" s="562" t="s">
        <v>2878</v>
      </c>
      <c r="H40" s="562">
        <v>4</v>
      </c>
      <c r="I40" s="562" t="s">
        <v>2737</v>
      </c>
      <c r="J40" s="562">
        <v>3.8</v>
      </c>
      <c r="K40" s="562">
        <v>4.7</v>
      </c>
      <c r="L40" s="562">
        <v>0.2</v>
      </c>
      <c r="M40" s="562">
        <v>0.5</v>
      </c>
      <c r="N40" s="562">
        <v>0.1</v>
      </c>
      <c r="O40" s="562">
        <v>13.299999999999999</v>
      </c>
      <c r="P40" s="562">
        <v>2050</v>
      </c>
      <c r="Q40" s="569" t="s">
        <v>2879</v>
      </c>
      <c r="R40" s="567">
        <v>0.30075187969924816</v>
      </c>
      <c r="S40" s="567" t="s">
        <v>2477</v>
      </c>
      <c r="T40" s="567">
        <v>0.2857142857142857</v>
      </c>
      <c r="U40" s="567">
        <v>0.35338345864661658</v>
      </c>
      <c r="V40" s="567">
        <v>1.5037593984962409E-2</v>
      </c>
      <c r="W40" s="567">
        <v>3.759398496240602E-2</v>
      </c>
      <c r="X40" s="567">
        <v>7.5187969924812043E-3</v>
      </c>
      <c r="Y40" s="562" t="s">
        <v>2880</v>
      </c>
      <c r="Z40" s="562">
        <v>8.8000000000000007</v>
      </c>
      <c r="AA40" s="562"/>
      <c r="AB40" s="562"/>
      <c r="AC40" s="562">
        <v>3.9</v>
      </c>
      <c r="AD40" s="562"/>
      <c r="AE40" s="562"/>
      <c r="AF40" s="562"/>
      <c r="AG40" s="566">
        <v>79.740738405565736</v>
      </c>
      <c r="AH40" s="562">
        <v>2019</v>
      </c>
      <c r="AI40" s="562" t="s">
        <v>2808</v>
      </c>
      <c r="AJ40" s="567">
        <v>0.16679052973344033</v>
      </c>
      <c r="AK40" s="566">
        <v>92.029496616267963</v>
      </c>
      <c r="AL40" s="566">
        <v>2005</v>
      </c>
      <c r="AM40" s="562" t="s">
        <v>2809</v>
      </c>
      <c r="AN40" s="567">
        <v>0.14451888241284774</v>
      </c>
      <c r="AO40" s="567">
        <v>0.86646935316899309</v>
      </c>
      <c r="AP40" s="566">
        <v>54.976930493365934</v>
      </c>
      <c r="AQ40" s="566" t="s">
        <v>2477</v>
      </c>
      <c r="AR40" s="566">
        <v>16.519256537456435</v>
      </c>
      <c r="AS40" s="566">
        <v>6.984713455586542</v>
      </c>
      <c r="AT40" s="566">
        <v>1.2598379191568143</v>
      </c>
      <c r="AU40" s="566"/>
      <c r="AV40" s="566">
        <v>2.9803129174739595</v>
      </c>
      <c r="AW40" s="562" t="s">
        <v>2839</v>
      </c>
      <c r="AX40" s="567">
        <v>0.92724220933937596</v>
      </c>
      <c r="AY40" s="567" t="s">
        <v>2477</v>
      </c>
      <c r="AZ40" s="567">
        <v>0.76996543449859711</v>
      </c>
      <c r="BA40" s="567">
        <v>0.32710195917331053</v>
      </c>
      <c r="BB40" s="567">
        <v>0.84124942029538519</v>
      </c>
      <c r="BC40" s="567" t="s">
        <v>2477</v>
      </c>
      <c r="BD40" s="567">
        <v>0.96644647633686809</v>
      </c>
    </row>
    <row r="41" spans="2:56" x14ac:dyDescent="0.25">
      <c r="B41" s="562" t="s">
        <v>77</v>
      </c>
      <c r="C41" s="565" t="s">
        <v>2802</v>
      </c>
      <c r="D41" s="565" t="s">
        <v>2802</v>
      </c>
      <c r="E41" s="562" t="s">
        <v>2876</v>
      </c>
      <c r="F41" s="562" t="s">
        <v>2881</v>
      </c>
      <c r="G41" s="562" t="s">
        <v>2882</v>
      </c>
      <c r="H41" s="562">
        <v>11.2</v>
      </c>
      <c r="I41" s="562" t="s">
        <v>2737</v>
      </c>
      <c r="J41" s="562">
        <v>4</v>
      </c>
      <c r="K41" s="562">
        <v>5.8</v>
      </c>
      <c r="L41" s="562">
        <v>0.4</v>
      </c>
      <c r="M41" s="562">
        <v>0.5</v>
      </c>
      <c r="N41" s="562">
        <v>1</v>
      </c>
      <c r="O41" s="562">
        <v>22.9</v>
      </c>
      <c r="P41" s="562">
        <v>2050</v>
      </c>
      <c r="Q41" s="569" t="s">
        <v>2883</v>
      </c>
      <c r="R41" s="567">
        <v>0.48908296943231439</v>
      </c>
      <c r="S41" s="567" t="s">
        <v>2477</v>
      </c>
      <c r="T41" s="567">
        <v>0.17467248908296945</v>
      </c>
      <c r="U41" s="567">
        <v>0.25327510917030571</v>
      </c>
      <c r="V41" s="567">
        <v>1.7467248908296946E-2</v>
      </c>
      <c r="W41" s="567">
        <v>2.1834061135371181E-2</v>
      </c>
      <c r="X41" s="567">
        <v>4.3668122270742363E-2</v>
      </c>
      <c r="Y41" s="562" t="s">
        <v>2884</v>
      </c>
      <c r="Z41" s="562">
        <v>18.3</v>
      </c>
      <c r="AA41" s="562"/>
      <c r="AB41" s="562"/>
      <c r="AC41" s="562">
        <v>3.9</v>
      </c>
      <c r="AD41" s="562"/>
      <c r="AE41" s="562"/>
      <c r="AF41" s="562"/>
      <c r="AG41" s="566">
        <v>79.740738405565736</v>
      </c>
      <c r="AH41" s="562">
        <v>2019</v>
      </c>
      <c r="AI41" s="562" t="s">
        <v>2808</v>
      </c>
      <c r="AJ41" s="567">
        <v>0.28718068653351758</v>
      </c>
      <c r="AK41" s="566">
        <v>92.029496616267963</v>
      </c>
      <c r="AL41" s="566">
        <v>2005</v>
      </c>
      <c r="AM41" s="562" t="s">
        <v>2809</v>
      </c>
      <c r="AN41" s="567">
        <v>0.24883326370332431</v>
      </c>
      <c r="AO41" s="567">
        <v>0.86646935316899309</v>
      </c>
      <c r="AP41" s="566">
        <v>54.976930493365934</v>
      </c>
      <c r="AQ41" s="566" t="s">
        <v>2477</v>
      </c>
      <c r="AR41" s="566">
        <v>16.519256537456435</v>
      </c>
      <c r="AS41" s="566">
        <v>6.984713455586542</v>
      </c>
      <c r="AT41" s="566">
        <v>1.2598379191568143</v>
      </c>
      <c r="AU41" s="566"/>
      <c r="AV41" s="566">
        <v>2.9803129174739595</v>
      </c>
      <c r="AW41" s="562" t="s">
        <v>2839</v>
      </c>
      <c r="AX41" s="567">
        <v>0.79627818615025259</v>
      </c>
      <c r="AY41" s="567" t="s">
        <v>2477</v>
      </c>
      <c r="AZ41" s="567">
        <v>0.75785835210378649</v>
      </c>
      <c r="BA41" s="567">
        <v>0.16961518366068115</v>
      </c>
      <c r="BB41" s="567">
        <v>0.68249884059077026</v>
      </c>
      <c r="BC41" s="567" t="s">
        <v>2477</v>
      </c>
      <c r="BD41" s="567">
        <v>0.66446476336868154</v>
      </c>
    </row>
    <row r="42" spans="2:56" x14ac:dyDescent="0.25">
      <c r="B42" s="562" t="s">
        <v>77</v>
      </c>
      <c r="C42" s="565" t="s">
        <v>2802</v>
      </c>
      <c r="D42" s="565" t="s">
        <v>2802</v>
      </c>
      <c r="E42" s="562" t="s">
        <v>2876</v>
      </c>
      <c r="F42" s="562" t="s">
        <v>2885</v>
      </c>
      <c r="G42" s="562" t="s">
        <v>2886</v>
      </c>
      <c r="H42" s="562">
        <v>7.8</v>
      </c>
      <c r="I42" s="562" t="s">
        <v>2737</v>
      </c>
      <c r="J42" s="562">
        <v>4</v>
      </c>
      <c r="K42" s="562">
        <v>5.7</v>
      </c>
      <c r="L42" s="562">
        <v>0.4</v>
      </c>
      <c r="M42" s="562" t="s">
        <v>2740</v>
      </c>
      <c r="N42" s="562">
        <v>0.5</v>
      </c>
      <c r="O42" s="562">
        <v>18.399999999999999</v>
      </c>
      <c r="P42" s="562">
        <v>2050</v>
      </c>
      <c r="Q42" s="562" t="s">
        <v>2887</v>
      </c>
      <c r="R42" s="567">
        <v>0.42391304347826092</v>
      </c>
      <c r="S42" s="567" t="s">
        <v>2477</v>
      </c>
      <c r="T42" s="567">
        <v>0.21739130434782611</v>
      </c>
      <c r="U42" s="567">
        <v>0.30978260869565222</v>
      </c>
      <c r="V42" s="567">
        <v>2.1739130434782612E-2</v>
      </c>
      <c r="W42" s="567" t="s">
        <v>2477</v>
      </c>
      <c r="X42" s="567">
        <v>2.7173913043478264E-2</v>
      </c>
      <c r="Y42" s="562" t="s">
        <v>2888</v>
      </c>
      <c r="Z42" s="562">
        <v>18.7</v>
      </c>
      <c r="AA42" s="562"/>
      <c r="AB42" s="562"/>
      <c r="AC42" s="562"/>
      <c r="AD42" s="562"/>
      <c r="AE42" s="562"/>
      <c r="AF42" s="562"/>
      <c r="AG42" s="566">
        <v>79.740738405565736</v>
      </c>
      <c r="AH42" s="562">
        <v>2019</v>
      </c>
      <c r="AI42" s="562" t="s">
        <v>2808</v>
      </c>
      <c r="AJ42" s="567">
        <v>0.23074780053348135</v>
      </c>
      <c r="AK42" s="566">
        <v>92.029496616267963</v>
      </c>
      <c r="AL42" s="566">
        <v>2005</v>
      </c>
      <c r="AM42" s="562" t="s">
        <v>2809</v>
      </c>
      <c r="AN42" s="567">
        <v>0.19993589747341342</v>
      </c>
      <c r="AO42" s="567">
        <v>0.86646935316899309</v>
      </c>
      <c r="AP42" s="566">
        <v>54.976930493365934</v>
      </c>
      <c r="AQ42" s="566" t="s">
        <v>2477</v>
      </c>
      <c r="AR42" s="566">
        <v>16.519256537456435</v>
      </c>
      <c r="AS42" s="566">
        <v>6.984713455586542</v>
      </c>
      <c r="AT42" s="566">
        <v>1.2598379191568143</v>
      </c>
      <c r="AU42" s="566"/>
      <c r="AV42" s="566">
        <v>2.9803129174739595</v>
      </c>
      <c r="AW42" s="562" t="s">
        <v>2839</v>
      </c>
      <c r="AX42" s="567">
        <v>0.85812230821178304</v>
      </c>
      <c r="AY42" s="567" t="s">
        <v>2477</v>
      </c>
      <c r="AZ42" s="567">
        <v>0.75785835210378649</v>
      </c>
      <c r="BA42" s="567">
        <v>0.18393216325273831</v>
      </c>
      <c r="BB42" s="567">
        <v>0.68249884059077026</v>
      </c>
      <c r="BC42" s="567" t="s">
        <v>2477</v>
      </c>
      <c r="BD42" s="567">
        <v>0.83223238168434077</v>
      </c>
    </row>
    <row r="43" spans="2:56" x14ac:dyDescent="0.25">
      <c r="B43" s="562" t="s">
        <v>77</v>
      </c>
      <c r="C43" s="565" t="s">
        <v>2802</v>
      </c>
      <c r="D43" s="565" t="s">
        <v>2802</v>
      </c>
      <c r="E43" s="562" t="s">
        <v>2876</v>
      </c>
      <c r="F43" s="562" t="s">
        <v>2889</v>
      </c>
      <c r="G43" s="562" t="s">
        <v>2890</v>
      </c>
      <c r="H43" s="562">
        <v>5.5</v>
      </c>
      <c r="I43" s="562" t="s">
        <v>2737</v>
      </c>
      <c r="J43" s="562">
        <v>4</v>
      </c>
      <c r="K43" s="562">
        <v>5.7</v>
      </c>
      <c r="L43" s="562">
        <v>0.2</v>
      </c>
      <c r="M43" s="562" t="s">
        <v>2740</v>
      </c>
      <c r="N43" s="562">
        <v>0.7</v>
      </c>
      <c r="O43" s="562">
        <v>16.099999999999998</v>
      </c>
      <c r="P43" s="562">
        <v>2050</v>
      </c>
      <c r="Q43" s="562" t="s">
        <v>2891</v>
      </c>
      <c r="R43" s="567">
        <v>0.34161490683229817</v>
      </c>
      <c r="S43" s="567" t="s">
        <v>2477</v>
      </c>
      <c r="T43" s="567">
        <v>0.24844720496894412</v>
      </c>
      <c r="U43" s="567">
        <v>0.3540372670807454</v>
      </c>
      <c r="V43" s="567">
        <v>1.2422360248447208E-2</v>
      </c>
      <c r="W43" s="567" t="s">
        <v>2477</v>
      </c>
      <c r="X43" s="567">
        <v>4.3478260869565223E-2</v>
      </c>
      <c r="Y43" s="562" t="s">
        <v>2892</v>
      </c>
      <c r="Z43" s="562"/>
      <c r="AA43" s="562"/>
      <c r="AB43" s="562"/>
      <c r="AC43" s="562">
        <v>17</v>
      </c>
      <c r="AD43" s="562"/>
      <c r="AE43" s="562"/>
      <c r="AF43" s="562"/>
      <c r="AG43" s="566">
        <v>79.740738405565736</v>
      </c>
      <c r="AH43" s="562">
        <v>2019</v>
      </c>
      <c r="AI43" s="562" t="s">
        <v>2808</v>
      </c>
      <c r="AJ43" s="567">
        <v>0.20190432546679618</v>
      </c>
      <c r="AK43" s="566">
        <v>92.029496616267963</v>
      </c>
      <c r="AL43" s="566">
        <v>2005</v>
      </c>
      <c r="AM43" s="562" t="s">
        <v>2809</v>
      </c>
      <c r="AN43" s="567">
        <v>0.17494391028923673</v>
      </c>
      <c r="AO43" s="567">
        <v>0.86646935316899309</v>
      </c>
      <c r="AP43" s="566">
        <v>54.976930493365934</v>
      </c>
      <c r="AQ43" s="566" t="s">
        <v>2477</v>
      </c>
      <c r="AR43" s="566">
        <v>16.519256537456435</v>
      </c>
      <c r="AS43" s="566">
        <v>6.984713455586542</v>
      </c>
      <c r="AT43" s="566">
        <v>1.2598379191568143</v>
      </c>
      <c r="AU43" s="566"/>
      <c r="AV43" s="566">
        <v>2.9803129174739595</v>
      </c>
      <c r="AW43" s="562" t="s">
        <v>2839</v>
      </c>
      <c r="AX43" s="567">
        <v>0.89995803784164186</v>
      </c>
      <c r="AY43" s="567" t="s">
        <v>2477</v>
      </c>
      <c r="AZ43" s="567">
        <v>0.75785835210378649</v>
      </c>
      <c r="BA43" s="567">
        <v>0.18393216325273831</v>
      </c>
      <c r="BB43" s="567">
        <v>0.84124942029538519</v>
      </c>
      <c r="BC43" s="567" t="s">
        <v>2477</v>
      </c>
      <c r="BD43" s="567">
        <v>0.76512533435807706</v>
      </c>
    </row>
    <row r="44" spans="2:56" x14ac:dyDescent="0.25">
      <c r="B44" s="562" t="s">
        <v>185</v>
      </c>
      <c r="C44" s="565" t="s">
        <v>2802</v>
      </c>
      <c r="D44" s="565" t="s">
        <v>2802</v>
      </c>
      <c r="E44" s="562" t="s">
        <v>2893</v>
      </c>
      <c r="F44" s="562" t="s">
        <v>2894</v>
      </c>
      <c r="G44" s="562" t="s">
        <v>2895</v>
      </c>
      <c r="H44" s="572">
        <v>0.95599999999999996</v>
      </c>
      <c r="I44" s="572">
        <v>2.242</v>
      </c>
      <c r="J44" s="572">
        <v>3.379</v>
      </c>
      <c r="K44" s="572">
        <v>4.4409999999999998</v>
      </c>
      <c r="L44" s="572">
        <v>0.53900000000000003</v>
      </c>
      <c r="M44" s="562" t="s">
        <v>2740</v>
      </c>
      <c r="N44" s="562" t="s">
        <v>2836</v>
      </c>
      <c r="O44" s="572">
        <v>11.557</v>
      </c>
      <c r="P44" s="562">
        <v>2040</v>
      </c>
      <c r="Q44" s="562" t="s">
        <v>2896</v>
      </c>
      <c r="R44" s="567">
        <v>8.2720429177122079E-2</v>
      </c>
      <c r="S44" s="567">
        <v>0.19399498139655619</v>
      </c>
      <c r="T44" s="567">
        <v>0.29237691442415853</v>
      </c>
      <c r="U44" s="567">
        <v>0.38426927403305355</v>
      </c>
      <c r="V44" s="567">
        <v>4.6638400969109629E-2</v>
      </c>
      <c r="W44" s="567" t="s">
        <v>2477</v>
      </c>
      <c r="X44" s="567" t="s">
        <v>2477</v>
      </c>
      <c r="Y44" s="562" t="s">
        <v>2897</v>
      </c>
      <c r="Z44" s="562"/>
      <c r="AA44" s="562"/>
      <c r="AB44" s="562">
        <v>3.12</v>
      </c>
      <c r="AC44" s="562">
        <v>11.58</v>
      </c>
      <c r="AD44" s="562"/>
      <c r="AE44" s="568" t="s">
        <v>2822</v>
      </c>
      <c r="AF44" s="562" t="s">
        <v>2898</v>
      </c>
      <c r="AG44" s="566">
        <v>52.734654837282378</v>
      </c>
      <c r="AH44" s="562">
        <v>2019</v>
      </c>
      <c r="AI44" s="562" t="s">
        <v>2808</v>
      </c>
      <c r="AJ44" s="567">
        <v>0.21915380001367574</v>
      </c>
      <c r="AK44" s="566">
        <v>85.529771618339907</v>
      </c>
      <c r="AL44" s="566">
        <v>2003</v>
      </c>
      <c r="AM44" s="562" t="s">
        <v>2809</v>
      </c>
      <c r="AN44" s="567">
        <v>0.13512254015561834</v>
      </c>
      <c r="AO44" s="567">
        <v>0.61656489710507578</v>
      </c>
      <c r="AP44" s="566">
        <v>14.414500710381814</v>
      </c>
      <c r="AQ44" s="566">
        <v>24.507723492859608</v>
      </c>
      <c r="AR44" s="566">
        <v>5.3946050125947176</v>
      </c>
      <c r="AS44" s="566">
        <v>6.6244488738392358</v>
      </c>
      <c r="AT44" s="566">
        <v>1.7933767476069999</v>
      </c>
      <c r="AU44" s="566"/>
      <c r="AV44" s="566" t="s">
        <v>2477</v>
      </c>
      <c r="AW44" s="562" t="s">
        <v>2839</v>
      </c>
      <c r="AX44" s="567">
        <v>0.93367789705602111</v>
      </c>
      <c r="AY44" s="567">
        <v>0.90851863492530371</v>
      </c>
      <c r="AZ44" s="567">
        <v>0.37363347416333714</v>
      </c>
      <c r="BA44" s="567">
        <v>0.3296046079337927</v>
      </c>
      <c r="BB44" s="567">
        <v>0.69944965511612833</v>
      </c>
      <c r="BC44" s="567" t="s">
        <v>2477</v>
      </c>
      <c r="BD44" s="567" t="s">
        <v>2477</v>
      </c>
    </row>
    <row r="45" spans="2:56" x14ac:dyDescent="0.25">
      <c r="B45" s="562" t="s">
        <v>185</v>
      </c>
      <c r="C45" s="565" t="s">
        <v>2802</v>
      </c>
      <c r="D45" s="565" t="s">
        <v>2802</v>
      </c>
      <c r="E45" s="562" t="s">
        <v>2893</v>
      </c>
      <c r="F45" s="562" t="s">
        <v>2899</v>
      </c>
      <c r="G45" s="562" t="s">
        <v>2900</v>
      </c>
      <c r="H45" s="572">
        <v>6.4770000000000003</v>
      </c>
      <c r="I45" s="572">
        <v>1.069</v>
      </c>
      <c r="J45" s="572">
        <v>3.2229999999999999</v>
      </c>
      <c r="K45" s="572">
        <v>4.1319999999999997</v>
      </c>
      <c r="L45" s="572">
        <v>0.54</v>
      </c>
      <c r="M45" s="562" t="s">
        <v>2740</v>
      </c>
      <c r="N45" s="562" t="s">
        <v>2836</v>
      </c>
      <c r="O45" s="572">
        <v>15.440999999999999</v>
      </c>
      <c r="P45" s="562">
        <v>2040</v>
      </c>
      <c r="Q45" s="562" t="s">
        <v>2901</v>
      </c>
      <c r="R45" s="567">
        <v>0.4194676510588693</v>
      </c>
      <c r="S45" s="567">
        <v>6.9231267404960814E-2</v>
      </c>
      <c r="T45" s="567">
        <v>0.20873000453338514</v>
      </c>
      <c r="U45" s="567">
        <v>0.26759924875331909</v>
      </c>
      <c r="V45" s="567">
        <v>3.4971828249465715E-2</v>
      </c>
      <c r="W45" s="567" t="s">
        <v>2477</v>
      </c>
      <c r="X45" s="567" t="s">
        <v>2477</v>
      </c>
      <c r="Y45" s="562" t="s">
        <v>2902</v>
      </c>
      <c r="Z45" s="562"/>
      <c r="AA45" s="562"/>
      <c r="AB45" s="562"/>
      <c r="AC45" s="562">
        <v>27.56</v>
      </c>
      <c r="AD45" s="562"/>
      <c r="AE45" s="562"/>
      <c r="AF45" s="562"/>
      <c r="AG45" s="566">
        <v>52.734654837282378</v>
      </c>
      <c r="AH45" s="562">
        <v>2019</v>
      </c>
      <c r="AI45" s="562" t="s">
        <v>2808</v>
      </c>
      <c r="AJ45" s="567">
        <v>0.29280555732553143</v>
      </c>
      <c r="AK45" s="566">
        <v>85.529771618339907</v>
      </c>
      <c r="AL45" s="566">
        <v>2003</v>
      </c>
      <c r="AM45" s="562" t="s">
        <v>2809</v>
      </c>
      <c r="AN45" s="567">
        <v>0.18053362832421066</v>
      </c>
      <c r="AO45" s="567">
        <v>0.61656489710507578</v>
      </c>
      <c r="AP45" s="566">
        <v>14.414500710381814</v>
      </c>
      <c r="AQ45" s="566">
        <v>24.507723492859608</v>
      </c>
      <c r="AR45" s="566">
        <v>5.3946050125947176</v>
      </c>
      <c r="AS45" s="566">
        <v>6.6244488738392358</v>
      </c>
      <c r="AT45" s="566">
        <v>1.7933767476069999</v>
      </c>
      <c r="AU45" s="566"/>
      <c r="AV45" s="566" t="s">
        <v>2477</v>
      </c>
      <c r="AW45" s="562" t="s">
        <v>2839</v>
      </c>
      <c r="AX45" s="567">
        <v>0.55066081509607578</v>
      </c>
      <c r="AY45" s="567">
        <v>0.95638109756251111</v>
      </c>
      <c r="AZ45" s="567">
        <v>0.40255125398888303</v>
      </c>
      <c r="BA45" s="567">
        <v>0.37624999774429896</v>
      </c>
      <c r="BB45" s="567">
        <v>0.69889204779723424</v>
      </c>
      <c r="BC45" s="567" t="s">
        <v>2477</v>
      </c>
      <c r="BD45" s="567" t="s">
        <v>2477</v>
      </c>
    </row>
    <row r="46" spans="2:56" x14ac:dyDescent="0.25">
      <c r="B46" s="562" t="s">
        <v>349</v>
      </c>
      <c r="C46" s="565" t="s">
        <v>2799</v>
      </c>
      <c r="D46" s="565" t="s">
        <v>2799</v>
      </c>
      <c r="E46" s="562" t="s">
        <v>2903</v>
      </c>
      <c r="F46" s="562" t="s">
        <v>2801</v>
      </c>
      <c r="G46" s="562"/>
      <c r="H46" s="562"/>
      <c r="I46" s="562"/>
      <c r="J46" s="562"/>
      <c r="K46" s="562"/>
      <c r="L46" s="562"/>
      <c r="M46" s="562"/>
      <c r="N46" s="562"/>
      <c r="O46" s="562"/>
      <c r="P46" s="562"/>
      <c r="Q46" s="562"/>
      <c r="R46" s="562"/>
      <c r="S46" s="562"/>
      <c r="T46" s="562"/>
      <c r="U46" s="562"/>
      <c r="V46" s="562"/>
      <c r="W46" s="562"/>
      <c r="X46" s="562"/>
      <c r="Y46" s="562"/>
      <c r="Z46" s="562"/>
      <c r="AA46" s="562"/>
      <c r="AB46" s="562"/>
      <c r="AC46" s="562"/>
      <c r="AD46" s="562"/>
      <c r="AE46" s="562"/>
      <c r="AF46" s="562"/>
      <c r="AG46" s="562"/>
      <c r="AH46" s="562"/>
      <c r="AI46" s="562"/>
      <c r="AJ46" s="562"/>
      <c r="AK46" s="562"/>
      <c r="AL46" s="562"/>
      <c r="AM46" s="562"/>
      <c r="AN46" s="562"/>
      <c r="AO46" s="562"/>
      <c r="AP46" s="566" t="s">
        <v>2477</v>
      </c>
      <c r="AQ46" s="566" t="s">
        <v>2477</v>
      </c>
      <c r="AR46" s="566" t="s">
        <v>2477</v>
      </c>
      <c r="AS46" s="566" t="s">
        <v>2477</v>
      </c>
      <c r="AT46" s="566" t="s">
        <v>2477</v>
      </c>
      <c r="AU46" s="566"/>
      <c r="AV46" s="566" t="s">
        <v>2477</v>
      </c>
      <c r="AW46" s="562"/>
      <c r="AX46" s="567" t="s">
        <v>2477</v>
      </c>
      <c r="AY46" s="567" t="s">
        <v>2477</v>
      </c>
      <c r="AZ46" s="567" t="s">
        <v>2477</v>
      </c>
      <c r="BA46" s="567" t="s">
        <v>2477</v>
      </c>
      <c r="BB46" s="567" t="s">
        <v>2477</v>
      </c>
      <c r="BC46" s="567" t="s">
        <v>2477</v>
      </c>
      <c r="BD46" s="567" t="s">
        <v>2477</v>
      </c>
    </row>
    <row r="47" spans="2:56" x14ac:dyDescent="0.25">
      <c r="B47" s="562" t="s">
        <v>401</v>
      </c>
      <c r="C47" s="565" t="s">
        <v>2799</v>
      </c>
      <c r="D47" s="565" t="s">
        <v>2799</v>
      </c>
      <c r="E47" s="562" t="s">
        <v>2904</v>
      </c>
      <c r="F47" s="562" t="s">
        <v>2801</v>
      </c>
      <c r="G47" s="562"/>
      <c r="H47" s="562"/>
      <c r="I47" s="562"/>
      <c r="J47" s="562"/>
      <c r="K47" s="562"/>
      <c r="L47" s="562"/>
      <c r="M47" s="562"/>
      <c r="N47" s="562"/>
      <c r="O47" s="562"/>
      <c r="P47" s="562"/>
      <c r="Q47" s="562"/>
      <c r="R47" s="562"/>
      <c r="S47" s="562"/>
      <c r="T47" s="562"/>
      <c r="U47" s="562"/>
      <c r="V47" s="562"/>
      <c r="W47" s="562"/>
      <c r="X47" s="562"/>
      <c r="Y47" s="562"/>
      <c r="Z47" s="562"/>
      <c r="AA47" s="562"/>
      <c r="AB47" s="562"/>
      <c r="AC47" s="562"/>
      <c r="AD47" s="562"/>
      <c r="AE47" s="562"/>
      <c r="AF47" s="562"/>
      <c r="AG47" s="562"/>
      <c r="AH47" s="562"/>
      <c r="AI47" s="562"/>
      <c r="AJ47" s="562"/>
      <c r="AK47" s="562"/>
      <c r="AL47" s="562"/>
      <c r="AM47" s="562"/>
      <c r="AN47" s="562"/>
      <c r="AO47" s="562"/>
      <c r="AP47" s="566" t="s">
        <v>2477</v>
      </c>
      <c r="AQ47" s="566" t="s">
        <v>2477</v>
      </c>
      <c r="AR47" s="566" t="s">
        <v>2477</v>
      </c>
      <c r="AS47" s="566" t="s">
        <v>2477</v>
      </c>
      <c r="AT47" s="566" t="s">
        <v>2477</v>
      </c>
      <c r="AU47" s="566"/>
      <c r="AV47" s="566" t="s">
        <v>2477</v>
      </c>
      <c r="AW47" s="562"/>
      <c r="AX47" s="567" t="s">
        <v>2477</v>
      </c>
      <c r="AY47" s="567" t="s">
        <v>2477</v>
      </c>
      <c r="AZ47" s="567" t="s">
        <v>2477</v>
      </c>
      <c r="BA47" s="567" t="s">
        <v>2477</v>
      </c>
      <c r="BB47" s="567" t="s">
        <v>2477</v>
      </c>
      <c r="BC47" s="567" t="s">
        <v>2477</v>
      </c>
      <c r="BD47" s="567" t="s">
        <v>2477</v>
      </c>
    </row>
    <row r="48" spans="2:56" x14ac:dyDescent="0.25">
      <c r="B48" s="562" t="s">
        <v>227</v>
      </c>
      <c r="C48" s="565" t="s">
        <v>2802</v>
      </c>
      <c r="D48" s="565" t="s">
        <v>2802</v>
      </c>
      <c r="E48" s="562" t="s">
        <v>2905</v>
      </c>
      <c r="F48" s="562" t="s">
        <v>2906</v>
      </c>
      <c r="G48" s="562" t="s">
        <v>2907</v>
      </c>
      <c r="H48" s="562">
        <v>8</v>
      </c>
      <c r="I48" s="562">
        <v>3</v>
      </c>
      <c r="J48" s="562">
        <v>0.215</v>
      </c>
      <c r="K48" s="562">
        <v>2.093</v>
      </c>
      <c r="L48" s="562">
        <v>0.5</v>
      </c>
      <c r="M48" s="562" t="s">
        <v>2740</v>
      </c>
      <c r="N48" s="562" t="s">
        <v>2836</v>
      </c>
      <c r="O48" s="562">
        <v>13.808</v>
      </c>
      <c r="P48" s="562">
        <v>2050</v>
      </c>
      <c r="Q48" s="569" t="s">
        <v>2908</v>
      </c>
      <c r="R48" s="567">
        <v>0.57937427578215528</v>
      </c>
      <c r="S48" s="567">
        <v>0.21726535341830824</v>
      </c>
      <c r="T48" s="567">
        <v>1.5570683661645423E-2</v>
      </c>
      <c r="U48" s="567">
        <v>0.15157879490150639</v>
      </c>
      <c r="V48" s="567">
        <v>3.6210892236384705E-2</v>
      </c>
      <c r="W48" s="567" t="s">
        <v>2477</v>
      </c>
      <c r="X48" s="567" t="s">
        <v>2477</v>
      </c>
      <c r="Y48" s="562" t="s">
        <v>2909</v>
      </c>
      <c r="Z48" s="562">
        <v>10</v>
      </c>
      <c r="AA48" s="562"/>
      <c r="AB48" s="562"/>
      <c r="AC48" s="562">
        <v>4.5</v>
      </c>
      <c r="AD48" s="562"/>
      <c r="AE48" s="562"/>
      <c r="AF48" s="562"/>
      <c r="AG48" s="566">
        <v>64.580974980190149</v>
      </c>
      <c r="AH48" s="562">
        <v>2019</v>
      </c>
      <c r="AI48" s="562" t="s">
        <v>2808</v>
      </c>
      <c r="AJ48" s="567">
        <v>0.21380909786876903</v>
      </c>
      <c r="AK48" s="566">
        <v>94.820922107332422</v>
      </c>
      <c r="AL48" s="566">
        <v>1990</v>
      </c>
      <c r="AM48" s="562" t="s">
        <v>2809</v>
      </c>
      <c r="AN48" s="567">
        <v>0.14562187008021343</v>
      </c>
      <c r="AO48" s="567">
        <v>0.68108359995790591</v>
      </c>
      <c r="AP48" s="566">
        <v>31.643388485317242</v>
      </c>
      <c r="AQ48" s="566">
        <v>14.704303358473247</v>
      </c>
      <c r="AR48" s="566">
        <v>7.6955853895739121</v>
      </c>
      <c r="AS48" s="566">
        <v>7.1129862943948634</v>
      </c>
      <c r="AT48" s="566">
        <v>3.4247114524308819</v>
      </c>
      <c r="AU48" s="566"/>
      <c r="AV48" s="566" t="s">
        <v>2477</v>
      </c>
      <c r="AW48" s="562" t="s">
        <v>2839</v>
      </c>
      <c r="AX48" s="567">
        <v>0.74718257484617812</v>
      </c>
      <c r="AY48" s="567">
        <v>0.79597809383664053</v>
      </c>
      <c r="AZ48" s="567">
        <v>0.97206190444052709</v>
      </c>
      <c r="BA48" s="567">
        <v>0.70574946817354134</v>
      </c>
      <c r="BB48" s="567">
        <v>0.85400229860384391</v>
      </c>
      <c r="BC48" s="567" t="s">
        <v>2477</v>
      </c>
      <c r="BD48" s="567" t="s">
        <v>2477</v>
      </c>
    </row>
    <row r="49" spans="2:56" x14ac:dyDescent="0.25">
      <c r="B49" s="562" t="s">
        <v>433</v>
      </c>
      <c r="C49" s="565" t="s">
        <v>2802</v>
      </c>
      <c r="D49" s="565" t="s">
        <v>2802</v>
      </c>
      <c r="E49" s="562" t="s">
        <v>2910</v>
      </c>
      <c r="F49" s="562" t="s">
        <v>2421</v>
      </c>
      <c r="G49" s="562" t="s">
        <v>2911</v>
      </c>
      <c r="H49" s="572">
        <v>1.1000000000000001</v>
      </c>
      <c r="I49" s="562">
        <v>0.4</v>
      </c>
      <c r="J49" s="562">
        <v>2.5</v>
      </c>
      <c r="K49" s="562">
        <v>5.4</v>
      </c>
      <c r="L49" s="562">
        <v>1.4</v>
      </c>
      <c r="M49" s="562" t="s">
        <v>2740</v>
      </c>
      <c r="N49" s="562" t="s">
        <v>2836</v>
      </c>
      <c r="O49" s="562">
        <v>10.8</v>
      </c>
      <c r="P49" s="562">
        <v>2045</v>
      </c>
      <c r="Q49" s="562" t="s">
        <v>2912</v>
      </c>
      <c r="R49" s="567">
        <v>0.10185185185185186</v>
      </c>
      <c r="S49" s="567">
        <v>3.7037037037037035E-2</v>
      </c>
      <c r="T49" s="567">
        <v>0.23148148148148145</v>
      </c>
      <c r="U49" s="567">
        <v>0.5</v>
      </c>
      <c r="V49" s="567">
        <v>0.12962962962962962</v>
      </c>
      <c r="W49" s="567" t="s">
        <v>2477</v>
      </c>
      <c r="X49" s="567" t="s">
        <v>2477</v>
      </c>
      <c r="Y49" s="562" t="s">
        <v>2913</v>
      </c>
      <c r="Z49" s="562"/>
      <c r="AA49" s="562"/>
      <c r="AB49" s="562"/>
      <c r="AC49" s="562">
        <v>40.6</v>
      </c>
      <c r="AD49" s="562"/>
      <c r="AE49" s="562"/>
      <c r="AF49" s="562"/>
      <c r="AG49" s="566">
        <v>50.810592661661843</v>
      </c>
      <c r="AH49" s="562">
        <v>2019</v>
      </c>
      <c r="AI49" s="562" t="s">
        <v>2808</v>
      </c>
      <c r="AJ49" s="567">
        <v>0.21255410406084346</v>
      </c>
      <c r="AK49" s="566">
        <v>77.313203205256144</v>
      </c>
      <c r="AL49" s="566">
        <v>1996</v>
      </c>
      <c r="AM49" s="562" t="s">
        <v>2809</v>
      </c>
      <c r="AN49" s="567">
        <v>0.13969153459244801</v>
      </c>
      <c r="AO49" s="567">
        <v>0.65720459837586298</v>
      </c>
      <c r="AP49" s="566">
        <v>18.005093369931057</v>
      </c>
      <c r="AQ49" s="566">
        <v>16.990792407891437</v>
      </c>
      <c r="AR49" s="566">
        <v>7.9099024820997883</v>
      </c>
      <c r="AS49" s="566">
        <v>6.8236376822251374</v>
      </c>
      <c r="AT49" s="566">
        <v>1.0811667195144261</v>
      </c>
      <c r="AU49" s="566"/>
      <c r="AV49" s="566" t="s">
        <v>2477</v>
      </c>
      <c r="AW49" s="562" t="s">
        <v>2839</v>
      </c>
      <c r="AX49" s="567">
        <v>0.93890617630247741</v>
      </c>
      <c r="AY49" s="567">
        <v>0.97645783725694768</v>
      </c>
      <c r="AZ49" s="567">
        <v>0.68394047769140864</v>
      </c>
      <c r="BA49" s="567">
        <v>0.20863324644764836</v>
      </c>
      <c r="BB49" s="567">
        <v>-0.29489742398727209</v>
      </c>
      <c r="BC49" s="567" t="s">
        <v>2477</v>
      </c>
      <c r="BD49" s="567" t="s">
        <v>2477</v>
      </c>
    </row>
    <row r="50" spans="2:56" x14ac:dyDescent="0.25">
      <c r="B50" s="562" t="s">
        <v>371</v>
      </c>
      <c r="C50" s="565" t="s">
        <v>2802</v>
      </c>
      <c r="D50" s="565" t="s">
        <v>2802</v>
      </c>
      <c r="E50" s="562" t="s">
        <v>2914</v>
      </c>
      <c r="F50" s="567">
        <v>0.9</v>
      </c>
      <c r="G50" s="562" t="s">
        <v>2915</v>
      </c>
      <c r="H50" s="572">
        <v>1.58</v>
      </c>
      <c r="I50" s="572">
        <v>0.42</v>
      </c>
      <c r="J50" s="572">
        <v>5.1100000000000003</v>
      </c>
      <c r="K50" s="572">
        <v>4.74</v>
      </c>
      <c r="L50" s="572">
        <v>1.55</v>
      </c>
      <c r="M50" s="562" t="s">
        <v>2740</v>
      </c>
      <c r="N50" s="562" t="s">
        <v>2836</v>
      </c>
      <c r="O50" s="562">
        <v>13.400000000000002</v>
      </c>
      <c r="P50" s="562">
        <v>2050</v>
      </c>
      <c r="Q50" s="569" t="s">
        <v>2916</v>
      </c>
      <c r="R50" s="567">
        <v>0.11791044776119401</v>
      </c>
      <c r="S50" s="567">
        <v>3.1343283582089543E-2</v>
      </c>
      <c r="T50" s="567">
        <v>0.38134328358208952</v>
      </c>
      <c r="U50" s="567">
        <v>0.35373134328358202</v>
      </c>
      <c r="V50" s="567">
        <v>0.11567164179104476</v>
      </c>
      <c r="W50" s="567" t="s">
        <v>2477</v>
      </c>
      <c r="X50" s="567" t="s">
        <v>2477</v>
      </c>
      <c r="Y50" s="562" t="s">
        <v>2917</v>
      </c>
      <c r="Z50" s="562"/>
      <c r="AA50" s="562"/>
      <c r="AB50" s="562"/>
      <c r="AC50" s="562">
        <v>14.18</v>
      </c>
      <c r="AD50" s="562"/>
      <c r="AE50" s="562"/>
      <c r="AF50" s="562"/>
      <c r="AG50" s="566">
        <v>63.541615406810649</v>
      </c>
      <c r="AH50" s="562">
        <v>2019</v>
      </c>
      <c r="AI50" s="562" t="s">
        <v>2808</v>
      </c>
      <c r="AJ50" s="567">
        <v>0.21088541602553806</v>
      </c>
      <c r="AK50" s="566">
        <v>85.760381474241385</v>
      </c>
      <c r="AL50" s="566">
        <v>2005</v>
      </c>
      <c r="AM50" s="562" t="s">
        <v>2809</v>
      </c>
      <c r="AN50" s="567">
        <v>0.15624930497801912</v>
      </c>
      <c r="AO50" s="567">
        <v>0.74092039138020549</v>
      </c>
      <c r="AP50" s="566">
        <v>26.66782234624851</v>
      </c>
      <c r="AQ50" s="566">
        <v>17.74751469250057</v>
      </c>
      <c r="AR50" s="566">
        <v>7.6220746015161396</v>
      </c>
      <c r="AS50" s="566">
        <v>6.9356</v>
      </c>
      <c r="AT50" s="566">
        <v>4.5686312622046197</v>
      </c>
      <c r="AU50" s="566"/>
      <c r="AV50" s="566" t="s">
        <v>2477</v>
      </c>
      <c r="AW50" s="562" t="s">
        <v>2839</v>
      </c>
      <c r="AX50" s="567">
        <v>0.94075256766429349</v>
      </c>
      <c r="AY50" s="567">
        <v>0.97633471461908539</v>
      </c>
      <c r="AZ50" s="567">
        <v>0.32957885258909059</v>
      </c>
      <c r="BA50" s="567">
        <v>0.31656958302093541</v>
      </c>
      <c r="BB50" s="567">
        <v>0.66072989675861071</v>
      </c>
      <c r="BC50" s="567" t="s">
        <v>2477</v>
      </c>
      <c r="BD50" s="567" t="s">
        <v>2477</v>
      </c>
    </row>
    <row r="51" spans="2:56" x14ac:dyDescent="0.25">
      <c r="B51" s="562" t="s">
        <v>371</v>
      </c>
      <c r="C51" s="565" t="s">
        <v>2802</v>
      </c>
      <c r="D51" s="565" t="s">
        <v>2802</v>
      </c>
      <c r="E51" s="562" t="s">
        <v>2914</v>
      </c>
      <c r="F51" s="567">
        <v>0.85</v>
      </c>
      <c r="G51" s="562" t="s">
        <v>2915</v>
      </c>
      <c r="H51" s="572">
        <v>1.6500000000000004</v>
      </c>
      <c r="I51" s="572">
        <v>0.47</v>
      </c>
      <c r="J51" s="572">
        <v>4.99</v>
      </c>
      <c r="K51" s="572">
        <v>6.19</v>
      </c>
      <c r="L51" s="572">
        <v>1.75</v>
      </c>
      <c r="M51" s="562" t="s">
        <v>2740</v>
      </c>
      <c r="N51" s="562" t="s">
        <v>2836</v>
      </c>
      <c r="O51" s="562">
        <v>15.05</v>
      </c>
      <c r="P51" s="562">
        <v>2050</v>
      </c>
      <c r="Q51" s="569" t="s">
        <v>2916</v>
      </c>
      <c r="R51" s="567">
        <v>0.10963455149501664</v>
      </c>
      <c r="S51" s="567">
        <v>3.1229235880398668E-2</v>
      </c>
      <c r="T51" s="567">
        <v>0.33156146179401991</v>
      </c>
      <c r="U51" s="567">
        <v>0.41129568106312292</v>
      </c>
      <c r="V51" s="567">
        <v>0.11627906976744186</v>
      </c>
      <c r="W51" s="567" t="s">
        <v>2477</v>
      </c>
      <c r="X51" s="567" t="s">
        <v>2477</v>
      </c>
      <c r="Y51" s="562" t="s">
        <v>2917</v>
      </c>
      <c r="Z51" s="562"/>
      <c r="AA51" s="562"/>
      <c r="AB51" s="562"/>
      <c r="AC51" s="562">
        <v>11.92</v>
      </c>
      <c r="AE51" s="562"/>
      <c r="AF51" s="562"/>
      <c r="AG51" s="566">
        <v>63.541615406810649</v>
      </c>
      <c r="AH51" s="562">
        <v>2019</v>
      </c>
      <c r="AI51" s="562" t="s">
        <v>2808</v>
      </c>
      <c r="AJ51" s="567">
        <v>0.23685265008838413</v>
      </c>
      <c r="AK51" s="566">
        <v>85.760381474241385</v>
      </c>
      <c r="AL51" s="566">
        <v>2005</v>
      </c>
      <c r="AM51" s="562" t="s">
        <v>2809</v>
      </c>
      <c r="AN51" s="567">
        <v>0.17548895820292443</v>
      </c>
      <c r="AO51" s="567">
        <v>0.74092039138020549</v>
      </c>
      <c r="AP51" s="566">
        <v>26.66782234624851</v>
      </c>
      <c r="AQ51" s="566">
        <v>17.74751469250057</v>
      </c>
      <c r="AR51" s="566">
        <v>7.6220746015161396</v>
      </c>
      <c r="AS51" s="566">
        <v>6.9356</v>
      </c>
      <c r="AT51" s="566">
        <v>4.5686312622046197</v>
      </c>
      <c r="AU51" s="566"/>
      <c r="AV51" s="566" t="s">
        <v>2477</v>
      </c>
      <c r="AW51" s="562" t="s">
        <v>2839</v>
      </c>
      <c r="AX51" s="567">
        <v>0.93812768142157221</v>
      </c>
      <c r="AY51" s="567">
        <v>0.9735174187404052</v>
      </c>
      <c r="AZ51" s="567">
        <v>0.3453225977337695</v>
      </c>
      <c r="BA51" s="567">
        <v>0.10750331622354224</v>
      </c>
      <c r="BB51" s="567">
        <v>0.6169531092435927</v>
      </c>
      <c r="BC51" s="567" t="s">
        <v>2477</v>
      </c>
      <c r="BD51" s="567" t="s">
        <v>2477</v>
      </c>
    </row>
    <row r="52" spans="2:56" x14ac:dyDescent="0.25">
      <c r="B52" s="562" t="s">
        <v>329</v>
      </c>
      <c r="C52" s="565" t="s">
        <v>2799</v>
      </c>
      <c r="D52" s="565" t="s">
        <v>2799</v>
      </c>
      <c r="E52" s="562" t="s">
        <v>2918</v>
      </c>
      <c r="F52" s="562" t="s">
        <v>2801</v>
      </c>
      <c r="G52" s="562"/>
      <c r="H52" s="562"/>
      <c r="I52" s="562"/>
      <c r="J52" s="562"/>
      <c r="K52" s="562"/>
      <c r="L52" s="562"/>
      <c r="M52" s="562"/>
      <c r="N52" s="562"/>
      <c r="O52" s="562"/>
      <c r="P52" s="562"/>
      <c r="Q52" s="562"/>
      <c r="R52" s="562"/>
      <c r="S52" s="562"/>
      <c r="T52" s="562"/>
      <c r="U52" s="562"/>
      <c r="V52" s="562"/>
      <c r="W52" s="562"/>
      <c r="X52" s="562"/>
      <c r="Y52" s="562"/>
      <c r="Z52" s="562"/>
      <c r="AA52" s="562"/>
      <c r="AB52" s="562"/>
      <c r="AC52" s="562"/>
      <c r="AD52" s="562"/>
      <c r="AE52" s="562"/>
      <c r="AF52" s="562"/>
      <c r="AG52" s="562"/>
      <c r="AH52" s="562"/>
      <c r="AI52" s="562"/>
      <c r="AJ52" s="562"/>
      <c r="AK52" s="562"/>
      <c r="AL52" s="562"/>
      <c r="AM52" s="562"/>
      <c r="AN52" s="562"/>
      <c r="AO52" s="562"/>
      <c r="AP52" s="566" t="s">
        <v>2477</v>
      </c>
      <c r="AQ52" s="566" t="s">
        <v>2477</v>
      </c>
      <c r="AR52" s="566" t="s">
        <v>2477</v>
      </c>
      <c r="AS52" s="566" t="s">
        <v>2477</v>
      </c>
      <c r="AT52" s="566" t="s">
        <v>2477</v>
      </c>
      <c r="AU52" s="566"/>
      <c r="AV52" s="566" t="s">
        <v>2477</v>
      </c>
      <c r="AW52" s="562"/>
      <c r="AX52" s="567" t="s">
        <v>2477</v>
      </c>
      <c r="AY52" s="567" t="s">
        <v>2477</v>
      </c>
      <c r="AZ52" s="567" t="s">
        <v>2477</v>
      </c>
      <c r="BA52" s="567" t="s">
        <v>2477</v>
      </c>
      <c r="BB52" s="567" t="s">
        <v>2477</v>
      </c>
      <c r="BC52" s="567" t="s">
        <v>2477</v>
      </c>
      <c r="BD52" s="567" t="s">
        <v>2477</v>
      </c>
    </row>
    <row r="53" spans="2:56" x14ac:dyDescent="0.25">
      <c r="B53" s="562" t="s">
        <v>435</v>
      </c>
      <c r="C53" s="565" t="s">
        <v>2802</v>
      </c>
      <c r="D53" s="565" t="s">
        <v>2802</v>
      </c>
      <c r="E53" s="562" t="s">
        <v>2919</v>
      </c>
      <c r="F53" s="562" t="s">
        <v>2920</v>
      </c>
      <c r="G53" s="562" t="s">
        <v>2921</v>
      </c>
      <c r="H53" s="572">
        <v>0.70000000000000029</v>
      </c>
      <c r="I53" s="562">
        <v>0</v>
      </c>
      <c r="J53" s="572">
        <v>1.0999999999999996</v>
      </c>
      <c r="K53" s="562">
        <v>4.5999999999999996</v>
      </c>
      <c r="L53" s="562">
        <v>0.5</v>
      </c>
      <c r="M53" s="562">
        <v>0.01</v>
      </c>
      <c r="N53" s="562" t="s">
        <v>2836</v>
      </c>
      <c r="O53" s="562">
        <v>6.9099999999999993</v>
      </c>
      <c r="P53" s="562">
        <v>2050</v>
      </c>
      <c r="Q53" s="569" t="s">
        <v>2922</v>
      </c>
      <c r="R53" s="567">
        <v>0.10130246020260497</v>
      </c>
      <c r="S53" s="567">
        <v>0</v>
      </c>
      <c r="T53" s="567">
        <v>0.15918958031837913</v>
      </c>
      <c r="U53" s="567">
        <v>0.66570188133140373</v>
      </c>
      <c r="V53" s="567">
        <v>7.2358900144717811E-2</v>
      </c>
      <c r="W53" s="567">
        <v>1.4471780028943561E-3</v>
      </c>
      <c r="X53" s="567" t="s">
        <v>2477</v>
      </c>
      <c r="Y53" s="562" t="s">
        <v>2923</v>
      </c>
      <c r="Z53" s="562"/>
      <c r="AA53" s="562">
        <v>4.9000000000000004</v>
      </c>
      <c r="AB53" s="562">
        <v>1.9</v>
      </c>
      <c r="AC53" s="562"/>
      <c r="AD53" s="562"/>
      <c r="AE53" s="562"/>
      <c r="AF53" s="562"/>
      <c r="AG53" s="566">
        <v>45.973870428383037</v>
      </c>
      <c r="AH53" s="562">
        <v>2019</v>
      </c>
      <c r="AI53" s="562" t="s">
        <v>2808</v>
      </c>
      <c r="AJ53" s="567">
        <v>0.150302768411988</v>
      </c>
      <c r="AK53" s="566">
        <v>55.473483354190563</v>
      </c>
      <c r="AL53" s="566">
        <v>1991</v>
      </c>
      <c r="AM53" s="562" t="s">
        <v>2809</v>
      </c>
      <c r="AN53" s="567">
        <v>0.1245640183775841</v>
      </c>
      <c r="AO53" s="567">
        <v>0.82875398566277503</v>
      </c>
      <c r="AP53" s="566">
        <v>20.112446138995903</v>
      </c>
      <c r="AQ53" s="566">
        <v>14.883439638826591</v>
      </c>
      <c r="AR53" s="566">
        <v>7.9099024820997883</v>
      </c>
      <c r="AS53" s="566">
        <v>6.8236376822251374</v>
      </c>
      <c r="AT53" s="566">
        <v>1.0811667195144261</v>
      </c>
      <c r="AU53" s="566"/>
      <c r="AV53" s="566" t="s">
        <v>2477</v>
      </c>
      <c r="AW53" s="562" t="s">
        <v>2839</v>
      </c>
      <c r="AX53" s="567">
        <v>0.96519568056703087</v>
      </c>
      <c r="AY53" s="567">
        <v>1</v>
      </c>
      <c r="AZ53" s="567">
        <v>0.86093381018421988</v>
      </c>
      <c r="BA53" s="567">
        <v>0.32587276549244126</v>
      </c>
      <c r="BB53" s="567">
        <v>0.53753663429025988</v>
      </c>
      <c r="BC53" s="567" t="s">
        <v>2477</v>
      </c>
      <c r="BD53" s="567" t="s">
        <v>2477</v>
      </c>
    </row>
    <row r="54" spans="2:56" x14ac:dyDescent="0.25">
      <c r="B54" s="562" t="s">
        <v>117</v>
      </c>
      <c r="C54" s="565" t="s">
        <v>2802</v>
      </c>
      <c r="D54" s="565" t="s">
        <v>2802</v>
      </c>
      <c r="E54" s="562" t="s">
        <v>2924</v>
      </c>
      <c r="F54" s="562" t="s">
        <v>2925</v>
      </c>
      <c r="G54" s="562" t="s">
        <v>2926</v>
      </c>
      <c r="H54" s="562">
        <v>28.2</v>
      </c>
      <c r="I54" s="562" t="s">
        <v>2737</v>
      </c>
      <c r="J54" s="562">
        <v>1.6</v>
      </c>
      <c r="K54" s="562">
        <v>19.3</v>
      </c>
      <c r="L54" s="562">
        <v>1.2</v>
      </c>
      <c r="M54" s="562">
        <v>0.3</v>
      </c>
      <c r="N54" s="562" t="s">
        <v>2836</v>
      </c>
      <c r="O54" s="562">
        <v>50.6</v>
      </c>
      <c r="P54" s="562">
        <v>2050</v>
      </c>
      <c r="Q54" s="562" t="s">
        <v>2927</v>
      </c>
      <c r="R54" s="567">
        <v>0.55731225296442688</v>
      </c>
      <c r="S54" s="567" t="s">
        <v>2477</v>
      </c>
      <c r="T54" s="567">
        <v>3.1620553359683792E-2</v>
      </c>
      <c r="U54" s="567">
        <v>0.38142292490118579</v>
      </c>
      <c r="V54" s="567">
        <v>2.3715415019762844E-2</v>
      </c>
      <c r="W54" s="567">
        <v>5.9288537549407111E-3</v>
      </c>
      <c r="X54" s="567" t="s">
        <v>2477</v>
      </c>
      <c r="Y54" s="562" t="s">
        <v>2928</v>
      </c>
      <c r="Z54" s="562"/>
      <c r="AA54" s="562"/>
      <c r="AB54" s="562"/>
      <c r="AC54" s="562">
        <v>50.2</v>
      </c>
      <c r="AD54" s="562"/>
      <c r="AE54" s="562"/>
      <c r="AF54" s="562"/>
      <c r="AG54" s="566">
        <v>30.6</v>
      </c>
      <c r="AH54" s="562">
        <v>2016</v>
      </c>
      <c r="AI54" s="562" t="s">
        <v>2929</v>
      </c>
      <c r="AJ54" s="567">
        <v>1.65359477124183</v>
      </c>
      <c r="AK54" s="566">
        <v>30.6</v>
      </c>
      <c r="AL54" s="570">
        <v>2016</v>
      </c>
      <c r="AM54" s="562" t="s">
        <v>2929</v>
      </c>
      <c r="AN54" s="567">
        <v>1.65359477124183</v>
      </c>
      <c r="AO54" s="567">
        <v>1</v>
      </c>
      <c r="AP54" s="566">
        <v>8</v>
      </c>
      <c r="AQ54" s="566"/>
      <c r="AR54" s="566">
        <v>1.8</v>
      </c>
      <c r="AS54" s="566">
        <v>18</v>
      </c>
      <c r="AT54" s="566">
        <v>2.8</v>
      </c>
      <c r="AU54" s="566"/>
      <c r="AV54" s="566"/>
      <c r="AW54" s="562" t="s">
        <v>2930</v>
      </c>
      <c r="AX54" s="567">
        <v>-2.5249999999999999</v>
      </c>
      <c r="AY54" s="567" t="s">
        <v>2477</v>
      </c>
      <c r="AZ54" s="567">
        <v>0.11111111111111108</v>
      </c>
      <c r="BA54" s="567">
        <v>-7.2222222222222257E-2</v>
      </c>
      <c r="BB54" s="567">
        <v>0.5714285714285714</v>
      </c>
      <c r="BC54" s="567" t="s">
        <v>2477</v>
      </c>
      <c r="BD54" s="567" t="s">
        <v>2477</v>
      </c>
    </row>
    <row r="55" spans="2:56" x14ac:dyDescent="0.25">
      <c r="B55" s="562" t="s">
        <v>157</v>
      </c>
      <c r="C55" s="565" t="s">
        <v>2799</v>
      </c>
      <c r="D55" s="565" t="s">
        <v>2799</v>
      </c>
      <c r="E55" s="562" t="s">
        <v>2931</v>
      </c>
      <c r="F55" s="562" t="s">
        <v>2801</v>
      </c>
      <c r="G55" s="562"/>
      <c r="H55" s="562"/>
      <c r="I55" s="562"/>
      <c r="J55" s="562"/>
      <c r="K55" s="562"/>
      <c r="L55" s="562"/>
      <c r="M55" s="562"/>
      <c r="N55" s="562"/>
      <c r="O55" s="562"/>
      <c r="P55" s="562"/>
      <c r="Q55" s="562"/>
      <c r="R55" s="562"/>
      <c r="S55" s="562"/>
      <c r="T55" s="562"/>
      <c r="U55" s="562"/>
      <c r="V55" s="562"/>
      <c r="W55" s="562"/>
      <c r="X55" s="562"/>
      <c r="Y55" s="562"/>
      <c r="Z55" s="562"/>
      <c r="AA55" s="562"/>
      <c r="AB55" s="562"/>
      <c r="AC55" s="562"/>
      <c r="AD55" s="562"/>
      <c r="AE55" s="562"/>
      <c r="AF55" s="562"/>
      <c r="AG55" s="562"/>
      <c r="AH55" s="562"/>
      <c r="AI55" s="562"/>
      <c r="AJ55" s="562"/>
      <c r="AK55" s="562"/>
      <c r="AL55" s="562"/>
      <c r="AM55" s="562"/>
      <c r="AN55" s="562"/>
      <c r="AO55" s="562"/>
      <c r="AP55" s="566" t="s">
        <v>2477</v>
      </c>
      <c r="AQ55" s="566" t="s">
        <v>2477</v>
      </c>
      <c r="AR55" s="566" t="s">
        <v>2477</v>
      </c>
      <c r="AS55" s="566" t="s">
        <v>2477</v>
      </c>
      <c r="AT55" s="566" t="s">
        <v>2477</v>
      </c>
      <c r="AU55" s="566"/>
      <c r="AV55" s="566" t="s">
        <v>2477</v>
      </c>
      <c r="AW55" s="562"/>
      <c r="AX55" s="567" t="s">
        <v>2477</v>
      </c>
      <c r="AY55" s="567" t="s">
        <v>2477</v>
      </c>
      <c r="AZ55" s="567" t="s">
        <v>2477</v>
      </c>
      <c r="BA55" s="567" t="s">
        <v>2477</v>
      </c>
      <c r="BB55" s="567" t="s">
        <v>2477</v>
      </c>
      <c r="BC55" s="567" t="s">
        <v>2477</v>
      </c>
      <c r="BD55" s="567" t="s">
        <v>2477</v>
      </c>
    </row>
    <row r="56" spans="2:56" x14ac:dyDescent="0.25">
      <c r="B56" s="562" t="s">
        <v>403</v>
      </c>
      <c r="C56" s="565" t="s">
        <v>2799</v>
      </c>
      <c r="D56" s="565" t="s">
        <v>2799</v>
      </c>
      <c r="E56" s="562" t="s">
        <v>2932</v>
      </c>
      <c r="F56" s="562" t="s">
        <v>2801</v>
      </c>
      <c r="G56" s="562"/>
      <c r="H56" s="562"/>
      <c r="I56" s="562"/>
      <c r="J56" s="562"/>
      <c r="K56" s="562"/>
      <c r="L56" s="562"/>
      <c r="M56" s="562"/>
      <c r="N56" s="562"/>
      <c r="O56" s="562"/>
      <c r="P56" s="562"/>
      <c r="Q56" s="562"/>
      <c r="R56" s="562"/>
      <c r="S56" s="562"/>
      <c r="T56" s="562"/>
      <c r="U56" s="562"/>
      <c r="V56" s="562"/>
      <c r="W56" s="562"/>
      <c r="X56" s="562"/>
      <c r="Y56" s="562"/>
      <c r="Z56" s="562"/>
      <c r="AA56" s="562"/>
      <c r="AB56" s="562"/>
      <c r="AC56" s="562"/>
      <c r="AD56" s="562"/>
      <c r="AE56" s="562"/>
      <c r="AF56" s="562"/>
      <c r="AG56" s="562"/>
      <c r="AH56" s="562"/>
      <c r="AI56" s="562"/>
      <c r="AJ56" s="562"/>
      <c r="AK56" s="562"/>
      <c r="AL56" s="562"/>
      <c r="AM56" s="562"/>
      <c r="AN56" s="562"/>
      <c r="AO56" s="562"/>
      <c r="AP56" s="566" t="s">
        <v>2477</v>
      </c>
      <c r="AQ56" s="566" t="s">
        <v>2477</v>
      </c>
      <c r="AR56" s="566" t="s">
        <v>2477</v>
      </c>
      <c r="AS56" s="566" t="s">
        <v>2477</v>
      </c>
      <c r="AT56" s="566" t="s">
        <v>2477</v>
      </c>
      <c r="AU56" s="566"/>
      <c r="AV56" s="566" t="s">
        <v>2477</v>
      </c>
      <c r="AW56" s="562"/>
      <c r="AX56" s="567" t="s">
        <v>2477</v>
      </c>
      <c r="AY56" s="567" t="s">
        <v>2477</v>
      </c>
      <c r="AZ56" s="567" t="s">
        <v>2477</v>
      </c>
      <c r="BA56" s="567" t="s">
        <v>2477</v>
      </c>
      <c r="BB56" s="567" t="s">
        <v>2477</v>
      </c>
      <c r="BC56" s="567" t="s">
        <v>2477</v>
      </c>
      <c r="BD56" s="567" t="s">
        <v>2477</v>
      </c>
    </row>
    <row r="57" spans="2:56" x14ac:dyDescent="0.25">
      <c r="B57" s="562" t="s">
        <v>501</v>
      </c>
      <c r="C57" s="565" t="s">
        <v>2799</v>
      </c>
      <c r="D57" s="565" t="s">
        <v>2799</v>
      </c>
      <c r="E57" s="562" t="s">
        <v>2933</v>
      </c>
      <c r="F57" s="562" t="s">
        <v>2801</v>
      </c>
      <c r="G57" s="562"/>
      <c r="H57" s="562"/>
      <c r="I57" s="562"/>
      <c r="J57" s="562"/>
      <c r="K57" s="562"/>
      <c r="L57" s="562"/>
      <c r="M57" s="562"/>
      <c r="N57" s="562"/>
      <c r="O57" s="573"/>
      <c r="P57" s="562"/>
      <c r="Q57" s="562"/>
      <c r="R57" s="562"/>
      <c r="S57" s="562"/>
      <c r="T57" s="562"/>
      <c r="U57" s="562"/>
      <c r="V57" s="562"/>
      <c r="W57" s="562"/>
      <c r="X57" s="562"/>
      <c r="Y57" s="562"/>
      <c r="Z57" s="562"/>
      <c r="AA57" s="562"/>
      <c r="AB57" s="562"/>
      <c r="AC57" s="562"/>
      <c r="AD57" s="562"/>
      <c r="AE57" s="562"/>
      <c r="AF57" s="562"/>
      <c r="AG57" s="562"/>
      <c r="AH57" s="562"/>
      <c r="AI57" s="562"/>
      <c r="AJ57" s="562"/>
      <c r="AK57" s="562"/>
      <c r="AL57" s="562"/>
      <c r="AM57" s="562"/>
      <c r="AN57" s="562"/>
      <c r="AO57" s="562"/>
      <c r="AP57" s="566" t="s">
        <v>2477</v>
      </c>
      <c r="AQ57" s="566" t="s">
        <v>2477</v>
      </c>
      <c r="AR57" s="566" t="s">
        <v>2477</v>
      </c>
      <c r="AS57" s="566" t="s">
        <v>2477</v>
      </c>
      <c r="AT57" s="566" t="s">
        <v>2477</v>
      </c>
      <c r="AU57" s="566"/>
      <c r="AV57" s="566" t="s">
        <v>2477</v>
      </c>
      <c r="AW57" s="562"/>
      <c r="AX57" s="567" t="s">
        <v>2477</v>
      </c>
      <c r="AY57" s="567" t="s">
        <v>2477</v>
      </c>
      <c r="AZ57" s="567" t="s">
        <v>2477</v>
      </c>
      <c r="BA57" s="567" t="s">
        <v>2477</v>
      </c>
      <c r="BB57" s="567" t="s">
        <v>2477</v>
      </c>
      <c r="BC57" s="567" t="s">
        <v>2477</v>
      </c>
      <c r="BD57" s="567" t="s">
        <v>2477</v>
      </c>
    </row>
    <row r="58" spans="2:56" x14ac:dyDescent="0.25">
      <c r="B58" s="562" t="s">
        <v>279</v>
      </c>
      <c r="C58" s="565" t="s">
        <v>2799</v>
      </c>
      <c r="D58" s="565" t="s">
        <v>2799</v>
      </c>
      <c r="E58" s="562" t="s">
        <v>2934</v>
      </c>
      <c r="F58" s="562" t="s">
        <v>2801</v>
      </c>
      <c r="G58" s="562"/>
      <c r="H58" s="562"/>
      <c r="I58" s="562"/>
      <c r="J58" s="562"/>
      <c r="K58" s="562"/>
      <c r="L58" s="562"/>
      <c r="M58" s="562"/>
      <c r="N58" s="562"/>
      <c r="O58" s="562"/>
      <c r="P58" s="562"/>
      <c r="Q58" s="562"/>
      <c r="R58" s="562"/>
      <c r="S58" s="562"/>
      <c r="T58" s="562"/>
      <c r="U58" s="562"/>
      <c r="V58" s="562"/>
      <c r="W58" s="562"/>
      <c r="X58" s="562"/>
      <c r="Y58" s="562"/>
      <c r="Z58" s="562"/>
      <c r="AA58" s="562"/>
      <c r="AB58" s="562"/>
      <c r="AC58" s="562"/>
      <c r="AD58" s="562"/>
      <c r="AE58" s="562"/>
      <c r="AF58" s="562"/>
      <c r="AG58" s="562"/>
      <c r="AH58" s="562"/>
      <c r="AI58" s="562"/>
      <c r="AJ58" s="562"/>
      <c r="AK58" s="562"/>
      <c r="AL58" s="562"/>
      <c r="AM58" s="562"/>
      <c r="AN58" s="562"/>
      <c r="AO58" s="562"/>
      <c r="AP58" s="566" t="s">
        <v>2477</v>
      </c>
      <c r="AQ58" s="566" t="s">
        <v>2477</v>
      </c>
      <c r="AR58" s="566" t="s">
        <v>2477</v>
      </c>
      <c r="AS58" s="566" t="s">
        <v>2477</v>
      </c>
      <c r="AT58" s="566" t="s">
        <v>2477</v>
      </c>
      <c r="AU58" s="566"/>
      <c r="AV58" s="566" t="s">
        <v>2477</v>
      </c>
      <c r="AW58" s="562"/>
      <c r="AX58" s="567" t="s">
        <v>2477</v>
      </c>
      <c r="AY58" s="567" t="s">
        <v>2477</v>
      </c>
      <c r="AZ58" s="567" t="s">
        <v>2477</v>
      </c>
      <c r="BA58" s="567" t="s">
        <v>2477</v>
      </c>
      <c r="BB58" s="567" t="s">
        <v>2477</v>
      </c>
      <c r="BC58" s="567" t="s">
        <v>2477</v>
      </c>
      <c r="BD58" s="567" t="s">
        <v>2477</v>
      </c>
    </row>
    <row r="59" spans="2:56" x14ac:dyDescent="0.25">
      <c r="B59" s="562" t="s">
        <v>175</v>
      </c>
      <c r="C59" s="565" t="s">
        <v>2799</v>
      </c>
      <c r="D59" s="565" t="s">
        <v>2799</v>
      </c>
      <c r="E59" s="562" t="s">
        <v>2935</v>
      </c>
      <c r="F59" s="562" t="s">
        <v>2801</v>
      </c>
      <c r="G59" s="562"/>
      <c r="H59" s="562"/>
      <c r="I59" s="562"/>
      <c r="J59" s="562"/>
      <c r="K59" s="562"/>
      <c r="L59" s="562"/>
      <c r="M59" s="562"/>
      <c r="N59" s="562"/>
      <c r="O59" s="562"/>
      <c r="P59" s="562"/>
      <c r="Q59" s="562"/>
      <c r="R59" s="562"/>
      <c r="S59" s="562"/>
      <c r="T59" s="562"/>
      <c r="U59" s="562"/>
      <c r="V59" s="562"/>
      <c r="W59" s="562"/>
      <c r="X59" s="562"/>
      <c r="Y59" s="562"/>
      <c r="Z59" s="562"/>
      <c r="AA59" s="562"/>
      <c r="AB59" s="562"/>
      <c r="AC59" s="562"/>
      <c r="AD59" s="562"/>
      <c r="AE59" s="562"/>
      <c r="AF59" s="562"/>
      <c r="AG59" s="562"/>
      <c r="AH59" s="562"/>
      <c r="AI59" s="562"/>
      <c r="AJ59" s="562"/>
      <c r="AK59" s="562"/>
      <c r="AL59" s="562"/>
      <c r="AM59" s="562"/>
      <c r="AN59" s="562"/>
      <c r="AO59" s="562"/>
      <c r="AP59" s="566" t="s">
        <v>2477</v>
      </c>
      <c r="AQ59" s="566" t="s">
        <v>2477</v>
      </c>
      <c r="AR59" s="566" t="s">
        <v>2477</v>
      </c>
      <c r="AS59" s="566" t="s">
        <v>2477</v>
      </c>
      <c r="AT59" s="566" t="s">
        <v>2477</v>
      </c>
      <c r="AU59" s="566"/>
      <c r="AV59" s="566" t="s">
        <v>2477</v>
      </c>
      <c r="AW59" s="562"/>
      <c r="AX59" s="567" t="s">
        <v>2477</v>
      </c>
      <c r="AY59" s="567" t="s">
        <v>2477</v>
      </c>
      <c r="AZ59" s="567" t="s">
        <v>2477</v>
      </c>
      <c r="BA59" s="567" t="s">
        <v>2477</v>
      </c>
      <c r="BB59" s="567" t="s">
        <v>2477</v>
      </c>
      <c r="BC59" s="567" t="s">
        <v>2477</v>
      </c>
      <c r="BD59" s="567" t="s">
        <v>2477</v>
      </c>
    </row>
    <row r="60" spans="2:56" x14ac:dyDescent="0.25">
      <c r="B60" s="562" t="s">
        <v>405</v>
      </c>
      <c r="C60" s="565" t="s">
        <v>2802</v>
      </c>
      <c r="D60" s="565" t="s">
        <v>2802</v>
      </c>
      <c r="E60" s="562" t="s">
        <v>2936</v>
      </c>
      <c r="F60" s="562" t="s">
        <v>2937</v>
      </c>
      <c r="G60" s="562" t="s">
        <v>2938</v>
      </c>
      <c r="H60" s="572">
        <v>6.9745000000000057E-2</v>
      </c>
      <c r="I60" s="572">
        <v>4.4165000000000038E-2</v>
      </c>
      <c r="J60" s="572">
        <v>0.61582500000000007</v>
      </c>
      <c r="K60" s="572">
        <v>1.3515839999999999</v>
      </c>
      <c r="L60" s="572">
        <v>0.12588500000000002</v>
      </c>
      <c r="M60" s="562" t="s">
        <v>2740</v>
      </c>
      <c r="N60" s="562" t="s">
        <v>2836</v>
      </c>
      <c r="O60" s="562">
        <v>2.2072039999999999</v>
      </c>
      <c r="P60" s="562">
        <v>2050</v>
      </c>
      <c r="Q60" s="562" t="s">
        <v>2939</v>
      </c>
      <c r="R60" s="567">
        <v>3.1598801017033343E-2</v>
      </c>
      <c r="S60" s="567">
        <v>2.0009478054588539E-2</v>
      </c>
      <c r="T60" s="567">
        <v>0.27900683398544046</v>
      </c>
      <c r="U60" s="567">
        <v>0.61235119182458886</v>
      </c>
      <c r="V60" s="567">
        <v>5.703369511834884E-2</v>
      </c>
      <c r="W60" s="567" t="s">
        <v>2477</v>
      </c>
      <c r="X60" s="567" t="s">
        <v>2477</v>
      </c>
      <c r="Y60" s="562" t="s">
        <v>2938</v>
      </c>
      <c r="Z60" s="562"/>
      <c r="AA60" s="562"/>
      <c r="AB60" s="562"/>
      <c r="AC60" s="562">
        <v>2.5</v>
      </c>
      <c r="AD60" s="562"/>
      <c r="AE60" s="562"/>
      <c r="AF60" s="562"/>
      <c r="AG60" s="566">
        <v>17.074181856198976</v>
      </c>
      <c r="AH60" s="562">
        <v>2019</v>
      </c>
      <c r="AI60" s="562" t="s">
        <v>2808</v>
      </c>
      <c r="AJ60" s="567">
        <v>0.12927143558557386</v>
      </c>
      <c r="AK60" s="566">
        <v>21.572713420937554</v>
      </c>
      <c r="AL60" s="566">
        <v>2008</v>
      </c>
      <c r="AM60" s="562" t="s">
        <v>2809</v>
      </c>
      <c r="AN60" s="567">
        <v>0.10231462111102732</v>
      </c>
      <c r="AO60" s="567">
        <v>0.79147122214248233</v>
      </c>
      <c r="AP60" s="566">
        <v>8.0601881426395323</v>
      </c>
      <c r="AQ60" s="566">
        <v>5.6315250287575989</v>
      </c>
      <c r="AR60" s="566">
        <v>1.2276807138849566</v>
      </c>
      <c r="AS60" s="566">
        <v>1.7196322973680764</v>
      </c>
      <c r="AT60" s="566">
        <v>0.43515567354880752</v>
      </c>
      <c r="AU60" s="566"/>
      <c r="AV60" s="566" t="s">
        <v>2477</v>
      </c>
      <c r="AW60" s="562" t="s">
        <v>2839</v>
      </c>
      <c r="AX60" s="567">
        <v>0.99134697617900014</v>
      </c>
      <c r="AY60" s="567">
        <v>0.99215754173612469</v>
      </c>
      <c r="AZ60" s="567">
        <v>0.49838342083973819</v>
      </c>
      <c r="BA60" s="567">
        <v>0.21402732312679873</v>
      </c>
      <c r="BB60" s="567">
        <v>0.71071272270593377</v>
      </c>
      <c r="BC60" s="567" t="s">
        <v>2477</v>
      </c>
      <c r="BD60" s="567" t="s">
        <v>2477</v>
      </c>
    </row>
    <row r="61" spans="2:56" x14ac:dyDescent="0.25">
      <c r="B61" s="562" t="s">
        <v>145</v>
      </c>
      <c r="C61" s="565" t="s">
        <v>2802</v>
      </c>
      <c r="D61" s="565" t="s">
        <v>2802</v>
      </c>
      <c r="E61" s="562" t="s">
        <v>2940</v>
      </c>
      <c r="F61" s="562" t="s">
        <v>2941</v>
      </c>
      <c r="G61" s="562" t="s">
        <v>2942</v>
      </c>
      <c r="H61" s="562">
        <v>2.64</v>
      </c>
      <c r="I61" s="562" t="s">
        <v>2737</v>
      </c>
      <c r="J61" s="562">
        <v>0.39</v>
      </c>
      <c r="K61" s="562">
        <v>1.64</v>
      </c>
      <c r="L61" s="562">
        <v>0.83</v>
      </c>
      <c r="M61" s="562" t="s">
        <v>2740</v>
      </c>
      <c r="N61" s="562" t="s">
        <v>2836</v>
      </c>
      <c r="O61" s="562">
        <v>5.5</v>
      </c>
      <c r="P61" s="562">
        <v>2050</v>
      </c>
      <c r="Q61" s="562" t="s">
        <v>2943</v>
      </c>
      <c r="R61" s="567">
        <v>0.48000000000000004</v>
      </c>
      <c r="S61" s="567" t="s">
        <v>2477</v>
      </c>
      <c r="T61" s="567">
        <v>7.0909090909090908E-2</v>
      </c>
      <c r="U61" s="567">
        <v>0.29818181818181816</v>
      </c>
      <c r="V61" s="567">
        <v>0.15090909090909091</v>
      </c>
      <c r="W61" s="567" t="s">
        <v>2477</v>
      </c>
      <c r="X61" s="567" t="s">
        <v>2477</v>
      </c>
      <c r="Y61" s="562" t="s">
        <v>2944</v>
      </c>
      <c r="Z61" s="562"/>
      <c r="AA61" s="562"/>
      <c r="AB61" s="562"/>
      <c r="AC61" s="562">
        <v>5.5</v>
      </c>
      <c r="AD61" s="562"/>
      <c r="AE61" s="562"/>
      <c r="AF61" s="562"/>
      <c r="AG61" s="566">
        <v>14.477600000000001</v>
      </c>
      <c r="AH61" s="562">
        <v>2017</v>
      </c>
      <c r="AI61" s="562" t="s">
        <v>2945</v>
      </c>
      <c r="AJ61" s="567">
        <v>0.3798972205337901</v>
      </c>
      <c r="AK61" s="566">
        <v>14.477600000000001</v>
      </c>
      <c r="AL61" s="571">
        <v>2017</v>
      </c>
      <c r="AM61" s="562" t="s">
        <v>2945</v>
      </c>
      <c r="AN61" s="567">
        <v>0.3798972205337901</v>
      </c>
      <c r="AO61" s="567">
        <v>1</v>
      </c>
      <c r="AP61" s="566">
        <v>7.9816000000000003</v>
      </c>
      <c r="AQ61" s="566"/>
      <c r="AR61" s="566">
        <v>1.3947000000000001</v>
      </c>
      <c r="AS61" s="566">
        <v>2.9628000000000001</v>
      </c>
      <c r="AT61" s="566">
        <v>2.1385000000000001</v>
      </c>
      <c r="AU61" s="566"/>
      <c r="AV61" s="566"/>
      <c r="AW61" s="562" t="s">
        <v>2946</v>
      </c>
      <c r="AX61" s="567">
        <v>0.66923925027563391</v>
      </c>
      <c r="AY61" s="567" t="s">
        <v>2477</v>
      </c>
      <c r="AZ61" s="567">
        <v>0.72036997203699726</v>
      </c>
      <c r="BA61" s="567">
        <v>0.44646955582557046</v>
      </c>
      <c r="BB61" s="567">
        <v>0.61187748421790977</v>
      </c>
      <c r="BC61" s="567" t="s">
        <v>2477</v>
      </c>
      <c r="BD61" s="567" t="s">
        <v>2477</v>
      </c>
    </row>
    <row r="62" spans="2:56" x14ac:dyDescent="0.25">
      <c r="B62" s="562" t="s">
        <v>267</v>
      </c>
      <c r="C62" s="565" t="s">
        <v>2799</v>
      </c>
      <c r="D62" s="565" t="s">
        <v>2799</v>
      </c>
      <c r="E62" s="562" t="s">
        <v>2947</v>
      </c>
      <c r="F62" s="562" t="s">
        <v>2801</v>
      </c>
      <c r="G62" s="562" t="s">
        <v>2801</v>
      </c>
      <c r="H62" s="562"/>
      <c r="I62" s="562"/>
      <c r="J62" s="562"/>
      <c r="K62" s="562"/>
      <c r="L62" s="562"/>
      <c r="M62" s="562"/>
      <c r="N62" s="562"/>
      <c r="O62" s="562"/>
      <c r="P62" s="562"/>
      <c r="Q62" s="562"/>
      <c r="R62" s="562"/>
      <c r="S62" s="562"/>
      <c r="T62" s="562"/>
      <c r="U62" s="562"/>
      <c r="V62" s="562"/>
      <c r="W62" s="562"/>
      <c r="X62" s="562"/>
      <c r="Y62" s="562"/>
      <c r="Z62" s="562"/>
      <c r="AA62" s="562"/>
      <c r="AB62" s="562"/>
      <c r="AC62" s="562"/>
      <c r="AD62" s="562"/>
      <c r="AE62" s="562"/>
      <c r="AF62" s="562"/>
      <c r="AG62" s="562"/>
      <c r="AH62" s="562"/>
      <c r="AI62" s="562"/>
      <c r="AJ62" s="562"/>
      <c r="AK62" s="562"/>
      <c r="AL62" s="562"/>
      <c r="AM62" s="562"/>
      <c r="AN62" s="562"/>
      <c r="AO62" s="562"/>
      <c r="AP62" s="566" t="s">
        <v>2477</v>
      </c>
      <c r="AQ62" s="566" t="s">
        <v>2477</v>
      </c>
      <c r="AR62" s="566" t="s">
        <v>2477</v>
      </c>
      <c r="AS62" s="566" t="s">
        <v>2477</v>
      </c>
      <c r="AT62" s="566" t="s">
        <v>2477</v>
      </c>
      <c r="AU62" s="566"/>
      <c r="AV62" s="566" t="s">
        <v>2477</v>
      </c>
      <c r="AW62" s="562"/>
      <c r="AX62" s="567" t="s">
        <v>2477</v>
      </c>
      <c r="AY62" s="567" t="s">
        <v>2477</v>
      </c>
      <c r="AZ62" s="567" t="s">
        <v>2477</v>
      </c>
      <c r="BA62" s="567" t="s">
        <v>2477</v>
      </c>
      <c r="BB62" s="567" t="s">
        <v>2477</v>
      </c>
      <c r="BC62" s="567" t="s">
        <v>2477</v>
      </c>
      <c r="BD62" s="567" t="s">
        <v>2477</v>
      </c>
    </row>
    <row r="63" spans="2:56" x14ac:dyDescent="0.25">
      <c r="B63" s="562" t="s">
        <v>2948</v>
      </c>
      <c r="C63" s="565" t="s">
        <v>2799</v>
      </c>
      <c r="D63" s="565" t="s">
        <v>2799</v>
      </c>
      <c r="E63" s="562" t="s">
        <v>2949</v>
      </c>
      <c r="F63" s="562" t="s">
        <v>2801</v>
      </c>
      <c r="G63" s="562" t="s">
        <v>2801</v>
      </c>
      <c r="H63" s="562"/>
      <c r="I63" s="562"/>
      <c r="J63" s="562"/>
      <c r="K63" s="562"/>
      <c r="L63" s="562"/>
      <c r="M63" s="562"/>
      <c r="N63" s="562"/>
      <c r="O63" s="562"/>
      <c r="P63" s="562"/>
      <c r="Q63" s="562"/>
      <c r="R63" s="562"/>
      <c r="S63" s="562"/>
      <c r="T63" s="562"/>
      <c r="U63" s="562"/>
      <c r="V63" s="562"/>
      <c r="W63" s="562"/>
      <c r="X63" s="562"/>
      <c r="Y63" s="562"/>
      <c r="Z63" s="562"/>
      <c r="AA63" s="562"/>
      <c r="AB63" s="562"/>
      <c r="AC63" s="562"/>
      <c r="AD63" s="562"/>
      <c r="AE63" s="562"/>
      <c r="AF63" s="562"/>
      <c r="AG63" s="562"/>
      <c r="AH63" s="562"/>
      <c r="AI63" s="562"/>
      <c r="AJ63" s="562"/>
      <c r="AK63" s="562"/>
      <c r="AL63" s="562"/>
      <c r="AM63" s="562"/>
      <c r="AN63" s="562"/>
      <c r="AO63" s="562"/>
      <c r="AP63" s="566" t="s">
        <v>2477</v>
      </c>
      <c r="AQ63" s="566" t="s">
        <v>2477</v>
      </c>
      <c r="AR63" s="566" t="s">
        <v>2477</v>
      </c>
      <c r="AS63" s="566" t="s">
        <v>2477</v>
      </c>
      <c r="AT63" s="566" t="s">
        <v>2477</v>
      </c>
      <c r="AU63" s="566"/>
      <c r="AV63" s="566" t="s">
        <v>2477</v>
      </c>
      <c r="AW63" s="562"/>
      <c r="AX63" s="567" t="s">
        <v>2477</v>
      </c>
      <c r="AY63" s="567" t="s">
        <v>2477</v>
      </c>
      <c r="AZ63" s="567" t="s">
        <v>2477</v>
      </c>
      <c r="BA63" s="567" t="s">
        <v>2477</v>
      </c>
      <c r="BB63" s="567" t="s">
        <v>2477</v>
      </c>
      <c r="BC63" s="567" t="s">
        <v>2477</v>
      </c>
      <c r="BD63" s="567" t="s">
        <v>2477</v>
      </c>
    </row>
    <row r="64" spans="2:56" x14ac:dyDescent="0.25">
      <c r="B64" s="562" t="s">
        <v>229</v>
      </c>
      <c r="C64" s="565" t="s">
        <v>2802</v>
      </c>
      <c r="D64" s="565" t="s">
        <v>2799</v>
      </c>
      <c r="E64" s="562" t="s">
        <v>2950</v>
      </c>
      <c r="F64" s="562" t="s">
        <v>2951</v>
      </c>
      <c r="G64" s="562" t="s">
        <v>2952</v>
      </c>
      <c r="H64" s="562"/>
      <c r="I64" s="562"/>
      <c r="J64" s="562"/>
      <c r="K64" s="562"/>
      <c r="L64" s="562"/>
      <c r="M64" s="562"/>
      <c r="N64" s="562"/>
      <c r="O64" s="562">
        <v>1</v>
      </c>
      <c r="P64" s="562">
        <v>2040</v>
      </c>
      <c r="Q64" s="562" t="s">
        <v>2806</v>
      </c>
      <c r="R64" s="562"/>
      <c r="S64" s="562"/>
      <c r="T64" s="562"/>
      <c r="U64" s="562"/>
      <c r="V64" s="562"/>
      <c r="W64" s="562"/>
      <c r="X64" s="562"/>
      <c r="Y64" s="562" t="s">
        <v>2953</v>
      </c>
      <c r="Z64" s="562"/>
      <c r="AA64" s="562"/>
      <c r="AB64" s="562"/>
      <c r="AC64" s="562">
        <v>1</v>
      </c>
      <c r="AD64" s="562"/>
      <c r="AE64" s="562"/>
      <c r="AF64" s="562"/>
      <c r="AG64" s="566">
        <v>4.7130087598639498</v>
      </c>
      <c r="AH64" s="562">
        <v>2019</v>
      </c>
      <c r="AI64" s="562" t="s">
        <v>2808</v>
      </c>
      <c r="AJ64" s="567">
        <v>0.21217868477479065</v>
      </c>
      <c r="AK64" s="566">
        <v>5.299865567134459</v>
      </c>
      <c r="AL64" s="566">
        <v>2008</v>
      </c>
      <c r="AM64" s="562" t="s">
        <v>2809</v>
      </c>
      <c r="AN64" s="567">
        <v>0.18868403119528215</v>
      </c>
      <c r="AO64" s="567">
        <v>0.88926949186980753</v>
      </c>
      <c r="AP64" s="566" t="s">
        <v>2477</v>
      </c>
      <c r="AQ64" s="566" t="s">
        <v>2477</v>
      </c>
      <c r="AR64" s="566" t="s">
        <v>2477</v>
      </c>
      <c r="AS64" s="566" t="s">
        <v>2477</v>
      </c>
      <c r="AT64" s="566" t="s">
        <v>2477</v>
      </c>
      <c r="AU64" s="566"/>
      <c r="AV64" s="566" t="s">
        <v>2477</v>
      </c>
      <c r="AW64" s="562"/>
      <c r="AX64" s="567" t="s">
        <v>2477</v>
      </c>
      <c r="AY64" s="567" t="s">
        <v>2477</v>
      </c>
      <c r="AZ64" s="567" t="s">
        <v>2477</v>
      </c>
      <c r="BA64" s="567" t="s">
        <v>2477</v>
      </c>
      <c r="BB64" s="567" t="s">
        <v>2477</v>
      </c>
      <c r="BC64" s="567" t="s">
        <v>2477</v>
      </c>
      <c r="BD64" s="567" t="s">
        <v>2477</v>
      </c>
    </row>
    <row r="65" spans="2:56" x14ac:dyDescent="0.25">
      <c r="B65" s="562" t="s">
        <v>229</v>
      </c>
      <c r="C65" s="565" t="s">
        <v>2802</v>
      </c>
      <c r="D65" s="565" t="s">
        <v>2799</v>
      </c>
      <c r="E65" s="562" t="s">
        <v>2950</v>
      </c>
      <c r="F65" s="562" t="s">
        <v>2954</v>
      </c>
      <c r="G65" s="562" t="s">
        <v>2952</v>
      </c>
      <c r="H65" s="562"/>
      <c r="I65" s="562"/>
      <c r="J65" s="562"/>
      <c r="K65" s="562"/>
      <c r="L65" s="562"/>
      <c r="M65" s="562"/>
      <c r="N65" s="562"/>
      <c r="O65" s="562">
        <v>0.9</v>
      </c>
      <c r="P65" s="562">
        <v>2040</v>
      </c>
      <c r="Q65" s="562" t="s">
        <v>2806</v>
      </c>
      <c r="R65" s="562"/>
      <c r="S65" s="562"/>
      <c r="T65" s="562"/>
      <c r="U65" s="562"/>
      <c r="V65" s="562"/>
      <c r="W65" s="562"/>
      <c r="X65" s="562"/>
      <c r="Y65" s="562" t="s">
        <v>2953</v>
      </c>
      <c r="Z65" s="562"/>
      <c r="AA65" s="562"/>
      <c r="AB65" s="562"/>
      <c r="AC65" s="562">
        <v>0.9</v>
      </c>
      <c r="AD65" s="562"/>
      <c r="AE65" s="562"/>
      <c r="AF65" s="562"/>
      <c r="AG65" s="572">
        <v>4.7130087598639498</v>
      </c>
      <c r="AH65" s="562">
        <v>2019</v>
      </c>
      <c r="AI65" s="562" t="s">
        <v>2808</v>
      </c>
      <c r="AJ65" s="567">
        <v>0.1909608162973116</v>
      </c>
      <c r="AK65" s="566">
        <v>5.299865567134459</v>
      </c>
      <c r="AL65" s="566">
        <v>2008</v>
      </c>
      <c r="AM65" s="562" t="s">
        <v>2809</v>
      </c>
      <c r="AN65" s="567">
        <v>0.16981562807575395</v>
      </c>
      <c r="AO65" s="567">
        <v>0.88926949186980753</v>
      </c>
      <c r="AP65" s="566" t="s">
        <v>2477</v>
      </c>
      <c r="AQ65" s="566" t="s">
        <v>2477</v>
      </c>
      <c r="AR65" s="566" t="s">
        <v>2477</v>
      </c>
      <c r="AS65" s="566" t="s">
        <v>2477</v>
      </c>
      <c r="AT65" s="566" t="s">
        <v>2477</v>
      </c>
      <c r="AU65" s="566"/>
      <c r="AV65" s="566" t="s">
        <v>2477</v>
      </c>
      <c r="AW65" s="562"/>
      <c r="AX65" s="567" t="s">
        <v>2477</v>
      </c>
      <c r="AY65" s="567" t="s">
        <v>2477</v>
      </c>
      <c r="AZ65" s="567" t="s">
        <v>2477</v>
      </c>
      <c r="BA65" s="567" t="s">
        <v>2477</v>
      </c>
      <c r="BB65" s="567" t="s">
        <v>2477</v>
      </c>
      <c r="BC65" s="567" t="s">
        <v>2477</v>
      </c>
      <c r="BD65" s="567" t="s">
        <v>2477</v>
      </c>
    </row>
    <row r="66" spans="2:56" x14ac:dyDescent="0.25">
      <c r="B66" s="562" t="s">
        <v>229</v>
      </c>
      <c r="C66" s="565" t="s">
        <v>2802</v>
      </c>
      <c r="D66" s="565" t="s">
        <v>2799</v>
      </c>
      <c r="E66" s="562" t="s">
        <v>2950</v>
      </c>
      <c r="F66" s="562" t="s">
        <v>2955</v>
      </c>
      <c r="G66" s="562" t="s">
        <v>2952</v>
      </c>
      <c r="H66" s="562"/>
      <c r="I66" s="562"/>
      <c r="J66" s="562"/>
      <c r="K66" s="562"/>
      <c r="L66" s="562"/>
      <c r="M66" s="562"/>
      <c r="N66" s="562"/>
      <c r="O66" s="562">
        <v>1.3</v>
      </c>
      <c r="P66" s="562">
        <v>2040</v>
      </c>
      <c r="Q66" s="562" t="s">
        <v>2806</v>
      </c>
      <c r="R66" s="562"/>
      <c r="S66" s="562"/>
      <c r="T66" s="562"/>
      <c r="U66" s="562"/>
      <c r="V66" s="562"/>
      <c r="W66" s="562"/>
      <c r="X66" s="562"/>
      <c r="Y66" s="562" t="s">
        <v>2953</v>
      </c>
      <c r="Z66" s="562"/>
      <c r="AA66" s="562"/>
      <c r="AB66" s="562"/>
      <c r="AC66" s="562">
        <v>1.3</v>
      </c>
      <c r="AD66" s="562"/>
      <c r="AE66" s="562"/>
      <c r="AF66" s="562"/>
      <c r="AG66" s="572">
        <v>4.7130087598639498</v>
      </c>
      <c r="AH66" s="562">
        <v>2019</v>
      </c>
      <c r="AI66" s="562" t="s">
        <v>2808</v>
      </c>
      <c r="AJ66" s="567">
        <v>0.27583229020722783</v>
      </c>
      <c r="AK66" s="566">
        <v>5.299865567134459</v>
      </c>
      <c r="AL66" s="566">
        <v>2008</v>
      </c>
      <c r="AM66" s="562" t="s">
        <v>2809</v>
      </c>
      <c r="AN66" s="567">
        <v>0.24528924055386681</v>
      </c>
      <c r="AO66" s="567">
        <v>0.88926949186980753</v>
      </c>
      <c r="AP66" s="566" t="s">
        <v>2477</v>
      </c>
      <c r="AQ66" s="566" t="s">
        <v>2477</v>
      </c>
      <c r="AR66" s="566" t="s">
        <v>2477</v>
      </c>
      <c r="AS66" s="566" t="s">
        <v>2477</v>
      </c>
      <c r="AT66" s="566" t="s">
        <v>2477</v>
      </c>
      <c r="AU66" s="566"/>
      <c r="AV66" s="566" t="s">
        <v>2477</v>
      </c>
      <c r="AW66" s="562"/>
      <c r="AX66" s="567" t="s">
        <v>2477</v>
      </c>
      <c r="AY66" s="567" t="s">
        <v>2477</v>
      </c>
      <c r="AZ66" s="567" t="s">
        <v>2477</v>
      </c>
      <c r="BA66" s="567" t="s">
        <v>2477</v>
      </c>
      <c r="BB66" s="567" t="s">
        <v>2477</v>
      </c>
      <c r="BC66" s="567" t="s">
        <v>2477</v>
      </c>
      <c r="BD66" s="567" t="s">
        <v>2477</v>
      </c>
    </row>
    <row r="67" spans="2:56" x14ac:dyDescent="0.25">
      <c r="B67" s="562" t="s">
        <v>229</v>
      </c>
      <c r="C67" s="565" t="s">
        <v>2802</v>
      </c>
      <c r="D67" s="565" t="s">
        <v>2799</v>
      </c>
      <c r="E67" s="562" t="s">
        <v>2950</v>
      </c>
      <c r="F67" s="562" t="s">
        <v>2956</v>
      </c>
      <c r="G67" s="562" t="s">
        <v>2952</v>
      </c>
      <c r="H67" s="562"/>
      <c r="I67" s="562"/>
      <c r="J67" s="562"/>
      <c r="K67" s="562"/>
      <c r="L67" s="562"/>
      <c r="M67" s="562"/>
      <c r="N67" s="562"/>
      <c r="O67" s="562">
        <v>0.8</v>
      </c>
      <c r="P67" s="562">
        <v>2040</v>
      </c>
      <c r="Q67" s="562" t="s">
        <v>2806</v>
      </c>
      <c r="R67" s="562"/>
      <c r="S67" s="562"/>
      <c r="T67" s="562"/>
      <c r="U67" s="562"/>
      <c r="V67" s="562"/>
      <c r="W67" s="562"/>
      <c r="X67" s="562"/>
      <c r="Y67" s="562" t="s">
        <v>2953</v>
      </c>
      <c r="Z67" s="562"/>
      <c r="AA67" s="562"/>
      <c r="AB67" s="562"/>
      <c r="AC67" s="562">
        <v>0.8</v>
      </c>
      <c r="AD67" s="562"/>
      <c r="AE67" s="562"/>
      <c r="AF67" s="562"/>
      <c r="AG67" s="572">
        <v>4.7130087598639498</v>
      </c>
      <c r="AH67" s="562">
        <v>2019</v>
      </c>
      <c r="AI67" s="562" t="s">
        <v>2808</v>
      </c>
      <c r="AJ67" s="567">
        <v>0.16974294781983251</v>
      </c>
      <c r="AK67" s="566">
        <v>5.299865567134459</v>
      </c>
      <c r="AL67" s="566">
        <v>2008</v>
      </c>
      <c r="AM67" s="562" t="s">
        <v>2809</v>
      </c>
      <c r="AN67" s="567">
        <v>0.15094722495622573</v>
      </c>
      <c r="AO67" s="567">
        <v>0.88926949186980753</v>
      </c>
      <c r="AP67" s="566" t="s">
        <v>2477</v>
      </c>
      <c r="AQ67" s="566" t="s">
        <v>2477</v>
      </c>
      <c r="AR67" s="566" t="s">
        <v>2477</v>
      </c>
      <c r="AS67" s="566" t="s">
        <v>2477</v>
      </c>
      <c r="AT67" s="566" t="s">
        <v>2477</v>
      </c>
      <c r="AU67" s="566"/>
      <c r="AV67" s="566" t="s">
        <v>2477</v>
      </c>
      <c r="AW67" s="562"/>
      <c r="AX67" s="567" t="s">
        <v>2477</v>
      </c>
      <c r="AY67" s="567" t="s">
        <v>2477</v>
      </c>
      <c r="AZ67" s="567" t="s">
        <v>2477</v>
      </c>
      <c r="BA67" s="567" t="s">
        <v>2477</v>
      </c>
      <c r="BB67" s="567" t="s">
        <v>2477</v>
      </c>
      <c r="BC67" s="567" t="s">
        <v>2477</v>
      </c>
      <c r="BD67" s="567" t="s">
        <v>2477</v>
      </c>
    </row>
    <row r="68" spans="2:56" x14ac:dyDescent="0.25">
      <c r="B68" s="562" t="s">
        <v>183</v>
      </c>
      <c r="C68" s="565" t="s">
        <v>2802</v>
      </c>
      <c r="D68" s="565" t="s">
        <v>2802</v>
      </c>
      <c r="E68" s="562" t="s">
        <v>2957</v>
      </c>
      <c r="F68" s="562" t="s">
        <v>2958</v>
      </c>
      <c r="G68" s="562" t="s">
        <v>2959</v>
      </c>
      <c r="H68" s="572">
        <v>2.4275999999999999E-2</v>
      </c>
      <c r="I68" s="572">
        <v>0.101561</v>
      </c>
      <c r="J68" s="562" t="s">
        <v>2960</v>
      </c>
      <c r="K68" s="572">
        <v>0.89127000000000001</v>
      </c>
      <c r="L68" s="572">
        <v>3.7780000000000001E-3</v>
      </c>
      <c r="M68" s="562" t="s">
        <v>2740</v>
      </c>
      <c r="N68" s="562" t="s">
        <v>2836</v>
      </c>
      <c r="O68" s="562">
        <v>1.020885</v>
      </c>
      <c r="P68" s="562">
        <v>2045</v>
      </c>
      <c r="Q68" s="569" t="s">
        <v>2961</v>
      </c>
      <c r="R68" s="567">
        <v>2.3779367901379682E-2</v>
      </c>
      <c r="S68" s="567">
        <v>9.9483291457901718E-2</v>
      </c>
      <c r="T68" s="567" t="s">
        <v>2477</v>
      </c>
      <c r="U68" s="567">
        <v>0.87303662998280895</v>
      </c>
      <c r="V68" s="567">
        <v>3.7007106579095587E-3</v>
      </c>
      <c r="W68" s="567" t="s">
        <v>2477</v>
      </c>
      <c r="X68" s="567" t="s">
        <v>2477</v>
      </c>
      <c r="Y68" s="562" t="s">
        <v>2962</v>
      </c>
      <c r="Z68" s="562"/>
      <c r="AA68" s="562"/>
      <c r="AB68" s="562"/>
      <c r="AC68" s="572">
        <v>1.442634</v>
      </c>
      <c r="AD68" s="562"/>
      <c r="AE68" s="562"/>
      <c r="AF68" s="562"/>
      <c r="AG68" s="572">
        <v>2.2855780000000001</v>
      </c>
      <c r="AH68" s="562" t="s">
        <v>2963</v>
      </c>
      <c r="AI68" s="562" t="s">
        <v>2964</v>
      </c>
      <c r="AJ68" s="567">
        <v>0.44666381983025738</v>
      </c>
      <c r="AK68" s="566">
        <v>2.2855780000000001</v>
      </c>
      <c r="AL68" s="570" t="s">
        <v>2963</v>
      </c>
      <c r="AM68" s="562" t="s">
        <v>2964</v>
      </c>
      <c r="AN68" s="567">
        <v>0.44666381983025738</v>
      </c>
      <c r="AO68" s="567">
        <v>1</v>
      </c>
      <c r="AP68" s="566">
        <v>0.41511599999999999</v>
      </c>
      <c r="AQ68" s="566">
        <v>0.82422499999999999</v>
      </c>
      <c r="AR68" s="566"/>
      <c r="AS68" s="566">
        <v>0.92896599999999996</v>
      </c>
      <c r="AT68" s="566">
        <v>0.117271</v>
      </c>
      <c r="AU68" s="566"/>
      <c r="AV68" s="566"/>
      <c r="AW68" s="562" t="s">
        <v>2965</v>
      </c>
      <c r="AX68" s="567">
        <v>0.94151996068568777</v>
      </c>
      <c r="AY68" s="567">
        <v>0.87678000545967427</v>
      </c>
      <c r="AZ68" s="567" t="s">
        <v>2477</v>
      </c>
      <c r="BA68" s="567">
        <v>4.0578449588036539E-2</v>
      </c>
      <c r="BB68" s="567">
        <v>0.96778402162512467</v>
      </c>
      <c r="BC68" s="567" t="s">
        <v>2477</v>
      </c>
      <c r="BD68" s="567" t="s">
        <v>2477</v>
      </c>
    </row>
    <row r="69" spans="2:56" x14ac:dyDescent="0.25">
      <c r="B69" s="562" t="s">
        <v>195</v>
      </c>
      <c r="C69" s="565" t="s">
        <v>2799</v>
      </c>
      <c r="D69" s="565" t="s">
        <v>2799</v>
      </c>
      <c r="E69" s="562" t="s">
        <v>2966</v>
      </c>
      <c r="F69" s="562" t="s">
        <v>2801</v>
      </c>
      <c r="G69" s="562"/>
      <c r="H69" s="562"/>
      <c r="I69" s="562"/>
      <c r="J69" s="562"/>
      <c r="K69" s="562"/>
      <c r="L69" s="562"/>
      <c r="M69" s="562"/>
      <c r="N69" s="562"/>
      <c r="O69" s="562"/>
      <c r="P69" s="562"/>
      <c r="Q69" s="562"/>
      <c r="R69" s="562"/>
      <c r="S69" s="562"/>
      <c r="T69" s="562"/>
      <c r="U69" s="562"/>
      <c r="V69" s="562"/>
      <c r="W69" s="562"/>
      <c r="X69" s="562"/>
      <c r="Y69" s="562"/>
      <c r="Z69" s="562"/>
      <c r="AA69" s="562"/>
      <c r="AB69" s="562"/>
      <c r="AC69" s="562"/>
      <c r="AD69" s="562"/>
      <c r="AE69" s="562"/>
      <c r="AF69" s="562"/>
      <c r="AG69" s="566"/>
      <c r="AH69" s="566"/>
      <c r="AI69" s="566"/>
      <c r="AJ69" s="566"/>
      <c r="AK69" s="566"/>
      <c r="AL69" s="566"/>
      <c r="AM69" s="566"/>
      <c r="AN69" s="566"/>
      <c r="AO69" s="566"/>
      <c r="AP69" s="566" t="s">
        <v>2477</v>
      </c>
      <c r="AQ69" s="566" t="s">
        <v>2477</v>
      </c>
      <c r="AR69" s="566" t="s">
        <v>2477</v>
      </c>
      <c r="AS69" s="566" t="s">
        <v>2477</v>
      </c>
      <c r="AT69" s="566" t="s">
        <v>2477</v>
      </c>
      <c r="AU69" s="566"/>
      <c r="AV69" s="566" t="s">
        <v>2477</v>
      </c>
      <c r="AW69" s="562"/>
      <c r="AX69" s="567"/>
      <c r="AY69" s="567"/>
      <c r="AZ69" s="567"/>
      <c r="BA69" s="567"/>
      <c r="BB69" s="567"/>
      <c r="BC69" s="567"/>
      <c r="BD69" s="567"/>
    </row>
    <row r="70" spans="2:56" x14ac:dyDescent="0.25">
      <c r="B70" s="562" t="s">
        <v>297</v>
      </c>
      <c r="C70" s="565" t="s">
        <v>2799</v>
      </c>
      <c r="D70" s="565" t="s">
        <v>2799</v>
      </c>
      <c r="E70" s="562" t="s">
        <v>2967</v>
      </c>
      <c r="F70" s="562" t="s">
        <v>2801</v>
      </c>
      <c r="G70" s="562"/>
      <c r="H70" s="562"/>
      <c r="I70" s="562"/>
      <c r="J70" s="562"/>
      <c r="K70" s="562"/>
      <c r="L70" s="562"/>
      <c r="M70" s="562"/>
      <c r="N70" s="562"/>
      <c r="O70" s="562"/>
      <c r="P70" s="562"/>
      <c r="Q70" s="562"/>
      <c r="R70" s="562"/>
      <c r="S70" s="562"/>
      <c r="T70" s="562"/>
      <c r="U70" s="562"/>
      <c r="V70" s="562"/>
      <c r="W70" s="562"/>
      <c r="X70" s="562"/>
      <c r="Y70" s="562"/>
      <c r="Z70" s="562"/>
      <c r="AA70" s="562"/>
      <c r="AB70" s="562"/>
      <c r="AC70" s="562"/>
      <c r="AD70" s="562"/>
      <c r="AE70" s="562"/>
      <c r="AF70" s="562"/>
      <c r="AG70" s="562"/>
      <c r="AH70" s="562"/>
      <c r="AI70" s="562"/>
      <c r="AJ70" s="562"/>
      <c r="AK70" s="562"/>
      <c r="AL70" s="562"/>
      <c r="AM70" s="562"/>
      <c r="AN70" s="562"/>
      <c r="AO70" s="562"/>
      <c r="AP70" s="566" t="s">
        <v>2477</v>
      </c>
      <c r="AQ70" s="566" t="s">
        <v>2477</v>
      </c>
      <c r="AR70" s="566" t="s">
        <v>2477</v>
      </c>
      <c r="AS70" s="566" t="s">
        <v>2477</v>
      </c>
      <c r="AT70" s="566" t="s">
        <v>2477</v>
      </c>
      <c r="AU70" s="566"/>
      <c r="AV70" s="566" t="s">
        <v>2477</v>
      </c>
      <c r="AW70" s="562"/>
      <c r="AX70" s="567" t="s">
        <v>2477</v>
      </c>
      <c r="AY70" s="567" t="s">
        <v>2477</v>
      </c>
      <c r="AZ70" s="567" t="s">
        <v>2477</v>
      </c>
      <c r="BA70" s="567" t="s">
        <v>2477</v>
      </c>
      <c r="BB70" s="567" t="s">
        <v>2477</v>
      </c>
      <c r="BC70" s="567" t="s">
        <v>2477</v>
      </c>
      <c r="BD70" s="567" t="s">
        <v>2477</v>
      </c>
    </row>
    <row r="71" spans="2:56" x14ac:dyDescent="0.25">
      <c r="B71" s="562" t="s">
        <v>453</v>
      </c>
      <c r="C71" s="565" t="s">
        <v>2799</v>
      </c>
      <c r="D71" s="565" t="s">
        <v>2799</v>
      </c>
      <c r="E71" s="562" t="s">
        <v>2968</v>
      </c>
      <c r="F71" s="562" t="s">
        <v>2801</v>
      </c>
      <c r="G71" s="562"/>
      <c r="H71" s="562"/>
      <c r="I71" s="562"/>
      <c r="J71" s="562"/>
      <c r="K71" s="562"/>
      <c r="L71" s="562"/>
      <c r="M71" s="562"/>
      <c r="N71" s="562"/>
      <c r="O71" s="562"/>
      <c r="P71" s="562"/>
      <c r="Q71" s="562"/>
      <c r="R71" s="562"/>
      <c r="S71" s="562"/>
      <c r="T71" s="562"/>
      <c r="U71" s="562"/>
      <c r="V71" s="562"/>
      <c r="W71" s="562"/>
      <c r="X71" s="562"/>
      <c r="Y71" s="562"/>
      <c r="Z71" s="562"/>
      <c r="AA71" s="562"/>
      <c r="AB71" s="562"/>
      <c r="AC71" s="562"/>
      <c r="AD71" s="562"/>
      <c r="AE71" s="562"/>
      <c r="AF71" s="562"/>
      <c r="AG71" s="562"/>
      <c r="AH71" s="562"/>
      <c r="AI71" s="562"/>
      <c r="AJ71" s="562"/>
      <c r="AK71" s="562"/>
      <c r="AL71" s="562"/>
      <c r="AM71" s="562"/>
      <c r="AN71" s="562"/>
      <c r="AO71" s="562"/>
      <c r="AP71" s="566" t="s">
        <v>2477</v>
      </c>
      <c r="AQ71" s="566" t="s">
        <v>2477</v>
      </c>
      <c r="AR71" s="566" t="s">
        <v>2477</v>
      </c>
      <c r="AS71" s="566" t="s">
        <v>2477</v>
      </c>
      <c r="AT71" s="566" t="s">
        <v>2477</v>
      </c>
      <c r="AU71" s="566"/>
      <c r="AV71" s="566" t="s">
        <v>2477</v>
      </c>
      <c r="AW71" s="562"/>
      <c r="AX71" s="567" t="s">
        <v>2477</v>
      </c>
      <c r="AY71" s="567" t="s">
        <v>2477</v>
      </c>
      <c r="AZ71" s="567" t="s">
        <v>2477</v>
      </c>
      <c r="BA71" s="567" t="s">
        <v>2477</v>
      </c>
      <c r="BB71" s="567" t="s">
        <v>2477</v>
      </c>
      <c r="BC71" s="567" t="s">
        <v>2477</v>
      </c>
      <c r="BD71" s="567" t="s">
        <v>2477</v>
      </c>
    </row>
    <row r="72" spans="2:56" x14ac:dyDescent="0.25">
      <c r="B72" s="562" t="s">
        <v>299</v>
      </c>
      <c r="C72" s="565" t="s">
        <v>2799</v>
      </c>
      <c r="D72" s="565" t="s">
        <v>2799</v>
      </c>
      <c r="E72" s="562" t="s">
        <v>2969</v>
      </c>
      <c r="F72" s="562" t="s">
        <v>2801</v>
      </c>
      <c r="G72" s="562"/>
      <c r="H72" s="562"/>
      <c r="I72" s="562"/>
      <c r="J72" s="562"/>
      <c r="K72" s="562"/>
      <c r="L72" s="562"/>
      <c r="M72" s="562"/>
      <c r="N72" s="562"/>
      <c r="O72" s="562"/>
      <c r="P72" s="562"/>
      <c r="Q72" s="562"/>
      <c r="R72" s="562"/>
      <c r="S72" s="562"/>
      <c r="T72" s="562"/>
      <c r="U72" s="562"/>
      <c r="V72" s="562"/>
      <c r="W72" s="562"/>
      <c r="X72" s="562"/>
      <c r="Y72" s="562"/>
      <c r="Z72" s="562"/>
      <c r="AA72" s="562"/>
      <c r="AB72" s="562"/>
      <c r="AC72" s="562"/>
      <c r="AD72" s="562"/>
      <c r="AE72" s="562"/>
      <c r="AF72" s="562"/>
      <c r="AG72" s="571"/>
      <c r="AH72" s="562"/>
      <c r="AI72" s="562"/>
      <c r="AJ72" s="562"/>
      <c r="AK72" s="562"/>
      <c r="AL72" s="562"/>
      <c r="AM72" s="562"/>
      <c r="AN72" s="562"/>
      <c r="AO72" s="562"/>
      <c r="AP72" s="566" t="s">
        <v>2477</v>
      </c>
      <c r="AQ72" s="566" t="s">
        <v>2477</v>
      </c>
      <c r="AR72" s="566" t="s">
        <v>2477</v>
      </c>
      <c r="AS72" s="566" t="s">
        <v>2477</v>
      </c>
      <c r="AT72" s="566" t="s">
        <v>2477</v>
      </c>
      <c r="AU72" s="566"/>
      <c r="AV72" s="566" t="s">
        <v>2477</v>
      </c>
      <c r="AW72" s="562"/>
      <c r="AX72" s="567" t="s">
        <v>2477</v>
      </c>
      <c r="AY72" s="567" t="s">
        <v>2477</v>
      </c>
      <c r="AZ72" s="567" t="s">
        <v>2477</v>
      </c>
      <c r="BA72" s="567" t="s">
        <v>2477</v>
      </c>
      <c r="BB72" s="567" t="s">
        <v>2477</v>
      </c>
      <c r="BC72" s="567" t="s">
        <v>2477</v>
      </c>
      <c r="BD72" s="567" t="s">
        <v>2477</v>
      </c>
    </row>
    <row r="73" spans="2:56" x14ac:dyDescent="0.25">
      <c r="B73" s="562" t="s">
        <v>63</v>
      </c>
      <c r="C73" s="565" t="s">
        <v>2799</v>
      </c>
      <c r="D73" s="565" t="s">
        <v>2799</v>
      </c>
      <c r="E73" s="562" t="s">
        <v>2970</v>
      </c>
      <c r="F73" s="562" t="s">
        <v>2801</v>
      </c>
      <c r="G73" s="562"/>
      <c r="H73" s="562"/>
      <c r="I73" s="562"/>
      <c r="J73" s="562"/>
      <c r="K73" s="562"/>
      <c r="L73" s="562"/>
      <c r="M73" s="562"/>
      <c r="N73" s="562"/>
      <c r="O73" s="562"/>
      <c r="P73" s="562"/>
      <c r="Q73" s="562"/>
      <c r="R73" s="562"/>
      <c r="S73" s="562"/>
      <c r="T73" s="562"/>
      <c r="U73" s="562"/>
      <c r="V73" s="562"/>
      <c r="W73" s="562"/>
      <c r="X73" s="562"/>
      <c r="Y73" s="562"/>
      <c r="Z73" s="562"/>
      <c r="AA73" s="562"/>
      <c r="AB73" s="562"/>
      <c r="AC73" s="562"/>
      <c r="AD73" s="562"/>
      <c r="AE73" s="562"/>
      <c r="AF73" s="562"/>
      <c r="AG73" s="562"/>
      <c r="AH73" s="562"/>
      <c r="AI73" s="562"/>
      <c r="AJ73" s="562"/>
      <c r="AK73" s="562"/>
      <c r="AL73" s="562"/>
      <c r="AM73" s="562"/>
      <c r="AN73" s="562"/>
      <c r="AO73" s="562"/>
      <c r="AP73" s="566" t="s">
        <v>2477</v>
      </c>
      <c r="AQ73" s="566" t="s">
        <v>2477</v>
      </c>
      <c r="AR73" s="566" t="s">
        <v>2477</v>
      </c>
      <c r="AS73" s="566" t="s">
        <v>2477</v>
      </c>
      <c r="AT73" s="566" t="s">
        <v>2477</v>
      </c>
      <c r="AU73" s="566"/>
      <c r="AV73" s="566" t="s">
        <v>2477</v>
      </c>
      <c r="AW73" s="562"/>
      <c r="AX73" s="567" t="s">
        <v>2477</v>
      </c>
      <c r="AY73" s="567" t="s">
        <v>2477</v>
      </c>
      <c r="AZ73" s="567" t="s">
        <v>2477</v>
      </c>
      <c r="BA73" s="567" t="s">
        <v>2477</v>
      </c>
      <c r="BB73" s="567" t="s">
        <v>2477</v>
      </c>
      <c r="BC73" s="567" t="s">
        <v>2477</v>
      </c>
      <c r="BD73" s="567" t="s">
        <v>2477</v>
      </c>
    </row>
    <row r="74" spans="2:56" x14ac:dyDescent="0.25">
      <c r="AG74" s="574"/>
      <c r="AH74" s="574"/>
      <c r="AI74" s="574"/>
      <c r="AJ74" s="575"/>
      <c r="AK74" s="576"/>
      <c r="AL74" s="574"/>
      <c r="AM74" s="574"/>
      <c r="AN74" s="577"/>
      <c r="AO74" s="577"/>
      <c r="AP74" s="577"/>
      <c r="AQ74" s="577"/>
      <c r="AR74" s="577"/>
      <c r="AS74" s="577"/>
      <c r="AT74" s="577"/>
      <c r="AU74" s="577"/>
      <c r="AV74" s="577"/>
      <c r="AW74" s="577"/>
      <c r="AX74" s="577"/>
      <c r="AY74" s="577"/>
      <c r="AZ74" s="577"/>
      <c r="BA74" s="577"/>
      <c r="BB74" s="577"/>
      <c r="BC74" s="577"/>
      <c r="BD74" s="577"/>
    </row>
    <row r="75" spans="2:56" x14ac:dyDescent="0.25">
      <c r="AG75" s="578"/>
      <c r="AH75" s="578"/>
      <c r="AI75" s="578"/>
      <c r="AJ75" s="578"/>
      <c r="AK75" s="579"/>
      <c r="AL75" s="578"/>
      <c r="AM75" s="578"/>
      <c r="AN75" s="577"/>
      <c r="AO75" s="577"/>
      <c r="AP75" s="577"/>
      <c r="AQ75" s="577"/>
      <c r="AR75" s="577"/>
      <c r="AS75" s="577"/>
      <c r="AT75" s="577"/>
      <c r="AU75" s="577"/>
      <c r="AV75" s="577"/>
      <c r="AW75" s="577"/>
      <c r="AX75" s="577"/>
      <c r="AY75" s="577"/>
      <c r="AZ75" s="577"/>
      <c r="BA75" s="577"/>
      <c r="BB75" s="577"/>
      <c r="BC75" s="577"/>
      <c r="BD75" s="577"/>
    </row>
    <row r="76" spans="2:56" x14ac:dyDescent="0.25">
      <c r="AN76" s="577"/>
      <c r="AO76" s="577"/>
      <c r="AP76" s="577"/>
      <c r="AQ76" s="577"/>
      <c r="AR76" s="577"/>
      <c r="AS76" s="577"/>
      <c r="AT76" s="577"/>
      <c r="AU76" s="577"/>
      <c r="AV76" s="577"/>
      <c r="AW76" s="577"/>
      <c r="AX76" s="577"/>
      <c r="AY76" s="577"/>
      <c r="AZ76" s="577"/>
      <c r="BA76" s="577"/>
      <c r="BB76" s="577"/>
      <c r="BC76" s="577"/>
      <c r="BD76" s="577"/>
    </row>
  </sheetData>
  <autoFilter ref="B7:AF73" xr:uid="{E06441F3-3F19-477F-B3E8-BA29B43D2489}"/>
  <mergeCells count="3">
    <mergeCell ref="H6:Q6"/>
    <mergeCell ref="R6:X6"/>
    <mergeCell ref="Y6:AF6"/>
  </mergeCell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17" operator="containsText" id="{ACB4A3A4-93C7-4601-B478-6662CAC4B720}">
            <xm:f>NOT(ISERROR(SEARCH("-",AG75)))</xm:f>
            <xm:f>"-"</xm:f>
            <x14:dxf>
              <fill>
                <patternFill>
                  <bgColor theme="0" tint="-4.9989318521683403E-2"/>
                </patternFill>
              </fill>
            </x14:dxf>
          </x14:cfRule>
          <xm:sqref>AG75:AL75</xm:sqref>
        </x14:conditionalFormatting>
        <x14:conditionalFormatting xmlns:xm="http://schemas.microsoft.com/office/excel/2006/main">
          <x14:cfRule type="containsText" priority="8" operator="containsText" id="{39D0F0C0-6646-4A7C-A5BD-2D1F4784FB4A}">
            <xm:f>NOT(ISERROR(SEARCH("-",AH54)))</xm:f>
            <xm:f>"-"</xm:f>
            <x14:dxf>
              <fill>
                <patternFill>
                  <bgColor theme="0" tint="-4.9989318521683403E-2"/>
                </patternFill>
              </fill>
            </x14:dxf>
          </x14:cfRule>
          <xm:sqref>AH54</xm:sqref>
        </x14:conditionalFormatting>
        <x14:conditionalFormatting xmlns:xm="http://schemas.microsoft.com/office/excel/2006/main">
          <x14:cfRule type="containsText" priority="6" operator="containsText" id="{BD3B780B-4D9A-43FD-8C0C-E1B7B372ED53}">
            <xm:f>NOT(ISERROR(SEARCH("-",AH61)))</xm:f>
            <xm:f>"-"</xm:f>
            <x14:dxf>
              <fill>
                <patternFill>
                  <bgColor theme="0" tint="-4.9989318521683403E-2"/>
                </patternFill>
              </fill>
            </x14:dxf>
          </x14:cfRule>
          <xm:sqref>AH61</xm:sqref>
        </x14:conditionalFormatting>
        <x14:conditionalFormatting xmlns:xm="http://schemas.microsoft.com/office/excel/2006/main">
          <x14:cfRule type="containsText" priority="4" operator="containsText" id="{BC0F2760-F679-496C-9825-1F9A23BE52A2}">
            <xm:f>NOT(ISERROR(SEARCH("-",AH72)))</xm:f>
            <xm:f>"-"</xm:f>
            <x14:dxf>
              <fill>
                <patternFill>
                  <bgColor theme="0" tint="-4.9989318521683403E-2"/>
                </patternFill>
              </fill>
            </x14:dxf>
          </x14:cfRule>
          <xm:sqref>AH72</xm:sqref>
        </x14:conditionalFormatting>
        <x14:conditionalFormatting xmlns:xm="http://schemas.microsoft.com/office/excel/2006/main">
          <x14:cfRule type="containsText" priority="20" operator="containsText" id="{769A8D2D-C64D-4945-844A-2810F047AA28}">
            <xm:f>NOT(ISERROR(SEARCH("-",AH74)))</xm:f>
            <xm:f>"-"</xm:f>
            <x14:dxf>
              <fill>
                <patternFill>
                  <bgColor theme="0" tint="-4.9989318521683403E-2"/>
                </patternFill>
              </fill>
            </x14:dxf>
          </x14:cfRule>
          <xm:sqref>AH74</xm:sqref>
        </x14:conditionalFormatting>
        <x14:conditionalFormatting xmlns:xm="http://schemas.microsoft.com/office/excel/2006/main">
          <x14:cfRule type="containsText" priority="2" operator="containsText" id="{06066E91-3155-44F1-BC32-97D9D4879240}">
            <xm:f>NOT(ISERROR(SEARCH("-",AI36)))</xm:f>
            <xm:f>"-"</xm:f>
            <x14:dxf>
              <fill>
                <patternFill>
                  <bgColor theme="0" tint="-4.9989318521683403E-2"/>
                </patternFill>
              </fill>
            </x14:dxf>
          </x14:cfRule>
          <xm:sqref>AI36</xm:sqref>
        </x14:conditionalFormatting>
        <x14:conditionalFormatting xmlns:xm="http://schemas.microsoft.com/office/excel/2006/main">
          <x14:cfRule type="containsText" priority="18" operator="containsText" id="{12D425B9-27FF-4AB8-B015-9367CE083CF9}">
            <xm:f>NOT(ISERROR(SEARCH("-",AJ74)))</xm:f>
            <xm:f>"-"</xm:f>
            <x14:dxf>
              <fill>
                <patternFill>
                  <bgColor theme="0" tint="-4.9989318521683403E-2"/>
                </patternFill>
              </fill>
            </x14:dxf>
          </x14:cfRule>
          <xm:sqref>AJ74:AL74</xm:sqref>
        </x14:conditionalFormatting>
        <x14:conditionalFormatting xmlns:xm="http://schemas.microsoft.com/office/excel/2006/main">
          <x14:cfRule type="containsText" priority="13" operator="containsText" id="{DF4E7650-8DCA-44BA-9906-0CB7608069F1}">
            <xm:f>NOT(ISERROR(SEARCH("-",AL34)))</xm:f>
            <xm:f>"-"</xm:f>
            <x14:dxf>
              <fill>
                <patternFill>
                  <bgColor theme="0" tint="-4.9989318521683403E-2"/>
                </patternFill>
              </fill>
            </x14:dxf>
          </x14:cfRule>
          <xm:sqref>AL34</xm:sqref>
        </x14:conditionalFormatting>
        <x14:conditionalFormatting xmlns:xm="http://schemas.microsoft.com/office/excel/2006/main">
          <x14:cfRule type="containsText" priority="7" operator="containsText" id="{F50988A8-AC07-4E65-9664-A6D79A19A580}">
            <xm:f>NOT(ISERROR(SEARCH("-",AL54)))</xm:f>
            <xm:f>"-"</xm:f>
            <x14:dxf>
              <fill>
                <patternFill>
                  <bgColor theme="0" tint="-4.9989318521683403E-2"/>
                </patternFill>
              </fill>
            </x14:dxf>
          </x14:cfRule>
          <xm:sqref>AL54</xm:sqref>
        </x14:conditionalFormatting>
        <x14:conditionalFormatting xmlns:xm="http://schemas.microsoft.com/office/excel/2006/main">
          <x14:cfRule type="containsText" priority="5" operator="containsText" id="{B57B328C-79CC-432E-ABC0-B57017369F8B}">
            <xm:f>NOT(ISERROR(SEARCH("-",AL61)))</xm:f>
            <xm:f>"-"</xm:f>
            <x14:dxf>
              <fill>
                <patternFill>
                  <bgColor theme="0" tint="-4.9989318521683403E-2"/>
                </patternFill>
              </fill>
            </x14:dxf>
          </x14:cfRule>
          <xm:sqref>AL61</xm:sqref>
        </x14:conditionalFormatting>
        <x14:conditionalFormatting xmlns:xm="http://schemas.microsoft.com/office/excel/2006/main">
          <x14:cfRule type="containsText" priority="16" operator="containsText" id="{D7635643-5276-405D-AC3D-6A9456F38EC4}">
            <xm:f>NOT(ISERROR(SEARCH("-",AM16)))</xm:f>
            <xm:f>"-"</xm:f>
            <x14:dxf>
              <fill>
                <patternFill>
                  <bgColor theme="0" tint="-4.9989318521683403E-2"/>
                </patternFill>
              </fill>
            </x14:dxf>
          </x14:cfRule>
          <xm:sqref>AM16:AM23</xm:sqref>
        </x14:conditionalFormatting>
        <x14:conditionalFormatting xmlns:xm="http://schemas.microsoft.com/office/excel/2006/main">
          <x14:cfRule type="containsText" priority="15" operator="containsText" id="{F2FEE934-312E-4ADB-AF18-420ABC908C35}">
            <xm:f>NOT(ISERROR(SEARCH("-",AM25)))</xm:f>
            <xm:f>"-"</xm:f>
            <x14:dxf>
              <fill>
                <patternFill>
                  <bgColor theme="0" tint="-4.9989318521683403E-2"/>
                </patternFill>
              </fill>
            </x14:dxf>
          </x14:cfRule>
          <xm:sqref>AM25:AM28</xm:sqref>
        </x14:conditionalFormatting>
        <x14:conditionalFormatting xmlns:xm="http://schemas.microsoft.com/office/excel/2006/main">
          <x14:cfRule type="containsText" priority="14" operator="containsText" id="{216D6F87-FDAB-454F-9FA4-CAAB10B59768}">
            <xm:f>NOT(ISERROR(SEARCH("-",AM30)))</xm:f>
            <xm:f>"-"</xm:f>
            <x14:dxf>
              <fill>
                <patternFill>
                  <bgColor theme="0" tint="-4.9989318521683403E-2"/>
                </patternFill>
              </fill>
            </x14:dxf>
          </x14:cfRule>
          <xm:sqref>AM30:AM34</xm:sqref>
        </x14:conditionalFormatting>
        <x14:conditionalFormatting xmlns:xm="http://schemas.microsoft.com/office/excel/2006/main">
          <x14:cfRule type="containsText" priority="12" operator="containsText" id="{EE8FC962-6AF1-41EF-BE5E-7476066012B8}">
            <xm:f>NOT(ISERROR(SEARCH("-",AM40)))</xm:f>
            <xm:f>"-"</xm:f>
            <x14:dxf>
              <fill>
                <patternFill>
                  <bgColor theme="0" tint="-4.9989318521683403E-2"/>
                </patternFill>
              </fill>
            </x14:dxf>
          </x14:cfRule>
          <xm:sqref>AM40:AM45</xm:sqref>
        </x14:conditionalFormatting>
        <x14:conditionalFormatting xmlns:xm="http://schemas.microsoft.com/office/excel/2006/main">
          <x14:cfRule type="containsText" priority="11" operator="containsText" id="{6475FACC-2844-44EB-AB60-85FB3A647818}">
            <xm:f>NOT(ISERROR(SEARCH("-",AM48)))</xm:f>
            <xm:f>"-"</xm:f>
            <x14:dxf>
              <fill>
                <patternFill>
                  <bgColor theme="0" tint="-4.9989318521683403E-2"/>
                </patternFill>
              </fill>
            </x14:dxf>
          </x14:cfRule>
          <xm:sqref>AM48:AM51</xm:sqref>
        </x14:conditionalFormatting>
        <x14:conditionalFormatting xmlns:xm="http://schemas.microsoft.com/office/excel/2006/main">
          <x14:cfRule type="containsText" priority="10" operator="containsText" id="{F535B9A9-6D68-4D98-9318-5FCD0525BFC8}">
            <xm:f>NOT(ISERROR(SEARCH("-",AM53)))</xm:f>
            <xm:f>"-"</xm:f>
            <x14:dxf>
              <fill>
                <patternFill>
                  <bgColor theme="0" tint="-4.9989318521683403E-2"/>
                </patternFill>
              </fill>
            </x14:dxf>
          </x14:cfRule>
          <xm:sqref>AM53</xm:sqref>
        </x14:conditionalFormatting>
        <x14:conditionalFormatting xmlns:xm="http://schemas.microsoft.com/office/excel/2006/main">
          <x14:cfRule type="containsText" priority="9" operator="containsText" id="{3398F2BC-692E-47D8-9C44-BD6E8180A811}">
            <xm:f>NOT(ISERROR(SEARCH("-",AM60)))</xm:f>
            <xm:f>"-"</xm:f>
            <x14:dxf>
              <fill>
                <patternFill>
                  <bgColor theme="0" tint="-4.9989318521683403E-2"/>
                </patternFill>
              </fill>
            </x14:dxf>
          </x14:cfRule>
          <xm:sqref>AM60</xm:sqref>
        </x14:conditionalFormatting>
        <x14:conditionalFormatting xmlns:xm="http://schemas.microsoft.com/office/excel/2006/main">
          <x14:cfRule type="containsText" priority="3" operator="containsText" id="{A7F72738-D2B4-45A7-99A8-B21822B67116}">
            <xm:f>NOT(ISERROR(SEARCH("-",AM64)))</xm:f>
            <xm:f>"-"</xm:f>
            <x14:dxf>
              <fill>
                <patternFill>
                  <bgColor theme="0" tint="-4.9989318521683403E-2"/>
                </patternFill>
              </fill>
            </x14:dxf>
          </x14:cfRule>
          <xm:sqref>AM64:AM67</xm:sqref>
        </x14:conditionalFormatting>
        <x14:conditionalFormatting xmlns:xm="http://schemas.microsoft.com/office/excel/2006/main">
          <x14:cfRule type="containsText" priority="19" operator="containsText" id="{25AC5D9A-2B28-468D-B7C4-E22AB9A21B95}">
            <xm:f>NOT(ISERROR(SEARCH("-",AM74)))</xm:f>
            <xm:f>"-"</xm:f>
            <x14:dxf>
              <fill>
                <patternFill>
                  <bgColor theme="0" tint="-4.9989318521683403E-2"/>
                </patternFill>
              </fill>
            </x14:dxf>
          </x14:cfRule>
          <xm:sqref>AM74:AM75</xm:sqref>
        </x14:conditionalFormatting>
        <x14:conditionalFormatting xmlns:xm="http://schemas.microsoft.com/office/excel/2006/main">
          <x14:cfRule type="containsText" priority="1" operator="containsText" id="{7800B5D7-44CC-4597-829D-0B0BFAC257BD}">
            <xm:f>NOT(ISERROR(SEARCH("-",AW25)))</xm:f>
            <xm:f>"-"</xm:f>
            <x14:dxf>
              <fill>
                <patternFill>
                  <bgColor theme="0" tint="-4.9989318521683403E-2"/>
                </patternFill>
              </fill>
            </x14:dxf>
          </x14:cfRule>
          <xm:sqref>AW25:AW28</xm:sqref>
        </x14:conditionalFormatting>
        <x14:conditionalFormatting xmlns:xm="http://schemas.microsoft.com/office/excel/2006/main">
          <x14:cfRule type="containsText" priority="21" operator="containsText" id="{A13874DF-1952-4A99-BB22-46E1863B9E2F}">
            <xm:f>NOT(ISERROR(SEARCH("-",AN40)))</xm:f>
            <xm:f>"-"</xm:f>
            <x14:dxf>
              <fill>
                <patternFill>
                  <bgColor theme="0" tint="-4.9989318521683403E-2"/>
                </patternFill>
              </fill>
            </x14:dxf>
          </x14:cfRule>
          <xm:sqref>AW40:AW45 AW48:AW51 AW53 AW60 AN74:BD76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8F5B3-0764-4218-BB12-4DC76C365310}">
  <sheetPr>
    <tabColor theme="7" tint="0.59999389629810485"/>
  </sheetPr>
  <dimension ref="A1:FA469"/>
  <sheetViews>
    <sheetView topLeftCell="AP1" workbookViewId="0">
      <selection activeCell="BG17" sqref="BG17"/>
    </sheetView>
  </sheetViews>
  <sheetFormatPr defaultRowHeight="15" x14ac:dyDescent="0.25"/>
  <cols>
    <col min="1" max="1" width="7.42578125" customWidth="1"/>
    <col min="2" max="2" width="7.28515625" customWidth="1"/>
    <col min="3" max="3" width="6.7109375" customWidth="1"/>
    <col min="4" max="4" width="6" customWidth="1"/>
    <col min="5" max="5" width="5" customWidth="1"/>
    <col min="6" max="6" width="4.7109375" customWidth="1"/>
    <col min="9" max="9" width="18.85546875" customWidth="1"/>
    <col min="14" max="14" width="10.85546875" customWidth="1"/>
    <col min="15" max="33" width="9.28515625" bestFit="1" customWidth="1"/>
    <col min="34" max="34" width="10.28515625" bestFit="1" customWidth="1"/>
    <col min="35" max="35" width="10.42578125" customWidth="1"/>
    <col min="36" max="36" width="10.7109375" customWidth="1"/>
    <col min="37" max="37" width="10.28515625" customWidth="1"/>
    <col min="43" max="45" width="9.85546875" customWidth="1"/>
    <col min="51" max="51" width="10.28515625" bestFit="1" customWidth="1"/>
    <col min="52" max="52" width="13.28515625" customWidth="1"/>
    <col min="53" max="53" width="12.28515625" bestFit="1" customWidth="1"/>
    <col min="54" max="54" width="12.28515625" customWidth="1"/>
    <col min="55" max="55" width="12.5703125" customWidth="1"/>
    <col min="56" max="56" width="12.28515625" customWidth="1"/>
    <col min="57" max="57" width="13.140625" customWidth="1"/>
    <col min="58" max="58" width="12.28515625" customWidth="1"/>
    <col min="59" max="59" width="10.28515625" bestFit="1" customWidth="1"/>
    <col min="60" max="60" width="10.28515625" customWidth="1"/>
    <col min="61" max="61" width="11.5703125" customWidth="1"/>
    <col min="62" max="63" width="10.28515625" customWidth="1"/>
    <col min="64" max="64" width="11.28515625" customWidth="1"/>
    <col min="65" max="65" width="9.5703125" bestFit="1" customWidth="1"/>
    <col min="66" max="66" width="9.5703125" customWidth="1"/>
    <col min="67" max="67" width="10.42578125" customWidth="1"/>
    <col min="68" max="69" width="9.5703125" bestFit="1" customWidth="1"/>
    <col min="70" max="70" width="10.7109375" customWidth="1"/>
    <col min="71" max="71" width="9.5703125" customWidth="1"/>
    <col min="72" max="73" width="9.5703125" bestFit="1" customWidth="1"/>
    <col min="92" max="92" width="25.7109375" customWidth="1"/>
    <col min="93" max="93" width="16.7109375" bestFit="1" customWidth="1"/>
    <col min="94" max="94" width="16.7109375" customWidth="1"/>
    <col min="95" max="95" width="16.85546875" bestFit="1" customWidth="1"/>
    <col min="96" max="96" width="16.85546875" customWidth="1"/>
    <col min="97" max="98" width="16.7109375" bestFit="1" customWidth="1"/>
    <col min="99" max="99" width="9.5703125" bestFit="1" customWidth="1"/>
    <col min="100" max="100" width="14.140625" customWidth="1"/>
    <col min="101" max="101" width="14.7109375" style="132" customWidth="1"/>
    <col min="102" max="102" width="17.28515625" style="132" customWidth="1"/>
    <col min="103" max="103" width="14.7109375" style="132" customWidth="1"/>
    <col min="108" max="108" width="8.7109375" customWidth="1"/>
    <col min="109" max="109" width="10.140625" customWidth="1"/>
    <col min="134" max="134" width="10.42578125" customWidth="1"/>
    <col min="146" max="147" width="19.5703125" customWidth="1"/>
    <col min="148" max="148" width="10.42578125" customWidth="1"/>
  </cols>
  <sheetData>
    <row r="1" spans="1:157" ht="20.25" thickBot="1" x14ac:dyDescent="0.35">
      <c r="A1" s="97" t="s">
        <v>2214</v>
      </c>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c r="AF1" s="97"/>
      <c r="AG1" s="97"/>
      <c r="AH1" s="97"/>
      <c r="AI1" s="97"/>
      <c r="AJ1" s="97"/>
      <c r="AK1" s="97"/>
      <c r="AL1" s="97"/>
      <c r="AM1" s="97"/>
      <c r="AN1" s="97"/>
      <c r="AO1" s="97"/>
      <c r="AP1" s="97"/>
      <c r="AQ1" s="97"/>
      <c r="AR1" s="97"/>
      <c r="CW1"/>
      <c r="CX1"/>
      <c r="CY1"/>
    </row>
    <row r="2" spans="1:157" ht="15.75" thickTop="1" x14ac:dyDescent="0.25">
      <c r="Q2" s="98" t="s">
        <v>2215</v>
      </c>
      <c r="R2" s="98"/>
      <c r="S2" s="98"/>
      <c r="T2" s="98"/>
      <c r="U2" s="98"/>
      <c r="AJ2" s="99" t="s">
        <v>2216</v>
      </c>
      <c r="AK2" s="99"/>
      <c r="AL2" s="99"/>
      <c r="AM2" s="99"/>
      <c r="AN2" s="100"/>
      <c r="AO2" s="99"/>
      <c r="AP2" s="99"/>
      <c r="AQ2" s="99"/>
      <c r="AR2" s="99"/>
      <c r="AT2" s="98" t="s">
        <v>2217</v>
      </c>
      <c r="AU2" s="98"/>
      <c r="AV2" s="98"/>
      <c r="AW2" s="98"/>
      <c r="AX2" s="98"/>
      <c r="AY2" s="98"/>
      <c r="BN2" s="98" t="s">
        <v>2218</v>
      </c>
      <c r="BO2" s="98"/>
      <c r="BP2" s="98"/>
      <c r="BQ2" s="98"/>
      <c r="BR2" s="98"/>
      <c r="CU2" s="98" t="s">
        <v>2219</v>
      </c>
      <c r="CV2" s="98"/>
      <c r="CW2" s="98"/>
      <c r="CX2" s="101"/>
      <c r="CY2" s="101"/>
      <c r="CZ2" s="101"/>
      <c r="DA2" s="101"/>
      <c r="DB2" s="101"/>
      <c r="DC2" s="101"/>
      <c r="DD2" s="101"/>
      <c r="DK2" s="102" t="s">
        <v>2220</v>
      </c>
    </row>
    <row r="3" spans="1:157" x14ac:dyDescent="0.25">
      <c r="A3" t="s">
        <v>2221</v>
      </c>
      <c r="Q3" s="103" t="s">
        <v>2222</v>
      </c>
      <c r="R3" s="103" t="s">
        <v>2223</v>
      </c>
      <c r="S3" s="103"/>
      <c r="T3" s="103"/>
      <c r="U3" s="104"/>
      <c r="AG3" s="105"/>
      <c r="AH3" s="106"/>
      <c r="AJ3" s="107">
        <f>IF('[12]Overview NDCs'!$AU$2="EDGAR",IF('[12]Overview NDCs'!$AR$2="FAO",3200,IF('[12]Overview NDCs'!$AR$2="NGHGI",$AH$9,$AH$10)),IF('[12]Overview NDCs'!$AU$2="PRIMAP_CR",IF('[12]Overview NDCs'!$AR$2="FAO",AI8,IF('[12]Overview NDCs'!$AR$2="NGHGI",$AI$9,$AI$10)),IF('[12]Overview NDCs'!$AR$2="FAO",$AJ$8,IF('[12]Overview NDCs'!$AR$2="NGHGI",$AJ$9,$AJ$10))))</f>
        <v>6562</v>
      </c>
      <c r="AK3" s="108">
        <f>AK4-AK5</f>
        <v>6261.9840499420607</v>
      </c>
      <c r="AL3" s="109" t="s">
        <v>2224</v>
      </c>
      <c r="AT3" s="103" t="s">
        <v>2222</v>
      </c>
      <c r="AU3" s="103" t="s">
        <v>2223</v>
      </c>
      <c r="AV3" s="103"/>
      <c r="AW3" s="103"/>
      <c r="AX3" s="104"/>
      <c r="AY3" s="104"/>
      <c r="BN3" s="110"/>
      <c r="BO3" s="104" t="s">
        <v>2225</v>
      </c>
      <c r="BP3" s="104"/>
      <c r="BQ3" s="104"/>
      <c r="BR3" s="104"/>
      <c r="BT3" s="111"/>
      <c r="CU3" s="103" t="s">
        <v>2226</v>
      </c>
      <c r="CV3" s="103" t="s">
        <v>2227</v>
      </c>
      <c r="CW3" s="103" t="s">
        <v>2228</v>
      </c>
      <c r="CX3" s="103"/>
      <c r="CY3" s="104"/>
      <c r="CZ3" s="104"/>
      <c r="DA3" s="103"/>
      <c r="DB3" s="104"/>
      <c r="DC3" s="104"/>
      <c r="DD3" s="104"/>
      <c r="DK3" s="102" t="s">
        <v>2229</v>
      </c>
    </row>
    <row r="4" spans="1:157" x14ac:dyDescent="0.25">
      <c r="Q4" s="112"/>
      <c r="R4" s="103" t="s">
        <v>2230</v>
      </c>
      <c r="S4" s="104"/>
      <c r="T4" s="104"/>
      <c r="U4" s="104"/>
      <c r="AG4" s="105"/>
      <c r="AH4" s="106"/>
      <c r="AI4" s="113"/>
      <c r="AK4" s="106">
        <f>AVERAGE('[12]UNEP EGR'!I27,'[12]UNEP EGR'!I29)*1000</f>
        <v>51129.773200147356</v>
      </c>
      <c r="AL4" s="106" t="str">
        <f>AN258</f>
        <v>About 2015 emissions for the UNEP pathways 2019</v>
      </c>
      <c r="AQ4" t="s">
        <v>2231</v>
      </c>
      <c r="AT4" s="110"/>
      <c r="AU4" s="104" t="s">
        <v>2232</v>
      </c>
      <c r="AV4" s="104"/>
      <c r="AW4" s="104"/>
      <c r="AX4" s="104"/>
      <c r="AY4" s="104"/>
      <c r="BI4" s="114" t="s">
        <v>2233</v>
      </c>
      <c r="BN4" s="112"/>
      <c r="BO4" s="104" t="s">
        <v>2234</v>
      </c>
      <c r="BP4" s="104"/>
      <c r="BQ4" s="104"/>
      <c r="BR4" s="104"/>
      <c r="CU4" s="115">
        <f>COUNTIF($B$13:$B$238,CV4)</f>
        <v>4</v>
      </c>
      <c r="CV4" s="116" t="s">
        <v>2235</v>
      </c>
      <c r="CW4" s="104" t="s">
        <v>2236</v>
      </c>
      <c r="CX4" s="104"/>
      <c r="CY4" s="104"/>
      <c r="CZ4" s="104"/>
      <c r="DA4" s="104"/>
      <c r="DB4" s="104"/>
      <c r="DC4" s="104"/>
      <c r="DD4" s="104"/>
      <c r="DK4" s="102" t="s">
        <v>2237</v>
      </c>
    </row>
    <row r="5" spans="1:157" x14ac:dyDescent="0.25">
      <c r="R5" s="103" t="s">
        <v>2238</v>
      </c>
      <c r="AH5" s="111"/>
      <c r="AK5" s="106">
        <f>AM255</f>
        <v>44867.789150205295</v>
      </c>
      <c r="AL5" t="s">
        <v>2239</v>
      </c>
      <c r="AT5" s="117"/>
      <c r="AU5" s="104" t="s">
        <v>2240</v>
      </c>
      <c r="AV5" s="104"/>
      <c r="AW5" s="104"/>
      <c r="AX5" s="104"/>
      <c r="AY5" s="104"/>
      <c r="BA5" s="118"/>
      <c r="BB5" s="119" t="s">
        <v>2241</v>
      </c>
      <c r="BC5" t="s">
        <v>2242</v>
      </c>
      <c r="BI5" s="68" t="s">
        <v>2243</v>
      </c>
      <c r="BN5" s="120"/>
      <c r="BO5" s="104" t="s">
        <v>2232</v>
      </c>
      <c r="CU5" s="115">
        <f>COUNTIF($B$13:$B$238,CV5)</f>
        <v>11</v>
      </c>
      <c r="CV5" s="121" t="s">
        <v>2244</v>
      </c>
      <c r="CW5" s="104" t="s">
        <v>2245</v>
      </c>
      <c r="CX5" s="104"/>
      <c r="CY5" s="104"/>
      <c r="CZ5" s="104"/>
      <c r="DA5" s="104"/>
      <c r="DB5" s="104"/>
      <c r="DC5" s="104"/>
      <c r="DD5" s="104"/>
    </row>
    <row r="6" spans="1:157" x14ac:dyDescent="0.25">
      <c r="R6" s="68" t="s">
        <v>2246</v>
      </c>
      <c r="AH6" t="s">
        <v>2247</v>
      </c>
      <c r="AK6" s="114" t="s">
        <v>2233</v>
      </c>
      <c r="AN6" s="114" t="s">
        <v>2233</v>
      </c>
      <c r="AT6" s="104" t="s">
        <v>2248</v>
      </c>
      <c r="AU6" s="115" t="s">
        <v>2249</v>
      </c>
      <c r="AV6" s="104"/>
      <c r="AW6" s="104"/>
      <c r="AX6" s="104"/>
      <c r="AY6" s="104"/>
      <c r="BB6" s="109" t="s">
        <v>2250</v>
      </c>
      <c r="BI6" s="68" t="s">
        <v>2251</v>
      </c>
      <c r="BO6" t="s">
        <v>2252</v>
      </c>
      <c r="CU6" s="115">
        <f>COUNTIF($B$13:$B$238,CV6)</f>
        <v>7</v>
      </c>
      <c r="CV6" s="122" t="s">
        <v>2253</v>
      </c>
      <c r="CW6" s="104" t="s">
        <v>2254</v>
      </c>
      <c r="CX6" s="104"/>
      <c r="CY6" s="104"/>
      <c r="CZ6" s="104"/>
      <c r="DA6" s="104"/>
      <c r="DB6" s="104"/>
      <c r="DC6" s="104"/>
      <c r="DD6" s="104"/>
    </row>
    <row r="7" spans="1:157" x14ac:dyDescent="0.25">
      <c r="Q7" s="123"/>
      <c r="R7" t="s">
        <v>2255</v>
      </c>
      <c r="AH7" t="s">
        <v>2256</v>
      </c>
      <c r="AI7" t="s">
        <v>2257</v>
      </c>
      <c r="AJ7" t="s">
        <v>2258</v>
      </c>
      <c r="AK7" s="124" t="s">
        <v>2259</v>
      </c>
      <c r="AL7" s="125" t="s">
        <v>2260</v>
      </c>
      <c r="BI7" s="124" t="s">
        <v>2259</v>
      </c>
      <c r="BN7" s="122"/>
      <c r="BO7" t="s">
        <v>2261</v>
      </c>
      <c r="CU7" s="115">
        <f>COUNTIF($B$13:$B$238,CV7)</f>
        <v>10</v>
      </c>
      <c r="CV7" s="126" t="s">
        <v>2262</v>
      </c>
      <c r="CW7" s="104" t="s">
        <v>2263</v>
      </c>
      <c r="CX7" s="104"/>
      <c r="CY7" s="104"/>
      <c r="CZ7" s="104"/>
      <c r="DA7" s="104"/>
      <c r="DB7" s="104"/>
      <c r="DC7" s="104"/>
      <c r="DD7" s="104"/>
    </row>
    <row r="8" spans="1:157" x14ac:dyDescent="0.25">
      <c r="Q8" s="120"/>
      <c r="R8" t="s">
        <v>2264</v>
      </c>
      <c r="AG8" t="s">
        <v>2265</v>
      </c>
      <c r="AH8" s="127">
        <v>3224</v>
      </c>
      <c r="AI8" s="127">
        <v>3463.5658282310615</v>
      </c>
      <c r="AJ8" s="127">
        <v>3163.6669164199266</v>
      </c>
      <c r="AL8" s="125" t="s">
        <v>2266</v>
      </c>
      <c r="AT8" s="128"/>
      <c r="AU8" t="s">
        <v>2267</v>
      </c>
      <c r="BI8" s="129">
        <v>2021</v>
      </c>
      <c r="BJ8">
        <v>2015</v>
      </c>
      <c r="CU8" s="115">
        <f>COUNTIF($B$13:$B$238,CV8)</f>
        <v>193</v>
      </c>
      <c r="CV8" s="125" t="s">
        <v>621</v>
      </c>
      <c r="CW8" s="104" t="s">
        <v>2268</v>
      </c>
      <c r="CX8" s="104"/>
      <c r="CY8" s="104"/>
      <c r="CZ8" s="104"/>
      <c r="DA8" s="104"/>
      <c r="DB8" s="104"/>
      <c r="DC8" s="104"/>
      <c r="DD8" s="104"/>
    </row>
    <row r="9" spans="1:157" x14ac:dyDescent="0.25">
      <c r="AG9" t="s">
        <v>2269</v>
      </c>
      <c r="AH9" s="127">
        <f>6086+300</f>
        <v>6386</v>
      </c>
      <c r="AI9" s="127">
        <f>6262+300</f>
        <v>6562</v>
      </c>
      <c r="AJ9" s="127">
        <f>5309+300</f>
        <v>5609</v>
      </c>
      <c r="BJ9">
        <v>2018</v>
      </c>
      <c r="CW9"/>
      <c r="CX9"/>
      <c r="CY9"/>
    </row>
    <row r="10" spans="1:157" ht="15" customHeight="1" x14ac:dyDescent="0.25">
      <c r="AG10" t="s">
        <v>2258</v>
      </c>
      <c r="AH10" s="127">
        <v>3273</v>
      </c>
      <c r="AI10" s="127">
        <v>3512.6756575965701</v>
      </c>
      <c r="AJ10" s="127">
        <v>3212.7742255806152</v>
      </c>
      <c r="BA10" s="68" t="s">
        <v>2270</v>
      </c>
      <c r="BG10" s="130"/>
      <c r="BI10" s="68" t="s">
        <v>2271</v>
      </c>
      <c r="BJ10">
        <v>2021</v>
      </c>
      <c r="CW10"/>
      <c r="CX10"/>
      <c r="CY10"/>
      <c r="DK10" s="131" t="s">
        <v>2272</v>
      </c>
      <c r="DL10" s="131"/>
      <c r="DM10" s="131"/>
      <c r="DN10" s="131"/>
      <c r="DO10" s="68" t="s">
        <v>2271</v>
      </c>
      <c r="DS10" t="s">
        <v>2273</v>
      </c>
      <c r="DY10" s="130"/>
      <c r="ET10" s="592" t="s">
        <v>511</v>
      </c>
      <c r="EU10" s="592" t="s">
        <v>33</v>
      </c>
      <c r="EX10" s="592" t="s">
        <v>36</v>
      </c>
      <c r="EY10" s="592" t="s">
        <v>37</v>
      </c>
      <c r="FA10" s="132"/>
    </row>
    <row r="11" spans="1:157" x14ac:dyDescent="0.25">
      <c r="A11" t="s">
        <v>2274</v>
      </c>
      <c r="I11" t="s">
        <v>2275</v>
      </c>
      <c r="AT11" s="133" t="s">
        <v>2276</v>
      </c>
      <c r="AU11" s="134"/>
      <c r="AV11" s="135"/>
      <c r="AW11" s="136" t="s">
        <v>2277</v>
      </c>
      <c r="AX11" s="137"/>
      <c r="AY11" s="138" t="s">
        <v>2278</v>
      </c>
      <c r="AZ11" s="139"/>
      <c r="BA11" s="140" t="s">
        <v>2279</v>
      </c>
      <c r="BB11" s="140"/>
      <c r="BC11" s="140" t="s">
        <v>2280</v>
      </c>
      <c r="BD11" s="140"/>
      <c r="BE11" s="140" t="s">
        <v>43</v>
      </c>
      <c r="BF11" s="140"/>
      <c r="BG11" s="141" t="s">
        <v>45</v>
      </c>
      <c r="BH11" s="142"/>
      <c r="BI11" s="140" t="s">
        <v>43</v>
      </c>
      <c r="BJ11" s="140"/>
      <c r="BK11" s="141" t="s">
        <v>45</v>
      </c>
      <c r="BL11" s="142"/>
      <c r="BM11" s="143" t="s">
        <v>2281</v>
      </c>
      <c r="BN11" s="143"/>
      <c r="BO11" s="143"/>
      <c r="BP11" s="143" t="s">
        <v>2282</v>
      </c>
      <c r="BQ11" s="143"/>
      <c r="BR11" s="143"/>
      <c r="BS11" s="143" t="s">
        <v>2283</v>
      </c>
      <c r="BT11" s="143"/>
      <c r="BU11" s="144"/>
      <c r="BV11" s="145" t="s">
        <v>2284</v>
      </c>
      <c r="BW11" s="145"/>
      <c r="BX11" s="145"/>
      <c r="BY11" s="145"/>
      <c r="BZ11" s="145"/>
      <c r="CA11" s="145"/>
      <c r="CB11" s="145"/>
      <c r="CC11" s="145"/>
      <c r="CD11" s="145"/>
      <c r="CE11" s="146" t="s">
        <v>2285</v>
      </c>
      <c r="CF11" s="146"/>
      <c r="CG11" s="146"/>
      <c r="CH11" s="146"/>
      <c r="CI11" s="146"/>
      <c r="CJ11" s="146"/>
      <c r="CK11" s="146"/>
      <c r="CL11" s="146"/>
      <c r="CM11" s="146"/>
      <c r="CO11" s="140" t="s">
        <v>43</v>
      </c>
      <c r="CP11" s="140"/>
      <c r="CQ11" s="141" t="s">
        <v>45</v>
      </c>
      <c r="CR11" s="142"/>
      <c r="CS11" s="147" t="s">
        <v>2286</v>
      </c>
      <c r="CT11" s="147"/>
      <c r="CU11" s="147"/>
      <c r="CV11" s="147" t="s">
        <v>2287</v>
      </c>
      <c r="CW11" s="147"/>
      <c r="CX11" t="s">
        <v>519</v>
      </c>
      <c r="CY11" s="148" t="s">
        <v>2288</v>
      </c>
      <c r="DA11" s="131" t="s">
        <v>2289</v>
      </c>
      <c r="DB11" s="131"/>
      <c r="DC11" s="131"/>
      <c r="DD11" s="131"/>
      <c r="DE11" s="131"/>
      <c r="DF11" s="131"/>
      <c r="DI11" s="140" t="str">
        <f>AY11</f>
        <v>2020 pledges</v>
      </c>
      <c r="DJ11" s="140"/>
      <c r="DK11" s="140" t="str">
        <f>BA11</f>
        <v>2025 unconditional NDCs</v>
      </c>
      <c r="DL11" s="140"/>
      <c r="DM11" s="140" t="str">
        <f>BE11</f>
        <v>2030 unconditional NDCs</v>
      </c>
      <c r="DN11" s="142"/>
      <c r="DS11" s="133" t="s">
        <v>2290</v>
      </c>
      <c r="DT11" s="135"/>
      <c r="DW11" s="140" t="s">
        <v>43</v>
      </c>
      <c r="DX11" s="140"/>
      <c r="DY11" s="141" t="s">
        <v>45</v>
      </c>
      <c r="DZ11" s="142"/>
      <c r="EP11" t="s">
        <v>2275</v>
      </c>
      <c r="EQ11" s="149" t="s">
        <v>29</v>
      </c>
      <c r="ER11" s="149" t="s">
        <v>509</v>
      </c>
      <c r="ES11" s="149" t="s">
        <v>510</v>
      </c>
      <c r="ET11" s="593"/>
      <c r="EU11" s="593" t="s">
        <v>34</v>
      </c>
      <c r="EV11" s="149" t="s">
        <v>34</v>
      </c>
      <c r="EW11" s="149" t="s">
        <v>2291</v>
      </c>
      <c r="EX11" s="593"/>
      <c r="EY11" s="593" t="s">
        <v>34</v>
      </c>
      <c r="EZ11" s="149" t="s">
        <v>38</v>
      </c>
      <c r="FA11" s="150" t="s">
        <v>2292</v>
      </c>
    </row>
    <row r="12" spans="1:157" x14ac:dyDescent="0.25">
      <c r="A12" s="130" t="s">
        <v>1</v>
      </c>
      <c r="B12" s="151" t="s">
        <v>2293</v>
      </c>
      <c r="C12" s="130" t="s">
        <v>2294</v>
      </c>
      <c r="D12" s="130" t="s">
        <v>22</v>
      </c>
      <c r="E12" s="130" t="s">
        <v>23</v>
      </c>
      <c r="F12" s="130" t="s">
        <v>2295</v>
      </c>
      <c r="G12" s="130" t="s">
        <v>2296</v>
      </c>
      <c r="H12" s="130" t="s">
        <v>2297</v>
      </c>
      <c r="I12" s="130" t="s">
        <v>50</v>
      </c>
      <c r="J12" s="130" t="s">
        <v>24</v>
      </c>
      <c r="K12" s="130" t="s">
        <v>25</v>
      </c>
      <c r="L12" s="130" t="s">
        <v>26</v>
      </c>
      <c r="M12" s="130" t="s">
        <v>27</v>
      </c>
      <c r="N12" s="152">
        <v>1990</v>
      </c>
      <c r="O12" s="152">
        <v>1991</v>
      </c>
      <c r="P12" s="152">
        <v>1992</v>
      </c>
      <c r="Q12" s="152">
        <v>1993</v>
      </c>
      <c r="R12" s="152">
        <v>1994</v>
      </c>
      <c r="S12" s="152">
        <v>1995</v>
      </c>
      <c r="T12" s="152">
        <v>1996</v>
      </c>
      <c r="U12" s="152">
        <v>1997</v>
      </c>
      <c r="V12" s="152">
        <v>1998</v>
      </c>
      <c r="W12" s="152">
        <v>1999</v>
      </c>
      <c r="X12" s="152">
        <v>2000</v>
      </c>
      <c r="Y12" s="152">
        <v>2001</v>
      </c>
      <c r="Z12" s="152">
        <v>2002</v>
      </c>
      <c r="AA12" s="152">
        <v>2003</v>
      </c>
      <c r="AB12" s="152">
        <v>2004</v>
      </c>
      <c r="AC12" s="152">
        <v>2005</v>
      </c>
      <c r="AD12" s="152">
        <v>2006</v>
      </c>
      <c r="AE12" s="152">
        <v>2007</v>
      </c>
      <c r="AF12" s="152">
        <v>2008</v>
      </c>
      <c r="AG12" s="152">
        <v>2009</v>
      </c>
      <c r="AH12" s="152">
        <v>2010</v>
      </c>
      <c r="AI12" s="152">
        <v>2011</v>
      </c>
      <c r="AJ12" s="152">
        <v>2012</v>
      </c>
      <c r="AK12" s="152">
        <v>2013</v>
      </c>
      <c r="AL12" s="152">
        <v>2014</v>
      </c>
      <c r="AM12" s="152">
        <v>2015</v>
      </c>
      <c r="AN12" s="152">
        <v>2016</v>
      </c>
      <c r="AO12" s="152">
        <v>2017</v>
      </c>
      <c r="AP12" s="152">
        <v>2018</v>
      </c>
      <c r="AQ12" s="152">
        <v>2019</v>
      </c>
      <c r="AR12" s="152">
        <v>2020</v>
      </c>
      <c r="AS12" s="152">
        <v>2021</v>
      </c>
      <c r="AT12" s="153" t="s">
        <v>2298</v>
      </c>
      <c r="AU12" s="130" t="s">
        <v>2299</v>
      </c>
      <c r="AV12" s="154" t="s">
        <v>2300</v>
      </c>
      <c r="AW12" s="130" t="s">
        <v>2301</v>
      </c>
      <c r="AX12" s="154" t="s">
        <v>2302</v>
      </c>
      <c r="AY12" t="s">
        <v>2303</v>
      </c>
      <c r="AZ12" s="155" t="s">
        <v>2304</v>
      </c>
      <c r="BA12" t="s">
        <v>2305</v>
      </c>
      <c r="BB12" t="s">
        <v>2306</v>
      </c>
      <c r="BC12" t="s">
        <v>2305</v>
      </c>
      <c r="BD12" t="s">
        <v>2306</v>
      </c>
      <c r="BE12" t="s">
        <v>2305</v>
      </c>
      <c r="BF12" t="s">
        <v>2306</v>
      </c>
      <c r="BG12" t="s">
        <v>2305</v>
      </c>
      <c r="BH12" s="155" t="s">
        <v>2306</v>
      </c>
      <c r="BI12" t="s">
        <v>2305</v>
      </c>
      <c r="BJ12" t="s">
        <v>2306</v>
      </c>
      <c r="BK12" t="s">
        <v>2305</v>
      </c>
      <c r="BL12" s="155" t="s">
        <v>2306</v>
      </c>
      <c r="BM12" t="s">
        <v>2307</v>
      </c>
      <c r="BN12" t="s">
        <v>2308</v>
      </c>
      <c r="BO12" t="s">
        <v>2309</v>
      </c>
      <c r="BP12" t="s">
        <v>2310</v>
      </c>
      <c r="BQ12" t="s">
        <v>2311</v>
      </c>
      <c r="BR12" t="s">
        <v>2312</v>
      </c>
      <c r="BS12" t="s">
        <v>2313</v>
      </c>
      <c r="BT12" t="s">
        <v>2314</v>
      </c>
      <c r="BU12" s="155" t="s">
        <v>2315</v>
      </c>
      <c r="BV12" s="132">
        <v>2020</v>
      </c>
      <c r="BW12" s="132">
        <v>2020</v>
      </c>
      <c r="BX12" s="132">
        <v>2020</v>
      </c>
      <c r="BY12" s="132">
        <v>2025</v>
      </c>
      <c r="BZ12" s="132">
        <v>2025</v>
      </c>
      <c r="CA12" s="132">
        <v>2025</v>
      </c>
      <c r="CB12" s="132">
        <v>2030</v>
      </c>
      <c r="CC12" s="132">
        <v>2030</v>
      </c>
      <c r="CD12" s="132">
        <v>2030</v>
      </c>
      <c r="CE12" s="132">
        <v>2020</v>
      </c>
      <c r="CF12" s="132">
        <v>2020</v>
      </c>
      <c r="CG12" s="132">
        <v>2020</v>
      </c>
      <c r="CH12" s="132">
        <v>2025</v>
      </c>
      <c r="CI12" s="132">
        <v>2025</v>
      </c>
      <c r="CJ12" s="132">
        <v>2025</v>
      </c>
      <c r="CK12" s="132">
        <v>2030</v>
      </c>
      <c r="CL12" s="132">
        <v>2030</v>
      </c>
      <c r="CM12" s="132">
        <v>2030</v>
      </c>
      <c r="CN12" s="130" t="s">
        <v>50</v>
      </c>
      <c r="CO12" t="s">
        <v>2305</v>
      </c>
      <c r="CP12" t="s">
        <v>2306</v>
      </c>
      <c r="CQ12" t="s">
        <v>2305</v>
      </c>
      <c r="CR12" s="155" t="s">
        <v>2306</v>
      </c>
      <c r="CS12" t="s">
        <v>2303</v>
      </c>
      <c r="CT12" t="s">
        <v>2304</v>
      </c>
      <c r="CU12" t="s">
        <v>2316</v>
      </c>
      <c r="CV12" t="s">
        <v>2303</v>
      </c>
      <c r="CW12" t="s">
        <v>2304</v>
      </c>
      <c r="CX12" t="s">
        <v>2317</v>
      </c>
      <c r="CY12" s="118">
        <v>2020</v>
      </c>
      <c r="DA12" t="s">
        <v>2318</v>
      </c>
      <c r="DB12" t="s">
        <v>2319</v>
      </c>
      <c r="DC12" t="s">
        <v>2320</v>
      </c>
      <c r="DD12" t="s">
        <v>2321</v>
      </c>
      <c r="DE12" t="s">
        <v>2322</v>
      </c>
      <c r="DF12" t="s">
        <v>2323</v>
      </c>
      <c r="DG12" t="s">
        <v>27</v>
      </c>
      <c r="DI12" t="str">
        <f>AY12</f>
        <v>Unconditional</v>
      </c>
      <c r="DJ12" t="str">
        <f>AZ12</f>
        <v>Conditional</v>
      </c>
      <c r="DK12" t="str">
        <f>BA12</f>
        <v>Low</v>
      </c>
      <c r="DL12" t="str">
        <f>BC12</f>
        <v>Low</v>
      </c>
      <c r="DM12" s="156" t="s">
        <v>2324</v>
      </c>
      <c r="DN12" t="s">
        <v>2325</v>
      </c>
      <c r="DO12" s="156" t="s">
        <v>2324</v>
      </c>
      <c r="DP12" t="s">
        <v>2325</v>
      </c>
      <c r="DQ12" t="s">
        <v>2322</v>
      </c>
      <c r="DR12" t="s">
        <v>2323</v>
      </c>
      <c r="DS12" s="157" t="s">
        <v>2326</v>
      </c>
      <c r="DT12" s="155" t="s">
        <v>2327</v>
      </c>
      <c r="DW12" t="s">
        <v>2305</v>
      </c>
      <c r="DX12" t="s">
        <v>2306</v>
      </c>
      <c r="DY12" t="s">
        <v>2305</v>
      </c>
      <c r="DZ12" s="155" t="s">
        <v>2306</v>
      </c>
      <c r="EP12" t="s">
        <v>50</v>
      </c>
      <c r="EQ12" s="105" t="s">
        <v>51</v>
      </c>
      <c r="ER12" s="132">
        <v>2021</v>
      </c>
      <c r="ES12" s="158">
        <v>2050</v>
      </c>
      <c r="ET12" s="158">
        <v>2050</v>
      </c>
      <c r="EU12" s="158">
        <v>2050</v>
      </c>
      <c r="EV12" s="158">
        <v>2050</v>
      </c>
      <c r="EW12" s="158">
        <v>2050</v>
      </c>
      <c r="EX12" s="158"/>
      <c r="EY12" s="158">
        <v>2050</v>
      </c>
      <c r="EZ12" s="158">
        <v>2050</v>
      </c>
      <c r="FA12" s="158"/>
    </row>
    <row r="13" spans="1:157" x14ac:dyDescent="0.25">
      <c r="A13" t="str">
        <f>IF([12]NDCs!C15="","",[12]NDCs!C15)</f>
        <v>B</v>
      </c>
      <c r="B13" s="159" t="str">
        <f t="shared" ref="B13:B76" si="0">CV13</f>
        <v>v</v>
      </c>
      <c r="C13">
        <v>0</v>
      </c>
      <c r="D13">
        <v>0</v>
      </c>
      <c r="E13">
        <v>0</v>
      </c>
      <c r="F13">
        <v>1</v>
      </c>
      <c r="G13" t="b">
        <f t="shared" ref="G13:G76" si="1">IF(OR(A13="",A13="G"),FALSE,TRUE)</f>
        <v>1</v>
      </c>
      <c r="H13" t="s">
        <v>2328</v>
      </c>
      <c r="I13" t="s">
        <v>55</v>
      </c>
      <c r="J13">
        <v>4</v>
      </c>
      <c r="K13">
        <v>1</v>
      </c>
      <c r="L13">
        <v>25</v>
      </c>
      <c r="M13" t="str">
        <f>IF([12]NDCs!AL15="Excluding","excl","incl")</f>
        <v>excl</v>
      </c>
      <c r="N13" s="160">
        <f>[12]GHG_hist!BA3+IF($M13="incl",[12]LULUCF_hist!CR3,0)</f>
        <v>18.086314999999999</v>
      </c>
      <c r="O13" s="111">
        <f>[12]GHG_hist!BB3+IF($M13="incl",[12]LULUCF_hist!CS3,0)</f>
        <v>16.954673</v>
      </c>
      <c r="P13" s="111">
        <f>[12]GHG_hist!BC3+IF($M13="incl",[12]LULUCF_hist!CT3,0)</f>
        <v>15.017877</v>
      </c>
      <c r="Q13" s="111">
        <f>[12]GHG_hist!BD3+IF($M13="incl",[12]LULUCF_hist!CU3,0)</f>
        <v>15.283719</v>
      </c>
      <c r="R13" s="111">
        <f>[12]GHG_hist!BE3+IF($M13="incl",[12]LULUCF_hist!CV3,0)</f>
        <v>15.342984000000001</v>
      </c>
      <c r="S13" s="111">
        <f>[12]GHG_hist!BF3+IF($M13="incl",[12]LULUCF_hist!CW3,0)</f>
        <v>15.609591</v>
      </c>
      <c r="T13" s="111">
        <f>[12]GHG_hist!BG3+IF($M13="incl",[12]LULUCF_hist!CX3,0)</f>
        <v>17.196484000000002</v>
      </c>
      <c r="U13" s="111">
        <f>[12]GHG_hist!BH3+IF($M13="incl",[12]LULUCF_hist!CY3,0)</f>
        <v>18.181294999999999</v>
      </c>
      <c r="V13" s="111">
        <f>[12]GHG_hist!BI3+IF($M13="incl",[12]LULUCF_hist!CZ3,0)</f>
        <v>18.728667000000002</v>
      </c>
      <c r="W13" s="111">
        <f>[12]GHG_hist!BJ3+IF($M13="incl",[12]LULUCF_hist!DA3,0)</f>
        <v>18.419819</v>
      </c>
      <c r="X13" s="111">
        <f>[12]GHG_hist!BK3+IF($M13="incl",[12]LULUCF_hist!DB3,0)</f>
        <v>15.72397</v>
      </c>
      <c r="Y13" s="111">
        <f>[12]GHG_hist!BL3+IF($M13="incl",[12]LULUCF_hist!DC3,0)</f>
        <v>14.503325999999999</v>
      </c>
      <c r="Z13" s="111">
        <f>[12]GHG_hist!BM3+IF($M13="incl",[12]LULUCF_hist!DD3,0)</f>
        <v>18.330708999999999</v>
      </c>
      <c r="AA13" s="111">
        <f>[12]GHG_hist!BN3+IF($M13="incl",[12]LULUCF_hist!DE3,0)</f>
        <v>20.357612000000003</v>
      </c>
      <c r="AB13" s="111">
        <f>[12]GHG_hist!BO3+IF($M13="incl",[12]LULUCF_hist!DF3,0)</f>
        <v>20.407147000000002</v>
      </c>
      <c r="AC13" s="111">
        <f>[12]GHG_hist!BP3+IF($M13="incl",[12]LULUCF_hist!DG3,0)</f>
        <v>22.744426000000001</v>
      </c>
      <c r="AD13" s="111">
        <f>[12]GHG_hist!BQ3+IF($M13="incl",[12]LULUCF_hist!DH3,0)</f>
        <v>23.160636</v>
      </c>
      <c r="AE13" s="111">
        <f>[12]GHG_hist!BR3+IF($M13="incl",[12]LULUCF_hist!DI3,0)</f>
        <v>25.992419999999999</v>
      </c>
      <c r="AF13" s="111">
        <f>[12]GHG_hist!BS3+IF($M13="incl",[12]LULUCF_hist!DJ3,0)</f>
        <v>27.630809000000003</v>
      </c>
      <c r="AG13" s="111">
        <f>[12]GHG_hist!BT3+IF($M13="incl",[12]LULUCF_hist!DK3,0)</f>
        <v>32.137675000000002</v>
      </c>
      <c r="AH13" s="111">
        <f>[12]GHG_hist!BU3+IF($M13="incl",[12]LULUCF_hist!DL3,0)</f>
        <v>36.452883</v>
      </c>
      <c r="AI13" s="111">
        <f>[12]GHG_hist!BV3+IF($M13="incl",[12]LULUCF_hist!DM3,0)</f>
        <v>36.160213000000006</v>
      </c>
      <c r="AJ13" s="111">
        <f>[12]GHG_hist!BW3+IF($M13="incl",[12]LULUCF_hist!DN3,0)</f>
        <v>40.289436000000002</v>
      </c>
      <c r="AK13" s="111">
        <f>[12]GHG_hist!BX3+IF($M13="incl",[12]LULUCF_hist!DO3,0)</f>
        <v>41.381219000000002</v>
      </c>
      <c r="AL13" s="111">
        <f>[12]GHG_hist!BY3+IF($M13="incl",[12]LULUCF_hist!DP3,0)</f>
        <v>42.608703999999996</v>
      </c>
      <c r="AM13" s="111">
        <f>[12]GHG_hist!BZ3+IF($M13="incl",[12]LULUCF_hist!DQ3,0)</f>
        <v>42.446052999999999</v>
      </c>
      <c r="AN13" s="111">
        <f>[12]GHG_hist!CA3+IF($M13="incl",[12]LULUCF_hist!DR3,0)</f>
        <v>43.396172</v>
      </c>
      <c r="AO13" s="111">
        <f>[12]GHG_hist!CB3+IF($M13="incl",[12]LULUCF_hist!DS3,0)</f>
        <v>44.053927999999999</v>
      </c>
      <c r="AP13" s="111">
        <f>[12]GHG_hist!CC3+IF($M13="incl",[12]LULUCF_hist!DT3,0)</f>
        <v>44.557264000000004</v>
      </c>
      <c r="AQ13" s="111">
        <f>[12]GHG_hist!CD3+IF($M13="incl",[12]LULUCF_hist!DU3,0)</f>
        <v>46.075868</v>
      </c>
      <c r="AR13" s="111">
        <f>[12]GHG_hist!CE3+IF($M13="incl",[12]LULUCF_hist!DV3,0)</f>
        <v>47.406525000000002</v>
      </c>
      <c r="AS13" s="111">
        <f>[12]GHG_hist!CF3+IF($M13="incl",[12]LULUCF_hist!DW3,0)</f>
        <v>48.204461000000002</v>
      </c>
      <c r="AT13" s="161">
        <f>VLOOKUP($L13,'[12]IMAGE SSP2'!$AF$3:$AK$29,4,FALSE)*$AM13</f>
        <v>49.794814861761495</v>
      </c>
      <c r="AU13" s="162">
        <f>VLOOKUP($L13,'[12]IMAGE SSP2'!$AF$3:$AK$29,5,FALSE)*$AM13</f>
        <v>57.84212951987287</v>
      </c>
      <c r="AV13" s="163">
        <f>VLOOKUP($L13,'[12]IMAGE SSP2'!$AF$3:$AK$29,6,FALSE)*$AM13</f>
        <v>65.021145128830639</v>
      </c>
      <c r="AW13" s="111">
        <f>IF(A13="B",AM13+(AX13-AM13)*0.33333,"")</f>
        <v>44.610527021709999</v>
      </c>
      <c r="AX13" s="164">
        <f>IF(A13="B",IF(M13="excl",[12]NatCom!CO3,[12]NatCom!AX3),"")</f>
        <v>48.939540000000001</v>
      </c>
      <c r="AY13" s="111" t="str">
        <f>IF('[12]Pledge 2020'!E3="","",'[12]Pledge 2020'!E3)</f>
        <v/>
      </c>
      <c r="AZ13" s="164" t="str">
        <f>IF('[12]Pledge 2020'!F3="","",'[12]Pledge 2020'!F3)</f>
        <v/>
      </c>
      <c r="BA13" s="111" t="str">
        <f>IF(BE13="","",(BE13-AH13)*0.75+AH13)</f>
        <v/>
      </c>
      <c r="BB13" s="111"/>
      <c r="BC13" s="111">
        <f>IF(BG13="","",(BG13-AH13)*0.75+AH13)</f>
        <v>40.82604267</v>
      </c>
      <c r="BD13" s="111">
        <f>IF(BH13="","",(BH13-AH13)*0.75+AH13)</f>
        <v>40.82604267</v>
      </c>
      <c r="BE13" s="111" t="s">
        <v>2477</v>
      </c>
      <c r="BF13" s="111"/>
      <c r="BG13" s="111">
        <v>42.28376256</v>
      </c>
      <c r="BH13" s="111">
        <v>42.28376256</v>
      </c>
      <c r="BI13" s="111" t="str">
        <f>IF([12]NDCs!V15="",IF([12]NDCs!X15="","",[12]NDCs!X15),[12]NDCs!V15)</f>
        <v/>
      </c>
      <c r="BJ13" s="111" t="str">
        <f>IF([12]NDCs!V15="",IF([12]NDCs!X15="","",[12]NDCs!X15),[12]NDCs!V15)</f>
        <v/>
      </c>
      <c r="BK13" s="111">
        <f>IF([12]NDCs!Z15="",IF([12]NDCs!AB15="",IF('input site'!BE13="","",'input site'!BE13),[12]NDCs!AB15),[12]NDCs!Z15)</f>
        <v>42.28376256</v>
      </c>
      <c r="BL13" s="111">
        <f>IF([12]NDCs!AA15="",IF([12]NDCs!AC15="",IF('input site'!BF13="","",'input site'!BF13),[12]NDCs!AC15),[12]NDCs!AA15)</f>
        <v>42.28376256</v>
      </c>
      <c r="BM13" s="111">
        <f>IF($BI$8=2015,VLOOKUP($L13,'[12]IMAGE CurPol SSP'!$AZ$3:$BD$29,4,FALSE)*$AM13,IF($BI$8=2018,VLOOKUP($L13,'[12]IMAGE CurPol SSP'!$BJ$3:$BN$29,4,FALSE)*$AP13,$AR13))</f>
        <v>47.406525000000002</v>
      </c>
      <c r="BN13" s="111">
        <f>IF($BI$8=2015,"",IF($BI$8=2018,"",$AR13))</f>
        <v>47.406525000000002</v>
      </c>
      <c r="BO13" s="111">
        <f>IF($BI$8=2015,"",IF($BI$8=2018,"",$AR13))</f>
        <v>47.406525000000002</v>
      </c>
      <c r="BP13" s="111">
        <f>IF($BI$8=2015,VLOOKUP($L13,'[12]IMAGE CurPol SSP'!$AZ$3:$BD$29,5,FALSE)*$AM13,IF($BI$8=2018,VLOOKUP($L13,'[12]IMAGE CurPol SSP'!$BJ$3:$BN$29,5,FALSE)*$AP13,VLOOKUP($L13,'[12]IMAGE CurPol SSP'!$BU$3:$BZ$29,5,FALSE)*$AS13))</f>
        <v>51.636343750067688</v>
      </c>
      <c r="BQ13" s="111">
        <f>IF($BI$8=2015,"",IF($BI$8=2018,"",VLOOKUP($L13,'[12]IMAGE CurPol SSP'!$CQ$3:$CV$29,5,FALSE)*$AS13))</f>
        <v>51.168205732968808</v>
      </c>
      <c r="BR13" s="111">
        <f>IF($BI$8=2015,"",IF($BI$8=2018,"",VLOOKUP($L13,'[12]IMAGE CurPol SSP'!$CF$3:$CK$29,5,FALSE)*$AS13))</f>
        <v>52.011317990046891</v>
      </c>
      <c r="BS13" s="111">
        <f>IF($BI$8=2015,VLOOKUP($L13,'[12]IMAGE CurPol SSP'!$AZ$3:$BE$29,6,FALSE)*$AM13,IF($BI$8=2018,VLOOKUP($L13,'[12]IMAGE CurPol SSP'!$BJ$3:$BO$29,6,FALSE)*$AP13,VLOOKUP($L13,'[12]IMAGE CurPol SSP'!$BU$3:$BZ$29,6,FALSE)*$AS13))</f>
        <v>58.637319637611739</v>
      </c>
      <c r="BT13" s="111">
        <f>IF($BI$8=2015,"",IF($BI$8=2018,"",VLOOKUP($L13,'[12]IMAGE CurPol SSP'!$CQ$3:$CV$29,6,FALSE)*$AS13))</f>
        <v>57.552108531119423</v>
      </c>
      <c r="BU13" s="164">
        <f>IF($BI$8=2015,"",IF($BI$8=2018,"",VLOOKUP($L13,'[12]IMAGE CurPol SSP'!$CF$3:$CK$29,6,FALSE)*$AS13))</f>
        <v>58.637319637611739</v>
      </c>
      <c r="BV13" t="s">
        <v>2329</v>
      </c>
      <c r="BW13" t="s">
        <v>2330</v>
      </c>
      <c r="BX13" t="s">
        <v>2331</v>
      </c>
      <c r="BY13" t="s">
        <v>2329</v>
      </c>
      <c r="BZ13" t="s">
        <v>2330</v>
      </c>
      <c r="CA13" t="s">
        <v>2331</v>
      </c>
      <c r="CB13" t="s">
        <v>2332</v>
      </c>
      <c r="CC13" t="s">
        <v>2330</v>
      </c>
      <c r="CD13" t="s">
        <v>2331</v>
      </c>
      <c r="CE13" t="s">
        <v>2329</v>
      </c>
      <c r="CF13" t="s">
        <v>2330</v>
      </c>
      <c r="CG13" t="s">
        <v>2331</v>
      </c>
      <c r="CH13" t="s">
        <v>2329</v>
      </c>
      <c r="CI13" t="s">
        <v>2330</v>
      </c>
      <c r="CJ13" t="s">
        <v>2331</v>
      </c>
      <c r="CK13" t="s">
        <v>2332</v>
      </c>
      <c r="CL13" t="s">
        <v>2330</v>
      </c>
      <c r="CM13" t="s">
        <v>2331</v>
      </c>
      <c r="CN13" t="s">
        <v>55</v>
      </c>
      <c r="CO13" s="165" t="str">
        <f t="shared" ref="CO13:CR76" si="2">IF(BE13="","",BE13/$BS13-1)</f>
        <v/>
      </c>
      <c r="CP13" s="165" t="str">
        <f t="shared" si="2"/>
        <v/>
      </c>
      <c r="CQ13" s="165">
        <f t="shared" si="2"/>
        <v>-0.27889332559331514</v>
      </c>
      <c r="CR13" s="165">
        <f t="shared" si="2"/>
        <v>-0.27889332559331514</v>
      </c>
      <c r="CS13" s="159"/>
      <c r="CU13" s="159"/>
      <c r="CV13" s="166" t="s">
        <v>621</v>
      </c>
      <c r="CW13" s="166" t="s">
        <v>621</v>
      </c>
      <c r="CX13" s="159"/>
      <c r="CY13" s="167">
        <f t="shared" ref="CY13:CY76" si="3">AT13-BM13</f>
        <v>2.3882898617614927</v>
      </c>
      <c r="CZ13" s="159"/>
      <c r="DB13" s="106"/>
      <c r="DC13" s="106"/>
      <c r="DD13" s="106"/>
      <c r="DE13" s="106"/>
      <c r="DF13" s="106"/>
      <c r="DG13" s="105" t="str">
        <f t="shared" ref="DG13:DG76" si="4">M13</f>
        <v>excl</v>
      </c>
      <c r="DH13" t="s">
        <v>55</v>
      </c>
      <c r="DI13" s="111">
        <f t="shared" ref="DI13:DJ19" si="5">IF(AY13="",$BM13,AY13)-$BM13</f>
        <v>0</v>
      </c>
      <c r="DJ13" s="111">
        <f t="shared" si="5"/>
        <v>0</v>
      </c>
      <c r="DK13" s="111">
        <f t="shared" ref="DK13:DK19" si="6">IF(BA13="",$BP13,BA13)-$BP13</f>
        <v>0</v>
      </c>
      <c r="DL13" s="111">
        <f t="shared" ref="DL13:DL19" si="7">IF(BC13="",$BP13,BC13)-$BP13</f>
        <v>-10.810301080067688</v>
      </c>
      <c r="DM13" s="111">
        <f t="shared" ref="DM13:DM19" si="8">IF(BE13="",$BS13,BE13)-$BS13</f>
        <v>0</v>
      </c>
      <c r="DN13" s="111">
        <f t="shared" ref="DN13:DN19" si="9">IF(BG13="",$BS13,BG13)-$BS13</f>
        <v>-16.35355707761174</v>
      </c>
      <c r="DO13" s="111">
        <f t="shared" ref="DO13:DO19" si="10">IF(BI13="",$BS13,BI13)-$BS13</f>
        <v>0</v>
      </c>
      <c r="DP13" s="111">
        <f t="shared" ref="DP13:DP19" si="11">IF(BK13="",$BS13,BK13)-$BS13</f>
        <v>-16.35355707761174</v>
      </c>
      <c r="DQ13" s="106"/>
      <c r="DR13" s="106"/>
      <c r="DS13" s="111"/>
      <c r="DT13" s="168"/>
      <c r="DW13" s="111">
        <f t="shared" ref="DW13:DZ76" si="12">IF(BE13="",$BS13,BE13)</f>
        <v>58.637319637611739</v>
      </c>
      <c r="DX13" s="111">
        <f t="shared" si="12"/>
        <v>58.637319637611739</v>
      </c>
      <c r="DY13" s="111">
        <f t="shared" si="12"/>
        <v>42.28376256</v>
      </c>
      <c r="DZ13" s="111">
        <f t="shared" si="12"/>
        <v>42.28376256</v>
      </c>
      <c r="EP13" t="s">
        <v>55</v>
      </c>
      <c r="EQ13">
        <v>-1</v>
      </c>
      <c r="ER13" s="111">
        <f t="shared" ref="ER13:ER76" si="13">AP13</f>
        <v>44.557264000000004</v>
      </c>
      <c r="ES13" s="111">
        <f>IF($BI$8=2015,VLOOKUP($L13,'[12]IMAGE CDLINKS CurPol'!$P$3:$Y$29,10,FALSE)*$AM13,VLOOKUP($L13,'[12]IMAGE CDLINKS CurPol'!$Z$3:$AI$29,10,FALSE)*$AP13)</f>
        <v>101.94534058101542</v>
      </c>
      <c r="ET13" s="111">
        <f t="shared" ref="ET13:ET76" si="14">IF(EQ13&gt;=1,EW13,ES13)</f>
        <v>101.94534058101542</v>
      </c>
      <c r="EU13" s="111">
        <f>IF(EQ13&gt;=1.5,EW13,EV13)</f>
        <v>28.988982631864324</v>
      </c>
      <c r="EV13" s="111">
        <f>IF($BI$8=2015,VLOOKUP($L13,'[12]IMAGE CDLINKS 2C'!$P$3:$Y$29,10,FALSE)*$AM13,VLOOKUP($L13,'[12]IMAGE CDLINKS 2C'!$Z$3:$AI$29,10,FALSE)*$AP13)</f>
        <v>28.988982631864324</v>
      </c>
      <c r="EY13" s="111">
        <f>IF(EQ13&gt;=1,EW13,EZ13)</f>
        <v>12.149034750355451</v>
      </c>
      <c r="EZ13" s="111">
        <f>IF($BI$8=2015,VLOOKUP($L13,'[12]IMAGE CDLINKS 1_5C'!$P$3:$Y$29,10,FALSE)*$AM13,VLOOKUP($L13,'[12]IMAGE CDLINKS 1_5C'!$Z$3:$AI$29,10,FALSE)*$AP13)</f>
        <v>12.149034750355451</v>
      </c>
      <c r="FA13" s="132">
        <v>2050</v>
      </c>
    </row>
    <row r="14" spans="1:157" x14ac:dyDescent="0.25">
      <c r="A14" t="str">
        <f>IF([12]NDCs!C16="","",[12]NDCs!C16)</f>
        <v>B</v>
      </c>
      <c r="B14" s="159" t="str">
        <f t="shared" si="0"/>
        <v>v</v>
      </c>
      <c r="C14">
        <v>0</v>
      </c>
      <c r="D14">
        <v>0</v>
      </c>
      <c r="E14">
        <v>0</v>
      </c>
      <c r="F14">
        <v>1</v>
      </c>
      <c r="G14" t="b">
        <f t="shared" si="1"/>
        <v>1</v>
      </c>
      <c r="H14" t="s">
        <v>2328</v>
      </c>
      <c r="I14" t="s">
        <v>57</v>
      </c>
      <c r="J14">
        <v>8</v>
      </c>
      <c r="K14">
        <v>2</v>
      </c>
      <c r="L14">
        <v>12</v>
      </c>
      <c r="M14" t="str">
        <f>IF([12]NDCs!AL16="Excluding","excl","incl")</f>
        <v>excl</v>
      </c>
      <c r="N14" s="160">
        <f>[12]GHG_hist!BA4+IF($M14="incl",[12]LULUCF_hist!CR4,0)</f>
        <v>6.6740415000000004</v>
      </c>
      <c r="O14" s="111">
        <f>[12]GHG_hist!BB4+IF($M14="incl",[12]LULUCF_hist!CS4,0)</f>
        <v>8.3211057000000004</v>
      </c>
      <c r="P14" s="111">
        <f>[12]GHG_hist!BC4+IF($M14="incl",[12]LULUCF_hist!CT4,0)</f>
        <v>5.8174590000000004</v>
      </c>
      <c r="Q14" s="111">
        <f>[12]GHG_hist!BD4+IF($M14="incl",[12]LULUCF_hist!CU4,0)</f>
        <v>5.8781873999999998</v>
      </c>
      <c r="R14" s="111">
        <f>[12]GHG_hist!BE4+IF($M14="incl",[12]LULUCF_hist!CV4,0)</f>
        <v>6.4110776999999999</v>
      </c>
      <c r="S14" s="111">
        <f>[12]GHG_hist!BF4+IF($M14="incl",[12]LULUCF_hist!CW4,0)</f>
        <v>6.4222308000000004</v>
      </c>
      <c r="T14" s="111">
        <f>[12]GHG_hist!BG4+IF($M14="incl",[12]LULUCF_hist!CX4,0)</f>
        <v>6.3898323000000001</v>
      </c>
      <c r="U14" s="111">
        <f>[12]GHG_hist!BH4+IF($M14="incl",[12]LULUCF_hist!CY4,0)</f>
        <v>6.4807687999999999</v>
      </c>
      <c r="V14" s="111">
        <f>[12]GHG_hist!BI4+IF($M14="incl",[12]LULUCF_hist!CZ4,0)</f>
        <v>7.2859691</v>
      </c>
      <c r="W14" s="111">
        <f>[12]GHG_hist!BJ4+IF($M14="incl",[12]LULUCF_hist!DA4,0)</f>
        <v>7.7738205000000002</v>
      </c>
      <c r="X14" s="111">
        <f>[12]GHG_hist!BK4+IF($M14="incl",[12]LULUCF_hist!DB4,0)</f>
        <v>7.1972969999999998</v>
      </c>
      <c r="Y14" s="111">
        <f>[12]GHG_hist!BL4+IF($M14="incl",[12]LULUCF_hist!DC4,0)</f>
        <v>7.7711985000000006</v>
      </c>
      <c r="Z14" s="111">
        <f>[12]GHG_hist!BM4+IF($M14="incl",[12]LULUCF_hist!DD4,0)</f>
        <v>7.9983576000000003</v>
      </c>
      <c r="AA14" s="111">
        <f>[12]GHG_hist!BN4+IF($M14="incl",[12]LULUCF_hist!DE4,0)</f>
        <v>8.1773877000000006</v>
      </c>
      <c r="AB14" s="111">
        <f>[12]GHG_hist!BO4+IF($M14="incl",[12]LULUCF_hist!DF4,0)</f>
        <v>8.4903984999999995</v>
      </c>
      <c r="AC14" s="111">
        <f>[12]GHG_hist!BP4+IF($M14="incl",[12]LULUCF_hist!DG4,0)</f>
        <v>8.3621043000000004</v>
      </c>
      <c r="AD14" s="111">
        <f>[12]GHG_hist!BQ4+IF($M14="incl",[12]LULUCF_hist!DH4,0)</f>
        <v>8.3097317999999998</v>
      </c>
      <c r="AE14" s="111">
        <f>[12]GHG_hist!BR4+IF($M14="incl",[12]LULUCF_hist!DI4,0)</f>
        <v>8.5601883999999995</v>
      </c>
      <c r="AF14" s="111">
        <f>[12]GHG_hist!BS4+IF($M14="incl",[12]LULUCF_hist!DJ4,0)</f>
        <v>8.4330844000000003</v>
      </c>
      <c r="AG14" s="111">
        <f>[12]GHG_hist!BT4+IF($M14="incl",[12]LULUCF_hist!DK4,0)</f>
        <v>9.1061605999999991</v>
      </c>
      <c r="AH14" s="111">
        <f>[12]GHG_hist!BU4+IF($M14="incl",[12]LULUCF_hist!DL4,0)</f>
        <v>8.7663588000000008</v>
      </c>
      <c r="AI14" s="111">
        <f>[12]GHG_hist!BV4+IF($M14="incl",[12]LULUCF_hist!DM4,0)</f>
        <v>9.0746036000000014</v>
      </c>
      <c r="AJ14" s="111">
        <f>[12]GHG_hist!BW4+IF($M14="incl",[12]LULUCF_hist!DN4,0)</f>
        <v>8.9126522999999995</v>
      </c>
      <c r="AK14" s="111">
        <f>[12]GHG_hist!BX4+IF($M14="incl",[12]LULUCF_hist!DO4,0)</f>
        <v>9.1034611000000005</v>
      </c>
      <c r="AL14" s="111">
        <f>[12]GHG_hist!BY4+IF($M14="incl",[12]LULUCF_hist!DP4,0)</f>
        <v>9.6008416000000008</v>
      </c>
      <c r="AM14" s="111">
        <f>[12]GHG_hist!BZ4+IF($M14="incl",[12]LULUCF_hist!DQ4,0)</f>
        <v>9.6404372000000009</v>
      </c>
      <c r="AN14" s="111">
        <f>[12]GHG_hist!CA4+IF($M14="incl",[12]LULUCF_hist!DR4,0)</f>
        <v>9.6699348000000018</v>
      </c>
      <c r="AO14" s="111">
        <f>[12]GHG_hist!CB4+IF($M14="incl",[12]LULUCF_hist!DS4,0)</f>
        <v>10.328777000000001</v>
      </c>
      <c r="AP14" s="111">
        <f>[12]GHG_hist!CC4+IF($M14="incl",[12]LULUCF_hist!DT4,0)</f>
        <v>10.570617</v>
      </c>
      <c r="AQ14" s="111">
        <f>[12]GHG_hist!CD4+IF($M14="incl",[12]LULUCF_hist!DU4,0)</f>
        <v>10.670696</v>
      </c>
      <c r="AR14" s="111">
        <f>[12]GHG_hist!CE4+IF($M14="incl",[12]LULUCF_hist!DV4,0)</f>
        <v>10.610398</v>
      </c>
      <c r="AS14" s="111">
        <f>[12]GHG_hist!CF4+IF($M14="incl",[12]LULUCF_hist!DW4,0)</f>
        <v>10.422791</v>
      </c>
      <c r="AT14" s="161">
        <f>VLOOKUP($L14,'[12]IMAGE SSP2'!$AF$3:$AK$29,4,FALSE)*$AM14</f>
        <v>10.030289831504284</v>
      </c>
      <c r="AU14" s="162">
        <f>VLOOKUP($L14,'[12]IMAGE SSP2'!$AF$3:$AK$29,5,FALSE)*$AM14</f>
        <v>10.244297836249032</v>
      </c>
      <c r="AV14" s="163">
        <f>VLOOKUP($L14,'[12]IMAGE SSP2'!$AF$3:$AK$29,6,FALSE)*$AM14</f>
        <v>10.518156882313788</v>
      </c>
      <c r="AW14" s="111">
        <f t="shared" ref="AW14:AW77" si="15">IF(A14="B",AH14+(AX14-AH14)*0.5,"")</f>
        <v>11.957179400000001</v>
      </c>
      <c r="AX14" s="164">
        <f>[12]NDCs!P16</f>
        <v>15.148</v>
      </c>
      <c r="AY14" s="111" t="str">
        <f>IF('[12]Pledge 2020'!E4="","",'[12]Pledge 2020'!E4)</f>
        <v/>
      </c>
      <c r="AZ14" s="164" t="str">
        <f>IF('[12]Pledge 2020'!F4="","",'[12]Pledge 2020'!F4)</f>
        <v/>
      </c>
      <c r="BA14" s="111" t="str">
        <f t="shared" ref="BA14:BA37" si="16">IF(BE14="","",(BE14-AH14)*0.75+AH14)</f>
        <v/>
      </c>
      <c r="BB14" s="111"/>
      <c r="BC14" s="111">
        <f t="shared" ref="BC14:BC38" si="17">IF(BG14="","",(BG14-AH14)*0.75+AH14)</f>
        <v>11.175089700000001</v>
      </c>
      <c r="BD14" s="111">
        <f>IF(BH14="","",(BH14-AH14)*0.75+AH14)</f>
        <v>11.175089700000001</v>
      </c>
      <c r="BE14" s="111" t="s">
        <v>2477</v>
      </c>
      <c r="BF14" s="111"/>
      <c r="BG14" s="111">
        <v>11.978</v>
      </c>
      <c r="BH14" s="111">
        <v>11.978</v>
      </c>
      <c r="BI14" s="111" t="str">
        <f>IF([12]NDCs!V16="",IF([12]NDCs!X16="","",[12]NDCs!X16),[12]NDCs!V16)</f>
        <v/>
      </c>
      <c r="BJ14" s="111" t="str">
        <f>IF([12]NDCs!V16="",IF([12]NDCs!X16="","",[12]NDCs!X16),[12]NDCs!V16)</f>
        <v/>
      </c>
      <c r="BK14" s="111">
        <f>IF([12]NDCs!Z16="",IF([12]NDCs!AB16="",IF('input site'!BE14="","",'input site'!BE14),[12]NDCs!AB16),[12]NDCs!Z16)</f>
        <v>11.978</v>
      </c>
      <c r="BL14" s="111">
        <f>IF([12]NDCs!AA16="",IF([12]NDCs!AC16="",IF('input site'!BF14="","",'input site'!BF14),[12]NDCs!AC16),[12]NDCs!AA16)</f>
        <v>11.978</v>
      </c>
      <c r="BM14" s="111">
        <f>IF($BI$8=2015,VLOOKUP($L14,'[12]IMAGE CurPol SSP'!$AZ$3:$BD$29,4,FALSE)*$AM14,IF($BI$8=2018,VLOOKUP($L14,'[12]IMAGE CurPol SSP'!$BJ$3:$BN$29,4,FALSE)*$AP14,$AR14))</f>
        <v>10.610398</v>
      </c>
      <c r="BN14" s="111">
        <f t="shared" ref="BN14:BO29" si="18">IF($BI$8=2015,"",IF($BI$8=2018,"",$AR14))</f>
        <v>10.610398</v>
      </c>
      <c r="BO14" s="111">
        <f t="shared" si="18"/>
        <v>10.610398</v>
      </c>
      <c r="BP14" s="111">
        <f>IF($BI$8=2015,VLOOKUP($L14,'[12]IMAGE CurPol SSP'!$AZ$3:$BD$29,5,FALSE)*$AM14,IF($BI$8=2018,VLOOKUP($L14,'[12]IMAGE CurPol SSP'!$BJ$3:$BN$29,5,FALSE)*$AP14,VLOOKUP($L14,'[12]IMAGE CurPol SSP'!$BU$3:$BZ$29,5,FALSE)*$AS14))</f>
        <v>8.2891303382975146</v>
      </c>
      <c r="BQ14" s="111">
        <f>IF($BI$8=2015,"",IF($BI$8=2018,"",VLOOKUP($L14,'[12]IMAGE CurPol SSP'!$CQ$3:$CV$29,5,FALSE)*$AS14))</f>
        <v>8.2891303382975146</v>
      </c>
      <c r="BR14" s="111">
        <f>IF($BI$8=2015,"",IF($BI$8=2018,"",VLOOKUP($L14,'[12]IMAGE CurPol SSP'!$CF$3:$CK$29,5,FALSE)*$AS14))</f>
        <v>8.5541319942382721</v>
      </c>
      <c r="BS14" s="111">
        <f>IF($BI$8=2015,VLOOKUP($L14,'[12]IMAGE CurPol SSP'!$AZ$3:$BE$29,6,FALSE)*$AM14,IF($BI$8=2018,VLOOKUP($L14,'[12]IMAGE CurPol SSP'!$BJ$3:$BO$29,6,FALSE)*$AP14,VLOOKUP($L14,'[12]IMAGE CurPol SSP'!$BU$3:$BZ$29,6,FALSE)*$AS14))</f>
        <v>5.3405671990007342</v>
      </c>
      <c r="BT14" s="111">
        <f>IF($BI$8=2015,"",IF($BI$8=2018,"",VLOOKUP($L14,'[12]IMAGE CurPol SSP'!$CQ$3:$CV$29,6,FALSE)*$AS14))</f>
        <v>5.3405671990007342</v>
      </c>
      <c r="BU14" s="164">
        <f>IF($BI$8=2015,"",IF($BI$8=2018,"",VLOOKUP($L14,'[12]IMAGE CurPol SSP'!$CF$3:$CK$29,6,FALSE)*$AS14))</f>
        <v>5.6104333041593701</v>
      </c>
      <c r="CN14" t="s">
        <v>57</v>
      </c>
      <c r="CO14" s="165" t="str">
        <f t="shared" si="2"/>
        <v/>
      </c>
      <c r="CP14" s="165" t="str">
        <f t="shared" si="2"/>
        <v/>
      </c>
      <c r="CQ14" s="165">
        <f t="shared" si="2"/>
        <v>1.2428329339702318</v>
      </c>
      <c r="CR14" s="165">
        <f t="shared" si="2"/>
        <v>1.2428329339702318</v>
      </c>
      <c r="CV14" s="166" t="s">
        <v>621</v>
      </c>
      <c r="CW14" s="166" t="s">
        <v>621</v>
      </c>
      <c r="CX14"/>
      <c r="CY14" s="167">
        <f t="shared" si="3"/>
        <v>-0.58010816849571611</v>
      </c>
      <c r="DB14" s="106"/>
      <c r="DC14" s="106"/>
      <c r="DD14" s="106"/>
      <c r="DE14" s="106"/>
      <c r="DF14" s="106"/>
      <c r="DG14" s="105" t="str">
        <f t="shared" si="4"/>
        <v>excl</v>
      </c>
      <c r="DH14" t="s">
        <v>57</v>
      </c>
      <c r="DI14" s="111">
        <f t="shared" si="5"/>
        <v>0</v>
      </c>
      <c r="DJ14" s="111">
        <f t="shared" si="5"/>
        <v>0</v>
      </c>
      <c r="DK14" s="111">
        <f t="shared" si="6"/>
        <v>0</v>
      </c>
      <c r="DL14" s="111">
        <f t="shared" si="7"/>
        <v>2.8859593617024863</v>
      </c>
      <c r="DM14" s="111">
        <f t="shared" si="8"/>
        <v>0</v>
      </c>
      <c r="DN14" s="111">
        <f t="shared" si="9"/>
        <v>6.6374328009992656</v>
      </c>
      <c r="DO14" s="111">
        <f t="shared" si="10"/>
        <v>0</v>
      </c>
      <c r="DP14" s="111">
        <f t="shared" si="11"/>
        <v>6.6374328009992656</v>
      </c>
      <c r="DQ14" s="106"/>
      <c r="DR14" s="106"/>
      <c r="DS14" s="111"/>
      <c r="DT14" s="168"/>
      <c r="DW14" s="111">
        <f t="shared" si="12"/>
        <v>5.3405671990007342</v>
      </c>
      <c r="DX14" s="111">
        <f t="shared" si="12"/>
        <v>5.3405671990007342</v>
      </c>
      <c r="DY14" s="111">
        <f t="shared" si="12"/>
        <v>11.978</v>
      </c>
      <c r="DZ14" s="111">
        <f t="shared" si="12"/>
        <v>11.978</v>
      </c>
      <c r="EP14" t="s">
        <v>57</v>
      </c>
      <c r="EQ14">
        <v>0</v>
      </c>
      <c r="ER14" s="111">
        <f t="shared" si="13"/>
        <v>10.570617</v>
      </c>
      <c r="ES14" s="111">
        <f>IF($BI$8=2015,VLOOKUP($L14,'[12]IMAGE CDLINKS CurPol'!$P$3:$Y$29,10,FALSE)*$AM14,VLOOKUP($L14,'[12]IMAGE CDLINKS CurPol'!$Z$3:$AI$29,10,FALSE)*$AP14)</f>
        <v>11.112497476410526</v>
      </c>
      <c r="ET14" s="111">
        <f t="shared" si="14"/>
        <v>11.112497476410526</v>
      </c>
      <c r="EU14" s="111">
        <f t="shared" ref="EU14:EU77" si="19">IF(EQ14&gt;=1.5,EW14,EV14)</f>
        <v>2.4059559972047468</v>
      </c>
      <c r="EV14" s="111">
        <f>IF($BI$8=2015,VLOOKUP($L14,'[12]IMAGE CDLINKS 2C'!$P$3:$Y$29,10,FALSE)*$AM14,VLOOKUP($L14,'[12]IMAGE CDLINKS 2C'!$Z$3:$AI$29,10,FALSE)*$AP14)</f>
        <v>2.4059559972047468</v>
      </c>
      <c r="EY14" s="111">
        <f t="shared" ref="EY14:EY77" si="20">IF(EQ14&gt;=1,EW14,EZ14)</f>
        <v>1.173732012935423</v>
      </c>
      <c r="EZ14" s="111">
        <f>IF($BI$8=2015,VLOOKUP($L14,'[12]IMAGE CDLINKS 1_5C'!$P$3:$Y$29,10,FALSE)*$AM14,VLOOKUP($L14,'[12]IMAGE CDLINKS 1_5C'!$Z$3:$AI$29,10,FALSE)*$AP14)</f>
        <v>1.173732012935423</v>
      </c>
      <c r="FA14" s="132"/>
    </row>
    <row r="15" spans="1:157" x14ac:dyDescent="0.25">
      <c r="A15" t="str">
        <f>IF([12]NDCs!C17="","",[12]NDCs!C17)</f>
        <v>B</v>
      </c>
      <c r="B15" s="159" t="str">
        <f t="shared" si="0"/>
        <v>v</v>
      </c>
      <c r="C15">
        <v>0</v>
      </c>
      <c r="D15">
        <v>0</v>
      </c>
      <c r="E15">
        <v>0</v>
      </c>
      <c r="F15">
        <v>1</v>
      </c>
      <c r="G15" t="b">
        <f t="shared" si="1"/>
        <v>1</v>
      </c>
      <c r="H15" t="s">
        <v>2333</v>
      </c>
      <c r="I15" t="s">
        <v>59</v>
      </c>
      <c r="J15">
        <v>12</v>
      </c>
      <c r="K15">
        <v>3</v>
      </c>
      <c r="L15">
        <v>7</v>
      </c>
      <c r="M15" t="str">
        <f>IF([12]NDCs!AL17="Excluding","excl","incl")</f>
        <v>incl</v>
      </c>
      <c r="N15" s="160">
        <f>[12]GHG_hist!BA5+IF($M15="incl",[12]LULUCF_hist!CR5,0)</f>
        <v>141.97999000000002</v>
      </c>
      <c r="O15" s="111">
        <f>[12]GHG_hist!BB5+IF($M15="incl",[12]LULUCF_hist!CS5,0)</f>
        <v>142.38321999999999</v>
      </c>
      <c r="P15" s="111">
        <f>[12]GHG_hist!BC5+IF($M15="incl",[12]LULUCF_hist!CT5,0)</f>
        <v>140.24502999999999</v>
      </c>
      <c r="Q15" s="111">
        <f>[12]GHG_hist!BD5+IF($M15="incl",[12]LULUCF_hist!CU5,0)</f>
        <v>156.05381</v>
      </c>
      <c r="R15" s="111">
        <f>[12]GHG_hist!BE5+IF($M15="incl",[12]LULUCF_hist!CV5,0)</f>
        <v>184.53057000000001</v>
      </c>
      <c r="S15" s="111">
        <f>[12]GHG_hist!BF5+IF($M15="incl",[12]LULUCF_hist!CW5,0)</f>
        <v>169.95208</v>
      </c>
      <c r="T15" s="111">
        <f>[12]GHG_hist!BG5+IF($M15="incl",[12]LULUCF_hist!CX5,0)</f>
        <v>172.25569999999999</v>
      </c>
      <c r="U15" s="111">
        <f>[12]GHG_hist!BH5+IF($M15="incl",[12]LULUCF_hist!CY5,0)</f>
        <v>160.33151000000001</v>
      </c>
      <c r="V15" s="111">
        <f>[12]GHG_hist!BI5+IF($M15="incl",[12]LULUCF_hist!CZ5,0)</f>
        <v>180.9829</v>
      </c>
      <c r="W15" s="111">
        <f>[12]GHG_hist!BJ5+IF($M15="incl",[12]LULUCF_hist!DA5,0)</f>
        <v>169.59138999999999</v>
      </c>
      <c r="X15" s="111">
        <f>[12]GHG_hist!BK5+IF($M15="incl",[12]LULUCF_hist!DB5,0)</f>
        <v>174.50106</v>
      </c>
      <c r="Y15" s="111">
        <f>[12]GHG_hist!BL5+IF($M15="incl",[12]LULUCF_hist!DC5,0)</f>
        <v>155.88546000000002</v>
      </c>
      <c r="Z15" s="111">
        <f>[12]GHG_hist!BM5+IF($M15="incl",[12]LULUCF_hist!DD5,0)</f>
        <v>158.16846999999999</v>
      </c>
      <c r="AA15" s="111">
        <f>[12]GHG_hist!BN5+IF($M15="incl",[12]LULUCF_hist!DE5,0)</f>
        <v>166.43169</v>
      </c>
      <c r="AB15" s="111">
        <f>[12]GHG_hist!BO5+IF($M15="incl",[12]LULUCF_hist!DF5,0)</f>
        <v>164.22104999999999</v>
      </c>
      <c r="AC15" s="111">
        <f>[12]GHG_hist!BP5+IF($M15="incl",[12]LULUCF_hist!DG5,0)</f>
        <v>183.90290999999999</v>
      </c>
      <c r="AD15" s="111">
        <f>[12]GHG_hist!BQ5+IF($M15="incl",[12]LULUCF_hist!DH5,0)</f>
        <v>179.68206999999998</v>
      </c>
      <c r="AE15" s="111">
        <f>[12]GHG_hist!BR5+IF($M15="incl",[12]LULUCF_hist!DI5,0)</f>
        <v>188.53157000000002</v>
      </c>
      <c r="AF15" s="111">
        <f>[12]GHG_hist!BS5+IF($M15="incl",[12]LULUCF_hist!DJ5,0)</f>
        <v>189.22787</v>
      </c>
      <c r="AG15" s="111">
        <f>[12]GHG_hist!BT5+IF($M15="incl",[12]LULUCF_hist!DK5,0)</f>
        <v>194.13632000000001</v>
      </c>
      <c r="AH15" s="111">
        <f>[12]GHG_hist!BU5+IF($M15="incl",[12]LULUCF_hist!DL5,0)</f>
        <v>196.08588000000003</v>
      </c>
      <c r="AI15" s="111">
        <f>[12]GHG_hist!BV5+IF($M15="incl",[12]LULUCF_hist!DM5,0)</f>
        <v>196.65181000000001</v>
      </c>
      <c r="AJ15" s="111">
        <f>[12]GHG_hist!BW5+IF($M15="incl",[12]LULUCF_hist!DN5,0)</f>
        <v>215.23976000000002</v>
      </c>
      <c r="AK15" s="111">
        <f>[12]GHG_hist!BX5+IF($M15="incl",[12]LULUCF_hist!DO5,0)</f>
        <v>218.66304000000002</v>
      </c>
      <c r="AL15" s="111">
        <f>[12]GHG_hist!BY5+IF($M15="incl",[12]LULUCF_hist!DP5,0)</f>
        <v>236.01921000000002</v>
      </c>
      <c r="AM15" s="111">
        <f>[12]GHG_hist!BZ5+IF($M15="incl",[12]LULUCF_hist!DQ5,0)</f>
        <v>243.32708</v>
      </c>
      <c r="AN15" s="111">
        <f>[12]GHG_hist!CA5+IF($M15="incl",[12]LULUCF_hist!DR5,0)</f>
        <v>247.01911000000001</v>
      </c>
      <c r="AO15" s="111">
        <f>[12]GHG_hist!CB5+IF($M15="incl",[12]LULUCF_hist!DS5,0)</f>
        <v>255.35764999999998</v>
      </c>
      <c r="AP15" s="111">
        <f>[12]GHG_hist!CC5+IF($M15="incl",[12]LULUCF_hist!DT5,0)</f>
        <v>262.75900000000001</v>
      </c>
      <c r="AQ15" s="111">
        <f>[12]GHG_hist!CD5+IF($M15="incl",[12]LULUCF_hist!DU5,0)</f>
        <v>267.17547000000002</v>
      </c>
      <c r="AR15" s="111">
        <f>[12]GHG_hist!CE5+IF($M15="incl",[12]LULUCF_hist!DV5,0)</f>
        <v>257.32445000000001</v>
      </c>
      <c r="AS15" s="111">
        <f>[12]GHG_hist!CF5+IF($M15="incl",[12]LULUCF_hist!DW5,0)</f>
        <v>259.62369193548398</v>
      </c>
      <c r="AT15" s="161">
        <f>VLOOKUP($L15,'[12]IMAGE SSP2'!$AF$3:$AK$29,4,FALSE)*$AM15</f>
        <v>283.77253851857517</v>
      </c>
      <c r="AU15" s="162">
        <f>VLOOKUP($L15,'[12]IMAGE SSP2'!$AF$3:$AK$29,5,FALSE)*$AM15</f>
        <v>316.06500502321927</v>
      </c>
      <c r="AV15" s="163">
        <f>VLOOKUP($L15,'[12]IMAGE SSP2'!$AF$3:$AK$29,6,FALSE)*$AM15</f>
        <v>333.39686658758643</v>
      </c>
      <c r="AW15" s="111">
        <f t="shared" si="15"/>
        <v>223.70654000000002</v>
      </c>
      <c r="AX15" s="164">
        <f>[12]NDCs!$P$17</f>
        <v>251.3272</v>
      </c>
      <c r="AY15" s="111" t="str">
        <f>IF('[12]Pledge 2020'!E5="","",'[12]Pledge 2020'!E5)</f>
        <v/>
      </c>
      <c r="AZ15" s="164" t="str">
        <f>IF('[12]Pledge 2020'!F5="","",'[12]Pledge 2020'!F5)</f>
        <v/>
      </c>
      <c r="BA15" s="111">
        <f t="shared" si="16"/>
        <v>224.322192</v>
      </c>
      <c r="BB15" s="111">
        <f>IF(BF15="","",(BF15-AH15)*0.75+AH15)</f>
        <v>224.322192</v>
      </c>
      <c r="BC15" s="111">
        <f t="shared" si="17"/>
        <v>196.04788200000002</v>
      </c>
      <c r="BD15" s="111">
        <f>IF(BH15="","",(BH15-AH15)*0.75+AH15)</f>
        <v>196.04788200000002</v>
      </c>
      <c r="BE15" s="111">
        <v>233.734296</v>
      </c>
      <c r="BF15" s="111">
        <v>233.734296</v>
      </c>
      <c r="BG15" s="111">
        <v>196.03521600000002</v>
      </c>
      <c r="BH15" s="111">
        <v>196.03521600000002</v>
      </c>
      <c r="BI15" s="111">
        <f>IF([12]NDCs!V17="",IF([12]NDCs!X17="","",[12]NDCs!X17),[12]NDCs!V17)</f>
        <v>233.734296</v>
      </c>
      <c r="BJ15" s="111">
        <f>IF([12]NDCs!V17="",IF([12]NDCs!X17="","",[12]NDCs!X17),[12]NDCs!V17)</f>
        <v>233.734296</v>
      </c>
      <c r="BK15" s="111">
        <f>IF([12]NDCs!Z17="",IF([12]NDCs!AB17="",IF('input site'!BE15="","",'input site'!BE15),[12]NDCs!AB17),[12]NDCs!Z17)</f>
        <v>196.03521600000002</v>
      </c>
      <c r="BL15" s="111">
        <f>IF([12]NDCs!AA17="",IF([12]NDCs!AC17="",IF('input site'!BF15="","",'input site'!BF15),[12]NDCs!AC17),[12]NDCs!AA17)</f>
        <v>196.03521600000002</v>
      </c>
      <c r="BM15" s="111">
        <f>IF($BI$8=2015,VLOOKUP($L15,'[12]IMAGE CurPol SSP'!$AZ$3:$BD$29,4,FALSE)*$AM15,IF($BI$8=2018,VLOOKUP($L15,'[12]IMAGE CurPol SSP'!$BJ$3:$BN$29,4,FALSE)*$AP15,$AR15))</f>
        <v>257.32445000000001</v>
      </c>
      <c r="BN15" s="111">
        <f t="shared" si="18"/>
        <v>257.32445000000001</v>
      </c>
      <c r="BO15" s="111">
        <f t="shared" si="18"/>
        <v>257.32445000000001</v>
      </c>
      <c r="BP15" s="111">
        <f>IF($BI$8=2015,VLOOKUP($L15,'[12]IMAGE CurPol SSP'!$AZ$3:$BD$29,5,FALSE)*$AM15,IF($BI$8=2018,VLOOKUP($L15,'[12]IMAGE CurPol SSP'!$BJ$3:$BN$29,5,FALSE)*$AP15,VLOOKUP($L15,'[12]IMAGE CurPol SSP'!$BU$3:$BZ$29,5,FALSE)*$AS15))</f>
        <v>251.07089572657108</v>
      </c>
      <c r="BQ15" s="111">
        <f>IF($BI$8=2015,"",IF($BI$8=2018,"",VLOOKUP($L15,'[12]IMAGE CurPol SSP'!$CQ$3:$CV$29,5,FALSE)*$AS15))</f>
        <v>248.48109253347613</v>
      </c>
      <c r="BR15" s="111">
        <f>IF($BI$8=2015,"",IF($BI$8=2018,"",VLOOKUP($L15,'[12]IMAGE CurPol SSP'!$CF$3:$CK$29,5,FALSE)*$AS15))</f>
        <v>255.9929006365106</v>
      </c>
      <c r="BS15" s="111">
        <f>IF($BI$8=2015,VLOOKUP($L15,'[12]IMAGE CurPol SSP'!$AZ$3:$BE$29,6,FALSE)*$AM15,IF($BI$8=2018,VLOOKUP($L15,'[12]IMAGE CurPol SSP'!$BJ$3:$BO$29,6,FALSE)*$AP15,VLOOKUP($L15,'[12]IMAGE CurPol SSP'!$BU$3:$BZ$29,6,FALSE)*$AS15))</f>
        <v>258.88164904627786</v>
      </c>
      <c r="BT15" s="111">
        <f>IF($BI$8=2015,"",IF($BI$8=2018,"",VLOOKUP($L15,'[12]IMAGE CurPol SSP'!$CQ$3:$CV$29,6,FALSE)*$AS15))</f>
        <v>252.41901391262371</v>
      </c>
      <c r="BU15" s="164">
        <f>IF($BI$8=2015,"",IF($BI$8=2018,"",VLOOKUP($L15,'[12]IMAGE CurPol SSP'!$CF$3:$CK$29,6,FALSE)*$AS15))</f>
        <v>262.44577424672929</v>
      </c>
      <c r="CN15" t="s">
        <v>59</v>
      </c>
      <c r="CO15" s="165">
        <f t="shared" si="2"/>
        <v>-9.7138414943356954E-2</v>
      </c>
      <c r="CP15" s="165">
        <f t="shared" si="2"/>
        <v>-9.7138414943356954E-2</v>
      </c>
      <c r="CQ15" s="165">
        <f t="shared" si="2"/>
        <v>-0.24276125124281545</v>
      </c>
      <c r="CR15" s="165">
        <f t="shared" si="2"/>
        <v>-0.24276125124281545</v>
      </c>
      <c r="CV15" s="166" t="s">
        <v>621</v>
      </c>
      <c r="CW15" s="166" t="s">
        <v>621</v>
      </c>
      <c r="CX15"/>
      <c r="CY15" s="167">
        <f t="shared" si="3"/>
        <v>26.448088518575162</v>
      </c>
      <c r="DB15" s="106"/>
      <c r="DC15" s="106"/>
      <c r="DD15" s="106"/>
      <c r="DE15" s="106"/>
      <c r="DF15" s="106"/>
      <c r="DG15" s="105" t="str">
        <f t="shared" si="4"/>
        <v>incl</v>
      </c>
      <c r="DH15" t="s">
        <v>59</v>
      </c>
      <c r="DI15" s="111">
        <f t="shared" si="5"/>
        <v>0</v>
      </c>
      <c r="DJ15" s="111">
        <f t="shared" si="5"/>
        <v>0</v>
      </c>
      <c r="DK15" s="111">
        <f t="shared" si="6"/>
        <v>-26.74870372657108</v>
      </c>
      <c r="DL15" s="111">
        <f t="shared" si="7"/>
        <v>-55.023013726571065</v>
      </c>
      <c r="DM15" s="111">
        <f t="shared" si="8"/>
        <v>-25.147353046277857</v>
      </c>
      <c r="DN15" s="111">
        <f t="shared" si="9"/>
        <v>-62.846433046277838</v>
      </c>
      <c r="DO15" s="111">
        <f t="shared" si="10"/>
        <v>-25.147353046277857</v>
      </c>
      <c r="DP15" s="111">
        <f t="shared" si="11"/>
        <v>-62.846433046277838</v>
      </c>
      <c r="DS15" s="111">
        <f>[12]GHG_hist!BZ5+IF($M15="incl",[12]LULUCF_hist!DQ5,0)</f>
        <v>243.32708</v>
      </c>
      <c r="DT15" s="168">
        <f>IF($M15="incl",'[12]IIASA Proj'!EQ5,0)</f>
        <v>-10.055070799999999</v>
      </c>
      <c r="DW15" s="111">
        <f t="shared" si="12"/>
        <v>233.734296</v>
      </c>
      <c r="DX15" s="111">
        <f t="shared" si="12"/>
        <v>233.734296</v>
      </c>
      <c r="DY15" s="111">
        <f t="shared" si="12"/>
        <v>196.03521600000002</v>
      </c>
      <c r="DZ15" s="111">
        <f t="shared" si="12"/>
        <v>196.03521600000002</v>
      </c>
      <c r="EP15" t="s">
        <v>59</v>
      </c>
      <c r="EQ15">
        <v>0</v>
      </c>
      <c r="ER15" s="111">
        <f t="shared" si="13"/>
        <v>262.75900000000001</v>
      </c>
      <c r="ES15" s="111">
        <f>IF($BI$8=2015,VLOOKUP($L15,'[12]IMAGE CDLINKS CurPol'!$P$3:$Y$29,10,FALSE)*$AM15,VLOOKUP($L15,'[12]IMAGE CDLINKS CurPol'!$Z$3:$AI$29,10,FALSE)*$AP15)</f>
        <v>368.47000983832959</v>
      </c>
      <c r="ET15" s="111">
        <f t="shared" si="14"/>
        <v>368.47000983832959</v>
      </c>
      <c r="EU15" s="111">
        <f t="shared" si="19"/>
        <v>122.83157131627596</v>
      </c>
      <c r="EV15" s="111">
        <f>IF($BI$8=2015,VLOOKUP($L15,'[12]IMAGE CDLINKS 2C'!$P$3:$Y$29,10,FALSE)*$AM15,VLOOKUP($L15,'[12]IMAGE CDLINKS 2C'!$Z$3:$AI$29,10,FALSE)*$AP15)</f>
        <v>122.83157131627596</v>
      </c>
      <c r="EY15" s="111">
        <f t="shared" si="20"/>
        <v>36.576883610846849</v>
      </c>
      <c r="EZ15" s="111">
        <f>IF($BI$8=2015,VLOOKUP($L15,'[12]IMAGE CDLINKS 1_5C'!$P$3:$Y$29,10,FALSE)*$AM15,VLOOKUP($L15,'[12]IMAGE CDLINKS 1_5C'!$Z$3:$AI$29,10,FALSE)*$AP15)</f>
        <v>36.576883610846849</v>
      </c>
      <c r="FA15" s="132"/>
    </row>
    <row r="16" spans="1:157" x14ac:dyDescent="0.25">
      <c r="A16" t="str">
        <f>IF([12]NDCs!C18="","",[12]NDCs!C18)</f>
        <v/>
      </c>
      <c r="B16" s="159" t="str">
        <f t="shared" si="0"/>
        <v>v</v>
      </c>
      <c r="C16">
        <v>0</v>
      </c>
      <c r="D16">
        <v>0</v>
      </c>
      <c r="E16">
        <v>0</v>
      </c>
      <c r="F16">
        <v>0</v>
      </c>
      <c r="G16" t="b">
        <f t="shared" si="1"/>
        <v>0</v>
      </c>
      <c r="H16" t="s">
        <v>2328</v>
      </c>
      <c r="I16" t="s">
        <v>61</v>
      </c>
      <c r="J16">
        <v>16</v>
      </c>
      <c r="K16">
        <v>4</v>
      </c>
      <c r="L16">
        <v>24</v>
      </c>
      <c r="M16" t="str">
        <f>IF([12]NDCs!AL18="Excluding","excl","incl")</f>
        <v>excl</v>
      </c>
      <c r="N16" s="160">
        <f>[12]GHG_hist!BA6+IF($M16="incl",[12]LULUCF_hist!CR6,0)</f>
        <v>0</v>
      </c>
      <c r="O16" s="111">
        <f>[12]GHG_hist!BB6+IF($M16="incl",[12]LULUCF_hist!CS6,0)</f>
        <v>0</v>
      </c>
      <c r="P16" s="111">
        <f>[12]GHG_hist!BC6+IF($M16="incl",[12]LULUCF_hist!CT6,0)</f>
        <v>0</v>
      </c>
      <c r="Q16" s="111">
        <f>[12]GHG_hist!BD6+IF($M16="incl",[12]LULUCF_hist!CU6,0)</f>
        <v>0</v>
      </c>
      <c r="R16" s="111">
        <f>[12]GHG_hist!BE6+IF($M16="incl",[12]LULUCF_hist!CV6,0)</f>
        <v>0</v>
      </c>
      <c r="S16" s="111">
        <f>[12]GHG_hist!BF6+IF($M16="incl",[12]LULUCF_hist!CW6,0)</f>
        <v>0</v>
      </c>
      <c r="T16" s="111">
        <f>[12]GHG_hist!BG6+IF($M16="incl",[12]LULUCF_hist!CX6,0)</f>
        <v>0</v>
      </c>
      <c r="U16" s="111">
        <f>[12]GHG_hist!BH6+IF($M16="incl",[12]LULUCF_hist!CY6,0)</f>
        <v>0</v>
      </c>
      <c r="V16" s="111">
        <f>[12]GHG_hist!BI6+IF($M16="incl",[12]LULUCF_hist!CZ6,0)</f>
        <v>0</v>
      </c>
      <c r="W16" s="111">
        <f>[12]GHG_hist!BJ6+IF($M16="incl",[12]LULUCF_hist!DA6,0)</f>
        <v>0</v>
      </c>
      <c r="X16" s="111">
        <f>[12]GHG_hist!BK6+IF($M16="incl",[12]LULUCF_hist!DB6,0)</f>
        <v>0</v>
      </c>
      <c r="Y16" s="111">
        <f>[12]GHG_hist!BL6+IF($M16="incl",[12]LULUCF_hist!DC6,0)</f>
        <v>0</v>
      </c>
      <c r="Z16" s="111">
        <f>[12]GHG_hist!BM6+IF($M16="incl",[12]LULUCF_hist!DD6,0)</f>
        <v>0</v>
      </c>
      <c r="AA16" s="111">
        <f>[12]GHG_hist!BN6+IF($M16="incl",[12]LULUCF_hist!DE6,0)</f>
        <v>0</v>
      </c>
      <c r="AB16" s="111">
        <f>[12]GHG_hist!BO6+IF($M16="incl",[12]LULUCF_hist!DF6,0)</f>
        <v>0</v>
      </c>
      <c r="AC16" s="111">
        <f>[12]GHG_hist!BP6+IF($M16="incl",[12]LULUCF_hist!DG6,0)</f>
        <v>0</v>
      </c>
      <c r="AD16" s="111">
        <f>[12]GHG_hist!BQ6+IF($M16="incl",[12]LULUCF_hist!DH6,0)</f>
        <v>0</v>
      </c>
      <c r="AE16" s="111">
        <f>[12]GHG_hist!BR6+IF($M16="incl",[12]LULUCF_hist!DI6,0)</f>
        <v>0</v>
      </c>
      <c r="AF16" s="111">
        <f>[12]GHG_hist!BS6+IF($M16="incl",[12]LULUCF_hist!DJ6,0)</f>
        <v>0</v>
      </c>
      <c r="AG16" s="111">
        <f>[12]GHG_hist!BT6+IF($M16="incl",[12]LULUCF_hist!DK6,0)</f>
        <v>0</v>
      </c>
      <c r="AH16" s="111">
        <f>[12]GHG_hist!BU6+IF($M16="incl",[12]LULUCF_hist!DL6,0)</f>
        <v>0</v>
      </c>
      <c r="AI16" s="111">
        <f>[12]GHG_hist!BV6+IF($M16="incl",[12]LULUCF_hist!DM6,0)</f>
        <v>0</v>
      </c>
      <c r="AJ16" s="111">
        <f>[12]GHG_hist!BW6+IF($M16="incl",[12]LULUCF_hist!DN6,0)</f>
        <v>0</v>
      </c>
      <c r="AK16" s="111">
        <f>[12]GHG_hist!BX6+IF($M16="incl",[12]LULUCF_hist!DO6,0)</f>
        <v>0</v>
      </c>
      <c r="AL16" s="111">
        <f>[12]GHG_hist!BY6+IF($M16="incl",[12]LULUCF_hist!DP6,0)</f>
        <v>0</v>
      </c>
      <c r="AM16" s="111">
        <f>[12]GHG_hist!BZ6+IF($M16="incl",[12]LULUCF_hist!DQ6,0)</f>
        <v>0</v>
      </c>
      <c r="AN16" s="111">
        <f>[12]GHG_hist!CA6+IF($M16="incl",[12]LULUCF_hist!DR6,0)</f>
        <v>0</v>
      </c>
      <c r="AO16" s="111">
        <f>[12]GHG_hist!CB6+IF($M16="incl",[12]LULUCF_hist!DS6,0)</f>
        <v>0</v>
      </c>
      <c r="AP16" s="111">
        <f>[12]GHG_hist!CC6+IF($M16="incl",[12]LULUCF_hist!DT6,0)</f>
        <v>0</v>
      </c>
      <c r="AQ16" s="111">
        <f>[12]GHG_hist!CD6+IF($M16="incl",[12]LULUCF_hist!DU6,0)</f>
        <v>0</v>
      </c>
      <c r="AR16" s="111">
        <f>[12]GHG_hist!CE6+IF($M16="incl",[12]LULUCF_hist!DV6,0)</f>
        <v>0</v>
      </c>
      <c r="AS16" s="111">
        <f>[12]GHG_hist!CF6+IF($M16="incl",[12]LULUCF_hist!DW6,0)</f>
        <v>0</v>
      </c>
      <c r="AT16" s="161">
        <f>VLOOKUP($L16,'[12]IMAGE SSP2'!$AF$3:$AK$29,4,FALSE)*$AM16</f>
        <v>0</v>
      </c>
      <c r="AU16" s="162">
        <f>VLOOKUP($L16,'[12]IMAGE SSP2'!$AF$3:$AK$29,5,FALSE)*$AM16</f>
        <v>0</v>
      </c>
      <c r="AV16" s="163">
        <f>VLOOKUP($L16,'[12]IMAGE SSP2'!$AF$3:$AK$29,6,FALSE)*$AM16</f>
        <v>0</v>
      </c>
      <c r="AW16" s="111" t="str">
        <f t="shared" si="15"/>
        <v/>
      </c>
      <c r="AX16" s="164" t="str">
        <f>IF(A16="B",IF(M16="excl",[12]NatCom!CO6,[12]NatCom!AX6),"")</f>
        <v/>
      </c>
      <c r="AY16" s="111" t="str">
        <f>IF('[12]Pledge 2020'!E6="","",'[12]Pledge 2020'!E6)</f>
        <v/>
      </c>
      <c r="AZ16" s="164" t="str">
        <f>IF('[12]Pledge 2020'!F6="","",'[12]Pledge 2020'!F6)</f>
        <v/>
      </c>
      <c r="BA16" s="111" t="str">
        <f t="shared" si="16"/>
        <v/>
      </c>
      <c r="BB16" s="111"/>
      <c r="BC16" s="111" t="str">
        <f t="shared" si="17"/>
        <v/>
      </c>
      <c r="BD16" s="111"/>
      <c r="BE16" s="111" t="s">
        <v>2477</v>
      </c>
      <c r="BF16" s="111"/>
      <c r="BG16" s="111" t="s">
        <v>2477</v>
      </c>
      <c r="BH16" s="164"/>
      <c r="BI16" s="111" t="str">
        <f>IF([12]NDCs!V18="",IF([12]NDCs!X18="","",[12]NDCs!X18),[12]NDCs!V18)</f>
        <v/>
      </c>
      <c r="BJ16" s="111" t="str">
        <f>IF([12]NDCs!V18="",IF([12]NDCs!X18="","",[12]NDCs!X18),[12]NDCs!V18)</f>
        <v/>
      </c>
      <c r="BK16" s="111" t="str">
        <f>IF([12]NDCs!Z18="",IF([12]NDCs!AB18="",IF('input site'!BE16="","",'input site'!BE16),[12]NDCs!AB18),[12]NDCs!Z18)</f>
        <v/>
      </c>
      <c r="BL16" s="111" t="str">
        <f>IF([12]NDCs!AA18="",IF([12]NDCs!AC18="",IF('input site'!BF16="","",'input site'!BF16),[12]NDCs!AC18),[12]NDCs!AA18)</f>
        <v/>
      </c>
      <c r="BM16" s="111">
        <f>IF($BI$8=2015,VLOOKUP($L16,'[12]IMAGE CurPol SSP'!$AZ$3:$BD$29,4,FALSE)*$AM16,IF($BI$8=2018,VLOOKUP($L16,'[12]IMAGE CurPol SSP'!$BJ$3:$BN$29,4,FALSE)*$AP16,$AR16))</f>
        <v>0</v>
      </c>
      <c r="BN16" s="111">
        <f t="shared" si="18"/>
        <v>0</v>
      </c>
      <c r="BO16" s="111">
        <f t="shared" si="18"/>
        <v>0</v>
      </c>
      <c r="BP16" s="111">
        <f>IF($BI$8=2015,VLOOKUP($L16,'[12]IMAGE CurPol SSP'!$AZ$3:$BD$29,5,FALSE)*$AM16,IF($BI$8=2018,VLOOKUP($L16,'[12]IMAGE CurPol SSP'!$BJ$3:$BN$29,5,FALSE)*$AP16,VLOOKUP($L16,'[12]IMAGE CurPol SSP'!$BU$3:$BZ$29,5,FALSE)*$AS16))</f>
        <v>0</v>
      </c>
      <c r="BQ16" s="111">
        <f>IF($BI$8=2015,"",IF($BI$8=2018,"",VLOOKUP($L16,'[12]IMAGE CurPol SSP'!$CQ$3:$CV$29,5,FALSE)*$AS16))</f>
        <v>0</v>
      </c>
      <c r="BR16" s="111">
        <f>IF($BI$8=2015,"",IF($BI$8=2018,"",VLOOKUP($L16,'[12]IMAGE CurPol SSP'!$CF$3:$CK$29,5,FALSE)*$AS16))</f>
        <v>0</v>
      </c>
      <c r="BS16" s="111">
        <f>IF($BI$8=2015,VLOOKUP($L16,'[12]IMAGE CurPol SSP'!$AZ$3:$BE$29,6,FALSE)*$AM16,IF($BI$8=2018,VLOOKUP($L16,'[12]IMAGE CurPol SSP'!$BJ$3:$BO$29,6,FALSE)*$AP16,VLOOKUP($L16,'[12]IMAGE CurPol SSP'!$BU$3:$BZ$29,6,FALSE)*$AS16))</f>
        <v>0</v>
      </c>
      <c r="BT16" s="111">
        <f>IF($BI$8=2015,"",IF($BI$8=2018,"",VLOOKUP($L16,'[12]IMAGE CurPol SSP'!$CQ$3:$CV$29,6,FALSE)*$AS16))</f>
        <v>0</v>
      </c>
      <c r="BU16" s="164">
        <f>IF($BI$8=2015,"",IF($BI$8=2018,"",VLOOKUP($L16,'[12]IMAGE CurPol SSP'!$CF$3:$CK$29,6,FALSE)*$AS16))</f>
        <v>0</v>
      </c>
      <c r="CN16" t="s">
        <v>61</v>
      </c>
      <c r="CO16" s="165" t="str">
        <f t="shared" si="2"/>
        <v/>
      </c>
      <c r="CP16" s="165" t="str">
        <f t="shared" si="2"/>
        <v/>
      </c>
      <c r="CQ16" s="165" t="str">
        <f t="shared" si="2"/>
        <v/>
      </c>
      <c r="CR16" s="165" t="str">
        <f t="shared" si="2"/>
        <v/>
      </c>
      <c r="CV16" s="166" t="s">
        <v>621</v>
      </c>
      <c r="CW16" s="166" t="s">
        <v>621</v>
      </c>
      <c r="CX16" s="165">
        <f>AP16/$AP$255</f>
        <v>0</v>
      </c>
      <c r="CY16" s="167">
        <f t="shared" si="3"/>
        <v>0</v>
      </c>
      <c r="DB16" s="106"/>
      <c r="DC16" s="106"/>
      <c r="DD16" s="106"/>
      <c r="DE16" s="106"/>
      <c r="DF16" s="106"/>
      <c r="DG16" s="105" t="str">
        <f t="shared" si="4"/>
        <v>excl</v>
      </c>
      <c r="DH16" t="s">
        <v>61</v>
      </c>
      <c r="DI16" s="111">
        <f t="shared" si="5"/>
        <v>0</v>
      </c>
      <c r="DJ16" s="111">
        <f t="shared" si="5"/>
        <v>0</v>
      </c>
      <c r="DK16" s="111">
        <f t="shared" si="6"/>
        <v>0</v>
      </c>
      <c r="DL16" s="111">
        <f t="shared" si="7"/>
        <v>0</v>
      </c>
      <c r="DM16" s="111">
        <f t="shared" si="8"/>
        <v>0</v>
      </c>
      <c r="DN16" s="111">
        <f t="shared" si="9"/>
        <v>0</v>
      </c>
      <c r="DO16" s="111">
        <f t="shared" si="10"/>
        <v>0</v>
      </c>
      <c r="DP16" s="111">
        <f t="shared" si="11"/>
        <v>0</v>
      </c>
      <c r="DQ16" s="106"/>
      <c r="DR16" s="106"/>
      <c r="DS16" s="111"/>
      <c r="DT16" s="168"/>
      <c r="DW16" s="111">
        <f t="shared" si="12"/>
        <v>0</v>
      </c>
      <c r="DX16" s="111">
        <f t="shared" si="12"/>
        <v>0</v>
      </c>
      <c r="DY16" s="111">
        <f t="shared" si="12"/>
        <v>0</v>
      </c>
      <c r="DZ16" s="111">
        <f t="shared" si="12"/>
        <v>0</v>
      </c>
      <c r="EP16" t="s">
        <v>61</v>
      </c>
      <c r="EQ16">
        <v>0</v>
      </c>
      <c r="ER16" s="111">
        <f t="shared" si="13"/>
        <v>0</v>
      </c>
      <c r="ES16" s="111">
        <f>IF($BI$8=2015,VLOOKUP($L16,'[12]IMAGE CDLINKS CurPol'!$P$3:$Y$29,10,FALSE)*$AM16,VLOOKUP($L16,'[12]IMAGE CDLINKS CurPol'!$Z$3:$AI$29,10,FALSE)*$AP16)</f>
        <v>0</v>
      </c>
      <c r="ET16" s="111">
        <f t="shared" si="14"/>
        <v>0</v>
      </c>
      <c r="EU16" s="111">
        <f t="shared" si="19"/>
        <v>0</v>
      </c>
      <c r="EV16" s="111">
        <f>IF($BI$8=2015,VLOOKUP($L16,'[12]IMAGE CDLINKS 2C'!$P$3:$Y$29,10,FALSE)*$AM16,VLOOKUP($L16,'[12]IMAGE CDLINKS 2C'!$Z$3:$AI$29,10,FALSE)*$AP16)</f>
        <v>0</v>
      </c>
      <c r="EY16" s="111">
        <f t="shared" si="20"/>
        <v>0</v>
      </c>
      <c r="EZ16" s="111">
        <f>IF($BI$8=2015,VLOOKUP($L16,'[12]IMAGE CDLINKS 1_5C'!$P$3:$Y$29,10,FALSE)*$AM16,VLOOKUP($L16,'[12]IMAGE CDLINKS 1_5C'!$Z$3:$AI$29,10,FALSE)*$AP16)</f>
        <v>0</v>
      </c>
      <c r="FA16" s="132"/>
    </row>
    <row r="17" spans="1:157" x14ac:dyDescent="0.25">
      <c r="A17" t="str">
        <f>IF([12]NDCs!C19="","",[12]NDCs!C19)</f>
        <v>B</v>
      </c>
      <c r="B17" s="159" t="str">
        <f t="shared" si="0"/>
        <v>v</v>
      </c>
      <c r="C17">
        <v>0</v>
      </c>
      <c r="D17">
        <v>0</v>
      </c>
      <c r="E17">
        <v>0</v>
      </c>
      <c r="F17">
        <v>0</v>
      </c>
      <c r="G17" t="b">
        <f t="shared" si="1"/>
        <v>1</v>
      </c>
      <c r="H17" t="s">
        <v>2328</v>
      </c>
      <c r="I17" t="s">
        <v>63</v>
      </c>
      <c r="J17">
        <v>20</v>
      </c>
      <c r="K17">
        <v>5</v>
      </c>
      <c r="L17">
        <v>11</v>
      </c>
      <c r="M17" t="str">
        <f>IF([12]NDCs!AL19="Excluding","excl","incl")</f>
        <v>excl</v>
      </c>
      <c r="N17" s="160">
        <f>[12]GHG_hist!BA7+IF($M17="incl",[12]LULUCF_hist!CR7,0)</f>
        <v>0.41024451000000001</v>
      </c>
      <c r="O17" s="111">
        <f>[12]GHG_hist!BB7+IF($M17="incl",[12]LULUCF_hist!CS7,0)</f>
        <v>0.41855783000000002</v>
      </c>
      <c r="P17" s="111">
        <f>[12]GHG_hist!BC7+IF($M17="incl",[12]LULUCF_hist!CT7,0)</f>
        <v>0.42707332000000003</v>
      </c>
      <c r="Q17" s="111">
        <f>[12]GHG_hist!BD7+IF($M17="incl",[12]LULUCF_hist!CU7,0)</f>
        <v>0.43858460999999999</v>
      </c>
      <c r="R17" s="111">
        <f>[12]GHG_hist!BE7+IF($M17="incl",[12]LULUCF_hist!CV7,0)</f>
        <v>0.44235886000000002</v>
      </c>
      <c r="S17" s="111">
        <f>[12]GHG_hist!BF7+IF($M17="incl",[12]LULUCF_hist!CW7,0)</f>
        <v>0.46654546000000002</v>
      </c>
      <c r="T17" s="111">
        <f>[12]GHG_hist!BG7+IF($M17="incl",[12]LULUCF_hist!CX7,0)</f>
        <v>0.49669637</v>
      </c>
      <c r="U17" s="111">
        <f>[12]GHG_hist!BH7+IF($M17="incl",[12]LULUCF_hist!CY7,0)</f>
        <v>0.50645125999999996</v>
      </c>
      <c r="V17" s="111">
        <f>[12]GHG_hist!BI7+IF($M17="incl",[12]LULUCF_hist!CZ7,0)</f>
        <v>0.51688701999999997</v>
      </c>
      <c r="W17" s="111">
        <f>[12]GHG_hist!BJ7+IF($M17="incl",[12]LULUCF_hist!DA7,0)</f>
        <v>0.53323803999999997</v>
      </c>
      <c r="X17" s="111">
        <f>[12]GHG_hist!BK7+IF($M17="incl",[12]LULUCF_hist!DB7,0)</f>
        <v>0.54407991</v>
      </c>
      <c r="Y17" s="111">
        <f>[12]GHG_hist!BL7+IF($M17="incl",[12]LULUCF_hist!DC7,0)</f>
        <v>0.54256397000000001</v>
      </c>
      <c r="Z17" s="111">
        <f>[12]GHG_hist!BM7+IF($M17="incl",[12]LULUCF_hist!DD7,0)</f>
        <v>0.54947965999999993</v>
      </c>
      <c r="AA17" s="111">
        <f>[12]GHG_hist!BN7+IF($M17="incl",[12]LULUCF_hist!DE7,0)</f>
        <v>0.55286464000000002</v>
      </c>
      <c r="AB17" s="111">
        <f>[12]GHG_hist!BO7+IF($M17="incl",[12]LULUCF_hist!DF7,0)</f>
        <v>0.57675832000000005</v>
      </c>
      <c r="AC17" s="111">
        <f>[12]GHG_hist!BP7+IF($M17="incl",[12]LULUCF_hist!DG7,0)</f>
        <v>0.58966796999999993</v>
      </c>
      <c r="AD17" s="111">
        <f>[12]GHG_hist!BQ7+IF($M17="incl",[12]LULUCF_hist!DH7,0)</f>
        <v>0.56060397000000006</v>
      </c>
      <c r="AE17" s="111">
        <f>[12]GHG_hist!BR7+IF($M17="incl",[12]LULUCF_hist!DI7,0)</f>
        <v>0.55365195000000011</v>
      </c>
      <c r="AF17" s="111">
        <f>[12]GHG_hist!BS7+IF($M17="incl",[12]LULUCF_hist!DJ7,0)</f>
        <v>0.55347135000000003</v>
      </c>
      <c r="AG17" s="111">
        <f>[12]GHG_hist!BT7+IF($M17="incl",[12]LULUCF_hist!DK7,0)</f>
        <v>0.53126188000000008</v>
      </c>
      <c r="AH17" s="111">
        <f>[12]GHG_hist!BU7+IF($M17="incl",[12]LULUCF_hist!DL7,0)</f>
        <v>0.53152264999999999</v>
      </c>
      <c r="AI17" s="111">
        <f>[12]GHG_hist!BV7+IF($M17="incl",[12]LULUCF_hist!DM7,0)</f>
        <v>0.5082508</v>
      </c>
      <c r="AJ17" s="111">
        <f>[12]GHG_hist!BW7+IF($M17="incl",[12]LULUCF_hist!DN7,0)</f>
        <v>0.50571998000000007</v>
      </c>
      <c r="AK17" s="111">
        <f>[12]GHG_hist!BX7+IF($M17="incl",[12]LULUCF_hist!DO7,0)</f>
        <v>0.49524518000000001</v>
      </c>
      <c r="AL17" s="111">
        <f>[12]GHG_hist!BY7+IF($M17="incl",[12]LULUCF_hist!DP7,0)</f>
        <v>0.48354068</v>
      </c>
      <c r="AM17" s="111">
        <f>[12]GHG_hist!BZ7+IF($M17="incl",[12]LULUCF_hist!DQ7,0)</f>
        <v>0.48308319</v>
      </c>
      <c r="AN17" s="111">
        <f>[12]GHG_hist!CA7+IF($M17="incl",[12]LULUCF_hist!DR7,0)</f>
        <v>0.49413106000000001</v>
      </c>
      <c r="AO17" s="111">
        <f>[12]GHG_hist!CB7+IF($M17="incl",[12]LULUCF_hist!DS7,0)</f>
        <v>0.49745278999999998</v>
      </c>
      <c r="AP17" s="111">
        <f>[12]GHG_hist!CC7+IF($M17="incl",[12]LULUCF_hist!DT7,0)</f>
        <v>0.52364076000000004</v>
      </c>
      <c r="AQ17" s="111">
        <f>[12]GHG_hist!CD7+IF($M17="incl",[12]LULUCF_hist!DU7,0)</f>
        <v>0.52109227000000002</v>
      </c>
      <c r="AR17" s="111">
        <f>[12]GHG_hist!CE7+IF($M17="incl",[12]LULUCF_hist!DV7,0)</f>
        <v>0.44888400000000001</v>
      </c>
      <c r="AS17" s="111">
        <f>[12]GHG_hist!CF7+IF($M17="incl",[12]LULUCF_hist!DW7,0)</f>
        <v>0.49976677000000003</v>
      </c>
      <c r="AT17" s="161">
        <f>VLOOKUP($L17,'[12]IMAGE SSP2'!$AF$3:$AK$29,4,FALSE)*$AM17</f>
        <v>0.46974886207439992</v>
      </c>
      <c r="AU17" s="162">
        <f>VLOOKUP($L17,'[12]IMAGE SSP2'!$AF$3:$AK$29,5,FALSE)*$AM17</f>
        <v>0.45419954636247034</v>
      </c>
      <c r="AV17" s="163">
        <f>VLOOKUP($L17,'[12]IMAGE SSP2'!$AF$3:$AK$29,6,FALSE)*$AM17</f>
        <v>0.45167232001871499</v>
      </c>
      <c r="AW17" s="111">
        <f>IF(A17="B",AM17+(AX17-AM17)*0.33333,"")</f>
        <v>0.49890530177729997</v>
      </c>
      <c r="AX17" s="164">
        <f>IF(A17="B",IF(M17="excl",[12]NatCom!CO7,[12]NatCom!AX7),"")</f>
        <v>0.53054999999999997</v>
      </c>
      <c r="AY17" s="111" t="str">
        <f>IF('[12]Pledge 2020'!E7="","",'[12]Pledge 2020'!E7)</f>
        <v/>
      </c>
      <c r="AZ17" s="164" t="str">
        <f>IF('[12]Pledge 2020'!F7="","",'[12]Pledge 2020'!F7)</f>
        <v/>
      </c>
      <c r="BA17" s="111">
        <f t="shared" si="16"/>
        <v>0.38549566249999995</v>
      </c>
      <c r="BB17" s="111">
        <f>IF(BF17="","",(BF17-AH17)*0.75+AH17)</f>
        <v>0.38549566249999995</v>
      </c>
      <c r="BC17" s="111">
        <f t="shared" si="17"/>
        <v>0.38549566249999995</v>
      </c>
      <c r="BD17" s="111">
        <f>IF(BH17="","",(BH17-AH17)*0.75+AH17)</f>
        <v>0.38549566249999995</v>
      </c>
      <c r="BE17" s="169">
        <v>0.33681999999999995</v>
      </c>
      <c r="BF17" s="169">
        <v>0.33681999999999995</v>
      </c>
      <c r="BG17" s="169">
        <v>0.33681999999999995</v>
      </c>
      <c r="BH17" s="170">
        <v>0.33681999999999995</v>
      </c>
      <c r="BI17" s="111">
        <f>IF([12]NDCs!V19="",IF([12]NDCs!X19="","",[12]NDCs!X19),[12]NDCs!V19)</f>
        <v>0.33681999999999995</v>
      </c>
      <c r="BJ17" s="111">
        <f>IF([12]NDCs!V19="",IF([12]NDCs!X19="","",[12]NDCs!X19),[12]NDCs!V19)</f>
        <v>0.33681999999999995</v>
      </c>
      <c r="BK17" s="111">
        <f>IF([12]NDCs!Z19="",IF([12]NDCs!AB19="",IF('input site'!BE17="","",'input site'!BE17),[12]NDCs!AB19),[12]NDCs!Z19)</f>
        <v>0.33681999999999995</v>
      </c>
      <c r="BL17" s="111">
        <f>IF([12]NDCs!AA19="",IF([12]NDCs!AC19="",IF('input site'!BF17="","",'input site'!BF17),[12]NDCs!AC19),[12]NDCs!AA19)</f>
        <v>0.33681999999999995</v>
      </c>
      <c r="BM17" s="111">
        <f>IF($BI$8=2015,VLOOKUP($L17,'[12]IMAGE CurPol SSP'!$AZ$3:$BD$29,4,FALSE)*$AM17,IF($BI$8=2018,VLOOKUP($L17,'[12]IMAGE CurPol SSP'!$BJ$3:$BN$29,4,FALSE)*$AP17,$AR17))</f>
        <v>0.44888400000000001</v>
      </c>
      <c r="BN17" s="111">
        <f t="shared" si="18"/>
        <v>0.44888400000000001</v>
      </c>
      <c r="BO17" s="111">
        <f t="shared" si="18"/>
        <v>0.44888400000000001</v>
      </c>
      <c r="BP17" s="111">
        <f>IF($BI$8=2015,VLOOKUP($L17,'[12]IMAGE CurPol SSP'!$AZ$3:$BD$29,5,FALSE)*$AM17,IF($BI$8=2018,VLOOKUP($L17,'[12]IMAGE CurPol SSP'!$BJ$3:$BN$29,5,FALSE)*$AP17,VLOOKUP($L17,'[12]IMAGE CurPol SSP'!$BU$3:$BZ$29,5,FALSE)*$AS17))</f>
        <v>0.40538064265637797</v>
      </c>
      <c r="BQ17" s="111">
        <f>IF($BI$8=2015,"",IF($BI$8=2018,"",VLOOKUP($L17,'[12]IMAGE CurPol SSP'!$CQ$3:$CV$29,5,FALSE)*$AS17))</f>
        <v>0.39398198012731572</v>
      </c>
      <c r="BR17" s="111">
        <f>IF($BI$8=2015,"",IF($BI$8=2018,"",VLOOKUP($L17,'[12]IMAGE CurPol SSP'!$CF$3:$CK$29,5,FALSE)*$AS17))</f>
        <v>0.41230340018113637</v>
      </c>
      <c r="BS17" s="111">
        <f>IF($BI$8=2015,VLOOKUP($L17,'[12]IMAGE CurPol SSP'!$AZ$3:$BE$29,6,FALSE)*$AM17,IF($BI$8=2018,VLOOKUP($L17,'[12]IMAGE CurPol SSP'!$BJ$3:$BO$29,6,FALSE)*$AP17,VLOOKUP($L17,'[12]IMAGE CurPol SSP'!$BU$3:$BZ$29,6,FALSE)*$AS17))</f>
        <v>0.27884462343578759</v>
      </c>
      <c r="BT17" s="111">
        <f>IF($BI$8=2015,"",IF($BI$8=2018,"",VLOOKUP($L17,'[12]IMAGE CurPol SSP'!$CQ$3:$CV$29,6,FALSE)*$AS17))</f>
        <v>0.26076374554668408</v>
      </c>
      <c r="BU17" s="164">
        <f>IF($BI$8=2015,"",IF($BI$8=2018,"",VLOOKUP($L17,'[12]IMAGE CurPol SSP'!$CF$3:$CK$29,6,FALSE)*$AS17))</f>
        <v>0.29305130419363218</v>
      </c>
      <c r="CN17" t="s">
        <v>63</v>
      </c>
      <c r="CO17" s="165">
        <f t="shared" si="2"/>
        <v>0.20791283636696312</v>
      </c>
      <c r="CP17" s="165">
        <f t="shared" si="2"/>
        <v>0.20791283636696312</v>
      </c>
      <c r="CQ17" s="165">
        <f t="shared" si="2"/>
        <v>0.20791283636696312</v>
      </c>
      <c r="CR17" s="165">
        <f t="shared" si="2"/>
        <v>0.20791283636696312</v>
      </c>
      <c r="CS17" s="159"/>
      <c r="CU17" s="159"/>
      <c r="CV17" s="166" t="s">
        <v>621</v>
      </c>
      <c r="CW17" s="166" t="s">
        <v>621</v>
      </c>
      <c r="CX17" s="159"/>
      <c r="CY17" s="167">
        <f t="shared" si="3"/>
        <v>2.0864862074399915E-2</v>
      </c>
      <c r="CZ17" s="159"/>
      <c r="DB17" s="106"/>
      <c r="DC17" s="106"/>
      <c r="DD17" s="106"/>
      <c r="DE17" s="106"/>
      <c r="DF17" s="106"/>
      <c r="DG17" s="105" t="str">
        <f t="shared" si="4"/>
        <v>excl</v>
      </c>
      <c r="DH17" t="s">
        <v>63</v>
      </c>
      <c r="DI17" s="111">
        <f t="shared" si="5"/>
        <v>0</v>
      </c>
      <c r="DJ17" s="111">
        <f t="shared" si="5"/>
        <v>0</v>
      </c>
      <c r="DK17" s="111">
        <f t="shared" si="6"/>
        <v>-1.9884980156378018E-2</v>
      </c>
      <c r="DL17" s="111">
        <f t="shared" si="7"/>
        <v>-1.9884980156378018E-2</v>
      </c>
      <c r="DM17" s="111">
        <f t="shared" si="8"/>
        <v>5.7975376564212366E-2</v>
      </c>
      <c r="DN17" s="111">
        <f t="shared" si="9"/>
        <v>5.7975376564212366E-2</v>
      </c>
      <c r="DO17" s="111">
        <f t="shared" si="10"/>
        <v>5.7975376564212366E-2</v>
      </c>
      <c r="DP17" s="111">
        <f t="shared" si="11"/>
        <v>5.7975376564212366E-2</v>
      </c>
      <c r="DQ17" s="106"/>
      <c r="DR17" s="106"/>
      <c r="DS17" s="111"/>
      <c r="DT17" s="168"/>
      <c r="DW17" s="111">
        <f t="shared" si="12"/>
        <v>0.33681999999999995</v>
      </c>
      <c r="DX17" s="111">
        <f t="shared" si="12"/>
        <v>0.33681999999999995</v>
      </c>
      <c r="DY17" s="111">
        <f t="shared" si="12"/>
        <v>0.33681999999999995</v>
      </c>
      <c r="DZ17" s="111">
        <f t="shared" si="12"/>
        <v>0.33681999999999995</v>
      </c>
      <c r="EP17" t="s">
        <v>63</v>
      </c>
      <c r="EQ17">
        <v>4</v>
      </c>
      <c r="ER17" s="111">
        <f t="shared" si="13"/>
        <v>0.52364076000000004</v>
      </c>
      <c r="ES17" s="111">
        <f>IF($BI$8=2015,VLOOKUP($L17,'[12]IMAGE CDLINKS CurPol'!$P$3:$Y$29,10,FALSE)*$AM17,VLOOKUP($L17,'[12]IMAGE CDLINKS CurPol'!$Z$3:$AI$29,10,FALSE)*$AP17)</f>
        <v>0.50177523807254887</v>
      </c>
      <c r="ET17" s="111">
        <f t="shared" si="14"/>
        <v>0</v>
      </c>
      <c r="EU17" s="111">
        <f t="shared" si="19"/>
        <v>0</v>
      </c>
      <c r="EV17" s="111">
        <f>IF($BI$8=2015,VLOOKUP($L17,'[12]IMAGE CDLINKS 2C'!$P$3:$Y$29,10,FALSE)*$AM17,VLOOKUP($L17,'[12]IMAGE CDLINKS 2C'!$Z$3:$AI$29,10,FALSE)*$AP17)</f>
        <v>0.10690787550048576</v>
      </c>
      <c r="EY17" s="111">
        <f t="shared" si="20"/>
        <v>0</v>
      </c>
      <c r="EZ17" s="111">
        <f>IF($BI$8=2015,VLOOKUP($L17,'[12]IMAGE CDLINKS 1_5C'!$P$3:$Y$29,10,FALSE)*$AM17,VLOOKUP($L17,'[12]IMAGE CDLINKS 1_5C'!$Z$3:$AI$29,10,FALSE)*$AP17)</f>
        <v>5.9133301407570948E-2</v>
      </c>
      <c r="FA17" s="132"/>
    </row>
    <row r="18" spans="1:157" x14ac:dyDescent="0.25">
      <c r="A18" t="str">
        <f>IF([12]NDCs!C20="","",[12]NDCs!C20)</f>
        <v>B</v>
      </c>
      <c r="B18" s="159" t="str">
        <f t="shared" si="0"/>
        <v>v</v>
      </c>
      <c r="C18">
        <v>0</v>
      </c>
      <c r="D18">
        <v>0</v>
      </c>
      <c r="E18">
        <v>0</v>
      </c>
      <c r="F18">
        <v>1</v>
      </c>
      <c r="G18" t="b">
        <f t="shared" si="1"/>
        <v>1</v>
      </c>
      <c r="H18" t="s">
        <v>2328</v>
      </c>
      <c r="I18" t="s">
        <v>65</v>
      </c>
      <c r="J18">
        <v>24</v>
      </c>
      <c r="K18">
        <v>6</v>
      </c>
      <c r="L18">
        <v>26</v>
      </c>
      <c r="M18" t="str">
        <f>IF([12]NDCs!AL20="Excluding","excl","incl")</f>
        <v>incl</v>
      </c>
      <c r="N18" s="160">
        <f>[12]GHG_hist!BA8+IF($M18="incl",[12]LULUCF_hist!CR8,0)</f>
        <v>96.029864000000003</v>
      </c>
      <c r="O18" s="111">
        <f>[12]GHG_hist!BB8+IF($M18="incl",[12]LULUCF_hist!CS8,0)</f>
        <v>95.855466000000007</v>
      </c>
      <c r="P18" s="111">
        <f>[12]GHG_hist!BC8+IF($M18="incl",[12]LULUCF_hist!CT8,0)</f>
        <v>95.119840000000011</v>
      </c>
      <c r="Q18" s="111">
        <f>[12]GHG_hist!BD8+IF($M18="incl",[12]LULUCF_hist!CU8,0)</f>
        <v>98.614003999999994</v>
      </c>
      <c r="R18" s="111">
        <f>[12]GHG_hist!BE8+IF($M18="incl",[12]LULUCF_hist!CV8,0)</f>
        <v>106.060151</v>
      </c>
      <c r="S18" s="111">
        <f>[12]GHG_hist!BF8+IF($M18="incl",[12]LULUCF_hist!CW8,0)</f>
        <v>119.79486300000001</v>
      </c>
      <c r="T18" s="111">
        <f>[12]GHG_hist!BG8+IF($M18="incl",[12]LULUCF_hist!CX8,0)</f>
        <v>124.54023100000001</v>
      </c>
      <c r="U18" s="111">
        <f>[12]GHG_hist!BH8+IF($M18="incl",[12]LULUCF_hist!CY8,0)</f>
        <v>122.671448</v>
      </c>
      <c r="V18" s="111">
        <f>[12]GHG_hist!BI8+IF($M18="incl",[12]LULUCF_hist!CZ8,0)</f>
        <v>129.36720300000002</v>
      </c>
      <c r="W18" s="111">
        <f>[12]GHG_hist!BJ8+IF($M18="incl",[12]LULUCF_hist!DA8,0)</f>
        <v>128.039016</v>
      </c>
      <c r="X18" s="111">
        <f>[12]GHG_hist!BK8+IF($M18="incl",[12]LULUCF_hist!DB8,0)</f>
        <v>124.58520800000001</v>
      </c>
      <c r="Y18" s="111">
        <f>[12]GHG_hist!BL8+IF($M18="incl",[12]LULUCF_hist!DC8,0)</f>
        <v>123.34129900000001</v>
      </c>
      <c r="Z18" s="111">
        <f>[12]GHG_hist!BM8+IF($M18="incl",[12]LULUCF_hist!DD8,0)</f>
        <v>125.229645</v>
      </c>
      <c r="AA18" s="111">
        <f>[12]GHG_hist!BN8+IF($M18="incl",[12]LULUCF_hist!DE8,0)</f>
        <v>130.408128</v>
      </c>
      <c r="AB18" s="111">
        <f>[12]GHG_hist!BO8+IF($M18="incl",[12]LULUCF_hist!DF8,0)</f>
        <v>133.55160000000001</v>
      </c>
      <c r="AC18" s="111">
        <f>[12]GHG_hist!BP8+IF($M18="incl",[12]LULUCF_hist!DG8,0)</f>
        <v>132.64849100000001</v>
      </c>
      <c r="AD18" s="111">
        <f>[12]GHG_hist!BQ8+IF($M18="incl",[12]LULUCF_hist!DH8,0)</f>
        <v>125.000046</v>
      </c>
      <c r="AE18" s="111">
        <f>[12]GHG_hist!BR8+IF($M18="incl",[12]LULUCF_hist!DI8,0)</f>
        <v>126.63062500000001</v>
      </c>
      <c r="AF18" s="111">
        <f>[12]GHG_hist!BS8+IF($M18="incl",[12]LULUCF_hist!DJ8,0)</f>
        <v>127.562118</v>
      </c>
      <c r="AG18" s="111">
        <f>[12]GHG_hist!BT8+IF($M18="incl",[12]LULUCF_hist!DK8,0)</f>
        <v>128.923821</v>
      </c>
      <c r="AH18" s="111">
        <f>[12]GHG_hist!BU8+IF($M18="incl",[12]LULUCF_hist!DL8,0)</f>
        <v>137.11049200000002</v>
      </c>
      <c r="AI18" s="111">
        <f>[12]GHG_hist!BV8+IF($M18="incl",[12]LULUCF_hist!DM8,0)</f>
        <v>167.69878499999999</v>
      </c>
      <c r="AJ18" s="111">
        <f>[12]GHG_hist!BW8+IF($M18="incl",[12]LULUCF_hist!DN8,0)</f>
        <v>168.55379700000003</v>
      </c>
      <c r="AK18" s="111">
        <f>[12]GHG_hist!BX8+IF($M18="incl",[12]LULUCF_hist!DO8,0)</f>
        <v>169.87081499999999</v>
      </c>
      <c r="AL18" s="111">
        <f>[12]GHG_hist!BY8+IF($M18="incl",[12]LULUCF_hist!DP8,0)</f>
        <v>179.952349</v>
      </c>
      <c r="AM18" s="111">
        <f>[12]GHG_hist!BZ8+IF($M18="incl",[12]LULUCF_hist!DQ8,0)</f>
        <v>174.37062199999997</v>
      </c>
      <c r="AN18" s="111">
        <f>[12]GHG_hist!CA8+IF($M18="incl",[12]LULUCF_hist!DR8,0)</f>
        <v>174.689234</v>
      </c>
      <c r="AO18" s="111">
        <f>[12]GHG_hist!CB8+IF($M18="incl",[12]LULUCF_hist!DS8,0)</f>
        <v>175.01639399999999</v>
      </c>
      <c r="AP18" s="111">
        <f>[12]GHG_hist!CC8+IF($M18="incl",[12]LULUCF_hist!DT8,0)</f>
        <v>165.68205699999999</v>
      </c>
      <c r="AQ18" s="111">
        <f>[12]GHG_hist!CD8+IF($M18="incl",[12]LULUCF_hist!DU8,0)</f>
        <v>163.7283762561575</v>
      </c>
      <c r="AR18" s="111">
        <f>[12]GHG_hist!CE8+IF($M18="incl",[12]LULUCF_hist!DV8,0)</f>
        <v>155.68768163645316</v>
      </c>
      <c r="AS18" s="111">
        <f>[12]GHG_hist!CF8+IF($M18="incl",[12]LULUCF_hist!DW8,0)</f>
        <v>157.57325001674883</v>
      </c>
      <c r="AT18" s="171">
        <f>VLOOKUP($L18,'[12]IMAGE SSP2'!$AF$3:$AK$29,4,FALSE)*($AM18-'[12]IIASA Proj'!$EQ8)+('[12]IIASA Proj'!$EQ8+'[12]IIASA Proj'!$ER8)</f>
        <v>196.36370325668057</v>
      </c>
      <c r="AU18" s="172">
        <f>VLOOKUP($L18,'[12]IMAGE SSP2'!$AF$3:$AK$29,5,FALSE)*($AM18-'[12]IIASA Proj'!$EQ8)+('[12]IIASA Proj'!$EQ8+'[12]IIASA Proj'!$ES8)</f>
        <v>207.77516830631242</v>
      </c>
      <c r="AV18" s="173">
        <f>VLOOKUP($L18,'[12]IMAGE SSP2'!$AF$3:$AK$29,6,FALSE)*($AM18-'[12]IIASA Proj'!$EQ8)+('[12]IIASA Proj'!$EQ8+'[12]IIASA Proj'!$ET8)</f>
        <v>236.51289222383161</v>
      </c>
      <c r="AW18" s="111">
        <f>IF(A18="B",AM18+(AX18-AM18)*0.33333,"")</f>
        <v>180.66368506873999</v>
      </c>
      <c r="AX18" s="164">
        <f>IF(A18="B",IF(M18="excl",[12]NatCom!CO8,[12]NatCom!AX8),"")</f>
        <v>193.25</v>
      </c>
      <c r="AY18" s="111" t="str">
        <f>IF('[12]Pledge 2020'!E8="","",'[12]Pledge 2020'!E8)</f>
        <v/>
      </c>
      <c r="AZ18" s="164" t="str">
        <f>IF('[12]Pledge 2020'!F8="","",'[12]Pledge 2020'!F8)</f>
        <v/>
      </c>
      <c r="BA18" s="169">
        <f>IF(BE18="","",(BE18-AH18)+AH18)</f>
        <v>93.284199999999998</v>
      </c>
      <c r="BB18" s="169">
        <f>IF(BF18="","",(BF18-AH18)+AH18)</f>
        <v>93.284199999999998</v>
      </c>
      <c r="BC18" s="169">
        <f>IF(BG18="","",(BG18-AH18)+AH18)</f>
        <v>82.437200000000004</v>
      </c>
      <c r="BD18" s="170">
        <f>IF(BH18="","",(BH18-AH18)+AH18)</f>
        <v>82.437200000000004</v>
      </c>
      <c r="BE18" s="169">
        <v>93.284199999999998</v>
      </c>
      <c r="BF18" s="169">
        <v>93.284199999999998</v>
      </c>
      <c r="BG18" s="169">
        <v>82.437200000000004</v>
      </c>
      <c r="BH18" s="170">
        <v>82.437200000000004</v>
      </c>
      <c r="BI18" s="111">
        <f>IF([12]NDCs!V20="",IF([12]NDCs!X20="","",[12]NDCs!X20),[12]NDCs!V20)</f>
        <v>125.61250000000001</v>
      </c>
      <c r="BJ18" s="111">
        <f>IF([12]NDCs!V20="",IF([12]NDCs!X20="","",[12]NDCs!X20),[12]NDCs!V20)</f>
        <v>125.61250000000001</v>
      </c>
      <c r="BK18" s="111">
        <f>IF([12]NDCs!Z20="",IF([12]NDCs!AB20="",IF('input site'!BE18="","",'input site'!BE18),[12]NDCs!AB20),[12]NDCs!Z20)</f>
        <v>96.625</v>
      </c>
      <c r="BL18" s="111">
        <f>IF([12]NDCs!AA20="",IF([12]NDCs!AC20="",IF('input site'!BF18="","",'input site'!BF18),[12]NDCs!AC20),[12]NDCs!AA20)</f>
        <v>96.625</v>
      </c>
      <c r="BM18" s="174">
        <f>IF($BI$8=2015,VLOOKUP($L18,'[12]IMAGE CurPol SSP'!$AZ$3:$BD$29,4,FALSE)*($AM18-'[12]IIASA Proj'!$EQ8)+('[12]IIASA Proj'!$EQ8+'[12]IIASA Proj'!$ER8),AR18)</f>
        <v>155.68768163645316</v>
      </c>
      <c r="BN18" s="175">
        <f t="shared" si="18"/>
        <v>155.68768163645316</v>
      </c>
      <c r="BO18" s="175">
        <f t="shared" si="18"/>
        <v>155.68768163645316</v>
      </c>
      <c r="BP18" s="174">
        <f>IF($BI$8=2015,VLOOKUP($L18,'[12]IMAGE CurPol SSP'!$AZ$3:$BD$29,5,FALSE)*($AM18-'[12]IIASA Proj'!$EQ8)+('[12]IIASA Proj'!$EQ8+'[12]IIASA Proj'!$ES8),VLOOKUP($L18,'[12]IMAGE CurPol SSP'!$BU$3:$BZ$29,5,FALSE)*($AS18-'[12]IIASA Proj'!$DV8)+('[12]IIASA Proj'!$EA8))</f>
        <v>168.11451431719857</v>
      </c>
      <c r="BQ18" s="174">
        <f>IF($BI$8=2015,"",IF($BI$8=2018,"",MIN(BP18,VLOOKUP($L18,'[12]IMAGE CurPol SSP'!$CQ$3:$CV$29,5,FALSE)*$AS18)))</f>
        <v>168.11451431719857</v>
      </c>
      <c r="BR18" s="174">
        <f>IF($BI$8=2015,"",IF($BI$8=2018,"",MAX(BP18,VLOOKUP($L18,'[12]IMAGE CurPol SSP'!$CF$3:$CK$29,5,FALSE)*$AS18)))</f>
        <v>173.54696201826536</v>
      </c>
      <c r="BS18" s="174">
        <f>IF($BI$8=2015,VLOOKUP($L18,'[12]IMAGE CurPol SSP'!$AZ$3:$BE$29,6,FALSE)*($AM18-'[12]IIASA Proj'!$EQ8)+('[12]IIASA Proj'!$EQ8+'[12]IIASA Proj'!$ET8),VLOOKUP($L18,'[12]IMAGE CurPol SSP'!$BU$3:$BZ$29,6,FALSE)*($AS18-'[12]IIASA Proj'!$DV8)+('[12]IIASA Proj'!$EF8))</f>
        <v>187.01658343200677</v>
      </c>
      <c r="BT18" s="174">
        <f>IF($BI$8=2015,"",IF($BI$8=2018,"",MIN($BS18,VLOOKUP($L18,'[12]IMAGE CurPol SSP'!$CQ$3:$CV$29,6,FALSE)*$AS18)))</f>
        <v>187.01658343200677</v>
      </c>
      <c r="BU18" s="176">
        <f>IF($BI$8=2015,"",IF($BI$8=2018,"",MAX($BS18,VLOOKUP($L18,'[12]IMAGE CurPol SSP'!$CF$3:$CK$29,6,FALSE)*$AS18)))</f>
        <v>199.49396845754762</v>
      </c>
      <c r="CN18" t="s">
        <v>65</v>
      </c>
      <c r="CO18" s="165">
        <f t="shared" si="2"/>
        <v>-0.50119824516035427</v>
      </c>
      <c r="CP18" s="165">
        <f t="shared" si="2"/>
        <v>-0.50119824516035427</v>
      </c>
      <c r="CQ18" s="165">
        <f t="shared" si="2"/>
        <v>-0.55919844921147588</v>
      </c>
      <c r="CR18" s="165">
        <f t="shared" si="2"/>
        <v>-0.55919844921147588</v>
      </c>
      <c r="CS18" s="159"/>
      <c r="CU18" s="159"/>
      <c r="CV18" s="166" t="s">
        <v>621</v>
      </c>
      <c r="CW18" s="166" t="s">
        <v>621</v>
      </c>
      <c r="CX18" s="159"/>
      <c r="CY18" s="167">
        <f t="shared" si="3"/>
        <v>40.676021620227402</v>
      </c>
      <c r="CZ18" s="159"/>
      <c r="DB18" s="106"/>
      <c r="DC18" s="106"/>
      <c r="DD18" s="106"/>
      <c r="DE18" s="106"/>
      <c r="DF18" s="106"/>
      <c r="DG18" s="105" t="str">
        <f t="shared" si="4"/>
        <v>incl</v>
      </c>
      <c r="DH18" t="s">
        <v>65</v>
      </c>
      <c r="DI18" s="111">
        <f t="shared" si="5"/>
        <v>0</v>
      </c>
      <c r="DJ18" s="111">
        <f t="shared" si="5"/>
        <v>0</v>
      </c>
      <c r="DK18" s="111">
        <f t="shared" si="6"/>
        <v>-74.830314317198571</v>
      </c>
      <c r="DL18" s="111">
        <f t="shared" si="7"/>
        <v>-85.677314317198565</v>
      </c>
      <c r="DM18" s="111">
        <f t="shared" si="8"/>
        <v>-93.73238343200677</v>
      </c>
      <c r="DN18" s="111">
        <f t="shared" si="9"/>
        <v>-104.57938343200676</v>
      </c>
      <c r="DO18" s="111">
        <f t="shared" si="10"/>
        <v>-61.404083432006757</v>
      </c>
      <c r="DP18" s="111">
        <f t="shared" si="11"/>
        <v>-90.391583432006769</v>
      </c>
      <c r="DQ18" s="106"/>
      <c r="DR18" s="106"/>
      <c r="DS18" s="177">
        <f>[12]GHG_hist!BZ8+IF($M18="incl",[12]LULUCF_hist!DQ8,0)</f>
        <v>174.37062199999997</v>
      </c>
      <c r="DT18" s="178">
        <f>IF($M18="incl",'[12]IIASA Proj'!EQ8,0)</f>
        <v>60.937810651231494</v>
      </c>
      <c r="DW18" s="111">
        <f t="shared" si="12"/>
        <v>93.284199999999998</v>
      </c>
      <c r="DX18" s="111">
        <f t="shared" si="12"/>
        <v>93.284199999999998</v>
      </c>
      <c r="DY18" s="111">
        <f t="shared" si="12"/>
        <v>82.437200000000004</v>
      </c>
      <c r="DZ18" s="111">
        <f t="shared" si="12"/>
        <v>82.437200000000004</v>
      </c>
      <c r="EP18" t="s">
        <v>65</v>
      </c>
      <c r="EQ18">
        <v>-1</v>
      </c>
      <c r="ER18" s="111">
        <f t="shared" si="13"/>
        <v>165.68205699999999</v>
      </c>
      <c r="ES18" s="111">
        <f>IF($BI$8=2015,VLOOKUP($L18,'[12]IMAGE CDLINKS CurPol'!$P$3:$Y$29,10,FALSE)*$AM18,VLOOKUP($L18,'[12]IMAGE CDLINKS CurPol'!$Z$3:$AI$29,10,FALSE)*$AP18)</f>
        <v>336.01425218321958</v>
      </c>
      <c r="ET18" s="111">
        <f t="shared" si="14"/>
        <v>336.01425218321958</v>
      </c>
      <c r="EU18" s="111">
        <f t="shared" si="19"/>
        <v>117.79555948575096</v>
      </c>
      <c r="EV18" s="111">
        <f>IF($BI$8=2015,VLOOKUP($L18,'[12]IMAGE CDLINKS 2C'!$P$3:$Y$29,10,FALSE)*$AM18,VLOOKUP($L18,'[12]IMAGE CDLINKS 2C'!$Z$3:$AI$29,10,FALSE)*$AP18)</f>
        <v>117.79555948575096</v>
      </c>
      <c r="EX18" s="111"/>
      <c r="EY18" s="111">
        <f t="shared" si="20"/>
        <v>109.84313667175026</v>
      </c>
      <c r="EZ18" s="111">
        <f>IF($BI$8=2015,VLOOKUP($L18,'[12]IMAGE CDLINKS 1_5C'!$P$3:$Y$29,10,FALSE)*$AM18,VLOOKUP($L18,'[12]IMAGE CDLINKS 1_5C'!$Z$3:$AI$29,10,FALSE)*$AP18)</f>
        <v>109.84313667175026</v>
      </c>
      <c r="FA18" s="132">
        <v>2050</v>
      </c>
    </row>
    <row r="19" spans="1:157" x14ac:dyDescent="0.25">
      <c r="A19" t="str">
        <f>IF([12]NDCs!C21="","",[12]NDCs!C21)</f>
        <v/>
      </c>
      <c r="B19" s="159" t="str">
        <f t="shared" si="0"/>
        <v>v</v>
      </c>
      <c r="C19">
        <v>0</v>
      </c>
      <c r="D19">
        <v>0</v>
      </c>
      <c r="E19">
        <v>0</v>
      </c>
      <c r="F19">
        <v>1</v>
      </c>
      <c r="G19" t="b">
        <f t="shared" si="1"/>
        <v>0</v>
      </c>
      <c r="H19" t="s">
        <v>2328</v>
      </c>
      <c r="I19" t="s">
        <v>67</v>
      </c>
      <c r="J19">
        <v>660</v>
      </c>
      <c r="K19">
        <v>171</v>
      </c>
      <c r="L19">
        <v>4</v>
      </c>
      <c r="M19" t="str">
        <f>IF([12]NDCs!AL21="Excluding","excl","incl")</f>
        <v>excl</v>
      </c>
      <c r="N19" s="160">
        <f>[12]GHG_hist!BA9+IF($M19="incl",[12]LULUCF_hist!CR9,0)</f>
        <v>5.4123133000000004E-2</v>
      </c>
      <c r="O19" s="111">
        <f>[12]GHG_hist!BB9+IF($M19="incl",[12]LULUCF_hist!CS9,0)</f>
        <v>5.4206313000000006E-2</v>
      </c>
      <c r="P19" s="111">
        <f>[12]GHG_hist!BC9+IF($M19="incl",[12]LULUCF_hist!CT9,0)</f>
        <v>5.7979863E-2</v>
      </c>
      <c r="Q19" s="111">
        <f>[12]GHG_hist!BD9+IF($M19="incl",[12]LULUCF_hist!CU9,0)</f>
        <v>6.9190591999999995E-2</v>
      </c>
      <c r="R19" s="111">
        <f>[12]GHG_hist!BE9+IF($M19="incl",[12]LULUCF_hist!CV9,0)</f>
        <v>6.9477706E-2</v>
      </c>
      <c r="S19" s="111">
        <f>[12]GHG_hist!BF9+IF($M19="incl",[12]LULUCF_hist!CW9,0)</f>
        <v>6.9775989999999996E-2</v>
      </c>
      <c r="T19" s="111">
        <f>[12]GHG_hist!BG9+IF($M19="incl",[12]LULUCF_hist!CX9,0)</f>
        <v>7.3561687000000014E-2</v>
      </c>
      <c r="U19" s="111">
        <f>[12]GHG_hist!BH9+IF($M19="incl",[12]LULUCF_hist!CY9,0)</f>
        <v>7.3684828999999993E-2</v>
      </c>
      <c r="V19" s="111">
        <f>[12]GHG_hist!BI9+IF($M19="incl",[12]LULUCF_hist!CZ9,0)</f>
        <v>8.1044633000000005E-2</v>
      </c>
      <c r="W19" s="111">
        <f>[12]GHG_hist!BJ9+IF($M19="incl",[12]LULUCF_hist!DA9,0)</f>
        <v>8.4701256000000003E-2</v>
      </c>
      <c r="X19" s="111">
        <f>[12]GHG_hist!BK9+IF($M19="incl",[12]LULUCF_hist!DB9,0)</f>
        <v>9.2105270000000003E-2</v>
      </c>
      <c r="Y19" s="111">
        <f>[12]GHG_hist!BL9+IF($M19="incl",[12]LULUCF_hist!DC9,0)</f>
        <v>9.9444801999999999E-2</v>
      </c>
      <c r="Z19" s="111">
        <f>[12]GHG_hist!BM9+IF($M19="incl",[12]LULUCF_hist!DD9,0)</f>
        <v>9.9365583000000007E-2</v>
      </c>
      <c r="AA19" s="111">
        <f>[12]GHG_hist!BN9+IF($M19="incl",[12]LULUCF_hist!DE9,0)</f>
        <v>0.10687061</v>
      </c>
      <c r="AB19" s="111">
        <f>[12]GHG_hist!BO9+IF($M19="incl",[12]LULUCF_hist!DF9,0)</f>
        <v>0.12510375000000001</v>
      </c>
      <c r="AC19" s="111">
        <f>[12]GHG_hist!BP9+IF($M19="incl",[12]LULUCF_hist!DG9,0)</f>
        <v>0.13256090000000001</v>
      </c>
      <c r="AD19" s="111">
        <f>[12]GHG_hist!BQ9+IF($M19="incl",[12]LULUCF_hist!DH9,0)</f>
        <v>0.14727420000000002</v>
      </c>
      <c r="AE19" s="111">
        <f>[12]GHG_hist!BR9+IF($M19="incl",[12]LULUCF_hist!DI9,0)</f>
        <v>0.15464931000000001</v>
      </c>
      <c r="AF19" s="111">
        <f>[12]GHG_hist!BS9+IF($M19="incl",[12]LULUCF_hist!DJ9,0)</f>
        <v>0.15469022000000002</v>
      </c>
      <c r="AG19" s="111">
        <f>[12]GHG_hist!BT9+IF($M19="incl",[12]LULUCF_hist!DK9,0)</f>
        <v>0.15095003000000001</v>
      </c>
      <c r="AH19" s="111">
        <f>[12]GHG_hist!BU9+IF($M19="incl",[12]LULUCF_hist!DL9,0)</f>
        <v>0.15476381</v>
      </c>
      <c r="AI19" s="111">
        <f>[12]GHG_hist!BV9+IF($M19="incl",[12]LULUCF_hist!DM9,0)</f>
        <v>0.14750732999999999</v>
      </c>
      <c r="AJ19" s="111">
        <f>[12]GHG_hist!BW9+IF($M19="incl",[12]LULUCF_hist!DN9,0)</f>
        <v>0.14755573999999999</v>
      </c>
      <c r="AK19" s="111">
        <f>[12]GHG_hist!BX9+IF($M19="incl",[12]LULUCF_hist!DO9,0)</f>
        <v>0.12200057</v>
      </c>
      <c r="AL19" s="111">
        <f>[12]GHG_hist!BY9+IF($M19="incl",[12]LULUCF_hist!DP9,0)</f>
        <v>0.14404635999999998</v>
      </c>
      <c r="AM19" s="111">
        <f>[12]GHG_hist!BZ9+IF($M19="incl",[12]LULUCF_hist!DQ9,0)</f>
        <v>0.15875563000000001</v>
      </c>
      <c r="AN19" s="111">
        <f>[12]GHG_hist!CA9+IF($M19="incl",[12]LULUCF_hist!DR9,0)</f>
        <v>0.15867381</v>
      </c>
      <c r="AO19" s="111">
        <f>[12]GHG_hist!CB9+IF($M19="incl",[12]LULUCF_hist!DS9,0)</f>
        <v>0.14767467000000001</v>
      </c>
      <c r="AP19" s="111">
        <f>[12]GHG_hist!CC9+IF($M19="incl",[12]LULUCF_hist!DT9,0)</f>
        <v>0.15122434000000001</v>
      </c>
      <c r="AQ19" s="111">
        <f>[12]GHG_hist!CD9+IF($M19="incl",[12]LULUCF_hist!DU9,0)</f>
        <v>0.15451407</v>
      </c>
      <c r="AR19" s="111">
        <f>[12]GHG_hist!CE9+IF($M19="incl",[12]LULUCF_hist!DV9,0)</f>
        <v>0.14162081000000001</v>
      </c>
      <c r="AS19" s="111">
        <f>[12]GHG_hist!CF9+IF($M19="incl",[12]LULUCF_hist!DW9,0)</f>
        <v>0.14020384999999999</v>
      </c>
      <c r="AT19" s="161">
        <f>VLOOKUP($L19,'[12]IMAGE SSP2'!$AF$3:$AK$29,4,FALSE)*$AM19</f>
        <v>0.180506879914692</v>
      </c>
      <c r="AU19" s="162">
        <f>VLOOKUP($L19,'[12]IMAGE SSP2'!$AF$3:$AK$29,5,FALSE)*$AM19</f>
        <v>0.20194360949812445</v>
      </c>
      <c r="AV19" s="163">
        <f>VLOOKUP($L19,'[12]IMAGE SSP2'!$AF$3:$AK$29,6,FALSE)*$AM19</f>
        <v>0.21317497015635156</v>
      </c>
      <c r="AW19" s="111" t="str">
        <f t="shared" si="15"/>
        <v/>
      </c>
      <c r="AX19" s="164" t="str">
        <f>IF(A19="B",IF(M19="excl",[12]NatCom!CO9,[12]NatCom!AX9),"")</f>
        <v/>
      </c>
      <c r="AY19" s="111" t="str">
        <f>IF('[12]Pledge 2020'!E9="","",'[12]Pledge 2020'!E9)</f>
        <v/>
      </c>
      <c r="AZ19" s="164" t="str">
        <f>IF('[12]Pledge 2020'!F9="","",'[12]Pledge 2020'!F9)</f>
        <v/>
      </c>
      <c r="BA19" s="111" t="str">
        <f t="shared" si="16"/>
        <v/>
      </c>
      <c r="BB19" s="111"/>
      <c r="BC19" s="111" t="str">
        <f t="shared" si="17"/>
        <v/>
      </c>
      <c r="BD19" s="111"/>
      <c r="BE19" s="111" t="s">
        <v>2477</v>
      </c>
      <c r="BF19" s="111"/>
      <c r="BG19" s="111" t="s">
        <v>2477</v>
      </c>
      <c r="BH19" s="164"/>
      <c r="BI19" s="111" t="str">
        <f>IF([12]NDCs!V21="",IF([12]NDCs!X21="","",[12]NDCs!X21),[12]NDCs!V21)</f>
        <v/>
      </c>
      <c r="BJ19" s="111" t="str">
        <f>IF([12]NDCs!V21="",IF([12]NDCs!X21="","",[12]NDCs!X21),[12]NDCs!V21)</f>
        <v/>
      </c>
      <c r="BK19" s="111" t="str">
        <f>IF([12]NDCs!Z21="",IF([12]NDCs!AB21="",IF('input site'!BE19="","",'input site'!BE19),[12]NDCs!AB21),[12]NDCs!Z21)</f>
        <v/>
      </c>
      <c r="BL19" s="111" t="str">
        <f>IF([12]NDCs!AA21="",IF([12]NDCs!AC21="",IF('input site'!BF19="","",'input site'!BF19),[12]NDCs!AC21),[12]NDCs!AA21)</f>
        <v/>
      </c>
      <c r="BM19" s="111">
        <f>IF($BI$8=2015,VLOOKUP($L19,'[12]IMAGE CurPol SSP'!$AZ$3:$BD$29,4,FALSE)*$AM19,IF($BI$8=2018,VLOOKUP($L19,'[12]IMAGE CurPol SSP'!$BJ$3:$BN$29,4,FALSE)*$AP19,$AR19))</f>
        <v>0.14162081000000001</v>
      </c>
      <c r="BN19" s="111">
        <f t="shared" si="18"/>
        <v>0.14162081000000001</v>
      </c>
      <c r="BO19" s="111">
        <f t="shared" si="18"/>
        <v>0.14162081000000001</v>
      </c>
      <c r="BP19" s="111">
        <f>IF($BI$8=2015,VLOOKUP($L19,'[12]IMAGE CurPol SSP'!$AZ$3:$BD$29,5,FALSE)*$AM19,IF($BI$8=2018,VLOOKUP($L19,'[12]IMAGE CurPol SSP'!$BJ$3:$BN$29,5,FALSE)*$AP19,VLOOKUP($L19,'[12]IMAGE CurPol SSP'!$BU$3:$BZ$29,5,FALSE)*$AS19))</f>
        <v>0.15363605513761736</v>
      </c>
      <c r="BQ19" s="111">
        <f>IF($BI$8=2015,"",IF($BI$8=2018,"",VLOOKUP($L19,'[12]IMAGE CurPol SSP'!$CQ$3:$CV$29,5,FALSE)*$AS19))</f>
        <v>0.15102163381766739</v>
      </c>
      <c r="BR19" s="111">
        <f>IF($BI$8=2015,"",IF($BI$8=2018,"",VLOOKUP($L19,'[12]IMAGE CurPol SSP'!$CF$3:$CK$29,5,FALSE)*$AS19))</f>
        <v>0.15967911040898972</v>
      </c>
      <c r="BS19" s="111">
        <f>IF($BI$8=2015,VLOOKUP($L19,'[12]IMAGE CurPol SSP'!$AZ$3:$BE$29,6,FALSE)*$AM19,IF($BI$8=2018,VLOOKUP($L19,'[12]IMAGE CurPol SSP'!$BJ$3:$BO$29,6,FALSE)*$AP19,VLOOKUP($L19,'[12]IMAGE CurPol SSP'!$BU$3:$BZ$29,6,FALSE)*$AS19))</f>
        <v>0.17288104759560013</v>
      </c>
      <c r="BT19" s="111">
        <f>IF($BI$8=2015,"",IF($BI$8=2018,"",VLOOKUP($L19,'[12]IMAGE CurPol SSP'!$CQ$3:$CV$29,6,FALSE)*$AS19))</f>
        <v>0.16890816509831053</v>
      </c>
      <c r="BU19" s="164">
        <f>IF($BI$8=2015,"",IF($BI$8=2018,"",VLOOKUP($L19,'[12]IMAGE CurPol SSP'!$CF$3:$CK$29,6,FALSE)*$AS19))</f>
        <v>0.18496792328466841</v>
      </c>
      <c r="CN19" t="s">
        <v>67</v>
      </c>
      <c r="CO19" s="165" t="str">
        <f t="shared" si="2"/>
        <v/>
      </c>
      <c r="CP19" s="165" t="str">
        <f t="shared" si="2"/>
        <v/>
      </c>
      <c r="CQ19" s="165" t="str">
        <f t="shared" si="2"/>
        <v/>
      </c>
      <c r="CR19" s="165" t="str">
        <f t="shared" si="2"/>
        <v/>
      </c>
      <c r="CV19" s="166" t="s">
        <v>621</v>
      </c>
      <c r="CW19" s="166" t="s">
        <v>621</v>
      </c>
      <c r="CX19" s="165">
        <f>AP19/$AP$255</f>
        <v>3.3096165067146574E-6</v>
      </c>
      <c r="CY19" s="167">
        <f t="shared" si="3"/>
        <v>3.8886069914691984E-2</v>
      </c>
      <c r="DB19" s="106"/>
      <c r="DC19" s="106"/>
      <c r="DD19" s="106"/>
      <c r="DE19" s="106"/>
      <c r="DF19" s="106"/>
      <c r="DG19" s="105" t="str">
        <f t="shared" si="4"/>
        <v>excl</v>
      </c>
      <c r="DH19" t="s">
        <v>67</v>
      </c>
      <c r="DI19" s="111">
        <f t="shared" si="5"/>
        <v>0</v>
      </c>
      <c r="DJ19" s="111">
        <f t="shared" si="5"/>
        <v>0</v>
      </c>
      <c r="DK19" s="111">
        <f t="shared" si="6"/>
        <v>0</v>
      </c>
      <c r="DL19" s="111">
        <f t="shared" si="7"/>
        <v>0</v>
      </c>
      <c r="DM19" s="111">
        <f t="shared" si="8"/>
        <v>0</v>
      </c>
      <c r="DN19" s="111">
        <f t="shared" si="9"/>
        <v>0</v>
      </c>
      <c r="DO19" s="111">
        <f t="shared" si="10"/>
        <v>0</v>
      </c>
      <c r="DP19" s="111">
        <f t="shared" si="11"/>
        <v>0</v>
      </c>
      <c r="DQ19" s="106"/>
      <c r="DR19" s="106"/>
      <c r="DS19" s="111"/>
      <c r="DT19" s="168"/>
      <c r="DW19" s="111">
        <f t="shared" si="12"/>
        <v>0.17288104759560013</v>
      </c>
      <c r="DX19" s="111">
        <f t="shared" si="12"/>
        <v>0.17288104759560013</v>
      </c>
      <c r="DY19" s="111">
        <f t="shared" si="12"/>
        <v>0.17288104759560013</v>
      </c>
      <c r="DZ19" s="111">
        <f t="shared" si="12"/>
        <v>0.17288104759560013</v>
      </c>
      <c r="EP19" t="s">
        <v>67</v>
      </c>
      <c r="EQ19">
        <v>0</v>
      </c>
      <c r="ER19" s="111">
        <f t="shared" si="13"/>
        <v>0.15122434000000001</v>
      </c>
      <c r="ES19" s="111">
        <f>IF($BI$8=2015,VLOOKUP($L19,'[12]IMAGE CDLINKS CurPol'!$P$3:$Y$29,10,FALSE)*$AM19,VLOOKUP($L19,'[12]IMAGE CDLINKS CurPol'!$Z$3:$AI$29,10,FALSE)*$AP19)</f>
        <v>0.28641557188497396</v>
      </c>
      <c r="ET19" s="111">
        <f t="shared" si="14"/>
        <v>0.28641557188497396</v>
      </c>
      <c r="EU19" s="111">
        <f t="shared" si="19"/>
        <v>7.9466082710639818E-2</v>
      </c>
      <c r="EV19" s="111">
        <f>IF($BI$8=2015,VLOOKUP($L19,'[12]IMAGE CDLINKS 2C'!$P$3:$Y$29,10,FALSE)*$AM19,VLOOKUP($L19,'[12]IMAGE CDLINKS 2C'!$Z$3:$AI$29,10,FALSE)*$AP19)</f>
        <v>7.9466082710639818E-2</v>
      </c>
      <c r="EY19" s="111">
        <f t="shared" si="20"/>
        <v>1.6161843927430961E-2</v>
      </c>
      <c r="EZ19" s="111">
        <f>IF($BI$8=2015,VLOOKUP($L19,'[12]IMAGE CDLINKS 1_5C'!$P$3:$Y$29,10,FALSE)*$AM19,VLOOKUP($L19,'[12]IMAGE CDLINKS 1_5C'!$Z$3:$AI$29,10,FALSE)*$AP19)</f>
        <v>1.6161843927430961E-2</v>
      </c>
      <c r="FA19" s="132"/>
    </row>
    <row r="20" spans="1:157" x14ac:dyDescent="0.25">
      <c r="A20" t="str">
        <f>IF([12]NDCs!C22="","",[12]NDCs!C22)</f>
        <v>F</v>
      </c>
      <c r="B20" s="159" t="str">
        <f t="shared" si="0"/>
        <v>iv</v>
      </c>
      <c r="C20">
        <v>1</v>
      </c>
      <c r="D20">
        <v>0</v>
      </c>
      <c r="E20">
        <v>1</v>
      </c>
      <c r="F20">
        <v>1</v>
      </c>
      <c r="G20" t="b">
        <f t="shared" si="1"/>
        <v>1</v>
      </c>
      <c r="H20" t="s">
        <v>2333</v>
      </c>
      <c r="I20" t="s">
        <v>69</v>
      </c>
      <c r="J20">
        <v>32</v>
      </c>
      <c r="K20">
        <v>8</v>
      </c>
      <c r="L20">
        <v>6</v>
      </c>
      <c r="M20" t="str">
        <f>IF([12]NDCs!AL22="Excluding","excl","incl")</f>
        <v>incl</v>
      </c>
      <c r="N20" s="177">
        <f>[12]ARG!$A$24*IF($M20="incl",[12]ARG!E$41,[12]ARG!E$37)*[12]ARG!A24</f>
        <v>268.04632900000001</v>
      </c>
      <c r="O20" s="177">
        <f>[12]ARG!$A$24*IF($M20="incl",[12]ARG!F$41,[12]ARG!F$37)</f>
        <v>293.23489649999999</v>
      </c>
      <c r="P20" s="177">
        <f>[12]ARG!$A$24*IF($M20="incl",[12]ARG!G$41,[12]ARG!G$37)</f>
        <v>300.6844337</v>
      </c>
      <c r="Q20" s="177">
        <f>[12]ARG!$A$24*IF($M20="incl",[12]ARG!H$41,[12]ARG!H$37)</f>
        <v>297.2894579</v>
      </c>
      <c r="R20" s="177">
        <f>[12]ARG!$A$24*IF($M20="incl",[12]ARG!I$41,[12]ARG!I$37)</f>
        <v>303.69821389999998</v>
      </c>
      <c r="S20" s="177">
        <f>[12]ARG!$A$24*IF($M20="incl",[12]ARG!J$41,[12]ARG!J$37)</f>
        <v>308.82040519999998</v>
      </c>
      <c r="T20" s="177">
        <f>[12]ARG!$A$24*IF($M20="incl",[12]ARG!K$41,[12]ARG!K$37)</f>
        <v>341.46146929999998</v>
      </c>
      <c r="U20" s="177">
        <f>[12]ARG!$A$24*IF($M20="incl",[12]ARG!L$41,[12]ARG!L$37)</f>
        <v>337.57842620000002</v>
      </c>
      <c r="V20" s="177">
        <f>[12]ARG!$A$24*IF($M20="incl",[12]ARG!M$41,[12]ARG!M$37)</f>
        <v>362.13577459999999</v>
      </c>
      <c r="W20" s="177">
        <f>[12]ARG!$A$24*IF($M20="incl",[12]ARG!N$41,[12]ARG!N$37)</f>
        <v>352.8550242</v>
      </c>
      <c r="X20" s="177">
        <f>[12]ARG!$A$24*IF($M20="incl",[12]ARG!O$41,[12]ARG!O$37)</f>
        <v>353.24405610000002</v>
      </c>
      <c r="Y20" s="177">
        <f>[12]ARG!$A$24*IF($M20="incl",[12]ARG!P$41,[12]ARG!P$37)</f>
        <v>353.195791399999</v>
      </c>
      <c r="Z20" s="177">
        <f>[12]ARG!$A$24*IF($M20="incl",[12]ARG!Q$41,[12]ARG!Q$37)</f>
        <v>356.71852879999898</v>
      </c>
      <c r="AA20" s="177">
        <f>[12]ARG!$A$24*IF($M20="incl",[12]ARG!R$41,[12]ARG!R$37)</f>
        <v>372.85904410000001</v>
      </c>
      <c r="AB20" s="177">
        <f>[12]ARG!$A$24*IF($M20="incl",[12]ARG!S$41,[12]ARG!S$37)</f>
        <v>388.35511910000002</v>
      </c>
      <c r="AC20" s="177">
        <f>[12]ARG!$A$24*IF($M20="incl",[12]ARG!T$41,[12]ARG!T$37)</f>
        <v>384.61642970000003</v>
      </c>
      <c r="AD20" s="177">
        <f>[12]ARG!$A$24*IF($M20="incl",[12]ARG!U$41,[12]ARG!U$37)</f>
        <v>410.70517260000003</v>
      </c>
      <c r="AE20" s="177">
        <f>[12]ARG!$A$24*IF($M20="incl",[12]ARG!V$41,[12]ARG!V$37)</f>
        <v>430.42477450000001</v>
      </c>
      <c r="AF20" s="177">
        <f>[12]ARG!$A$24*IF($M20="incl",[12]ARG!W$41,[12]ARG!W$37)</f>
        <v>409.65291029999997</v>
      </c>
      <c r="AG20" s="177">
        <f>[12]ARG!$A$24*IF($M20="incl",[12]ARG!X$41,[12]ARG!X$37)</f>
        <v>365.5844634</v>
      </c>
      <c r="AH20" s="177">
        <f>[12]ARG!$A$24*IF($M20="incl",[12]ARG!Y$41,[12]ARG!Y$37)</f>
        <v>379.08907199999999</v>
      </c>
      <c r="AI20" s="177">
        <f>[12]ARG!$A$24*IF($M20="incl",[12]ARG!Z$41,[12]ARG!Z$37)</f>
        <v>376.80787369999899</v>
      </c>
      <c r="AJ20" s="177">
        <f>[12]ARG!$A$24*IF($M20="incl",[12]ARG!AA$41,[12]ARG!AA$37)</f>
        <v>413.74929150000003</v>
      </c>
      <c r="AK20" s="177">
        <f>[12]ARG!$A$24*IF($M20="incl",[12]ARG!AB$41,[12]ARG!AB$37)</f>
        <v>418.05176180000001</v>
      </c>
      <c r="AL20" s="177">
        <f>[12]ARG!$A$24*IF($M20="incl",[12]ARG!AC$41,[12]ARG!AC$37)</f>
        <v>392.51737059999999</v>
      </c>
      <c r="AM20" s="177">
        <f>[12]ARG!$A$24*IF($M20="incl",[12]ARG!AD$41,[12]ARG!AD$37)</f>
        <v>375.73041139999998</v>
      </c>
      <c r="AN20" s="177">
        <f>[12]ARG!$A$24*IF($M20="incl",[12]ARG!AE$41,[12]ARG!AE$37)</f>
        <v>369.60427819999899</v>
      </c>
      <c r="AO20" s="177">
        <f>[12]ARG!$A$24*IF($M20="incl",[12]ARG!AF$41,[12]ARG!AF$37)</f>
        <v>378.10782499999999</v>
      </c>
      <c r="AP20" s="177">
        <f>[12]ARG!$A$24*IF($M20="incl",[12]ARG!AG$41,[12]ARG!AG$37)</f>
        <v>374.30096129999998</v>
      </c>
      <c r="AQ20" s="177">
        <f>[12]ARG!$A$24*IF($M20="incl",[12]ARG!AH$41,[12]ARG!AH$37)</f>
        <v>361.25494079999999</v>
      </c>
      <c r="AR20" s="177">
        <f>[12]ARG!$A$24*IF($M20="incl",[12]ARG!AI$41,[12]ARG!AI$37)</f>
        <v>347.70799939999898</v>
      </c>
      <c r="AS20" s="177">
        <f>[12]ARG!$A$24*IF($M20="incl",[12]ARG!AJ$41,[12]ARG!AJ$37)</f>
        <v>365.87595709999999</v>
      </c>
      <c r="AT20" s="179">
        <f>[12]ARG!$A$24*[12]ARG!AI23</f>
        <v>442.13599059999996</v>
      </c>
      <c r="AU20" s="177">
        <f>[12]ARG!$A$24*[12]ARG!AN23</f>
        <v>482.93439059999997</v>
      </c>
      <c r="AV20" s="180">
        <f>[12]ARG!$A$24*[12]ARG!AS23</f>
        <v>531.46189060000006</v>
      </c>
      <c r="AW20" s="177"/>
      <c r="AX20" s="180">
        <f>[12]ARG!$A$24*[12]ARG!L8</f>
        <v>483</v>
      </c>
      <c r="AY20" s="111" t="str">
        <f>IF('[12]Pledge 2020'!E10="","",'[12]Pledge 2020'!E10)</f>
        <v/>
      </c>
      <c r="AZ20" s="164" t="str">
        <f>IF('[12]Pledge 2020'!F10="","",'[12]Pledge 2020'!F10)</f>
        <v/>
      </c>
      <c r="BA20" s="127">
        <f>[12]ARG!$A$24*[12]ARG!X10</f>
        <v>356.522268</v>
      </c>
      <c r="BB20" s="127">
        <f>IF(BF20="","",(BF20-AH20)*0.75+AH20)</f>
        <v>356.522268</v>
      </c>
      <c r="BC20" s="127">
        <f>[12]ARG!$A$24*[12]ARG!Y10</f>
        <v>356.522268</v>
      </c>
      <c r="BD20" s="127">
        <f>IF(BH20="","",(BH20-AH20)*0.75+AH20)</f>
        <v>356.522268</v>
      </c>
      <c r="BE20" s="181">
        <v>349</v>
      </c>
      <c r="BF20" s="181">
        <v>349</v>
      </c>
      <c r="BG20" s="181">
        <v>349</v>
      </c>
      <c r="BH20" s="182">
        <v>349</v>
      </c>
      <c r="BI20" s="111">
        <f>IF([12]NDCs!V22="",IF([12]NDCs!X22="","",[12]NDCs!X22),[12]NDCs!V22)</f>
        <v>483</v>
      </c>
      <c r="BJ20" s="111">
        <f>IF([12]NDCs!V22="",IF([12]NDCs!X22="","",[12]NDCs!X22),[12]NDCs!V22)</f>
        <v>483</v>
      </c>
      <c r="BK20" s="111">
        <f>IF([12]NDCs!Z22="",IF([12]NDCs!AB22="",IF('input site'!BE20="","",'input site'!BE20),[12]NDCs!AB22),[12]NDCs!Z22)</f>
        <v>369</v>
      </c>
      <c r="BL20" s="111">
        <f>IF([12]NDCs!AA22="",IF([12]NDCs!AC22="",IF('input site'!BF20="","",'input site'!BF20),[12]NDCs!AC22),[12]NDCs!AA22)</f>
        <v>369</v>
      </c>
      <c r="BM20" s="183">
        <f>[12]ARG!$A$24*[12]ARG!AB$5</f>
        <v>347.70799939999898</v>
      </c>
      <c r="BN20" s="127">
        <f>[12]ARG!$A$24*[12]ARG!AB7</f>
        <v>347.70799939999898</v>
      </c>
      <c r="BO20" s="127">
        <f>[12]ARG!$A$24*[12]ARG!AB6</f>
        <v>347.70799939999898</v>
      </c>
      <c r="BP20" s="183">
        <f>[12]ARG!$A$24*[12]ARG!AC$5</f>
        <v>382.26525140000001</v>
      </c>
      <c r="BQ20" s="127">
        <f>[12]ARG!$A$24*[12]ARG!AC7</f>
        <v>382.26525140000001</v>
      </c>
      <c r="BR20" s="127">
        <f>[12]ARG!$A$24*[12]ARG!AC6</f>
        <v>382.26525140000001</v>
      </c>
      <c r="BS20" s="183">
        <f>[12]ARG!$A$24*[12]ARG!AD$5</f>
        <v>376.10160839999998</v>
      </c>
      <c r="BT20" s="127">
        <f>[12]ARG!$A$24*[12]ARG!AD7</f>
        <v>376.10160839999998</v>
      </c>
      <c r="BU20" s="184">
        <f>[12]ARG!$A$24*[12]ARG!AD6</f>
        <v>376.10160839999998</v>
      </c>
      <c r="CN20" t="s">
        <v>69</v>
      </c>
      <c r="CO20" s="165">
        <f t="shared" si="2"/>
        <v>-7.2059272799429919E-2</v>
      </c>
      <c r="CP20" s="165">
        <f t="shared" si="2"/>
        <v>-7.2059272799429919E-2</v>
      </c>
      <c r="CQ20" s="165">
        <f t="shared" si="2"/>
        <v>-7.2059272799429919E-2</v>
      </c>
      <c r="CR20" s="165">
        <f t="shared" si="2"/>
        <v>-7.2059272799429919E-2</v>
      </c>
      <c r="CS20" s="185">
        <f>IF(BE20&lt;=MIN(BS20:BU20),0,1)</f>
        <v>0</v>
      </c>
      <c r="CT20" s="185">
        <f>IF(BG20&lt;=MIN(BS20:BU20),0,1)</f>
        <v>0</v>
      </c>
      <c r="CU20">
        <f>IF(BS20&lt;=MAX(AN20,AP20),1,0)</f>
        <v>0</v>
      </c>
      <c r="CV20" s="126" t="str">
        <f>IF(CS20=1,IF(CU20=1,"i","ii"),IF(CU20=1,"iii","iv"))</f>
        <v>iv</v>
      </c>
      <c r="CW20" s="126" t="str">
        <f>IF(CT20=1,IF(CU20=1,"i","ii"),IF(CU20=1,"iii","iv"))</f>
        <v>iv</v>
      </c>
      <c r="CX20"/>
      <c r="CY20" s="167">
        <f t="shared" si="3"/>
        <v>94.427991200000974</v>
      </c>
      <c r="DA20" s="186">
        <f>[12]ARG!P18</f>
        <v>0</v>
      </c>
      <c r="DB20" s="187">
        <f>[12]ARG!Q18</f>
        <v>0</v>
      </c>
      <c r="DC20" s="187">
        <f>[12]ARG!R18</f>
        <v>0</v>
      </c>
      <c r="DD20" s="187">
        <f>[12]ARG!S18</f>
        <v>0</v>
      </c>
      <c r="DE20" s="187">
        <f>[12]ARG!T18</f>
        <v>0</v>
      </c>
      <c r="DF20" s="187">
        <f>[12]ARG!U18</f>
        <v>0</v>
      </c>
      <c r="DG20" s="105" t="str">
        <f t="shared" si="4"/>
        <v>incl</v>
      </c>
      <c r="DH20" t="s">
        <v>69</v>
      </c>
      <c r="DI20" s="127">
        <f t="shared" ref="DI20:DN20" si="21">DA20</f>
        <v>0</v>
      </c>
      <c r="DJ20" s="127">
        <f t="shared" si="21"/>
        <v>0</v>
      </c>
      <c r="DK20" s="127">
        <f t="shared" si="21"/>
        <v>0</v>
      </c>
      <c r="DL20" s="127">
        <f t="shared" si="21"/>
        <v>0</v>
      </c>
      <c r="DM20" s="127">
        <f t="shared" si="21"/>
        <v>0</v>
      </c>
      <c r="DN20" s="127">
        <f t="shared" si="21"/>
        <v>0</v>
      </c>
      <c r="DO20" s="127"/>
      <c r="DP20" s="127"/>
      <c r="DQ20" s="187">
        <f>[12]ARG!BA$18</f>
        <v>36.656841852000014</v>
      </c>
      <c r="DR20" s="187">
        <f>[12]ARG!BB$18</f>
        <v>0</v>
      </c>
      <c r="DS20" s="111"/>
      <c r="DT20" s="168"/>
      <c r="DW20" s="111">
        <f t="shared" si="12"/>
        <v>349</v>
      </c>
      <c r="DX20" s="111">
        <f t="shared" si="12"/>
        <v>349</v>
      </c>
      <c r="DY20" s="111">
        <f t="shared" si="12"/>
        <v>349</v>
      </c>
      <c r="DZ20" s="111">
        <f t="shared" si="12"/>
        <v>349</v>
      </c>
      <c r="EP20" t="s">
        <v>69</v>
      </c>
      <c r="EQ20">
        <v>1</v>
      </c>
      <c r="ER20" s="111">
        <f t="shared" si="13"/>
        <v>374.30096129999998</v>
      </c>
      <c r="ES20" s="111">
        <f>IF($BI$8=2015,VLOOKUP($L20,'[12]IMAGE CDLINKS CurPol'!$P$3:$Y$29,10,FALSE)*$AM20,VLOOKUP($L20,'[12]IMAGE CDLINKS CurPol'!$Z$3:$AI$29,10,FALSE)*$AP20)</f>
        <v>610.99257081002384</v>
      </c>
      <c r="ET20" s="111">
        <f t="shared" si="14"/>
        <v>75</v>
      </c>
      <c r="EU20" s="111">
        <f t="shared" si="19"/>
        <v>239.92365001114101</v>
      </c>
      <c r="EV20" s="111">
        <f>IF($BI$8=2015,VLOOKUP($L20,'[12]IMAGE CDLINKS 2C'!$P$3:$Y$29,10,FALSE)*$AM20,VLOOKUP($L20,'[12]IMAGE CDLINKS 2C'!$Z$3:$AI$29,10,FALSE)*$AP20)</f>
        <v>239.92365001114101</v>
      </c>
      <c r="EW20">
        <v>75</v>
      </c>
      <c r="EX20" s="111">
        <f>EW20-EV20</f>
        <v>-164.92365001114101</v>
      </c>
      <c r="EY20" s="111">
        <f t="shared" si="20"/>
        <v>75</v>
      </c>
      <c r="EZ20" s="111">
        <f>IF($BI$8=2015,VLOOKUP($L20,'[12]IMAGE CDLINKS 1_5C'!$P$3:$Y$29,10,FALSE)*$AM20,VLOOKUP($L20,'[12]IMAGE CDLINKS 1_5C'!$Z$3:$AI$29,10,FALSE)*$AP20)</f>
        <v>141.94513510780868</v>
      </c>
      <c r="FA20" s="132" t="s">
        <v>2334</v>
      </c>
    </row>
    <row r="21" spans="1:157" x14ac:dyDescent="0.25">
      <c r="A21" t="str">
        <f>IF([12]NDCs!C23="","",[12]NDCs!C23)</f>
        <v>F</v>
      </c>
      <c r="B21" s="159" t="str">
        <f t="shared" si="0"/>
        <v>v</v>
      </c>
      <c r="C21">
        <v>0</v>
      </c>
      <c r="D21">
        <v>0</v>
      </c>
      <c r="E21">
        <v>0</v>
      </c>
      <c r="F21">
        <v>1</v>
      </c>
      <c r="G21" t="b">
        <f t="shared" si="1"/>
        <v>1</v>
      </c>
      <c r="H21" t="s">
        <v>2333</v>
      </c>
      <c r="I21" t="s">
        <v>71</v>
      </c>
      <c r="J21">
        <v>51</v>
      </c>
      <c r="K21">
        <v>14</v>
      </c>
      <c r="L21">
        <v>16</v>
      </c>
      <c r="M21" t="str">
        <f>IF([12]NDCs!AL23="Excluding","excl","incl")</f>
        <v>excl</v>
      </c>
      <c r="N21" s="160">
        <f>[12]GHG_hist!BA11+IF($M21="incl",[12]LULUCF_hist!CR11,0)</f>
        <v>25.869661000000001</v>
      </c>
      <c r="O21" s="111">
        <f>[12]GHG_hist!BB11+IF($M21="incl",[12]LULUCF_hist!CS11,0)</f>
        <v>24.230605000000001</v>
      </c>
      <c r="P21" s="111">
        <f>[12]GHG_hist!BC11+IF($M21="incl",[12]LULUCF_hist!CT11,0)</f>
        <v>29.957964</v>
      </c>
      <c r="Q21" s="111">
        <f>[12]GHG_hist!BD11+IF($M21="incl",[12]LULUCF_hist!CU11,0)</f>
        <v>13.594674000000001</v>
      </c>
      <c r="R21" s="111">
        <f>[12]GHG_hist!BE11+IF($M21="incl",[12]LULUCF_hist!CV11,0)</f>
        <v>13.469548000000001</v>
      </c>
      <c r="S21" s="111">
        <f>[12]GHG_hist!BF11+IF($M21="incl",[12]LULUCF_hist!CW11,0)</f>
        <v>14.250982</v>
      </c>
      <c r="T21" s="111">
        <f>[12]GHG_hist!BG11+IF($M21="incl",[12]LULUCF_hist!CX11,0)</f>
        <v>10.613368000000001</v>
      </c>
      <c r="U21" s="111">
        <f>[12]GHG_hist!BH11+IF($M21="incl",[12]LULUCF_hist!CY11,0)</f>
        <v>10.937430000000001</v>
      </c>
      <c r="V21" s="111">
        <f>[12]GHG_hist!BI11+IF($M21="incl",[12]LULUCF_hist!CZ11,0)</f>
        <v>9.4933737000000011</v>
      </c>
      <c r="W21" s="111">
        <f>[12]GHG_hist!BJ11+IF($M21="incl",[12]LULUCF_hist!DA11,0)</f>
        <v>7.4658737000000004</v>
      </c>
      <c r="X21" s="111">
        <f>[12]GHG_hist!BK11+IF($M21="incl",[12]LULUCF_hist!DB11,0)</f>
        <v>6.0385982000000009</v>
      </c>
      <c r="Y21" s="111">
        <f>[12]GHG_hist!BL11+IF($M21="incl",[12]LULUCF_hist!DC11,0)</f>
        <v>6.0921962999999995</v>
      </c>
      <c r="Z21" s="111">
        <f>[12]GHG_hist!BM11+IF($M21="incl",[12]LULUCF_hist!DD11,0)</f>
        <v>5.8425539999999998</v>
      </c>
      <c r="AA21" s="111">
        <f>[12]GHG_hist!BN11+IF($M21="incl",[12]LULUCF_hist!DE11,0)</f>
        <v>6.2901166000000002</v>
      </c>
      <c r="AB21" s="111">
        <f>[12]GHG_hist!BO11+IF($M21="incl",[12]LULUCF_hist!DF11,0)</f>
        <v>6.6320908000000003</v>
      </c>
      <c r="AC21" s="111">
        <f>[12]GHG_hist!BP11+IF($M21="incl",[12]LULUCF_hist!DG11,0)</f>
        <v>7.3738055999999998</v>
      </c>
      <c r="AD21" s="111">
        <f>[12]GHG_hist!BQ11+IF($M21="incl",[12]LULUCF_hist!DH11,0)</f>
        <v>7.6761626999999999</v>
      </c>
      <c r="AE21" s="111">
        <f>[12]GHG_hist!BR11+IF($M21="incl",[12]LULUCF_hist!DI11,0)</f>
        <v>8.3989928000000003</v>
      </c>
      <c r="AF21" s="111">
        <f>[12]GHG_hist!BS11+IF($M21="incl",[12]LULUCF_hist!DJ11,0)</f>
        <v>9.0432441000000008</v>
      </c>
      <c r="AG21" s="111">
        <f>[12]GHG_hist!BT11+IF($M21="incl",[12]LULUCF_hist!DK11,0)</f>
        <v>7.9281230999999996</v>
      </c>
      <c r="AH21" s="111">
        <f>[12]GHG_hist!BU11+IF($M21="incl",[12]LULUCF_hist!DL11,0)</f>
        <v>7.9311850999999995</v>
      </c>
      <c r="AI21" s="111">
        <f>[12]GHG_hist!BV11+IF($M21="incl",[12]LULUCF_hist!DM11,0)</f>
        <v>8.8919768000000001</v>
      </c>
      <c r="AJ21" s="111">
        <f>[12]GHG_hist!BW11+IF($M21="incl",[12]LULUCF_hist!DN11,0)</f>
        <v>10.033895000000001</v>
      </c>
      <c r="AK21" s="111">
        <f>[12]GHG_hist!BX11+IF($M21="incl",[12]LULUCF_hist!DO11,0)</f>
        <v>9.9949006000000011</v>
      </c>
      <c r="AL21" s="111">
        <f>[12]GHG_hist!BY11+IF($M21="incl",[12]LULUCF_hist!DP11,0)</f>
        <v>10.181704</v>
      </c>
      <c r="AM21" s="111">
        <f>[12]GHG_hist!BZ11+IF($M21="incl",[12]LULUCF_hist!DQ11,0)</f>
        <v>9.9592036000000004</v>
      </c>
      <c r="AN21" s="111">
        <f>[12]GHG_hist!CA11+IF($M21="incl",[12]LULUCF_hist!DR11,0)</f>
        <v>10.632239</v>
      </c>
      <c r="AO21" s="111">
        <f>[12]GHG_hist!CB11+IF($M21="incl",[12]LULUCF_hist!DS11,0)</f>
        <v>10.802901</v>
      </c>
      <c r="AP21" s="111">
        <f>[12]GHG_hist!CC11+IF($M21="incl",[12]LULUCF_hist!DT11,0)</f>
        <v>12.041825999999999</v>
      </c>
      <c r="AQ21" s="111">
        <f>[12]GHG_hist!CD11+IF($M21="incl",[12]LULUCF_hist!DU11,0)</f>
        <v>11.626319000000001</v>
      </c>
      <c r="AR21" s="111">
        <f>[12]GHG_hist!CE11+IF($M21="incl",[12]LULUCF_hist!DV11,0)</f>
        <v>11.781292000000001</v>
      </c>
      <c r="AS21" s="111">
        <f>[12]GHG_hist!CF11+IF($M21="incl",[12]LULUCF_hist!DW11,0)</f>
        <v>12.227112</v>
      </c>
      <c r="AT21" s="161">
        <f>VLOOKUP($L21,'[12]IMAGE SSP2'!$AF$3:$AK$29,4,FALSE)*$AM21</f>
        <v>10.175783893351392</v>
      </c>
      <c r="AU21" s="162">
        <f>VLOOKUP($L21,'[12]IMAGE SSP2'!$AF$3:$AK$29,5,FALSE)*$AM21</f>
        <v>10.612994486146523</v>
      </c>
      <c r="AV21" s="163">
        <f>VLOOKUP($L21,'[12]IMAGE SSP2'!$AF$3:$AK$29,6,FALSE)*$AM21</f>
        <v>11.144449235452837</v>
      </c>
      <c r="AW21" s="111" t="str">
        <f t="shared" si="15"/>
        <v/>
      </c>
      <c r="AX21" s="164" t="str">
        <f>IF(A21="B",IF(M21="excl",[12]NatCom!CO11,[12]NatCom!AX11),"")</f>
        <v/>
      </c>
      <c r="AY21" s="111" t="str">
        <f>IF('[12]Pledge 2020'!E11="","",'[12]Pledge 2020'!E11)</f>
        <v/>
      </c>
      <c r="AZ21" s="164" t="str">
        <f>IF('[12]Pledge 2020'!F11="","",'[12]Pledge 2020'!F11)</f>
        <v/>
      </c>
      <c r="BA21" s="111" t="str">
        <f t="shared" si="16"/>
        <v/>
      </c>
      <c r="BB21" s="111"/>
      <c r="BC21" s="111" t="str">
        <f t="shared" si="17"/>
        <v/>
      </c>
      <c r="BD21" s="111"/>
      <c r="BE21" s="111" t="s">
        <v>2477</v>
      </c>
      <c r="BF21" s="111"/>
      <c r="BG21" s="111" t="s">
        <v>2477</v>
      </c>
      <c r="BH21" s="164"/>
      <c r="BI21" s="111" t="str">
        <f>IF([12]NDCs!V23="",IF([12]NDCs!X23="","",[12]NDCs!X23),[12]NDCs!V23)</f>
        <v/>
      </c>
      <c r="BJ21" s="111" t="str">
        <f>IF([12]NDCs!V23="",IF([12]NDCs!X23="","",[12]NDCs!X23),[12]NDCs!V23)</f>
        <v/>
      </c>
      <c r="BK21" s="111" t="str">
        <f>IF([12]NDCs!Z23="",IF([12]NDCs!AB23="",IF('input site'!BE21="","",'input site'!BE21),[12]NDCs!AB23),[12]NDCs!Z23)</f>
        <v/>
      </c>
      <c r="BL21" s="111" t="str">
        <f>IF([12]NDCs!AA23="",IF([12]NDCs!AC23="",IF('input site'!BF21="","",'input site'!BF21),[12]NDCs!AC23),[12]NDCs!AA23)</f>
        <v/>
      </c>
      <c r="BM21" s="111">
        <f>IF($BI$8=2015,VLOOKUP($L21,'[12]IMAGE CurPol SSP'!$AZ$3:$BD$29,4,FALSE)*$AM21,IF($BI$8=2018,VLOOKUP($L21,'[12]IMAGE CurPol SSP'!$BJ$3:$BN$29,4,FALSE)*$AP21,$AR21))</f>
        <v>11.781292000000001</v>
      </c>
      <c r="BN21" s="111">
        <f t="shared" si="18"/>
        <v>11.781292000000001</v>
      </c>
      <c r="BO21" s="111">
        <f t="shared" si="18"/>
        <v>11.781292000000001</v>
      </c>
      <c r="BP21" s="111">
        <f>IF($BI$8=2015,VLOOKUP($L21,'[12]IMAGE CurPol SSP'!$AZ$3:$BD$29,5,FALSE)*$AM21,IF($BI$8=2018,VLOOKUP($L21,'[12]IMAGE CurPol SSP'!$BJ$3:$BN$29,5,FALSE)*$AP21,VLOOKUP($L21,'[12]IMAGE CurPol SSP'!$BU$3:$BZ$29,5,FALSE)*$AS21))</f>
        <v>11.924727632052814</v>
      </c>
      <c r="BQ21" s="111">
        <f>IF($BI$8=2015,"",IF($BI$8=2018,"",VLOOKUP($L21,'[12]IMAGE CurPol SSP'!$CQ$3:$CV$29,5,FALSE)*$AS21))</f>
        <v>11.77324087069308</v>
      </c>
      <c r="BR21" s="111">
        <f>IF($BI$8=2015,"",IF($BI$8=2018,"",VLOOKUP($L21,'[12]IMAGE CurPol SSP'!$CF$3:$CK$29,5,FALSE)*$AS21))</f>
        <v>12.087178056769471</v>
      </c>
      <c r="BS21" s="111">
        <f>IF($BI$8=2015,VLOOKUP($L21,'[12]IMAGE CurPol SSP'!$AZ$3:$BE$29,6,FALSE)*$AM21,IF($BI$8=2018,VLOOKUP($L21,'[12]IMAGE CurPol SSP'!$BJ$3:$BO$29,6,FALSE)*$AP21,VLOOKUP($L21,'[12]IMAGE CurPol SSP'!$BU$3:$BZ$29,6,FALSE)*$AS21))</f>
        <v>11.53779332782992</v>
      </c>
      <c r="BT21" s="111">
        <f>IF($BI$8=2015,"",IF($BI$8=2018,"",VLOOKUP($L21,'[12]IMAGE CurPol SSP'!$CQ$3:$CV$29,6,FALSE)*$AS21))</f>
        <v>11.270240355416712</v>
      </c>
      <c r="BU21" s="164">
        <f>IF($BI$8=2015,"",IF($BI$8=2018,"",VLOOKUP($L21,'[12]IMAGE CurPol SSP'!$CF$3:$CK$29,6,FALSE)*$AS21))</f>
        <v>11.682352977582479</v>
      </c>
      <c r="CN21" t="s">
        <v>71</v>
      </c>
      <c r="CO21" s="165" t="str">
        <f t="shared" si="2"/>
        <v/>
      </c>
      <c r="CP21" s="165" t="str">
        <f t="shared" si="2"/>
        <v/>
      </c>
      <c r="CQ21" s="165" t="str">
        <f t="shared" si="2"/>
        <v/>
      </c>
      <c r="CR21" s="165" t="str">
        <f t="shared" si="2"/>
        <v/>
      </c>
      <c r="CV21" s="166" t="s">
        <v>621</v>
      </c>
      <c r="CW21" s="166" t="s">
        <v>621</v>
      </c>
      <c r="CX21"/>
      <c r="CY21" s="167">
        <f t="shared" si="3"/>
        <v>-1.6055081066486085</v>
      </c>
      <c r="DB21" s="106"/>
      <c r="DC21" s="106"/>
      <c r="DD21" s="106"/>
      <c r="DE21" s="106"/>
      <c r="DF21" s="106"/>
      <c r="DG21" s="105" t="str">
        <f t="shared" si="4"/>
        <v>excl</v>
      </c>
      <c r="DH21" t="s">
        <v>71</v>
      </c>
      <c r="DI21" s="111">
        <f>IF(AY21="",$BM21,AY21)-$BM21</f>
        <v>0</v>
      </c>
      <c r="DJ21" s="111">
        <f>IF(AZ21="",$BM21,AZ21)-$BM21</f>
        <v>0</v>
      </c>
      <c r="DK21" s="111">
        <f>IF(BA21="",$BP21,BA21)-$BP21</f>
        <v>0</v>
      </c>
      <c r="DL21" s="111">
        <f>IF(BC21="",$BP21,BC21)-$BP21</f>
        <v>0</v>
      </c>
      <c r="DM21" s="111">
        <f>IF(BE21="",$BS21,BE21)-$BS21</f>
        <v>0</v>
      </c>
      <c r="DN21" s="111">
        <f>IF(BG21="",$BS21,BG21)-$BS21</f>
        <v>0</v>
      </c>
      <c r="DO21" s="111">
        <f>IF(BI21="",$BS21,BI21)-$BS21</f>
        <v>0</v>
      </c>
      <c r="DP21" s="111">
        <f>IF(BK21="",$BS21,BK21)-$BS21</f>
        <v>0</v>
      </c>
      <c r="DQ21" s="106"/>
      <c r="DR21" s="106"/>
      <c r="DS21" s="111"/>
      <c r="DT21" s="168"/>
      <c r="DW21" s="111">
        <f t="shared" si="12"/>
        <v>11.53779332782992</v>
      </c>
      <c r="DX21" s="111">
        <f t="shared" si="12"/>
        <v>11.53779332782992</v>
      </c>
      <c r="DY21" s="111">
        <f t="shared" si="12"/>
        <v>11.53779332782992</v>
      </c>
      <c r="DZ21" s="111">
        <f t="shared" si="12"/>
        <v>11.53779332782992</v>
      </c>
      <c r="EP21" t="s">
        <v>71</v>
      </c>
      <c r="EQ21">
        <v>4</v>
      </c>
      <c r="ER21" s="111">
        <f t="shared" si="13"/>
        <v>12.041825999999999</v>
      </c>
      <c r="ES21" s="111">
        <f>IF($BI$8=2015,VLOOKUP($L21,'[12]IMAGE CDLINKS CurPol'!$P$3:$Y$29,10,FALSE)*$AM21,VLOOKUP($L21,'[12]IMAGE CDLINKS CurPol'!$Z$3:$AI$29,10,FALSE)*$AP21)</f>
        <v>14.231606132617992</v>
      </c>
      <c r="ET21" s="111">
        <f t="shared" si="14"/>
        <v>0</v>
      </c>
      <c r="EU21" s="111">
        <f t="shared" si="19"/>
        <v>0</v>
      </c>
      <c r="EV21" s="111">
        <f>IF($BI$8=2015,VLOOKUP($L21,'[12]IMAGE CDLINKS 2C'!$P$3:$Y$29,10,FALSE)*$AM21,VLOOKUP($L21,'[12]IMAGE CDLINKS 2C'!$Z$3:$AI$29,10,FALSE)*$AP21)</f>
        <v>1.9630305509142374</v>
      </c>
      <c r="EW21">
        <v>0</v>
      </c>
      <c r="EX21" s="111">
        <f>EW21-EV21</f>
        <v>-1.9630305509142374</v>
      </c>
      <c r="EY21" s="111">
        <f t="shared" si="20"/>
        <v>0</v>
      </c>
      <c r="EZ21" s="111">
        <f>IF($BI$8=2015,VLOOKUP($L21,'[12]IMAGE CDLINKS 1_5C'!$P$3:$Y$29,10,FALSE)*$AM21,VLOOKUP($L21,'[12]IMAGE CDLINKS 1_5C'!$Z$3:$AI$29,10,FALSE)*$AP21)</f>
        <v>1.8656997561937811</v>
      </c>
      <c r="FA21" s="132">
        <v>2050</v>
      </c>
    </row>
    <row r="22" spans="1:157" x14ac:dyDescent="0.25">
      <c r="A22" t="str">
        <f>IF([12]NDCs!C24="","",[12]NDCs!C24)</f>
        <v/>
      </c>
      <c r="B22" s="159" t="str">
        <f t="shared" si="0"/>
        <v>v</v>
      </c>
      <c r="C22">
        <v>0</v>
      </c>
      <c r="D22">
        <v>0</v>
      </c>
      <c r="E22">
        <v>0</v>
      </c>
      <c r="F22">
        <v>1</v>
      </c>
      <c r="G22" t="b">
        <f t="shared" si="1"/>
        <v>0</v>
      </c>
      <c r="H22" t="s">
        <v>2328</v>
      </c>
      <c r="I22" t="s">
        <v>73</v>
      </c>
      <c r="J22">
        <v>533</v>
      </c>
      <c r="K22">
        <v>139</v>
      </c>
      <c r="L22">
        <v>4</v>
      </c>
      <c r="M22" t="str">
        <f>IF([12]NDCs!AL24="Excluding","excl","incl")</f>
        <v>excl</v>
      </c>
      <c r="N22" s="160">
        <f>[12]GHG_hist!BA12+IF($M22="incl",[12]LULUCF_hist!CR12,0)</f>
        <v>0.51479153</v>
      </c>
      <c r="O22" s="111">
        <f>[12]GHG_hist!BB12+IF($M22="incl",[12]LULUCF_hist!CS12,0)</f>
        <v>0.56126399999999999</v>
      </c>
      <c r="P22" s="111">
        <f>[12]GHG_hist!BC12+IF($M22="incl",[12]LULUCF_hist!CT12,0)</f>
        <v>0.57048613999999997</v>
      </c>
      <c r="Q22" s="111">
        <f>[12]GHG_hist!BD12+IF($M22="incl",[12]LULUCF_hist!CU12,0)</f>
        <v>0.68189738999999994</v>
      </c>
      <c r="R22" s="111">
        <f>[12]GHG_hist!BE12+IF($M22="incl",[12]LULUCF_hist!CV12,0)</f>
        <v>0.69501052000000008</v>
      </c>
      <c r="S22" s="111">
        <f>[12]GHG_hist!BF12+IF($M22="incl",[12]LULUCF_hist!CW12,0)</f>
        <v>0.74438978</v>
      </c>
      <c r="T22" s="111">
        <f>[12]GHG_hist!BG12+IF($M22="incl",[12]LULUCF_hist!CX12,0)</f>
        <v>0.75974437000000006</v>
      </c>
      <c r="U22" s="111">
        <f>[12]GHG_hist!BH12+IF($M22="incl",[12]LULUCF_hist!CY12,0)</f>
        <v>0.79884177999999995</v>
      </c>
      <c r="V22" s="111">
        <f>[12]GHG_hist!BI12+IF($M22="incl",[12]LULUCF_hist!CZ12,0)</f>
        <v>0.84990335000000006</v>
      </c>
      <c r="W22" s="111">
        <f>[12]GHG_hist!BJ12+IF($M22="incl",[12]LULUCF_hist!DA12,0)</f>
        <v>0.85905589999999998</v>
      </c>
      <c r="X22" s="111">
        <f>[12]GHG_hist!BK12+IF($M22="incl",[12]LULUCF_hist!DB12,0)</f>
        <v>2.4773186000000003</v>
      </c>
      <c r="Y22" s="111">
        <f>[12]GHG_hist!BL12+IF($M22="incl",[12]LULUCF_hist!DC12,0)</f>
        <v>2.5021124000000001</v>
      </c>
      <c r="Z22" s="111">
        <f>[12]GHG_hist!BM12+IF($M22="incl",[12]LULUCF_hist!DD12,0)</f>
        <v>2.5305610000000001</v>
      </c>
      <c r="AA22" s="111">
        <f>[12]GHG_hist!BN12+IF($M22="incl",[12]LULUCF_hist!DE12,0)</f>
        <v>2.6624679000000002</v>
      </c>
      <c r="AB22" s="111">
        <f>[12]GHG_hist!BO12+IF($M22="incl",[12]LULUCF_hist!DF12,0)</f>
        <v>2.7254378999999997</v>
      </c>
      <c r="AC22" s="111">
        <f>[12]GHG_hist!BP12+IF($M22="incl",[12]LULUCF_hist!DG12,0)</f>
        <v>2.8300259000000003</v>
      </c>
      <c r="AD22" s="111">
        <f>[12]GHG_hist!BQ12+IF($M22="incl",[12]LULUCF_hist!DH12,0)</f>
        <v>2.7997163999999999</v>
      </c>
      <c r="AE22" s="111">
        <f>[12]GHG_hist!BR12+IF($M22="incl",[12]LULUCF_hist!DI12,0)</f>
        <v>2.9071465999999999</v>
      </c>
      <c r="AF22" s="111">
        <f>[12]GHG_hist!BS12+IF($M22="incl",[12]LULUCF_hist!DJ12,0)</f>
        <v>2.7368236000000001</v>
      </c>
      <c r="AG22" s="111">
        <f>[12]GHG_hist!BT12+IF($M22="incl",[12]LULUCF_hist!DK12,0)</f>
        <v>2.7057363999999997</v>
      </c>
      <c r="AH22" s="111">
        <f>[12]GHG_hist!BU12+IF($M22="incl",[12]LULUCF_hist!DL12,0)</f>
        <v>2.5753925</v>
      </c>
      <c r="AI22" s="111">
        <f>[12]GHG_hist!BV12+IF($M22="incl",[12]LULUCF_hist!DM12,0)</f>
        <v>2.5731516999999999</v>
      </c>
      <c r="AJ22" s="111">
        <f>[12]GHG_hist!BW12+IF($M22="incl",[12]LULUCF_hist!DN12,0)</f>
        <v>1.4100203</v>
      </c>
      <c r="AK22" s="111">
        <f>[12]GHG_hist!BX12+IF($M22="incl",[12]LULUCF_hist!DO12,0)</f>
        <v>0.94282719999999998</v>
      </c>
      <c r="AL22" s="111">
        <f>[12]GHG_hist!BY12+IF($M22="incl",[12]LULUCF_hist!DP12,0)</f>
        <v>0.95408468000000002</v>
      </c>
      <c r="AM22" s="111">
        <f>[12]GHG_hist!BZ12+IF($M22="incl",[12]LULUCF_hist!DQ12,0)</f>
        <v>0.97902705000000001</v>
      </c>
      <c r="AN22" s="111">
        <f>[12]GHG_hist!CA12+IF($M22="incl",[12]LULUCF_hist!DR12,0)</f>
        <v>0.96429571000000003</v>
      </c>
      <c r="AO22" s="111">
        <f>[12]GHG_hist!CB12+IF($M22="incl",[12]LULUCF_hist!DS12,0)</f>
        <v>0.99393944000000001</v>
      </c>
      <c r="AP22" s="111">
        <f>[12]GHG_hist!CC12+IF($M22="incl",[12]LULUCF_hist!DT12,0)</f>
        <v>1.0160106</v>
      </c>
      <c r="AQ22" s="111">
        <f>[12]GHG_hist!CD12+IF($M22="incl",[12]LULUCF_hist!DU12,0)</f>
        <v>1.0370227000000001</v>
      </c>
      <c r="AR22" s="111">
        <f>[12]GHG_hist!CE12+IF($M22="incl",[12]LULUCF_hist!DV12,0)</f>
        <v>0.95143322000000008</v>
      </c>
      <c r="AS22" s="111">
        <f>[12]GHG_hist!CF12+IF($M22="incl",[12]LULUCF_hist!DW12,0)</f>
        <v>0.94354414999999991</v>
      </c>
      <c r="AT22" s="161">
        <f>VLOOKUP($L22,'[12]IMAGE SSP2'!$AF$3:$AK$29,4,FALSE)*$AM22</f>
        <v>1.1131644159491236</v>
      </c>
      <c r="AU22" s="162">
        <f>VLOOKUP($L22,'[12]IMAGE SSP2'!$AF$3:$AK$29,5,FALSE)*$AM22</f>
        <v>1.245362172499336</v>
      </c>
      <c r="AV22" s="163">
        <f>VLOOKUP($L22,'[12]IMAGE SSP2'!$AF$3:$AK$29,6,FALSE)*$AM22</f>
        <v>1.3146246351452915</v>
      </c>
      <c r="AW22" s="111" t="str">
        <f t="shared" si="15"/>
        <v/>
      </c>
      <c r="AX22" s="164" t="str">
        <f>IF(A22="B",IF(M22="excl",[12]NatCom!CO12,[12]NatCom!AX12),"")</f>
        <v/>
      </c>
      <c r="AY22" s="111" t="str">
        <f>IF('[12]Pledge 2020'!E12="","",'[12]Pledge 2020'!E12)</f>
        <v/>
      </c>
      <c r="AZ22" s="164" t="str">
        <f>IF('[12]Pledge 2020'!F12="","",'[12]Pledge 2020'!F12)</f>
        <v/>
      </c>
      <c r="BA22" s="111" t="str">
        <f t="shared" si="16"/>
        <v/>
      </c>
      <c r="BB22" s="111"/>
      <c r="BC22" s="111" t="str">
        <f t="shared" si="17"/>
        <v/>
      </c>
      <c r="BD22" s="111"/>
      <c r="BE22" s="111" t="s">
        <v>2477</v>
      </c>
      <c r="BF22" s="111"/>
      <c r="BG22" s="111" t="s">
        <v>2477</v>
      </c>
      <c r="BH22" s="164"/>
      <c r="BI22" s="111" t="str">
        <f>IF([12]NDCs!V24="",IF([12]NDCs!X24="","",[12]NDCs!X24),[12]NDCs!V24)</f>
        <v/>
      </c>
      <c r="BJ22" s="111" t="str">
        <f>IF([12]NDCs!V24="",IF([12]NDCs!X24="","",[12]NDCs!X24),[12]NDCs!V24)</f>
        <v/>
      </c>
      <c r="BK22" s="111" t="str">
        <f>IF([12]NDCs!Z24="",IF([12]NDCs!AB24="",IF('input site'!BE22="","",'input site'!BE22),[12]NDCs!AB24),[12]NDCs!Z24)</f>
        <v/>
      </c>
      <c r="BL22" s="111" t="str">
        <f>IF([12]NDCs!AA24="",IF([12]NDCs!AC24="",IF('input site'!BF22="","",'input site'!BF22),[12]NDCs!AC24),[12]NDCs!AA24)</f>
        <v/>
      </c>
      <c r="BM22" s="111">
        <f>IF($BI$8=2015,VLOOKUP($L22,'[12]IMAGE CurPol SSP'!$AZ$3:$BD$29,4,FALSE)*$AM22,IF($BI$8=2018,VLOOKUP($L22,'[12]IMAGE CurPol SSP'!$BJ$3:$BN$29,4,FALSE)*$AP22,$AR22))</f>
        <v>0.95143322000000008</v>
      </c>
      <c r="BN22" s="111">
        <f t="shared" si="18"/>
        <v>0.95143322000000008</v>
      </c>
      <c r="BO22" s="111">
        <f t="shared" si="18"/>
        <v>0.95143322000000008</v>
      </c>
      <c r="BP22" s="111">
        <f>IF($BI$8=2015,VLOOKUP($L22,'[12]IMAGE CurPol SSP'!$AZ$3:$BD$29,5,FALSE)*$AM22,IF($BI$8=2018,VLOOKUP($L22,'[12]IMAGE CurPol SSP'!$BJ$3:$BN$29,5,FALSE)*$AP22,VLOOKUP($L22,'[12]IMAGE CurPol SSP'!$BU$3:$BZ$29,5,FALSE)*$AS22))</f>
        <v>1.0339402309863552</v>
      </c>
      <c r="BQ22" s="111">
        <f>IF($BI$8=2015,"",IF($BI$8=2018,"",VLOOKUP($L22,'[12]IMAGE CurPol SSP'!$CQ$3:$CV$29,5,FALSE)*$AS22))</f>
        <v>1.016345693161081</v>
      </c>
      <c r="BR22" s="111">
        <f>IF($BI$8=2015,"",IF($BI$8=2018,"",VLOOKUP($L22,'[12]IMAGE CurPol SSP'!$CF$3:$CK$29,5,FALSE)*$AS22))</f>
        <v>1.0746087964318123</v>
      </c>
      <c r="BS22" s="111">
        <f>IF($BI$8=2015,VLOOKUP($L22,'[12]IMAGE CurPol SSP'!$AZ$3:$BE$29,6,FALSE)*$AM22,IF($BI$8=2018,VLOOKUP($L22,'[12]IMAGE CurPol SSP'!$BJ$3:$BO$29,6,FALSE)*$AP22,VLOOKUP($L22,'[12]IMAGE CurPol SSP'!$BU$3:$BZ$29,6,FALSE)*$AS22))</f>
        <v>1.1634552197011714</v>
      </c>
      <c r="BT22" s="111">
        <f>IF($BI$8=2015,"",IF($BI$8=2018,"",VLOOKUP($L22,'[12]IMAGE CurPol SSP'!$CQ$3:$CV$29,6,FALSE)*$AS22))</f>
        <v>1.1367185071290486</v>
      </c>
      <c r="BU22" s="164">
        <f>IF($BI$8=2015,"",IF($BI$8=2018,"",VLOOKUP($L22,'[12]IMAGE CurPol SSP'!$CF$3:$CK$29,6,FALSE)*$AS22))</f>
        <v>1.2447974998753435</v>
      </c>
      <c r="CN22" t="s">
        <v>73</v>
      </c>
      <c r="CO22" s="165" t="str">
        <f t="shared" si="2"/>
        <v/>
      </c>
      <c r="CP22" s="165" t="str">
        <f t="shared" si="2"/>
        <v/>
      </c>
      <c r="CQ22" s="165" t="str">
        <f t="shared" si="2"/>
        <v/>
      </c>
      <c r="CR22" s="165" t="str">
        <f t="shared" si="2"/>
        <v/>
      </c>
      <c r="CV22" s="125" t="s">
        <v>621</v>
      </c>
      <c r="CW22" s="125" t="s">
        <v>621</v>
      </c>
      <c r="CX22" s="165">
        <f>AP22/$AP$255</f>
        <v>2.2235874547424458E-5</v>
      </c>
      <c r="CY22" s="167">
        <f t="shared" si="3"/>
        <v>0.16173119594912355</v>
      </c>
      <c r="DB22" s="106"/>
      <c r="DC22" s="106"/>
      <c r="DD22" s="106"/>
      <c r="DE22" s="106"/>
      <c r="DF22" s="106"/>
      <c r="DG22" s="105" t="str">
        <f t="shared" si="4"/>
        <v>excl</v>
      </c>
      <c r="DH22" t="s">
        <v>73</v>
      </c>
      <c r="DI22" s="111">
        <f>IF(AY22="",$BM22,AY22)-$BM22</f>
        <v>0</v>
      </c>
      <c r="DJ22" s="111">
        <f>IF(AZ22="",$BM22,AZ22)-$BM22</f>
        <v>0</v>
      </c>
      <c r="DK22" s="111">
        <f>IF(BA22="",$BP22,BA22)-$BP22</f>
        <v>0</v>
      </c>
      <c r="DL22" s="111">
        <f>IF(BC22="",$BP22,BC22)-$BP22</f>
        <v>0</v>
      </c>
      <c r="DM22" s="111">
        <f>IF(BE22="",$BS22,BE22)-$BS22</f>
        <v>0</v>
      </c>
      <c r="DN22" s="111">
        <f>IF(BG22="",$BS22,BG22)-$BS22</f>
        <v>0</v>
      </c>
      <c r="DO22" s="111">
        <f>IF(BI22="",$BS22,BI22)-$BS22</f>
        <v>0</v>
      </c>
      <c r="DP22" s="111">
        <f>IF(BK22="",$BS22,BK22)-$BS22</f>
        <v>0</v>
      </c>
      <c r="DQ22" s="106"/>
      <c r="DR22" s="106"/>
      <c r="DS22" s="111"/>
      <c r="DT22" s="168"/>
      <c r="DW22" s="111">
        <f t="shared" si="12"/>
        <v>1.1634552197011714</v>
      </c>
      <c r="DX22" s="111">
        <f t="shared" si="12"/>
        <v>1.1634552197011714</v>
      </c>
      <c r="DY22" s="111">
        <f t="shared" si="12"/>
        <v>1.1634552197011714</v>
      </c>
      <c r="DZ22" s="111">
        <f t="shared" si="12"/>
        <v>1.1634552197011714</v>
      </c>
      <c r="EP22" t="s">
        <v>73</v>
      </c>
      <c r="EQ22">
        <v>0</v>
      </c>
      <c r="ER22" s="111">
        <f t="shared" si="13"/>
        <v>1.0160106</v>
      </c>
      <c r="ES22" s="111">
        <f>IF($BI$8=2015,VLOOKUP($L22,'[12]IMAGE CDLINKS CurPol'!$P$3:$Y$29,10,FALSE)*$AM22,VLOOKUP($L22,'[12]IMAGE CDLINKS CurPol'!$Z$3:$AI$29,10,FALSE)*$AP22)</f>
        <v>1.9243017165106853</v>
      </c>
      <c r="ET22" s="111">
        <f t="shared" si="14"/>
        <v>1.9243017165106853</v>
      </c>
      <c r="EU22" s="111">
        <f t="shared" si="19"/>
        <v>0.53389806412437824</v>
      </c>
      <c r="EV22" s="111">
        <f>IF($BI$8=2015,VLOOKUP($L22,'[12]IMAGE CDLINKS 2C'!$P$3:$Y$29,10,FALSE)*$AM22,VLOOKUP($L22,'[12]IMAGE CDLINKS 2C'!$Z$3:$AI$29,10,FALSE)*$AP22)</f>
        <v>0.53389806412437824</v>
      </c>
      <c r="EY22" s="111">
        <f t="shared" si="20"/>
        <v>0.10858440344864778</v>
      </c>
      <c r="EZ22" s="111">
        <f>IF($BI$8=2015,VLOOKUP($L22,'[12]IMAGE CDLINKS 1_5C'!$P$3:$Y$29,10,FALSE)*$AM22,VLOOKUP($L22,'[12]IMAGE CDLINKS 1_5C'!$Z$3:$AI$29,10,FALSE)*$AP22)</f>
        <v>0.10858440344864778</v>
      </c>
      <c r="FA22" s="132"/>
    </row>
    <row r="23" spans="1:157" x14ac:dyDescent="0.25">
      <c r="A23" t="str">
        <f>IF([12]NDCs!C25="","",[12]NDCs!C25)</f>
        <v>A</v>
      </c>
      <c r="B23" s="159" t="str">
        <f t="shared" si="0"/>
        <v>i</v>
      </c>
      <c r="C23">
        <v>1</v>
      </c>
      <c r="D23">
        <v>0</v>
      </c>
      <c r="E23">
        <v>1</v>
      </c>
      <c r="F23">
        <v>1</v>
      </c>
      <c r="G23" t="b">
        <f t="shared" si="1"/>
        <v>1</v>
      </c>
      <c r="H23" t="s">
        <v>2335</v>
      </c>
      <c r="I23" t="s">
        <v>75</v>
      </c>
      <c r="J23">
        <v>36</v>
      </c>
      <c r="K23">
        <v>9</v>
      </c>
      <c r="L23">
        <v>24</v>
      </c>
      <c r="M23" t="str">
        <f>IF([12]NDCs!AL25="Excluding","excl","incl")</f>
        <v>incl</v>
      </c>
      <c r="N23" s="188">
        <f>IF($M23="incl",[12]AUS!E$41,[12]AUS!E$37)</f>
        <v>627.91</v>
      </c>
      <c r="O23" s="188">
        <f>IF($M23="incl",[12]AUS!F$41,[12]AUS!F$37)</f>
        <v>613.33000000000004</v>
      </c>
      <c r="P23" s="188">
        <f>IF($M23="incl",[12]AUS!G$41,[12]AUS!G$37)</f>
        <v>549.44000000000005</v>
      </c>
      <c r="Q23" s="188">
        <f>IF($M23="incl",[12]AUS!H$41,[12]AUS!H$37)</f>
        <v>528.28</v>
      </c>
      <c r="R23" s="188">
        <f>IF($M23="incl",[12]AUS!I$41,[12]AUS!I$37)</f>
        <v>523.98</v>
      </c>
      <c r="S23" s="188">
        <f>IF($M23="incl",[12]AUS!J$41,[12]AUS!J$37)</f>
        <v>507.46</v>
      </c>
      <c r="T23" s="188">
        <f>IF($M23="incl",[12]AUS!K$41,[12]AUS!K$37)</f>
        <v>515.44000000000005</v>
      </c>
      <c r="U23" s="188">
        <f>IF($M23="incl",[12]AUS!L$41,[12]AUS!L$37)</f>
        <v>515.98</v>
      </c>
      <c r="V23" s="188">
        <f>IF($M23="incl",[12]AUS!M$41,[12]AUS!M$37)</f>
        <v>517.44000000000005</v>
      </c>
      <c r="W23" s="188">
        <f>IF($M23="incl",[12]AUS!N$41,[12]AUS!N$37)</f>
        <v>532.52</v>
      </c>
      <c r="X23" s="188">
        <f>IF($M23="incl",[12]AUS!O$41,[12]AUS!O$37)</f>
        <v>558.91</v>
      </c>
      <c r="Y23" s="188">
        <f>IF($M23="incl",[12]AUS!P$41,[12]AUS!P$37)</f>
        <v>578.92999999999995</v>
      </c>
      <c r="Z23" s="188">
        <f>IF($M23="incl",[12]AUS!Q$41,[12]AUS!Q$37)</f>
        <v>574.86</v>
      </c>
      <c r="AA23" s="188">
        <f>IF($M23="incl",[12]AUS!R$41,[12]AUS!R$37)</f>
        <v>583.71</v>
      </c>
      <c r="AB23" s="188">
        <f>IF($M23="incl",[12]AUS!S$41,[12]AUS!S$37)</f>
        <v>577.16</v>
      </c>
      <c r="AC23" s="188">
        <f>IF($M23="incl",[12]AUS!T$41,[12]AUS!T$37)</f>
        <v>608.18999999999903</v>
      </c>
      <c r="AD23" s="188">
        <f>IF($M23="incl",[12]AUS!U$41,[12]AUS!U$37)</f>
        <v>618.54999999999995</v>
      </c>
      <c r="AE23" s="188">
        <f>IF($M23="incl",[12]AUS!V$41,[12]AUS!V$37)</f>
        <v>633.08999999999901</v>
      </c>
      <c r="AF23" s="188">
        <f>IF($M23="incl",[12]AUS!W$41,[12]AUS!W$37)</f>
        <v>621.97</v>
      </c>
      <c r="AG23" s="188">
        <f>IF($M23="incl",[12]AUS!X$41,[12]AUS!X$37)</f>
        <v>622.61</v>
      </c>
      <c r="AH23" s="188">
        <f>IF($M23="incl",[12]AUS!Y$41,[12]AUS!Y$37)</f>
        <v>605.27</v>
      </c>
      <c r="AI23" s="188">
        <f>IF($M23="incl",[12]AUS!Z$41,[12]AUS!Z$37)</f>
        <v>586.219999999999</v>
      </c>
      <c r="AJ23" s="188">
        <f>IF($M23="incl",[12]AUS!AA$41,[12]AUS!AA$37)</f>
        <v>571.45999999999901</v>
      </c>
      <c r="AK23" s="188">
        <f>IF($M23="incl",[12]AUS!AB$41,[12]AUS!AB$37)</f>
        <v>553.73</v>
      </c>
      <c r="AL23" s="188">
        <f>IF($M23="incl",[12]AUS!AC$41,[12]AUS!AC$37)</f>
        <v>548.51</v>
      </c>
      <c r="AM23" s="188">
        <f>IF($M23="incl",[12]AUS!AD$41,[12]AUS!AD$37)</f>
        <v>533.79999999999995</v>
      </c>
      <c r="AN23" s="188">
        <f>IF($M23="incl",[12]AUS!AE$41,[12]AUS!AE$37)</f>
        <v>505.74</v>
      </c>
      <c r="AO23" s="188">
        <f>IF($M23="incl",[12]AUS!AF$41,[12]AUS!AF$37)</f>
        <v>503.1</v>
      </c>
      <c r="AP23" s="188">
        <f>IF($M23="incl",[12]AUS!AG$41,[12]AUS!AG$37)</f>
        <v>507.46</v>
      </c>
      <c r="AQ23" s="188">
        <f>IF($M23="incl",[12]AUS!AH$41,[12]AUS!AH$37)</f>
        <v>499.2</v>
      </c>
      <c r="AR23" s="188">
        <f>IF($M23="incl",[12]AUS!AI$41,[12]AUS!AI$37)</f>
        <v>487.729999999999</v>
      </c>
      <c r="AS23" s="188">
        <f>IF($M23="incl",[12]AUS!AJ$41,[12]AUS!AJ$37)</f>
        <v>458.659999999999</v>
      </c>
      <c r="AT23" s="189">
        <f>AR23</f>
        <v>487.729999999999</v>
      </c>
      <c r="AU23" s="111">
        <f>[12]AUS!AN23</f>
        <v>554.59232088583997</v>
      </c>
      <c r="AV23" s="164">
        <f>[12]AUS!AS23</f>
        <v>559.01464788583985</v>
      </c>
      <c r="AW23" s="111" t="str">
        <f t="shared" si="15"/>
        <v/>
      </c>
      <c r="AX23" s="164" t="str">
        <f>IF(A23="B",IF(M23="excl",[12]NatCom!CO13,[12]NatCom!AX13),"")</f>
        <v/>
      </c>
      <c r="AY23" s="111">
        <f>IF('[12]Pledge 2020'!E13="","",'[12]Pledge 2020'!E13)</f>
        <v>503.01900000000001</v>
      </c>
      <c r="AZ23" s="164">
        <f>IF('[12]Pledge 2020'!F13="","",'[12]Pledge 2020'!F13)</f>
        <v>419.1825</v>
      </c>
      <c r="BA23" s="106">
        <f>[12]AUS!X10</f>
        <v>411.31872499999963</v>
      </c>
      <c r="BB23" s="106">
        <f>IF(BF23="","",(BF23-AH23)*0.75+AH23)</f>
        <v>411.31872499999963</v>
      </c>
      <c r="BC23" s="106">
        <f>[12]AUS!Y10</f>
        <v>411.31872499999963</v>
      </c>
      <c r="BD23" s="106">
        <f>IF(BH23="","",(BH23-AH23)*0.75+AH23)</f>
        <v>411.31872499999963</v>
      </c>
      <c r="BE23" s="181">
        <v>346.66829999999948</v>
      </c>
      <c r="BF23" s="181">
        <v>346.66829999999948</v>
      </c>
      <c r="BG23" s="181">
        <v>346.66829999999948</v>
      </c>
      <c r="BH23" s="182">
        <v>346.66829999999948</v>
      </c>
      <c r="BI23" s="111">
        <f>IF([12]NDCs!V25="",IF([12]NDCs!X25="","",[12]NDCs!X25),[12]NDCs!V25)</f>
        <v>444.74</v>
      </c>
      <c r="BJ23" s="111">
        <f>IF([12]NDCs!V25="",IF([12]NDCs!X25="","",[12]NDCs!X25),[12]NDCs!V25)</f>
        <v>444.74</v>
      </c>
      <c r="BK23" s="111">
        <f>IF([12]NDCs!Z25="",IF([12]NDCs!AB25="",IF('input site'!BE23="","",'input site'!BE23),[12]NDCs!AB25),[12]NDCs!Z25)</f>
        <v>444.74</v>
      </c>
      <c r="BL23" s="111">
        <f>IF([12]NDCs!AA25="",IF([12]NDCs!AC25="",IF('input site'!BF23="","",'input site'!BF23),[12]NDCs!AC25),[12]NDCs!AA25)</f>
        <v>432.71999999999997</v>
      </c>
      <c r="BM23" s="190">
        <f>[12]AUS!AB$5</f>
        <v>487.729999999999</v>
      </c>
      <c r="BN23" s="127">
        <f>[12]AUS!AB7</f>
        <v>487.729999999999</v>
      </c>
      <c r="BO23" s="127">
        <f>[12]AUS!AB6</f>
        <v>487.729999999999</v>
      </c>
      <c r="BP23" s="191">
        <f>[12]AUS!AC$5</f>
        <v>443.42244052652097</v>
      </c>
      <c r="BQ23" s="127">
        <f>[12]AUS!AC7</f>
        <v>407.7582491</v>
      </c>
      <c r="BR23" s="127">
        <f>[12]AUS!AC6</f>
        <v>443.42244052652097</v>
      </c>
      <c r="BS23" s="191">
        <f>[12]AUS!AD$5</f>
        <v>429.31306869077298</v>
      </c>
      <c r="BT23" s="127">
        <f>[12]AUS!AD7</f>
        <v>304.25650419999999</v>
      </c>
      <c r="BU23" s="127">
        <f>[12]AUS!AD6</f>
        <v>429.31306869077298</v>
      </c>
      <c r="CN23" t="s">
        <v>75</v>
      </c>
      <c r="CO23" s="165">
        <f t="shared" si="2"/>
        <v>-0.1925046655178837</v>
      </c>
      <c r="CP23" s="165">
        <f t="shared" si="2"/>
        <v>-0.1925046655178837</v>
      </c>
      <c r="CQ23" s="165">
        <f t="shared" si="2"/>
        <v>-0.1925046655178837</v>
      </c>
      <c r="CR23" s="165">
        <f t="shared" si="2"/>
        <v>-0.1925046655178837</v>
      </c>
      <c r="CS23">
        <f>IF(BE23&lt;=MIN(BS23:BU23),0,1)</f>
        <v>1</v>
      </c>
      <c r="CT23">
        <f>IF(BG23&lt;=MIN(BS23:BU23),0,1)</f>
        <v>1</v>
      </c>
      <c r="CU23">
        <f>IF(BS23&lt;=MAX(AN23,AP23),1,0)</f>
        <v>1</v>
      </c>
      <c r="CV23" s="126" t="str">
        <f>IF(CS23=1,IF(CU23=1,"i","ii"),IF(CU23=1,"iii","iv"))</f>
        <v>i</v>
      </c>
      <c r="CW23" s="126" t="str">
        <f>IF(CT23=1,IF(CU23=1,"i","ii"),IF(CU23=1,"iii","iv"))</f>
        <v>i</v>
      </c>
      <c r="CX23"/>
      <c r="CY23" s="167">
        <f t="shared" si="3"/>
        <v>0</v>
      </c>
      <c r="DA23" s="187">
        <f>[12]AUS!P18</f>
        <v>15.28900000000101</v>
      </c>
      <c r="DB23" s="187">
        <f>[12]AUS!Q18</f>
        <v>0</v>
      </c>
      <c r="DC23" s="187">
        <f>[12]AUS!R18</f>
        <v>0</v>
      </c>
      <c r="DD23" s="187">
        <f>[12]AUS!S18</f>
        <v>0</v>
      </c>
      <c r="DE23" s="187">
        <f>[12]AUS!T18</f>
        <v>0</v>
      </c>
      <c r="DF23" s="187">
        <f>[12]AUS!U18</f>
        <v>0</v>
      </c>
      <c r="DG23" s="105" t="str">
        <f t="shared" si="4"/>
        <v>incl</v>
      </c>
      <c r="DH23" t="s">
        <v>75</v>
      </c>
      <c r="DI23" s="127">
        <f t="shared" ref="DI23:DN23" si="22">DA23</f>
        <v>15.28900000000101</v>
      </c>
      <c r="DJ23" s="127">
        <f t="shared" si="22"/>
        <v>0</v>
      </c>
      <c r="DK23" s="127">
        <f t="shared" si="22"/>
        <v>0</v>
      </c>
      <c r="DL23" s="127">
        <f t="shared" si="22"/>
        <v>0</v>
      </c>
      <c r="DM23" s="127">
        <f t="shared" si="22"/>
        <v>0</v>
      </c>
      <c r="DN23" s="127">
        <f t="shared" si="22"/>
        <v>0</v>
      </c>
      <c r="DO23" s="127"/>
      <c r="DP23" s="127"/>
      <c r="DQ23" s="187">
        <f>[12]AUS!BA$18</f>
        <v>0</v>
      </c>
      <c r="DR23" s="187">
        <f>[12]AUS!BB$18</f>
        <v>0</v>
      </c>
      <c r="DS23" s="111"/>
      <c r="DT23" s="168"/>
      <c r="DW23" s="111">
        <f t="shared" si="12"/>
        <v>346.66829999999948</v>
      </c>
      <c r="DX23" s="111">
        <f t="shared" si="12"/>
        <v>346.66829999999948</v>
      </c>
      <c r="DY23" s="111">
        <f t="shared" si="12"/>
        <v>346.66829999999948</v>
      </c>
      <c r="DZ23" s="111">
        <f t="shared" si="12"/>
        <v>346.66829999999948</v>
      </c>
      <c r="EP23" t="s">
        <v>75</v>
      </c>
      <c r="EQ23">
        <v>4</v>
      </c>
      <c r="ER23" s="111">
        <f t="shared" si="13"/>
        <v>507.46</v>
      </c>
      <c r="ES23" s="111">
        <f>IF($BI$8=2015,VLOOKUP($L23,'[12]IMAGE CDLINKS CurPol'!$P$3:$Y$29,10,FALSE)*$AM23,VLOOKUP($L23,'[12]IMAGE CDLINKS CurPol'!$Z$3:$AI$29,10,FALSE)*$AP23)</f>
        <v>523.19447911153634</v>
      </c>
      <c r="ET23" s="111">
        <f t="shared" si="14"/>
        <v>0</v>
      </c>
      <c r="EU23" s="111">
        <f t="shared" si="19"/>
        <v>0</v>
      </c>
      <c r="EV23" s="111">
        <f>IF($BI$8=2015,VLOOKUP($L23,'[12]IMAGE CDLINKS 2C'!$P$3:$Y$29,10,FALSE)*$AM23,VLOOKUP($L23,'[12]IMAGE CDLINKS 2C'!$Z$3:$AI$29,10,FALSE)*$AP23)</f>
        <v>201.08307608923707</v>
      </c>
      <c r="EW23">
        <v>0</v>
      </c>
      <c r="EY23" s="111">
        <f t="shared" si="20"/>
        <v>0</v>
      </c>
      <c r="EZ23" s="111">
        <f>IF($BI$8=2015,VLOOKUP($L23,'[12]IMAGE CDLINKS 1_5C'!$P$3:$Y$29,10,FALSE)*$AM23,VLOOKUP($L23,'[12]IMAGE CDLINKS 1_5C'!$Z$3:$AI$29,10,FALSE)*$AP23)</f>
        <v>86.981235493546407</v>
      </c>
      <c r="FA23" s="132" t="s">
        <v>2336</v>
      </c>
    </row>
    <row r="24" spans="1:157" x14ac:dyDescent="0.25">
      <c r="A24" t="str">
        <f>IF([12]NDCs!C26="","",[12]NDCs!C26)</f>
        <v>A</v>
      </c>
      <c r="B24" s="159" t="str">
        <f t="shared" si="0"/>
        <v>v</v>
      </c>
      <c r="C24">
        <v>0</v>
      </c>
      <c r="D24">
        <v>1</v>
      </c>
      <c r="E24">
        <v>0</v>
      </c>
      <c r="F24">
        <v>1</v>
      </c>
      <c r="G24" t="b">
        <f t="shared" si="1"/>
        <v>1</v>
      </c>
      <c r="H24" t="s">
        <v>2335</v>
      </c>
      <c r="I24" t="s">
        <v>77</v>
      </c>
      <c r="J24">
        <v>40</v>
      </c>
      <c r="K24">
        <v>10</v>
      </c>
      <c r="L24">
        <v>11</v>
      </c>
      <c r="M24" t="str">
        <f>IF([12]NDCs!AL26="Excluding","excl","incl")</f>
        <v>incl</v>
      </c>
      <c r="N24" s="160">
        <f>[12]GHG_hist!BA14+IF($M24="incl",[12]LULUCF_hist!CR14,0)</f>
        <v>66.217082555825783</v>
      </c>
      <c r="O24" s="111">
        <f>[12]GHG_hist!BB14+IF($M24="incl",[12]LULUCF_hist!CS14,0)</f>
        <v>62.898948272223706</v>
      </c>
      <c r="P24" s="111">
        <f>[12]GHG_hist!BC14+IF($M24="incl",[12]LULUCF_hist!CT14,0)</f>
        <v>65.945609339014567</v>
      </c>
      <c r="Q24" s="111">
        <f>[12]GHG_hist!BD14+IF($M24="incl",[12]LULUCF_hist!CU14,0)</f>
        <v>58.746528127890862</v>
      </c>
      <c r="R24" s="111">
        <f>[12]GHG_hist!BE14+IF($M24="incl",[12]LULUCF_hist!CV14,0)</f>
        <v>66.370704907198501</v>
      </c>
      <c r="S24" s="111">
        <f>[12]GHG_hist!BF14+IF($M24="incl",[12]LULUCF_hist!CW14,0)</f>
        <v>59.517620818124591</v>
      </c>
      <c r="T24" s="111">
        <f>[12]GHG_hist!BG14+IF($M24="incl",[12]LULUCF_hist!CX14,0)</f>
        <v>63.633596760940705</v>
      </c>
      <c r="U24" s="111">
        <f>[12]GHG_hist!BH14+IF($M24="incl",[12]LULUCF_hist!CY14,0)</f>
        <v>59.462825646888</v>
      </c>
      <c r="V24" s="111">
        <f>[12]GHG_hist!BI14+IF($M24="incl",[12]LULUCF_hist!CZ14,0)</f>
        <v>62.218748666310205</v>
      </c>
      <c r="W24" s="111">
        <f>[12]GHG_hist!BJ14+IF($M24="incl",[12]LULUCF_hist!DA14,0)</f>
        <v>59.468451807850812</v>
      </c>
      <c r="X24" s="111">
        <f>[12]GHG_hist!BK14+IF($M24="incl",[12]LULUCF_hist!DB14,0)</f>
        <v>65.83334556624952</v>
      </c>
      <c r="Y24" s="111">
        <f>[12]GHG_hist!BL14+IF($M24="incl",[12]LULUCF_hist!DC14,0)</f>
        <v>54.597750453850374</v>
      </c>
      <c r="Z24" s="111">
        <f>[12]GHG_hist!BM14+IF($M24="incl",[12]LULUCF_hist!DD14,0)</f>
        <v>72.6079555733712</v>
      </c>
      <c r="AA24" s="111">
        <f>[12]GHG_hist!BN14+IF($M24="incl",[12]LULUCF_hist!DE14,0)</f>
        <v>75.878854897075328</v>
      </c>
      <c r="AB24" s="111">
        <f>[12]GHG_hist!BO14+IF($M24="incl",[12]LULUCF_hist!DF14,0)</f>
        <v>68.492341442568872</v>
      </c>
      <c r="AC24" s="111">
        <f>[12]GHG_hist!BP14+IF($M24="incl",[12]LULUCF_hist!DG14,0)</f>
        <v>73.690949913316047</v>
      </c>
      <c r="AD24" s="111">
        <f>[12]GHG_hist!BQ14+IF($M24="incl",[12]LULUCF_hist!DH14,0)</f>
        <v>80.618643907380843</v>
      </c>
      <c r="AE24" s="111">
        <f>[12]GHG_hist!BR14+IF($M24="incl",[12]LULUCF_hist!DI14,0)</f>
        <v>81.252653589495651</v>
      </c>
      <c r="AF24" s="111">
        <f>[12]GHG_hist!BS14+IF($M24="incl",[12]LULUCF_hist!DJ14,0)</f>
        <v>73.996331492306695</v>
      </c>
      <c r="AG24" s="111">
        <f>[12]GHG_hist!BT14+IF($M24="incl",[12]LULUCF_hist!DK14,0)</f>
        <v>71.675232084228327</v>
      </c>
      <c r="AH24" s="111">
        <f>[12]GHG_hist!BU14+IF($M24="incl",[12]LULUCF_hist!DL14,0)</f>
        <v>64.516682312460233</v>
      </c>
      <c r="AI24" s="111">
        <f>[12]GHG_hist!BV14+IF($M24="incl",[12]LULUCF_hist!DM14,0)</f>
        <v>66.773058910195175</v>
      </c>
      <c r="AJ24" s="111">
        <f>[12]GHG_hist!BW14+IF($M24="incl",[12]LULUCF_hist!DN14,0)</f>
        <v>73.664081775400945</v>
      </c>
      <c r="AK24" s="111">
        <f>[12]GHG_hist!BX14+IF($M24="incl",[12]LULUCF_hist!DO14,0)</f>
        <v>73.645980743429234</v>
      </c>
      <c r="AL24" s="111">
        <f>[12]GHG_hist!BY14+IF($M24="incl",[12]LULUCF_hist!DP14,0)</f>
        <v>68.743266078118793</v>
      </c>
      <c r="AM24" s="111">
        <f>[12]GHG_hist!BZ14+IF($M24="incl",[12]LULUCF_hist!DQ14,0)</f>
        <v>72.02832442569418</v>
      </c>
      <c r="AN24" s="111">
        <f>[12]GHG_hist!CA14+IF($M24="incl",[12]LULUCF_hist!DR14,0)</f>
        <v>72.555117228714508</v>
      </c>
      <c r="AO24" s="111">
        <f>[12]GHG_hist!CB14+IF($M24="incl",[12]LULUCF_hist!DS14,0)</f>
        <v>78.607228940608664</v>
      </c>
      <c r="AP24" s="111">
        <f>[12]GHG_hist!CC14+IF($M24="incl",[12]LULUCF_hist!DT14,0)</f>
        <v>83.523725061463296</v>
      </c>
      <c r="AQ24" s="111">
        <f>[12]GHG_hist!CD14+IF($M24="incl",[12]LULUCF_hist!DU14,0)</f>
        <v>81.894201481418818</v>
      </c>
      <c r="AR24" s="111">
        <f>[12]GHG_hist!CE14+IF($M24="incl",[12]LULUCF_hist!DV14,0)</f>
        <v>68.463438481003777</v>
      </c>
      <c r="AS24" s="111">
        <f>[12]GHG_hist!CF14+IF($M24="incl",[12]LULUCF_hist!DW14,0)</f>
        <v>66.913131722469103</v>
      </c>
      <c r="AT24" s="161">
        <f>VLOOKUP($L24,'[12]IMAGE SSP2'!$AF$3:$AK$29,4,FALSE)*$AM24</f>
        <v>70.0401589964154</v>
      </c>
      <c r="AU24" s="162">
        <f>VLOOKUP($L24,'[12]IMAGE SSP2'!$AF$3:$AK$29,5,FALSE)*$AM24</f>
        <v>67.72173604177604</v>
      </c>
      <c r="AV24" s="163">
        <f>VLOOKUP($L24,'[12]IMAGE SSP2'!$AF$3:$AK$29,6,FALSE)*$AM24</f>
        <v>67.34492334625422</v>
      </c>
      <c r="AW24" s="111" t="str">
        <f t="shared" si="15"/>
        <v/>
      </c>
      <c r="AX24" s="164" t="str">
        <f>IF(A24="B",IF(M24="excl",[12]NatCom!CO14,[12]NatCom!AX14),"")</f>
        <v/>
      </c>
      <c r="AY24" s="111" t="str">
        <f>IF('[12]Pledge 2020'!E14="","",'[12]Pledge 2020'!E14)</f>
        <v/>
      </c>
      <c r="AZ24" s="164" t="str">
        <f>IF('[12]Pledge 2020'!F14="","",'[12]Pledge 2020'!F14)</f>
        <v/>
      </c>
      <c r="BA24" s="111" t="str">
        <f t="shared" si="16"/>
        <v/>
      </c>
      <c r="BB24" s="111"/>
      <c r="BC24" s="111" t="str">
        <f t="shared" si="17"/>
        <v/>
      </c>
      <c r="BD24" s="111"/>
      <c r="BE24" s="111" t="s">
        <v>2477</v>
      </c>
      <c r="BF24" s="111"/>
      <c r="BG24" s="111" t="s">
        <v>2477</v>
      </c>
      <c r="BH24" s="164"/>
      <c r="BI24" s="111" t="str">
        <f>IF([12]NDCs!V26="",IF([12]NDCs!X26="","",[12]NDCs!X26),[12]NDCs!V26)</f>
        <v/>
      </c>
      <c r="BJ24" s="111" t="str">
        <f>IF([12]NDCs!V26="",IF([12]NDCs!X26="","",[12]NDCs!X26),[12]NDCs!V26)</f>
        <v/>
      </c>
      <c r="BK24" s="111" t="str">
        <f>IF([12]NDCs!Z26="",IF([12]NDCs!AB26="",IF('input site'!BE24="","",'input site'!BE24),[12]NDCs!AB26),[12]NDCs!Z26)</f>
        <v/>
      </c>
      <c r="BL24" s="111" t="str">
        <f>IF([12]NDCs!AA26="",IF([12]NDCs!AC26="",IF('input site'!BF24="","",'input site'!BF24),[12]NDCs!AC26),[12]NDCs!AA26)</f>
        <v/>
      </c>
      <c r="BM24" s="111">
        <f>IF($BI$8=2015,VLOOKUP($L24,'[12]IMAGE CurPol SSP'!$AZ$3:$BD$29,4,FALSE)*$AM24,IF($BI$8=2018,VLOOKUP($L24,'[12]IMAGE CurPol SSP'!$BJ$3:$BN$29,4,FALSE)*$AP24,$AR24))</f>
        <v>68.463438481003777</v>
      </c>
      <c r="BN24" s="111">
        <f t="shared" si="18"/>
        <v>68.463438481003777</v>
      </c>
      <c r="BO24" s="111">
        <f t="shared" si="18"/>
        <v>68.463438481003777</v>
      </c>
      <c r="BP24" s="111">
        <f>IF($BI$8=2015,VLOOKUP($L24,'[12]IMAGE CurPol SSP'!$AZ$3:$BD$29,5,FALSE)*$AM24,IF($BI$8=2018,VLOOKUP($L24,'[12]IMAGE CurPol SSP'!$BJ$3:$BN$29,5,FALSE)*$AP24,VLOOKUP($L24,'[12]IMAGE CurPol SSP'!$BU$3:$BZ$29,5,FALSE)*$AS24))</f>
        <v>54.275894213225492</v>
      </c>
      <c r="BQ24" s="111">
        <f>IF($BI$8=2015,"",IF($BI$8=2018,"",VLOOKUP($L24,'[12]IMAGE CurPol SSP'!$CQ$3:$CV$29,5,FALSE)*$AS24))</f>
        <v>52.749741909687756</v>
      </c>
      <c r="BR24" s="111">
        <f>IF($BI$8=2015,"",IF($BI$8=2018,"",VLOOKUP($L24,'[12]IMAGE CurPol SSP'!$CF$3:$CK$29,5,FALSE)*$AS24))</f>
        <v>55.202773337535561</v>
      </c>
      <c r="BS24" s="111">
        <f>IF($BI$8=2015,VLOOKUP($L24,'[12]IMAGE CurPol SSP'!$AZ$3:$BE$29,6,FALSE)*$AM24,IF($BI$8=2018,VLOOKUP($L24,'[12]IMAGE CurPol SSP'!$BJ$3:$BO$29,6,FALSE)*$AP24,VLOOKUP($L24,'[12]IMAGE CurPol SSP'!$BU$3:$BZ$29,6,FALSE)*$AS24))</f>
        <v>37.33414892322903</v>
      </c>
      <c r="BT24" s="111">
        <f>IF($BI$8=2015,"",IF($BI$8=2018,"",VLOOKUP($L24,'[12]IMAGE CurPol SSP'!$CQ$3:$CV$29,6,FALSE)*$AS24))</f>
        <v>34.913323377241923</v>
      </c>
      <c r="BU24" s="164">
        <f>IF($BI$8=2015,"",IF($BI$8=2018,"",VLOOKUP($L24,'[12]IMAGE CurPol SSP'!$CF$3:$CK$29,6,FALSE)*$AS24))</f>
        <v>39.236263185225127</v>
      </c>
      <c r="CN24" t="s">
        <v>77</v>
      </c>
      <c r="CO24" s="165" t="str">
        <f t="shared" si="2"/>
        <v/>
      </c>
      <c r="CP24" s="165" t="str">
        <f t="shared" si="2"/>
        <v/>
      </c>
      <c r="CQ24" s="165" t="str">
        <f t="shared" si="2"/>
        <v/>
      </c>
      <c r="CR24" s="165" t="str">
        <f t="shared" si="2"/>
        <v/>
      </c>
      <c r="CV24" s="125" t="s">
        <v>621</v>
      </c>
      <c r="CW24" s="125" t="s">
        <v>621</v>
      </c>
      <c r="CX24"/>
      <c r="CY24" s="167">
        <f t="shared" si="3"/>
        <v>1.5767205154116226</v>
      </c>
      <c r="DB24" s="106"/>
      <c r="DC24" s="106"/>
      <c r="DD24" s="106"/>
      <c r="DE24" s="106"/>
      <c r="DF24" s="106"/>
      <c r="DG24" s="105" t="str">
        <f t="shared" si="4"/>
        <v>incl</v>
      </c>
      <c r="DH24" t="s">
        <v>77</v>
      </c>
      <c r="DI24" s="111">
        <f t="shared" ref="DI24:DJ38" si="23">IF(AY24="",$BM24,AY24)-$BM24</f>
        <v>0</v>
      </c>
      <c r="DJ24" s="111">
        <f t="shared" si="23"/>
        <v>0</v>
      </c>
      <c r="DK24" s="111">
        <f t="shared" ref="DK24:DK38" si="24">IF(BA24="",$BP24,BA24)-$BP24</f>
        <v>0</v>
      </c>
      <c r="DL24" s="111">
        <f t="shared" ref="DL24:DL38" si="25">IF(BC24="",$BP24,BC24)-$BP24</f>
        <v>0</v>
      </c>
      <c r="DM24" s="111">
        <f t="shared" ref="DM24:DM38" si="26">IF(BE24="",$BS24,BE24)-$BS24</f>
        <v>0</v>
      </c>
      <c r="DN24" s="111">
        <f t="shared" ref="DN24:DN38" si="27">IF(BG24="",$BS24,BG24)-$BS24</f>
        <v>0</v>
      </c>
      <c r="DO24" s="111">
        <f t="shared" ref="DO24:DO38" si="28">IF(BI24="",$BS24,BI24)-$BS24</f>
        <v>0</v>
      </c>
      <c r="DP24" s="111">
        <f t="shared" ref="DP24:DP38" si="29">IF(BK24="",$BS24,BK24)-$BS24</f>
        <v>0</v>
      </c>
      <c r="DQ24" s="106"/>
      <c r="DR24" s="106"/>
      <c r="DS24" s="111"/>
      <c r="DT24" s="168"/>
      <c r="DW24" s="111">
        <f t="shared" si="12"/>
        <v>37.33414892322903</v>
      </c>
      <c r="DX24" s="111">
        <f t="shared" si="12"/>
        <v>37.33414892322903</v>
      </c>
      <c r="DY24" s="111">
        <f t="shared" si="12"/>
        <v>37.33414892322903</v>
      </c>
      <c r="DZ24" s="111">
        <f t="shared" si="12"/>
        <v>37.33414892322903</v>
      </c>
      <c r="EP24" t="s">
        <v>77</v>
      </c>
      <c r="ER24" s="111">
        <f t="shared" si="13"/>
        <v>83.523725061463296</v>
      </c>
      <c r="ES24" s="111">
        <f>IF($BI$8=2015,VLOOKUP($L24,'[12]IMAGE CDLINKS CurPol'!$P$3:$Y$29,10,FALSE)*$AM24,VLOOKUP($L24,'[12]IMAGE CDLINKS CurPol'!$Z$3:$AI$29,10,FALSE)*$AP24)</f>
        <v>80.036048048325839</v>
      </c>
      <c r="ET24" s="111">
        <f t="shared" si="14"/>
        <v>80.036048048325839</v>
      </c>
      <c r="EU24" s="111">
        <f t="shared" si="19"/>
        <v>17.052423497757736</v>
      </c>
      <c r="EV24" s="111">
        <f>IF($BI$8=2015,VLOOKUP($L24,'[12]IMAGE CDLINKS 2C'!$P$3:$Y$29,10,FALSE)*$AM24,VLOOKUP($L24,'[12]IMAGE CDLINKS 2C'!$Z$3:$AI$29,10,FALSE)*$AP24)</f>
        <v>17.052423497757736</v>
      </c>
      <c r="EY24" s="111">
        <f t="shared" si="20"/>
        <v>9.4321030485529729</v>
      </c>
      <c r="EZ24" s="111">
        <f>IF($BI$8=2015,VLOOKUP($L24,'[12]IMAGE CDLINKS 1_5C'!$P$3:$Y$29,10,FALSE)*$AM24,VLOOKUP($L24,'[12]IMAGE CDLINKS 1_5C'!$Z$3:$AI$29,10,FALSE)*$AP24)</f>
        <v>9.4321030485529729</v>
      </c>
      <c r="FA24" s="192" t="s">
        <v>2337</v>
      </c>
    </row>
    <row r="25" spans="1:157" x14ac:dyDescent="0.25">
      <c r="A25" t="str">
        <f>IF([12]NDCs!C27="","",[12]NDCs!C27)</f>
        <v>A</v>
      </c>
      <c r="B25" s="159" t="str">
        <f t="shared" si="0"/>
        <v>v</v>
      </c>
      <c r="C25">
        <v>0</v>
      </c>
      <c r="D25">
        <v>0</v>
      </c>
      <c r="E25">
        <v>0</v>
      </c>
      <c r="F25">
        <v>1</v>
      </c>
      <c r="G25" t="b">
        <f t="shared" si="1"/>
        <v>1</v>
      </c>
      <c r="H25" t="s">
        <v>2328</v>
      </c>
      <c r="I25" t="s">
        <v>79</v>
      </c>
      <c r="J25">
        <v>31</v>
      </c>
      <c r="K25">
        <v>7</v>
      </c>
      <c r="L25">
        <v>16</v>
      </c>
      <c r="M25" t="str">
        <f>IF([12]NDCs!AL27="Excluding","excl","incl")</f>
        <v>excl</v>
      </c>
      <c r="N25" s="160">
        <f>[12]GHG_hist!BA15+IF($M25="incl",[12]LULUCF_hist!CR15,0)</f>
        <v>86.899047999999993</v>
      </c>
      <c r="O25" s="111">
        <f>[12]GHG_hist!BB15+IF($M25="incl",[12]LULUCF_hist!CS15,0)</f>
        <v>84.900843999999992</v>
      </c>
      <c r="P25" s="111">
        <f>[12]GHG_hist!BC15+IF($M25="incl",[12]LULUCF_hist!CT15,0)</f>
        <v>80.071492000000006</v>
      </c>
      <c r="Q25" s="111">
        <f>[12]GHG_hist!BD15+IF($M25="incl",[12]LULUCF_hist!CU15,0)</f>
        <v>72.235139000000004</v>
      </c>
      <c r="R25" s="111">
        <f>[12]GHG_hist!BE15+IF($M25="incl",[12]LULUCF_hist!CV15,0)</f>
        <v>65.001796999999996</v>
      </c>
      <c r="S25" s="111">
        <f>[12]GHG_hist!BF15+IF($M25="incl",[12]LULUCF_hist!CW15,0)</f>
        <v>56.617072</v>
      </c>
      <c r="T25" s="111">
        <f>[12]GHG_hist!BG15+IF($M25="incl",[12]LULUCF_hist!CX15,0)</f>
        <v>52.802458000000001</v>
      </c>
      <c r="U25" s="111">
        <f>[12]GHG_hist!BH15+IF($M25="incl",[12]LULUCF_hist!CY15,0)</f>
        <v>50.056930000000001</v>
      </c>
      <c r="V25" s="111">
        <f>[12]GHG_hist!BI15+IF($M25="incl",[12]LULUCF_hist!CZ15,0)</f>
        <v>51.365797000000001</v>
      </c>
      <c r="W25" s="111">
        <f>[12]GHG_hist!BJ15+IF($M25="incl",[12]LULUCF_hist!DA15,0)</f>
        <v>49.977339000000001</v>
      </c>
      <c r="X25" s="111">
        <f>[12]GHG_hist!BK15+IF($M25="incl",[12]LULUCF_hist!DB15,0)</f>
        <v>49.947735000000002</v>
      </c>
      <c r="Y25" s="111">
        <f>[12]GHG_hist!BL15+IF($M25="incl",[12]LULUCF_hist!DC15,0)</f>
        <v>48.276052000000007</v>
      </c>
      <c r="Z25" s="111">
        <f>[12]GHG_hist!BM15+IF($M25="incl",[12]LULUCF_hist!DD15,0)</f>
        <v>47.998805000000004</v>
      </c>
      <c r="AA25" s="111">
        <f>[12]GHG_hist!BN15+IF($M25="incl",[12]LULUCF_hist!DE15,0)</f>
        <v>49.513546000000005</v>
      </c>
      <c r="AB25" s="111">
        <f>[12]GHG_hist!BO15+IF($M25="incl",[12]LULUCF_hist!DF15,0)</f>
        <v>50.868206000000001</v>
      </c>
      <c r="AC25" s="111">
        <f>[12]GHG_hist!BP15+IF($M25="incl",[12]LULUCF_hist!DG15,0)</f>
        <v>52.309436000000005</v>
      </c>
      <c r="AD25" s="111">
        <f>[12]GHG_hist!BQ15+IF($M25="incl",[12]LULUCF_hist!DH15,0)</f>
        <v>53.872243000000005</v>
      </c>
      <c r="AE25" s="111">
        <f>[12]GHG_hist!BR15+IF($M25="incl",[12]LULUCF_hist!DI15,0)</f>
        <v>54.583727000000003</v>
      </c>
      <c r="AF25" s="111">
        <f>[12]GHG_hist!BS15+IF($M25="incl",[12]LULUCF_hist!DJ15,0)</f>
        <v>59.619220000000006</v>
      </c>
      <c r="AG25" s="111">
        <f>[12]GHG_hist!BT15+IF($M25="incl",[12]LULUCF_hist!DK15,0)</f>
        <v>55.012675000000002</v>
      </c>
      <c r="AH25" s="111">
        <f>[12]GHG_hist!BU15+IF($M25="incl",[12]LULUCF_hist!DL15,0)</f>
        <v>54.357343</v>
      </c>
      <c r="AI25" s="111">
        <f>[12]GHG_hist!BV15+IF($M25="incl",[12]LULUCF_hist!DM15,0)</f>
        <v>58.040277000000003</v>
      </c>
      <c r="AJ25" s="111">
        <f>[12]GHG_hist!BW15+IF($M25="incl",[12]LULUCF_hist!DN15,0)</f>
        <v>60.914856</v>
      </c>
      <c r="AK25" s="111">
        <f>[12]GHG_hist!BX15+IF($M25="incl",[12]LULUCF_hist!DO15,0)</f>
        <v>62.304814</v>
      </c>
      <c r="AL25" s="111">
        <f>[12]GHG_hist!BY15+IF($M25="incl",[12]LULUCF_hist!DP15,0)</f>
        <v>63.358648000000002</v>
      </c>
      <c r="AM25" s="111">
        <f>[12]GHG_hist!BZ15+IF($M25="incl",[12]LULUCF_hist!DQ15,0)</f>
        <v>64.745422000000005</v>
      </c>
      <c r="AN25" s="111">
        <f>[12]GHG_hist!CA15+IF($M25="incl",[12]LULUCF_hist!DR15,0)</f>
        <v>64.828226999999998</v>
      </c>
      <c r="AO25" s="111">
        <f>[12]GHG_hist!CB15+IF($M25="incl",[12]LULUCF_hist!DS15,0)</f>
        <v>64.664175999999998</v>
      </c>
      <c r="AP25" s="111">
        <f>[12]GHG_hist!CC15+IF($M25="incl",[12]LULUCF_hist!DT15,0)</f>
        <v>67.542889000000002</v>
      </c>
      <c r="AQ25" s="111">
        <f>[12]GHG_hist!CD15+IF($M25="incl",[12]LULUCF_hist!DU15,0)</f>
        <v>70.862791000000001</v>
      </c>
      <c r="AR25" s="111">
        <f>[12]GHG_hist!CE15+IF($M25="incl",[12]LULUCF_hist!DV15,0)</f>
        <v>63.470036999999998</v>
      </c>
      <c r="AS25" s="111">
        <f>[12]GHG_hist!CF15+IF($M25="incl",[12]LULUCF_hist!DW15,0)</f>
        <v>66.491821999999999</v>
      </c>
      <c r="AT25" s="161">
        <f>VLOOKUP($L25,'[12]IMAGE SSP2'!$AF$3:$AK$29,4,FALSE)*$AM25</f>
        <v>66.153424391869933</v>
      </c>
      <c r="AU25" s="162">
        <f>VLOOKUP($L25,'[12]IMAGE SSP2'!$AF$3:$AK$29,5,FALSE)*$AM25</f>
        <v>68.995758525232858</v>
      </c>
      <c r="AV25" s="163">
        <f>VLOOKUP($L25,'[12]IMAGE SSP2'!$AF$3:$AK$29,6,FALSE)*$AM25</f>
        <v>72.450779970696786</v>
      </c>
      <c r="AW25" s="111" t="str">
        <f t="shared" si="15"/>
        <v/>
      </c>
      <c r="AX25" s="164" t="str">
        <f>IF(A25="B",IF(M25="excl",[12]NatCom!CO15,[12]NatCom!AX15),"")</f>
        <v/>
      </c>
      <c r="AY25" s="111" t="str">
        <f>IF('[12]Pledge 2020'!E15="","",'[12]Pledge 2020'!E15)</f>
        <v/>
      </c>
      <c r="AZ25" s="164" t="str">
        <f>IF('[12]Pledge 2020'!F15="","",'[12]Pledge 2020'!F15)</f>
        <v/>
      </c>
      <c r="BA25" s="111">
        <f t="shared" si="16"/>
        <v>49.338198250000005</v>
      </c>
      <c r="BB25" s="111">
        <f>IF(BF25="","",(BF25-AH25)*0.75+AH25)</f>
        <v>49.338198250000005</v>
      </c>
      <c r="BC25" s="111">
        <f t="shared" si="17"/>
        <v>49.338198250000005</v>
      </c>
      <c r="BD25" s="111">
        <f>IF(BH25="","",(BH25-AH25)*0.75+AH25)</f>
        <v>49.338198250000005</v>
      </c>
      <c r="BE25" s="111">
        <v>47.665150000000004</v>
      </c>
      <c r="BF25" s="111">
        <v>47.665150000000004</v>
      </c>
      <c r="BG25" s="111">
        <v>47.665150000000004</v>
      </c>
      <c r="BH25" s="164">
        <v>47.665150000000004</v>
      </c>
      <c r="BI25" s="111">
        <f>IF([12]NDCs!V27="",IF([12]NDCs!X27="","",[12]NDCs!X27),[12]NDCs!V27)</f>
        <v>47.665150000000004</v>
      </c>
      <c r="BJ25" s="111">
        <f>IF([12]NDCs!V27="",IF([12]NDCs!X27="","",[12]NDCs!X27),[12]NDCs!V27)</f>
        <v>47.665150000000004</v>
      </c>
      <c r="BK25" s="111">
        <f>IF([12]NDCs!Z27="",IF([12]NDCs!AB27="",IF('input site'!BE25="","",'input site'!BE25),[12]NDCs!AB27),[12]NDCs!Z27)</f>
        <v>47.665150000000004</v>
      </c>
      <c r="BL25" s="111">
        <f>IF([12]NDCs!AA27="",IF([12]NDCs!AC27="",IF('input site'!BF25="","",'input site'!BF25),[12]NDCs!AC27),[12]NDCs!AA27)</f>
        <v>47.665150000000004</v>
      </c>
      <c r="BM25" s="111">
        <f>IF($BI$8=2015,VLOOKUP($L25,'[12]IMAGE CurPol SSP'!$AZ$3:$BD$29,4,FALSE)*$AM25,IF($BI$8=2018,VLOOKUP($L25,'[12]IMAGE CurPol SSP'!$BJ$3:$BN$29,4,FALSE)*$AP25,$AR25))</f>
        <v>63.470036999999998</v>
      </c>
      <c r="BN25" s="111">
        <f t="shared" si="18"/>
        <v>63.470036999999998</v>
      </c>
      <c r="BO25" s="111">
        <f t="shared" si="18"/>
        <v>63.470036999999998</v>
      </c>
      <c r="BP25" s="111">
        <f>IF($BI$8=2015,VLOOKUP($L25,'[12]IMAGE CurPol SSP'!$AZ$3:$BD$29,5,FALSE)*$AM25,IF($BI$8=2018,VLOOKUP($L25,'[12]IMAGE CurPol SSP'!$BJ$3:$BN$29,5,FALSE)*$AP25,VLOOKUP($L25,'[12]IMAGE CurPol SSP'!$BU$3:$BZ$29,5,FALSE)*$AS25))</f>
        <v>64.847436345470399</v>
      </c>
      <c r="BQ25" s="111">
        <f>IF($BI$8=2015,"",IF($BI$8=2018,"",VLOOKUP($L25,'[12]IMAGE CurPol SSP'!$CQ$3:$CV$29,5,FALSE)*$AS25))</f>
        <v>64.023641587420585</v>
      </c>
      <c r="BR25" s="111">
        <f>IF($BI$8=2015,"",IF($BI$8=2018,"",VLOOKUP($L25,'[12]IMAGE CurPol SSP'!$CF$3:$CK$29,5,FALSE)*$AS25))</f>
        <v>65.730852210482865</v>
      </c>
      <c r="BS25" s="111">
        <f>IF($BI$8=2015,VLOOKUP($L25,'[12]IMAGE CurPol SSP'!$AZ$3:$BE$29,6,FALSE)*$AM25,IF($BI$8=2018,VLOOKUP($L25,'[12]IMAGE CurPol SSP'!$BJ$3:$BO$29,6,FALSE)*$AP25,VLOOKUP($L25,'[12]IMAGE CurPol SSP'!$BU$3:$BZ$29,6,FALSE)*$AS25))</f>
        <v>62.74326269579069</v>
      </c>
      <c r="BT25" s="111">
        <f>IF($BI$8=2015,"",IF($BI$8=2018,"",VLOOKUP($L25,'[12]IMAGE CurPol SSP'!$CQ$3:$CV$29,6,FALSE)*$AS25))</f>
        <v>61.288292411943615</v>
      </c>
      <c r="BU25" s="164">
        <f>IF($BI$8=2015,"",IF($BI$8=2018,"",VLOOKUP($L25,'[12]IMAGE CurPol SSP'!$CF$3:$CK$29,6,FALSE)*$AS25))</f>
        <v>63.529387375087765</v>
      </c>
      <c r="CN25" t="s">
        <v>79</v>
      </c>
      <c r="CO25" s="165">
        <f t="shared" si="2"/>
        <v>-0.24031445047568822</v>
      </c>
      <c r="CP25" s="165">
        <f t="shared" si="2"/>
        <v>-0.24031445047568822</v>
      </c>
      <c r="CQ25" s="165">
        <f t="shared" si="2"/>
        <v>-0.24031445047568822</v>
      </c>
      <c r="CR25" s="165">
        <f t="shared" si="2"/>
        <v>-0.24031445047568822</v>
      </c>
      <c r="CV25" s="125" t="s">
        <v>621</v>
      </c>
      <c r="CW25" s="125" t="s">
        <v>621</v>
      </c>
      <c r="CX25"/>
      <c r="CY25" s="167">
        <f t="shared" si="3"/>
        <v>2.6833873918699354</v>
      </c>
      <c r="DB25" s="106"/>
      <c r="DC25" s="106"/>
      <c r="DD25" s="106"/>
      <c r="DE25" s="106"/>
      <c r="DF25" s="106"/>
      <c r="DG25" s="105" t="str">
        <f t="shared" si="4"/>
        <v>excl</v>
      </c>
      <c r="DH25" t="s">
        <v>79</v>
      </c>
      <c r="DI25" s="111">
        <f t="shared" si="23"/>
        <v>0</v>
      </c>
      <c r="DJ25" s="111">
        <f t="shared" si="23"/>
        <v>0</v>
      </c>
      <c r="DK25" s="111">
        <f t="shared" si="24"/>
        <v>-15.509238095470394</v>
      </c>
      <c r="DL25" s="111">
        <f t="shared" si="25"/>
        <v>-15.509238095470394</v>
      </c>
      <c r="DM25" s="111">
        <f t="shared" si="26"/>
        <v>-15.078112695790686</v>
      </c>
      <c r="DN25" s="111">
        <f t="shared" si="27"/>
        <v>-15.078112695790686</v>
      </c>
      <c r="DO25" s="111">
        <f t="shared" si="28"/>
        <v>-15.078112695790686</v>
      </c>
      <c r="DP25" s="111">
        <f t="shared" si="29"/>
        <v>-15.078112695790686</v>
      </c>
      <c r="DQ25" s="106"/>
      <c r="DR25" s="106"/>
      <c r="DS25" s="111"/>
      <c r="DT25" s="168"/>
      <c r="DW25" s="111">
        <f t="shared" si="12"/>
        <v>47.665150000000004</v>
      </c>
      <c r="DX25" s="111">
        <f t="shared" si="12"/>
        <v>47.665150000000004</v>
      </c>
      <c r="DY25" s="111">
        <f t="shared" si="12"/>
        <v>47.665150000000004</v>
      </c>
      <c r="DZ25" s="111">
        <f t="shared" si="12"/>
        <v>47.665150000000004</v>
      </c>
      <c r="EP25" t="s">
        <v>79</v>
      </c>
      <c r="EQ25">
        <v>0</v>
      </c>
      <c r="ER25" s="111">
        <f t="shared" si="13"/>
        <v>67.542889000000002</v>
      </c>
      <c r="ES25" s="111">
        <f>IF($BI$8=2015,VLOOKUP($L25,'[12]IMAGE CDLINKS CurPol'!$P$3:$Y$29,10,FALSE)*$AM25,VLOOKUP($L25,'[12]IMAGE CDLINKS CurPol'!$Z$3:$AI$29,10,FALSE)*$AP25)</f>
        <v>79.825417948003604</v>
      </c>
      <c r="ET25" s="111">
        <f t="shared" si="14"/>
        <v>79.825417948003604</v>
      </c>
      <c r="EU25" s="111">
        <f t="shared" si="19"/>
        <v>11.010685140609837</v>
      </c>
      <c r="EV25" s="111">
        <f>IF($BI$8=2015,VLOOKUP($L25,'[12]IMAGE CDLINKS 2C'!$P$3:$Y$29,10,FALSE)*$AM25,VLOOKUP($L25,'[12]IMAGE CDLINKS 2C'!$Z$3:$AI$29,10,FALSE)*$AP25)</f>
        <v>11.010685140609837</v>
      </c>
      <c r="EY25" s="111">
        <f t="shared" si="20"/>
        <v>10.464754393554902</v>
      </c>
      <c r="EZ25" s="111">
        <f>IF($BI$8=2015,VLOOKUP($L25,'[12]IMAGE CDLINKS 1_5C'!$P$3:$Y$29,10,FALSE)*$AM25,VLOOKUP($L25,'[12]IMAGE CDLINKS 1_5C'!$Z$3:$AI$29,10,FALSE)*$AP25)</f>
        <v>10.464754393554902</v>
      </c>
      <c r="FA25" s="192"/>
    </row>
    <row r="26" spans="1:157" x14ac:dyDescent="0.25">
      <c r="A26" t="str">
        <f>IF([12]NDCs!C28="","",[12]NDCs!C28)</f>
        <v>C</v>
      </c>
      <c r="B26" s="159" t="str">
        <f t="shared" si="0"/>
        <v>v</v>
      </c>
      <c r="C26">
        <v>0</v>
      </c>
      <c r="D26">
        <v>0</v>
      </c>
      <c r="E26">
        <v>0</v>
      </c>
      <c r="F26">
        <v>1</v>
      </c>
      <c r="G26" t="b">
        <f t="shared" si="1"/>
        <v>1</v>
      </c>
      <c r="H26" t="s">
        <v>2328</v>
      </c>
      <c r="I26" t="s">
        <v>81</v>
      </c>
      <c r="J26">
        <v>44</v>
      </c>
      <c r="K26">
        <v>11</v>
      </c>
      <c r="L26">
        <v>4</v>
      </c>
      <c r="M26" t="str">
        <f>IF([12]NDCs!AL28="Excluding","excl","incl")</f>
        <v>excl</v>
      </c>
      <c r="N26" s="160">
        <f>[12]GHG_hist!BA16+IF($M26="incl",[12]LULUCF_hist!CR16,0)</f>
        <v>2.4408363</v>
      </c>
      <c r="O26" s="111">
        <f>[12]GHG_hist!BB16+IF($M26="incl",[12]LULUCF_hist!CS16,0)</f>
        <v>2.4423831000000003</v>
      </c>
      <c r="P26" s="111">
        <f>[12]GHG_hist!BC16+IF($M26="incl",[12]LULUCF_hist!CT16,0)</f>
        <v>2.4531162000000002</v>
      </c>
      <c r="Q26" s="111">
        <f>[12]GHG_hist!BD16+IF($M26="incl",[12]LULUCF_hist!CU16,0)</f>
        <v>2.3452260000000003</v>
      </c>
      <c r="R26" s="111">
        <f>[12]GHG_hist!BE16+IF($M26="incl",[12]LULUCF_hist!CV16,0)</f>
        <v>2.3390830999999999</v>
      </c>
      <c r="S26" s="111">
        <f>[12]GHG_hist!BF16+IF($M26="incl",[12]LULUCF_hist!CW16,0)</f>
        <v>2.3471210999999998</v>
      </c>
      <c r="T26" s="111">
        <f>[12]GHG_hist!BG16+IF($M26="incl",[12]LULUCF_hist!CX16,0)</f>
        <v>2.3485825</v>
      </c>
      <c r="U26" s="111">
        <f>[12]GHG_hist!BH16+IF($M26="incl",[12]LULUCF_hist!CY16,0)</f>
        <v>2.1022237000000001</v>
      </c>
      <c r="V26" s="111">
        <f>[12]GHG_hist!BI16+IF($M26="incl",[12]LULUCF_hist!CZ16,0)</f>
        <v>2.5884114</v>
      </c>
      <c r="W26" s="111">
        <f>[12]GHG_hist!BJ16+IF($M26="incl",[12]LULUCF_hist!DA16,0)</f>
        <v>2.6326003999999998</v>
      </c>
      <c r="X26" s="111">
        <f>[12]GHG_hist!BK16+IF($M26="incl",[12]LULUCF_hist!DB16,0)</f>
        <v>2.6332103000000004</v>
      </c>
      <c r="Y26" s="111">
        <f>[12]GHG_hist!BL16+IF($M26="incl",[12]LULUCF_hist!DC16,0)</f>
        <v>2.7351012999999997</v>
      </c>
      <c r="Z26" s="111">
        <f>[12]GHG_hist!BM16+IF($M26="incl",[12]LULUCF_hist!DD16,0)</f>
        <v>2.8087735999999999</v>
      </c>
      <c r="AA26" s="111">
        <f>[12]GHG_hist!BN16+IF($M26="incl",[12]LULUCF_hist!DE16,0)</f>
        <v>2.4968140999999999</v>
      </c>
      <c r="AB26" s="111">
        <f>[12]GHG_hist!BO16+IF($M26="incl",[12]LULUCF_hist!DF16,0)</f>
        <v>2.55097</v>
      </c>
      <c r="AC26" s="111">
        <f>[12]GHG_hist!BP16+IF($M26="incl",[12]LULUCF_hist!DG16,0)</f>
        <v>2.7106244999999998</v>
      </c>
      <c r="AD26" s="111">
        <f>[12]GHG_hist!BQ16+IF($M26="incl",[12]LULUCF_hist!DH16,0)</f>
        <v>2.7424596000000001</v>
      </c>
      <c r="AE26" s="111">
        <f>[12]GHG_hist!BR16+IF($M26="incl",[12]LULUCF_hist!DI16,0)</f>
        <v>2.8800702999999999</v>
      </c>
      <c r="AF26" s="111">
        <f>[12]GHG_hist!BS16+IF($M26="incl",[12]LULUCF_hist!DJ16,0)</f>
        <v>2.9142991</v>
      </c>
      <c r="AG26" s="111">
        <f>[12]GHG_hist!BT16+IF($M26="incl",[12]LULUCF_hist!DK16,0)</f>
        <v>3.0078258999999998</v>
      </c>
      <c r="AH26" s="111">
        <f>[12]GHG_hist!BU16+IF($M26="incl",[12]LULUCF_hist!DL16,0)</f>
        <v>3.0828928000000002</v>
      </c>
      <c r="AI26" s="111">
        <f>[12]GHG_hist!BV16+IF($M26="incl",[12]LULUCF_hist!DM16,0)</f>
        <v>3.0955102000000001</v>
      </c>
      <c r="AJ26" s="111">
        <f>[12]GHG_hist!BW16+IF($M26="incl",[12]LULUCF_hist!DN16,0)</f>
        <v>3.1572040000000001</v>
      </c>
      <c r="AK26" s="111">
        <f>[12]GHG_hist!BX16+IF($M26="incl",[12]LULUCF_hist!DO16,0)</f>
        <v>3.3008303000000003</v>
      </c>
      <c r="AL26" s="111">
        <f>[12]GHG_hist!BY16+IF($M26="incl",[12]LULUCF_hist!DP16,0)</f>
        <v>2.9523736</v>
      </c>
      <c r="AM26" s="111">
        <f>[12]GHG_hist!BZ16+IF($M26="incl",[12]LULUCF_hist!DQ16,0)</f>
        <v>2.7948434000000004</v>
      </c>
      <c r="AN26" s="111">
        <f>[12]GHG_hist!CA16+IF($M26="incl",[12]LULUCF_hist!DR16,0)</f>
        <v>2.8739507</v>
      </c>
      <c r="AO26" s="111">
        <f>[12]GHG_hist!CB16+IF($M26="incl",[12]LULUCF_hist!DS16,0)</f>
        <v>2.5622113</v>
      </c>
      <c r="AP26" s="111">
        <f>[12]GHG_hist!CC16+IF($M26="incl",[12]LULUCF_hist!DT16,0)</f>
        <v>3.3076637</v>
      </c>
      <c r="AQ26" s="111">
        <f>[12]GHG_hist!CD16+IF($M26="incl",[12]LULUCF_hist!DU16,0)</f>
        <v>3.3862139999999998</v>
      </c>
      <c r="AR26" s="111">
        <f>[12]GHG_hist!CE16+IF($M26="incl",[12]LULUCF_hist!DV16,0)</f>
        <v>3.1288054000000001</v>
      </c>
      <c r="AS26" s="111">
        <f>[12]GHG_hist!CF16+IF($M26="incl",[12]LULUCF_hist!DW16,0)</f>
        <v>3.1079639999999999</v>
      </c>
      <c r="AT26" s="161">
        <f>VLOOKUP($L26,'[12]IMAGE SSP2'!$AF$3:$AK$29,4,FALSE)*$AM26</f>
        <v>3.1777673773469926</v>
      </c>
      <c r="AU26" s="162">
        <f>VLOOKUP($L26,'[12]IMAGE SSP2'!$AF$3:$AK$29,5,FALSE)*$AM26</f>
        <v>3.5551543222625268</v>
      </c>
      <c r="AV26" s="163">
        <f>VLOOKUP($L26,'[12]IMAGE SSP2'!$AF$3:$AK$29,6,FALSE)*$AM26</f>
        <v>3.7528789271075058</v>
      </c>
      <c r="AW26" s="111" t="str">
        <f t="shared" si="15"/>
        <v/>
      </c>
      <c r="AX26" s="164" t="str">
        <f>IF(A26="B",IF(M26="excl",[12]NatCom!CO16,[12]NatCom!AX16),"")</f>
        <v/>
      </c>
      <c r="AY26" s="111" t="str">
        <f>IF('[12]Pledge 2020'!E16="","",'[12]Pledge 2020'!E16)</f>
        <v/>
      </c>
      <c r="AZ26" s="164" t="str">
        <f>IF('[12]Pledge 2020'!F16="","",'[12]Pledge 2020'!F16)</f>
        <v/>
      </c>
      <c r="BA26" s="111" t="str">
        <f t="shared" si="16"/>
        <v/>
      </c>
      <c r="BB26" s="111"/>
      <c r="BC26" s="111">
        <f t="shared" si="17"/>
        <v>3.585606775</v>
      </c>
      <c r="BD26" s="111">
        <f>IF(BH26="","",(BH26-AH26)*0.75+AH26)</f>
        <v>3.585606775</v>
      </c>
      <c r="BE26" s="111" t="s">
        <v>2477</v>
      </c>
      <c r="BF26" s="111"/>
      <c r="BG26" s="111">
        <v>3.7531781</v>
      </c>
      <c r="BH26" s="164">
        <v>3.7531781</v>
      </c>
      <c r="BI26" s="111" t="str">
        <f>IF([12]NDCs!V28="",IF([12]NDCs!X28="","",[12]NDCs!X28),[12]NDCs!V28)</f>
        <v/>
      </c>
      <c r="BJ26" s="111" t="str">
        <f>IF([12]NDCs!V28="",IF([12]NDCs!X28="","",[12]NDCs!X28),[12]NDCs!V28)</f>
        <v/>
      </c>
      <c r="BK26" s="111">
        <f>IF([12]NDCs!Z28="",IF([12]NDCs!AB28="",IF('input site'!BE26="","",'input site'!BE26),[12]NDCs!AB28),[12]NDCs!Z28)</f>
        <v>3.7531781</v>
      </c>
      <c r="BL26" s="111">
        <f>IF([12]NDCs!AA28="",IF([12]NDCs!AC28="",IF('input site'!BF26="","",'input site'!BF26),[12]NDCs!AC28),[12]NDCs!AA28)</f>
        <v>3.7531781</v>
      </c>
      <c r="BM26" s="111">
        <f>IF($BI$8=2015,VLOOKUP($L26,'[12]IMAGE CurPol SSP'!$AZ$3:$BD$29,4,FALSE)*$AM26,IF($BI$8=2018,VLOOKUP($L26,'[12]IMAGE CurPol SSP'!$BJ$3:$BN$29,4,FALSE)*$AP26,$AR26))</f>
        <v>3.1288054000000001</v>
      </c>
      <c r="BN26" s="111">
        <f t="shared" si="18"/>
        <v>3.1288054000000001</v>
      </c>
      <c r="BO26" s="111">
        <f t="shared" si="18"/>
        <v>3.1288054000000001</v>
      </c>
      <c r="BP26" s="111">
        <f>IF($BI$8=2015,VLOOKUP($L26,'[12]IMAGE CurPol SSP'!$AZ$3:$BD$29,5,FALSE)*$AM26,IF($BI$8=2018,VLOOKUP($L26,'[12]IMAGE CurPol SSP'!$BJ$3:$BN$29,5,FALSE)*$AP26,VLOOKUP($L26,'[12]IMAGE CurPol SSP'!$BU$3:$BZ$29,5,FALSE)*$AS26))</f>
        <v>3.4057219432257373</v>
      </c>
      <c r="BQ26" s="111">
        <f>IF($BI$8=2015,"",IF($BI$8=2018,"",VLOOKUP($L26,'[12]IMAGE CurPol SSP'!$CQ$3:$CV$29,5,FALSE)*$AS26))</f>
        <v>3.3477668489595174</v>
      </c>
      <c r="BR26" s="111">
        <f>IF($BI$8=2015,"",IF($BI$8=2018,"",VLOOKUP($L26,'[12]IMAGE CurPol SSP'!$CF$3:$CK$29,5,FALSE)*$AS26))</f>
        <v>3.5396811621304649</v>
      </c>
      <c r="BS26" s="111">
        <f>IF($BI$8=2015,VLOOKUP($L26,'[12]IMAGE CurPol SSP'!$AZ$3:$BE$29,6,FALSE)*$AM26,IF($BI$8=2018,VLOOKUP($L26,'[12]IMAGE CurPol SSP'!$BJ$3:$BO$29,6,FALSE)*$AP26,VLOOKUP($L26,'[12]IMAGE CurPol SSP'!$BU$3:$BZ$29,6,FALSE)*$AS26))</f>
        <v>3.8323346485093799</v>
      </c>
      <c r="BT26" s="111">
        <f>IF($BI$8=2015,"",IF($BI$8=2018,"",VLOOKUP($L26,'[12]IMAGE CurPol SSP'!$CQ$3:$CV$29,6,FALSE)*$AS26))</f>
        <v>3.7442659130373781</v>
      </c>
      <c r="BU26" s="164">
        <f>IF($BI$8=2015,"",IF($BI$8=2018,"",VLOOKUP($L26,'[12]IMAGE CurPol SSP'!$CF$3:$CK$29,6,FALSE)*$AS26))</f>
        <v>4.1002700476735212</v>
      </c>
      <c r="CN26" t="s">
        <v>81</v>
      </c>
      <c r="CO26" s="165" t="str">
        <f t="shared" si="2"/>
        <v/>
      </c>
      <c r="CP26" s="165" t="str">
        <f t="shared" si="2"/>
        <v/>
      </c>
      <c r="CQ26" s="165">
        <f t="shared" si="2"/>
        <v>-2.0654915546106767E-2</v>
      </c>
      <c r="CR26" s="165">
        <f t="shared" si="2"/>
        <v>-2.0654915546106767E-2</v>
      </c>
      <c r="CV26" s="125" t="s">
        <v>621</v>
      </c>
      <c r="CW26" s="125" t="s">
        <v>621</v>
      </c>
      <c r="CX26"/>
      <c r="CY26" s="167">
        <f t="shared" si="3"/>
        <v>4.896197734699248E-2</v>
      </c>
      <c r="DB26" s="106"/>
      <c r="DC26" s="106"/>
      <c r="DD26" s="106"/>
      <c r="DE26" s="106"/>
      <c r="DF26" s="106"/>
      <c r="DG26" s="105" t="str">
        <f t="shared" si="4"/>
        <v>excl</v>
      </c>
      <c r="DH26" t="s">
        <v>81</v>
      </c>
      <c r="DI26" s="111">
        <f t="shared" si="23"/>
        <v>0</v>
      </c>
      <c r="DJ26" s="111">
        <f t="shared" si="23"/>
        <v>0</v>
      </c>
      <c r="DK26" s="111">
        <f t="shared" si="24"/>
        <v>0</v>
      </c>
      <c r="DL26" s="111">
        <f t="shared" si="25"/>
        <v>0.17988483177426273</v>
      </c>
      <c r="DM26" s="111">
        <f t="shared" si="26"/>
        <v>0</v>
      </c>
      <c r="DN26" s="111">
        <f t="shared" si="27"/>
        <v>-7.915654850937992E-2</v>
      </c>
      <c r="DO26" s="111">
        <f t="shared" si="28"/>
        <v>0</v>
      </c>
      <c r="DP26" s="111">
        <f t="shared" si="29"/>
        <v>-7.915654850937992E-2</v>
      </c>
      <c r="DQ26" s="106"/>
      <c r="DR26" s="106"/>
      <c r="DS26" s="111"/>
      <c r="DT26" s="168"/>
      <c r="DW26" s="111">
        <f t="shared" si="12"/>
        <v>3.8323346485093799</v>
      </c>
      <c r="DX26" s="111">
        <f t="shared" si="12"/>
        <v>3.8323346485093799</v>
      </c>
      <c r="DY26" s="111">
        <f t="shared" si="12"/>
        <v>3.7531781</v>
      </c>
      <c r="DZ26" s="111">
        <f t="shared" si="12"/>
        <v>3.7531781</v>
      </c>
      <c r="EP26" t="s">
        <v>81</v>
      </c>
      <c r="EQ26">
        <v>1</v>
      </c>
      <c r="ER26" s="111">
        <f t="shared" si="13"/>
        <v>3.3076637</v>
      </c>
      <c r="ES26" s="111">
        <f>IF($BI$8=2015,VLOOKUP($L26,'[12]IMAGE CDLINKS CurPol'!$P$3:$Y$29,10,FALSE)*$AM26,VLOOKUP($L26,'[12]IMAGE CDLINKS CurPol'!$Z$3:$AI$29,10,FALSE)*$AP26)</f>
        <v>6.2646422542738076</v>
      </c>
      <c r="ET26" s="111">
        <f t="shared" si="14"/>
        <v>0</v>
      </c>
      <c r="EU26" s="111">
        <f t="shared" si="19"/>
        <v>1.7381267933666029</v>
      </c>
      <c r="EV26" s="111">
        <f>IF($BI$8=2015,VLOOKUP($L26,'[12]IMAGE CDLINKS 2C'!$P$3:$Y$29,10,FALSE)*$AM26,VLOOKUP($L26,'[12]IMAGE CDLINKS 2C'!$Z$3:$AI$29,10,FALSE)*$AP26)</f>
        <v>1.7381267933666029</v>
      </c>
      <c r="EW26">
        <v>0</v>
      </c>
      <c r="EX26" s="111">
        <f>EW26-EV26</f>
        <v>-1.7381267933666029</v>
      </c>
      <c r="EY26" s="111">
        <f t="shared" si="20"/>
        <v>0</v>
      </c>
      <c r="EZ26" s="111">
        <f>IF($BI$8=2015,VLOOKUP($L26,'[12]IMAGE CDLINKS 1_5C'!$P$3:$Y$29,10,FALSE)*$AM26,VLOOKUP($L26,'[12]IMAGE CDLINKS 1_5C'!$Z$3:$AI$29,10,FALSE)*$AP26)</f>
        <v>0.35350092771989494</v>
      </c>
      <c r="FA26" s="192">
        <v>2050</v>
      </c>
    </row>
    <row r="27" spans="1:157" x14ac:dyDescent="0.25">
      <c r="A27" t="str">
        <f>IF([12]NDCs!C29="","",[12]NDCs!C29)</f>
        <v>G</v>
      </c>
      <c r="B27" s="159" t="str">
        <f t="shared" si="0"/>
        <v>v</v>
      </c>
      <c r="C27">
        <v>0</v>
      </c>
      <c r="D27">
        <v>0</v>
      </c>
      <c r="E27">
        <v>0</v>
      </c>
      <c r="F27">
        <v>1</v>
      </c>
      <c r="G27" t="b">
        <f t="shared" si="1"/>
        <v>0</v>
      </c>
      <c r="H27" t="s">
        <v>2328</v>
      </c>
      <c r="I27" t="s">
        <v>83</v>
      </c>
      <c r="J27">
        <v>48</v>
      </c>
      <c r="K27">
        <v>12</v>
      </c>
      <c r="L27">
        <v>17</v>
      </c>
      <c r="M27" t="str">
        <f>IF([12]NDCs!AL29="Excluding","excl","incl")</f>
        <v>excl</v>
      </c>
      <c r="N27" s="160">
        <f>[12]GHG_hist!BA17+IF($M27="incl",[12]LULUCF_hist!CR17,0)</f>
        <v>18.596830000000001</v>
      </c>
      <c r="O27" s="111">
        <f>[12]GHG_hist!BB17+IF($M27="incl",[12]LULUCF_hist!CS17,0)</f>
        <v>15.158972</v>
      </c>
      <c r="P27" s="111">
        <f>[12]GHG_hist!BC17+IF($M27="incl",[12]LULUCF_hist!CT17,0)</f>
        <v>14.540966000000001</v>
      </c>
      <c r="Q27" s="111">
        <f>[12]GHG_hist!BD17+IF($M27="incl",[12]LULUCF_hist!CU17,0)</f>
        <v>18.878708</v>
      </c>
      <c r="R27" s="111">
        <f>[12]GHG_hist!BE17+IF($M27="incl",[12]LULUCF_hist!CV17,0)</f>
        <v>18.977219000000002</v>
      </c>
      <c r="S27" s="111">
        <f>[12]GHG_hist!BF17+IF($M27="incl",[12]LULUCF_hist!CW17,0)</f>
        <v>18.291941999999999</v>
      </c>
      <c r="T27" s="111">
        <f>[12]GHG_hist!BG17+IF($M27="incl",[12]LULUCF_hist!CX17,0)</f>
        <v>18.772188999999997</v>
      </c>
      <c r="U27" s="111">
        <f>[12]GHG_hist!BH17+IF($M27="incl",[12]LULUCF_hist!CY17,0)</f>
        <v>20.188611000000002</v>
      </c>
      <c r="V27" s="111">
        <f>[12]GHG_hist!BI17+IF($M27="incl",[12]LULUCF_hist!CZ17,0)</f>
        <v>20.847883000000003</v>
      </c>
      <c r="W27" s="111">
        <f>[12]GHG_hist!BJ17+IF($M27="incl",[12]LULUCF_hist!DA17,0)</f>
        <v>20.531427000000001</v>
      </c>
      <c r="X27" s="111">
        <f>[12]GHG_hist!BK17+IF($M27="incl",[12]LULUCF_hist!DB17,0)</f>
        <v>20.958687999999999</v>
      </c>
      <c r="Y27" s="111">
        <f>[12]GHG_hist!BL17+IF($M27="incl",[12]LULUCF_hist!DC17,0)</f>
        <v>17.371766000000001</v>
      </c>
      <c r="Z27" s="111">
        <f>[12]GHG_hist!BM17+IF($M27="incl",[12]LULUCF_hist!DD17,0)</f>
        <v>18.982441999999999</v>
      </c>
      <c r="AA27" s="111">
        <f>[12]GHG_hist!BN17+IF($M27="incl",[12]LULUCF_hist!DE17,0)</f>
        <v>19.778555000000001</v>
      </c>
      <c r="AB27" s="111">
        <f>[12]GHG_hist!BO17+IF($M27="incl",[12]LULUCF_hist!DF17,0)</f>
        <v>21.100892999999999</v>
      </c>
      <c r="AC27" s="111">
        <f>[12]GHG_hist!BP17+IF($M27="incl",[12]LULUCF_hist!DG17,0)</f>
        <v>23.655725</v>
      </c>
      <c r="AD27" s="111">
        <f>[12]GHG_hist!BQ17+IF($M27="incl",[12]LULUCF_hist!DH17,0)</f>
        <v>23.905087999999999</v>
      </c>
      <c r="AE27" s="111">
        <f>[12]GHG_hist!BR17+IF($M27="incl",[12]LULUCF_hist!DI17,0)</f>
        <v>31.108008999999999</v>
      </c>
      <c r="AF27" s="111">
        <f>[12]GHG_hist!BS17+IF($M27="incl",[12]LULUCF_hist!DJ17,0)</f>
        <v>33.835275000000003</v>
      </c>
      <c r="AG27" s="111">
        <f>[12]GHG_hist!BT17+IF($M27="incl",[12]LULUCF_hist!DK17,0)</f>
        <v>32.343260000000001</v>
      </c>
      <c r="AH27" s="111">
        <f>[12]GHG_hist!BU17+IF($M27="incl",[12]LULUCF_hist!DL17,0)</f>
        <v>33.231513</v>
      </c>
      <c r="AI27" s="111">
        <f>[12]GHG_hist!BV17+IF($M27="incl",[12]LULUCF_hist!DM17,0)</f>
        <v>32.936374000000001</v>
      </c>
      <c r="AJ27" s="111">
        <f>[12]GHG_hist!BW17+IF($M27="incl",[12]LULUCF_hist!DN17,0)</f>
        <v>31.594189</v>
      </c>
      <c r="AK27" s="111">
        <f>[12]GHG_hist!BX17+IF($M27="incl",[12]LULUCF_hist!DO17,0)</f>
        <v>35.753508000000004</v>
      </c>
      <c r="AL27" s="111">
        <f>[12]GHG_hist!BY17+IF($M27="incl",[12]LULUCF_hist!DP17,0)</f>
        <v>35.536732000000008</v>
      </c>
      <c r="AM27" s="111">
        <f>[12]GHG_hist!BZ17+IF($M27="incl",[12]LULUCF_hist!DQ17,0)</f>
        <v>37.010999000000005</v>
      </c>
      <c r="AN27" s="111">
        <f>[12]GHG_hist!CA17+IF($M27="incl",[12]LULUCF_hist!DR17,0)</f>
        <v>36.263724000000003</v>
      </c>
      <c r="AO27" s="111">
        <f>[12]GHG_hist!CB17+IF($M27="incl",[12]LULUCF_hist!DS17,0)</f>
        <v>37.885545</v>
      </c>
      <c r="AP27" s="111">
        <f>[12]GHG_hist!CC17+IF($M27="incl",[12]LULUCF_hist!DT17,0)</f>
        <v>31.215304</v>
      </c>
      <c r="AQ27" s="111">
        <f>[12]GHG_hist!CD17+IF($M27="incl",[12]LULUCF_hist!DU17,0)</f>
        <v>31.124502</v>
      </c>
      <c r="AR27" s="111">
        <f>[12]GHG_hist!CE17+IF($M27="incl",[12]LULUCF_hist!DV17,0)</f>
        <v>29.969211999999999</v>
      </c>
      <c r="AS27" s="111">
        <f>[12]GHG_hist!CF17+IF($M27="incl",[12]LULUCF_hist!DW17,0)</f>
        <v>30.391856000000001</v>
      </c>
      <c r="AT27" s="161">
        <f>VLOOKUP($L27,'[12]IMAGE SSP2'!$AF$3:$AK$29,4,FALSE)*$AM27</f>
        <v>41.157024897468261</v>
      </c>
      <c r="AU27" s="162">
        <f>VLOOKUP($L27,'[12]IMAGE SSP2'!$AF$3:$AK$29,5,FALSE)*$AM27</f>
        <v>44.606916642025773</v>
      </c>
      <c r="AV27" s="163">
        <f>VLOOKUP($L27,'[12]IMAGE SSP2'!$AF$3:$AK$29,6,FALSE)*$AM27</f>
        <v>47.229558085265289</v>
      </c>
      <c r="AW27" s="111" t="str">
        <f t="shared" si="15"/>
        <v/>
      </c>
      <c r="AX27" s="164" t="str">
        <f>IF(A27="B",IF(M27="excl",[12]NatCom!CO17,[12]NatCom!AX17),"")</f>
        <v/>
      </c>
      <c r="AY27" s="111" t="str">
        <f>IF('[12]Pledge 2020'!E17="","",'[12]Pledge 2020'!E17)</f>
        <v/>
      </c>
      <c r="AZ27" s="164" t="str">
        <f>IF('[12]Pledge 2020'!F17="","",'[12]Pledge 2020'!F17)</f>
        <v/>
      </c>
      <c r="BA27" s="111" t="str">
        <f t="shared" si="16"/>
        <v/>
      </c>
      <c r="BB27" s="111"/>
      <c r="BC27" s="111" t="str">
        <f t="shared" si="17"/>
        <v/>
      </c>
      <c r="BD27" s="111"/>
      <c r="BE27" s="111" t="s">
        <v>2477</v>
      </c>
      <c r="BF27" s="111"/>
      <c r="BG27" s="111" t="s">
        <v>2477</v>
      </c>
      <c r="BH27" s="164"/>
      <c r="BI27" s="111" t="str">
        <f>IF([12]NDCs!V29="",IF([12]NDCs!X29="","",[12]NDCs!X29),[12]NDCs!V29)</f>
        <v/>
      </c>
      <c r="BJ27" s="111" t="str">
        <f>IF([12]NDCs!V29="",IF([12]NDCs!X29="","",[12]NDCs!X29),[12]NDCs!V29)</f>
        <v/>
      </c>
      <c r="BK27" s="111" t="str">
        <f>IF([12]NDCs!Z29="",IF([12]NDCs!AB29="",IF('input site'!BE27="","",'input site'!BE27),[12]NDCs!AB29),[12]NDCs!Z29)</f>
        <v/>
      </c>
      <c r="BL27" s="111" t="str">
        <f>IF([12]NDCs!AA29="",IF([12]NDCs!AC29="",IF('input site'!BF27="","",'input site'!BF27),[12]NDCs!AC29),[12]NDCs!AA29)</f>
        <v/>
      </c>
      <c r="BM27" s="111">
        <f>IF($BI$8=2015,VLOOKUP($L27,'[12]IMAGE CurPol SSP'!$AZ$3:$BD$29,4,FALSE)*$AM27,IF($BI$8=2018,VLOOKUP($L27,'[12]IMAGE CurPol SSP'!$BJ$3:$BN$29,4,FALSE)*$AP27,$AR27))</f>
        <v>29.969211999999999</v>
      </c>
      <c r="BN27" s="111">
        <f t="shared" si="18"/>
        <v>29.969211999999999</v>
      </c>
      <c r="BO27" s="111">
        <f t="shared" si="18"/>
        <v>29.969211999999999</v>
      </c>
      <c r="BP27" s="111">
        <f>IF($BI$8=2015,VLOOKUP($L27,'[12]IMAGE CurPol SSP'!$AZ$3:$BD$29,5,FALSE)*$AM27,IF($BI$8=2018,VLOOKUP($L27,'[12]IMAGE CurPol SSP'!$BJ$3:$BN$29,5,FALSE)*$AP27,VLOOKUP($L27,'[12]IMAGE CurPol SSP'!$BU$3:$BZ$29,5,FALSE)*$AS27))</f>
        <v>30.188705105765656</v>
      </c>
      <c r="BQ27" s="111">
        <f>IF($BI$8=2015,"",IF($BI$8=2018,"",VLOOKUP($L27,'[12]IMAGE CurPol SSP'!$CQ$3:$CV$29,5,FALSE)*$AS27))</f>
        <v>29.89407394900892</v>
      </c>
      <c r="BR27" s="111">
        <f>IF($BI$8=2015,"",IF($BI$8=2018,"",VLOOKUP($L27,'[12]IMAGE CurPol SSP'!$CF$3:$CK$29,5,FALSE)*$AS27))</f>
        <v>30.748179781529409</v>
      </c>
      <c r="BS27" s="111">
        <f>IF($BI$8=2015,VLOOKUP($L27,'[12]IMAGE CurPol SSP'!$AZ$3:$BE$29,6,FALSE)*$AM27,IF($BI$8=2018,VLOOKUP($L27,'[12]IMAGE CurPol SSP'!$BJ$3:$BO$29,6,FALSE)*$AP27,VLOOKUP($L27,'[12]IMAGE CurPol SSP'!$BU$3:$BZ$29,6,FALSE)*$AS27))</f>
        <v>30.178257102290758</v>
      </c>
      <c r="BT27" s="111">
        <f>IF($BI$8=2015,"",IF($BI$8=2018,"",VLOOKUP($L27,'[12]IMAGE CurPol SSP'!$CQ$3:$CV$29,6,FALSE)*$AS27))</f>
        <v>29.478619189832816</v>
      </c>
      <c r="BU27" s="164">
        <f>IF($BI$8=2015,"",IF($BI$8=2018,"",VLOOKUP($L27,'[12]IMAGE CurPol SSP'!$CF$3:$CK$29,6,FALSE)*$AS27))</f>
        <v>31.298225025776066</v>
      </c>
      <c r="CN27" t="s">
        <v>83</v>
      </c>
      <c r="CO27" s="165" t="str">
        <f t="shared" si="2"/>
        <v/>
      </c>
      <c r="CP27" s="165" t="str">
        <f t="shared" si="2"/>
        <v/>
      </c>
      <c r="CQ27" s="165" t="str">
        <f t="shared" si="2"/>
        <v/>
      </c>
      <c r="CR27" s="165" t="str">
        <f t="shared" si="2"/>
        <v/>
      </c>
      <c r="CV27" s="125" t="s">
        <v>621</v>
      </c>
      <c r="CW27" s="125" t="s">
        <v>621</v>
      </c>
      <c r="CX27"/>
      <c r="CY27" s="167">
        <f t="shared" si="3"/>
        <v>11.187812897468262</v>
      </c>
      <c r="DB27" s="106"/>
      <c r="DC27" s="106"/>
      <c r="DD27" s="106"/>
      <c r="DE27" s="106"/>
      <c r="DF27" s="106"/>
      <c r="DG27" s="105" t="str">
        <f t="shared" si="4"/>
        <v>excl</v>
      </c>
      <c r="DH27" t="s">
        <v>83</v>
      </c>
      <c r="DI27" s="111">
        <f t="shared" si="23"/>
        <v>0</v>
      </c>
      <c r="DJ27" s="111">
        <f t="shared" si="23"/>
        <v>0</v>
      </c>
      <c r="DK27" s="111">
        <f t="shared" si="24"/>
        <v>0</v>
      </c>
      <c r="DL27" s="111">
        <f t="shared" si="25"/>
        <v>0</v>
      </c>
      <c r="DM27" s="111">
        <f t="shared" si="26"/>
        <v>0</v>
      </c>
      <c r="DN27" s="111">
        <f t="shared" si="27"/>
        <v>0</v>
      </c>
      <c r="DO27" s="111">
        <f t="shared" si="28"/>
        <v>0</v>
      </c>
      <c r="DP27" s="111">
        <f t="shared" si="29"/>
        <v>0</v>
      </c>
      <c r="DQ27" s="106"/>
      <c r="DR27" s="106"/>
      <c r="DS27" s="111"/>
      <c r="DT27" s="168"/>
      <c r="DW27" s="111">
        <f t="shared" si="12"/>
        <v>30.178257102290758</v>
      </c>
      <c r="DX27" s="111">
        <f t="shared" si="12"/>
        <v>30.178257102290758</v>
      </c>
      <c r="DY27" s="111">
        <f t="shared" si="12"/>
        <v>30.178257102290758</v>
      </c>
      <c r="DZ27" s="111">
        <f t="shared" si="12"/>
        <v>30.178257102290758</v>
      </c>
      <c r="EP27" t="s">
        <v>83</v>
      </c>
      <c r="EQ27">
        <v>4</v>
      </c>
      <c r="ER27" s="111">
        <f t="shared" si="13"/>
        <v>31.215304</v>
      </c>
      <c r="ES27" s="111">
        <f>IF($BI$8=2015,VLOOKUP($L27,'[12]IMAGE CDLINKS CurPol'!$P$3:$Y$29,10,FALSE)*$AM27,VLOOKUP($L27,'[12]IMAGE CDLINKS CurPol'!$Z$3:$AI$29,10,FALSE)*$AP27)</f>
        <v>46.707086226505844</v>
      </c>
      <c r="ET27" s="111">
        <f t="shared" si="14"/>
        <v>0</v>
      </c>
      <c r="EU27" s="111">
        <f t="shared" si="19"/>
        <v>0</v>
      </c>
      <c r="EV27" s="111">
        <f>IF($BI$8=2015,VLOOKUP($L27,'[12]IMAGE CDLINKS 2C'!$P$3:$Y$29,10,FALSE)*$AM27,VLOOKUP($L27,'[12]IMAGE CDLINKS 2C'!$Z$3:$AI$29,10,FALSE)*$AP27)</f>
        <v>15.716036543031489</v>
      </c>
      <c r="EY27" s="111">
        <f t="shared" si="20"/>
        <v>0</v>
      </c>
      <c r="EZ27" s="111">
        <f>IF($BI$8=2015,VLOOKUP($L27,'[12]IMAGE CDLINKS 1_5C'!$P$3:$Y$29,10,FALSE)*$AM27,VLOOKUP($L27,'[12]IMAGE CDLINKS 1_5C'!$Z$3:$AI$29,10,FALSE)*$AP27)</f>
        <v>2.7375605423400238</v>
      </c>
      <c r="FA27" s="192"/>
    </row>
    <row r="28" spans="1:157" x14ac:dyDescent="0.25">
      <c r="A28" t="str">
        <f>IF([12]NDCs!C30="","",[12]NDCs!C30)</f>
        <v>B</v>
      </c>
      <c r="B28" s="159" t="str">
        <f t="shared" si="0"/>
        <v>v</v>
      </c>
      <c r="C28">
        <v>0</v>
      </c>
      <c r="D28">
        <v>0</v>
      </c>
      <c r="E28">
        <v>0</v>
      </c>
      <c r="F28">
        <v>1</v>
      </c>
      <c r="G28" t="b">
        <f t="shared" si="1"/>
        <v>1</v>
      </c>
      <c r="H28" t="s">
        <v>2328</v>
      </c>
      <c r="I28" t="s">
        <v>85</v>
      </c>
      <c r="J28">
        <v>50</v>
      </c>
      <c r="K28">
        <v>13</v>
      </c>
      <c r="L28">
        <v>25</v>
      </c>
      <c r="M28" t="str">
        <f>IF([12]NDCs!AL30="Excluding","excl","incl")</f>
        <v>excl</v>
      </c>
      <c r="N28" s="160">
        <f>[12]GHG_hist!BA18+IF($M28="incl",[12]LULUCF_hist!CR18,0)</f>
        <v>56.099951000000004</v>
      </c>
      <c r="O28" s="111">
        <f>[12]GHG_hist!BB18+IF($M28="incl",[12]LULUCF_hist!CS18,0)</f>
        <v>56.914696000000006</v>
      </c>
      <c r="P28" s="111">
        <f>[12]GHG_hist!BC18+IF($M28="incl",[12]LULUCF_hist!CT18,0)</f>
        <v>58.271724999999996</v>
      </c>
      <c r="Q28" s="111">
        <f>[12]GHG_hist!BD18+IF($M28="incl",[12]LULUCF_hist!CU18,0)</f>
        <v>59.076408999999998</v>
      </c>
      <c r="R28" s="111">
        <f>[12]GHG_hist!BE18+IF($M28="incl",[12]LULUCF_hist!CV18,0)</f>
        <v>61.342330000000004</v>
      </c>
      <c r="S28" s="111">
        <f>[12]GHG_hist!BF18+IF($M28="incl",[12]LULUCF_hist!CW18,0)</f>
        <v>68.339365000000001</v>
      </c>
      <c r="T28" s="111">
        <f>[12]GHG_hist!BG18+IF($M28="incl",[12]LULUCF_hist!CX18,0)</f>
        <v>71.035662000000002</v>
      </c>
      <c r="U28" s="111">
        <f>[12]GHG_hist!BH18+IF($M28="incl",[12]LULUCF_hist!CY18,0)</f>
        <v>74.887717999999992</v>
      </c>
      <c r="V28" s="111">
        <f>[12]GHG_hist!BI18+IF($M28="incl",[12]LULUCF_hist!CZ18,0)</f>
        <v>77.098157000000015</v>
      </c>
      <c r="W28" s="111">
        <f>[12]GHG_hist!BJ18+IF($M28="incl",[12]LULUCF_hist!DA18,0)</f>
        <v>82.878349</v>
      </c>
      <c r="X28" s="111">
        <f>[12]GHG_hist!BK18+IF($M28="incl",[12]LULUCF_hist!DB18,0)</f>
        <v>86.886863000000005</v>
      </c>
      <c r="Y28" s="111">
        <f>[12]GHG_hist!BL18+IF($M28="incl",[12]LULUCF_hist!DC18,0)</f>
        <v>94.195041000000003</v>
      </c>
      <c r="Z28" s="111">
        <f>[12]GHG_hist!BM18+IF($M28="incl",[12]LULUCF_hist!DD18,0)</f>
        <v>97.60699000000001</v>
      </c>
      <c r="AA28" s="111">
        <f>[12]GHG_hist!BN18+IF($M28="incl",[12]LULUCF_hist!DE18,0)</f>
        <v>101.31367</v>
      </c>
      <c r="AB28" s="111">
        <f>[12]GHG_hist!BO18+IF($M28="incl",[12]LULUCF_hist!DF18,0)</f>
        <v>105.57911</v>
      </c>
      <c r="AC28" s="111">
        <f>[12]GHG_hist!BP18+IF($M28="incl",[12]LULUCF_hist!DG18,0)</f>
        <v>110.2111</v>
      </c>
      <c r="AD28" s="111">
        <f>[12]GHG_hist!BQ18+IF($M28="incl",[12]LULUCF_hist!DH18,0)</f>
        <v>116.75247</v>
      </c>
      <c r="AE28" s="111">
        <f>[12]GHG_hist!BR18+IF($M28="incl",[12]LULUCF_hist!DI18,0)</f>
        <v>120.11506</v>
      </c>
      <c r="AF28" s="111">
        <f>[12]GHG_hist!BS18+IF($M28="incl",[12]LULUCF_hist!DJ18,0)</f>
        <v>126.03521000000001</v>
      </c>
      <c r="AG28" s="111">
        <f>[12]GHG_hist!BT18+IF($M28="incl",[12]LULUCF_hist!DK18,0)</f>
        <v>131.40667999999999</v>
      </c>
      <c r="AH28" s="111">
        <f>[12]GHG_hist!BU18+IF($M28="incl",[12]LULUCF_hist!DL18,0)</f>
        <v>138.95023999999998</v>
      </c>
      <c r="AI28" s="111">
        <f>[12]GHG_hist!BV18+IF($M28="incl",[12]LULUCF_hist!DM18,0)</f>
        <v>143.65280999999999</v>
      </c>
      <c r="AJ28" s="111">
        <f>[12]GHG_hist!BW18+IF($M28="incl",[12]LULUCF_hist!DN18,0)</f>
        <v>149.70625000000001</v>
      </c>
      <c r="AK28" s="111">
        <f>[12]GHG_hist!BX18+IF($M28="incl",[12]LULUCF_hist!DO18,0)</f>
        <v>151.72969000000001</v>
      </c>
      <c r="AL28" s="111">
        <f>[12]GHG_hist!BY18+IF($M28="incl",[12]LULUCF_hist!DP18,0)</f>
        <v>158.25823000000003</v>
      </c>
      <c r="AM28" s="111">
        <f>[12]GHG_hist!BZ18+IF($M28="incl",[12]LULUCF_hist!DQ18,0)</f>
        <v>167.54633999999999</v>
      </c>
      <c r="AN28" s="111">
        <f>[12]GHG_hist!CA18+IF($M28="incl",[12]LULUCF_hist!DR18,0)</f>
        <v>171.17425</v>
      </c>
      <c r="AO28" s="111">
        <f>[12]GHG_hist!CB18+IF($M28="incl",[12]LULUCF_hist!DS18,0)</f>
        <v>178.64165</v>
      </c>
      <c r="AP28" s="111">
        <f>[12]GHG_hist!CC18+IF($M28="incl",[12]LULUCF_hist!DT18,0)</f>
        <v>187.52207999999999</v>
      </c>
      <c r="AQ28" s="111">
        <f>[12]GHG_hist!CD18+IF($M28="incl",[12]LULUCF_hist!DU18,0)</f>
        <v>200.88458</v>
      </c>
      <c r="AR28" s="111">
        <f>[12]GHG_hist!CE18+IF($M28="incl",[12]LULUCF_hist!DV18,0)</f>
        <v>196.50002000000001</v>
      </c>
      <c r="AS28" s="111">
        <f>[12]GHG_hist!CF18+IF($M28="incl",[12]LULUCF_hist!DW18,0)</f>
        <v>203.90574000000001</v>
      </c>
      <c r="AT28" s="161">
        <f>VLOOKUP($L28,'[12]IMAGE SSP2'!$AF$3:$AK$29,4,FALSE)*$AM28</f>
        <v>196.55394062354264</v>
      </c>
      <c r="AU28" s="162">
        <f>VLOOKUP($L28,'[12]IMAGE SSP2'!$AF$3:$AK$29,5,FALSE)*$AM28</f>
        <v>228.31892281858705</v>
      </c>
      <c r="AV28" s="163">
        <f>VLOOKUP($L28,'[12]IMAGE SSP2'!$AF$3:$AK$29,6,FALSE)*$AM28</f>
        <v>256.65648791760219</v>
      </c>
      <c r="AW28" s="111">
        <f>IF(A28="B",AM28+(AX28-AM28)*0.33333,"")</f>
        <v>248.16675378780002</v>
      </c>
      <c r="AX28" s="193">
        <f>[12]NDCs!U30</f>
        <v>409.41</v>
      </c>
      <c r="AY28" s="111" t="str">
        <f>IF('[12]Pledge 2020'!E18="","",'[12]Pledge 2020'!E18)</f>
        <v/>
      </c>
      <c r="AZ28" s="164" t="str">
        <f>IF('[12]Pledge 2020'!F18="","",'[12]Pledge 2020'!F18)</f>
        <v/>
      </c>
      <c r="BA28" s="111">
        <f t="shared" si="16"/>
        <v>321.13009025000002</v>
      </c>
      <c r="BB28" s="111">
        <f>IF(BF28="","",(BF28-AH28)*0.75+AH28)</f>
        <v>321.13009025000002</v>
      </c>
      <c r="BC28" s="111">
        <f t="shared" si="17"/>
        <v>295.36796600000002</v>
      </c>
      <c r="BD28" s="111">
        <f>IF(BH28="","",(BH28-AH28)*0.75+AH28)</f>
        <v>295.36796600000002</v>
      </c>
      <c r="BE28" s="169">
        <v>381.85670700000003</v>
      </c>
      <c r="BF28" s="169">
        <v>381.85670700000003</v>
      </c>
      <c r="BG28" s="169">
        <v>347.50720800000005</v>
      </c>
      <c r="BH28" s="170">
        <v>347.50720800000005</v>
      </c>
      <c r="BI28" s="111">
        <f>IF([12]NDCs!V30="",IF([12]NDCs!X30="","",[12]NDCs!X30),[12]NDCs!V30)</f>
        <v>397.4</v>
      </c>
      <c r="BJ28" s="111">
        <f>IF([12]NDCs!V30="",IF([12]NDCs!X30="","",[12]NDCs!X30),[12]NDCs!V30)</f>
        <v>397.4</v>
      </c>
      <c r="BK28" s="111">
        <f>IF([12]NDCs!Z30="",IF([12]NDCs!AB30="",IF('input site'!BE28="","",'input site'!BE28),[12]NDCs!AB30),[12]NDCs!Z30)</f>
        <v>373.4</v>
      </c>
      <c r="BL28" s="111">
        <f>IF([12]NDCs!AA30="",IF([12]NDCs!AC30="",IF('input site'!BF28="","",'input site'!BF28),[12]NDCs!AC30),[12]NDCs!AA30)</f>
        <v>373.4</v>
      </c>
      <c r="BM28" s="111">
        <f>IF($BI$8=2015,VLOOKUP($L28,'[12]IMAGE CurPol SSP'!$AZ$3:$BD$29,4,FALSE)*$AM28,IF($BI$8=2018,VLOOKUP($L28,'[12]IMAGE CurPol SSP'!$BJ$3:$BN$29,4,FALSE)*$AP28,$AR28))</f>
        <v>196.50002000000001</v>
      </c>
      <c r="BN28" s="111">
        <f t="shared" si="18"/>
        <v>196.50002000000001</v>
      </c>
      <c r="BO28" s="111">
        <f t="shared" si="18"/>
        <v>196.50002000000001</v>
      </c>
      <c r="BP28" s="111">
        <f>IF($BI$8=2015,VLOOKUP($L28,'[12]IMAGE CurPol SSP'!$AZ$3:$BD$29,5,FALSE)*$AM28,IF($BI$8=2018,VLOOKUP($L28,'[12]IMAGE CurPol SSP'!$BJ$3:$BN$29,5,FALSE)*$AP28,VLOOKUP($L28,'[12]IMAGE CurPol SSP'!$BU$3:$BZ$29,5,FALSE)*$AS28))</f>
        <v>218.42266596968955</v>
      </c>
      <c r="BQ28" s="111">
        <f>IF($BI$8=2015,"",IF($BI$8=2018,"",VLOOKUP($L28,'[12]IMAGE CurPol SSP'!$CQ$3:$CV$29,5,FALSE)*$AS28))</f>
        <v>216.44243370864052</v>
      </c>
      <c r="BR28" s="111">
        <f>IF($BI$8=2015,"",IF($BI$8=2018,"",VLOOKUP($L28,'[12]IMAGE CurPol SSP'!$CF$3:$CK$29,5,FALSE)*$AS28))</f>
        <v>220.0088137721491</v>
      </c>
      <c r="BS28" s="111">
        <f>IF($BI$8=2015,VLOOKUP($L28,'[12]IMAGE CurPol SSP'!$AZ$3:$BE$29,6,FALSE)*$AM28,IF($BI$8=2018,VLOOKUP($L28,'[12]IMAGE CurPol SSP'!$BJ$3:$BO$29,6,FALSE)*$AP28,VLOOKUP($L28,'[12]IMAGE CurPol SSP'!$BU$3:$BZ$29,6,FALSE)*$AS28))</f>
        <v>248.03692032411178</v>
      </c>
      <c r="BT28" s="111">
        <f>IF($BI$8=2015,"",IF($BI$8=2018,"",VLOOKUP($L28,'[12]IMAGE CurPol SSP'!$CQ$3:$CV$29,6,FALSE)*$AS28))</f>
        <v>243.44645775830207</v>
      </c>
      <c r="BU28" s="164">
        <f>IF($BI$8=2015,"",IF($BI$8=2018,"",VLOOKUP($L28,'[12]IMAGE CurPol SSP'!$CF$3:$CK$29,6,FALSE)*$AS28))</f>
        <v>248.03692032411178</v>
      </c>
      <c r="CN28" t="s">
        <v>85</v>
      </c>
      <c r="CO28" s="165">
        <f t="shared" si="2"/>
        <v>0.53951559510182956</v>
      </c>
      <c r="CP28" s="165">
        <f t="shared" si="2"/>
        <v>0.53951559510182956</v>
      </c>
      <c r="CQ28" s="165">
        <f t="shared" si="2"/>
        <v>0.40103016738761976</v>
      </c>
      <c r="CR28" s="165">
        <f t="shared" si="2"/>
        <v>0.40103016738761976</v>
      </c>
      <c r="CS28" s="159"/>
      <c r="CU28" s="159"/>
      <c r="CV28" s="125" t="s">
        <v>621</v>
      </c>
      <c r="CW28" s="125" t="s">
        <v>621</v>
      </c>
      <c r="CX28" s="159"/>
      <c r="CY28" s="167">
        <f t="shared" si="3"/>
        <v>5.3920623542637713E-2</v>
      </c>
      <c r="CZ28" s="159"/>
      <c r="DB28" s="106"/>
      <c r="DC28" s="106"/>
      <c r="DD28" s="106"/>
      <c r="DE28" s="106"/>
      <c r="DF28" s="106"/>
      <c r="DG28" s="105" t="str">
        <f t="shared" si="4"/>
        <v>excl</v>
      </c>
      <c r="DH28" t="s">
        <v>85</v>
      </c>
      <c r="DI28" s="111">
        <f t="shared" si="23"/>
        <v>0</v>
      </c>
      <c r="DJ28" s="111">
        <f t="shared" si="23"/>
        <v>0</v>
      </c>
      <c r="DK28" s="111">
        <f t="shared" si="24"/>
        <v>102.70742428031048</v>
      </c>
      <c r="DL28" s="111">
        <f t="shared" si="25"/>
        <v>76.945300030310477</v>
      </c>
      <c r="DM28" s="111">
        <f t="shared" si="26"/>
        <v>133.81978667588825</v>
      </c>
      <c r="DN28" s="111">
        <f t="shared" si="27"/>
        <v>99.470287675888272</v>
      </c>
      <c r="DO28" s="111">
        <f t="shared" si="28"/>
        <v>149.3630796758882</v>
      </c>
      <c r="DP28" s="111">
        <f t="shared" si="29"/>
        <v>125.3630796758882</v>
      </c>
      <c r="DQ28" s="106"/>
      <c r="DR28" s="106"/>
      <c r="DS28" s="111"/>
      <c r="DT28" s="168"/>
      <c r="DW28" s="111">
        <f t="shared" si="12"/>
        <v>381.85670700000003</v>
      </c>
      <c r="DX28" s="111">
        <f t="shared" si="12"/>
        <v>381.85670700000003</v>
      </c>
      <c r="DY28" s="111">
        <f t="shared" si="12"/>
        <v>347.50720800000005</v>
      </c>
      <c r="DZ28" s="111">
        <f t="shared" si="12"/>
        <v>347.50720800000005</v>
      </c>
      <c r="EP28" t="s">
        <v>85</v>
      </c>
      <c r="EQ28">
        <v>-1</v>
      </c>
      <c r="ER28" s="111">
        <f t="shared" si="13"/>
        <v>187.52207999999999</v>
      </c>
      <c r="ES28" s="111">
        <f>IF($BI$8=2015,VLOOKUP($L28,'[12]IMAGE CDLINKS CurPol'!$P$3:$Y$29,10,FALSE)*$AM28,VLOOKUP($L28,'[12]IMAGE CDLINKS CurPol'!$Z$3:$AI$29,10,FALSE)*$AP28)</f>
        <v>429.04345096369508</v>
      </c>
      <c r="ET28" s="111">
        <f t="shared" si="14"/>
        <v>429.04345096369508</v>
      </c>
      <c r="EU28" s="111">
        <f t="shared" si="19"/>
        <v>122.00197750497139</v>
      </c>
      <c r="EV28" s="111">
        <f>IF($BI$8=2015,VLOOKUP($L28,'[12]IMAGE CDLINKS 2C'!$P$3:$Y$29,10,FALSE)*$AM28,VLOOKUP($L28,'[12]IMAGE CDLINKS 2C'!$Z$3:$AI$29,10,FALSE)*$AP28)</f>
        <v>122.00197750497139</v>
      </c>
      <c r="EX28" s="111"/>
      <c r="EY28" s="111">
        <f t="shared" si="20"/>
        <v>51.129985592897597</v>
      </c>
      <c r="EZ28" s="111">
        <f>IF($BI$8=2015,VLOOKUP($L28,'[12]IMAGE CDLINKS 1_5C'!$P$3:$Y$29,10,FALSE)*$AM28,VLOOKUP($L28,'[12]IMAGE CDLINKS 1_5C'!$Z$3:$AI$29,10,FALSE)*$AP28)</f>
        <v>51.129985592897597</v>
      </c>
      <c r="FA28" s="192">
        <v>2050</v>
      </c>
    </row>
    <row r="29" spans="1:157" x14ac:dyDescent="0.25">
      <c r="A29" t="str">
        <f>IF([12]NDCs!C31="","",[12]NDCs!C31)</f>
        <v>B</v>
      </c>
      <c r="B29" s="159" t="str">
        <f t="shared" si="0"/>
        <v>v</v>
      </c>
      <c r="C29">
        <v>0</v>
      </c>
      <c r="D29">
        <v>0</v>
      </c>
      <c r="E29">
        <v>0</v>
      </c>
      <c r="F29">
        <v>1</v>
      </c>
      <c r="G29" t="b">
        <f t="shared" si="1"/>
        <v>1</v>
      </c>
      <c r="H29" t="s">
        <v>2328</v>
      </c>
      <c r="I29" t="s">
        <v>87</v>
      </c>
      <c r="J29">
        <v>52</v>
      </c>
      <c r="K29">
        <v>15</v>
      </c>
      <c r="L29">
        <v>4</v>
      </c>
      <c r="M29" t="str">
        <f>IF([12]NDCs!AL31="Excluding","excl","incl")</f>
        <v>incl</v>
      </c>
      <c r="N29" s="160">
        <f>[12]GHG_hist!BA19+IF($M29="incl",[12]LULUCF_hist!CR19,0)</f>
        <v>3.6391158999999997</v>
      </c>
      <c r="O29" s="111">
        <f>[12]GHG_hist!BB19+IF($M29="incl",[12]LULUCF_hist!CS19,0)</f>
        <v>4.0732036999999996</v>
      </c>
      <c r="P29" s="111">
        <f>[12]GHG_hist!BC19+IF($M29="incl",[12]LULUCF_hist!CT19,0)</f>
        <v>4.0012303999999999</v>
      </c>
      <c r="Q29" s="111">
        <f>[12]GHG_hist!BD19+IF($M29="incl",[12]LULUCF_hist!CU19,0)</f>
        <v>4.7748080000000002</v>
      </c>
      <c r="R29" s="111">
        <f>[12]GHG_hist!BE19+IF($M29="incl",[12]LULUCF_hist!CV19,0)</f>
        <v>4.1413386000000001</v>
      </c>
      <c r="S29" s="111">
        <f>[12]GHG_hist!BF19+IF($M29="incl",[12]LULUCF_hist!CW19,0)</f>
        <v>4.3266515999999999</v>
      </c>
      <c r="T29" s="111">
        <f>[12]GHG_hist!BG19+IF($M29="incl",[12]LULUCF_hist!CX19,0)</f>
        <v>4.3566215000000001</v>
      </c>
      <c r="U29" s="111">
        <f>[12]GHG_hist!BH19+IF($M29="incl",[12]LULUCF_hist!CY19,0)</f>
        <v>4.4639507000000007</v>
      </c>
      <c r="V29" s="111">
        <f>[12]GHG_hist!BI19+IF($M29="incl",[12]LULUCF_hist!CZ19,0)</f>
        <v>4.9606689666666668</v>
      </c>
      <c r="W29" s="111">
        <f>[12]GHG_hist!BJ19+IF($M29="incl",[12]LULUCF_hist!DA19,0)</f>
        <v>5.1146583333333329</v>
      </c>
      <c r="X29" s="111">
        <f>[12]GHG_hist!BK19+IF($M29="incl",[12]LULUCF_hist!DB19,0)</f>
        <v>5.0875254999999999</v>
      </c>
      <c r="Y29" s="111">
        <f>[12]GHG_hist!BL19+IF($M29="incl",[12]LULUCF_hist!DC19,0)</f>
        <v>5.1360154000000007</v>
      </c>
      <c r="Z29" s="111">
        <f>[12]GHG_hist!BM19+IF($M29="incl",[12]LULUCF_hist!DD19,0)</f>
        <v>5.1330093000000003</v>
      </c>
      <c r="AA29" s="111">
        <f>[12]GHG_hist!BN19+IF($M29="incl",[12]LULUCF_hist!DE19,0)</f>
        <v>5.2435357000000007</v>
      </c>
      <c r="AB29" s="111">
        <f>[12]GHG_hist!BO19+IF($M29="incl",[12]LULUCF_hist!DF19,0)</f>
        <v>5.3164431999999993</v>
      </c>
      <c r="AC29" s="111">
        <f>[12]GHG_hist!BP19+IF($M29="incl",[12]LULUCF_hist!DG19,0)</f>
        <v>5.4330042999999995</v>
      </c>
      <c r="AD29" s="111">
        <f>[12]GHG_hist!BQ19+IF($M29="incl",[12]LULUCF_hist!DH19,0)</f>
        <v>5.4903311000000006</v>
      </c>
      <c r="AE29" s="111">
        <f>[12]GHG_hist!BR19+IF($M29="incl",[12]LULUCF_hist!DI19,0)</f>
        <v>5.5530140000000001</v>
      </c>
      <c r="AF29" s="111">
        <f>[12]GHG_hist!BS19+IF($M29="incl",[12]LULUCF_hist!DJ19,0)</f>
        <v>6.1793754999999999</v>
      </c>
      <c r="AG29" s="111">
        <f>[12]GHG_hist!BT19+IF($M29="incl",[12]LULUCF_hist!DK19,0)</f>
        <v>6.1467758999999997</v>
      </c>
      <c r="AH29" s="111">
        <f>[12]GHG_hist!BU19+IF($M29="incl",[12]LULUCF_hist!DL19,0)</f>
        <v>5.7970218999999998</v>
      </c>
      <c r="AI29" s="111">
        <f>[12]GHG_hist!BV19+IF($M29="incl",[12]LULUCF_hist!DM19,0)</f>
        <v>5.9503259571428568</v>
      </c>
      <c r="AJ29" s="111">
        <f>[12]GHG_hist!BW19+IF($M29="incl",[12]LULUCF_hist!DN19,0)</f>
        <v>5.8079214419913416</v>
      </c>
      <c r="AK29" s="111">
        <f>[12]GHG_hist!BX19+IF($M29="incl",[12]LULUCF_hist!DO19,0)</f>
        <v>5.7364085268398268</v>
      </c>
      <c r="AL29" s="111">
        <f>[12]GHG_hist!BY19+IF($M29="incl",[12]LULUCF_hist!DP19,0)</f>
        <v>5.2721220116883121</v>
      </c>
      <c r="AM29" s="111">
        <f>[12]GHG_hist!BZ19+IF($M29="incl",[12]LULUCF_hist!DQ19,0)</f>
        <v>5.2803119965367964</v>
      </c>
      <c r="AN29" s="111">
        <f>[12]GHG_hist!CA19+IF($M29="incl",[12]LULUCF_hist!DR19,0)</f>
        <v>5.3379318813852823</v>
      </c>
      <c r="AO29" s="111">
        <f>[12]GHG_hist!CB19+IF($M29="incl",[12]LULUCF_hist!DS19,0)</f>
        <v>5.117959066233766</v>
      </c>
      <c r="AP29" s="111">
        <f>[12]GHG_hist!CC19+IF($M29="incl",[12]LULUCF_hist!DT19,0)</f>
        <v>5.1991180510822517</v>
      </c>
      <c r="AQ29" s="111">
        <f>[12]GHG_hist!CD19+IF($M29="incl",[12]LULUCF_hist!DU19,0)</f>
        <v>5.2417893359307355</v>
      </c>
      <c r="AR29" s="111">
        <f>[12]GHG_hist!CE19+IF($M29="incl",[12]LULUCF_hist!DV19,0)</f>
        <v>4.9334887207792208</v>
      </c>
      <c r="AS29" s="111">
        <f>[12]GHG_hist!CF19+IF($M29="incl",[12]LULUCF_hist!DW19,0)</f>
        <v>4.966267405627705</v>
      </c>
      <c r="AT29" s="161">
        <f>VLOOKUP($L29,'[12]IMAGE SSP2'!$AF$3:$AK$29,4,FALSE)*$AM29</f>
        <v>6.0037722345404383</v>
      </c>
      <c r="AU29" s="162">
        <f>VLOOKUP($L29,'[12]IMAGE SSP2'!$AF$3:$AK$29,5,FALSE)*$AM29</f>
        <v>6.7167713287200499</v>
      </c>
      <c r="AV29" s="163">
        <f>VLOOKUP($L29,'[12]IMAGE SSP2'!$AF$3:$AK$29,6,FALSE)*$AM29</f>
        <v>7.0903334406342413</v>
      </c>
      <c r="AW29" s="111">
        <f>IF(A29="B",AM29+(AX29-AM29)*0.33333,"")</f>
        <v>4.3543839237311861</v>
      </c>
      <c r="AX29" s="164">
        <f>[12]NDCs!$S$31</f>
        <v>2.5024999999999995</v>
      </c>
      <c r="AY29" s="111" t="str">
        <f>IF('[12]Pledge 2020'!E19="","",'[12]Pledge 2020'!E19)</f>
        <v/>
      </c>
      <c r="AZ29" s="164" t="str">
        <f>IF('[12]Pledge 2020'!F19="","",'[12]Pledge 2020'!F19)</f>
        <v/>
      </c>
      <c r="BA29" s="111" t="str">
        <f t="shared" si="16"/>
        <v/>
      </c>
      <c r="BB29" s="111"/>
      <c r="BC29" s="111">
        <f t="shared" si="17"/>
        <v>2.5003054749999998</v>
      </c>
      <c r="BD29" s="111">
        <f>IF(BH29="","",(BH29-AH29)*0.75+AH29)</f>
        <v>2.5003054749999998</v>
      </c>
      <c r="BE29" s="111" t="s">
        <v>2477</v>
      </c>
      <c r="BF29" s="111"/>
      <c r="BG29" s="111">
        <v>1.4013999999999998</v>
      </c>
      <c r="BH29" s="111">
        <v>1.4013999999999998</v>
      </c>
      <c r="BI29" s="111" t="str">
        <f>IF([12]NDCs!V31="",IF([12]NDCs!X31="","",[12]NDCs!X31),[12]NDCs!V31)</f>
        <v/>
      </c>
      <c r="BJ29" s="111" t="str">
        <f>IF([12]NDCs!V31="",IF([12]NDCs!X31="","",[12]NDCs!X31),[12]NDCs!V31)</f>
        <v/>
      </c>
      <c r="BK29" s="111">
        <f>IF([12]NDCs!Z31="",IF([12]NDCs!AB31="",IF('input site'!BE29="","",'input site'!BE29),[12]NDCs!AB31),[12]NDCs!Z31)</f>
        <v>1.4013999999999998</v>
      </c>
      <c r="BL29" s="111">
        <f>IF([12]NDCs!AA31="",IF([12]NDCs!AC31="",IF('input site'!BF29="","",'input site'!BF29),[12]NDCs!AC31),[12]NDCs!AA31)</f>
        <v>1.4013999999999998</v>
      </c>
      <c r="BM29" s="111">
        <f>IF($BI$8=2015,VLOOKUP($L29,'[12]IMAGE CurPol SSP'!$AZ$3:$BD$29,4,FALSE)*$AM29,IF($BI$8=2018,VLOOKUP($L29,'[12]IMAGE CurPol SSP'!$BJ$3:$BN$29,4,FALSE)*$AP29,$AR29))</f>
        <v>4.9334887207792208</v>
      </c>
      <c r="BN29" s="111">
        <f t="shared" si="18"/>
        <v>4.9334887207792208</v>
      </c>
      <c r="BO29" s="111">
        <f t="shared" si="18"/>
        <v>4.9334887207792208</v>
      </c>
      <c r="BP29" s="111">
        <f>IF($BI$8=2015,VLOOKUP($L29,'[12]IMAGE CurPol SSP'!$AZ$3:$BD$29,5,FALSE)*$AM29,IF($BI$8=2018,VLOOKUP($L29,'[12]IMAGE CurPol SSP'!$BJ$3:$BN$29,5,FALSE)*$AP29,VLOOKUP($L29,'[12]IMAGE CurPol SSP'!$BU$3:$BZ$29,5,FALSE)*$AS29))</f>
        <v>5.4420597790942979</v>
      </c>
      <c r="BQ29" s="111">
        <f>IF($BI$8=2015,"",IF($BI$8=2018,"",VLOOKUP($L29,'[12]IMAGE CurPol SSP'!$CQ$3:$CV$29,5,FALSE)*$AS29))</f>
        <v>5.3494523693416713</v>
      </c>
      <c r="BR29" s="111">
        <f>IF($BI$8=2015,"",IF($BI$8=2018,"",VLOOKUP($L29,'[12]IMAGE CurPol SSP'!$CF$3:$CK$29,5,FALSE)*$AS29))</f>
        <v>5.6561154446457307</v>
      </c>
      <c r="BS29" s="111">
        <f>IF($BI$8=2015,VLOOKUP($L29,'[12]IMAGE CurPol SSP'!$AZ$3:$BE$29,6,FALSE)*$AM29,IF($BI$8=2018,VLOOKUP($L29,'[12]IMAGE CurPol SSP'!$BJ$3:$BO$29,6,FALSE)*$AP29,VLOOKUP($L29,'[12]IMAGE CurPol SSP'!$BU$3:$BZ$29,6,FALSE)*$AS29))</f>
        <v>6.1237513215564405</v>
      </c>
      <c r="BT29" s="111">
        <f>IF($BI$8=2015,"",IF($BI$8=2018,"",VLOOKUP($L29,'[12]IMAGE CurPol SSP'!$CQ$3:$CV$29,6,FALSE)*$AS29))</f>
        <v>5.9830248232992371</v>
      </c>
      <c r="BU29" s="164">
        <f>IF($BI$8=2015,"",IF($BI$8=2018,"",VLOOKUP($L29,'[12]IMAGE CurPol SSP'!$CF$3:$CK$29,6,FALSE)*$AS29))</f>
        <v>6.5518897554902713</v>
      </c>
      <c r="CN29" t="s">
        <v>87</v>
      </c>
      <c r="CO29" s="165" t="str">
        <f t="shared" si="2"/>
        <v/>
      </c>
      <c r="CP29" s="165" t="str">
        <f t="shared" si="2"/>
        <v/>
      </c>
      <c r="CQ29" s="165">
        <f t="shared" si="2"/>
        <v>-0.7711533459781621</v>
      </c>
      <c r="CR29" s="165">
        <f t="shared" si="2"/>
        <v>-0.7711533459781621</v>
      </c>
      <c r="CS29" s="159"/>
      <c r="CU29" s="159"/>
      <c r="CV29" s="125" t="s">
        <v>621</v>
      </c>
      <c r="CW29" s="125" t="s">
        <v>621</v>
      </c>
      <c r="CX29" s="159"/>
      <c r="CY29" s="167">
        <f t="shared" si="3"/>
        <v>1.0702835137612174</v>
      </c>
      <c r="CZ29" s="159"/>
      <c r="DB29" s="106"/>
      <c r="DC29" s="106"/>
      <c r="DD29" s="106"/>
      <c r="DE29" s="106"/>
      <c r="DF29" s="106"/>
      <c r="DG29" s="105" t="str">
        <f t="shared" si="4"/>
        <v>incl</v>
      </c>
      <c r="DH29" t="s">
        <v>87</v>
      </c>
      <c r="DI29" s="111">
        <f t="shared" si="23"/>
        <v>0</v>
      </c>
      <c r="DJ29" s="111">
        <f t="shared" si="23"/>
        <v>0</v>
      </c>
      <c r="DK29" s="111">
        <f t="shared" si="24"/>
        <v>0</v>
      </c>
      <c r="DL29" s="111">
        <f t="shared" si="25"/>
        <v>-2.9417543040942982</v>
      </c>
      <c r="DM29" s="111">
        <f t="shared" si="26"/>
        <v>0</v>
      </c>
      <c r="DN29" s="111">
        <f t="shared" si="27"/>
        <v>-4.7223513215564408</v>
      </c>
      <c r="DO29" s="111">
        <f t="shared" si="28"/>
        <v>0</v>
      </c>
      <c r="DP29" s="111">
        <f t="shared" si="29"/>
        <v>-4.7223513215564408</v>
      </c>
      <c r="DQ29" s="106"/>
      <c r="DR29" s="106"/>
      <c r="DS29" s="111">
        <f>[12]GHG_hist!BZ19+IF($M29="incl",[12]LULUCF_hist!DQ19,0)</f>
        <v>5.2803119965367964</v>
      </c>
      <c r="DT29" s="168">
        <f>IF($M29="incl",'[12]IIASA Proj'!EQ19,0)</f>
        <v>-7.8966816966233894E-2</v>
      </c>
      <c r="DW29" s="111">
        <f t="shared" si="12"/>
        <v>6.1237513215564405</v>
      </c>
      <c r="DX29" s="111">
        <f t="shared" si="12"/>
        <v>6.1237513215564405</v>
      </c>
      <c r="DY29" s="111">
        <f t="shared" si="12"/>
        <v>1.4013999999999998</v>
      </c>
      <c r="DZ29" s="111">
        <f t="shared" si="12"/>
        <v>1.4013999999999998</v>
      </c>
      <c r="EP29" t="s">
        <v>87</v>
      </c>
      <c r="EQ29">
        <v>4</v>
      </c>
      <c r="ER29" s="111">
        <f t="shared" si="13"/>
        <v>5.1991180510822517</v>
      </c>
      <c r="ES29" s="111">
        <f>IF($BI$8=2015,VLOOKUP($L29,'[12]IMAGE CDLINKS CurPol'!$P$3:$Y$29,10,FALSE)*$AM29,VLOOKUP($L29,'[12]IMAGE CDLINKS CurPol'!$Z$3:$AI$29,10,FALSE)*$AP29)</f>
        <v>9.8470151689748757</v>
      </c>
      <c r="ET29" s="111">
        <f t="shared" si="14"/>
        <v>0</v>
      </c>
      <c r="EU29" s="111">
        <f t="shared" si="19"/>
        <v>0</v>
      </c>
      <c r="EV29" s="111">
        <f>IF($BI$8=2015,VLOOKUP($L29,'[12]IMAGE CDLINKS 2C'!$P$3:$Y$29,10,FALSE)*$AM29,VLOOKUP($L29,'[12]IMAGE CDLINKS 2C'!$Z$3:$AI$29,10,FALSE)*$AP29)</f>
        <v>2.7320571878156827</v>
      </c>
      <c r="EY29" s="111">
        <f t="shared" si="20"/>
        <v>0</v>
      </c>
      <c r="EZ29" s="111">
        <f>IF($BI$8=2015,VLOOKUP($L29,'[12]IMAGE CDLINKS 1_5C'!$P$3:$Y$29,10,FALSE)*$AM29,VLOOKUP($L29,'[12]IMAGE CDLINKS 1_5C'!$Z$3:$AI$29,10,FALSE)*$AP29)</f>
        <v>0.55564689190827599</v>
      </c>
      <c r="FA29" s="192"/>
    </row>
    <row r="30" spans="1:157" x14ac:dyDescent="0.25">
      <c r="A30" t="str">
        <f>IF([12]NDCs!C32="","",[12]NDCs!C32)</f>
        <v>A</v>
      </c>
      <c r="B30" s="159" t="str">
        <f t="shared" si="0"/>
        <v>v</v>
      </c>
      <c r="C30">
        <v>0</v>
      </c>
      <c r="D30">
        <v>0</v>
      </c>
      <c r="E30">
        <v>0</v>
      </c>
      <c r="F30">
        <v>1</v>
      </c>
      <c r="G30" t="b">
        <f t="shared" si="1"/>
        <v>1</v>
      </c>
      <c r="H30" t="s">
        <v>2335</v>
      </c>
      <c r="I30" t="s">
        <v>89</v>
      </c>
      <c r="J30">
        <v>112</v>
      </c>
      <c r="K30">
        <v>30</v>
      </c>
      <c r="L30">
        <v>14</v>
      </c>
      <c r="M30" t="str">
        <f>IF([12]NDCs!AL32="Excluding","excl","incl")</f>
        <v>incl</v>
      </c>
      <c r="N30" s="160">
        <f>[12]GHG_hist!BA20+IF($M30="incl",[12]LULUCF_hist!CR20,0)</f>
        <v>115.94081161599766</v>
      </c>
      <c r="O30" s="111">
        <f>[12]GHG_hist!BB20+IF($M30="incl",[12]LULUCF_hist!CS20,0)</f>
        <v>110.08344831727797</v>
      </c>
      <c r="P30" s="111">
        <f>[12]GHG_hist!BC20+IF($M30="incl",[12]LULUCF_hist!CT20,0)</f>
        <v>97.649220786960626</v>
      </c>
      <c r="Q30" s="111">
        <f>[12]GHG_hist!BD20+IF($M30="incl",[12]LULUCF_hist!CU20,0)</f>
        <v>90.559463027511569</v>
      </c>
      <c r="R30" s="111">
        <f>[12]GHG_hist!BE20+IF($M30="incl",[12]LULUCF_hist!CV20,0)</f>
        <v>66.183737511000317</v>
      </c>
      <c r="S30" s="111">
        <f>[12]GHG_hist!BF20+IF($M30="incl",[12]LULUCF_hist!CW20,0)</f>
        <v>58.018694502629899</v>
      </c>
      <c r="T30" s="111">
        <f>[12]GHG_hist!BG20+IF($M30="incl",[12]LULUCF_hist!CX20,0)</f>
        <v>59.374034303278535</v>
      </c>
      <c r="U30" s="111">
        <f>[12]GHG_hist!BH20+IF($M30="incl",[12]LULUCF_hist!CY20,0)</f>
        <v>60.325859702252941</v>
      </c>
      <c r="V30" s="111">
        <f>[12]GHG_hist!BI20+IF($M30="incl",[12]LULUCF_hist!CZ20,0)</f>
        <v>60.517716680989352</v>
      </c>
      <c r="W30" s="111">
        <f>[12]GHG_hist!BJ20+IF($M30="incl",[12]LULUCF_hist!DA20,0)</f>
        <v>50.873442399154825</v>
      </c>
      <c r="X30" s="111">
        <f>[12]GHG_hist!BK20+IF($M30="incl",[12]LULUCF_hist!DB20,0)</f>
        <v>46.508149263660357</v>
      </c>
      <c r="Y30" s="111">
        <f>[12]GHG_hist!BL20+IF($M30="incl",[12]LULUCF_hist!DC20,0)</f>
        <v>46.107230451890288</v>
      </c>
      <c r="Z30" s="111">
        <f>[12]GHG_hist!BM20+IF($M30="incl",[12]LULUCF_hist!DD20,0)</f>
        <v>47.01128372057768</v>
      </c>
      <c r="AA30" s="111">
        <f>[12]GHG_hist!BN20+IF($M30="incl",[12]LULUCF_hist!DE20,0)</f>
        <v>51.409394533863448</v>
      </c>
      <c r="AB30" s="111">
        <f>[12]GHG_hist!BO20+IF($M30="incl",[12]LULUCF_hist!DF20,0)</f>
        <v>52.565810659007582</v>
      </c>
      <c r="AC30" s="111">
        <f>[12]GHG_hist!BP20+IF($M30="incl",[12]LULUCF_hist!DG20,0)</f>
        <v>52.463868142319583</v>
      </c>
      <c r="AD30" s="111">
        <f>[12]GHG_hist!BQ20+IF($M30="incl",[12]LULUCF_hist!DH20,0)</f>
        <v>53.046706663159796</v>
      </c>
      <c r="AE30" s="111">
        <f>[12]GHG_hist!BR20+IF($M30="incl",[12]LULUCF_hist!DI20,0)</f>
        <v>49.101295477340457</v>
      </c>
      <c r="AF30" s="111">
        <f>[12]GHG_hist!BS20+IF($M30="incl",[12]LULUCF_hist!DJ20,0)</f>
        <v>52.1292875961934</v>
      </c>
      <c r="AG30" s="111">
        <f>[12]GHG_hist!BT20+IF($M30="incl",[12]LULUCF_hist!DK20,0)</f>
        <v>46.997645107251955</v>
      </c>
      <c r="AH30" s="111">
        <f>[12]GHG_hist!BU20+IF($M30="incl",[12]LULUCF_hist!DL20,0)</f>
        <v>45.73805326479836</v>
      </c>
      <c r="AI30" s="111">
        <f>[12]GHG_hist!BV20+IF($M30="incl",[12]LULUCF_hist!DM20,0)</f>
        <v>46.086466490167396</v>
      </c>
      <c r="AJ30" s="111">
        <f>[12]GHG_hist!BW20+IF($M30="incl",[12]LULUCF_hist!DN20,0)</f>
        <v>48.985985617283134</v>
      </c>
      <c r="AK30" s="111">
        <f>[12]GHG_hist!BX20+IF($M30="incl",[12]LULUCF_hist!DO20,0)</f>
        <v>48.436570323835682</v>
      </c>
      <c r="AL30" s="111">
        <f>[12]GHG_hist!BY20+IF($M30="incl",[12]LULUCF_hist!DP20,0)</f>
        <v>47.769026628392218</v>
      </c>
      <c r="AM30" s="111">
        <f>[12]GHG_hist!BZ20+IF($M30="incl",[12]LULUCF_hist!DQ20,0)</f>
        <v>44.498796310469281</v>
      </c>
      <c r="AN30" s="111">
        <f>[12]GHG_hist!CA20+IF($M30="incl",[12]LULUCF_hist!DR20,0)</f>
        <v>47.449763199921058</v>
      </c>
      <c r="AO30" s="111">
        <f>[12]GHG_hist!CB20+IF($M30="incl",[12]LULUCF_hist!DS20,0)</f>
        <v>52.286456572394279</v>
      </c>
      <c r="AP30" s="111">
        <f>[12]GHG_hist!CC20+IF($M30="incl",[12]LULUCF_hist!DT20,0)</f>
        <v>52.29001522585407</v>
      </c>
      <c r="AQ30" s="111">
        <f>[12]GHG_hist!CD20+IF($M30="incl",[12]LULUCF_hist!DU20,0)</f>
        <v>56.661426140655195</v>
      </c>
      <c r="AR30" s="111">
        <f>[12]GHG_hist!CE20+IF($M30="incl",[12]LULUCF_hist!DV20,0)</f>
        <v>52.491859466762655</v>
      </c>
      <c r="AS30" s="111">
        <f>[12]GHG_hist!CF20+IF($M30="incl",[12]LULUCF_hist!DW20,0)</f>
        <v>48.914917813317956</v>
      </c>
      <c r="AT30" s="161">
        <f>VLOOKUP($L30,'[12]IMAGE SSP2'!$AF$3:$AK$29,4,FALSE)*$AM30</f>
        <v>46.421619109132273</v>
      </c>
      <c r="AU30" s="162">
        <f>VLOOKUP($L30,'[12]IMAGE SSP2'!$AF$3:$AK$29,5,FALSE)*$AM30</f>
        <v>49.651053527000798</v>
      </c>
      <c r="AV30" s="163">
        <f>VLOOKUP($L30,'[12]IMAGE SSP2'!$AF$3:$AK$29,6,FALSE)*$AM30</f>
        <v>53.354770894811139</v>
      </c>
      <c r="AW30" s="111" t="str">
        <f t="shared" si="15"/>
        <v/>
      </c>
      <c r="AX30" s="164" t="str">
        <f>IF(A30="B",IF(M30="excl",[12]NatCom!CO20,[12]NatCom!AX20),"")</f>
        <v/>
      </c>
      <c r="AY30" s="111">
        <f>IF('[12]Pledge 2020'!E20="","",'[12]Pledge 2020'!E20)</f>
        <v>133.71269482450765</v>
      </c>
      <c r="AZ30" s="164">
        <f>IF('[12]Pledge 2020'!F20="","",'[12]Pledge 2020'!F20)</f>
        <v>133.71269482450765</v>
      </c>
      <c r="BA30" s="111">
        <f t="shared" si="16"/>
        <v>68.56951331619959</v>
      </c>
      <c r="BB30" s="111">
        <f>IF(BF30="","",(BF30-AH30)*0.75+AH30)</f>
        <v>68.56951331619959</v>
      </c>
      <c r="BC30" s="111">
        <f t="shared" si="17"/>
        <v>64.17451331619958</v>
      </c>
      <c r="BD30" s="111">
        <f>IF(BH30="","",(BH30-AH30)*0.75+AH30)</f>
        <v>64.17451331619958</v>
      </c>
      <c r="BE30" s="169">
        <v>76.180000000000007</v>
      </c>
      <c r="BF30" s="169">
        <v>76.180000000000007</v>
      </c>
      <c r="BG30" s="169">
        <v>70.319999999999993</v>
      </c>
      <c r="BH30" s="170">
        <v>70.319999999999993</v>
      </c>
      <c r="BI30" s="111">
        <f>IF([12]NDCs!V32="",IF([12]NDCs!X32="","",[12]NDCs!X32),[12]NDCs!V32)</f>
        <v>104.64471768874512</v>
      </c>
      <c r="BJ30" s="111">
        <f>IF([12]NDCs!V32="",IF([12]NDCs!X32="","",[12]NDCs!X32),[12]NDCs!V32)</f>
        <v>104.64471768874512</v>
      </c>
      <c r="BK30" s="111">
        <f>BI30</f>
        <v>104.64471768874512</v>
      </c>
      <c r="BL30" s="111">
        <f>BJ30</f>
        <v>104.64471768874512</v>
      </c>
      <c r="BM30" s="111">
        <f>IF($BI$8=2015,VLOOKUP($L30,'[12]IMAGE CurPol SSP'!$AZ$3:$BD$29,4,FALSE)*$AM30,IF($BI$8=2018,VLOOKUP($L30,'[12]IMAGE CurPol SSP'!$BJ$3:$BN$29,4,FALSE)*$AP30,$AR30))</f>
        <v>52.491859466762655</v>
      </c>
      <c r="BN30" s="111">
        <f t="shared" ref="BN30:BO38" si="30">IF($BI$8=2015,"",IF($BI$8=2018,"",$AR30))</f>
        <v>52.491859466762655</v>
      </c>
      <c r="BO30" s="111">
        <f t="shared" si="30"/>
        <v>52.491859466762655</v>
      </c>
      <c r="BP30" s="111">
        <f>IF($BI$8=2015,VLOOKUP($L30,'[12]IMAGE CurPol SSP'!$AZ$3:$BD$29,5,FALSE)*$AM30,IF($BI$8=2018,VLOOKUP($L30,'[12]IMAGE CurPol SSP'!$BJ$3:$BN$29,5,FALSE)*$AP30,VLOOKUP($L30,'[12]IMAGE CurPol SSP'!$BU$3:$BZ$29,5,FALSE)*$AS30))</f>
        <v>50.560587008459542</v>
      </c>
      <c r="BQ30" s="111">
        <f>IF($BI$8=2015,"",IF($BI$8=2018,"",VLOOKUP($L30,'[12]IMAGE CurPol SSP'!$CQ$3:$CV$29,5,FALSE)*$AS30))</f>
        <v>49.890431752767483</v>
      </c>
      <c r="BR30" s="111">
        <f>IF($BI$8=2015,"",IF($BI$8=2018,"",VLOOKUP($L30,'[12]IMAGE CurPol SSP'!$CF$3:$CK$29,5,FALSE)*$AS30))</f>
        <v>50.560587008459542</v>
      </c>
      <c r="BS30" s="111">
        <f>IF($BI$8=2015,VLOOKUP($L30,'[12]IMAGE CurPol SSP'!$AZ$3:$BE$29,6,FALSE)*$AM30,IF($BI$8=2018,VLOOKUP($L30,'[12]IMAGE CurPol SSP'!$BJ$3:$BO$29,6,FALSE)*$AP30,VLOOKUP($L30,'[12]IMAGE CurPol SSP'!$BU$3:$BZ$29,6,FALSE)*$AS30))</f>
        <v>56.397629211695509</v>
      </c>
      <c r="BT30" s="111">
        <f>IF($BI$8=2015,"",IF($BI$8=2018,"",VLOOKUP($L30,'[12]IMAGE CurPol SSP'!$CQ$3:$CV$29,6,FALSE)*$AS30))</f>
        <v>52.23569568508573</v>
      </c>
      <c r="BU30" s="164">
        <f>IF($BI$8=2015,"",IF($BI$8=2018,"",VLOOKUP($L30,'[12]IMAGE CurPol SSP'!$CF$3:$CK$29,6,FALSE)*$AS30))</f>
        <v>56.397629211695509</v>
      </c>
      <c r="CN30" t="s">
        <v>89</v>
      </c>
      <c r="CO30" s="165">
        <f t="shared" si="2"/>
        <v>0.35076599964954047</v>
      </c>
      <c r="CP30" s="165">
        <f t="shared" si="2"/>
        <v>0.35076599964954047</v>
      </c>
      <c r="CQ30" s="165">
        <f t="shared" si="2"/>
        <v>0.24686092275342175</v>
      </c>
      <c r="CR30" s="165">
        <f t="shared" si="2"/>
        <v>0.24686092275342175</v>
      </c>
      <c r="CV30" s="125" t="s">
        <v>621</v>
      </c>
      <c r="CW30" s="125" t="s">
        <v>621</v>
      </c>
      <c r="CX30"/>
      <c r="CY30" s="167">
        <f t="shared" si="3"/>
        <v>-6.0702403576303823</v>
      </c>
      <c r="DA30" s="106"/>
      <c r="DB30" s="106"/>
      <c r="DC30" s="106"/>
      <c r="DD30" s="106"/>
      <c r="DE30" s="106"/>
      <c r="DF30" s="106"/>
      <c r="DG30" s="105" t="str">
        <f t="shared" si="4"/>
        <v>incl</v>
      </c>
      <c r="DH30" t="s">
        <v>89</v>
      </c>
      <c r="DI30" s="111">
        <f t="shared" si="23"/>
        <v>81.220835357744988</v>
      </c>
      <c r="DJ30" s="111">
        <f t="shared" si="23"/>
        <v>81.220835357744988</v>
      </c>
      <c r="DK30" s="111">
        <f t="shared" si="24"/>
        <v>18.008926307740047</v>
      </c>
      <c r="DL30" s="111">
        <f t="shared" si="25"/>
        <v>13.613926307740037</v>
      </c>
      <c r="DM30" s="111">
        <f t="shared" si="26"/>
        <v>19.782370788304497</v>
      </c>
      <c r="DN30" s="111">
        <f t="shared" si="27"/>
        <v>13.922370788304484</v>
      </c>
      <c r="DO30" s="111">
        <f t="shared" si="28"/>
        <v>48.247088477049608</v>
      </c>
      <c r="DP30" s="111">
        <f t="shared" si="29"/>
        <v>48.247088477049608</v>
      </c>
      <c r="DQ30" s="106"/>
      <c r="DR30" s="106"/>
      <c r="DS30" s="111"/>
      <c r="DT30" s="168"/>
      <c r="DW30" s="111">
        <f t="shared" si="12"/>
        <v>76.180000000000007</v>
      </c>
      <c r="DX30" s="111">
        <f t="shared" si="12"/>
        <v>76.180000000000007</v>
      </c>
      <c r="DY30" s="111">
        <f t="shared" si="12"/>
        <v>70.319999999999993</v>
      </c>
      <c r="DZ30" s="111">
        <f t="shared" si="12"/>
        <v>70.319999999999993</v>
      </c>
      <c r="EP30" t="s">
        <v>89</v>
      </c>
      <c r="EQ30">
        <v>0</v>
      </c>
      <c r="ER30" s="111">
        <f t="shared" si="13"/>
        <v>52.29001522585407</v>
      </c>
      <c r="ES30" s="111">
        <f>IF($BI$8=2015,VLOOKUP($L30,'[12]IMAGE CDLINKS CurPol'!$P$3:$Y$29,10,FALSE)*$AM30,VLOOKUP($L30,'[12]IMAGE CDLINKS CurPol'!$Z$3:$AI$29,10,FALSE)*$AP30)</f>
        <v>72.588593494506</v>
      </c>
      <c r="ET30" s="111">
        <f t="shared" si="14"/>
        <v>72.588593494506</v>
      </c>
      <c r="EU30" s="111">
        <f t="shared" si="19"/>
        <v>7.6933523515420346</v>
      </c>
      <c r="EV30" s="111">
        <f>IF($BI$8=2015,VLOOKUP($L30,'[12]IMAGE CDLINKS 2C'!$P$3:$Y$29,10,FALSE)*$AM30,VLOOKUP($L30,'[12]IMAGE CDLINKS 2C'!$Z$3:$AI$29,10,FALSE)*$AP30)</f>
        <v>7.6933523515420346</v>
      </c>
      <c r="EY30" s="111">
        <f t="shared" si="20"/>
        <v>-9.2227666235318626</v>
      </c>
      <c r="EZ30" s="111">
        <f>IF($BI$8=2015,VLOOKUP($L30,'[12]IMAGE CDLINKS 1_5C'!$P$3:$Y$29,10,FALSE)*$AM30,VLOOKUP($L30,'[12]IMAGE CDLINKS 1_5C'!$Z$3:$AI$29,10,FALSE)*$AP30)</f>
        <v>-9.2227666235318626</v>
      </c>
      <c r="FA30" s="192"/>
    </row>
    <row r="31" spans="1:157" x14ac:dyDescent="0.25">
      <c r="A31" t="str">
        <f>IF([12]NDCs!C33="","",[12]NDCs!C33)</f>
        <v>A</v>
      </c>
      <c r="B31" s="159" t="str">
        <f t="shared" si="0"/>
        <v>v</v>
      </c>
      <c r="C31">
        <v>0</v>
      </c>
      <c r="D31">
        <v>1</v>
      </c>
      <c r="E31">
        <v>0</v>
      </c>
      <c r="F31">
        <v>1</v>
      </c>
      <c r="G31" t="b">
        <f t="shared" si="1"/>
        <v>1</v>
      </c>
      <c r="H31" t="s">
        <v>2335</v>
      </c>
      <c r="I31" t="s">
        <v>91</v>
      </c>
      <c r="J31">
        <v>56</v>
      </c>
      <c r="K31">
        <v>16</v>
      </c>
      <c r="L31">
        <v>11</v>
      </c>
      <c r="M31" t="str">
        <f>IF([12]NDCs!AL33="Excluding","excl","incl")</f>
        <v>incl</v>
      </c>
      <c r="N31" s="160">
        <f>[12]GHG_hist!BA21+IF($M31="incl",[12]LULUCF_hist!CR21,0)</f>
        <v>142.74644946710418</v>
      </c>
      <c r="O31" s="111">
        <f>[12]GHG_hist!BB21+IF($M31="incl",[12]LULUCF_hist!CS21,0)</f>
        <v>145.93197827740741</v>
      </c>
      <c r="P31" s="111">
        <f>[12]GHG_hist!BC21+IF($M31="incl",[12]LULUCF_hist!CT21,0)</f>
        <v>145.63205630280535</v>
      </c>
      <c r="Q31" s="111">
        <f>[12]GHG_hist!BD21+IF($M31="incl",[12]LULUCF_hist!CU21,0)</f>
        <v>144.48195487986504</v>
      </c>
      <c r="R31" s="111">
        <f>[12]GHG_hist!BE21+IF($M31="incl",[12]LULUCF_hist!CV21,0)</f>
        <v>149.34633547332567</v>
      </c>
      <c r="S31" s="111">
        <f>[12]GHG_hist!BF21+IF($M31="incl",[12]LULUCF_hist!CW21,0)</f>
        <v>151.30909492218899</v>
      </c>
      <c r="T31" s="111">
        <f>[12]GHG_hist!BG21+IF($M31="incl",[12]LULUCF_hist!CX21,0)</f>
        <v>154.82341647511089</v>
      </c>
      <c r="U31" s="111">
        <f>[12]GHG_hist!BH21+IF($M31="incl",[12]LULUCF_hist!CY21,0)</f>
        <v>146.81168439146256</v>
      </c>
      <c r="V31" s="111">
        <f>[12]GHG_hist!BI21+IF($M31="incl",[12]LULUCF_hist!CZ21,0)</f>
        <v>151.43142734161052</v>
      </c>
      <c r="W31" s="111">
        <f>[12]GHG_hist!BJ21+IF($M31="incl",[12]LULUCF_hist!DA21,0)</f>
        <v>145.642958030784</v>
      </c>
      <c r="X31" s="111">
        <f>[12]GHG_hist!BK21+IF($M31="incl",[12]LULUCF_hist!DB21,0)</f>
        <v>147.18565548086579</v>
      </c>
      <c r="Y31" s="111">
        <f>[12]GHG_hist!BL21+IF($M31="incl",[12]LULUCF_hist!DC21,0)</f>
        <v>145.79808521981661</v>
      </c>
      <c r="Z31" s="111">
        <f>[12]GHG_hist!BM21+IF($M31="incl",[12]LULUCF_hist!DD21,0)</f>
        <v>145.2872573517846</v>
      </c>
      <c r="AA31" s="111">
        <f>[12]GHG_hist!BN21+IF($M31="incl",[12]LULUCF_hist!DE21,0)</f>
        <v>145.6911355194236</v>
      </c>
      <c r="AB31" s="111">
        <f>[12]GHG_hist!BO21+IF($M31="incl",[12]LULUCF_hist!DF21,0)</f>
        <v>146.81048742618228</v>
      </c>
      <c r="AC31" s="111">
        <f>[12]GHG_hist!BP21+IF($M31="incl",[12]LULUCF_hist!DG21,0)</f>
        <v>143.74407906835009</v>
      </c>
      <c r="AD31" s="111">
        <f>[12]GHG_hist!BQ21+IF($M31="incl",[12]LULUCF_hist!DH21,0)</f>
        <v>140.95369248484775</v>
      </c>
      <c r="AE31" s="111">
        <f>[12]GHG_hist!BR21+IF($M31="incl",[12]LULUCF_hist!DI21,0)</f>
        <v>137.61301994247401</v>
      </c>
      <c r="AF31" s="111">
        <f>[12]GHG_hist!BS21+IF($M31="incl",[12]LULUCF_hist!DJ21,0)</f>
        <v>137.60968792908409</v>
      </c>
      <c r="AG31" s="111">
        <f>[12]GHG_hist!BT21+IF($M31="incl",[12]LULUCF_hist!DK21,0)</f>
        <v>125.18841816459056</v>
      </c>
      <c r="AH31" s="111">
        <f>[12]GHG_hist!BU21+IF($M31="incl",[12]LULUCF_hist!DL21,0)</f>
        <v>133.31338605138291</v>
      </c>
      <c r="AI31" s="111">
        <f>[12]GHG_hist!BV21+IF($M31="incl",[12]LULUCF_hist!DM21,0)</f>
        <v>122.8740239521248</v>
      </c>
      <c r="AJ31" s="111">
        <f>[12]GHG_hist!BW21+IF($M31="incl",[12]LULUCF_hist!DN21,0)</f>
        <v>120.11935938390299</v>
      </c>
      <c r="AK31" s="111">
        <f>[12]GHG_hist!BX21+IF($M31="incl",[12]LULUCF_hist!DO21,0)</f>
        <v>119.57255559900165</v>
      </c>
      <c r="AL31" s="111">
        <f>[12]GHG_hist!BY21+IF($M31="incl",[12]LULUCF_hist!DP21,0)</f>
        <v>113.98606787967088</v>
      </c>
      <c r="AM31" s="111">
        <f>[12]GHG_hist!BZ21+IF($M31="incl",[12]LULUCF_hist!DQ21,0)</f>
        <v>118.16079665950566</v>
      </c>
      <c r="AN31" s="111">
        <f>[12]GHG_hist!CA21+IF($M31="incl",[12]LULUCF_hist!DR21,0)</f>
        <v>116.66072885963557</v>
      </c>
      <c r="AO31" s="111">
        <f>[12]GHG_hist!CB21+IF($M31="incl",[12]LULUCF_hist!DS21,0)</f>
        <v>116.36794181834901</v>
      </c>
      <c r="AP31" s="111">
        <f>[12]GHG_hist!CC21+IF($M31="incl",[12]LULUCF_hist!DT21,0)</f>
        <v>117.09679311682</v>
      </c>
      <c r="AQ31" s="111">
        <f>[12]GHG_hist!CD21+IF($M31="incl",[12]LULUCF_hist!DU21,0)</f>
        <v>116.04028683563772</v>
      </c>
      <c r="AR31" s="111">
        <f>[12]GHG_hist!CE21+IF($M31="incl",[12]LULUCF_hist!DV21,0)</f>
        <v>106.91381311725777</v>
      </c>
      <c r="AS31" s="111">
        <f>[12]GHG_hist!CF21+IF($M31="incl",[12]LULUCF_hist!DW21,0)</f>
        <v>110.50610545664158</v>
      </c>
      <c r="AT31" s="161">
        <f>VLOOKUP($L31,'[12]IMAGE SSP2'!$AF$3:$AK$29,4,FALSE)*$AM31</f>
        <v>114.89925735691061</v>
      </c>
      <c r="AU31" s="162">
        <f>VLOOKUP($L31,'[12]IMAGE SSP2'!$AF$3:$AK$29,5,FALSE)*$AM31</f>
        <v>111.09593823907551</v>
      </c>
      <c r="AV31" s="163">
        <f>VLOOKUP($L31,'[12]IMAGE SSP2'!$AF$3:$AK$29,6,FALSE)*$AM31</f>
        <v>110.47778574629879</v>
      </c>
      <c r="AW31" s="111" t="str">
        <f t="shared" si="15"/>
        <v/>
      </c>
      <c r="AX31" s="164" t="str">
        <f>IF(A31="B",IF(M31="excl",[12]NatCom!CO21,[12]NatCom!AX21),"")</f>
        <v/>
      </c>
      <c r="AY31" s="111" t="str">
        <f>IF('[12]Pledge 2020'!E21="","",'[12]Pledge 2020'!E21)</f>
        <v/>
      </c>
      <c r="AZ31" s="164" t="str">
        <f>IF('[12]Pledge 2020'!F21="","",'[12]Pledge 2020'!F21)</f>
        <v/>
      </c>
      <c r="BA31" s="111" t="str">
        <f t="shared" si="16"/>
        <v/>
      </c>
      <c r="BB31" s="111"/>
      <c r="BC31" s="111" t="str">
        <f t="shared" si="17"/>
        <v/>
      </c>
      <c r="BD31" s="111"/>
      <c r="BE31" s="111" t="s">
        <v>2477</v>
      </c>
      <c r="BF31" s="111"/>
      <c r="BG31" s="111" t="s">
        <v>2477</v>
      </c>
      <c r="BH31" s="164"/>
      <c r="BI31" s="111" t="str">
        <f>IF([12]NDCs!V33="",IF([12]NDCs!X33="","",[12]NDCs!X33),[12]NDCs!V33)</f>
        <v/>
      </c>
      <c r="BJ31" s="111" t="str">
        <f>IF([12]NDCs!V33="",IF([12]NDCs!X33="","",[12]NDCs!X33),[12]NDCs!V33)</f>
        <v/>
      </c>
      <c r="BK31" s="111" t="str">
        <f>IF([12]NDCs!Z33="",IF([12]NDCs!AB33="",IF('input site'!BE31="","",'input site'!BE31),[12]NDCs!AB33),[12]NDCs!Z33)</f>
        <v/>
      </c>
      <c r="BL31" s="111" t="str">
        <f>IF([12]NDCs!AA33="",IF([12]NDCs!AC33="",IF('input site'!BF31="","",'input site'!BF31),[12]NDCs!AC33),[12]NDCs!AA33)</f>
        <v/>
      </c>
      <c r="BM31" s="111">
        <f>IF($BI$8=2015,VLOOKUP($L31,'[12]IMAGE CurPol SSP'!$AZ$3:$BD$29,4,FALSE)*$AM31,IF($BI$8=2018,VLOOKUP($L31,'[12]IMAGE CurPol SSP'!$BJ$3:$BN$29,4,FALSE)*$AP31,$AR31))</f>
        <v>106.91381311725777</v>
      </c>
      <c r="BN31" s="111">
        <f t="shared" si="30"/>
        <v>106.91381311725777</v>
      </c>
      <c r="BO31" s="111">
        <f t="shared" si="30"/>
        <v>106.91381311725777</v>
      </c>
      <c r="BP31" s="111">
        <f>IF($BI$8=2015,VLOOKUP($L31,'[12]IMAGE CurPol SSP'!$AZ$3:$BD$29,5,FALSE)*$AM31,IF($BI$8=2018,VLOOKUP($L31,'[12]IMAGE CurPol SSP'!$BJ$3:$BN$29,5,FALSE)*$AP31,VLOOKUP($L31,'[12]IMAGE CurPol SSP'!$BU$3:$BZ$29,5,FALSE)*$AS31))</f>
        <v>89.635883649220688</v>
      </c>
      <c r="BQ31" s="111">
        <f>IF($BI$8=2015,"",IF($BI$8=2018,"",VLOOKUP($L31,'[12]IMAGE CurPol SSP'!$CQ$3:$CV$29,5,FALSE)*$AS31))</f>
        <v>87.115464367440069</v>
      </c>
      <c r="BR31" s="111">
        <f>IF($BI$8=2015,"",IF($BI$8=2018,"",VLOOKUP($L31,'[12]IMAGE CurPol SSP'!$CF$3:$CK$29,5,FALSE)*$AS31))</f>
        <v>91.166611618752782</v>
      </c>
      <c r="BS31" s="111">
        <f>IF($BI$8=2015,VLOOKUP($L31,'[12]IMAGE CurPol SSP'!$AZ$3:$BE$29,6,FALSE)*$AM31,IF($BI$8=2018,VLOOKUP($L31,'[12]IMAGE CurPol SSP'!$BJ$3:$BO$29,6,FALSE)*$AP31,VLOOKUP($L31,'[12]IMAGE CurPol SSP'!$BU$3:$BZ$29,6,FALSE)*$AS31))</f>
        <v>61.656827170427221</v>
      </c>
      <c r="BT31" s="111">
        <f>IF($BI$8=2015,"",IF($BI$8=2018,"",VLOOKUP($L31,'[12]IMAGE CurPol SSP'!$CQ$3:$CV$29,6,FALSE)*$AS31))</f>
        <v>57.658867484628324</v>
      </c>
      <c r="BU31" s="164">
        <f>IF($BI$8=2015,"",IF($BI$8=2018,"",VLOOKUP($L31,'[12]IMAGE CurPol SSP'!$CF$3:$CK$29,6,FALSE)*$AS31))</f>
        <v>64.79814239235607</v>
      </c>
      <c r="CN31" t="s">
        <v>91</v>
      </c>
      <c r="CO31" s="165" t="str">
        <f t="shared" si="2"/>
        <v/>
      </c>
      <c r="CP31" s="165" t="str">
        <f t="shared" si="2"/>
        <v/>
      </c>
      <c r="CQ31" s="165" t="str">
        <f t="shared" si="2"/>
        <v/>
      </c>
      <c r="CR31" s="165" t="str">
        <f t="shared" si="2"/>
        <v/>
      </c>
      <c r="CV31" s="125" t="s">
        <v>621</v>
      </c>
      <c r="CW31" s="125" t="s">
        <v>621</v>
      </c>
      <c r="CX31"/>
      <c r="CY31" s="167">
        <f t="shared" si="3"/>
        <v>7.9854442396528356</v>
      </c>
      <c r="DB31" s="106"/>
      <c r="DC31" s="106"/>
      <c r="DD31" s="106"/>
      <c r="DE31" s="106"/>
      <c r="DF31" s="106"/>
      <c r="DG31" s="105" t="str">
        <f t="shared" si="4"/>
        <v>incl</v>
      </c>
      <c r="DH31" t="s">
        <v>91</v>
      </c>
      <c r="DI31" s="111">
        <f t="shared" si="23"/>
        <v>0</v>
      </c>
      <c r="DJ31" s="111">
        <f t="shared" si="23"/>
        <v>0</v>
      </c>
      <c r="DK31" s="111">
        <f t="shared" si="24"/>
        <v>0</v>
      </c>
      <c r="DL31" s="111">
        <f t="shared" si="25"/>
        <v>0</v>
      </c>
      <c r="DM31" s="111">
        <f t="shared" si="26"/>
        <v>0</v>
      </c>
      <c r="DN31" s="111">
        <f t="shared" si="27"/>
        <v>0</v>
      </c>
      <c r="DO31" s="111">
        <f t="shared" si="28"/>
        <v>0</v>
      </c>
      <c r="DP31" s="111">
        <f t="shared" si="29"/>
        <v>0</v>
      </c>
      <c r="DQ31" s="106"/>
      <c r="DR31" s="106"/>
      <c r="DS31" s="111"/>
      <c r="DT31" s="168"/>
      <c r="DW31" s="111">
        <f t="shared" si="12"/>
        <v>61.656827170427221</v>
      </c>
      <c r="DX31" s="111">
        <f t="shared" si="12"/>
        <v>61.656827170427221</v>
      </c>
      <c r="DY31" s="111">
        <f t="shared" si="12"/>
        <v>61.656827170427221</v>
      </c>
      <c r="DZ31" s="111">
        <f t="shared" si="12"/>
        <v>61.656827170427221</v>
      </c>
      <c r="EP31" t="s">
        <v>91</v>
      </c>
      <c r="ER31" s="111">
        <f t="shared" si="13"/>
        <v>117.09679311682</v>
      </c>
      <c r="ES31" s="111">
        <f>IF($BI$8=2015,VLOOKUP($L31,'[12]IMAGE CDLINKS CurPol'!$P$3:$Y$29,10,FALSE)*$AM31,VLOOKUP($L31,'[12]IMAGE CDLINKS CurPol'!$Z$3:$AI$29,10,FALSE)*$AP31)</f>
        <v>112.20721481598254</v>
      </c>
      <c r="ET31" s="111">
        <f t="shared" si="14"/>
        <v>112.20721481598254</v>
      </c>
      <c r="EU31" s="111">
        <f t="shared" si="19"/>
        <v>23.906789418071902</v>
      </c>
      <c r="EV31" s="111">
        <f>IF($BI$8=2015,VLOOKUP($L31,'[12]IMAGE CDLINKS 2C'!$P$3:$Y$29,10,FALSE)*$AM31,VLOOKUP($L31,'[12]IMAGE CDLINKS 2C'!$Z$3:$AI$29,10,FALSE)*$AP31)</f>
        <v>23.906789418071902</v>
      </c>
      <c r="EY31" s="111">
        <f t="shared" si="20"/>
        <v>13.223416682148455</v>
      </c>
      <c r="EZ31" s="111">
        <f>IF($BI$8=2015,VLOOKUP($L31,'[12]IMAGE CDLINKS 1_5C'!$P$3:$Y$29,10,FALSE)*$AM31,VLOOKUP($L31,'[12]IMAGE CDLINKS 1_5C'!$Z$3:$AI$29,10,FALSE)*$AP31)</f>
        <v>13.223416682148455</v>
      </c>
      <c r="FA31" s="192" t="s">
        <v>2338</v>
      </c>
    </row>
    <row r="32" spans="1:157" x14ac:dyDescent="0.25">
      <c r="A32" t="str">
        <f>IF([12]NDCs!C34="","",[12]NDCs!C34)</f>
        <v>G</v>
      </c>
      <c r="B32" s="159" t="str">
        <f t="shared" si="0"/>
        <v>v</v>
      </c>
      <c r="C32">
        <v>0</v>
      </c>
      <c r="D32">
        <v>0</v>
      </c>
      <c r="E32">
        <v>0</v>
      </c>
      <c r="F32">
        <v>1</v>
      </c>
      <c r="G32" t="b">
        <f t="shared" si="1"/>
        <v>0</v>
      </c>
      <c r="H32" t="s">
        <v>2328</v>
      </c>
      <c r="I32" t="s">
        <v>93</v>
      </c>
      <c r="J32">
        <v>84</v>
      </c>
      <c r="K32">
        <v>23</v>
      </c>
      <c r="L32">
        <v>4</v>
      </c>
      <c r="M32" t="str">
        <f>IF([12]NDCs!AL34="Excluding","excl","incl")</f>
        <v>excl</v>
      </c>
      <c r="N32" s="160">
        <f>[12]GHG_hist!BA22+IF($M32="incl",[12]LULUCF_hist!CR22,0)</f>
        <v>1.0412619000000001</v>
      </c>
      <c r="O32" s="111">
        <f>[12]GHG_hist!BB22+IF($M32="incl",[12]LULUCF_hist!CS22,0)</f>
        <v>1.2214653000000002</v>
      </c>
      <c r="P32" s="111">
        <f>[12]GHG_hist!BC22+IF($M32="incl",[12]LULUCF_hist!CT22,0)</f>
        <v>1.2092138000000001</v>
      </c>
      <c r="Q32" s="111">
        <f>[12]GHG_hist!BD22+IF($M32="incl",[12]LULUCF_hist!CU22,0)</f>
        <v>1.1810815000000001</v>
      </c>
      <c r="R32" s="111">
        <f>[12]GHG_hist!BE22+IF($M32="incl",[12]LULUCF_hist!CV22,0)</f>
        <v>1.1117201000000001</v>
      </c>
      <c r="S32" s="111">
        <f>[12]GHG_hist!BF22+IF($M32="incl",[12]LULUCF_hist!CW22,0)</f>
        <v>1.0930202</v>
      </c>
      <c r="T32" s="111">
        <f>[12]GHG_hist!BG22+IF($M32="incl",[12]LULUCF_hist!CX22,0)</f>
        <v>0.99779282000000002</v>
      </c>
      <c r="U32" s="111">
        <f>[12]GHG_hist!BH22+IF($M32="incl",[12]LULUCF_hist!CY22,0)</f>
        <v>1.0721622</v>
      </c>
      <c r="V32" s="111">
        <f>[12]GHG_hist!BI22+IF($M32="incl",[12]LULUCF_hist!CZ22,0)</f>
        <v>1.0548164</v>
      </c>
      <c r="W32" s="111">
        <f>[12]GHG_hist!BJ22+IF($M32="incl",[12]LULUCF_hist!DA22,0)</f>
        <v>1.0581004000000001</v>
      </c>
      <c r="X32" s="111">
        <f>[12]GHG_hist!BK22+IF($M32="incl",[12]LULUCF_hist!DB22,0)</f>
        <v>1.1092739</v>
      </c>
      <c r="Y32" s="111">
        <f>[12]GHG_hist!BL22+IF($M32="incl",[12]LULUCF_hist!DC22,0)</f>
        <v>1.2326542999999999</v>
      </c>
      <c r="Z32" s="111">
        <f>[12]GHG_hist!BM22+IF($M32="incl",[12]LULUCF_hist!DD22,0)</f>
        <v>1.2718107000000001</v>
      </c>
      <c r="AA32" s="111">
        <f>[12]GHG_hist!BN22+IF($M32="incl",[12]LULUCF_hist!DE22,0)</f>
        <v>1.3291416</v>
      </c>
      <c r="AB32" s="111">
        <f>[12]GHG_hist!BO22+IF($M32="incl",[12]LULUCF_hist!DF22,0)</f>
        <v>1.2920073000000001</v>
      </c>
      <c r="AC32" s="111">
        <f>[12]GHG_hist!BP22+IF($M32="incl",[12]LULUCF_hist!DG22,0)</f>
        <v>1.3022646</v>
      </c>
      <c r="AD32" s="111">
        <f>[12]GHG_hist!BQ22+IF($M32="incl",[12]LULUCF_hist!DH22,0)</f>
        <v>1.3950992000000002</v>
      </c>
      <c r="AE32" s="111">
        <f>[12]GHG_hist!BR22+IF($M32="incl",[12]LULUCF_hist!DI22,0)</f>
        <v>1.3801414000000001</v>
      </c>
      <c r="AF32" s="111">
        <f>[12]GHG_hist!BS22+IF($M32="incl",[12]LULUCF_hist!DJ22,0)</f>
        <v>1.2895629</v>
      </c>
      <c r="AG32" s="111">
        <f>[12]GHG_hist!BT22+IF($M32="incl",[12]LULUCF_hist!DK22,0)</f>
        <v>1.3691790000000001</v>
      </c>
      <c r="AH32" s="111">
        <f>[12]GHG_hist!BU22+IF($M32="incl",[12]LULUCF_hist!DL22,0)</f>
        <v>1.3714202</v>
      </c>
      <c r="AI32" s="111">
        <f>[12]GHG_hist!BV22+IF($M32="incl",[12]LULUCF_hist!DM22,0)</f>
        <v>1.5000932</v>
      </c>
      <c r="AJ32" s="111">
        <f>[12]GHG_hist!BW22+IF($M32="incl",[12]LULUCF_hist!DN22,0)</f>
        <v>1.3319019000000001</v>
      </c>
      <c r="AK32" s="111">
        <f>[12]GHG_hist!BX22+IF($M32="incl",[12]LULUCF_hist!DO22,0)</f>
        <v>1.4990108</v>
      </c>
      <c r="AL32" s="111">
        <f>[12]GHG_hist!BY22+IF($M32="incl",[12]LULUCF_hist!DP22,0)</f>
        <v>1.4535319</v>
      </c>
      <c r="AM32" s="111">
        <f>[12]GHG_hist!BZ22+IF($M32="incl",[12]LULUCF_hist!DQ22,0)</f>
        <v>1.6911404000000001</v>
      </c>
      <c r="AN32" s="111">
        <f>[12]GHG_hist!CA22+IF($M32="incl",[12]LULUCF_hist!DR22,0)</f>
        <v>1.6728959000000001</v>
      </c>
      <c r="AO32" s="111">
        <f>[12]GHG_hist!CB22+IF($M32="incl",[12]LULUCF_hist!DS22,0)</f>
        <v>1.6913733</v>
      </c>
      <c r="AP32" s="111">
        <f>[12]GHG_hist!CC22+IF($M32="incl",[12]LULUCF_hist!DT22,0)</f>
        <v>1.6802284000000001</v>
      </c>
      <c r="AQ32" s="111">
        <f>[12]GHG_hist!CD22+IF($M32="incl",[12]LULUCF_hist!DU22,0)</f>
        <v>1.851866</v>
      </c>
      <c r="AR32" s="111">
        <f>[12]GHG_hist!CE22+IF($M32="incl",[12]LULUCF_hist!DV22,0)</f>
        <v>1.7316175</v>
      </c>
      <c r="AS32" s="111">
        <f>[12]GHG_hist!CF22+IF($M32="incl",[12]LULUCF_hist!DW22,0)</f>
        <v>1.8645148</v>
      </c>
      <c r="AT32" s="161">
        <f>VLOOKUP($L32,'[12]IMAGE SSP2'!$AF$3:$AK$29,4,FALSE)*$AM32</f>
        <v>1.9228450487184876</v>
      </c>
      <c r="AU32" s="162">
        <f>VLOOKUP($L32,'[12]IMAGE SSP2'!$AF$3:$AK$29,5,FALSE)*$AM32</f>
        <v>2.1511992774309925</v>
      </c>
      <c r="AV32" s="163">
        <f>VLOOKUP($L32,'[12]IMAGE SSP2'!$AF$3:$AK$29,6,FALSE)*$AM32</f>
        <v>2.2708410674960029</v>
      </c>
      <c r="AW32" s="111" t="str">
        <f t="shared" si="15"/>
        <v/>
      </c>
      <c r="AX32" s="164" t="str">
        <f>IF(A32="B",IF(M32="excl",[12]NatCom!CO22,[12]NatCom!AX22),"")</f>
        <v/>
      </c>
      <c r="AY32" s="111" t="str">
        <f>IF('[12]Pledge 2020'!E22="","",'[12]Pledge 2020'!E22)</f>
        <v/>
      </c>
      <c r="AZ32" s="164" t="str">
        <f>IF('[12]Pledge 2020'!F22="","",'[12]Pledge 2020'!F22)</f>
        <v/>
      </c>
      <c r="BA32" s="111" t="str">
        <f t="shared" si="16"/>
        <v/>
      </c>
      <c r="BB32" s="111"/>
      <c r="BC32" s="111" t="str">
        <f t="shared" si="17"/>
        <v/>
      </c>
      <c r="BD32" s="111"/>
      <c r="BE32" s="111" t="s">
        <v>2477</v>
      </c>
      <c r="BF32" s="111"/>
      <c r="BG32" s="111" t="s">
        <v>2477</v>
      </c>
      <c r="BH32" s="164"/>
      <c r="BI32" s="111" t="str">
        <f>IF([12]NDCs!V34="",IF([12]NDCs!X34="","",[12]NDCs!X34),[12]NDCs!V34)</f>
        <v/>
      </c>
      <c r="BJ32" s="111" t="str">
        <f>IF([12]NDCs!V34="",IF([12]NDCs!X34="","",[12]NDCs!X34),[12]NDCs!V34)</f>
        <v/>
      </c>
      <c r="BK32" s="111" t="str">
        <f>IF([12]NDCs!Z34="",IF([12]NDCs!AB34="",IF('input site'!BE32="","",'input site'!BE32),[12]NDCs!AB34),[12]NDCs!Z34)</f>
        <v/>
      </c>
      <c r="BL32" s="111" t="str">
        <f>IF([12]NDCs!AA34="",IF([12]NDCs!AC34="",IF('input site'!BF32="","",'input site'!BF32),[12]NDCs!AC34),[12]NDCs!AA34)</f>
        <v/>
      </c>
      <c r="BM32" s="111">
        <f>IF($BI$8=2015,VLOOKUP($L32,'[12]IMAGE CurPol SSP'!$AZ$3:$BD$29,4,FALSE)*$AM32,IF($BI$8=2018,VLOOKUP($L32,'[12]IMAGE CurPol SSP'!$BJ$3:$BN$29,4,FALSE)*$AP32,$AR32))</f>
        <v>1.7316175</v>
      </c>
      <c r="BN32" s="111">
        <f t="shared" si="30"/>
        <v>1.7316175</v>
      </c>
      <c r="BO32" s="111">
        <f t="shared" si="30"/>
        <v>1.7316175</v>
      </c>
      <c r="BP32" s="111">
        <f>IF($BI$8=2015,VLOOKUP($L32,'[12]IMAGE CurPol SSP'!$AZ$3:$BD$29,5,FALSE)*$AM32,IF($BI$8=2018,VLOOKUP($L32,'[12]IMAGE CurPol SSP'!$BJ$3:$BN$29,5,FALSE)*$AP32,VLOOKUP($L32,'[12]IMAGE CurPol SSP'!$BU$3:$BZ$29,5,FALSE)*$AS32))</f>
        <v>2.0431443117839034</v>
      </c>
      <c r="BQ32" s="111">
        <f>IF($BI$8=2015,"",IF($BI$8=2018,"",VLOOKUP($L32,'[12]IMAGE CurPol SSP'!$CQ$3:$CV$29,5,FALSE)*$AS32))</f>
        <v>2.0083761706488188</v>
      </c>
      <c r="BR32" s="111">
        <f>IF($BI$8=2015,"",IF($BI$8=2018,"",VLOOKUP($L32,'[12]IMAGE CurPol SSP'!$CF$3:$CK$29,5,FALSE)*$AS32))</f>
        <v>2.1235084814603553</v>
      </c>
      <c r="BS32" s="111">
        <f>IF($BI$8=2015,VLOOKUP($L32,'[12]IMAGE CurPol SSP'!$AZ$3:$BE$29,6,FALSE)*$AM32,IF($BI$8=2018,VLOOKUP($L32,'[12]IMAGE CurPol SSP'!$BJ$3:$BO$29,6,FALSE)*$AP32,VLOOKUP($L32,'[12]IMAGE CurPol SSP'!$BU$3:$BZ$29,6,FALSE)*$AS32))</f>
        <v>2.2990757520674423</v>
      </c>
      <c r="BT32" s="111">
        <f>IF($BI$8=2015,"",IF($BI$8=2018,"",VLOOKUP($L32,'[12]IMAGE CurPol SSP'!$CQ$3:$CV$29,6,FALSE)*$AS32))</f>
        <v>2.2462419802783122</v>
      </c>
      <c r="BU32" s="164">
        <f>IF($BI$8=2015,"",IF($BI$8=2018,"",VLOOKUP($L32,'[12]IMAGE CurPol SSP'!$CF$3:$CK$29,6,FALSE)*$AS32))</f>
        <v>2.4598142667945915</v>
      </c>
      <c r="CN32" t="s">
        <v>93</v>
      </c>
      <c r="CO32" s="165" t="str">
        <f t="shared" si="2"/>
        <v/>
      </c>
      <c r="CP32" s="165" t="str">
        <f t="shared" si="2"/>
        <v/>
      </c>
      <c r="CQ32" s="165" t="str">
        <f t="shared" si="2"/>
        <v/>
      </c>
      <c r="CR32" s="165" t="str">
        <f t="shared" si="2"/>
        <v/>
      </c>
      <c r="CV32" s="125" t="s">
        <v>621</v>
      </c>
      <c r="CW32" s="125" t="s">
        <v>621</v>
      </c>
      <c r="CX32"/>
      <c r="CY32" s="167">
        <f t="shared" si="3"/>
        <v>0.19122754871848757</v>
      </c>
      <c r="DB32" s="106"/>
      <c r="DC32" s="106"/>
      <c r="DD32" s="106"/>
      <c r="DE32" s="106"/>
      <c r="DF32" s="106"/>
      <c r="DG32" s="105" t="str">
        <f t="shared" si="4"/>
        <v>excl</v>
      </c>
      <c r="DH32" t="s">
        <v>93</v>
      </c>
      <c r="DI32" s="111">
        <f t="shared" si="23"/>
        <v>0</v>
      </c>
      <c r="DJ32" s="111">
        <f t="shared" si="23"/>
        <v>0</v>
      </c>
      <c r="DK32" s="111">
        <f t="shared" si="24"/>
        <v>0</v>
      </c>
      <c r="DL32" s="111">
        <f t="shared" si="25"/>
        <v>0</v>
      </c>
      <c r="DM32" s="111">
        <f t="shared" si="26"/>
        <v>0</v>
      </c>
      <c r="DN32" s="111">
        <f t="shared" si="27"/>
        <v>0</v>
      </c>
      <c r="DO32" s="111">
        <f t="shared" si="28"/>
        <v>0</v>
      </c>
      <c r="DP32" s="111">
        <f t="shared" si="29"/>
        <v>0</v>
      </c>
      <c r="DQ32" s="106"/>
      <c r="DR32" s="106"/>
      <c r="DS32" s="111"/>
      <c r="DT32" s="168"/>
      <c r="DW32" s="111">
        <f t="shared" si="12"/>
        <v>2.2990757520674423</v>
      </c>
      <c r="DX32" s="111">
        <f t="shared" si="12"/>
        <v>2.2990757520674423</v>
      </c>
      <c r="DY32" s="111">
        <f t="shared" si="12"/>
        <v>2.2990757520674423</v>
      </c>
      <c r="DZ32" s="111">
        <f t="shared" si="12"/>
        <v>2.2990757520674423</v>
      </c>
      <c r="EP32" t="s">
        <v>93</v>
      </c>
      <c r="EQ32">
        <v>1</v>
      </c>
      <c r="ER32" s="111">
        <f t="shared" si="13"/>
        <v>1.6802284000000001</v>
      </c>
      <c r="ES32" s="111">
        <f>IF($BI$8=2015,VLOOKUP($L32,'[12]IMAGE CDLINKS CurPol'!$P$3:$Y$29,10,FALSE)*$AM32,VLOOKUP($L32,'[12]IMAGE CDLINKS CurPol'!$Z$3:$AI$29,10,FALSE)*$AP32)</f>
        <v>3.1823156119138938</v>
      </c>
      <c r="ET32" s="111">
        <f t="shared" si="14"/>
        <v>0</v>
      </c>
      <c r="EU32" s="111">
        <f t="shared" si="19"/>
        <v>0.88293438084878395</v>
      </c>
      <c r="EV32" s="111">
        <f>IF($BI$8=2015,VLOOKUP($L32,'[12]IMAGE CDLINKS 2C'!$P$3:$Y$29,10,FALSE)*$AM32,VLOOKUP($L32,'[12]IMAGE CDLINKS 2C'!$Z$3:$AI$29,10,FALSE)*$AP32)</f>
        <v>0.88293438084878395</v>
      </c>
      <c r="EW32">
        <v>0</v>
      </c>
      <c r="EX32" s="111">
        <f>EW32-EV32</f>
        <v>-0.88293438084878395</v>
      </c>
      <c r="EY32" s="111">
        <f t="shared" si="20"/>
        <v>0</v>
      </c>
      <c r="EZ32" s="111">
        <f>IF($BI$8=2015,VLOOKUP($L32,'[12]IMAGE CDLINKS 1_5C'!$P$3:$Y$29,10,FALSE)*$AM32,VLOOKUP($L32,'[12]IMAGE CDLINKS 1_5C'!$Z$3:$AI$29,10,FALSE)*$AP32)</f>
        <v>0.17957155020968871</v>
      </c>
      <c r="FA32" s="192">
        <v>2050</v>
      </c>
    </row>
    <row r="33" spans="1:157" x14ac:dyDescent="0.25">
      <c r="A33" t="str">
        <f>IF([12]NDCs!C35="","",[12]NDCs!C35)</f>
        <v>F</v>
      </c>
      <c r="B33" s="159" t="str">
        <f t="shared" si="0"/>
        <v>v</v>
      </c>
      <c r="C33">
        <v>0</v>
      </c>
      <c r="D33">
        <v>0</v>
      </c>
      <c r="E33">
        <v>0</v>
      </c>
      <c r="F33">
        <v>1</v>
      </c>
      <c r="G33" t="b">
        <f t="shared" si="1"/>
        <v>1</v>
      </c>
      <c r="H33" t="s">
        <v>2333</v>
      </c>
      <c r="I33" t="s">
        <v>95</v>
      </c>
      <c r="J33">
        <v>204</v>
      </c>
      <c r="K33">
        <v>52</v>
      </c>
      <c r="L33">
        <v>8</v>
      </c>
      <c r="M33" t="str">
        <f>IF([12]NDCs!AL35="Excluding","excl","incl")</f>
        <v>excl</v>
      </c>
      <c r="N33" s="160">
        <f>[12]GHG_hist!BA23+IF($M33="incl",[12]LULUCF_hist!CR23,0)</f>
        <v>5.4115916999999998</v>
      </c>
      <c r="O33" s="111">
        <f>[12]GHG_hist!BB23+IF($M33="incl",[12]LULUCF_hist!CS23,0)</f>
        <v>5.7032894000000001</v>
      </c>
      <c r="P33" s="111">
        <f>[12]GHG_hist!BC23+IF($M33="incl",[12]LULUCF_hist!CT23,0)</f>
        <v>5.8627731999999995</v>
      </c>
      <c r="Q33" s="111">
        <f>[12]GHG_hist!BD23+IF($M33="incl",[12]LULUCF_hist!CU23,0)</f>
        <v>6.1107892000000001</v>
      </c>
      <c r="R33" s="111">
        <f>[12]GHG_hist!BE23+IF($M33="incl",[12]LULUCF_hist!CV23,0)</f>
        <v>6.5685371999999997</v>
      </c>
      <c r="S33" s="111">
        <f>[12]GHG_hist!BF23+IF($M33="incl",[12]LULUCF_hist!CW23,0)</f>
        <v>6.3894161999999994</v>
      </c>
      <c r="T33" s="111">
        <f>[12]GHG_hist!BG23+IF($M33="incl",[12]LULUCF_hist!CX23,0)</f>
        <v>7.1983196999999999</v>
      </c>
      <c r="U33" s="111">
        <f>[12]GHG_hist!BH23+IF($M33="incl",[12]LULUCF_hist!CY23,0)</f>
        <v>7.4575111999999999</v>
      </c>
      <c r="V33" s="111">
        <f>[12]GHG_hist!BI23+IF($M33="incl",[12]LULUCF_hist!CZ23,0)</f>
        <v>7.6741102000000003</v>
      </c>
      <c r="W33" s="111">
        <f>[12]GHG_hist!BJ23+IF($M33="incl",[12]LULUCF_hist!DA23,0)</f>
        <v>8.0113354000000001</v>
      </c>
      <c r="X33" s="111">
        <f>[12]GHG_hist!BK23+IF($M33="incl",[12]LULUCF_hist!DB23,0)</f>
        <v>8.4450938999999998</v>
      </c>
      <c r="Y33" s="111">
        <f>[12]GHG_hist!BL23+IF($M33="incl",[12]LULUCF_hist!DC23,0)</f>
        <v>7.9030716000000005</v>
      </c>
      <c r="Z33" s="111">
        <f>[12]GHG_hist!BM23+IF($M33="incl",[12]LULUCF_hist!DD23,0)</f>
        <v>8.9673904000000011</v>
      </c>
      <c r="AA33" s="111">
        <f>[12]GHG_hist!BN23+IF($M33="incl",[12]LULUCF_hist!DE23,0)</f>
        <v>9.023836300000001</v>
      </c>
      <c r="AB33" s="111">
        <f>[12]GHG_hist!BO23+IF($M33="incl",[12]LULUCF_hist!DF23,0)</f>
        <v>9.1954554999999996</v>
      </c>
      <c r="AC33" s="111">
        <f>[12]GHG_hist!BP23+IF($M33="incl",[12]LULUCF_hist!DG23,0)</f>
        <v>9.9573348999999993</v>
      </c>
      <c r="AD33" s="111">
        <f>[12]GHG_hist!BQ23+IF($M33="incl",[12]LULUCF_hist!DH23,0)</f>
        <v>10.582319</v>
      </c>
      <c r="AE33" s="111">
        <f>[12]GHG_hist!BR23+IF($M33="incl",[12]LULUCF_hist!DI23,0)</f>
        <v>11.401402000000001</v>
      </c>
      <c r="AF33" s="111">
        <f>[12]GHG_hist!BS23+IF($M33="incl",[12]LULUCF_hist!DJ23,0)</f>
        <v>11.162868000000001</v>
      </c>
      <c r="AG33" s="111">
        <f>[12]GHG_hist!BT23+IF($M33="incl",[12]LULUCF_hist!DK23,0)</f>
        <v>11.737707</v>
      </c>
      <c r="AH33" s="111">
        <f>[12]GHG_hist!BU23+IF($M33="incl",[12]LULUCF_hist!DL23,0)</f>
        <v>12.606679</v>
      </c>
      <c r="AI33" s="111">
        <f>[12]GHG_hist!BV23+IF($M33="incl",[12]LULUCF_hist!DM23,0)</f>
        <v>12.739126000000001</v>
      </c>
      <c r="AJ33" s="111">
        <f>[12]GHG_hist!BW23+IF($M33="incl",[12]LULUCF_hist!DN23,0)</f>
        <v>12.710493000000001</v>
      </c>
      <c r="AK33" s="111">
        <f>[12]GHG_hist!BX23+IF($M33="incl",[12]LULUCF_hist!DO23,0)</f>
        <v>13.446910000000001</v>
      </c>
      <c r="AL33" s="111">
        <f>[12]GHG_hist!BY23+IF($M33="incl",[12]LULUCF_hist!DP23,0)</f>
        <v>13.871798000000002</v>
      </c>
      <c r="AM33" s="111">
        <f>[12]GHG_hist!BZ23+IF($M33="incl",[12]LULUCF_hist!DQ23,0)</f>
        <v>14.722207000000001</v>
      </c>
      <c r="AN33" s="111">
        <f>[12]GHG_hist!CA23+IF($M33="incl",[12]LULUCF_hist!DR23,0)</f>
        <v>15.915773999999999</v>
      </c>
      <c r="AO33" s="111">
        <f>[12]GHG_hist!CB23+IF($M33="incl",[12]LULUCF_hist!DS23,0)</f>
        <v>16.683047999999999</v>
      </c>
      <c r="AP33" s="111">
        <f>[12]GHG_hist!CC23+IF($M33="incl",[12]LULUCF_hist!DT23,0)</f>
        <v>17.580134999999999</v>
      </c>
      <c r="AQ33" s="111">
        <f>[12]GHG_hist!CD23+IF($M33="incl",[12]LULUCF_hist!DU23,0)</f>
        <v>18.383590000000002</v>
      </c>
      <c r="AR33" s="111">
        <f>[12]GHG_hist!CE23+IF($M33="incl",[12]LULUCF_hist!DV23,0)</f>
        <v>18.444296999999999</v>
      </c>
      <c r="AS33" s="111">
        <f>[12]GHG_hist!CF23+IF($M33="incl",[12]LULUCF_hist!DW23,0)</f>
        <v>19.316179999999999</v>
      </c>
      <c r="AT33" s="161">
        <f>VLOOKUP($L33,'[12]IMAGE SSP2'!$AF$3:$AK$29,4,FALSE)*$AM33</f>
        <v>19.422812437484506</v>
      </c>
      <c r="AU33" s="162">
        <f>VLOOKUP($L33,'[12]IMAGE SSP2'!$AF$3:$AK$29,5,FALSE)*$AM33</f>
        <v>22.534465607327853</v>
      </c>
      <c r="AV33" s="163">
        <f>VLOOKUP($L33,'[12]IMAGE SSP2'!$AF$3:$AK$29,6,FALSE)*$AM33</f>
        <v>27.013678258077135</v>
      </c>
      <c r="AW33" s="111" t="str">
        <f t="shared" si="15"/>
        <v/>
      </c>
      <c r="AX33" s="164" t="str">
        <f>IF(A33="B",IF(M33="excl",[12]NatCom!CO23,[12]NatCom!AX23),"")</f>
        <v/>
      </c>
      <c r="AY33" s="111" t="str">
        <f>IF('[12]Pledge 2020'!E23="","",'[12]Pledge 2020'!E23)</f>
        <v/>
      </c>
      <c r="AZ33" s="164" t="str">
        <f>IF('[12]Pledge 2020'!F23="","",'[12]Pledge 2020'!F23)</f>
        <v/>
      </c>
      <c r="BA33" s="111" t="str">
        <f t="shared" si="16"/>
        <v/>
      </c>
      <c r="BB33" s="111"/>
      <c r="BC33" s="111">
        <f t="shared" si="17"/>
        <v>16.415419750000002</v>
      </c>
      <c r="BD33" s="111">
        <f>IF(BH33="","",(BH33-AH33)*0.75+AH33)</f>
        <v>16.415419750000002</v>
      </c>
      <c r="BE33" s="111" t="s">
        <v>2477</v>
      </c>
      <c r="BF33" s="111"/>
      <c r="BG33" s="111">
        <v>17.685000000000002</v>
      </c>
      <c r="BH33" s="164">
        <v>17.685000000000002</v>
      </c>
      <c r="BI33" s="111" t="str">
        <f>IF([12]NDCs!V35="",IF([12]NDCs!X35="","",[12]NDCs!X35),[12]NDCs!V35)</f>
        <v/>
      </c>
      <c r="BJ33" s="111" t="str">
        <f>IF([12]NDCs!V35="",IF([12]NDCs!X35="","",[12]NDCs!X35),[12]NDCs!V35)</f>
        <v/>
      </c>
      <c r="BK33" s="111">
        <f>IF([12]NDCs!Z35="",IF([12]NDCs!AB35="",IF('input site'!BE33="","",'input site'!BE33),[12]NDCs!AB35),[12]NDCs!Z35)</f>
        <v>17.685000000000002</v>
      </c>
      <c r="BL33" s="111">
        <f>IF([12]NDCs!AA35="",IF([12]NDCs!AC35="",IF('input site'!BF33="","",'input site'!BF33),[12]NDCs!AC35),[12]NDCs!AA35)</f>
        <v>17.685000000000002</v>
      </c>
      <c r="BM33" s="111">
        <f>IF($BI$8=2015,VLOOKUP($L33,'[12]IMAGE CurPol SSP'!$AZ$3:$BD$29,4,FALSE)*$AM33,IF($BI$8=2018,VLOOKUP($L33,'[12]IMAGE CurPol SSP'!$BJ$3:$BN$29,4,FALSE)*$AP33,$AR33))</f>
        <v>18.444296999999999</v>
      </c>
      <c r="BN33" s="111">
        <f t="shared" si="30"/>
        <v>18.444296999999999</v>
      </c>
      <c r="BO33" s="111">
        <f t="shared" si="30"/>
        <v>18.444296999999999</v>
      </c>
      <c r="BP33" s="111">
        <f>IF($BI$8=2015,VLOOKUP($L33,'[12]IMAGE CurPol SSP'!$AZ$3:$BD$29,5,FALSE)*$AM33,IF($BI$8=2018,VLOOKUP($L33,'[12]IMAGE CurPol SSP'!$BJ$3:$BN$29,5,FALSE)*$AP33,VLOOKUP($L33,'[12]IMAGE CurPol SSP'!$BU$3:$BZ$29,5,FALSE)*$AS33))</f>
        <v>20.006676828890186</v>
      </c>
      <c r="BQ33" s="111">
        <f>IF($BI$8=2015,"",IF($BI$8=2018,"",VLOOKUP($L33,'[12]IMAGE CurPol SSP'!$CQ$3:$CV$29,5,FALSE)*$AS33))</f>
        <v>19.78439646529829</v>
      </c>
      <c r="BR33" s="111">
        <f>IF($BI$8=2015,"",IF($BI$8=2018,"",VLOOKUP($L33,'[12]IMAGE CurPol SSP'!$CF$3:$CK$29,5,FALSE)*$AS33))</f>
        <v>20.193698275514084</v>
      </c>
      <c r="BS33" s="111">
        <f>IF($BI$8=2015,VLOOKUP($L33,'[12]IMAGE CurPol SSP'!$AZ$3:$BE$29,6,FALSE)*$AM33,IF($BI$8=2018,VLOOKUP($L33,'[12]IMAGE CurPol SSP'!$BJ$3:$BO$29,6,FALSE)*$AP33,VLOOKUP($L33,'[12]IMAGE CurPol SSP'!$BU$3:$BZ$29,6,FALSE)*$AS33))</f>
        <v>23.00531083461394</v>
      </c>
      <c r="BT33" s="111">
        <f>IF($BI$8=2015,"",IF($BI$8=2018,"",VLOOKUP($L33,'[12]IMAGE CurPol SSP'!$CQ$3:$CV$29,6,FALSE)*$AS33))</f>
        <v>22.409415603796624</v>
      </c>
      <c r="BU33" s="164">
        <f>IF($BI$8=2015,"",IF($BI$8=2018,"",VLOOKUP($L33,'[12]IMAGE CurPol SSP'!$CF$3:$CK$29,6,FALSE)*$AS33))</f>
        <v>23.00531083461394</v>
      </c>
      <c r="CN33" t="s">
        <v>95</v>
      </c>
      <c r="CO33" s="165" t="str">
        <f t="shared" si="2"/>
        <v/>
      </c>
      <c r="CP33" s="165" t="str">
        <f t="shared" si="2"/>
        <v/>
      </c>
      <c r="CQ33" s="165">
        <f t="shared" si="2"/>
        <v>-0.23126446205669016</v>
      </c>
      <c r="CR33" s="165">
        <f t="shared" si="2"/>
        <v>-0.23126446205669016</v>
      </c>
      <c r="CV33" s="125" t="s">
        <v>621</v>
      </c>
      <c r="CW33" s="125" t="s">
        <v>621</v>
      </c>
      <c r="CX33"/>
      <c r="CY33" s="167">
        <f t="shared" si="3"/>
        <v>0.97851543748450709</v>
      </c>
      <c r="DB33" s="106"/>
      <c r="DC33" s="106"/>
      <c r="DD33" s="106"/>
      <c r="DE33" s="106"/>
      <c r="DF33" s="106"/>
      <c r="DG33" s="105" t="str">
        <f t="shared" si="4"/>
        <v>excl</v>
      </c>
      <c r="DH33" t="s">
        <v>95</v>
      </c>
      <c r="DI33" s="111">
        <f t="shared" si="23"/>
        <v>0</v>
      </c>
      <c r="DJ33" s="111">
        <f t="shared" si="23"/>
        <v>0</v>
      </c>
      <c r="DK33" s="111">
        <f t="shared" si="24"/>
        <v>0</v>
      </c>
      <c r="DL33" s="111">
        <f t="shared" si="25"/>
        <v>-3.5912570788901839</v>
      </c>
      <c r="DM33" s="111">
        <f t="shared" si="26"/>
        <v>0</v>
      </c>
      <c r="DN33" s="111">
        <f t="shared" si="27"/>
        <v>-5.3203108346139381</v>
      </c>
      <c r="DO33" s="111">
        <f t="shared" si="28"/>
        <v>0</v>
      </c>
      <c r="DP33" s="111">
        <f t="shared" si="29"/>
        <v>-5.3203108346139381</v>
      </c>
      <c r="DQ33" s="106"/>
      <c r="DR33" s="106"/>
      <c r="DS33" s="111"/>
      <c r="DT33" s="168"/>
      <c r="DW33" s="111">
        <f t="shared" si="12"/>
        <v>23.00531083461394</v>
      </c>
      <c r="DX33" s="111">
        <f t="shared" si="12"/>
        <v>23.00531083461394</v>
      </c>
      <c r="DY33" s="111">
        <f t="shared" si="12"/>
        <v>17.685000000000002</v>
      </c>
      <c r="DZ33" s="111">
        <f t="shared" si="12"/>
        <v>17.685000000000002</v>
      </c>
      <c r="EP33" t="s">
        <v>95</v>
      </c>
      <c r="EQ33">
        <v>1</v>
      </c>
      <c r="ER33" s="111">
        <f t="shared" si="13"/>
        <v>17.580134999999999</v>
      </c>
      <c r="ES33" s="111">
        <f>IF($BI$8=2015,VLOOKUP($L33,'[12]IMAGE CDLINKS CurPol'!$P$3:$Y$29,10,FALSE)*$AM33,VLOOKUP($L33,'[12]IMAGE CDLINKS CurPol'!$Z$3:$AI$29,10,FALSE)*$AP33)</f>
        <v>36.705125063256801</v>
      </c>
      <c r="ET33" s="111">
        <f t="shared" si="14"/>
        <v>0</v>
      </c>
      <c r="EU33" s="111">
        <f t="shared" si="19"/>
        <v>16.752042728747949</v>
      </c>
      <c r="EV33" s="111">
        <f>IF($BI$8=2015,VLOOKUP($L33,'[12]IMAGE CDLINKS 2C'!$P$3:$Y$29,10,FALSE)*$AM33,VLOOKUP($L33,'[12]IMAGE CDLINKS 2C'!$Z$3:$AI$29,10,FALSE)*$AP33)</f>
        <v>16.752042728747949</v>
      </c>
      <c r="EW33">
        <v>0</v>
      </c>
      <c r="EX33" s="111">
        <f>EW33-EV33</f>
        <v>-16.752042728747949</v>
      </c>
      <c r="EY33" s="111">
        <f t="shared" si="20"/>
        <v>0</v>
      </c>
      <c r="EZ33" s="111">
        <f>IF($BI$8=2015,VLOOKUP($L33,'[12]IMAGE CDLINKS 1_5C'!$P$3:$Y$29,10,FALSE)*$AM33,VLOOKUP($L33,'[12]IMAGE CDLINKS 1_5C'!$Z$3:$AI$29,10,FALSE)*$AP33)</f>
        <v>9.5419683117485228</v>
      </c>
      <c r="FA33" s="192">
        <v>2050</v>
      </c>
    </row>
    <row r="34" spans="1:157" x14ac:dyDescent="0.25">
      <c r="A34" t="str">
        <f>IF([12]NDCs!C36="","",[12]NDCs!C36)</f>
        <v/>
      </c>
      <c r="B34" s="159" t="str">
        <f t="shared" si="0"/>
        <v>v</v>
      </c>
      <c r="C34">
        <v>0</v>
      </c>
      <c r="D34">
        <v>0</v>
      </c>
      <c r="E34">
        <v>0</v>
      </c>
      <c r="F34">
        <v>1</v>
      </c>
      <c r="G34" t="b">
        <f t="shared" si="1"/>
        <v>0</v>
      </c>
      <c r="H34" t="s">
        <v>2328</v>
      </c>
      <c r="I34" t="s">
        <v>97</v>
      </c>
      <c r="J34">
        <v>60</v>
      </c>
      <c r="K34">
        <v>17</v>
      </c>
      <c r="L34">
        <v>4</v>
      </c>
      <c r="M34" t="str">
        <f>IF([12]NDCs!AL36="Excluding","excl","incl")</f>
        <v>excl</v>
      </c>
      <c r="N34" s="160">
        <f>[12]GHG_hist!BA24+IF($M34="incl",[12]LULUCF_hist!CR24,0)</f>
        <v>0</v>
      </c>
      <c r="O34" s="111">
        <f>[12]GHG_hist!BB24+IF($M34="incl",[12]LULUCF_hist!CS24,0)</f>
        <v>0</v>
      </c>
      <c r="P34" s="111">
        <f>[12]GHG_hist!BC24+IF($M34="incl",[12]LULUCF_hist!CT24,0)</f>
        <v>0</v>
      </c>
      <c r="Q34" s="111">
        <f>[12]GHG_hist!BD24+IF($M34="incl",[12]LULUCF_hist!CU24,0)</f>
        <v>0</v>
      </c>
      <c r="R34" s="111">
        <f>[12]GHG_hist!BE24+IF($M34="incl",[12]LULUCF_hist!CV24,0)</f>
        <v>0</v>
      </c>
      <c r="S34" s="111">
        <f>[12]GHG_hist!BF24+IF($M34="incl",[12]LULUCF_hist!CW24,0)</f>
        <v>0</v>
      </c>
      <c r="T34" s="111">
        <f>[12]GHG_hist!BG24+IF($M34="incl",[12]LULUCF_hist!CX24,0)</f>
        <v>0</v>
      </c>
      <c r="U34" s="111">
        <f>[12]GHG_hist!BH24+IF($M34="incl",[12]LULUCF_hist!CY24,0)</f>
        <v>0</v>
      </c>
      <c r="V34" s="111">
        <f>[12]GHG_hist!BI24+IF($M34="incl",[12]LULUCF_hist!CZ24,0)</f>
        <v>0</v>
      </c>
      <c r="W34" s="111">
        <f>[12]GHG_hist!BJ24+IF($M34="incl",[12]LULUCF_hist!DA24,0)</f>
        <v>0</v>
      </c>
      <c r="X34" s="111">
        <f>[12]GHG_hist!BK24+IF($M34="incl",[12]LULUCF_hist!DB24,0)</f>
        <v>0</v>
      </c>
      <c r="Y34" s="111">
        <f>[12]GHG_hist!BL24+IF($M34="incl",[12]LULUCF_hist!DC24,0)</f>
        <v>0</v>
      </c>
      <c r="Z34" s="111">
        <f>[12]GHG_hist!BM24+IF($M34="incl",[12]LULUCF_hist!DD24,0)</f>
        <v>0</v>
      </c>
      <c r="AA34" s="111">
        <f>[12]GHG_hist!BN24+IF($M34="incl",[12]LULUCF_hist!DE24,0)</f>
        <v>0</v>
      </c>
      <c r="AB34" s="111">
        <f>[12]GHG_hist!BO24+IF($M34="incl",[12]LULUCF_hist!DF24,0)</f>
        <v>0</v>
      </c>
      <c r="AC34" s="111">
        <f>[12]GHG_hist!BP24+IF($M34="incl",[12]LULUCF_hist!DG24,0)</f>
        <v>0</v>
      </c>
      <c r="AD34" s="111">
        <f>[12]GHG_hist!BQ24+IF($M34="incl",[12]LULUCF_hist!DH24,0)</f>
        <v>0</v>
      </c>
      <c r="AE34" s="111">
        <f>[12]GHG_hist!BR24+IF($M34="incl",[12]LULUCF_hist!DI24,0)</f>
        <v>0</v>
      </c>
      <c r="AF34" s="111">
        <f>[12]GHG_hist!BS24+IF($M34="incl",[12]LULUCF_hist!DJ24,0)</f>
        <v>0</v>
      </c>
      <c r="AG34" s="111">
        <f>[12]GHG_hist!BT24+IF($M34="incl",[12]LULUCF_hist!DK24,0)</f>
        <v>0</v>
      </c>
      <c r="AH34" s="111">
        <f>[12]GHG_hist!BU24+IF($M34="incl",[12]LULUCF_hist!DL24,0)</f>
        <v>0</v>
      </c>
      <c r="AI34" s="111">
        <f>[12]GHG_hist!BV24+IF($M34="incl",[12]LULUCF_hist!DM24,0)</f>
        <v>0</v>
      </c>
      <c r="AJ34" s="111">
        <f>[12]GHG_hist!BW24+IF($M34="incl",[12]LULUCF_hist!DN24,0)</f>
        <v>0</v>
      </c>
      <c r="AK34" s="111">
        <f>[12]GHG_hist!BX24+IF($M34="incl",[12]LULUCF_hist!DO24,0)</f>
        <v>0</v>
      </c>
      <c r="AL34" s="111">
        <f>[12]GHG_hist!BY24+IF($M34="incl",[12]LULUCF_hist!DP24,0)</f>
        <v>0</v>
      </c>
      <c r="AM34" s="111">
        <f>[12]GHG_hist!BZ24+IF($M34="incl",[12]LULUCF_hist!DQ24,0)</f>
        <v>0</v>
      </c>
      <c r="AN34" s="111">
        <f>[12]GHG_hist!CA24+IF($M34="incl",[12]LULUCF_hist!DR24,0)</f>
        <v>0</v>
      </c>
      <c r="AO34" s="111">
        <f>[12]GHG_hist!CB24+IF($M34="incl",[12]LULUCF_hist!DS24,0)</f>
        <v>0</v>
      </c>
      <c r="AP34" s="111">
        <f>[12]GHG_hist!CC24+IF($M34="incl",[12]LULUCF_hist!DT24,0)</f>
        <v>0</v>
      </c>
      <c r="AQ34" s="111">
        <f>[12]GHG_hist!CD24+IF($M34="incl",[12]LULUCF_hist!DU24,0)</f>
        <v>0</v>
      </c>
      <c r="AR34" s="111">
        <f>[12]GHG_hist!CE24+IF($M34="incl",[12]LULUCF_hist!DV24,0)</f>
        <v>0</v>
      </c>
      <c r="AS34" s="111">
        <f>[12]GHG_hist!CF24+IF($M34="incl",[12]LULUCF_hist!DW24,0)</f>
        <v>0</v>
      </c>
      <c r="AT34" s="161">
        <f>VLOOKUP($L34,'[12]IMAGE SSP2'!$AF$3:$AK$29,4,FALSE)*$AM34</f>
        <v>0</v>
      </c>
      <c r="AU34" s="162">
        <f>VLOOKUP($L34,'[12]IMAGE SSP2'!$AF$3:$AK$29,5,FALSE)*$AM34</f>
        <v>0</v>
      </c>
      <c r="AV34" s="163">
        <f>VLOOKUP($L34,'[12]IMAGE SSP2'!$AF$3:$AK$29,6,FALSE)*$AM34</f>
        <v>0</v>
      </c>
      <c r="AW34" s="111" t="str">
        <f t="shared" si="15"/>
        <v/>
      </c>
      <c r="AX34" s="164" t="str">
        <f>IF(A34="B",IF(M34="excl",[12]NatCom!CO24,[12]NatCom!AX24),"")</f>
        <v/>
      </c>
      <c r="AY34" s="111" t="str">
        <f>IF('[12]Pledge 2020'!E24="","",'[12]Pledge 2020'!E24)</f>
        <v/>
      </c>
      <c r="AZ34" s="164" t="str">
        <f>IF('[12]Pledge 2020'!F24="","",'[12]Pledge 2020'!F24)</f>
        <v/>
      </c>
      <c r="BA34" s="111" t="str">
        <f t="shared" si="16"/>
        <v/>
      </c>
      <c r="BB34" s="111"/>
      <c r="BC34" s="111" t="str">
        <f t="shared" si="17"/>
        <v/>
      </c>
      <c r="BD34" s="111"/>
      <c r="BE34" s="111" t="s">
        <v>2477</v>
      </c>
      <c r="BF34" s="111"/>
      <c r="BG34" s="111" t="s">
        <v>2477</v>
      </c>
      <c r="BH34" s="164"/>
      <c r="BI34" s="111" t="str">
        <f>IF([12]NDCs!V36="",IF([12]NDCs!X36="","",[12]NDCs!X36),[12]NDCs!V36)</f>
        <v/>
      </c>
      <c r="BJ34" s="111" t="str">
        <f>IF([12]NDCs!V36="",IF([12]NDCs!X36="","",[12]NDCs!X36),[12]NDCs!V36)</f>
        <v/>
      </c>
      <c r="BK34" s="111" t="str">
        <f>IF([12]NDCs!Z36="",IF([12]NDCs!AB36="",IF('input site'!BE34="","",'input site'!BE34),[12]NDCs!AB36),[12]NDCs!Z36)</f>
        <v/>
      </c>
      <c r="BL34" s="111" t="str">
        <f>IF([12]NDCs!AA36="",IF([12]NDCs!AC36="",IF('input site'!BF34="","",'input site'!BF34),[12]NDCs!AC36),[12]NDCs!AA36)</f>
        <v/>
      </c>
      <c r="BM34" s="111">
        <f>IF($BI$8=2015,VLOOKUP($L34,'[12]IMAGE CurPol SSP'!$AZ$3:$BD$29,4,FALSE)*$AM34,IF($BI$8=2018,VLOOKUP($L34,'[12]IMAGE CurPol SSP'!$BJ$3:$BN$29,4,FALSE)*$AP34,$AR34))</f>
        <v>0</v>
      </c>
      <c r="BN34" s="111">
        <f t="shared" si="30"/>
        <v>0</v>
      </c>
      <c r="BO34" s="111">
        <f t="shared" si="30"/>
        <v>0</v>
      </c>
      <c r="BP34" s="111">
        <f>IF($BI$8=2015,VLOOKUP($L34,'[12]IMAGE CurPol SSP'!$AZ$3:$BD$29,5,FALSE)*$AM34,IF($BI$8=2018,VLOOKUP($L34,'[12]IMAGE CurPol SSP'!$BJ$3:$BN$29,5,FALSE)*$AP34,VLOOKUP($L34,'[12]IMAGE CurPol SSP'!$BU$3:$BZ$29,5,FALSE)*$AS34))</f>
        <v>0</v>
      </c>
      <c r="BQ34" s="111">
        <f>IF($BI$8=2015,"",IF($BI$8=2018,"",VLOOKUP($L34,'[12]IMAGE CurPol SSP'!$CQ$3:$CV$29,5,FALSE)*$AS34))</f>
        <v>0</v>
      </c>
      <c r="BR34" s="111">
        <f>IF($BI$8=2015,"",IF($BI$8=2018,"",VLOOKUP($L34,'[12]IMAGE CurPol SSP'!$CF$3:$CK$29,5,FALSE)*$AS34))</f>
        <v>0</v>
      </c>
      <c r="BS34" s="111">
        <f>IF($BI$8=2015,VLOOKUP($L34,'[12]IMAGE CurPol SSP'!$AZ$3:$BE$29,6,FALSE)*$AM34,IF($BI$8=2018,VLOOKUP($L34,'[12]IMAGE CurPol SSP'!$BJ$3:$BO$29,6,FALSE)*$AP34,VLOOKUP($L34,'[12]IMAGE CurPol SSP'!$BU$3:$BZ$29,6,FALSE)*$AS34))</f>
        <v>0</v>
      </c>
      <c r="BT34" s="111">
        <f>IF($BI$8=2015,"",IF($BI$8=2018,"",VLOOKUP($L34,'[12]IMAGE CurPol SSP'!$CQ$3:$CV$29,6,FALSE)*$AS34))</f>
        <v>0</v>
      </c>
      <c r="BU34" s="164">
        <f>IF($BI$8=2015,"",IF($BI$8=2018,"",VLOOKUP($L34,'[12]IMAGE CurPol SSP'!$CF$3:$CK$29,6,FALSE)*$AS34))</f>
        <v>0</v>
      </c>
      <c r="CN34" t="s">
        <v>97</v>
      </c>
      <c r="CO34" s="165" t="str">
        <f t="shared" si="2"/>
        <v/>
      </c>
      <c r="CP34" s="165" t="str">
        <f t="shared" si="2"/>
        <v/>
      </c>
      <c r="CQ34" s="165" t="str">
        <f t="shared" si="2"/>
        <v/>
      </c>
      <c r="CR34" s="165" t="str">
        <f t="shared" si="2"/>
        <v/>
      </c>
      <c r="CV34" s="125" t="s">
        <v>621</v>
      </c>
      <c r="CW34" s="125" t="s">
        <v>621</v>
      </c>
      <c r="CX34" s="165"/>
      <c r="CY34" s="167">
        <f t="shared" si="3"/>
        <v>0</v>
      </c>
      <c r="DB34" s="106"/>
      <c r="DC34" s="106"/>
      <c r="DD34" s="106"/>
      <c r="DE34" s="106"/>
      <c r="DF34" s="106"/>
      <c r="DG34" s="105" t="str">
        <f t="shared" si="4"/>
        <v>excl</v>
      </c>
      <c r="DH34" t="s">
        <v>97</v>
      </c>
      <c r="DI34" s="111">
        <f t="shared" si="23"/>
        <v>0</v>
      </c>
      <c r="DJ34" s="111">
        <f t="shared" si="23"/>
        <v>0</v>
      </c>
      <c r="DK34" s="111">
        <f t="shared" si="24"/>
        <v>0</v>
      </c>
      <c r="DL34" s="111">
        <f t="shared" si="25"/>
        <v>0</v>
      </c>
      <c r="DM34" s="111">
        <f t="shared" si="26"/>
        <v>0</v>
      </c>
      <c r="DN34" s="111">
        <f t="shared" si="27"/>
        <v>0</v>
      </c>
      <c r="DO34" s="111">
        <f t="shared" si="28"/>
        <v>0</v>
      </c>
      <c r="DP34" s="111">
        <f t="shared" si="29"/>
        <v>0</v>
      </c>
      <c r="DQ34" s="106"/>
      <c r="DR34" s="106"/>
      <c r="DS34" s="111"/>
      <c r="DT34" s="168"/>
      <c r="DW34" s="111">
        <f t="shared" si="12"/>
        <v>0</v>
      </c>
      <c r="DX34" s="111">
        <f t="shared" si="12"/>
        <v>0</v>
      </c>
      <c r="DY34" s="111">
        <f t="shared" si="12"/>
        <v>0</v>
      </c>
      <c r="DZ34" s="111">
        <f t="shared" si="12"/>
        <v>0</v>
      </c>
      <c r="EP34" t="s">
        <v>97</v>
      </c>
      <c r="EQ34">
        <v>0</v>
      </c>
      <c r="ER34" s="111">
        <f t="shared" si="13"/>
        <v>0</v>
      </c>
      <c r="ES34" s="111">
        <f>IF($BI$8=2015,VLOOKUP($L34,'[12]IMAGE CDLINKS CurPol'!$P$3:$Y$29,10,FALSE)*$AM34,VLOOKUP($L34,'[12]IMAGE CDLINKS CurPol'!$Z$3:$AI$29,10,FALSE)*$AP34)</f>
        <v>0</v>
      </c>
      <c r="ET34" s="111">
        <f t="shared" si="14"/>
        <v>0</v>
      </c>
      <c r="EU34" s="111">
        <f t="shared" si="19"/>
        <v>0</v>
      </c>
      <c r="EV34" s="111">
        <f>IF($BI$8=2015,VLOOKUP($L34,'[12]IMAGE CDLINKS 2C'!$P$3:$Y$29,10,FALSE)*$AM34,VLOOKUP($L34,'[12]IMAGE CDLINKS 2C'!$Z$3:$AI$29,10,FALSE)*$AP34)</f>
        <v>0</v>
      </c>
      <c r="EY34" s="111">
        <f t="shared" si="20"/>
        <v>0</v>
      </c>
      <c r="EZ34" s="111">
        <f>IF($BI$8=2015,VLOOKUP($L34,'[12]IMAGE CDLINKS 1_5C'!$P$3:$Y$29,10,FALSE)*$AM34,VLOOKUP($L34,'[12]IMAGE CDLINKS 1_5C'!$Z$3:$AI$29,10,FALSE)*$AP34)</f>
        <v>0</v>
      </c>
      <c r="FA34" s="192"/>
    </row>
    <row r="35" spans="1:157" x14ac:dyDescent="0.25">
      <c r="A35" t="str">
        <f>IF([12]NDCs!C37="","",[12]NDCs!C37)</f>
        <v>F</v>
      </c>
      <c r="B35" s="159" t="str">
        <f t="shared" si="0"/>
        <v>v</v>
      </c>
      <c r="C35">
        <v>0</v>
      </c>
      <c r="D35">
        <v>0</v>
      </c>
      <c r="E35">
        <v>0</v>
      </c>
      <c r="F35">
        <v>1</v>
      </c>
      <c r="G35" t="b">
        <f t="shared" si="1"/>
        <v>1</v>
      </c>
      <c r="H35" t="s">
        <v>2333</v>
      </c>
      <c r="I35" t="s">
        <v>99</v>
      </c>
      <c r="J35">
        <v>64</v>
      </c>
      <c r="K35">
        <v>18</v>
      </c>
      <c r="L35">
        <v>25</v>
      </c>
      <c r="M35" t="str">
        <f>IF([12]NDCs!AL37="Excluding","excl","incl")</f>
        <v>excl</v>
      </c>
      <c r="N35" s="160">
        <f>[12]GHG_hist!BA25+IF($M35="incl",[12]LULUCF_hist!CR25,0)</f>
        <v>0.89953848000000003</v>
      </c>
      <c r="O35" s="111">
        <f>[12]GHG_hist!BB25+IF($M35="incl",[12]LULUCF_hist!CS25,0)</f>
        <v>0.89676297000000005</v>
      </c>
      <c r="P35" s="111">
        <f>[12]GHG_hist!BC25+IF($M35="incl",[12]LULUCF_hist!CT25,0)</f>
        <v>0.87520898000000003</v>
      </c>
      <c r="Q35" s="111">
        <f>[12]GHG_hist!BD25+IF($M35="incl",[12]LULUCF_hist!CU25,0)</f>
        <v>0.85189877999999997</v>
      </c>
      <c r="R35" s="111">
        <f>[12]GHG_hist!BE25+IF($M35="incl",[12]LULUCF_hist!CV25,0)</f>
        <v>0.93313294000000002</v>
      </c>
      <c r="S35" s="111">
        <f>[12]GHG_hist!BF25+IF($M35="incl",[12]LULUCF_hist!CW25,0)</f>
        <v>1.0318605999999999</v>
      </c>
      <c r="T35" s="111">
        <f>[12]GHG_hist!BG25+IF($M35="incl",[12]LULUCF_hist!CX25,0)</f>
        <v>1.0035197</v>
      </c>
      <c r="U35" s="111">
        <f>[12]GHG_hist!BH25+IF($M35="incl",[12]LULUCF_hist!CY25,0)</f>
        <v>1.0145538000000001</v>
      </c>
      <c r="V35" s="111">
        <f>[12]GHG_hist!BI25+IF($M35="incl",[12]LULUCF_hist!CZ25,0)</f>
        <v>1.0593128999999999</v>
      </c>
      <c r="W35" s="111">
        <f>[12]GHG_hist!BJ25+IF($M35="incl",[12]LULUCF_hist!DA25,0)</f>
        <v>1.2189789000000002</v>
      </c>
      <c r="X35" s="111">
        <f>[12]GHG_hist!BK25+IF($M35="incl",[12]LULUCF_hist!DB25,0)</f>
        <v>1.1523599999999998</v>
      </c>
      <c r="Y35" s="111">
        <f>[12]GHG_hist!BL25+IF($M35="incl",[12]LULUCF_hist!DC25,0)</f>
        <v>1.1672201</v>
      </c>
      <c r="Z35" s="111">
        <f>[12]GHG_hist!BM25+IF($M35="incl",[12]LULUCF_hist!DD25,0)</f>
        <v>1.1945399000000001</v>
      </c>
      <c r="AA35" s="111">
        <f>[12]GHG_hist!BN25+IF($M35="incl",[12]LULUCF_hist!DE25,0)</f>
        <v>1.2824975000000001</v>
      </c>
      <c r="AB35" s="111">
        <f>[12]GHG_hist!BO25+IF($M35="incl",[12]LULUCF_hist!DF25,0)</f>
        <v>1.3069947</v>
      </c>
      <c r="AC35" s="111">
        <f>[12]GHG_hist!BP25+IF($M35="incl",[12]LULUCF_hist!DG25,0)</f>
        <v>1.3529120000000001</v>
      </c>
      <c r="AD35" s="111">
        <f>[12]GHG_hist!BQ25+IF($M35="incl",[12]LULUCF_hist!DH25,0)</f>
        <v>1.3293538</v>
      </c>
      <c r="AE35" s="111">
        <f>[12]GHG_hist!BR25+IF($M35="incl",[12]LULUCF_hist!DI25,0)</f>
        <v>1.5113779999999999</v>
      </c>
      <c r="AF35" s="111">
        <f>[12]GHG_hist!BS25+IF($M35="incl",[12]LULUCF_hist!DJ25,0)</f>
        <v>1.5418677000000001</v>
      </c>
      <c r="AG35" s="111">
        <f>[12]GHG_hist!BT25+IF($M35="incl",[12]LULUCF_hist!DK25,0)</f>
        <v>1.5209146</v>
      </c>
      <c r="AH35" s="111">
        <f>[12]GHG_hist!BU25+IF($M35="incl",[12]LULUCF_hist!DL25,0)</f>
        <v>1.6598913</v>
      </c>
      <c r="AI35" s="111">
        <f>[12]GHG_hist!BV25+IF($M35="incl",[12]LULUCF_hist!DM25,0)</f>
        <v>1.6802820999999999</v>
      </c>
      <c r="AJ35" s="111">
        <f>[12]GHG_hist!BW25+IF($M35="incl",[12]LULUCF_hist!DN25,0)</f>
        <v>1.7658544</v>
      </c>
      <c r="AK35" s="111">
        <f>[12]GHG_hist!BX25+IF($M35="incl",[12]LULUCF_hist!DO25,0)</f>
        <v>1.9061078</v>
      </c>
      <c r="AL35" s="111">
        <f>[12]GHG_hist!BY25+IF($M35="incl",[12]LULUCF_hist!DP25,0)</f>
        <v>2.0604481999999997</v>
      </c>
      <c r="AM35" s="111">
        <f>[12]GHG_hist!BZ25+IF($M35="incl",[12]LULUCF_hist!DQ25,0)</f>
        <v>2.3255169000000002</v>
      </c>
      <c r="AN35" s="111">
        <f>[12]GHG_hist!CA25+IF($M35="incl",[12]LULUCF_hist!DR25,0)</f>
        <v>2.3932096999999999</v>
      </c>
      <c r="AO35" s="111">
        <f>[12]GHG_hist!CB25+IF($M35="incl",[12]LULUCF_hist!DS25,0)</f>
        <v>2.5827602999999999</v>
      </c>
      <c r="AP35" s="111">
        <f>[12]GHG_hist!CC25+IF($M35="incl",[12]LULUCF_hist!DT25,0)</f>
        <v>2.8309242000000001</v>
      </c>
      <c r="AQ35" s="111">
        <f>[12]GHG_hist!CD25+IF($M35="incl",[12]LULUCF_hist!DU25,0)</f>
        <v>2.5969747999999999</v>
      </c>
      <c r="AR35" s="111">
        <f>[12]GHG_hist!CE25+IF($M35="incl",[12]LULUCF_hist!DV25,0)</f>
        <v>2.1358737000000003</v>
      </c>
      <c r="AS35" s="111">
        <f>[12]GHG_hist!CF25+IF($M35="incl",[12]LULUCF_hist!DW25,0)</f>
        <v>2.4534623</v>
      </c>
      <c r="AT35" s="161">
        <f>VLOOKUP($L35,'[12]IMAGE SSP2'!$AF$3:$AK$29,4,FALSE)*$AM35</f>
        <v>2.72813784342675</v>
      </c>
      <c r="AU35" s="162">
        <f>VLOOKUP($L35,'[12]IMAGE SSP2'!$AF$3:$AK$29,5,FALSE)*$AM35</f>
        <v>3.1690308102487941</v>
      </c>
      <c r="AV35" s="163">
        <f>VLOOKUP($L35,'[12]IMAGE SSP2'!$AF$3:$AK$29,6,FALSE)*$AM35</f>
        <v>3.5623517657683825</v>
      </c>
      <c r="AW35" s="111" t="str">
        <f t="shared" si="15"/>
        <v/>
      </c>
      <c r="AX35" s="164" t="str">
        <f>IF(A35="B",IF(M35="excl",[12]NatCom!CO25,[12]NatCom!AX25),"")</f>
        <v/>
      </c>
      <c r="AY35" s="111" t="str">
        <f>IF('[12]Pledge 2020'!E25="","",'[12]Pledge 2020'!E25)</f>
        <v/>
      </c>
      <c r="AZ35" s="164" t="str">
        <f>IF('[12]Pledge 2020'!F25="","",'[12]Pledge 2020'!F25)</f>
        <v/>
      </c>
      <c r="BA35" s="111" t="str">
        <f t="shared" si="16"/>
        <v/>
      </c>
      <c r="BB35" s="111"/>
      <c r="BC35" s="111" t="str">
        <f t="shared" si="17"/>
        <v/>
      </c>
      <c r="BD35" s="111"/>
      <c r="BE35" s="111" t="s">
        <v>2477</v>
      </c>
      <c r="BF35" s="111"/>
      <c r="BG35" s="111" t="s">
        <v>2477</v>
      </c>
      <c r="BH35" s="164"/>
      <c r="BI35" s="111" t="str">
        <f>IF([12]NDCs!V37="",IF([12]NDCs!X37="","",[12]NDCs!X37),[12]NDCs!V37)</f>
        <v/>
      </c>
      <c r="BJ35" s="111" t="str">
        <f>IF([12]NDCs!V37="",IF([12]NDCs!X37="","",[12]NDCs!X37),[12]NDCs!V37)</f>
        <v/>
      </c>
      <c r="BK35" s="111" t="str">
        <f>IF([12]NDCs!Z37="",IF([12]NDCs!AB37="",IF('input site'!BE35="","",'input site'!BE35),[12]NDCs!AB37),[12]NDCs!Z37)</f>
        <v/>
      </c>
      <c r="BL35" s="111" t="str">
        <f>IF([12]NDCs!AA37="",IF([12]NDCs!AC37="",IF('input site'!BF35="","",'input site'!BF35),[12]NDCs!AC37),[12]NDCs!AA37)</f>
        <v/>
      </c>
      <c r="BM35" s="111">
        <f>IF($BI$8=2015,VLOOKUP($L35,'[12]IMAGE CurPol SSP'!$AZ$3:$BD$29,4,FALSE)*$AM35,IF($BI$8=2018,VLOOKUP($L35,'[12]IMAGE CurPol SSP'!$BJ$3:$BN$29,4,FALSE)*$AP35,$AR35))</f>
        <v>2.1358737000000003</v>
      </c>
      <c r="BN35" s="111">
        <f t="shared" si="30"/>
        <v>2.1358737000000003</v>
      </c>
      <c r="BO35" s="111">
        <f t="shared" si="30"/>
        <v>2.1358737000000003</v>
      </c>
      <c r="BP35" s="111">
        <f>IF($BI$8=2015,VLOOKUP($L35,'[12]IMAGE CurPol SSP'!$AZ$3:$BD$29,5,FALSE)*$AM35,IF($BI$8=2018,VLOOKUP($L35,'[12]IMAGE CurPol SSP'!$BJ$3:$BN$29,5,FALSE)*$AP35,VLOOKUP($L35,'[12]IMAGE CurPol SSP'!$BU$3:$BZ$29,5,FALSE)*$AS35))</f>
        <v>2.6281348255430483</v>
      </c>
      <c r="BQ35" s="111">
        <f>IF($BI$8=2015,"",IF($BI$8=2018,"",VLOOKUP($L35,'[12]IMAGE CurPol SSP'!$CQ$3:$CV$29,5,FALSE)*$AS35))</f>
        <v>2.6043080063582256</v>
      </c>
      <c r="BR35" s="111">
        <f>IF($BI$8=2015,"",IF($BI$8=2018,"",VLOOKUP($L35,'[12]IMAGE CurPol SSP'!$CF$3:$CK$29,5,FALSE)*$AS35))</f>
        <v>2.6472198882566453</v>
      </c>
      <c r="BS35" s="111">
        <f>IF($BI$8=2015,VLOOKUP($L35,'[12]IMAGE CurPol SSP'!$AZ$3:$BE$29,6,FALSE)*$AM35,IF($BI$8=2018,VLOOKUP($L35,'[12]IMAGE CurPol SSP'!$BJ$3:$BO$29,6,FALSE)*$AP35,VLOOKUP($L35,'[12]IMAGE CurPol SSP'!$BU$3:$BZ$29,6,FALSE)*$AS35))</f>
        <v>2.9844634732858037</v>
      </c>
      <c r="BT35" s="111">
        <f>IF($BI$8=2015,"",IF($BI$8=2018,"",VLOOKUP($L35,'[12]IMAGE CurPol SSP'!$CQ$3:$CV$29,6,FALSE)*$AS35))</f>
        <v>2.9292294870097164</v>
      </c>
      <c r="BU35" s="164">
        <f>IF($BI$8=2015,"",IF($BI$8=2018,"",VLOOKUP($L35,'[12]IMAGE CurPol SSP'!$CF$3:$CK$29,6,FALSE)*$AS35))</f>
        <v>2.9844634732858037</v>
      </c>
      <c r="CN35" t="s">
        <v>99</v>
      </c>
      <c r="CO35" s="165" t="str">
        <f t="shared" si="2"/>
        <v/>
      </c>
      <c r="CP35" s="165" t="str">
        <f t="shared" si="2"/>
        <v/>
      </c>
      <c r="CQ35" s="165" t="str">
        <f t="shared" si="2"/>
        <v/>
      </c>
      <c r="CR35" s="165" t="str">
        <f t="shared" si="2"/>
        <v/>
      </c>
      <c r="CV35" s="125" t="s">
        <v>621</v>
      </c>
      <c r="CW35" s="125" t="s">
        <v>621</v>
      </c>
      <c r="CX35"/>
      <c r="CY35" s="167">
        <f t="shared" si="3"/>
        <v>0.59226414342674971</v>
      </c>
      <c r="DB35" s="106"/>
      <c r="DC35" s="106"/>
      <c r="DD35" s="106"/>
      <c r="DE35" s="106"/>
      <c r="DF35" s="106"/>
      <c r="DG35" s="105" t="str">
        <f t="shared" si="4"/>
        <v>excl</v>
      </c>
      <c r="DH35" t="s">
        <v>99</v>
      </c>
      <c r="DI35" s="111">
        <f t="shared" si="23"/>
        <v>0</v>
      </c>
      <c r="DJ35" s="111">
        <f t="shared" si="23"/>
        <v>0</v>
      </c>
      <c r="DK35" s="111">
        <f t="shared" si="24"/>
        <v>0</v>
      </c>
      <c r="DL35" s="111">
        <f t="shared" si="25"/>
        <v>0</v>
      </c>
      <c r="DM35" s="111">
        <f t="shared" si="26"/>
        <v>0</v>
      </c>
      <c r="DN35" s="111">
        <f t="shared" si="27"/>
        <v>0</v>
      </c>
      <c r="DO35" s="111">
        <f t="shared" si="28"/>
        <v>0</v>
      </c>
      <c r="DP35" s="111">
        <f t="shared" si="29"/>
        <v>0</v>
      </c>
      <c r="DQ35" s="106"/>
      <c r="DR35" s="106"/>
      <c r="DS35" s="111"/>
      <c r="DT35" s="168"/>
      <c r="DW35" s="111">
        <f t="shared" si="12"/>
        <v>2.9844634732858037</v>
      </c>
      <c r="DX35" s="111">
        <f t="shared" si="12"/>
        <v>2.9844634732858037</v>
      </c>
      <c r="DY35" s="111">
        <f t="shared" si="12"/>
        <v>2.9844634732858037</v>
      </c>
      <c r="DZ35" s="111">
        <f t="shared" si="12"/>
        <v>2.9844634732858037</v>
      </c>
      <c r="EP35" t="s">
        <v>99</v>
      </c>
      <c r="EQ35">
        <v>4</v>
      </c>
      <c r="ER35" s="111">
        <f t="shared" si="13"/>
        <v>2.8309242000000001</v>
      </c>
      <c r="ES35" s="111">
        <f>IF($BI$8=2015,VLOOKUP($L35,'[12]IMAGE CDLINKS CurPol'!$P$3:$Y$29,10,FALSE)*$AM35,VLOOKUP($L35,'[12]IMAGE CDLINKS CurPol'!$Z$3:$AI$29,10,FALSE)*$AP35)</f>
        <v>6.4770478664946429</v>
      </c>
      <c r="ET35" s="111">
        <f t="shared" si="14"/>
        <v>0</v>
      </c>
      <c r="EU35" s="111">
        <f t="shared" si="19"/>
        <v>0</v>
      </c>
      <c r="EV35" s="111">
        <f>IF($BI$8=2015,VLOOKUP($L35,'[12]IMAGE CDLINKS 2C'!$P$3:$Y$29,10,FALSE)*$AM35,VLOOKUP($L35,'[12]IMAGE CDLINKS 2C'!$Z$3:$AI$29,10,FALSE)*$AP35)</f>
        <v>1.8418009792056442</v>
      </c>
      <c r="EW35">
        <v>0</v>
      </c>
      <c r="EX35" s="111">
        <f>EW35-EV35</f>
        <v>-1.8418009792056442</v>
      </c>
      <c r="EY35" s="111">
        <f t="shared" si="20"/>
        <v>0</v>
      </c>
      <c r="EZ35" s="111">
        <f>IF($BI$8=2015,VLOOKUP($L35,'[12]IMAGE CDLINKS 1_5C'!$P$3:$Y$29,10,FALSE)*$AM35,VLOOKUP($L35,'[12]IMAGE CDLINKS 1_5C'!$Z$3:$AI$29,10,FALSE)*$AP35)</f>
        <v>0.7718830420427566</v>
      </c>
      <c r="FA35" s="192"/>
    </row>
    <row r="36" spans="1:157" x14ac:dyDescent="0.25">
      <c r="A36" t="str">
        <f>IF([12]NDCs!C38="","",[12]NDCs!C38)</f>
        <v>G</v>
      </c>
      <c r="B36" s="159" t="str">
        <f t="shared" si="0"/>
        <v>v</v>
      </c>
      <c r="C36">
        <v>0</v>
      </c>
      <c r="D36">
        <v>0</v>
      </c>
      <c r="E36">
        <v>0</v>
      </c>
      <c r="F36">
        <v>1</v>
      </c>
      <c r="G36" t="b">
        <f t="shared" si="1"/>
        <v>0</v>
      </c>
      <c r="H36" t="s">
        <v>2328</v>
      </c>
      <c r="I36" t="s">
        <v>101</v>
      </c>
      <c r="J36">
        <v>68</v>
      </c>
      <c r="K36">
        <v>19</v>
      </c>
      <c r="L36">
        <v>6</v>
      </c>
      <c r="M36" t="str">
        <f>IF([12]NDCs!AL38="Excluding","excl","incl")</f>
        <v>excl</v>
      </c>
      <c r="N36" s="160">
        <f>[12]GHG_hist!BA26+IF($M36="incl",[12]LULUCF_hist!CR26,0)</f>
        <v>17.317572999999999</v>
      </c>
      <c r="O36" s="111">
        <f>[12]GHG_hist!BB26+IF($M36="incl",[12]LULUCF_hist!CS26,0)</f>
        <v>18.364681000000001</v>
      </c>
      <c r="P36" s="111">
        <f>[12]GHG_hist!BC26+IF($M36="incl",[12]LULUCF_hist!CT26,0)</f>
        <v>19.857392000000001</v>
      </c>
      <c r="Q36" s="111">
        <f>[12]GHG_hist!BD26+IF($M36="incl",[12]LULUCF_hist!CU26,0)</f>
        <v>21.108198000000002</v>
      </c>
      <c r="R36" s="111">
        <f>[12]GHG_hist!BE26+IF($M36="incl",[12]LULUCF_hist!CV26,0)</f>
        <v>23.153116000000001</v>
      </c>
      <c r="S36" s="111">
        <f>[12]GHG_hist!BF26+IF($M36="incl",[12]LULUCF_hist!CW26,0)</f>
        <v>30.283521</v>
      </c>
      <c r="T36" s="111">
        <f>[12]GHG_hist!BG26+IF($M36="incl",[12]LULUCF_hist!CX26,0)</f>
        <v>37.714544000000004</v>
      </c>
      <c r="U36" s="111">
        <f>[12]GHG_hist!BH26+IF($M36="incl",[12]LULUCF_hist!CY26,0)</f>
        <v>46.264069000000006</v>
      </c>
      <c r="V36" s="111">
        <f>[12]GHG_hist!BI26+IF($M36="incl",[12]LULUCF_hist!CZ26,0)</f>
        <v>53.301205000000003</v>
      </c>
      <c r="W36" s="111">
        <f>[12]GHG_hist!BJ26+IF($M36="incl",[12]LULUCF_hist!DA26,0)</f>
        <v>50.142389999999999</v>
      </c>
      <c r="X36" s="111">
        <f>[12]GHG_hist!BK26+IF($M36="incl",[12]LULUCF_hist!DB26,0)</f>
        <v>47.813594999999999</v>
      </c>
      <c r="Y36" s="111">
        <f>[12]GHG_hist!BL26+IF($M36="incl",[12]LULUCF_hist!DC26,0)</f>
        <v>39.217281000000007</v>
      </c>
      <c r="Z36" s="111">
        <f>[12]GHG_hist!BM26+IF($M36="incl",[12]LULUCF_hist!DD26,0)</f>
        <v>34.985508000000003</v>
      </c>
      <c r="AA36" s="111">
        <f>[12]GHG_hist!BN26+IF($M36="incl",[12]LULUCF_hist!DE26,0)</f>
        <v>42.037782</v>
      </c>
      <c r="AB36" s="111">
        <f>[12]GHG_hist!BO26+IF($M36="incl",[12]LULUCF_hist!DF26,0)</f>
        <v>49.146673999999997</v>
      </c>
      <c r="AC36" s="111">
        <f>[12]GHG_hist!BP26+IF($M36="incl",[12]LULUCF_hist!DG26,0)</f>
        <v>46.076602000000001</v>
      </c>
      <c r="AD36" s="111">
        <f>[12]GHG_hist!BQ26+IF($M36="incl",[12]LULUCF_hist!DH26,0)</f>
        <v>43.732129</v>
      </c>
      <c r="AE36" s="111">
        <f>[12]GHG_hist!BR26+IF($M36="incl",[12]LULUCF_hist!DI26,0)</f>
        <v>45.783440000000006</v>
      </c>
      <c r="AF36" s="111">
        <f>[12]GHG_hist!BS26+IF($M36="incl",[12]LULUCF_hist!DJ26,0)</f>
        <v>50.556296000000003</v>
      </c>
      <c r="AG36" s="111">
        <f>[12]GHG_hist!BT26+IF($M36="incl",[12]LULUCF_hist!DK26,0)</f>
        <v>52.197980000000001</v>
      </c>
      <c r="AH36" s="111">
        <f>[12]GHG_hist!BU26+IF($M36="incl",[12]LULUCF_hist!DL26,0)</f>
        <v>60.045183999999999</v>
      </c>
      <c r="AI36" s="111">
        <f>[12]GHG_hist!BV26+IF($M36="incl",[12]LULUCF_hist!DM26,0)</f>
        <v>61.644727000000003</v>
      </c>
      <c r="AJ36" s="111">
        <f>[12]GHG_hist!BW26+IF($M36="incl",[12]LULUCF_hist!DN26,0)</f>
        <v>66.497090999999998</v>
      </c>
      <c r="AK36" s="111">
        <f>[12]GHG_hist!BX26+IF($M36="incl",[12]LULUCF_hist!DO26,0)</f>
        <v>68.188667000000009</v>
      </c>
      <c r="AL36" s="111">
        <f>[12]GHG_hist!BY26+IF($M36="incl",[12]LULUCF_hist!DP26,0)</f>
        <v>71.32715300000001</v>
      </c>
      <c r="AM36" s="111">
        <f>[12]GHG_hist!BZ26+IF($M36="incl",[12]LULUCF_hist!DQ26,0)</f>
        <v>73.061078999999992</v>
      </c>
      <c r="AN36" s="111">
        <f>[12]GHG_hist!CA26+IF($M36="incl",[12]LULUCF_hist!DR26,0)</f>
        <v>76.387327000000013</v>
      </c>
      <c r="AO36" s="111">
        <f>[12]GHG_hist!CB26+IF($M36="incl",[12]LULUCF_hist!DS26,0)</f>
        <v>81.509022000000002</v>
      </c>
      <c r="AP36" s="111">
        <f>[12]GHG_hist!CC26+IF($M36="incl",[12]LULUCF_hist!DT26,0)</f>
        <v>82.033462</v>
      </c>
      <c r="AQ36" s="111">
        <f>[12]GHG_hist!CD26+IF($M36="incl",[12]LULUCF_hist!DU26,0)</f>
        <v>85.689039999999991</v>
      </c>
      <c r="AR36" s="111">
        <f>[12]GHG_hist!CE26+IF($M36="incl",[12]LULUCF_hist!DV26,0)</f>
        <v>85.689551999999992</v>
      </c>
      <c r="AS36" s="111">
        <f>[12]GHG_hist!CF26+IF($M36="incl",[12]LULUCF_hist!DW26,0)</f>
        <v>92.235589000000004</v>
      </c>
      <c r="AT36" s="161">
        <f>VLOOKUP($L36,'[12]IMAGE SSP2'!$AF$3:$AK$29,4,FALSE)*$AM36</f>
        <v>82.186487554600518</v>
      </c>
      <c r="AU36" s="162">
        <f>VLOOKUP($L36,'[12]IMAGE SSP2'!$AF$3:$AK$29,5,FALSE)*$AM36</f>
        <v>90.714153488582937</v>
      </c>
      <c r="AV36" s="163">
        <f>VLOOKUP($L36,'[12]IMAGE SSP2'!$AF$3:$AK$29,6,FALSE)*$AM36</f>
        <v>98.405650918206561</v>
      </c>
      <c r="AW36" s="111" t="str">
        <f t="shared" si="15"/>
        <v/>
      </c>
      <c r="AX36" s="164" t="str">
        <f>IF(A36="B",IF(M36="excl",[12]NatCom!CO26,[12]NatCom!AX26),"")</f>
        <v/>
      </c>
      <c r="AY36" s="111" t="str">
        <f>IF('[12]Pledge 2020'!E26="","",'[12]Pledge 2020'!E26)</f>
        <v/>
      </c>
      <c r="AZ36" s="164" t="str">
        <f>IF('[12]Pledge 2020'!F26="","",'[12]Pledge 2020'!F26)</f>
        <v/>
      </c>
      <c r="BA36" s="111" t="str">
        <f t="shared" si="16"/>
        <v/>
      </c>
      <c r="BB36" s="111"/>
      <c r="BC36" s="111" t="str">
        <f t="shared" si="17"/>
        <v/>
      </c>
      <c r="BD36" s="111"/>
      <c r="BE36" s="111" t="s">
        <v>2477</v>
      </c>
      <c r="BF36" s="111"/>
      <c r="BG36" s="111" t="s">
        <v>2477</v>
      </c>
      <c r="BH36" s="164"/>
      <c r="BI36" s="111" t="str">
        <f>IF([12]NDCs!V38="",IF([12]NDCs!X38="","",[12]NDCs!X38),[12]NDCs!V38)</f>
        <v/>
      </c>
      <c r="BJ36" s="111" t="str">
        <f>IF([12]NDCs!V38="",IF([12]NDCs!X38="","",[12]NDCs!X38),[12]NDCs!V38)</f>
        <v/>
      </c>
      <c r="BK36" s="111" t="str">
        <f>IF([12]NDCs!Z38="",IF([12]NDCs!AB38="",IF('input site'!BE36="","",'input site'!BE36),[12]NDCs!AB38),[12]NDCs!Z38)</f>
        <v/>
      </c>
      <c r="BL36" s="111" t="str">
        <f>IF([12]NDCs!AA38="",IF([12]NDCs!AC38="",IF('input site'!BF36="","",'input site'!BF36),[12]NDCs!AC38),[12]NDCs!AA38)</f>
        <v/>
      </c>
      <c r="BM36" s="111">
        <f>IF($BI$8=2015,VLOOKUP($L36,'[12]IMAGE CurPol SSP'!$AZ$3:$BD$29,4,FALSE)*$AM36,IF($BI$8=2018,VLOOKUP($L36,'[12]IMAGE CurPol SSP'!$BJ$3:$BN$29,4,FALSE)*$AP36,$AR36))</f>
        <v>85.689551999999992</v>
      </c>
      <c r="BN36" s="111">
        <f t="shared" si="30"/>
        <v>85.689551999999992</v>
      </c>
      <c r="BO36" s="111">
        <f t="shared" si="30"/>
        <v>85.689551999999992</v>
      </c>
      <c r="BP36" s="111">
        <f>IF($BI$8=2015,VLOOKUP($L36,'[12]IMAGE CurPol SSP'!$AZ$3:$BD$29,5,FALSE)*$AM36,IF($BI$8=2018,VLOOKUP($L36,'[12]IMAGE CurPol SSP'!$BJ$3:$BN$29,5,FALSE)*$AP36,VLOOKUP($L36,'[12]IMAGE CurPol SSP'!$BU$3:$BZ$29,5,FALSE)*$AS36))</f>
        <v>96.1235742396738</v>
      </c>
      <c r="BQ36" s="111">
        <f>IF($BI$8=2015,"",IF($BI$8=2018,"",VLOOKUP($L36,'[12]IMAGE CurPol SSP'!$CQ$3:$CV$29,5,FALSE)*$AS36))</f>
        <v>94.566312948307129</v>
      </c>
      <c r="BR36" s="111">
        <f>IF($BI$8=2015,"",IF($BI$8=2018,"",VLOOKUP($L36,'[12]IMAGE CurPol SSP'!$CF$3:$CK$29,5,FALSE)*$AS36))</f>
        <v>97.695323366730008</v>
      </c>
      <c r="BS36" s="111">
        <f>IF($BI$8=2015,VLOOKUP($L36,'[12]IMAGE CurPol SSP'!$AZ$3:$BE$29,6,FALSE)*$AM36,IF($BI$8=2018,VLOOKUP($L36,'[12]IMAGE CurPol SSP'!$BJ$3:$BO$29,6,FALSE)*$AP36,VLOOKUP($L36,'[12]IMAGE CurPol SSP'!$BU$3:$BZ$29,6,FALSE)*$AS36))</f>
        <v>102.51496597022611</v>
      </c>
      <c r="BT36" s="111">
        <f>IF($BI$8=2015,"",IF($BI$8=2018,"",VLOOKUP($L36,'[12]IMAGE CurPol SSP'!$CQ$3:$CV$29,6,FALSE)*$AS36))</f>
        <v>100.71197820508452</v>
      </c>
      <c r="BU36" s="164">
        <f>IF($BI$8=2015,"",IF($BI$8=2018,"",VLOOKUP($L36,'[12]IMAGE CurPol SSP'!$CF$3:$CK$29,6,FALSE)*$AS36))</f>
        <v>103.09111696325999</v>
      </c>
      <c r="CN36" t="s">
        <v>101</v>
      </c>
      <c r="CO36" s="165" t="str">
        <f t="shared" si="2"/>
        <v/>
      </c>
      <c r="CP36" s="165" t="str">
        <f t="shared" si="2"/>
        <v/>
      </c>
      <c r="CQ36" s="165" t="str">
        <f t="shared" si="2"/>
        <v/>
      </c>
      <c r="CR36" s="165" t="str">
        <f t="shared" si="2"/>
        <v/>
      </c>
      <c r="CV36" s="125" t="s">
        <v>621</v>
      </c>
      <c r="CW36" s="125" t="s">
        <v>621</v>
      </c>
      <c r="CX36"/>
      <c r="CY36" s="167">
        <f t="shared" si="3"/>
        <v>-3.5030644453994739</v>
      </c>
      <c r="DB36" s="106"/>
      <c r="DC36" s="106"/>
      <c r="DD36" s="106"/>
      <c r="DE36" s="106"/>
      <c r="DF36" s="106"/>
      <c r="DG36" s="105" t="str">
        <f t="shared" si="4"/>
        <v>excl</v>
      </c>
      <c r="DH36" t="s">
        <v>101</v>
      </c>
      <c r="DI36" s="111">
        <f t="shared" si="23"/>
        <v>0</v>
      </c>
      <c r="DJ36" s="111">
        <f t="shared" si="23"/>
        <v>0</v>
      </c>
      <c r="DK36" s="111">
        <f t="shared" si="24"/>
        <v>0</v>
      </c>
      <c r="DL36" s="111">
        <f t="shared" si="25"/>
        <v>0</v>
      </c>
      <c r="DM36" s="111">
        <f t="shared" si="26"/>
        <v>0</v>
      </c>
      <c r="DN36" s="111">
        <f t="shared" si="27"/>
        <v>0</v>
      </c>
      <c r="DO36" s="111">
        <f t="shared" si="28"/>
        <v>0</v>
      </c>
      <c r="DP36" s="111">
        <f t="shared" si="29"/>
        <v>0</v>
      </c>
      <c r="DQ36" s="106"/>
      <c r="DR36" s="106"/>
      <c r="DS36" s="111"/>
      <c r="DT36" s="168"/>
      <c r="DW36" s="111">
        <f t="shared" si="12"/>
        <v>102.51496597022611</v>
      </c>
      <c r="DX36" s="111">
        <f t="shared" si="12"/>
        <v>102.51496597022611</v>
      </c>
      <c r="DY36" s="111">
        <f t="shared" si="12"/>
        <v>102.51496597022611</v>
      </c>
      <c r="DZ36" s="111">
        <f t="shared" si="12"/>
        <v>102.51496597022611</v>
      </c>
      <c r="EP36" t="s">
        <v>101</v>
      </c>
      <c r="EQ36">
        <v>0</v>
      </c>
      <c r="ER36" s="111">
        <f t="shared" si="13"/>
        <v>82.033462</v>
      </c>
      <c r="ES36" s="111">
        <f>IF($BI$8=2015,VLOOKUP($L36,'[12]IMAGE CDLINKS CurPol'!$P$3:$Y$29,10,FALSE)*$AM36,VLOOKUP($L36,'[12]IMAGE CDLINKS CurPol'!$Z$3:$AI$29,10,FALSE)*$AP36)</f>
        <v>133.90784695221248</v>
      </c>
      <c r="ET36" s="111">
        <f t="shared" si="14"/>
        <v>133.90784695221248</v>
      </c>
      <c r="EU36" s="111">
        <f t="shared" si="19"/>
        <v>52.582733311003757</v>
      </c>
      <c r="EV36" s="111">
        <f>IF($BI$8=2015,VLOOKUP($L36,'[12]IMAGE CDLINKS 2C'!$P$3:$Y$29,10,FALSE)*$AM36,VLOOKUP($L36,'[12]IMAGE CDLINKS 2C'!$Z$3:$AI$29,10,FALSE)*$AP36)</f>
        <v>52.582733311003757</v>
      </c>
      <c r="EY36" s="111">
        <f t="shared" si="20"/>
        <v>31.109326587110981</v>
      </c>
      <c r="EZ36" s="111">
        <f>IF($BI$8=2015,VLOOKUP($L36,'[12]IMAGE CDLINKS 1_5C'!$P$3:$Y$29,10,FALSE)*$AM36,VLOOKUP($L36,'[12]IMAGE CDLINKS 1_5C'!$Z$3:$AI$29,10,FALSE)*$AP36)</f>
        <v>31.109326587110981</v>
      </c>
      <c r="FA36" s="192"/>
    </row>
    <row r="37" spans="1:157" x14ac:dyDescent="0.25">
      <c r="A37" t="str">
        <f>IF([12]NDCs!C39="","",[12]NDCs!C39)</f>
        <v>A</v>
      </c>
      <c r="B37" s="159" t="str">
        <f t="shared" si="0"/>
        <v>v</v>
      </c>
      <c r="C37">
        <v>0</v>
      </c>
      <c r="D37">
        <v>0</v>
      </c>
      <c r="E37">
        <v>0</v>
      </c>
      <c r="F37">
        <v>1</v>
      </c>
      <c r="G37" t="b">
        <f t="shared" si="1"/>
        <v>1</v>
      </c>
      <c r="H37" t="s">
        <v>2328</v>
      </c>
      <c r="I37" t="s">
        <v>103</v>
      </c>
      <c r="J37">
        <v>70</v>
      </c>
      <c r="K37">
        <v>20</v>
      </c>
      <c r="L37">
        <v>12</v>
      </c>
      <c r="M37" t="str">
        <f>IF([12]NDCs!AL39="Excluding","excl","incl")</f>
        <v>incl</v>
      </c>
      <c r="N37" s="160">
        <f>[12]GHG_hist!BA27+IF($M37="incl",[12]LULUCF_hist!CR27,0)</f>
        <v>28.342427000000001</v>
      </c>
      <c r="O37" s="111">
        <f>[12]GHG_hist!BB27+IF($M37="incl",[12]LULUCF_hist!CS27,0)</f>
        <v>25.196470434782611</v>
      </c>
      <c r="P37" s="111">
        <f>[12]GHG_hist!BC27+IF($M37="incl",[12]LULUCF_hist!CT27,0)</f>
        <v>4.4488778695652176</v>
      </c>
      <c r="Q37" s="111">
        <f>[12]GHG_hist!BD27+IF($M37="incl",[12]LULUCF_hist!CU27,0)</f>
        <v>-2.687933595652173</v>
      </c>
      <c r="R37" s="111">
        <f>[12]GHG_hist!BE27+IF($M37="incl",[12]LULUCF_hist!CV27,0)</f>
        <v>-2.3547382608695653</v>
      </c>
      <c r="S37" s="111">
        <f>[12]GHG_hist!BF27+IF($M37="incl",[12]LULUCF_hist!CW27,0)</f>
        <v>-2.3650933260869555</v>
      </c>
      <c r="T37" s="111">
        <f>[12]GHG_hist!BG27+IF($M37="incl",[12]LULUCF_hist!CX27,0)</f>
        <v>0.65494140869565243</v>
      </c>
      <c r="U37" s="111">
        <f>[12]GHG_hist!BH27+IF($M37="incl",[12]LULUCF_hist!CY27,0)</f>
        <v>3.5393690434782608</v>
      </c>
      <c r="V37" s="111">
        <f>[12]GHG_hist!BI27+IF($M37="incl",[12]LULUCF_hist!CZ27,0)</f>
        <v>7.9483474782608692</v>
      </c>
      <c r="W37" s="111">
        <f>[12]GHG_hist!BJ27+IF($M37="incl",[12]LULUCF_hist!DA27,0)</f>
        <v>8.9090989130434792</v>
      </c>
      <c r="X37" s="111">
        <f>[12]GHG_hist!BK27+IF($M37="incl",[12]LULUCF_hist!DB27,0)</f>
        <v>9.8569943478260864</v>
      </c>
      <c r="Y37" s="111">
        <f>[12]GHG_hist!BL27+IF($M37="incl",[12]LULUCF_hist!DC27,0)</f>
        <v>10.419534782608693</v>
      </c>
      <c r="Z37" s="111">
        <f>[12]GHG_hist!BM27+IF($M37="incl",[12]LULUCF_hist!DD27,0)</f>
        <v>10.802230217391305</v>
      </c>
      <c r="AA37" s="111">
        <f>[12]GHG_hist!BN27+IF($M37="incl",[12]LULUCF_hist!DE27,0)</f>
        <v>10.873248652173913</v>
      </c>
      <c r="AB37" s="111">
        <f>[12]GHG_hist!BO27+IF($M37="incl",[12]LULUCF_hist!DF27,0)</f>
        <v>12.569753086956522</v>
      </c>
      <c r="AC37" s="111">
        <f>[12]GHG_hist!BP27+IF($M37="incl",[12]LULUCF_hist!DG27,0)</f>
        <v>11.344210521739129</v>
      </c>
      <c r="AD37" s="111">
        <f>[12]GHG_hist!BQ27+IF($M37="incl",[12]LULUCF_hist!DH27,0)</f>
        <v>13.588269956521739</v>
      </c>
      <c r="AE37" s="111">
        <f>[12]GHG_hist!BR27+IF($M37="incl",[12]LULUCF_hist!DI27,0)</f>
        <v>14.11279939130435</v>
      </c>
      <c r="AF37" s="111">
        <f>[12]GHG_hist!BS27+IF($M37="incl",[12]LULUCF_hist!DJ27,0)</f>
        <v>14.911631826086959</v>
      </c>
      <c r="AG37" s="111">
        <f>[12]GHG_hist!BT27+IF($M37="incl",[12]LULUCF_hist!DK27,0)</f>
        <v>18.280769260869565</v>
      </c>
      <c r="AH37" s="111">
        <f>[12]GHG_hist!BU27+IF($M37="incl",[12]LULUCF_hist!DL27,0)</f>
        <v>20.339978695652174</v>
      </c>
      <c r="AI37" s="111">
        <f>[12]GHG_hist!BV27+IF($M37="incl",[12]LULUCF_hist!DM27,0)</f>
        <v>22.634351130434784</v>
      </c>
      <c r="AJ37" s="111">
        <f>[12]GHG_hist!BW27+IF($M37="incl",[12]LULUCF_hist!DN27,0)</f>
        <v>16.266698000000002</v>
      </c>
      <c r="AK37" s="111">
        <f>[12]GHG_hist!BX27+IF($M37="incl",[12]LULUCF_hist!DO27,0)</f>
        <v>19.946950000000001</v>
      </c>
      <c r="AL37" s="111">
        <f>[12]GHG_hist!BY27+IF($M37="incl",[12]LULUCF_hist!DP27,0)</f>
        <v>21.282848000000001</v>
      </c>
      <c r="AM37" s="111">
        <f>[12]GHG_hist!BZ27+IF($M37="incl",[12]LULUCF_hist!DQ27,0)</f>
        <v>20.505997000000001</v>
      </c>
      <c r="AN37" s="111">
        <f>[12]GHG_hist!CA27+IF($M37="incl",[12]LULUCF_hist!DR27,0)</f>
        <v>23.945054000000003</v>
      </c>
      <c r="AO37" s="111">
        <f>[12]GHG_hist!CB27+IF($M37="incl",[12]LULUCF_hist!DS27,0)</f>
        <v>24.403078000000001</v>
      </c>
      <c r="AP37" s="111">
        <f>[12]GHG_hist!CC27+IF($M37="incl",[12]LULUCF_hist!DT27,0)</f>
        <v>24.444485999999998</v>
      </c>
      <c r="AQ37" s="111">
        <f>[12]GHG_hist!CD27+IF($M37="incl",[12]LULUCF_hist!DU27,0)</f>
        <v>23.955665730349107</v>
      </c>
      <c r="AR37" s="111">
        <f>[12]GHG_hist!CE27+IF($M37="incl",[12]LULUCF_hist!DV27,0)</f>
        <v>23.588389352752202</v>
      </c>
      <c r="AS37" s="111">
        <f>[12]GHG_hist!CF27+IF($M37="incl",[12]LULUCF_hist!DW27,0)</f>
        <v>23.52061997515527</v>
      </c>
      <c r="AT37" s="161">
        <f>VLOOKUP($L37,'[12]IMAGE SSP2'!$AF$3:$AK$29,4,FALSE)*$AM37</f>
        <v>21.335245376004043</v>
      </c>
      <c r="AU37" s="162">
        <f>VLOOKUP($L37,'[12]IMAGE SSP2'!$AF$3:$AK$29,5,FALSE)*$AM37</f>
        <v>21.790457874382412</v>
      </c>
      <c r="AV37" s="163">
        <f>VLOOKUP($L37,'[12]IMAGE SSP2'!$AF$3:$AK$29,6,FALSE)*$AM37</f>
        <v>22.372978424075608</v>
      </c>
      <c r="AW37" s="111" t="str">
        <f t="shared" si="15"/>
        <v/>
      </c>
      <c r="AX37" s="164" t="str">
        <f>IF(A37="B",IF(M37="excl",[12]NatCom!CO27,[12]NatCom!AX27),"")</f>
        <v/>
      </c>
      <c r="AY37" s="111" t="str">
        <f>IF('[12]Pledge 2020'!E27="","",'[12]Pledge 2020'!E27)</f>
        <v/>
      </c>
      <c r="AZ37" s="164" t="str">
        <f>IF('[12]Pledge 2020'!F27="","",'[12]Pledge 2020'!F27)</f>
        <v/>
      </c>
      <c r="BA37" s="111">
        <f t="shared" si="16"/>
        <v>22.140783163913042</v>
      </c>
      <c r="BB37" s="111">
        <f>IF(BF37="","",(BF37-AH37)*0.75+AH37)</f>
        <v>22.140783163913042</v>
      </c>
      <c r="BC37" s="111">
        <f t="shared" si="17"/>
        <v>21.221608933913043</v>
      </c>
      <c r="BD37" s="111">
        <f>IF(BH37="","",(BH37-AH37)*0.75+AH37)</f>
        <v>21.221608933913043</v>
      </c>
      <c r="BE37" s="169">
        <v>22.741051319999997</v>
      </c>
      <c r="BF37" s="169">
        <v>22.741051319999997</v>
      </c>
      <c r="BG37" s="169">
        <v>21.515485679999998</v>
      </c>
      <c r="BH37" s="170">
        <v>21.515485679999998</v>
      </c>
      <c r="BI37" s="111">
        <f>IF([12]NDCs!V39="",IF([12]NDCs!X39="","",[12]NDCs!X39),[12]NDCs!V39)</f>
        <v>42.203829259999999</v>
      </c>
      <c r="BJ37" s="111">
        <f>IF([12]NDCs!V39="",IF([12]NDCs!X39="","",[12]NDCs!X39),[12]NDCs!V39)</f>
        <v>42.203829259999999</v>
      </c>
      <c r="BK37" s="111">
        <f>IF([12]NDCs!Z39="",IF([12]NDCs!AB39="",IF('input site'!BE37="","",'input site'!BE37),[12]NDCs!AB39),[12]NDCs!Z39)</f>
        <v>34.692978289999999</v>
      </c>
      <c r="BL37" s="111">
        <f>IF([12]NDCs!AA39="",IF([12]NDCs!AC39="",IF('input site'!BF37="","",'input site'!BF37),[12]NDCs!AC39),[12]NDCs!AA39)</f>
        <v>34.692978289999999</v>
      </c>
      <c r="BM37" s="111">
        <f>IF($BI$8=2015,VLOOKUP($L37,'[12]IMAGE CurPol SSP'!$AZ$3:$BD$29,4,FALSE)*$AM37,IF($BI$8=2018,VLOOKUP($L37,'[12]IMAGE CurPol SSP'!$BJ$3:$BN$29,4,FALSE)*$AP37,$AR37))</f>
        <v>23.588389352752202</v>
      </c>
      <c r="BN37" s="111">
        <f t="shared" si="30"/>
        <v>23.588389352752202</v>
      </c>
      <c r="BO37" s="111">
        <f t="shared" si="30"/>
        <v>23.588389352752202</v>
      </c>
      <c r="BP37" s="111">
        <f>IF($BI$8=2015,VLOOKUP($L37,'[12]IMAGE CurPol SSP'!$AZ$3:$BD$29,5,FALSE)*$AM37,IF($BI$8=2018,VLOOKUP($L37,'[12]IMAGE CurPol SSP'!$BJ$3:$BN$29,5,FALSE)*$AP37,VLOOKUP($L37,'[12]IMAGE CurPol SSP'!$BU$3:$BZ$29,5,FALSE)*$AS37))</f>
        <v>18.705688774880556</v>
      </c>
      <c r="BQ37" s="111">
        <f>IF($BI$8=2015,"",IF($BI$8=2018,"",VLOOKUP($L37,'[12]IMAGE CurPol SSP'!$CQ$3:$CV$29,5,FALSE)*$AS37))</f>
        <v>18.705688774880556</v>
      </c>
      <c r="BR37" s="111">
        <f>IF($BI$8=2015,"",IF($BI$8=2018,"",VLOOKUP($L37,'[12]IMAGE CurPol SSP'!$CF$3:$CK$29,5,FALSE)*$AS37))</f>
        <v>19.303705490573062</v>
      </c>
      <c r="BS37" s="111">
        <f>IF($BI$8=2015,VLOOKUP($L37,'[12]IMAGE CurPol SSP'!$AZ$3:$BE$29,6,FALSE)*$AM37,IF($BI$8=2018,VLOOKUP($L37,'[12]IMAGE CurPol SSP'!$BJ$3:$BO$29,6,FALSE)*$AP37,VLOOKUP($L37,'[12]IMAGE CurPol SSP'!$BU$3:$BZ$29,6,FALSE)*$AS37))</f>
        <v>12.05180565737869</v>
      </c>
      <c r="BT37" s="111">
        <f>IF($BI$8=2015,"",IF($BI$8=2018,"",VLOOKUP($L37,'[12]IMAGE CurPol SSP'!$CQ$3:$CV$29,6,FALSE)*$AS37))</f>
        <v>12.05180565737869</v>
      </c>
      <c r="BU37" s="164">
        <f>IF($BI$8=2015,"",IF($BI$8=2018,"",VLOOKUP($L37,'[12]IMAGE CurPol SSP'!$CF$3:$CK$29,6,FALSE)*$AS37))</f>
        <v>12.660799745777043</v>
      </c>
      <c r="CN37" t="s">
        <v>103</v>
      </c>
      <c r="CO37" s="165">
        <f t="shared" si="2"/>
        <v>0.88694142326107306</v>
      </c>
      <c r="CP37" s="165">
        <f t="shared" si="2"/>
        <v>0.88694142326107306</v>
      </c>
      <c r="CQ37" s="165">
        <f t="shared" si="2"/>
        <v>0.78524996931287161</v>
      </c>
      <c r="CR37" s="165">
        <f t="shared" si="2"/>
        <v>0.78524996931287161</v>
      </c>
      <c r="CV37" s="125" t="s">
        <v>621</v>
      </c>
      <c r="CW37" s="125" t="s">
        <v>621</v>
      </c>
      <c r="CX37"/>
      <c r="CY37" s="167">
        <f t="shared" si="3"/>
        <v>-2.2531439767481594</v>
      </c>
      <c r="DB37" s="106"/>
      <c r="DC37" s="106"/>
      <c r="DD37" s="106"/>
      <c r="DE37" s="106"/>
      <c r="DF37" s="106"/>
      <c r="DG37" s="105" t="str">
        <f t="shared" si="4"/>
        <v>incl</v>
      </c>
      <c r="DH37" t="s">
        <v>103</v>
      </c>
      <c r="DI37" s="111">
        <f t="shared" si="23"/>
        <v>0</v>
      </c>
      <c r="DJ37" s="111">
        <f t="shared" si="23"/>
        <v>0</v>
      </c>
      <c r="DK37" s="111">
        <f t="shared" si="24"/>
        <v>3.4350943890324857</v>
      </c>
      <c r="DL37" s="111">
        <f t="shared" si="25"/>
        <v>2.5159201590324862</v>
      </c>
      <c r="DM37" s="111">
        <f t="shared" si="26"/>
        <v>10.689245662621307</v>
      </c>
      <c r="DN37" s="111">
        <f t="shared" si="27"/>
        <v>9.4636800226213076</v>
      </c>
      <c r="DO37" s="111">
        <f t="shared" si="28"/>
        <v>30.152023602621309</v>
      </c>
      <c r="DP37" s="111">
        <f t="shared" si="29"/>
        <v>22.641172632621309</v>
      </c>
      <c r="DQ37" s="106"/>
      <c r="DR37" s="106"/>
      <c r="DS37" s="194">
        <f>([12]GHG_hist!BZ27+IF($M37="incl",[12]LULUCF_hist!DQ27,0))/([12]GHG_hist!$BY27+IF($M37="incl",[12]LULUCF_hist!$DP27,0))*$AL37</f>
        <v>20.505997000000001</v>
      </c>
      <c r="DT37" s="168">
        <f>IF($M37="incl",'[12]IIASA Proj'!EQ27,0)</f>
        <v>-6.107938853930178</v>
      </c>
      <c r="DW37" s="111">
        <f t="shared" si="12"/>
        <v>22.741051319999997</v>
      </c>
      <c r="DX37" s="111">
        <f t="shared" si="12"/>
        <v>22.741051319999997</v>
      </c>
      <c r="DY37" s="111">
        <f t="shared" si="12"/>
        <v>21.515485679999998</v>
      </c>
      <c r="DZ37" s="111">
        <f t="shared" si="12"/>
        <v>21.515485679999998</v>
      </c>
      <c r="EP37" t="s">
        <v>103</v>
      </c>
      <c r="EQ37">
        <v>0</v>
      </c>
      <c r="ER37" s="111">
        <f t="shared" si="13"/>
        <v>24.444485999999998</v>
      </c>
      <c r="ES37" s="111">
        <f>IF($BI$8=2015,VLOOKUP($L37,'[12]IMAGE CDLINKS CurPol'!$P$3:$Y$29,10,FALSE)*$AM37,VLOOKUP($L37,'[12]IMAGE CDLINKS CurPol'!$Z$3:$AI$29,10,FALSE)*$AP37)</f>
        <v>25.69758122795977</v>
      </c>
      <c r="ET37" s="111">
        <f t="shared" si="14"/>
        <v>25.69758122795977</v>
      </c>
      <c r="EU37" s="111">
        <f t="shared" si="19"/>
        <v>5.5637582640906835</v>
      </c>
      <c r="EV37" s="111">
        <f>IF($BI$8=2015,VLOOKUP($L37,'[12]IMAGE CDLINKS 2C'!$P$3:$Y$29,10,FALSE)*$AM37,VLOOKUP($L37,'[12]IMAGE CDLINKS 2C'!$Z$3:$AI$29,10,FALSE)*$AP37)</f>
        <v>5.5637582640906835</v>
      </c>
      <c r="EY37" s="111">
        <f t="shared" si="20"/>
        <v>2.7142479722755786</v>
      </c>
      <c r="EZ37" s="111">
        <f>IF($BI$8=2015,VLOOKUP($L37,'[12]IMAGE CDLINKS 1_5C'!$P$3:$Y$29,10,FALSE)*$AM37,VLOOKUP($L37,'[12]IMAGE CDLINKS 1_5C'!$Z$3:$AI$29,10,FALSE)*$AP37)</f>
        <v>2.7142479722755786</v>
      </c>
      <c r="FA37" s="192"/>
    </row>
    <row r="38" spans="1:157" x14ac:dyDescent="0.25">
      <c r="A38" t="str">
        <f>IF([12]NDCs!C40="","",[12]NDCs!C40)</f>
        <v>A</v>
      </c>
      <c r="B38" s="159" t="str">
        <f t="shared" si="0"/>
        <v>v</v>
      </c>
      <c r="C38">
        <v>0</v>
      </c>
      <c r="D38">
        <v>0</v>
      </c>
      <c r="E38">
        <v>0</v>
      </c>
      <c r="F38">
        <v>1</v>
      </c>
      <c r="G38" t="b">
        <f t="shared" si="1"/>
        <v>1</v>
      </c>
      <c r="H38" t="s">
        <v>2333</v>
      </c>
      <c r="I38" t="s">
        <v>105</v>
      </c>
      <c r="J38">
        <v>72</v>
      </c>
      <c r="K38">
        <v>21</v>
      </c>
      <c r="L38">
        <v>26</v>
      </c>
      <c r="M38" t="str">
        <f>IF([12]NDCs!AL40="Excluding","excl","incl")</f>
        <v>excl</v>
      </c>
      <c r="N38" s="160">
        <f>[12]GHG_hist!BA28+IF($M38="incl",[12]LULUCF_hist!CR28,0)</f>
        <v>13.271233000000001</v>
      </c>
      <c r="O38" s="111">
        <f>[12]GHG_hist!BB28+IF($M38="incl",[12]LULUCF_hist!CS28,0)</f>
        <v>12.660764</v>
      </c>
      <c r="P38" s="111">
        <f>[12]GHG_hist!BC28+IF($M38="incl",[12]LULUCF_hist!CT28,0)</f>
        <v>12.508298000000002</v>
      </c>
      <c r="Q38" s="111">
        <f>[12]GHG_hist!BD28+IF($M38="incl",[12]LULUCF_hist!CU28,0)</f>
        <v>12.609252000000001</v>
      </c>
      <c r="R38" s="111">
        <f>[12]GHG_hist!BE28+IF($M38="incl",[12]LULUCF_hist!CV28,0)</f>
        <v>12.874159000000001</v>
      </c>
      <c r="S38" s="111">
        <f>[12]GHG_hist!BF28+IF($M38="incl",[12]LULUCF_hist!CW28,0)</f>
        <v>13.647045</v>
      </c>
      <c r="T38" s="111">
        <f>[12]GHG_hist!BG28+IF($M38="incl",[12]LULUCF_hist!CX28,0)</f>
        <v>14.825469999999999</v>
      </c>
      <c r="U38" s="111">
        <f>[12]GHG_hist!BH28+IF($M38="incl",[12]LULUCF_hist!CY28,0)</f>
        <v>14.223403000000001</v>
      </c>
      <c r="V38" s="111">
        <f>[12]GHG_hist!BI28+IF($M38="incl",[12]LULUCF_hist!CZ28,0)</f>
        <v>13.774125</v>
      </c>
      <c r="W38" s="111">
        <f>[12]GHG_hist!BJ28+IF($M38="incl",[12]LULUCF_hist!DA28,0)</f>
        <v>13.352568</v>
      </c>
      <c r="X38" s="111">
        <f>[12]GHG_hist!BK28+IF($M38="incl",[12]LULUCF_hist!DB28,0)</f>
        <v>13.57883</v>
      </c>
      <c r="Y38" s="111">
        <f>[12]GHG_hist!BL28+IF($M38="incl",[12]LULUCF_hist!DC28,0)</f>
        <v>15.766644000000001</v>
      </c>
      <c r="Z38" s="111">
        <f>[12]GHG_hist!BM28+IF($M38="incl",[12]LULUCF_hist!DD28,0)</f>
        <v>16.198225000000001</v>
      </c>
      <c r="AA38" s="111">
        <f>[12]GHG_hist!BN28+IF($M38="incl",[12]LULUCF_hist!DE28,0)</f>
        <v>9.0314824000000016</v>
      </c>
      <c r="AB38" s="111">
        <f>[12]GHG_hist!BO28+IF($M38="incl",[12]LULUCF_hist!DF28,0)</f>
        <v>9.6902337000000003</v>
      </c>
      <c r="AC38" s="111">
        <f>[12]GHG_hist!BP28+IF($M38="incl",[12]LULUCF_hist!DG28,0)</f>
        <v>11.064647000000001</v>
      </c>
      <c r="AD38" s="111">
        <f>[12]GHG_hist!BQ28+IF($M38="incl",[12]LULUCF_hist!DH28,0)</f>
        <v>13.152013000000002</v>
      </c>
      <c r="AE38" s="111">
        <f>[12]GHG_hist!BR28+IF($M38="incl",[12]LULUCF_hist!DI28,0)</f>
        <v>11.275442</v>
      </c>
      <c r="AF38" s="111">
        <f>[12]GHG_hist!BS28+IF($M38="incl",[12]LULUCF_hist!DJ28,0)</f>
        <v>20.286289</v>
      </c>
      <c r="AG38" s="111">
        <f>[12]GHG_hist!BT28+IF($M38="incl",[12]LULUCF_hist!DK28,0)</f>
        <v>10.735471</v>
      </c>
      <c r="AH38" s="111">
        <f>[12]GHG_hist!BU28+IF($M38="incl",[12]LULUCF_hist!DL28,0)</f>
        <v>22.818972000000002</v>
      </c>
      <c r="AI38" s="111">
        <f>[12]GHG_hist!BV28+IF($M38="incl",[12]LULUCF_hist!DM28,0)</f>
        <v>26.645084000000001</v>
      </c>
      <c r="AJ38" s="111">
        <f>[12]GHG_hist!BW28+IF($M38="incl",[12]LULUCF_hist!DN28,0)</f>
        <v>15.702198000000001</v>
      </c>
      <c r="AK38" s="111">
        <f>[12]GHG_hist!BX28+IF($M38="incl",[12]LULUCF_hist!DO28,0)</f>
        <v>15.323905000000002</v>
      </c>
      <c r="AL38" s="111">
        <f>[12]GHG_hist!BY28+IF($M38="incl",[12]LULUCF_hist!DP28,0)</f>
        <v>13.801018000000001</v>
      </c>
      <c r="AM38" s="111">
        <f>[12]GHG_hist!BZ28+IF($M38="incl",[12]LULUCF_hist!DQ28,0)</f>
        <v>13.223210999999999</v>
      </c>
      <c r="AN38" s="111">
        <f>[12]GHG_hist!CA28+IF($M38="incl",[12]LULUCF_hist!DR28,0)</f>
        <v>13.497425999999999</v>
      </c>
      <c r="AO38" s="111">
        <f>[12]GHG_hist!CB28+IF($M38="incl",[12]LULUCF_hist!DS28,0)</f>
        <v>17.393884</v>
      </c>
      <c r="AP38" s="111">
        <f>[12]GHG_hist!CC28+IF($M38="incl",[12]LULUCF_hist!DT28,0)</f>
        <v>15.633831000000001</v>
      </c>
      <c r="AQ38" s="111">
        <f>[12]GHG_hist!CD28+IF($M38="incl",[12]LULUCF_hist!DU28,0)</f>
        <v>13.327892</v>
      </c>
      <c r="AR38" s="111">
        <f>[12]GHG_hist!CE28+IF($M38="incl",[12]LULUCF_hist!DV28,0)</f>
        <v>15.293994000000001</v>
      </c>
      <c r="AS38" s="111">
        <f>[12]GHG_hist!CF28+IF($M38="incl",[12]LULUCF_hist!DW28,0)</f>
        <v>16.086017000000002</v>
      </c>
      <c r="AT38" s="161">
        <f>VLOOKUP($L38,'[12]IMAGE SSP2'!$AF$3:$AK$29,4,FALSE)*$AM38</f>
        <v>14.686247466382479</v>
      </c>
      <c r="AU38" s="162">
        <f>VLOOKUP($L38,'[12]IMAGE SSP2'!$AF$3:$AK$29,5,FALSE)*$AM38</f>
        <v>15.497487040010544</v>
      </c>
      <c r="AV38" s="163">
        <f>VLOOKUP($L38,'[12]IMAGE SSP2'!$AF$3:$AK$29,6,FALSE)*$AM38</f>
        <v>18.140317886595724</v>
      </c>
      <c r="AW38" s="111" t="str">
        <f t="shared" si="15"/>
        <v/>
      </c>
      <c r="AX38" s="164" t="str">
        <f>IF(A38="B",IF(M38="excl",[12]NatCom!CO28,[12]NatCom!AX28),"")</f>
        <v/>
      </c>
      <c r="AY38" s="111" t="str">
        <f>IF('[12]Pledge 2020'!E28="","",'[12]Pledge 2020'!E28)</f>
        <v/>
      </c>
      <c r="AZ38" s="164" t="str">
        <f>IF('[12]Pledge 2020'!F28="","",'[12]Pledge 2020'!F28)</f>
        <v/>
      </c>
      <c r="BA38" s="111"/>
      <c r="BB38" s="111"/>
      <c r="BC38" s="111">
        <f t="shared" si="17"/>
        <v>20.251837650000002</v>
      </c>
      <c r="BD38" s="111">
        <f>IF(BH38="","",(BH38-AH38)*0.75+AH38)</f>
        <v>20.251837650000002</v>
      </c>
      <c r="BE38" s="111"/>
      <c r="BF38" s="111"/>
      <c r="BG38" s="111">
        <v>19.396126200000001</v>
      </c>
      <c r="BH38" s="164">
        <v>19.396126200000001</v>
      </c>
      <c r="BI38" s="111"/>
      <c r="BJ38" s="111"/>
      <c r="BK38" s="111">
        <f>IF([12]NDCs!Z40="",IF([12]NDCs!AB40="",IF('input site'!BE38="","",'input site'!BE38),[12]NDCs!AB40),[12]NDCs!Z40)</f>
        <v>19.396126200000001</v>
      </c>
      <c r="BL38" s="111">
        <f>IF([12]NDCs!AA40="",IF([12]NDCs!AC40="",IF('input site'!BF38="","",'input site'!BF38),[12]NDCs!AC40),[12]NDCs!AA40)</f>
        <v>19.396126200000001</v>
      </c>
      <c r="BM38" s="111">
        <f>IF($BI$8=2015,VLOOKUP($L38,'[12]IMAGE CurPol SSP'!$AZ$3:$BD$29,4,FALSE)*$AM38,IF($BI$8=2018,VLOOKUP($L38,'[12]IMAGE CurPol SSP'!$BJ$3:$BN$29,4,FALSE)*$AP38,$AR38))</f>
        <v>15.293994000000001</v>
      </c>
      <c r="BN38" s="111">
        <f t="shared" si="30"/>
        <v>15.293994000000001</v>
      </c>
      <c r="BO38" s="111">
        <f t="shared" si="30"/>
        <v>15.293994000000001</v>
      </c>
      <c r="BP38" s="111">
        <f>IF($BI$8=2015,VLOOKUP($L38,'[12]IMAGE CurPol SSP'!$AZ$3:$BD$29,5,FALSE)*$AM38,IF($BI$8=2018,VLOOKUP($L38,'[12]IMAGE CurPol SSP'!$BJ$3:$BN$29,5,FALSE)*$AP38,VLOOKUP($L38,'[12]IMAGE CurPol SSP'!$BU$3:$BZ$29,5,FALSE)*$AS38))</f>
        <v>17.209339599570296</v>
      </c>
      <c r="BQ38" s="111">
        <f>IF($BI$8=2015,"",IF($BI$8=2018,"",VLOOKUP($L38,'[12]IMAGE CurPol SSP'!$CQ$3:$CV$29,5,FALSE)*$AS38))</f>
        <v>17.209339599570296</v>
      </c>
      <c r="BR38" s="111">
        <f>IF($BI$8=2015,"",IF($BI$8=2018,"",VLOOKUP($L38,'[12]IMAGE CurPol SSP'!$CF$3:$CK$29,5,FALSE)*$AS38))</f>
        <v>17.716708775299342</v>
      </c>
      <c r="BS38" s="111">
        <f>IF($BI$8=2015,VLOOKUP($L38,'[12]IMAGE CurPol SSP'!$AZ$3:$BE$29,6,FALSE)*$AM38,IF($BI$8=2018,VLOOKUP($L38,'[12]IMAGE CurPol SSP'!$BJ$3:$BO$29,6,FALSE)*$AP38,VLOOKUP($L38,'[12]IMAGE CurPol SSP'!$BU$3:$BZ$29,6,FALSE)*$AS38))</f>
        <v>19.577311603713262</v>
      </c>
      <c r="BT38" s="111">
        <f>IF($BI$8=2015,"",IF($BI$8=2018,"",VLOOKUP($L38,'[12]IMAGE CurPol SSP'!$CQ$3:$CV$29,6,FALSE)*$AS38))</f>
        <v>19.577311603713262</v>
      </c>
      <c r="BU38" s="164">
        <f>IF($BI$8=2015,"",IF($BI$8=2018,"",VLOOKUP($L38,'[12]IMAGE CurPol SSP'!$CF$3:$CK$29,6,FALSE)*$AS38))</f>
        <v>20.365533919396068</v>
      </c>
      <c r="CN38" t="s">
        <v>105</v>
      </c>
      <c r="CO38" s="165" t="str">
        <f t="shared" si="2"/>
        <v/>
      </c>
      <c r="CP38" s="165" t="str">
        <f t="shared" si="2"/>
        <v/>
      </c>
      <c r="CQ38" s="165">
        <f t="shared" si="2"/>
        <v>-9.2548664178637718E-3</v>
      </c>
      <c r="CR38" s="165">
        <f t="shared" si="2"/>
        <v>-9.2548664178637718E-3</v>
      </c>
      <c r="CV38" s="125" t="s">
        <v>621</v>
      </c>
      <c r="CW38" s="125" t="s">
        <v>621</v>
      </c>
      <c r="CX38"/>
      <c r="CY38" s="167">
        <f t="shared" si="3"/>
        <v>-0.60774653361752229</v>
      </c>
      <c r="DB38" s="106"/>
      <c r="DC38" s="106"/>
      <c r="DD38" s="106"/>
      <c r="DE38" s="106"/>
      <c r="DF38" s="106"/>
      <c r="DG38" s="105" t="str">
        <f t="shared" si="4"/>
        <v>excl</v>
      </c>
      <c r="DH38" t="s">
        <v>105</v>
      </c>
      <c r="DI38" s="111">
        <f t="shared" si="23"/>
        <v>0</v>
      </c>
      <c r="DJ38" s="111">
        <f t="shared" si="23"/>
        <v>0</v>
      </c>
      <c r="DK38" s="111">
        <f t="shared" si="24"/>
        <v>0</v>
      </c>
      <c r="DL38" s="111">
        <f t="shared" si="25"/>
        <v>3.0424980504297068</v>
      </c>
      <c r="DM38" s="111">
        <f t="shared" si="26"/>
        <v>0</v>
      </c>
      <c r="DN38" s="111">
        <f t="shared" si="27"/>
        <v>-0.18118540371326119</v>
      </c>
      <c r="DO38" s="111">
        <f t="shared" si="28"/>
        <v>0</v>
      </c>
      <c r="DP38" s="111">
        <f t="shared" si="29"/>
        <v>-0.18118540371326119</v>
      </c>
      <c r="DQ38" s="106"/>
      <c r="DR38" s="106"/>
      <c r="DS38" s="111"/>
      <c r="DT38" s="168"/>
      <c r="DW38" s="111">
        <f t="shared" si="12"/>
        <v>19.577311603713262</v>
      </c>
      <c r="DX38" s="111">
        <f t="shared" si="12"/>
        <v>19.577311603713262</v>
      </c>
      <c r="DY38" s="111">
        <f t="shared" si="12"/>
        <v>19.396126200000001</v>
      </c>
      <c r="DZ38" s="111">
        <f t="shared" si="12"/>
        <v>19.396126200000001</v>
      </c>
      <c r="EP38" t="s">
        <v>105</v>
      </c>
      <c r="EQ38">
        <v>0</v>
      </c>
      <c r="ER38" s="111">
        <f t="shared" si="13"/>
        <v>15.633831000000001</v>
      </c>
      <c r="ES38" s="111">
        <f>IF($BI$8=2015,VLOOKUP($L38,'[12]IMAGE CDLINKS CurPol'!$P$3:$Y$29,10,FALSE)*$AM38,VLOOKUP($L38,'[12]IMAGE CDLINKS CurPol'!$Z$3:$AI$29,10,FALSE)*$AP38)</f>
        <v>31.706451062614686</v>
      </c>
      <c r="ET38" s="111">
        <f t="shared" si="14"/>
        <v>31.706451062614686</v>
      </c>
      <c r="EU38" s="111">
        <f t="shared" si="19"/>
        <v>11.11524025532033</v>
      </c>
      <c r="EV38" s="111">
        <f>IF($BI$8=2015,VLOOKUP($L38,'[12]IMAGE CDLINKS 2C'!$P$3:$Y$29,10,FALSE)*$AM38,VLOOKUP($L38,'[12]IMAGE CDLINKS 2C'!$Z$3:$AI$29,10,FALSE)*$AP38)</f>
        <v>11.11524025532033</v>
      </c>
      <c r="EY38" s="111">
        <f t="shared" si="20"/>
        <v>10.364846177857668</v>
      </c>
      <c r="EZ38" s="111">
        <f>IF($BI$8=2015,VLOOKUP($L38,'[12]IMAGE CDLINKS 1_5C'!$P$3:$Y$29,10,FALSE)*$AM38,VLOOKUP($L38,'[12]IMAGE CDLINKS 1_5C'!$Z$3:$AI$29,10,FALSE)*$AP38)</f>
        <v>10.364846177857668</v>
      </c>
      <c r="FA38" s="192"/>
    </row>
    <row r="39" spans="1:157" x14ac:dyDescent="0.25">
      <c r="A39" t="str">
        <f>IF([12]NDCs!C41="","",[12]NDCs!C41)</f>
        <v>A</v>
      </c>
      <c r="B39" s="159" t="str">
        <f t="shared" si="0"/>
        <v>iv</v>
      </c>
      <c r="C39">
        <v>1</v>
      </c>
      <c r="D39">
        <v>0</v>
      </c>
      <c r="E39">
        <v>1</v>
      </c>
      <c r="F39">
        <v>1</v>
      </c>
      <c r="G39" t="b">
        <f t="shared" si="1"/>
        <v>1</v>
      </c>
      <c r="H39" t="s">
        <v>2339</v>
      </c>
      <c r="I39" t="s">
        <v>107</v>
      </c>
      <c r="J39">
        <v>76</v>
      </c>
      <c r="K39">
        <v>22</v>
      </c>
      <c r="L39">
        <v>5</v>
      </c>
      <c r="M39" t="str">
        <f>IF([12]NDCs!AL41="Excluding","excl","incl")</f>
        <v>incl</v>
      </c>
      <c r="N39" s="195">
        <f>[12]BRA!$A$24*IF($M39="incl",[12]BRA!E$41,[12]BRA!E$37)</f>
        <v>1592.2949094999999</v>
      </c>
      <c r="O39" s="195">
        <f>[12]BRA!$A$24*IF($M39="incl",[12]BRA!F$41,[12]BRA!F$37)</f>
        <v>1432.2650799999999</v>
      </c>
      <c r="P39" s="195">
        <f>[12]BRA!$A$24*IF($M39="incl",[12]BRA!G$41,[12]BRA!G$37)</f>
        <v>1556.5996123</v>
      </c>
      <c r="Q39" s="195">
        <f>[12]BRA!$A$24*IF($M39="incl",[12]BRA!H$41,[12]BRA!H$37)</f>
        <v>1609.2854084000001</v>
      </c>
      <c r="R39" s="195">
        <f>[12]BRA!$A$24*IF($M39="incl",[12]BRA!I$41,[12]BRA!I$37)</f>
        <v>1606.3411993</v>
      </c>
      <c r="S39" s="195">
        <f>[12]BRA!$A$24*IF($M39="incl",[12]BRA!J$41,[12]BRA!J$37)</f>
        <v>2750.3618209000001</v>
      </c>
      <c r="T39" s="195">
        <f>[12]BRA!$A$24*IF($M39="incl",[12]BRA!K$41,[12]BRA!K$37)</f>
        <v>2017.5148632999999</v>
      </c>
      <c r="U39" s="195">
        <f>[12]BRA!$A$24*IF($M39="incl",[12]BRA!L$41,[12]BRA!L$37)</f>
        <v>1712.4034948999999</v>
      </c>
      <c r="V39" s="195">
        <f>[12]BRA!$A$24*IF($M39="incl",[12]BRA!M$41,[12]BRA!M$37)</f>
        <v>1992.6485545999999</v>
      </c>
      <c r="W39" s="195">
        <f>[12]BRA!$A$24*IF($M39="incl",[12]BRA!N$41,[12]BRA!N$37)</f>
        <v>1963.8572991000001</v>
      </c>
      <c r="X39" s="195">
        <f>[12]BRA!$A$24*IF($M39="incl",[12]BRA!O$41,[12]BRA!O$37)</f>
        <v>2044.3486292999901</v>
      </c>
      <c r="Y39" s="195">
        <f>[12]BRA!$A$24*IF($M39="incl",[12]BRA!P$41,[12]BRA!P$37)</f>
        <v>2014.6404227999899</v>
      </c>
      <c r="Z39" s="195">
        <f>[12]BRA!$A$24*IF($M39="incl",[12]BRA!Q$41,[12]BRA!Q$37)</f>
        <v>2241.6814101999998</v>
      </c>
      <c r="AA39" s="195">
        <f>[12]BRA!$A$24*IF($M39="incl",[12]BRA!R$41,[12]BRA!R$37)</f>
        <v>3354.4170672999999</v>
      </c>
      <c r="AB39" s="195">
        <f>[12]BRA!$A$24*IF($M39="incl",[12]BRA!S$41,[12]BRA!S$37)</f>
        <v>3590.3116129999999</v>
      </c>
      <c r="AC39" s="195">
        <f>[12]BRA!$A$24*IF($M39="incl",[12]BRA!T$41,[12]BRA!T$37)</f>
        <v>2557.9008392000001</v>
      </c>
      <c r="AD39" s="195">
        <f>[12]BRA!$A$24*IF($M39="incl",[12]BRA!U$41,[12]BRA!U$37)</f>
        <v>2194.7325352999901</v>
      </c>
      <c r="AE39" s="195">
        <f>[12]BRA!$A$24*IF($M39="incl",[12]BRA!V$41,[12]BRA!V$37)</f>
        <v>1846.6301315000001</v>
      </c>
      <c r="AF39" s="195">
        <f>[12]BRA!$A$24*IF($M39="incl",[12]BRA!W$41,[12]BRA!W$37)</f>
        <v>1984.5873626</v>
      </c>
      <c r="AG39" s="195">
        <f>[12]BRA!$A$24*IF($M39="incl",[12]BRA!X$41,[12]BRA!X$37)</f>
        <v>1332.8935348</v>
      </c>
      <c r="AH39" s="195">
        <f>[12]BRA!$A$24*IF($M39="incl",[12]BRA!Y$41,[12]BRA!Y$37)</f>
        <v>1330.3769035999901</v>
      </c>
      <c r="AI39" s="195">
        <f>[12]BRA!$A$24*IF($M39="incl",[12]BRA!Z$41,[12]BRA!Z$37)</f>
        <v>1430.3683876999901</v>
      </c>
      <c r="AJ39" s="195">
        <f>[12]BRA!$A$24*IF($M39="incl",[12]BRA!AA$41,[12]BRA!AA$37)</f>
        <v>1312.9159686999999</v>
      </c>
      <c r="AK39" s="195">
        <f>[12]BRA!$A$24*IF($M39="incl",[12]BRA!AB$41,[12]BRA!AB$37)</f>
        <v>1564.56213339999</v>
      </c>
      <c r="AL39" s="195">
        <f>[12]BRA!$A$24*IF($M39="incl",[12]BRA!AC$41,[12]BRA!AC$37)</f>
        <v>1452.9861734000001</v>
      </c>
      <c r="AM39" s="195">
        <f>[12]BRA!$A$24*IF($M39="incl",[12]BRA!AD$41,[12]BRA!AD$37)</f>
        <v>1563.3392004</v>
      </c>
      <c r="AN39" s="195">
        <f>[12]BRA!$A$24*IF($M39="incl",[12]BRA!AE$41,[12]BRA!AE$37)</f>
        <v>1576.2064108</v>
      </c>
      <c r="AO39" s="195">
        <f>[12]BRA!$A$24*IF($M39="incl",[12]BRA!AF$41,[12]BRA!AF$37)</f>
        <v>1464.7191558</v>
      </c>
      <c r="AP39" s="195">
        <f>[12]BRA!$A$24*IF($M39="incl",[12]BRA!AG$41,[12]BRA!AG$37)</f>
        <v>1471.4966181</v>
      </c>
      <c r="AQ39" s="195">
        <f>[12]BRA!$A$24*IF($M39="incl",[12]BRA!AH$41,[12]BRA!AH$37)</f>
        <v>1706.5399934</v>
      </c>
      <c r="AR39" s="195">
        <f>[12]BRA!$A$24*IF($M39="incl",[12]BRA!AI$41,[12]BRA!AI$37)</f>
        <v>1779.4345866000001</v>
      </c>
      <c r="AS39" s="195">
        <f>[12]BRA!$A$24*IF($M39="incl",[12]BRA!AJ$41,[12]BRA!AJ$37)</f>
        <v>1794.4940636753599</v>
      </c>
      <c r="AT39" s="179">
        <f>[12]BRA!$A$24*[12]BRA!AI23</f>
        <v>1483.9719557999999</v>
      </c>
      <c r="AU39" s="177">
        <f>[12]BRA!$A$24*[12]BRA!AN23</f>
        <v>1514.6809558</v>
      </c>
      <c r="AV39" s="180">
        <f>[12]BRA!$A$24*[12]BRA!AS23</f>
        <v>1502.0199557999999</v>
      </c>
      <c r="AW39" s="111" t="str">
        <f t="shared" si="15"/>
        <v/>
      </c>
      <c r="AX39" s="164" t="str">
        <f>IF(A39="B",IF(M39="excl",[12]NatCom!CO29,[12]NatCom!AX29),"")</f>
        <v/>
      </c>
      <c r="AY39" s="177">
        <f>[12]BRA!$A$24*IF('[12]Pledge 2020'!E29="","",'[12]Pledge 2020'!E29)</f>
        <v>2071.04</v>
      </c>
      <c r="AZ39" s="180">
        <f>[12]BRA!$A$24*IF('[12]Pledge 2020'!F29="","",'[12]Pledge 2020'!F29)</f>
        <v>1973.96</v>
      </c>
      <c r="BA39" s="181">
        <f>[12]BRA!$A$24*[12]BRA!$R17</f>
        <v>1640.6917599186165</v>
      </c>
      <c r="BB39" s="181">
        <f>[12]BRA!$A$24*[12]BRA!$R13</f>
        <v>1640.6917599186165</v>
      </c>
      <c r="BC39" s="181">
        <f>[12]BRA!$A$24*[12]BRA!$S17</f>
        <v>1640.6917599186165</v>
      </c>
      <c r="BD39" s="181">
        <f>[12]BRA!$A$24*[12]BRA!$S13</f>
        <v>1640.6917599186165</v>
      </c>
      <c r="BE39" s="181">
        <v>1224.0081383519837</v>
      </c>
      <c r="BF39" s="181">
        <v>1224.0081383519837</v>
      </c>
      <c r="BG39" s="181">
        <v>1224.0081383519837</v>
      </c>
      <c r="BH39" s="182">
        <v>1224.0081383519837</v>
      </c>
      <c r="BI39" s="111">
        <f>IF([12]NDCs!V41="",IF([12]NDCs!X41="","",[12]NDCs!X41),[12]NDCs!V41)</f>
        <v>1197</v>
      </c>
      <c r="BJ39" s="111">
        <f>IF([12]NDCs!V41="",IF([12]NDCs!X41="","",[12]NDCs!X41),[12]NDCs!V41)</f>
        <v>1197</v>
      </c>
      <c r="BK39" s="111">
        <f>IF([12]NDCs!Z41="",IF([12]NDCs!AB41="",IF('input site'!BE39="","",'input site'!BE39),[12]NDCs!AB41),[12]NDCs!Z41)</f>
        <v>1197.0000000000002</v>
      </c>
      <c r="BL39" s="111">
        <f>IF([12]NDCs!AA41="",IF([12]NDCs!AC41="",IF('input site'!BF39="","",'input site'!BF39),[12]NDCs!AC41),[12]NDCs!AA41)</f>
        <v>1197.0000000000002</v>
      </c>
      <c r="BM39" s="191">
        <f>[12]BRA!$A$24*[12]BRA!AB$5</f>
        <v>1779.4345866000001</v>
      </c>
      <c r="BN39" s="127">
        <f>[12]BRA!$A$24*[12]BRA!AB7</f>
        <v>1779.4345866000001</v>
      </c>
      <c r="BO39" s="127">
        <f>[12]BRA!$A$24*[12]BRA!AB6</f>
        <v>1779.4345866000001</v>
      </c>
      <c r="BP39" s="191">
        <f>[12]BRA!$A$24*[12]BRA!AC$5</f>
        <v>1814.4623829565101</v>
      </c>
      <c r="BQ39" s="127">
        <f>[12]BRA!$A$24*[12]BRA!AC7</f>
        <v>1806.8966186</v>
      </c>
      <c r="BR39" s="127">
        <f>[12]BRA!$A$24*[12]BRA!AC6</f>
        <v>1818.3247455999999</v>
      </c>
      <c r="BS39" s="191">
        <f>[12]BRA!$A$24*[12]BRA!AD$5</f>
        <v>1817.56104851689</v>
      </c>
      <c r="BT39" s="127">
        <f>[12]BRA!$A$24*[12]BRA!AD7</f>
        <v>1817.56104851689</v>
      </c>
      <c r="BU39" s="184">
        <f>[12]BRA!$A$24*[12]BRA!AD6</f>
        <v>1887.1063346000001</v>
      </c>
      <c r="CN39" t="s">
        <v>107</v>
      </c>
      <c r="CO39" s="165">
        <f t="shared" si="2"/>
        <v>-0.32656559769986215</v>
      </c>
      <c r="CP39" s="165">
        <f t="shared" si="2"/>
        <v>-0.32656559769986215</v>
      </c>
      <c r="CQ39" s="165">
        <f t="shared" si="2"/>
        <v>-0.32656559769986215</v>
      </c>
      <c r="CR39" s="165">
        <f t="shared" si="2"/>
        <v>-0.32656559769986215</v>
      </c>
      <c r="CS39" s="185">
        <f>IF(BE39&lt;=MIN(BS39:BU39),0,1)</f>
        <v>0</v>
      </c>
      <c r="CT39" s="185">
        <f>IF(BG39&lt;=MIN(BS39:BU39),0,1)</f>
        <v>0</v>
      </c>
      <c r="CU39">
        <f>IF(BS39&lt;=MAX(AN39,AP39),1,0)</f>
        <v>0</v>
      </c>
      <c r="CV39" s="116" t="str">
        <f>IF(CS39=1,IF(CU39=1,"i","ii"),IF(CU39=1,"iii","iv"))</f>
        <v>iv</v>
      </c>
      <c r="CW39" s="116" t="str">
        <f>IF(CT39=1,IF(CU39=1,"i","ii"),IF(CU39=1,"iii","iv"))</f>
        <v>iv</v>
      </c>
      <c r="CX39"/>
      <c r="CY39" s="167">
        <f t="shared" si="3"/>
        <v>-295.46263080000017</v>
      </c>
      <c r="DA39" s="187">
        <f>[12]BRA!P18</f>
        <v>291.60541339999986</v>
      </c>
      <c r="DB39" s="187">
        <f>[12]BRA!Q18</f>
        <v>194.52541339999993</v>
      </c>
      <c r="DC39" s="187">
        <f>[12]BRA!R18</f>
        <v>0</v>
      </c>
      <c r="DD39" s="187">
        <f>[12]BRA!S18</f>
        <v>0</v>
      </c>
      <c r="DE39" s="187">
        <f>[12]BRA!T18</f>
        <v>0</v>
      </c>
      <c r="DF39" s="187">
        <f>[12]BRA!U18</f>
        <v>0</v>
      </c>
      <c r="DG39" s="105" t="str">
        <f t="shared" si="4"/>
        <v>incl</v>
      </c>
      <c r="DH39" t="s">
        <v>107</v>
      </c>
      <c r="DI39" s="127"/>
      <c r="DJ39" s="127"/>
      <c r="DK39" s="127"/>
      <c r="DL39" s="127"/>
      <c r="DM39" s="127"/>
      <c r="DN39" s="127"/>
      <c r="DO39" s="127"/>
      <c r="DP39" s="127"/>
      <c r="DQ39" s="187">
        <f>[12]BRA!BA$18</f>
        <v>0</v>
      </c>
      <c r="DR39" s="187">
        <f>[12]BRA!BB$18</f>
        <v>0</v>
      </c>
      <c r="DS39" s="111"/>
      <c r="DT39" s="168"/>
      <c r="DW39" s="111">
        <f t="shared" si="12"/>
        <v>1224.0081383519837</v>
      </c>
      <c r="DX39" s="111">
        <f t="shared" si="12"/>
        <v>1224.0081383519837</v>
      </c>
      <c r="DY39" s="111">
        <f t="shared" si="12"/>
        <v>1224.0081383519837</v>
      </c>
      <c r="DZ39" s="111">
        <f t="shared" si="12"/>
        <v>1224.0081383519837</v>
      </c>
      <c r="EP39" t="s">
        <v>107</v>
      </c>
      <c r="EQ39">
        <v>1</v>
      </c>
      <c r="ER39" s="111">
        <f t="shared" si="13"/>
        <v>1471.4966181</v>
      </c>
      <c r="ES39" s="111">
        <f>IF($BI$8=2015,VLOOKUP($L39,'[12]IMAGE CDLINKS CurPol'!$P$3:$Y$29,10,FALSE)*$AM39,VLOOKUP($L39,'[12]IMAGE CDLINKS CurPol'!$Z$3:$AI$29,10,FALSE)*$AP39)</f>
        <v>2037.8001186711788</v>
      </c>
      <c r="ET39" s="111">
        <f t="shared" si="14"/>
        <v>0</v>
      </c>
      <c r="EU39" s="111">
        <f t="shared" si="19"/>
        <v>1118.3693344242929</v>
      </c>
      <c r="EV39" s="111">
        <f>IF($BI$8=2015,VLOOKUP($L39,'[12]IMAGE CDLINKS 2C'!$P$3:$Y$29,10,FALSE)*$AM39,VLOOKUP($L39,'[12]IMAGE CDLINKS 2C'!$Z$3:$AI$29,10,FALSE)*$AP39)</f>
        <v>1118.3693344242929</v>
      </c>
      <c r="EW39">
        <v>0</v>
      </c>
      <c r="EY39" s="111">
        <f t="shared" si="20"/>
        <v>0</v>
      </c>
      <c r="EZ39" s="111">
        <f>IF($BI$8=2015,VLOOKUP($L39,'[12]IMAGE CDLINKS 1_5C'!$P$3:$Y$29,10,FALSE)*$AM39,VLOOKUP($L39,'[12]IMAGE CDLINKS 1_5C'!$Z$3:$AI$29,10,FALSE)*$AP39)</f>
        <v>963.33534610334891</v>
      </c>
      <c r="FA39" s="192"/>
    </row>
    <row r="40" spans="1:157" x14ac:dyDescent="0.25">
      <c r="A40" t="str">
        <f>IF([12]NDCs!C42="","",[12]NDCs!C42)</f>
        <v>G</v>
      </c>
      <c r="B40" s="159" t="str">
        <f t="shared" si="0"/>
        <v>v</v>
      </c>
      <c r="C40">
        <v>0</v>
      </c>
      <c r="D40">
        <v>0</v>
      </c>
      <c r="E40">
        <v>0</v>
      </c>
      <c r="F40">
        <v>1</v>
      </c>
      <c r="G40" t="b">
        <f t="shared" si="1"/>
        <v>0</v>
      </c>
      <c r="H40" t="s">
        <v>2328</v>
      </c>
      <c r="I40" t="s">
        <v>109</v>
      </c>
      <c r="J40">
        <v>96</v>
      </c>
      <c r="K40">
        <v>26</v>
      </c>
      <c r="L40">
        <v>21</v>
      </c>
      <c r="M40" t="str">
        <f>IF([12]NDCs!AL42="Excluding","excl","incl")</f>
        <v>excl</v>
      </c>
      <c r="N40" s="160">
        <f>[12]GHG_hist!BA30+IF($M40="incl",[12]LULUCF_hist!CR30,0)</f>
        <v>10.800414000000002</v>
      </c>
      <c r="O40" s="111">
        <f>[12]GHG_hist!BB30+IF($M40="incl",[12]LULUCF_hist!CS30,0)</f>
        <v>8.7479959999999988</v>
      </c>
      <c r="P40" s="111">
        <f>[12]GHG_hist!BC30+IF($M40="incl",[12]LULUCF_hist!CT30,0)</f>
        <v>8.5684829000000011</v>
      </c>
      <c r="Q40" s="111">
        <f>[12]GHG_hist!BD30+IF($M40="incl",[12]LULUCF_hist!CU30,0)</f>
        <v>9.0678257000000002</v>
      </c>
      <c r="R40" s="111">
        <f>[12]GHG_hist!BE30+IF($M40="incl",[12]LULUCF_hist!CV30,0)</f>
        <v>8.7654230000000002</v>
      </c>
      <c r="S40" s="111">
        <f>[12]GHG_hist!BF30+IF($M40="incl",[12]LULUCF_hist!CW30,0)</f>
        <v>8.7843166999999998</v>
      </c>
      <c r="T40" s="111">
        <f>[12]GHG_hist!BG30+IF($M40="incl",[12]LULUCF_hist!CX30,0)</f>
        <v>8.9633263000000003</v>
      </c>
      <c r="U40" s="111">
        <f>[12]GHG_hist!BH30+IF($M40="incl",[12]LULUCF_hist!CY30,0)</f>
        <v>9.2123705999999999</v>
      </c>
      <c r="V40" s="111">
        <f>[12]GHG_hist!BI30+IF($M40="incl",[12]LULUCF_hist!CZ30,0)</f>
        <v>9.4619325000000014</v>
      </c>
      <c r="W40" s="111">
        <f>[12]GHG_hist!BJ30+IF($M40="incl",[12]LULUCF_hist!DA30,0)</f>
        <v>8.5277288999999996</v>
      </c>
      <c r="X40" s="111">
        <f>[12]GHG_hist!BK30+IF($M40="incl",[12]LULUCF_hist!DB30,0)</f>
        <v>9.5327917000000006</v>
      </c>
      <c r="Y40" s="111">
        <f>[12]GHG_hist!BL30+IF($M40="incl",[12]LULUCF_hist!DC30,0)</f>
        <v>9.9719148000000004</v>
      </c>
      <c r="Z40" s="111">
        <f>[12]GHG_hist!BM30+IF($M40="incl",[12]LULUCF_hist!DD30,0)</f>
        <v>9.1259681999999991</v>
      </c>
      <c r="AA40" s="111">
        <f>[12]GHG_hist!BN30+IF($M40="incl",[12]LULUCF_hist!DE30,0)</f>
        <v>9.6341563000000008</v>
      </c>
      <c r="AB40" s="111">
        <f>[12]GHG_hist!BO30+IF($M40="incl",[12]LULUCF_hist!DF30,0)</f>
        <v>9.8310332000000002</v>
      </c>
      <c r="AC40" s="111">
        <f>[12]GHG_hist!BP30+IF($M40="incl",[12]LULUCF_hist!DG30,0)</f>
        <v>9.8175372999999997</v>
      </c>
      <c r="AD40" s="111">
        <f>[12]GHG_hist!BQ30+IF($M40="incl",[12]LULUCF_hist!DH30,0)</f>
        <v>10.685775</v>
      </c>
      <c r="AE40" s="111">
        <f>[12]GHG_hist!BR30+IF($M40="incl",[12]LULUCF_hist!DI30,0)</f>
        <v>14.192021</v>
      </c>
      <c r="AF40" s="111">
        <f>[12]GHG_hist!BS30+IF($M40="incl",[12]LULUCF_hist!DJ30,0)</f>
        <v>16.335457000000002</v>
      </c>
      <c r="AG40" s="111">
        <f>[12]GHG_hist!BT30+IF($M40="incl",[12]LULUCF_hist!DK30,0)</f>
        <v>13.717176</v>
      </c>
      <c r="AH40" s="111">
        <f>[12]GHG_hist!BU30+IF($M40="incl",[12]LULUCF_hist!DL30,0)</f>
        <v>13.701998</v>
      </c>
      <c r="AI40" s="111">
        <f>[12]GHG_hist!BV30+IF($M40="incl",[12]LULUCF_hist!DM30,0)</f>
        <v>15.625852999999999</v>
      </c>
      <c r="AJ40" s="111">
        <f>[12]GHG_hist!BW30+IF($M40="incl",[12]LULUCF_hist!DN30,0)</f>
        <v>15.338843000000001</v>
      </c>
      <c r="AK40" s="111">
        <f>[12]GHG_hist!BX30+IF($M40="incl",[12]LULUCF_hist!DO30,0)</f>
        <v>13.299319000000001</v>
      </c>
      <c r="AL40" s="111">
        <f>[12]GHG_hist!BY30+IF($M40="incl",[12]LULUCF_hist!DP30,0)</f>
        <v>14.286494000000001</v>
      </c>
      <c r="AM40" s="111">
        <f>[12]GHG_hist!BZ30+IF($M40="incl",[12]LULUCF_hist!DQ30,0)</f>
        <v>12.253007999999999</v>
      </c>
      <c r="AN40" s="111">
        <f>[12]GHG_hist!CA30+IF($M40="incl",[12]LULUCF_hist!DR30,0)</f>
        <v>12.834018</v>
      </c>
      <c r="AO40" s="111">
        <f>[12]GHG_hist!CB30+IF($M40="incl",[12]LULUCF_hist!DS30,0)</f>
        <v>14.700829000000001</v>
      </c>
      <c r="AP40" s="111">
        <f>[12]GHG_hist!CC30+IF($M40="incl",[12]LULUCF_hist!DT30,0)</f>
        <v>15.078301</v>
      </c>
      <c r="AQ40" s="111">
        <f>[12]GHG_hist!CD30+IF($M40="incl",[12]LULUCF_hist!DU30,0)</f>
        <v>15.644644000000001</v>
      </c>
      <c r="AR40" s="111">
        <f>[12]GHG_hist!CE30+IF($M40="incl",[12]LULUCF_hist!DV30,0)</f>
        <v>13.020854999999999</v>
      </c>
      <c r="AS40" s="111">
        <f>[12]GHG_hist!CF30+IF($M40="incl",[12]LULUCF_hist!DW30,0)</f>
        <v>14.418844999999999</v>
      </c>
      <c r="AT40" s="161">
        <f>VLOOKUP($L40,'[12]IMAGE SSP2'!$AF$3:$AK$29,4,FALSE)*$AM40</f>
        <v>14.514603733293288</v>
      </c>
      <c r="AU40" s="162">
        <f>VLOOKUP($L40,'[12]IMAGE SSP2'!$AF$3:$AK$29,5,FALSE)*$AM40</f>
        <v>17.000763450412126</v>
      </c>
      <c r="AV40" s="163">
        <f>VLOOKUP($L40,'[12]IMAGE SSP2'!$AF$3:$AK$29,6,FALSE)*$AM40</f>
        <v>18.857715828204395</v>
      </c>
      <c r="AW40" s="111" t="str">
        <f t="shared" si="15"/>
        <v/>
      </c>
      <c r="AX40" s="164" t="str">
        <f>IF(A40="B",IF(M40="excl",[12]NatCom!CO30,[12]NatCom!AX30),"")</f>
        <v/>
      </c>
      <c r="AY40" s="111" t="str">
        <f>IF('[12]Pledge 2020'!E30="","",'[12]Pledge 2020'!E30)</f>
        <v/>
      </c>
      <c r="AZ40" s="164" t="str">
        <f>IF('[12]Pledge 2020'!F30="","",'[12]Pledge 2020'!F30)</f>
        <v/>
      </c>
      <c r="BA40" s="111" t="str">
        <f t="shared" ref="BA40:BA45" si="31">IF(BE40="","",(BE40-AH40)*0.75+AH40)</f>
        <v/>
      </c>
      <c r="BB40" s="111"/>
      <c r="BC40" s="111" t="str">
        <f t="shared" ref="BC40:BC45" si="32">IF(BG40="","",(BG40-AH40)*0.75+AH40)</f>
        <v/>
      </c>
      <c r="BD40" s="111"/>
      <c r="BE40" s="111" t="s">
        <v>2477</v>
      </c>
      <c r="BF40" s="111"/>
      <c r="BG40" s="111" t="s">
        <v>2477</v>
      </c>
      <c r="BH40" s="164"/>
      <c r="BI40" s="111" t="str">
        <f>IF([12]NDCs!V42="",IF([12]NDCs!X42="","",[12]NDCs!X42),[12]NDCs!V42)</f>
        <v/>
      </c>
      <c r="BJ40" s="111" t="str">
        <f>IF([12]NDCs!V42="",IF([12]NDCs!X42="","",[12]NDCs!X42),[12]NDCs!V42)</f>
        <v/>
      </c>
      <c r="BK40" s="111" t="str">
        <f>IF([12]NDCs!Z42="",IF([12]NDCs!AB42="",IF('input site'!BE40="","",'input site'!BE40),[12]NDCs!AB42),[12]NDCs!Z42)</f>
        <v/>
      </c>
      <c r="BL40" s="111" t="str">
        <f>IF([12]NDCs!AA42="",IF([12]NDCs!AC42="",IF('input site'!BF40="","",'input site'!BF40),[12]NDCs!AC42),[12]NDCs!AA42)</f>
        <v/>
      </c>
      <c r="BM40" s="111">
        <f>IF($BI$8=2015,VLOOKUP($L40,'[12]IMAGE CurPol SSP'!$AZ$3:$BD$29,4,FALSE)*$AM40,IF($BI$8=2018,VLOOKUP($L40,'[12]IMAGE CurPol SSP'!$BJ$3:$BN$29,4,FALSE)*$AP40,$AR40))</f>
        <v>13.020854999999999</v>
      </c>
      <c r="BN40" s="111">
        <f t="shared" ref="BN40:BO45" si="33">IF($BI$8=2015,"",IF($BI$8=2018,"",$AR40))</f>
        <v>13.020854999999999</v>
      </c>
      <c r="BO40" s="111">
        <f t="shared" si="33"/>
        <v>13.020854999999999</v>
      </c>
      <c r="BP40" s="111">
        <f>IF($BI$8=2015,VLOOKUP($L40,'[12]IMAGE CurPol SSP'!$AZ$3:$BD$29,5,FALSE)*$AM40,IF($BI$8=2018,VLOOKUP($L40,'[12]IMAGE CurPol SSP'!$BJ$3:$BN$29,5,FALSE)*$AP40,VLOOKUP($L40,'[12]IMAGE CurPol SSP'!$BU$3:$BZ$29,5,FALSE)*$AS40))</f>
        <v>15.097387724332744</v>
      </c>
      <c r="BQ40" s="111">
        <f>IF($BI$8=2015,"",IF($BI$8=2018,"",VLOOKUP($L40,'[12]IMAGE CurPol SSP'!$CQ$3:$CV$29,5,FALSE)*$AS40))</f>
        <v>14.964414084915466</v>
      </c>
      <c r="BR40" s="111">
        <f>IF($BI$8=2015,"",IF($BI$8=2018,"",VLOOKUP($L40,'[12]IMAGE CurPol SSP'!$CF$3:$CK$29,5,FALSE)*$AS40))</f>
        <v>15.26752328051356</v>
      </c>
      <c r="BS40" s="111">
        <f>IF($BI$8=2015,VLOOKUP($L40,'[12]IMAGE CurPol SSP'!$AZ$3:$BE$29,6,FALSE)*$AM40,IF($BI$8=2018,VLOOKUP($L40,'[12]IMAGE CurPol SSP'!$BJ$3:$BO$29,6,FALSE)*$AP40,VLOOKUP($L40,'[12]IMAGE CurPol SSP'!$BU$3:$BZ$29,6,FALSE)*$AS40))</f>
        <v>16.654616760206668</v>
      </c>
      <c r="BT40" s="111">
        <f>IF($BI$8=2015,"",IF($BI$8=2018,"",VLOOKUP($L40,'[12]IMAGE CurPol SSP'!$CQ$3:$CV$29,6,FALSE)*$AS40))</f>
        <v>16.287603368847012</v>
      </c>
      <c r="BU40" s="164">
        <f>IF($BI$8=2015,"",IF($BI$8=2018,"",VLOOKUP($L40,'[12]IMAGE CurPol SSP'!$CF$3:$CK$29,6,FALSE)*$AS40))</f>
        <v>16.867767213934645</v>
      </c>
      <c r="CN40" t="s">
        <v>109</v>
      </c>
      <c r="CO40" s="165" t="str">
        <f t="shared" si="2"/>
        <v/>
      </c>
      <c r="CP40" s="165" t="str">
        <f t="shared" si="2"/>
        <v/>
      </c>
      <c r="CQ40" s="165" t="str">
        <f t="shared" si="2"/>
        <v/>
      </c>
      <c r="CR40" s="165" t="str">
        <f t="shared" si="2"/>
        <v/>
      </c>
      <c r="CV40" s="125" t="s">
        <v>621</v>
      </c>
      <c r="CW40" s="125" t="s">
        <v>621</v>
      </c>
      <c r="CX40"/>
      <c r="CY40" s="167">
        <f t="shared" si="3"/>
        <v>1.4937487332932893</v>
      </c>
      <c r="DB40" s="106"/>
      <c r="DC40" s="106"/>
      <c r="DD40" s="106"/>
      <c r="DE40" s="106"/>
      <c r="DF40" s="106"/>
      <c r="DG40" s="105" t="str">
        <f t="shared" si="4"/>
        <v>excl</v>
      </c>
      <c r="DH40" t="s">
        <v>109</v>
      </c>
      <c r="DI40" s="111">
        <f t="shared" ref="DI40:DJ45" si="34">IF(AY40="",$BM40,AY40)-$BM40</f>
        <v>0</v>
      </c>
      <c r="DJ40" s="111">
        <f t="shared" si="34"/>
        <v>0</v>
      </c>
      <c r="DK40" s="111">
        <f t="shared" ref="DK40:DK45" si="35">IF(BA40="",$BP40,BA40)-$BP40</f>
        <v>0</v>
      </c>
      <c r="DL40" s="111">
        <f t="shared" ref="DL40:DL45" si="36">IF(BC40="",$BP40,BC40)-$BP40</f>
        <v>0</v>
      </c>
      <c r="DM40" s="111">
        <f t="shared" ref="DM40:DM45" si="37">IF(BE40="",$BS40,BE40)-$BS40</f>
        <v>0</v>
      </c>
      <c r="DN40" s="111">
        <f t="shared" ref="DN40:DN45" si="38">IF(BG40="",$BS40,BG40)-$BS40</f>
        <v>0</v>
      </c>
      <c r="DO40" s="111">
        <f t="shared" ref="DO40:DO45" si="39">IF(BI40="",$BS40,BI40)-$BS40</f>
        <v>0</v>
      </c>
      <c r="DP40" s="111">
        <f t="shared" ref="DP40:DP45" si="40">IF(BK40="",$BS40,BK40)-$BS40</f>
        <v>0</v>
      </c>
      <c r="DQ40" s="106"/>
      <c r="DR40" s="106"/>
      <c r="DS40" s="111"/>
      <c r="DT40" s="168"/>
      <c r="DW40" s="111">
        <f t="shared" si="12"/>
        <v>16.654616760206668</v>
      </c>
      <c r="DX40" s="111">
        <f t="shared" si="12"/>
        <v>16.654616760206668</v>
      </c>
      <c r="DY40" s="111">
        <f t="shared" si="12"/>
        <v>16.654616760206668</v>
      </c>
      <c r="DZ40" s="111">
        <f t="shared" si="12"/>
        <v>16.654616760206668</v>
      </c>
      <c r="EP40" t="s">
        <v>109</v>
      </c>
      <c r="EQ40">
        <v>0</v>
      </c>
      <c r="ER40" s="111">
        <f t="shared" si="13"/>
        <v>15.078301</v>
      </c>
      <c r="ES40" s="111">
        <f>IF($BI$8=2015,VLOOKUP($L40,'[12]IMAGE CDLINKS CurPol'!$P$3:$Y$29,10,FALSE)*$AM40,VLOOKUP($L40,'[12]IMAGE CDLINKS CurPol'!$Z$3:$AI$29,10,FALSE)*$AP40)</f>
        <v>25.071201318566665</v>
      </c>
      <c r="ET40" s="111">
        <f t="shared" si="14"/>
        <v>25.071201318566665</v>
      </c>
      <c r="EU40" s="111">
        <f t="shared" si="19"/>
        <v>4.8862957162772265</v>
      </c>
      <c r="EV40" s="111">
        <f>IF($BI$8=2015,VLOOKUP($L40,'[12]IMAGE CDLINKS 2C'!$P$3:$Y$29,10,FALSE)*$AM40,VLOOKUP($L40,'[12]IMAGE CDLINKS 2C'!$Z$3:$AI$29,10,FALSE)*$AP40)</f>
        <v>4.8862957162772265</v>
      </c>
      <c r="EY40" s="111">
        <f t="shared" si="20"/>
        <v>0.32808906211164024</v>
      </c>
      <c r="EZ40" s="111">
        <f>IF($BI$8=2015,VLOOKUP($L40,'[12]IMAGE CDLINKS 1_5C'!$P$3:$Y$29,10,FALSE)*$AM40,VLOOKUP($L40,'[12]IMAGE CDLINKS 1_5C'!$Z$3:$AI$29,10,FALSE)*$AP40)</f>
        <v>0.32808906211164024</v>
      </c>
      <c r="FA40" s="192"/>
    </row>
    <row r="41" spans="1:157" x14ac:dyDescent="0.25">
      <c r="A41" t="str">
        <f>IF([12]NDCs!C43="","",[12]NDCs!C43)</f>
        <v>A</v>
      </c>
      <c r="B41" s="159" t="str">
        <f t="shared" si="0"/>
        <v>v</v>
      </c>
      <c r="C41">
        <v>0</v>
      </c>
      <c r="D41">
        <v>1</v>
      </c>
      <c r="E41">
        <v>0</v>
      </c>
      <c r="F41">
        <v>1</v>
      </c>
      <c r="G41" t="b">
        <f t="shared" si="1"/>
        <v>1</v>
      </c>
      <c r="H41" t="s">
        <v>2335</v>
      </c>
      <c r="I41" t="s">
        <v>111</v>
      </c>
      <c r="J41">
        <v>100</v>
      </c>
      <c r="K41">
        <v>27</v>
      </c>
      <c r="L41">
        <v>12</v>
      </c>
      <c r="M41" t="str">
        <f>IF([12]NDCs!AL43="Excluding","excl","incl")</f>
        <v>incl</v>
      </c>
      <c r="N41" s="160">
        <f>[12]GHG_hist!BA31+IF($M41="incl",[12]LULUCF_hist!CR31,0)</f>
        <v>81.891025034515195</v>
      </c>
      <c r="O41" s="111">
        <f>[12]GHG_hist!BB31+IF($M41="incl",[12]LULUCF_hist!CS31,0)</f>
        <v>63.665574610417281</v>
      </c>
      <c r="P41" s="111">
        <f>[12]GHG_hist!BC31+IF($M41="incl",[12]LULUCF_hist!CT31,0)</f>
        <v>58.535407484469921</v>
      </c>
      <c r="Q41" s="111">
        <f>[12]GHG_hist!BD31+IF($M41="incl",[12]LULUCF_hist!CU31,0)</f>
        <v>57.614188883271723</v>
      </c>
      <c r="R41" s="111">
        <f>[12]GHG_hist!BE31+IF($M41="incl",[12]LULUCF_hist!CV31,0)</f>
        <v>53.636627832823905</v>
      </c>
      <c r="S41" s="111">
        <f>[12]GHG_hist!BF31+IF($M41="incl",[12]LULUCF_hist!CW31,0)</f>
        <v>55.061808128584161</v>
      </c>
      <c r="T41" s="111">
        <f>[12]GHG_hist!BG31+IF($M41="incl",[12]LULUCF_hist!CX31,0)</f>
        <v>56.083165289524374</v>
      </c>
      <c r="U41" s="111">
        <f>[12]GHG_hist!BH31+IF($M41="incl",[12]LULUCF_hist!CY31,0)</f>
        <v>52.634402447826993</v>
      </c>
      <c r="V41" s="111">
        <f>[12]GHG_hist!BI31+IF($M41="incl",[12]LULUCF_hist!CZ31,0)</f>
        <v>48.787948417517413</v>
      </c>
      <c r="W41" s="111">
        <f>[12]GHG_hist!BJ31+IF($M41="incl",[12]LULUCF_hist!DA31,0)</f>
        <v>41.903463145885411</v>
      </c>
      <c r="X41" s="111">
        <f>[12]GHG_hist!BK31+IF($M41="incl",[12]LULUCF_hist!DB31,0)</f>
        <v>39.790831802718458</v>
      </c>
      <c r="Y41" s="111">
        <f>[12]GHG_hist!BL31+IF($M41="incl",[12]LULUCF_hist!DC31,0)</f>
        <v>45.414383102269959</v>
      </c>
      <c r="Z41" s="111">
        <f>[12]GHG_hist!BM31+IF($M41="incl",[12]LULUCF_hist!DD31,0)</f>
        <v>42.482967045523992</v>
      </c>
      <c r="AA41" s="111">
        <f>[12]GHG_hist!BN31+IF($M41="incl",[12]LULUCF_hist!DE31,0)</f>
        <v>47.732669283764466</v>
      </c>
      <c r="AB41" s="111">
        <f>[12]GHG_hist!BO31+IF($M41="incl",[12]LULUCF_hist!DF31,0)</f>
        <v>46.186476697503537</v>
      </c>
      <c r="AC41" s="111">
        <f>[12]GHG_hist!BP31+IF($M41="incl",[12]LULUCF_hist!DG31,0)</f>
        <v>45.49324998760811</v>
      </c>
      <c r="AD41" s="111">
        <f>[12]GHG_hist!BQ31+IF($M41="incl",[12]LULUCF_hist!DH31,0)</f>
        <v>49.509109539221804</v>
      </c>
      <c r="AE41" s="111">
        <f>[12]GHG_hist!BR31+IF($M41="incl",[12]LULUCF_hist!DI31,0)</f>
        <v>52.486783873998597</v>
      </c>
      <c r="AF41" s="111">
        <f>[12]GHG_hist!BS31+IF($M41="incl",[12]LULUCF_hist!DJ31,0)</f>
        <v>52.837733733683834</v>
      </c>
      <c r="AG41" s="111">
        <f>[12]GHG_hist!BT31+IF($M41="incl",[12]LULUCF_hist!DK31,0)</f>
        <v>43.855670706143911</v>
      </c>
      <c r="AH41" s="111">
        <f>[12]GHG_hist!BU31+IF($M41="incl",[12]LULUCF_hist!DL31,0)</f>
        <v>47.128297410728408</v>
      </c>
      <c r="AI41" s="111">
        <f>[12]GHG_hist!BV31+IF($M41="incl",[12]LULUCF_hist!DM31,0)</f>
        <v>55.762043492437193</v>
      </c>
      <c r="AJ41" s="111">
        <f>[12]GHG_hist!BW31+IF($M41="incl",[12]LULUCF_hist!DN31,0)</f>
        <v>51.250039340132602</v>
      </c>
      <c r="AK41" s="111">
        <f>[12]GHG_hist!BX31+IF($M41="incl",[12]LULUCF_hist!DO31,0)</f>
        <v>47.232428416433272</v>
      </c>
      <c r="AL41" s="111">
        <f>[12]GHG_hist!BY31+IF($M41="incl",[12]LULUCF_hist!DP31,0)</f>
        <v>49.102357086493363</v>
      </c>
      <c r="AM41" s="111">
        <f>[12]GHG_hist!BZ31+IF($M41="incl",[12]LULUCF_hist!DQ31,0)</f>
        <v>52.451591754288081</v>
      </c>
      <c r="AN41" s="111">
        <f>[12]GHG_hist!CA31+IF($M41="incl",[12]LULUCF_hist!DR31,0)</f>
        <v>48.063832689113767</v>
      </c>
      <c r="AO41" s="111">
        <f>[12]GHG_hist!CB31+IF($M41="incl",[12]LULUCF_hist!DS31,0)</f>
        <v>50.080322467881189</v>
      </c>
      <c r="AP41" s="111">
        <f>[12]GHG_hist!CC31+IF($M41="incl",[12]LULUCF_hist!DT31,0)</f>
        <v>45.61565100140281</v>
      </c>
      <c r="AQ41" s="111">
        <f>[12]GHG_hist!CD31+IF($M41="incl",[12]LULUCF_hist!DU31,0)</f>
        <v>44.432195089160672</v>
      </c>
      <c r="AR41" s="111">
        <f>[12]GHG_hist!CE31+IF($M41="incl",[12]LULUCF_hist!DV31,0)</f>
        <v>38.432746918594731</v>
      </c>
      <c r="AS41" s="111">
        <f>[12]GHG_hist!CF31+IF($M41="incl",[12]LULUCF_hist!DW31,0)</f>
        <v>44.614425086377835</v>
      </c>
      <c r="AT41" s="161">
        <f>VLOOKUP($L41,'[12]IMAGE SSP2'!$AF$3:$AK$29,4,FALSE)*$AM41</f>
        <v>54.572697949762038</v>
      </c>
      <c r="AU41" s="162">
        <f>VLOOKUP($L41,'[12]IMAGE SSP2'!$AF$3:$AK$29,5,FALSE)*$AM41</f>
        <v>55.737070505087772</v>
      </c>
      <c r="AV41" s="163">
        <f>VLOOKUP($L41,'[12]IMAGE SSP2'!$AF$3:$AK$29,6,FALSE)*$AM41</f>
        <v>57.227079991629246</v>
      </c>
      <c r="AW41" s="111" t="str">
        <f t="shared" si="15"/>
        <v/>
      </c>
      <c r="AX41" s="164" t="str">
        <f>IF(A41="B",IF(M41="excl",[12]NatCom!CO31,[12]NatCom!AX31),"")</f>
        <v/>
      </c>
      <c r="AY41" s="111" t="str">
        <f>IF('[12]Pledge 2020'!E31="","",'[12]Pledge 2020'!E31)</f>
        <v/>
      </c>
      <c r="AZ41" s="164" t="str">
        <f>IF('[12]Pledge 2020'!F31="","",'[12]Pledge 2020'!F31)</f>
        <v/>
      </c>
      <c r="BA41" s="111" t="str">
        <f t="shared" si="31"/>
        <v/>
      </c>
      <c r="BB41" s="111"/>
      <c r="BC41" s="111" t="str">
        <f t="shared" si="32"/>
        <v/>
      </c>
      <c r="BD41" s="111"/>
      <c r="BE41" s="111" t="s">
        <v>2477</v>
      </c>
      <c r="BF41" s="111"/>
      <c r="BG41" s="111" t="s">
        <v>2477</v>
      </c>
      <c r="BH41" s="164"/>
      <c r="BI41" s="111" t="str">
        <f>IF([12]NDCs!V43="",IF([12]NDCs!X43="","",[12]NDCs!X43),[12]NDCs!V43)</f>
        <v/>
      </c>
      <c r="BJ41" s="111" t="str">
        <f>IF([12]NDCs!V43="",IF([12]NDCs!X43="","",[12]NDCs!X43),[12]NDCs!V43)</f>
        <v/>
      </c>
      <c r="BK41" s="111" t="str">
        <f>IF([12]NDCs!Z43="",IF([12]NDCs!AB43="",IF('input site'!BE41="","",'input site'!BE41),[12]NDCs!AB43),[12]NDCs!Z43)</f>
        <v/>
      </c>
      <c r="BL41" s="111" t="str">
        <f>IF([12]NDCs!AA43="",IF([12]NDCs!AC43="",IF('input site'!BF41="","",'input site'!BF41),[12]NDCs!AC43),[12]NDCs!AA43)</f>
        <v/>
      </c>
      <c r="BM41" s="111">
        <f>IF($BI$8=2015,VLOOKUP($L41,'[12]IMAGE CurPol SSP'!$AZ$3:$BD$29,4,FALSE)*$AM41,IF($BI$8=2018,VLOOKUP($L41,'[12]IMAGE CurPol SSP'!$BJ$3:$BN$29,4,FALSE)*$AP41,$AR41))</f>
        <v>38.432746918594731</v>
      </c>
      <c r="BN41" s="111">
        <f t="shared" si="33"/>
        <v>38.432746918594731</v>
      </c>
      <c r="BO41" s="111">
        <f t="shared" si="33"/>
        <v>38.432746918594731</v>
      </c>
      <c r="BP41" s="111">
        <f>IF($BI$8=2015,VLOOKUP($L41,'[12]IMAGE CurPol SSP'!$AZ$3:$BD$29,5,FALSE)*$AM41,IF($BI$8=2018,VLOOKUP($L41,'[12]IMAGE CurPol SSP'!$BJ$3:$BN$29,5,FALSE)*$AP41,VLOOKUP($L41,'[12]IMAGE CurPol SSP'!$BU$3:$BZ$29,5,FALSE)*$AS41))</f>
        <v>35.481358544865408</v>
      </c>
      <c r="BQ41" s="111">
        <f>IF($BI$8=2015,"",IF($BI$8=2018,"",VLOOKUP($L41,'[12]IMAGE CurPol SSP'!$CQ$3:$CV$29,5,FALSE)*$AS41))</f>
        <v>35.481358544865408</v>
      </c>
      <c r="BR41" s="111">
        <f>IF($BI$8=2015,"",IF($BI$8=2018,"",VLOOKUP($L41,'[12]IMAGE CurPol SSP'!$CF$3:$CK$29,5,FALSE)*$AS41))</f>
        <v>36.615689697311517</v>
      </c>
      <c r="BS41" s="111">
        <f>IF($BI$8=2015,VLOOKUP($L41,'[12]IMAGE CurPol SSP'!$AZ$3:$BE$29,6,FALSE)*$AM41,IF($BI$8=2018,VLOOKUP($L41,'[12]IMAGE CurPol SSP'!$BJ$3:$BO$29,6,FALSE)*$AP41,VLOOKUP($L41,'[12]IMAGE CurPol SSP'!$BU$3:$BZ$29,6,FALSE)*$AS41))</f>
        <v>22.860127888833706</v>
      </c>
      <c r="BT41" s="111">
        <f>IF($BI$8=2015,"",IF($BI$8=2018,"",VLOOKUP($L41,'[12]IMAGE CurPol SSP'!$CQ$3:$CV$29,6,FALSE)*$AS41))</f>
        <v>22.860127888833706</v>
      </c>
      <c r="BU41" s="164">
        <f>IF($BI$8=2015,"",IF($BI$8=2018,"",VLOOKUP($L41,'[12]IMAGE CurPol SSP'!$CF$3:$CK$29,6,FALSE)*$AS41))</f>
        <v>24.015281161306742</v>
      </c>
      <c r="CN41" t="s">
        <v>111</v>
      </c>
      <c r="CO41" s="165" t="str">
        <f t="shared" si="2"/>
        <v/>
      </c>
      <c r="CP41" s="165" t="str">
        <f t="shared" si="2"/>
        <v/>
      </c>
      <c r="CQ41" s="165" t="str">
        <f t="shared" si="2"/>
        <v/>
      </c>
      <c r="CR41" s="165" t="str">
        <f t="shared" si="2"/>
        <v/>
      </c>
      <c r="CV41" s="125" t="s">
        <v>621</v>
      </c>
      <c r="CW41" s="125" t="s">
        <v>621</v>
      </c>
      <c r="CX41"/>
      <c r="CY41" s="167">
        <f t="shared" si="3"/>
        <v>16.139951031167307</v>
      </c>
      <c r="DB41" s="106"/>
      <c r="DC41" s="106"/>
      <c r="DD41" s="106"/>
      <c r="DE41" s="106"/>
      <c r="DF41" s="106"/>
      <c r="DG41" s="105" t="str">
        <f t="shared" si="4"/>
        <v>incl</v>
      </c>
      <c r="DH41" t="s">
        <v>111</v>
      </c>
      <c r="DI41" s="111">
        <f t="shared" si="34"/>
        <v>0</v>
      </c>
      <c r="DJ41" s="111">
        <f t="shared" si="34"/>
        <v>0</v>
      </c>
      <c r="DK41" s="111">
        <f t="shared" si="35"/>
        <v>0</v>
      </c>
      <c r="DL41" s="111">
        <f t="shared" si="36"/>
        <v>0</v>
      </c>
      <c r="DM41" s="111">
        <f t="shared" si="37"/>
        <v>0</v>
      </c>
      <c r="DN41" s="111">
        <f t="shared" si="38"/>
        <v>0</v>
      </c>
      <c r="DO41" s="111">
        <f t="shared" si="39"/>
        <v>0</v>
      </c>
      <c r="DP41" s="111">
        <f t="shared" si="40"/>
        <v>0</v>
      </c>
      <c r="DQ41" s="106"/>
      <c r="DR41" s="106"/>
      <c r="DS41" s="111"/>
      <c r="DT41" s="168"/>
      <c r="DW41" s="111">
        <f t="shared" si="12"/>
        <v>22.860127888833706</v>
      </c>
      <c r="DX41" s="111">
        <f t="shared" si="12"/>
        <v>22.860127888833706</v>
      </c>
      <c r="DY41" s="111">
        <f t="shared" si="12"/>
        <v>22.860127888833706</v>
      </c>
      <c r="DZ41" s="111">
        <f t="shared" si="12"/>
        <v>22.860127888833706</v>
      </c>
      <c r="EP41" t="s">
        <v>111</v>
      </c>
      <c r="ER41" s="111">
        <f t="shared" si="13"/>
        <v>45.61565100140281</v>
      </c>
      <c r="ES41" s="111">
        <f>IF($BI$8=2015,VLOOKUP($L41,'[12]IMAGE CDLINKS CurPol'!$P$3:$Y$29,10,FALSE)*$AM41,VLOOKUP($L41,'[12]IMAGE CDLINKS CurPol'!$Z$3:$AI$29,10,FALSE)*$AP41)</f>
        <v>47.954041532099026</v>
      </c>
      <c r="ET41" s="111">
        <f t="shared" si="14"/>
        <v>47.954041532099026</v>
      </c>
      <c r="EU41" s="111">
        <f t="shared" si="19"/>
        <v>10.382482791044628</v>
      </c>
      <c r="EV41" s="111">
        <f>IF($BI$8=2015,VLOOKUP($L41,'[12]IMAGE CDLINKS 2C'!$P$3:$Y$29,10,FALSE)*$AM41,VLOOKUP($L41,'[12]IMAGE CDLINKS 2C'!$Z$3:$AI$29,10,FALSE)*$AP41)</f>
        <v>10.382482791044628</v>
      </c>
      <c r="EX41" s="111"/>
      <c r="EY41" s="111">
        <f t="shared" si="20"/>
        <v>5.0650354535819675</v>
      </c>
      <c r="EZ41" s="111">
        <f>IF($BI$8=2015,VLOOKUP($L41,'[12]IMAGE CDLINKS 1_5C'!$P$3:$Y$29,10,FALSE)*$AM41,VLOOKUP($L41,'[12]IMAGE CDLINKS 1_5C'!$Z$3:$AI$29,10,FALSE)*$AP41)</f>
        <v>5.0650354535819675</v>
      </c>
      <c r="FA41" s="192" t="s">
        <v>2338</v>
      </c>
    </row>
    <row r="42" spans="1:157" x14ac:dyDescent="0.25">
      <c r="A42" t="str">
        <f>IF([12]NDCs!C44="","",[12]NDCs!C44)</f>
        <v>B</v>
      </c>
      <c r="B42" s="159" t="str">
        <f t="shared" si="0"/>
        <v>v</v>
      </c>
      <c r="C42">
        <v>0</v>
      </c>
      <c r="D42">
        <v>0</v>
      </c>
      <c r="E42">
        <v>0</v>
      </c>
      <c r="F42">
        <v>1</v>
      </c>
      <c r="G42" t="b">
        <f t="shared" si="1"/>
        <v>1</v>
      </c>
      <c r="H42" t="s">
        <v>2333</v>
      </c>
      <c r="I42" t="s">
        <v>113</v>
      </c>
      <c r="J42">
        <v>854</v>
      </c>
      <c r="K42">
        <v>216</v>
      </c>
      <c r="L42">
        <v>8</v>
      </c>
      <c r="M42" t="str">
        <f>IF([12]NDCs!AL44="Excluding","excl","incl")</f>
        <v>incl</v>
      </c>
      <c r="N42" s="160">
        <f>[12]GHG_hist!BA32+IF($M42="incl",[12]LULUCF_hist!CR32,0)</f>
        <v>5.1978707999999996</v>
      </c>
      <c r="O42" s="111">
        <f>[12]GHG_hist!BB32+IF($M42="incl",[12]LULUCF_hist!CS32,0)</f>
        <v>5.5036123000000003</v>
      </c>
      <c r="P42" s="111">
        <f>[12]GHG_hist!BC32+IF($M42="incl",[12]LULUCF_hist!CT32,0)</f>
        <v>5.6692380999999994</v>
      </c>
      <c r="Q42" s="111">
        <f>[12]GHG_hist!BD32+IF($M42="incl",[12]LULUCF_hist!CU32,0)</f>
        <v>5.8174961000000005</v>
      </c>
      <c r="R42" s="111">
        <f>[12]GHG_hist!BE32+IF($M42="incl",[12]LULUCF_hist!CV32,0)</f>
        <v>6.0275087999999997</v>
      </c>
      <c r="S42" s="111">
        <f>[12]GHG_hist!BF32+IF($M42="incl",[12]LULUCF_hist!CW32,0)</f>
        <v>31.163221200000002</v>
      </c>
      <c r="T42" s="111">
        <f>[12]GHG_hist!BG32+IF($M42="incl",[12]LULUCF_hist!CX32,0)</f>
        <v>33.13438020769231</v>
      </c>
      <c r="U42" s="111">
        <f>[12]GHG_hist!BH32+IF($M42="incl",[12]LULUCF_hist!CY32,0)</f>
        <v>35.147428615384612</v>
      </c>
      <c r="V42" s="111">
        <f>[12]GHG_hist!BI32+IF($M42="incl",[12]LULUCF_hist!CZ32,0)</f>
        <v>37.02633092307692</v>
      </c>
      <c r="W42" s="111">
        <f>[12]GHG_hist!BJ32+IF($M42="incl",[12]LULUCF_hist!DA32,0)</f>
        <v>38.485217230769223</v>
      </c>
      <c r="X42" s="111">
        <f>[12]GHG_hist!BK32+IF($M42="incl",[12]LULUCF_hist!DB32,0)</f>
        <v>40.611346538461532</v>
      </c>
      <c r="Y42" s="111">
        <f>[12]GHG_hist!BL32+IF($M42="incl",[12]LULUCF_hist!DC32,0)</f>
        <v>42.400258846153839</v>
      </c>
      <c r="Z42" s="111">
        <f>[12]GHG_hist!BM32+IF($M42="incl",[12]LULUCF_hist!DD32,0)</f>
        <v>44.254208153846143</v>
      </c>
      <c r="AA42" s="111">
        <f>[12]GHG_hist!BN32+IF($M42="incl",[12]LULUCF_hist!DE32,0)</f>
        <v>48.548840461538447</v>
      </c>
      <c r="AB42" s="111">
        <f>[12]GHG_hist!BO32+IF($M42="incl",[12]LULUCF_hist!DF32,0)</f>
        <v>50.601110769230758</v>
      </c>
      <c r="AC42" s="111">
        <f>[12]GHG_hist!BP32+IF($M42="incl",[12]LULUCF_hist!DG32,0)</f>
        <v>52.804070076923061</v>
      </c>
      <c r="AD42" s="111">
        <f>[12]GHG_hist!BQ32+IF($M42="incl",[12]LULUCF_hist!DH32,0)</f>
        <v>54.729338384615367</v>
      </c>
      <c r="AE42" s="111">
        <f>[12]GHG_hist!BR32+IF($M42="incl",[12]LULUCF_hist!DI32,0)</f>
        <v>56.898893692307674</v>
      </c>
      <c r="AF42" s="111">
        <f>[12]GHG_hist!BS32+IF($M42="incl",[12]LULUCF_hist!DJ32,0)</f>
        <v>58.851679999999995</v>
      </c>
      <c r="AG42" s="111">
        <f>[12]GHG_hist!BT32+IF($M42="incl",[12]LULUCF_hist!DK32,0)</f>
        <v>60.591829000000004</v>
      </c>
      <c r="AH42" s="111">
        <f>[12]GHG_hist!BU32+IF($M42="incl",[12]LULUCF_hist!DL32,0)</f>
        <v>63.234882999999996</v>
      </c>
      <c r="AI42" s="111">
        <f>[12]GHG_hist!BV32+IF($M42="incl",[12]LULUCF_hist!DM32,0)</f>
        <v>64.304558</v>
      </c>
      <c r="AJ42" s="111">
        <f>[12]GHG_hist!BW32+IF($M42="incl",[12]LULUCF_hist!DN32,0)</f>
        <v>63.548643999999996</v>
      </c>
      <c r="AK42" s="111">
        <f>[12]GHG_hist!BX32+IF($M42="incl",[12]LULUCF_hist!DO32,0)</f>
        <v>66.863776000000001</v>
      </c>
      <c r="AL42" s="111">
        <f>[12]GHG_hist!BY32+IF($M42="incl",[12]LULUCF_hist!DP32,0)</f>
        <v>67.377820999999997</v>
      </c>
      <c r="AM42" s="111">
        <f>[12]GHG_hist!BZ32+IF($M42="incl",[12]LULUCF_hist!DQ32,0)</f>
        <v>69.569918999999999</v>
      </c>
      <c r="AN42" s="111">
        <f>[12]GHG_hist!CA32+IF($M42="incl",[12]LULUCF_hist!DR32,0)</f>
        <v>74.351877999999999</v>
      </c>
      <c r="AO42" s="111">
        <f>[12]GHG_hist!CB32+IF($M42="incl",[12]LULUCF_hist!DS32,0)</f>
        <v>75.895269999999996</v>
      </c>
      <c r="AP42" s="111">
        <f>[12]GHG_hist!CC32+IF($M42="incl",[12]LULUCF_hist!DT32,0)</f>
        <v>82.978133650793808</v>
      </c>
      <c r="AQ42" s="111">
        <f>[12]GHG_hist!CD32+IF($M42="incl",[12]LULUCF_hist!DU32,0)</f>
        <v>85.303203469075527</v>
      </c>
      <c r="AR42" s="111">
        <f>[12]GHG_hist!CE32+IF($M42="incl",[12]LULUCF_hist!DV32,0)</f>
        <v>87.742864287356809</v>
      </c>
      <c r="AS42" s="111">
        <f>[12]GHG_hist!CF32+IF($M42="incl",[12]LULUCF_hist!DW32,0)</f>
        <v>90.39105110563807</v>
      </c>
      <c r="AT42" s="171">
        <f>VLOOKUP($L42,'[12]IMAGE SSP2'!$AF$3:$AK$29,4,FALSE)*($AM42-'[12]IIASA Proj'!$EQ32)+('[12]IIASA Proj'!$EQ32+'[12]IIASA Proj'!$ER32)</f>
        <v>76.055058399863583</v>
      </c>
      <c r="AU42" s="172">
        <f>VLOOKUP($L42,'[12]IMAGE SSP2'!$AF$3:$AK$29,5,FALSE)*($AM42-'[12]IIASA Proj'!$EQ32)+('[12]IIASA Proj'!$EQ32+'[12]IIASA Proj'!$ES32)</f>
        <v>73.973055551611253</v>
      </c>
      <c r="AV42" s="173">
        <f>VLOOKUP($L42,'[12]IMAGE SSP2'!$AF$3:$AK$29,6,FALSE)*($AM42-'[12]IIASA Proj'!$EQ32)+('[12]IIASA Proj'!$EQ32+'[12]IIASA Proj'!$ET32)</f>
        <v>78.933717349634577</v>
      </c>
      <c r="AW42" s="111">
        <f>IF(A42="B",AM42+(AX42-AM42)*0.33333,"")</f>
        <v>85.82078348972999</v>
      </c>
      <c r="AX42" s="164">
        <f>IF(A42="B",IF(M42="excl",[12]NatCom!CO32,[12]NatCom!AX32),"")</f>
        <v>118.32299999999999</v>
      </c>
      <c r="AY42" s="111" t="str">
        <f>IF('[12]Pledge 2020'!E32="","",'[12]Pledge 2020'!E32)</f>
        <v/>
      </c>
      <c r="AZ42" s="164" t="str">
        <f>IF('[12]Pledge 2020'!F32="","",'[12]Pledge 2020'!F32)</f>
        <v/>
      </c>
      <c r="BA42" s="111">
        <f t="shared" si="31"/>
        <v>80.644486750000013</v>
      </c>
      <c r="BB42" s="111">
        <f>IF(BF42="","",(BF42-AH42)*0.75+AH42)</f>
        <v>80.644486750000013</v>
      </c>
      <c r="BC42" s="111">
        <f t="shared" si="32"/>
        <v>72.725491450000007</v>
      </c>
      <c r="BD42" s="111">
        <f>IF(BH42="","",(BH42-AH42)*0.75+AH42)</f>
        <v>72.725491450000007</v>
      </c>
      <c r="BE42" s="196">
        <v>86.447688000000014</v>
      </c>
      <c r="BF42" s="196">
        <v>86.447688000000014</v>
      </c>
      <c r="BG42" s="196">
        <v>75.889027600000006</v>
      </c>
      <c r="BH42" s="197">
        <v>75.889027600000006</v>
      </c>
      <c r="BI42" s="111">
        <f>IF([12]NDCs!V44="",IF([12]NDCs!X44="","",[12]NDCs!X44),[12]NDCs!V44)</f>
        <v>110.51469999999999</v>
      </c>
      <c r="BJ42" s="111">
        <f>IF([12]NDCs!V44="",IF([12]NDCs!X44="","",[12]NDCs!X44),[12]NDCs!V44)</f>
        <v>110.51469999999999</v>
      </c>
      <c r="BK42" s="111">
        <f>IF([12]NDCs!Z44="",IF([12]NDCs!AB44="",IF('input site'!BE42="","",'input site'!BE42),[12]NDCs!AB44),[12]NDCs!Z44)</f>
        <v>96.748369999999994</v>
      </c>
      <c r="BL42" s="111">
        <f>IF([12]NDCs!AA44="",IF([12]NDCs!AC44="",IF('input site'!BF42="","",'input site'!BF42),[12]NDCs!AC44),[12]NDCs!AA44)</f>
        <v>96.748369999999994</v>
      </c>
      <c r="BM42" s="111">
        <f>IF($BI$8=2015,VLOOKUP($L42,'[12]IMAGE CurPol SSP'!$AZ$3:$BD$29,4,FALSE)*$AM42,IF($BI$8=2018,VLOOKUP($L42,'[12]IMAGE CurPol SSP'!$BJ$3:$BN$29,4,FALSE)*$AP42,$AR42))</f>
        <v>87.742864287356809</v>
      </c>
      <c r="BN42" s="111">
        <f t="shared" si="33"/>
        <v>87.742864287356809</v>
      </c>
      <c r="BO42" s="111">
        <f t="shared" si="33"/>
        <v>87.742864287356809</v>
      </c>
      <c r="BP42" s="111">
        <f>IF($BI$8=2015,VLOOKUP($L42,'[12]IMAGE CurPol SSP'!$AZ$3:$BD$29,5,FALSE)*$AM42,IF($BI$8=2018,VLOOKUP($L42,'[12]IMAGE CurPol SSP'!$BJ$3:$BN$29,5,FALSE)*$AP42,VLOOKUP($L42,'[12]IMAGE CurPol SSP'!$BU$3:$BZ$29,5,FALSE)*$AS42))</f>
        <v>93.622266291481949</v>
      </c>
      <c r="BQ42" s="111">
        <f>IF($BI$8=2015,"",IF($BI$8=2018,"",VLOOKUP($L42,'[12]IMAGE CurPol SSP'!$CQ$3:$CV$29,5,FALSE)*$AS42))</f>
        <v>92.582093974532384</v>
      </c>
      <c r="BR42" s="111">
        <f>IF($BI$8=2015,"",IF($BI$8=2018,"",VLOOKUP($L42,'[12]IMAGE CurPol SSP'!$CF$3:$CK$29,5,FALSE)*$AS42))</f>
        <v>94.497442705225836</v>
      </c>
      <c r="BS42" s="111">
        <f>IF($BI$8=2015,VLOOKUP($L42,'[12]IMAGE CurPol SSP'!$AZ$3:$BE$29,6,FALSE)*$AM42,IF($BI$8=2018,VLOOKUP($L42,'[12]IMAGE CurPol SSP'!$BJ$3:$BO$29,6,FALSE)*$AP42,VLOOKUP($L42,'[12]IMAGE CurPol SSP'!$BU$3:$BZ$29,6,FALSE)*$AS42))</f>
        <v>107.65452731092162</v>
      </c>
      <c r="BT42" s="111">
        <f>IF($BI$8=2015,"",IF($BI$8=2018,"",VLOOKUP($L42,'[12]IMAGE CurPol SSP'!$CQ$3:$CV$29,6,FALSE)*$AS42))</f>
        <v>104.86600513612235</v>
      </c>
      <c r="BU42" s="164">
        <f>IF($BI$8=2015,"",IF($BI$8=2018,"",VLOOKUP($L42,'[12]IMAGE CurPol SSP'!$CF$3:$CK$29,6,FALSE)*$AS42))</f>
        <v>107.65452731092162</v>
      </c>
      <c r="CN42" t="s">
        <v>113</v>
      </c>
      <c r="CO42" s="165">
        <f t="shared" si="2"/>
        <v>-0.19698975826323806</v>
      </c>
      <c r="CP42" s="165">
        <f t="shared" si="2"/>
        <v>-0.19698975826323806</v>
      </c>
      <c r="CQ42" s="165">
        <f t="shared" si="2"/>
        <v>-0.29506886987835013</v>
      </c>
      <c r="CR42" s="165">
        <f t="shared" si="2"/>
        <v>-0.29506886987835013</v>
      </c>
      <c r="CS42" s="159"/>
      <c r="CU42" s="159"/>
      <c r="CV42" s="125" t="s">
        <v>621</v>
      </c>
      <c r="CW42" s="125" t="s">
        <v>621</v>
      </c>
      <c r="CX42" s="159"/>
      <c r="CY42" s="167">
        <f t="shared" si="3"/>
        <v>-11.687805887493226</v>
      </c>
      <c r="CZ42" s="159"/>
      <c r="DB42" s="106"/>
      <c r="DC42" s="106"/>
      <c r="DD42" s="106"/>
      <c r="DE42" s="106"/>
      <c r="DF42" s="106"/>
      <c r="DG42" s="105" t="str">
        <f t="shared" si="4"/>
        <v>incl</v>
      </c>
      <c r="DH42" t="s">
        <v>113</v>
      </c>
      <c r="DI42" s="111">
        <f t="shared" si="34"/>
        <v>0</v>
      </c>
      <c r="DJ42" s="111">
        <f t="shared" si="34"/>
        <v>0</v>
      </c>
      <c r="DK42" s="111">
        <f t="shared" si="35"/>
        <v>-12.977779541481937</v>
      </c>
      <c r="DL42" s="111">
        <f t="shared" si="36"/>
        <v>-20.896774841481943</v>
      </c>
      <c r="DM42" s="111">
        <f t="shared" si="37"/>
        <v>-21.206839310921609</v>
      </c>
      <c r="DN42" s="111">
        <f t="shared" si="38"/>
        <v>-31.765499710921617</v>
      </c>
      <c r="DO42" s="111">
        <f t="shared" si="39"/>
        <v>2.8601726890783681</v>
      </c>
      <c r="DP42" s="111">
        <f t="shared" si="40"/>
        <v>-10.906157310921628</v>
      </c>
      <c r="DQ42" s="106"/>
      <c r="DR42" s="106"/>
      <c r="DS42" s="177">
        <f>[12]GHG_hist!BZ32+IF($M42="incl",[12]LULUCF_hist!DQ32,0)</f>
        <v>69.569918999999999</v>
      </c>
      <c r="DT42" s="178">
        <f>IF($M42="incl",'[12]IIASA Proj'!EQ32,0)</f>
        <v>50.030932023973861</v>
      </c>
      <c r="DW42" s="111">
        <f t="shared" si="12"/>
        <v>86.447688000000014</v>
      </c>
      <c r="DX42" s="111">
        <f t="shared" si="12"/>
        <v>86.447688000000014</v>
      </c>
      <c r="DY42" s="111">
        <f t="shared" si="12"/>
        <v>75.889027600000006</v>
      </c>
      <c r="DZ42" s="111">
        <f t="shared" si="12"/>
        <v>75.889027600000006</v>
      </c>
      <c r="EP42" t="s">
        <v>113</v>
      </c>
      <c r="EQ42">
        <v>-1</v>
      </c>
      <c r="ER42" s="111">
        <f t="shared" si="13"/>
        <v>82.978133650793808</v>
      </c>
      <c r="ES42" s="111">
        <f>IF($BI$8=2015,VLOOKUP($L42,'[12]IMAGE CDLINKS CurPol'!$P$3:$Y$29,10,FALSE)*$AM42,VLOOKUP($L42,'[12]IMAGE CDLINKS CurPol'!$Z$3:$AI$29,10,FALSE)*$AP42)</f>
        <v>173.24797410076911</v>
      </c>
      <c r="ET42" s="111">
        <f t="shared" si="14"/>
        <v>173.24797410076911</v>
      </c>
      <c r="EU42" s="111">
        <f t="shared" si="19"/>
        <v>79.069543008051753</v>
      </c>
      <c r="EV42" s="111">
        <f>IF($BI$8=2015,VLOOKUP($L42,'[12]IMAGE CDLINKS 2C'!$P$3:$Y$29,10,FALSE)*$AM42,VLOOKUP($L42,'[12]IMAGE CDLINKS 2C'!$Z$3:$AI$29,10,FALSE)*$AP42)</f>
        <v>79.069543008051753</v>
      </c>
      <c r="EX42" s="111"/>
      <c r="EY42" s="111">
        <f t="shared" si="20"/>
        <v>45.038034228059587</v>
      </c>
      <c r="EZ42" s="111">
        <f>IF($BI$8=2015,VLOOKUP($L42,'[12]IMAGE CDLINKS 1_5C'!$P$3:$Y$29,10,FALSE)*$AM42,VLOOKUP($L42,'[12]IMAGE CDLINKS 1_5C'!$Z$3:$AI$29,10,FALSE)*$AP42)</f>
        <v>45.038034228059587</v>
      </c>
      <c r="FA42" s="192">
        <v>2050</v>
      </c>
    </row>
    <row r="43" spans="1:157" x14ac:dyDescent="0.25">
      <c r="A43" t="str">
        <f>IF([12]NDCs!C45="","",[12]NDCs!C45)</f>
        <v>B</v>
      </c>
      <c r="B43" s="159" t="str">
        <f t="shared" si="0"/>
        <v>v</v>
      </c>
      <c r="C43">
        <v>0</v>
      </c>
      <c r="D43">
        <v>0</v>
      </c>
      <c r="E43">
        <v>0</v>
      </c>
      <c r="F43">
        <v>1</v>
      </c>
      <c r="G43" t="b">
        <f t="shared" si="1"/>
        <v>1</v>
      </c>
      <c r="H43" t="s">
        <v>2328</v>
      </c>
      <c r="I43" t="s">
        <v>115</v>
      </c>
      <c r="J43">
        <v>108</v>
      </c>
      <c r="K43">
        <v>29</v>
      </c>
      <c r="L43">
        <v>9</v>
      </c>
      <c r="M43" t="str">
        <f>IF([12]NDCs!AL45="Excluding","excl","incl")</f>
        <v>incl</v>
      </c>
      <c r="N43" s="160">
        <f>[12]GHG_hist!BA33+IF($M43="incl",[12]LULUCF_hist!CR33,0)</f>
        <v>1.0887745</v>
      </c>
      <c r="O43" s="111">
        <f>[12]GHG_hist!BB33+IF($M43="incl",[12]LULUCF_hist!CS33,0)</f>
        <v>1.1325193000000002</v>
      </c>
      <c r="P43" s="111">
        <f>[12]GHG_hist!BC33+IF($M43="incl",[12]LULUCF_hist!CT33,0)</f>
        <v>1.1534110000000002</v>
      </c>
      <c r="Q43" s="111">
        <f>[12]GHG_hist!BD33+IF($M43="incl",[12]LULUCF_hist!CU33,0)</f>
        <v>1.1527175999999999</v>
      </c>
      <c r="R43" s="111">
        <f>[12]GHG_hist!BE33+IF($M43="incl",[12]LULUCF_hist!CV33,0)</f>
        <v>1.0801430000000001</v>
      </c>
      <c r="S43" s="111">
        <f>[12]GHG_hist!BF33+IF($M43="incl",[12]LULUCF_hist!CW33,0)</f>
        <v>1.1782003000000003</v>
      </c>
      <c r="T43" s="111">
        <f>[12]GHG_hist!BG33+IF($M43="incl",[12]LULUCF_hist!CX33,0)</f>
        <v>1.2156077000000001</v>
      </c>
      <c r="U43" s="111">
        <f>[12]GHG_hist!BH33+IF($M43="incl",[12]LULUCF_hist!CY33,0)</f>
        <v>1.2826913000000002</v>
      </c>
      <c r="V43" s="111">
        <f>[12]GHG_hist!BI33+IF($M43="incl",[12]LULUCF_hist!CZ33,0)</f>
        <v>1.2337707</v>
      </c>
      <c r="W43" s="111">
        <f>[12]GHG_hist!BJ33+IF($M43="incl",[12]LULUCF_hist!DA33,0)</f>
        <v>0.86983770000000016</v>
      </c>
      <c r="X43" s="111">
        <f>[12]GHG_hist!BK33+IF($M43="incl",[12]LULUCF_hist!DB33,0)</f>
        <v>0.9916008999999999</v>
      </c>
      <c r="Y43" s="111">
        <f>[12]GHG_hist!BL33+IF($M43="incl",[12]LULUCF_hist!DC33,0)</f>
        <v>1.2366987000000003</v>
      </c>
      <c r="Z43" s="111">
        <f>[12]GHG_hist!BM33+IF($M43="incl",[12]LULUCF_hist!DD33,0)</f>
        <v>1.2551239999999999</v>
      </c>
      <c r="AA43" s="111">
        <f>[12]GHG_hist!BN33+IF($M43="incl",[12]LULUCF_hist!DE33,0)</f>
        <v>1.2658807000000003</v>
      </c>
      <c r="AB43" s="111">
        <f>[12]GHG_hist!BO33+IF($M43="incl",[12]LULUCF_hist!DF33,0)</f>
        <v>1.3823728000000002</v>
      </c>
      <c r="AC43" s="111">
        <f>[12]GHG_hist!BP33+IF($M43="incl",[12]LULUCF_hist!DG33,0)</f>
        <v>1.4113845999999999</v>
      </c>
      <c r="AD43" s="111">
        <f>[12]GHG_hist!BQ33+IF($M43="incl",[12]LULUCF_hist!DH33,0)</f>
        <v>-0.68212510000000037</v>
      </c>
      <c r="AE43" s="111">
        <f>[12]GHG_hist!BR33+IF($M43="incl",[12]LULUCF_hist!DI33,0)</f>
        <v>-2.8764185000000007</v>
      </c>
      <c r="AF43" s="111">
        <f>[12]GHG_hist!BS33+IF($M43="incl",[12]LULUCF_hist!DJ33,0)</f>
        <v>-4.8183665000000007</v>
      </c>
      <c r="AG43" s="111">
        <f>[12]GHG_hist!BT33+IF($M43="incl",[12]LULUCF_hist!DK33,0)</f>
        <v>-6.2867036000000001</v>
      </c>
      <c r="AH43" s="111">
        <f>[12]GHG_hist!BU33+IF($M43="incl",[12]LULUCF_hist!DL33,0)</f>
        <v>-6.6348153999999999</v>
      </c>
      <c r="AI43" s="111">
        <f>[12]GHG_hist!BV33+IF($M43="incl",[12]LULUCF_hist!DM33,0)</f>
        <v>-7.2092730999999999</v>
      </c>
      <c r="AJ43" s="111">
        <f>[12]GHG_hist!BW33+IF($M43="incl",[12]LULUCF_hist!DN33,0)</f>
        <v>-8.2496767000000002</v>
      </c>
      <c r="AK43" s="111">
        <f>[12]GHG_hist!BX33+IF($M43="incl",[12]LULUCF_hist!DO33,0)</f>
        <v>-8.4282415999999998</v>
      </c>
      <c r="AL43" s="111">
        <f>[12]GHG_hist!BY33+IF($M43="incl",[12]LULUCF_hist!DP33,0)</f>
        <v>-9.069379399999999</v>
      </c>
      <c r="AM43" s="111">
        <f>[12]GHG_hist!BZ33+IF($M43="incl",[12]LULUCF_hist!DQ33,0)</f>
        <v>-9.4326033999999996</v>
      </c>
      <c r="AN43" s="111">
        <f>[12]GHG_hist!CA33+IF($M43="incl",[12]LULUCF_hist!DR33,0)</f>
        <v>-9.7836296000000011</v>
      </c>
      <c r="AO43" s="111">
        <f>[12]GHG_hist!CB33+IF($M43="incl",[12]LULUCF_hist!DS33,0)</f>
        <v>-9.9874486999999998</v>
      </c>
      <c r="AP43" s="111">
        <f>[12]GHG_hist!CC33+IF($M43="incl",[12]LULUCF_hist!DT33,0)</f>
        <v>-10.392789199999999</v>
      </c>
      <c r="AQ43" s="111">
        <f>[12]GHG_hist!CD33+IF($M43="incl",[12]LULUCF_hist!DU33,0)</f>
        <v>-10.9878234</v>
      </c>
      <c r="AR43" s="111">
        <f>[12]GHG_hist!CE33+IF($M43="incl",[12]LULUCF_hist!DV33,0)</f>
        <v>-10.457745585057578</v>
      </c>
      <c r="AS43" s="111">
        <f>[12]GHG_hist!CF33+IF($M43="incl",[12]LULUCF_hist!DW33,0)</f>
        <v>-10.894312059362131</v>
      </c>
      <c r="AT43" s="171">
        <f>VLOOKUP($L43,'[12]IMAGE SSP2'!$AF$3:$AK$29,4,FALSE)*($AM43-'[12]IIASA Proj'!$EQ33)+('[12]IIASA Proj'!$EQ33+'[12]IIASA Proj'!$ER33)</f>
        <v>-9.0471288374093124</v>
      </c>
      <c r="AU43" s="172">
        <f>VLOOKUP($L43,'[12]IMAGE SSP2'!$AF$3:$AK$29,5,FALSE)*($AM43-'[12]IIASA Proj'!$EQ33)+('[12]IIASA Proj'!$EQ33+'[12]IIASA Proj'!$ES33)</f>
        <v>-8.6181434883363597</v>
      </c>
      <c r="AV43" s="173">
        <f>VLOOKUP($L43,'[12]IMAGE SSP2'!$AF$3:$AK$29,6,FALSE)*($AM43-'[12]IIASA Proj'!$EQ33)+('[12]IIASA Proj'!$EQ33+'[12]IIASA Proj'!$ET33)</f>
        <v>-8.0333010816814046</v>
      </c>
      <c r="AW43" s="111">
        <f>IF(A43="B",AM43+(AX43-AM43)*0.33333,"")</f>
        <v>18.539651341322006</v>
      </c>
      <c r="AX43" s="164">
        <f>IF(A43="B",IF(M43="excl",[12]NatCom!CO33,[12]NatCom!AX33),"")</f>
        <v>74.484999999999999</v>
      </c>
      <c r="AY43" s="111" t="str">
        <f>IF('[12]Pledge 2020'!E33="","",'[12]Pledge 2020'!E33)</f>
        <v/>
      </c>
      <c r="AZ43" s="164" t="str">
        <f>IF('[12]Pledge 2020'!F33="","",'[12]Pledge 2020'!F33)</f>
        <v/>
      </c>
      <c r="BA43" s="111">
        <f t="shared" si="31"/>
        <v>52.529133649999999</v>
      </c>
      <c r="BB43" s="111">
        <f>IF(BF43="","",(BF43-AH43)*0.75+AH43)</f>
        <v>52.529133649999999</v>
      </c>
      <c r="BC43" s="111">
        <f t="shared" si="32"/>
        <v>43.032296150000001</v>
      </c>
      <c r="BD43" s="111">
        <f>IF(BH43="","",(BH43-AH43)*0.75+AH43)</f>
        <v>43.032296150000001</v>
      </c>
      <c r="BE43" s="111">
        <v>72.250450000000001</v>
      </c>
      <c r="BF43" s="111">
        <v>72.250450000000001</v>
      </c>
      <c r="BG43" s="111">
        <v>59.588000000000001</v>
      </c>
      <c r="BH43" s="164">
        <v>59.588000000000001</v>
      </c>
      <c r="BI43" s="111">
        <f>IF([12]NDCs!V45="",IF([12]NDCs!X45="","",[12]NDCs!X45),[12]NDCs!V45)</f>
        <v>72.250450000000001</v>
      </c>
      <c r="BJ43" s="111">
        <f>IF([12]NDCs!V45="",IF([12]NDCs!X45="","",[12]NDCs!X45),[12]NDCs!V45)</f>
        <v>72.250450000000001</v>
      </c>
      <c r="BK43" s="111">
        <f>IF([12]NDCs!Z45="",IF([12]NDCs!AB45="",IF('input site'!BE43="","",'input site'!BE43),[12]NDCs!AB45),[12]NDCs!Z45)</f>
        <v>59.588000000000001</v>
      </c>
      <c r="BL43" s="111">
        <f>IF([12]NDCs!AA45="",IF([12]NDCs!AC45="",IF('input site'!BF43="","",'input site'!BF43),[12]NDCs!AC45),[12]NDCs!AA45)</f>
        <v>59.588000000000001</v>
      </c>
      <c r="BM43" s="174">
        <f>IF($BI$8=2015,VLOOKUP($L43,'[12]IMAGE CurPol SSP'!$AZ$3:$BD$29,4,FALSE)*($AM43-'[12]IIASA Proj'!$EQ33)+('[12]IIASA Proj'!$EQ33+'[12]IIASA Proj'!$ER33),AR43)</f>
        <v>-10.457745585057578</v>
      </c>
      <c r="BN43" s="175">
        <f t="shared" si="33"/>
        <v>-10.457745585057578</v>
      </c>
      <c r="BO43" s="175">
        <f t="shared" si="33"/>
        <v>-10.457745585057578</v>
      </c>
      <c r="BP43" s="174">
        <f>IF($BI$8=2015,VLOOKUP($L43,'[12]IMAGE CurPol SSP'!$AZ$3:$BD$29,5,FALSE)*($AM43-'[12]IIASA Proj'!$EQ33)+('[12]IIASA Proj'!$EQ33+'[12]IIASA Proj'!$ES33),VLOOKUP($L43,'[12]IMAGE CurPol SSP'!$BU$3:$BZ$29,5,FALSE)*($AS43-'[12]IIASA Proj'!$DV33)+('[12]IIASA Proj'!$EA33))</f>
        <v>-10.373540974262726</v>
      </c>
      <c r="BQ43" s="174">
        <f>IF($BI$8=2015,"",IF($BI$8=2018,"",MIN(BP43,VLOOKUP($L43,'[12]IMAGE CurPol SSP'!$CQ$3:$CV$29,5,FALSE)*$AS43)))</f>
        <v>-13.512225964265021</v>
      </c>
      <c r="BR43" s="174">
        <f>IF($BI$8=2015,"",IF($BI$8=2018,"",MAX(BP43,VLOOKUP($L43,'[12]IMAGE CurPol SSP'!$CF$3:$CK$29,5,FALSE)*$AS43)))</f>
        <v>-10.373540974262726</v>
      </c>
      <c r="BS43" s="174">
        <f>IF($BI$8=2015,VLOOKUP($L43,'[12]IMAGE CurPol SSP'!$AZ$3:$BE$29,6,FALSE)*($AM43-'[12]IIASA Proj'!$EQ33)+('[12]IIASA Proj'!$EQ33+'[12]IIASA Proj'!$ET33),VLOOKUP($L43,'[12]IMAGE CurPol SSP'!$BU$3:$BZ$29,6,FALSE)*($AS43-'[12]IIASA Proj'!$DV33)+('[12]IIASA Proj'!$EF33))</f>
        <v>-9.6313953134884844</v>
      </c>
      <c r="BT43" s="174">
        <f>IF($BI$8=2015,"",IF($BI$8=2018,"",MIN($BS43,VLOOKUP($L43,'[12]IMAGE CurPol SSP'!$CQ$3:$CV$29,6,FALSE)*$AS43)))</f>
        <v>-16.90599160764851</v>
      </c>
      <c r="BU43" s="176">
        <f>IF($BI$8=2015,"",IF($BI$8=2018,"",MAX($BS43,VLOOKUP($L43,'[12]IMAGE CurPol SSP'!$CF$3:$CK$29,6,FALSE)*$AS43)))</f>
        <v>-9.6313953134884844</v>
      </c>
      <c r="CN43" t="s">
        <v>115</v>
      </c>
      <c r="CO43" s="165">
        <f t="shared" si="2"/>
        <v>-8.501555864788914</v>
      </c>
      <c r="CP43" s="165">
        <f t="shared" si="2"/>
        <v>-8.501555864788914</v>
      </c>
      <c r="CQ43" s="165">
        <f t="shared" si="2"/>
        <v>-7.1868501977640529</v>
      </c>
      <c r="CR43" s="165">
        <f t="shared" si="2"/>
        <v>-7.1868501977640529</v>
      </c>
      <c r="CS43" s="159"/>
      <c r="CU43" s="159"/>
      <c r="CV43" s="125" t="s">
        <v>621</v>
      </c>
      <c r="CW43" s="125" t="s">
        <v>621</v>
      </c>
      <c r="CX43" s="159"/>
      <c r="CY43" s="167">
        <f t="shared" si="3"/>
        <v>1.4106167476482661</v>
      </c>
      <c r="CZ43" s="159"/>
      <c r="DB43" s="106"/>
      <c r="DC43" s="106"/>
      <c r="DD43" s="106"/>
      <c r="DE43" s="106"/>
      <c r="DF43" s="106"/>
      <c r="DG43" s="105" t="str">
        <f t="shared" si="4"/>
        <v>incl</v>
      </c>
      <c r="DH43" t="s">
        <v>115</v>
      </c>
      <c r="DI43" s="111">
        <f t="shared" si="34"/>
        <v>0</v>
      </c>
      <c r="DJ43" s="111">
        <f t="shared" si="34"/>
        <v>0</v>
      </c>
      <c r="DK43" s="111">
        <f t="shared" si="35"/>
        <v>62.902674624262723</v>
      </c>
      <c r="DL43" s="111">
        <f t="shared" si="36"/>
        <v>53.405837124262725</v>
      </c>
      <c r="DM43" s="111">
        <f t="shared" si="37"/>
        <v>81.881845313488483</v>
      </c>
      <c r="DN43" s="111">
        <f t="shared" si="38"/>
        <v>69.219395313488491</v>
      </c>
      <c r="DO43" s="111">
        <f t="shared" si="39"/>
        <v>81.881845313488483</v>
      </c>
      <c r="DP43" s="111">
        <f t="shared" si="40"/>
        <v>69.219395313488491</v>
      </c>
      <c r="DQ43" s="106"/>
      <c r="DR43" s="106"/>
      <c r="DS43" s="177">
        <f>[12]GHG_hist!BZ33+IF($M43="incl",[12]LULUCF_hist!DQ33,0)</f>
        <v>-9.4326033999999996</v>
      </c>
      <c r="DT43" s="178">
        <f>IF($M43="incl",'[12]IIASA Proj'!EQ33,0)</f>
        <v>-14.093024</v>
      </c>
      <c r="DW43" s="111">
        <f t="shared" si="12"/>
        <v>72.250450000000001</v>
      </c>
      <c r="DX43" s="111">
        <f t="shared" si="12"/>
        <v>72.250450000000001</v>
      </c>
      <c r="DY43" s="111">
        <f t="shared" si="12"/>
        <v>59.588000000000001</v>
      </c>
      <c r="DZ43" s="111">
        <f t="shared" si="12"/>
        <v>59.588000000000001</v>
      </c>
      <c r="EP43" t="s">
        <v>115</v>
      </c>
      <c r="EQ43">
        <v>-1</v>
      </c>
      <c r="ER43" s="111">
        <f t="shared" si="13"/>
        <v>-10.392789199999999</v>
      </c>
      <c r="ES43" s="111">
        <f>IF($BI$8=2015,VLOOKUP($L43,'[12]IMAGE CDLINKS CurPol'!$P$3:$Y$29,10,FALSE)*$AM43,VLOOKUP($L43,'[12]IMAGE CDLINKS CurPol'!$Z$3:$AI$29,10,FALSE)*$AP43)</f>
        <v>-22.660053677980429</v>
      </c>
      <c r="ET43" s="111">
        <f t="shared" si="14"/>
        <v>-22.660053677980429</v>
      </c>
      <c r="EU43" s="111">
        <f t="shared" si="19"/>
        <v>-12.178734381337058</v>
      </c>
      <c r="EV43" s="111">
        <f>IF($BI$8=2015,VLOOKUP($L43,'[12]IMAGE CDLINKS 2C'!$P$3:$Y$29,10,FALSE)*$AM43,VLOOKUP($L43,'[12]IMAGE CDLINKS 2C'!$Z$3:$AI$29,10,FALSE)*$AP43)</f>
        <v>-12.178734381337058</v>
      </c>
      <c r="EX43" s="111"/>
      <c r="EY43" s="111">
        <f t="shared" si="20"/>
        <v>-11.1273820948809</v>
      </c>
      <c r="EZ43" s="111">
        <f>IF($BI$8=2015,VLOOKUP($L43,'[12]IMAGE CDLINKS 1_5C'!$P$3:$Y$29,10,FALSE)*$AM43,VLOOKUP($L43,'[12]IMAGE CDLINKS 1_5C'!$Z$3:$AI$29,10,FALSE)*$AP43)</f>
        <v>-11.1273820948809</v>
      </c>
      <c r="FA43" s="192">
        <v>2050</v>
      </c>
    </row>
    <row r="44" spans="1:157" x14ac:dyDescent="0.25">
      <c r="A44" t="str">
        <f>IF([12]NDCs!C46="","",[12]NDCs!C46)</f>
        <v>B</v>
      </c>
      <c r="B44" s="159" t="str">
        <f t="shared" si="0"/>
        <v>v</v>
      </c>
      <c r="C44">
        <v>0</v>
      </c>
      <c r="D44">
        <v>0</v>
      </c>
      <c r="E44">
        <v>0</v>
      </c>
      <c r="F44">
        <v>1</v>
      </c>
      <c r="G44" t="b">
        <f t="shared" si="1"/>
        <v>1</v>
      </c>
      <c r="H44" t="s">
        <v>2333</v>
      </c>
      <c r="I44" t="s">
        <v>117</v>
      </c>
      <c r="J44">
        <v>116</v>
      </c>
      <c r="K44">
        <v>31</v>
      </c>
      <c r="L44">
        <v>21</v>
      </c>
      <c r="M44" t="str">
        <f>IF([12]NDCs!AL46="Excluding","excl","incl")</f>
        <v>incl</v>
      </c>
      <c r="N44" s="160">
        <f>[12]GHG_hist!BA34+IF($M44="incl",[12]LULUCF_hist!CR34,0)</f>
        <v>45.659050000000001</v>
      </c>
      <c r="O44" s="111">
        <f>[12]GHG_hist!BB34+IF($M44="incl",[12]LULUCF_hist!CS34,0)</f>
        <v>45.417773999999994</v>
      </c>
      <c r="P44" s="111">
        <f>[12]GHG_hist!BC34+IF($M44="incl",[12]LULUCF_hist!CT34,0)</f>
        <v>46.021316999999996</v>
      </c>
      <c r="Q44" s="111">
        <f>[12]GHG_hist!BD34+IF($M44="incl",[12]LULUCF_hist!CU34,0)</f>
        <v>46.902292000000003</v>
      </c>
      <c r="R44" s="111">
        <f>[12]GHG_hist!BE34+IF($M44="incl",[12]LULUCF_hist!CV34,0)</f>
        <v>45.755367999999997</v>
      </c>
      <c r="S44" s="111">
        <f>[12]GHG_hist!BF34+IF($M44="incl",[12]LULUCF_hist!CW34,0)</f>
        <v>48.610985999999997</v>
      </c>
      <c r="T44" s="111">
        <f>[12]GHG_hist!BG34+IF($M44="incl",[12]LULUCF_hist!CX34,0)</f>
        <v>48.961019</v>
      </c>
      <c r="U44" s="111">
        <f>[12]GHG_hist!BH34+IF($M44="incl",[12]LULUCF_hist!CY34,0)</f>
        <v>49.190517999999997</v>
      </c>
      <c r="V44" s="111">
        <f>[12]GHG_hist!BI34+IF($M44="incl",[12]LULUCF_hist!CZ34,0)</f>
        <v>49.442132000000001</v>
      </c>
      <c r="W44" s="111">
        <f>[12]GHG_hist!BJ34+IF($M44="incl",[12]LULUCF_hist!DA34,0)</f>
        <v>50.758951999999994</v>
      </c>
      <c r="X44" s="111">
        <f>[12]GHG_hist!BK34+IF($M44="incl",[12]LULUCF_hist!DB34,0)</f>
        <v>49.503525999999994</v>
      </c>
      <c r="Y44" s="111">
        <f>[12]GHG_hist!BL34+IF($M44="incl",[12]LULUCF_hist!DC34,0)</f>
        <v>48.203857999999997</v>
      </c>
      <c r="Z44" s="111">
        <f>[12]GHG_hist!BM34+IF($M44="incl",[12]LULUCF_hist!DD34,0)</f>
        <v>47.128073000000001</v>
      </c>
      <c r="AA44" s="111">
        <f>[12]GHG_hist!BN34+IF($M44="incl",[12]LULUCF_hist!DE34,0)</f>
        <v>47.164655000000003</v>
      </c>
      <c r="AB44" s="111">
        <f>[12]GHG_hist!BO34+IF($M44="incl",[12]LULUCF_hist!DF34,0)</f>
        <v>45.532925000000006</v>
      </c>
      <c r="AC44" s="111">
        <f>[12]GHG_hist!BP34+IF($M44="incl",[12]LULUCF_hist!DG34,0)</f>
        <v>45.538144000000003</v>
      </c>
      <c r="AD44" s="111">
        <f>[12]GHG_hist!BQ34+IF($M44="incl",[12]LULUCF_hist!DH34,0)</f>
        <v>47.020557000000004</v>
      </c>
      <c r="AE44" s="111">
        <f>[12]GHG_hist!BR34+IF($M44="incl",[12]LULUCF_hist!DI34,0)</f>
        <v>47.963084000000009</v>
      </c>
      <c r="AF44" s="111">
        <f>[12]GHG_hist!BS34+IF($M44="incl",[12]LULUCF_hist!DJ34,0)</f>
        <v>48.951401000000004</v>
      </c>
      <c r="AG44" s="111">
        <f>[12]GHG_hist!BT34+IF($M44="incl",[12]LULUCF_hist!DK34,0)</f>
        <v>50.133687000000009</v>
      </c>
      <c r="AH44" s="111">
        <f>[12]GHG_hist!BU34+IF($M44="incl",[12]LULUCF_hist!DL34,0)</f>
        <v>50.710956000000003</v>
      </c>
      <c r="AI44" s="111">
        <f>[12]GHG_hist!BV34+IF($M44="incl",[12]LULUCF_hist!DM34,0)</f>
        <v>51.563777190476152</v>
      </c>
      <c r="AJ44" s="111">
        <f>[12]GHG_hist!BW34+IF($M44="incl",[12]LULUCF_hist!DN34,0)</f>
        <v>50.809921385281349</v>
      </c>
      <c r="AK44" s="111">
        <f>[12]GHG_hist!BX34+IF($M44="incl",[12]LULUCF_hist!DO34,0)</f>
        <v>50.091453580086664</v>
      </c>
      <c r="AL44" s="111">
        <f>[12]GHG_hist!BY34+IF($M44="incl",[12]LULUCF_hist!DP34,0)</f>
        <v>50.212329774891749</v>
      </c>
      <c r="AM44" s="111">
        <f>[12]GHG_hist!BZ34+IF($M44="incl",[12]LULUCF_hist!DQ34,0)</f>
        <v>51.626767969696942</v>
      </c>
      <c r="AN44" s="111">
        <f>[12]GHG_hist!CA34+IF($M44="incl",[12]LULUCF_hist!DR34,0)</f>
        <v>53.302234164502146</v>
      </c>
      <c r="AO44" s="111">
        <f>[12]GHG_hist!CB34+IF($M44="incl",[12]LULUCF_hist!DS34,0)</f>
        <v>54.986358359307346</v>
      </c>
      <c r="AP44" s="111">
        <f>[12]GHG_hist!CC34+IF($M44="incl",[12]LULUCF_hist!DT34,0)</f>
        <v>55.449771554112544</v>
      </c>
      <c r="AQ44" s="111">
        <f>[12]GHG_hist!CD34+IF($M44="incl",[12]LULUCF_hist!DU34,0)</f>
        <v>56.545237748917742</v>
      </c>
      <c r="AR44" s="111">
        <f>[12]GHG_hist!CE34+IF($M44="incl",[12]LULUCF_hist!DV34,0)</f>
        <v>56.152413943722941</v>
      </c>
      <c r="AS44" s="111">
        <f>[12]GHG_hist!CF34+IF($M44="incl",[12]LULUCF_hist!DW34,0)</f>
        <v>56.618696138528144</v>
      </c>
      <c r="AT44" s="161">
        <f>VLOOKUP($L44,'[12]IMAGE SSP2'!$AF$3:$AK$29,4,FALSE)*$AM44</f>
        <v>61.155765107704958</v>
      </c>
      <c r="AU44" s="162">
        <f>VLOOKUP($L44,'[12]IMAGE SSP2'!$AF$3:$AK$29,5,FALSE)*$AM44</f>
        <v>71.63093910998272</v>
      </c>
      <c r="AV44" s="163">
        <f>VLOOKUP($L44,'[12]IMAGE SSP2'!$AF$3:$AK$29,6,FALSE)*$AM44</f>
        <v>79.455013781202922</v>
      </c>
      <c r="AW44" s="111"/>
      <c r="AX44" s="164">
        <f>[12]NDCs!U46</f>
        <v>155</v>
      </c>
      <c r="AY44" s="111" t="str">
        <f>IF('[12]Pledge 2020'!E34="","",'[12]Pledge 2020'!E34)</f>
        <v/>
      </c>
      <c r="AZ44" s="164" t="str">
        <f>IF('[12]Pledge 2020'!F34="","",'[12]Pledge 2020'!F34)</f>
        <v/>
      </c>
      <c r="BA44" s="111" t="str">
        <f t="shared" si="31"/>
        <v/>
      </c>
      <c r="BB44" s="111"/>
      <c r="BC44" s="169">
        <f t="shared" si="32"/>
        <v>80.102739000000014</v>
      </c>
      <c r="BD44" s="111">
        <f>IF(BH44="","",(BH44-AH44)*0.75+AH44)</f>
        <v>80.102739000000014</v>
      </c>
      <c r="BE44" s="111" t="s">
        <v>2477</v>
      </c>
      <c r="BF44" s="111" t="s">
        <v>2477</v>
      </c>
      <c r="BG44" s="169">
        <v>89.9</v>
      </c>
      <c r="BH44" s="170">
        <v>89.9</v>
      </c>
      <c r="BI44" s="111" t="str">
        <f>IF([12]NDCs!V46="",IF([12]NDCs!X46="","",[12]NDCs!X46),[12]NDCs!V46)</f>
        <v/>
      </c>
      <c r="BJ44" s="111" t="str">
        <f>IF([12]NDCs!V46="",IF([12]NDCs!X46="","",[12]NDCs!X46),[12]NDCs!V46)</f>
        <v/>
      </c>
      <c r="BK44" s="198">
        <f>BG44</f>
        <v>89.9</v>
      </c>
      <c r="BL44" s="198">
        <f>BH44</f>
        <v>89.9</v>
      </c>
      <c r="BM44" s="111">
        <f>IF($BI$8=2015,VLOOKUP($L44,'[12]IMAGE CurPol SSP'!$AZ$3:$BD$29,4,FALSE)*$AM44,IF($BI$8=2018,VLOOKUP($L44,'[12]IMAGE CurPol SSP'!$BJ$3:$BN$29,4,FALSE)*$AP44,$AR44))</f>
        <v>56.152413943722941</v>
      </c>
      <c r="BN44" s="111">
        <f t="shared" si="33"/>
        <v>56.152413943722941</v>
      </c>
      <c r="BO44" s="111">
        <f t="shared" si="33"/>
        <v>56.152413943722941</v>
      </c>
      <c r="BP44" s="111">
        <f>IF($BI$8=2015,VLOOKUP($L44,'[12]IMAGE CurPol SSP'!$AZ$3:$BD$29,5,FALSE)*$AM44,IF($BI$8=2018,VLOOKUP($L44,'[12]IMAGE CurPol SSP'!$BJ$3:$BN$29,5,FALSE)*$AP44,VLOOKUP($L44,'[12]IMAGE CurPol SSP'!$BU$3:$BZ$29,5,FALSE)*$AS44))</f>
        <v>59.283140088511985</v>
      </c>
      <c r="BQ44" s="111">
        <f>IF($BI$8=2015,"",IF($BI$8=2018,"",VLOOKUP($L44,'[12]IMAGE CurPol SSP'!$CQ$3:$CV$29,5,FALSE)*$AS44))</f>
        <v>58.760990492992995</v>
      </c>
      <c r="BR44" s="111">
        <f>IF($BI$8=2015,"",IF($BI$8=2018,"",VLOOKUP($L44,'[12]IMAGE CurPol SSP'!$CF$3:$CK$29,5,FALSE)*$AS44))</f>
        <v>59.951213943093336</v>
      </c>
      <c r="BS44" s="111">
        <f>IF($BI$8=2015,VLOOKUP($L44,'[12]IMAGE CurPol SSP'!$AZ$3:$BE$29,6,FALSE)*$AM44,IF($BI$8=2018,VLOOKUP($L44,'[12]IMAGE CurPol SSP'!$BJ$3:$BO$29,6,FALSE)*$AP44,VLOOKUP($L44,'[12]IMAGE CurPol SSP'!$BU$3:$BZ$29,6,FALSE)*$AS44))</f>
        <v>65.397934831103285</v>
      </c>
      <c r="BT44" s="111">
        <f>IF($BI$8=2015,"",IF($BI$8=2018,"",VLOOKUP($L44,'[12]IMAGE CurPol SSP'!$CQ$3:$CV$29,6,FALSE)*$AS44))</f>
        <v>63.956777811649708</v>
      </c>
      <c r="BU44" s="164">
        <f>IF($BI$8=2015,"",IF($BI$8=2018,"",VLOOKUP($L44,'[12]IMAGE CurPol SSP'!$CF$3:$CK$29,6,FALSE)*$AS44))</f>
        <v>66.234915932669594</v>
      </c>
      <c r="CN44" t="s">
        <v>117</v>
      </c>
      <c r="CO44" s="165" t="str">
        <f t="shared" si="2"/>
        <v/>
      </c>
      <c r="CP44" s="165" t="str">
        <f t="shared" si="2"/>
        <v/>
      </c>
      <c r="CQ44" s="165">
        <f t="shared" si="2"/>
        <v>0.37466114537371498</v>
      </c>
      <c r="CR44" s="165">
        <f t="shared" si="2"/>
        <v>0.37466114537371498</v>
      </c>
      <c r="CS44" s="159"/>
      <c r="CU44" s="159"/>
      <c r="CV44" s="125" t="s">
        <v>621</v>
      </c>
      <c r="CW44" s="125" t="s">
        <v>621</v>
      </c>
      <c r="CX44" s="165">
        <f>AP44/$AP$255</f>
        <v>1.2135445869960334E-3</v>
      </c>
      <c r="CY44" s="167">
        <f t="shared" si="3"/>
        <v>5.0033511639820176</v>
      </c>
      <c r="CZ44" s="159"/>
      <c r="DB44" s="106"/>
      <c r="DC44" s="106"/>
      <c r="DD44" s="106"/>
      <c r="DE44" s="106"/>
      <c r="DF44" s="106"/>
      <c r="DG44" s="105" t="str">
        <f t="shared" si="4"/>
        <v>incl</v>
      </c>
      <c r="DH44" t="s">
        <v>117</v>
      </c>
      <c r="DI44" s="111">
        <f t="shared" si="34"/>
        <v>0</v>
      </c>
      <c r="DJ44" s="111">
        <f t="shared" si="34"/>
        <v>0</v>
      </c>
      <c r="DK44" s="111">
        <f t="shared" si="35"/>
        <v>0</v>
      </c>
      <c r="DL44" s="111">
        <f t="shared" si="36"/>
        <v>20.819598911488029</v>
      </c>
      <c r="DM44" s="111">
        <f t="shared" si="37"/>
        <v>0</v>
      </c>
      <c r="DN44" s="111">
        <f t="shared" si="38"/>
        <v>24.502065168896721</v>
      </c>
      <c r="DO44" s="111">
        <f t="shared" si="39"/>
        <v>0</v>
      </c>
      <c r="DP44" s="111">
        <f t="shared" si="40"/>
        <v>24.502065168896721</v>
      </c>
      <c r="DQ44" s="106"/>
      <c r="DR44" s="106"/>
      <c r="DS44" s="111"/>
      <c r="DT44" s="168"/>
      <c r="DW44" s="111">
        <f t="shared" si="12"/>
        <v>65.397934831103285</v>
      </c>
      <c r="DX44" s="111">
        <f t="shared" si="12"/>
        <v>65.397934831103285</v>
      </c>
      <c r="DY44" s="111">
        <f t="shared" si="12"/>
        <v>89.9</v>
      </c>
      <c r="DZ44" s="111">
        <f t="shared" si="12"/>
        <v>89.9</v>
      </c>
      <c r="EP44" t="s">
        <v>117</v>
      </c>
      <c r="EQ44">
        <v>0</v>
      </c>
      <c r="ER44" s="111">
        <f t="shared" si="13"/>
        <v>55.449771554112544</v>
      </c>
      <c r="ES44" s="111">
        <f>IF($BI$8=2015,VLOOKUP($L44,'[12]IMAGE CDLINKS CurPol'!$P$3:$Y$29,10,FALSE)*$AM44,VLOOKUP($L44,'[12]IMAGE CDLINKS CurPol'!$Z$3:$AI$29,10,FALSE)*$AP44)</f>
        <v>92.198211569173921</v>
      </c>
      <c r="ET44" s="111">
        <f t="shared" si="14"/>
        <v>92.198211569173921</v>
      </c>
      <c r="EU44" s="111">
        <f t="shared" si="19"/>
        <v>17.969132013839683</v>
      </c>
      <c r="EV44" s="111">
        <f>IF($BI$8=2015,VLOOKUP($L44,'[12]IMAGE CDLINKS 2C'!$P$3:$Y$29,10,FALSE)*$AM44,VLOOKUP($L44,'[12]IMAGE CDLINKS 2C'!$Z$3:$AI$29,10,FALSE)*$AP44)</f>
        <v>17.969132013839683</v>
      </c>
      <c r="EY44" s="111">
        <f t="shared" si="20"/>
        <v>1.2065327216570019</v>
      </c>
      <c r="EZ44" s="111">
        <f>IF($BI$8=2015,VLOOKUP($L44,'[12]IMAGE CDLINKS 1_5C'!$P$3:$Y$29,10,FALSE)*$AM44,VLOOKUP($L44,'[12]IMAGE CDLINKS 1_5C'!$Z$3:$AI$29,10,FALSE)*$AP44)</f>
        <v>1.2065327216570019</v>
      </c>
      <c r="FA44" s="192"/>
    </row>
    <row r="45" spans="1:157" x14ac:dyDescent="0.25">
      <c r="A45" t="str">
        <f>IF([12]NDCs!C47="","",[12]NDCs!C47)</f>
        <v>B</v>
      </c>
      <c r="B45" s="159" t="str">
        <f t="shared" si="0"/>
        <v>v</v>
      </c>
      <c r="C45">
        <v>0</v>
      </c>
      <c r="D45">
        <v>0</v>
      </c>
      <c r="E45">
        <v>0</v>
      </c>
      <c r="F45">
        <v>1</v>
      </c>
      <c r="G45" t="b">
        <f t="shared" si="1"/>
        <v>1</v>
      </c>
      <c r="H45" t="s">
        <v>2333</v>
      </c>
      <c r="I45" t="s">
        <v>119</v>
      </c>
      <c r="J45">
        <v>120</v>
      </c>
      <c r="K45">
        <v>32</v>
      </c>
      <c r="L45">
        <v>8</v>
      </c>
      <c r="M45" t="str">
        <f>IF([12]NDCs!AL47="Excluding","excl","incl")</f>
        <v>incl</v>
      </c>
      <c r="N45" s="160">
        <f>[12]GHG_hist!BA35+IF($M45="incl",[12]LULUCF_hist!CR35,0)</f>
        <v>50.492644999999996</v>
      </c>
      <c r="O45" s="111">
        <f>[12]GHG_hist!BB35+IF($M45="incl",[12]LULUCF_hist!CS35,0)</f>
        <v>49.568314000000001</v>
      </c>
      <c r="P45" s="111">
        <f>[12]GHG_hist!BC35+IF($M45="incl",[12]LULUCF_hist!CT35,0)</f>
        <v>51.379007000000001</v>
      </c>
      <c r="Q45" s="111">
        <f>[12]GHG_hist!BD35+IF($M45="incl",[12]LULUCF_hist!CU35,0)</f>
        <v>51.075102999999999</v>
      </c>
      <c r="R45" s="111">
        <f>[12]GHG_hist!BE35+IF($M45="incl",[12]LULUCF_hist!CV35,0)</f>
        <v>50.255888999999996</v>
      </c>
      <c r="S45" s="111">
        <f>[12]GHG_hist!BF35+IF($M45="incl",[12]LULUCF_hist!CW35,0)</f>
        <v>34.820642166666659</v>
      </c>
      <c r="T45" s="111">
        <f>[12]GHG_hist!BG35+IF($M45="incl",[12]LULUCF_hist!CX35,0)</f>
        <v>20.298539333333327</v>
      </c>
      <c r="U45" s="111">
        <f>[12]GHG_hist!BH35+IF($M45="incl",[12]LULUCF_hist!CY35,0)</f>
        <v>3.4070994999999904</v>
      </c>
      <c r="V45" s="111">
        <f>[12]GHG_hist!BI35+IF($M45="incl",[12]LULUCF_hist!CZ35,0)</f>
        <v>-11.942603333333345</v>
      </c>
      <c r="W45" s="111">
        <f>[12]GHG_hist!BJ35+IF($M45="incl",[12]LULUCF_hist!DA35,0)</f>
        <v>-28.173516166666676</v>
      </c>
      <c r="X45" s="111">
        <f>[12]GHG_hist!BK35+IF($M45="incl",[12]LULUCF_hist!DB35,0)</f>
        <v>-42.495943000000004</v>
      </c>
      <c r="Y45" s="111">
        <f>[12]GHG_hist!BL35+IF($M45="incl",[12]LULUCF_hist!DC35,0)</f>
        <v>-38.89949722727367</v>
      </c>
      <c r="Z45" s="111">
        <f>[12]GHG_hist!BM35+IF($M45="incl",[12]LULUCF_hist!DD35,0)</f>
        <v>-50.130731030302691</v>
      </c>
      <c r="AA45" s="111">
        <f>[12]GHG_hist!BN35+IF($M45="incl",[12]LULUCF_hist!DE35,0)</f>
        <v>-58.719542833335346</v>
      </c>
      <c r="AB45" s="111">
        <f>[12]GHG_hist!BO35+IF($M45="incl",[12]LULUCF_hist!DF35,0)</f>
        <v>-70.718607636368006</v>
      </c>
      <c r="AC45" s="111">
        <f>[12]GHG_hist!BP35+IF($M45="incl",[12]LULUCF_hist!DG35,0)</f>
        <v>-79.906528439393384</v>
      </c>
      <c r="AD45" s="111">
        <f>[12]GHG_hist!BQ35+IF($M45="incl",[12]LULUCF_hist!DH35,0)</f>
        <v>-91.851460242426043</v>
      </c>
      <c r="AE45" s="111">
        <f>[12]GHG_hist!BR35+IF($M45="incl",[12]LULUCF_hist!DI35,0)</f>
        <v>-100.70602304545505</v>
      </c>
      <c r="AF45" s="111">
        <f>[12]GHG_hist!BS35+IF($M45="incl",[12]LULUCF_hist!DJ35,0)</f>
        <v>-111.41604584848409</v>
      </c>
      <c r="AG45" s="111">
        <f>[12]GHG_hist!BT35+IF($M45="incl",[12]LULUCF_hist!DK35,0)</f>
        <v>-120.79880665151674</v>
      </c>
      <c r="AH45" s="111">
        <f>[12]GHG_hist!BU35+IF($M45="incl",[12]LULUCF_hist!DL35,0)</f>
        <v>-131.45845445454938</v>
      </c>
      <c r="AI45" s="111">
        <f>[12]GHG_hist!BV35+IF($M45="incl",[12]LULUCF_hist!DM35,0)</f>
        <v>-142.71097325757842</v>
      </c>
      <c r="AJ45" s="111">
        <f>[12]GHG_hist!BW35+IF($M45="incl",[12]LULUCF_hist!DN35,0)</f>
        <v>-153.13891206060745</v>
      </c>
      <c r="AK45" s="111">
        <f>[12]GHG_hist!BX35+IF($M45="incl",[12]LULUCF_hist!DO35,0)</f>
        <v>-163.18535786364009</v>
      </c>
      <c r="AL45" s="111">
        <f>[12]GHG_hist!BY35+IF($M45="incl",[12]LULUCF_hist!DP35,0)</f>
        <v>-170.63210666667277</v>
      </c>
      <c r="AM45" s="111">
        <f>[12]GHG_hist!BZ35+IF($M45="incl",[12]LULUCF_hist!DQ35,0)</f>
        <v>-177.59811246969815</v>
      </c>
      <c r="AN45" s="111">
        <f>[12]GHG_hist!CA35+IF($M45="incl",[12]LULUCF_hist!DR35,0)</f>
        <v>-186.6994452727308</v>
      </c>
      <c r="AO45" s="111">
        <f>[12]GHG_hist!CB35+IF($M45="incl",[12]LULUCF_hist!DS35,0)</f>
        <v>-199.36377107576345</v>
      </c>
      <c r="AP45" s="111">
        <f>[12]GHG_hist!CC35+IF($M45="incl",[12]LULUCF_hist!DT35,0)</f>
        <v>-209.16731087878884</v>
      </c>
      <c r="AQ45" s="111">
        <f>[12]GHG_hist!CD35+IF($M45="incl",[12]LULUCF_hist!DU35,0)</f>
        <v>-218.72934868182148</v>
      </c>
      <c r="AR45" s="111">
        <f>[12]GHG_hist!CE35+IF($M45="incl",[12]LULUCF_hist!DV35,0)</f>
        <v>-230.08392448485415</v>
      </c>
      <c r="AS45" s="111">
        <f>[12]GHG_hist!CF35+IF($M45="incl",[12]LULUCF_hist!DW35,0)</f>
        <v>-240.24362328788317</v>
      </c>
      <c r="AT45" s="161">
        <f>VLOOKUP($L45,'[12]IMAGE SSP2'!$AF$3:$AK$29,4,FALSE)*$AM45</f>
        <v>-234.30283433388928</v>
      </c>
      <c r="AU45" s="162">
        <f>VLOOKUP($L45,'[12]IMAGE SSP2'!$AF$3:$AK$29,5,FALSE)*$AM45</f>
        <v>-271.83957930864284</v>
      </c>
      <c r="AV45" s="163">
        <f>VLOOKUP($L45,'[12]IMAGE SSP2'!$AF$3:$AK$29,6,FALSE)*$AM45</f>
        <v>-325.87357788803149</v>
      </c>
      <c r="AW45" s="111">
        <f>IF(A45="B",AM45+(AX45-AM45)*0.33333,"")</f>
        <v>-83.67068093017366</v>
      </c>
      <c r="AX45" s="164">
        <f>[12]NDCs!$U$47</f>
        <v>104.187</v>
      </c>
      <c r="AY45" s="111" t="str">
        <f>IF('[12]Pledge 2020'!E35="","",'[12]Pledge 2020'!E35)</f>
        <v/>
      </c>
      <c r="AZ45" s="164" t="str">
        <f>IF('[12]Pledge 2020'!F35="","",'[12]Pledge 2020'!F35)</f>
        <v/>
      </c>
      <c r="BA45" s="111">
        <f t="shared" si="31"/>
        <v>35.898806386362651</v>
      </c>
      <c r="BB45" s="111">
        <f>IF(BF45="","",(BF45-AI45)*0.75+AI45)</f>
        <v>33.085676685605392</v>
      </c>
      <c r="BC45" s="111">
        <f t="shared" si="32"/>
        <v>17.926548886362667</v>
      </c>
      <c r="BD45" s="111">
        <f>IF(BH45="","",(BH45-AH45)*0.75+AH45)</f>
        <v>17.926548886362667</v>
      </c>
      <c r="BE45" s="169">
        <v>91.684560000000005</v>
      </c>
      <c r="BF45" s="169">
        <v>91.684560000000005</v>
      </c>
      <c r="BG45" s="169">
        <v>67.721550000000008</v>
      </c>
      <c r="BH45" s="170">
        <v>67.721550000000008</v>
      </c>
      <c r="BI45" s="111" t="str">
        <f>IF([12]NDCs!V47="",IF([12]NDCs!X47="","",[12]NDCs!X47),[12]NDCs!V47)</f>
        <v/>
      </c>
      <c r="BJ45" s="111" t="str">
        <f>IF([12]NDCs!V47="",IF([12]NDCs!X47="","",[12]NDCs!X47),[12]NDCs!V47)</f>
        <v/>
      </c>
      <c r="BK45" s="111">
        <f>IF([12]NDCs!Z47="",IF([12]NDCs!AB47="",IF('input site'!BE45="","",'input site'!BE45),[12]NDCs!AB47),[12]NDCs!Z47)</f>
        <v>64.887600000000006</v>
      </c>
      <c r="BL45" s="111">
        <f>IF([12]NDCs!AA47="",IF([12]NDCs!AC47="",IF('input site'!BF45="","",'input site'!BF45),[12]NDCs!AC47),[12]NDCs!AA47)</f>
        <v>64.887600000000006</v>
      </c>
      <c r="BM45" s="111">
        <f>IF($BI$8=2015,VLOOKUP($L45,'[12]IMAGE CurPol SSP'!$AZ$3:$BD$29,4,FALSE)*$AM45,IF($BI$8=2018,VLOOKUP($L45,'[12]IMAGE CurPol SSP'!$BJ$3:$BN$29,4,FALSE)*$AP45,$AR45))</f>
        <v>-230.08392448485415</v>
      </c>
      <c r="BN45" s="111">
        <f t="shared" si="33"/>
        <v>-230.08392448485415</v>
      </c>
      <c r="BO45" s="111">
        <f t="shared" si="33"/>
        <v>-230.08392448485415</v>
      </c>
      <c r="BP45" s="111">
        <f>IF($BI$8=2015,VLOOKUP($L45,'[12]IMAGE CurPol SSP'!$AZ$3:$BD$29,5,FALSE)*$AM45,IF($BI$8=2018,VLOOKUP($L45,'[12]IMAGE CurPol SSP'!$BJ$3:$BN$29,5,FALSE)*$AP45,VLOOKUP($L45,'[12]IMAGE CurPol SSP'!$BU$3:$BZ$29,5,FALSE)*$AS45))</f>
        <v>-248.83162878593566</v>
      </c>
      <c r="BQ45" s="111">
        <f>IF($BI$8=2015,"",IF($BI$8=2018,"",VLOOKUP($L45,'[12]IMAGE CurPol SSP'!$CQ$3:$CV$29,5,FALSE)*$AS45))</f>
        <v>-246.06703247677595</v>
      </c>
      <c r="BR45" s="111">
        <f>IF($BI$8=2015,"",IF($BI$8=2018,"",VLOOKUP($L45,'[12]IMAGE CurPol SSP'!$CF$3:$CK$29,5,FALSE)*$AS45))</f>
        <v>-251.15769480776126</v>
      </c>
      <c r="BS45" s="111">
        <f>IF($BI$8=2015,VLOOKUP($L45,'[12]IMAGE CurPol SSP'!$AZ$3:$BE$29,6,FALSE)*$AM45,IF($BI$8=2018,VLOOKUP($L45,'[12]IMAGE CurPol SSP'!$BJ$3:$BO$29,6,FALSE)*$AP45,VLOOKUP($L45,'[12]IMAGE CurPol SSP'!$BU$3:$BZ$29,6,FALSE)*$AS45))</f>
        <v>-286.12692725847705</v>
      </c>
      <c r="BT45" s="111">
        <f>IF($BI$8=2015,"",IF($BI$8=2018,"",VLOOKUP($L45,'[12]IMAGE CurPol SSP'!$CQ$3:$CV$29,6,FALSE)*$AS45))</f>
        <v>-278.71552244906223</v>
      </c>
      <c r="BU45" s="164">
        <f>IF($BI$8=2015,"",IF($BI$8=2018,"",VLOOKUP($L45,'[12]IMAGE CurPol SSP'!$CF$3:$CK$29,6,FALSE)*$AS45))</f>
        <v>-286.12692725847705</v>
      </c>
      <c r="CN45" t="s">
        <v>119</v>
      </c>
      <c r="CO45" s="165">
        <f t="shared" si="2"/>
        <v>-1.320433175858263</v>
      </c>
      <c r="CP45" s="165">
        <f t="shared" si="2"/>
        <v>-1.320433175858263</v>
      </c>
      <c r="CQ45" s="165">
        <f t="shared" si="2"/>
        <v>-1.2366835958043989</v>
      </c>
      <c r="CR45" s="165">
        <f t="shared" si="2"/>
        <v>-1.2366835958043989</v>
      </c>
      <c r="CS45" s="159"/>
      <c r="CU45" s="159"/>
      <c r="CV45" s="125" t="s">
        <v>621</v>
      </c>
      <c r="CW45" s="125" t="s">
        <v>621</v>
      </c>
      <c r="CX45" s="159"/>
      <c r="CY45" s="167">
        <f t="shared" si="3"/>
        <v>-4.2189098490351284</v>
      </c>
      <c r="CZ45" s="159"/>
      <c r="DB45" s="106"/>
      <c r="DC45" s="106"/>
      <c r="DD45" s="106"/>
      <c r="DE45" s="106"/>
      <c r="DF45" s="106"/>
      <c r="DG45" s="105" t="str">
        <f t="shared" si="4"/>
        <v>incl</v>
      </c>
      <c r="DH45" t="s">
        <v>119</v>
      </c>
      <c r="DI45" s="111">
        <f t="shared" si="34"/>
        <v>0</v>
      </c>
      <c r="DJ45" s="111">
        <f t="shared" si="34"/>
        <v>0</v>
      </c>
      <c r="DK45" s="111">
        <f t="shared" si="35"/>
        <v>284.73043517229831</v>
      </c>
      <c r="DL45" s="111">
        <f t="shared" si="36"/>
        <v>266.7581776722983</v>
      </c>
      <c r="DM45" s="111">
        <f t="shared" si="37"/>
        <v>377.81148725847709</v>
      </c>
      <c r="DN45" s="111">
        <f t="shared" si="38"/>
        <v>353.84847725847703</v>
      </c>
      <c r="DO45" s="111">
        <f t="shared" si="39"/>
        <v>0</v>
      </c>
      <c r="DP45" s="111">
        <f t="shared" si="40"/>
        <v>351.01452725847707</v>
      </c>
      <c r="DQ45" s="106"/>
      <c r="DR45" s="106"/>
      <c r="DS45" s="111"/>
      <c r="DT45" s="168"/>
      <c r="DW45" s="111">
        <f t="shared" si="12"/>
        <v>91.684560000000005</v>
      </c>
      <c r="DX45" s="111">
        <f t="shared" si="12"/>
        <v>91.684560000000005</v>
      </c>
      <c r="DY45" s="111">
        <f t="shared" si="12"/>
        <v>67.721550000000008</v>
      </c>
      <c r="DZ45" s="111">
        <f t="shared" si="12"/>
        <v>67.721550000000008</v>
      </c>
      <c r="EP45" t="s">
        <v>119</v>
      </c>
      <c r="EQ45">
        <v>0</v>
      </c>
      <c r="ER45" s="111">
        <f t="shared" si="13"/>
        <v>-209.16731087878884</v>
      </c>
      <c r="ES45" s="111">
        <f>IF($BI$8=2015,VLOOKUP($L45,'[12]IMAGE CDLINKS CurPol'!$P$3:$Y$29,10,FALSE)*$AM45,VLOOKUP($L45,'[12]IMAGE CDLINKS CurPol'!$Z$3:$AI$29,10,FALSE)*$AP45)</f>
        <v>-436.71520753117426</v>
      </c>
      <c r="ET45" s="111">
        <f t="shared" si="14"/>
        <v>-436.71520753117426</v>
      </c>
      <c r="EU45" s="111">
        <f t="shared" si="19"/>
        <v>-199.31472251485988</v>
      </c>
      <c r="EV45" s="111">
        <f>IF($BI$8=2015,VLOOKUP($L45,'[12]IMAGE CDLINKS 2C'!$P$3:$Y$29,10,FALSE)*$AM45,VLOOKUP($L45,'[12]IMAGE CDLINKS 2C'!$Z$3:$AI$29,10,FALSE)*$AP45)</f>
        <v>-199.31472251485988</v>
      </c>
      <c r="EY45" s="111">
        <f t="shared" si="20"/>
        <v>-113.52972273870793</v>
      </c>
      <c r="EZ45" s="111">
        <f>IF($BI$8=2015,VLOOKUP($L45,'[12]IMAGE CDLINKS 1_5C'!$P$3:$Y$29,10,FALSE)*$AM45,VLOOKUP($L45,'[12]IMAGE CDLINKS 1_5C'!$Z$3:$AI$29,10,FALSE)*$AP45)</f>
        <v>-113.52972273870793</v>
      </c>
      <c r="FA45" s="192"/>
    </row>
    <row r="46" spans="1:157" x14ac:dyDescent="0.25">
      <c r="A46" t="str">
        <f>IF([12]NDCs!C48="","",[12]NDCs!C48)</f>
        <v>A</v>
      </c>
      <c r="B46" s="159" t="str">
        <f t="shared" si="0"/>
        <v>iii</v>
      </c>
      <c r="C46">
        <v>1</v>
      </c>
      <c r="D46">
        <v>0</v>
      </c>
      <c r="E46">
        <v>1</v>
      </c>
      <c r="F46">
        <v>1</v>
      </c>
      <c r="G46" t="b">
        <f t="shared" si="1"/>
        <v>1</v>
      </c>
      <c r="H46" t="s">
        <v>2339</v>
      </c>
      <c r="I46" t="s">
        <v>121</v>
      </c>
      <c r="J46">
        <v>124</v>
      </c>
      <c r="K46">
        <v>33</v>
      </c>
      <c r="L46">
        <v>1</v>
      </c>
      <c r="M46" t="str">
        <f>IF([12]NDCs!AL48="Excluding","excl","incl")</f>
        <v>excl</v>
      </c>
      <c r="N46" s="188">
        <f>IF($M46="incl",[12]CAN!E$41,[12]CAN!E$37)</f>
        <v>588.60282380000001</v>
      </c>
      <c r="O46" s="188">
        <f>IF($M46="incl",[12]CAN!F$41,[12]CAN!F$37)</f>
        <v>582.03122169999995</v>
      </c>
      <c r="P46" s="188">
        <f>IF($M46="incl",[12]CAN!G$41,[12]CAN!G$37)</f>
        <v>599.24266160000002</v>
      </c>
      <c r="Q46" s="188">
        <f>IF($M46="incl",[12]CAN!H$41,[12]CAN!H$37)</f>
        <v>601.74365439999997</v>
      </c>
      <c r="R46" s="188">
        <f>IF($M46="incl",[12]CAN!I$41,[12]CAN!I$37)</f>
        <v>621.93412890000002</v>
      </c>
      <c r="S46" s="188">
        <f>IF($M46="incl",[12]CAN!J$41,[12]CAN!J$37)</f>
        <v>639.070285299999</v>
      </c>
      <c r="T46" s="188">
        <f>IF($M46="incl",[12]CAN!K$41,[12]CAN!K$37)</f>
        <v>660.76780299999996</v>
      </c>
      <c r="U46" s="188">
        <f>IF($M46="incl",[12]CAN!L$41,[12]CAN!L$37)</f>
        <v>676.39422430000002</v>
      </c>
      <c r="V46" s="188">
        <f>IF($M46="incl",[12]CAN!M$41,[12]CAN!M$37)</f>
        <v>682.43482989999995</v>
      </c>
      <c r="W46" s="188">
        <f>IF($M46="incl",[12]CAN!N$41,[12]CAN!N$37)</f>
        <v>694.51693829999999</v>
      </c>
      <c r="X46" s="188">
        <f>IF($M46="incl",[12]CAN!O$41,[12]CAN!O$37)</f>
        <v>719.46371369999997</v>
      </c>
      <c r="Y46" s="188">
        <f>IF($M46="incl",[12]CAN!P$41,[12]CAN!P$37)</f>
        <v>710.17183979999902</v>
      </c>
      <c r="Z46" s="188">
        <f>IF($M46="incl",[12]CAN!Q$41,[12]CAN!Q$37)</f>
        <v>715.48976549999998</v>
      </c>
      <c r="AA46" s="188">
        <f>IF($M46="incl",[12]CAN!R$41,[12]CAN!R$37)</f>
        <v>734.14054650000003</v>
      </c>
      <c r="AB46" s="188">
        <f>IF($M46="incl",[12]CAN!S$41,[12]CAN!S$37)</f>
        <v>736.7254567</v>
      </c>
      <c r="AC46" s="188">
        <f>IF($M46="incl",[12]CAN!T$41,[12]CAN!T$37)</f>
        <v>732.22009300000002</v>
      </c>
      <c r="AD46" s="188">
        <f>IF($M46="incl",[12]CAN!U$41,[12]CAN!U$37)</f>
        <v>725.289222899999</v>
      </c>
      <c r="AE46" s="188">
        <f>IF($M46="incl",[12]CAN!V$41,[12]CAN!V$37)</f>
        <v>748.07009089999997</v>
      </c>
      <c r="AF46" s="188">
        <f>IF($M46="incl",[12]CAN!W$41,[12]CAN!W$37)</f>
        <v>730.80123560000004</v>
      </c>
      <c r="AG46" s="188">
        <f>IF($M46="incl",[12]CAN!X$41,[12]CAN!X$37)</f>
        <v>689.54931839999995</v>
      </c>
      <c r="AH46" s="188">
        <f>IF($M46="incl",[12]CAN!Y$41,[12]CAN!Y$37)</f>
        <v>701.86754739999901</v>
      </c>
      <c r="AI46" s="188">
        <f>IF($M46="incl",[12]CAN!Z$41,[12]CAN!Z$37)</f>
        <v>711.31282320000003</v>
      </c>
      <c r="AJ46" s="188">
        <f>IF($M46="incl",[12]CAN!AA$41,[12]CAN!AA$37)</f>
        <v>716.3705003</v>
      </c>
      <c r="AK46" s="188">
        <f>IF($M46="incl",[12]CAN!AB$41,[12]CAN!AB$37)</f>
        <v>723.09630440000001</v>
      </c>
      <c r="AL46" s="188">
        <f>IF($M46="incl",[12]CAN!AC$41,[12]CAN!AC$37)</f>
        <v>720.19545909999999</v>
      </c>
      <c r="AM46" s="188">
        <f>IF($M46="incl",[12]CAN!AD$41,[12]CAN!AD$37)</f>
        <v>722.91826800000001</v>
      </c>
      <c r="AN46" s="188">
        <f>IF($M46="incl",[12]CAN!AE$41,[12]CAN!AE$37)</f>
        <v>704.92786749999902</v>
      </c>
      <c r="AO46" s="188">
        <f>IF($M46="incl",[12]CAN!AF$41,[12]CAN!AF$37)</f>
        <v>712.23380139999995</v>
      </c>
      <c r="AP46" s="188">
        <f>IF($M46="incl",[12]CAN!AG$41,[12]CAN!AG$37)</f>
        <v>724.61577979999902</v>
      </c>
      <c r="AQ46" s="188">
        <f>IF($M46="incl",[12]CAN!AH$41,[12]CAN!AH$37)</f>
        <v>723.67929040000001</v>
      </c>
      <c r="AR46" s="188">
        <f>IF($M46="incl",[12]CAN!AI$41,[12]CAN!AI$37)</f>
        <v>658.78838959999996</v>
      </c>
      <c r="AS46" s="188">
        <f>IF($M46="incl",[12]CAN!AJ$41,[12]CAN!AJ$37)</f>
        <v>670.42830449999997</v>
      </c>
      <c r="AT46" s="189">
        <f>AR46</f>
        <v>658.78838959999996</v>
      </c>
      <c r="AU46" s="111">
        <f>[12]CAN!AN23</f>
        <v>733.3654413999999</v>
      </c>
      <c r="AV46" s="164">
        <f>[12]CAN!AS23</f>
        <v>723.10374139999988</v>
      </c>
      <c r="AW46" s="111" t="str">
        <f t="shared" si="15"/>
        <v/>
      </c>
      <c r="AX46" s="164" t="str">
        <f>IF(A46="B",IF(M46="excl",[12]NatCom!CO36,[12]NatCom!AX36),"")</f>
        <v/>
      </c>
      <c r="AY46" s="111">
        <f>IF('[12]Pledge 2020'!E36="","",'[12]Pledge 2020'!E36)</f>
        <v>613.13760000000002</v>
      </c>
      <c r="AZ46" s="164">
        <f>IF('[12]Pledge 2020'!F36="","",'[12]Pledge 2020'!F36)</f>
        <v>613.13760000000002</v>
      </c>
      <c r="BA46" s="106">
        <f>[12]CAN!X10</f>
        <v>494.03988684999979</v>
      </c>
      <c r="BB46" s="106">
        <f>IF(BF46="","",(BF46-AH46)*0.75+AH46)</f>
        <v>507.89088684999979</v>
      </c>
      <c r="BC46" s="106">
        <f>[12]CAN!Y10</f>
        <v>494.03988684999979</v>
      </c>
      <c r="BD46" s="106">
        <f>IF(BH46="","",(BH46-AH46)*0.75+AH46)</f>
        <v>507.89088684999979</v>
      </c>
      <c r="BE46" s="199">
        <v>406.29600000000005</v>
      </c>
      <c r="BF46" s="199">
        <v>443.23200000000003</v>
      </c>
      <c r="BG46" s="199">
        <v>406.29600000000005</v>
      </c>
      <c r="BH46" s="200">
        <v>443.23200000000003</v>
      </c>
      <c r="BI46" s="111">
        <f>IF([12]NDCs!V48="",IF([12]NDCs!X48="","",[12]NDCs!X48),[12]NDCs!V48)</f>
        <v>517.29999999999995</v>
      </c>
      <c r="BJ46" s="111">
        <f>IF([12]NDCs!V48="",IF([12]NDCs!X48="","",[12]NDCs!X48),[12]NDCs!V48)</f>
        <v>517.29999999999995</v>
      </c>
      <c r="BK46" s="111">
        <f>IF([12]NDCs!Z48="",IF([12]NDCs!AB48="",IF('input site'!BE46="","",'input site'!BE46),[12]NDCs!AB48),[12]NDCs!Z48)</f>
        <v>517.29999999999995</v>
      </c>
      <c r="BL46" s="111">
        <f>IF([12]NDCs!AA48="",IF([12]NDCs!AC48="",IF('input site'!BF46="","",'input site'!BF46),[12]NDCs!AC48),[12]NDCs!AA48)</f>
        <v>517.29999999999995</v>
      </c>
      <c r="BM46" s="190">
        <f>[12]CAN!AB$5</f>
        <v>658.78838959999996</v>
      </c>
      <c r="BN46" s="127">
        <f>[12]CAN!AB7</f>
        <v>658.78838959999996</v>
      </c>
      <c r="BO46" s="127">
        <f>[12]CAN!AB6</f>
        <v>658.78838959999996</v>
      </c>
      <c r="BP46" s="191">
        <f>[12]CAN!AC$5</f>
        <v>574.96534399401401</v>
      </c>
      <c r="BQ46" s="127">
        <f>[12]CAN!AC7</f>
        <v>574.96534399401401</v>
      </c>
      <c r="BR46" s="127">
        <f>[12]CAN!AC6</f>
        <v>668.43614439999897</v>
      </c>
      <c r="BS46" s="191">
        <f>[12]CAN!AD$5</f>
        <v>480.74523447307598</v>
      </c>
      <c r="BT46" s="127">
        <f>[12]CAN!AD7</f>
        <v>480.74523447307598</v>
      </c>
      <c r="BU46" s="127">
        <f>[12]CAN!AD6</f>
        <v>648.51454369999897</v>
      </c>
      <c r="CN46" t="s">
        <v>121</v>
      </c>
      <c r="CO46" s="165">
        <f t="shared" si="2"/>
        <v>-0.1548621372288308</v>
      </c>
      <c r="CP46" s="165">
        <f t="shared" si="2"/>
        <v>-7.8031422431451891E-2</v>
      </c>
      <c r="CQ46" s="165">
        <f t="shared" si="2"/>
        <v>-0.1548621372288308</v>
      </c>
      <c r="CR46" s="165">
        <f t="shared" si="2"/>
        <v>-7.8031422431451891E-2</v>
      </c>
      <c r="CS46" s="185">
        <f>IF(BE46&lt;=MIN(BS46:BU46),0,1)</f>
        <v>0</v>
      </c>
      <c r="CT46" s="185">
        <f>IF(BG46&lt;=MIN(BS46:BU46),0,1)</f>
        <v>0</v>
      </c>
      <c r="CU46">
        <f>IF(BS46&lt;=MAX(AN46,AP46),1,0)</f>
        <v>1</v>
      </c>
      <c r="CV46" s="122" t="str">
        <f>IF(CS46=1,IF(CU46=1,"i","ii"),IF(CU46=1,"iii","iv"))</f>
        <v>iii</v>
      </c>
      <c r="CW46" s="122" t="str">
        <f>IF(CT46=1,IF(CU46=1,"i","ii"),IF(CU46=1,"iii","iv"))</f>
        <v>iii</v>
      </c>
      <c r="CX46"/>
      <c r="CY46" s="167">
        <f t="shared" si="3"/>
        <v>0</v>
      </c>
      <c r="DA46" s="187">
        <f>[12]CAN!P18</f>
        <v>0</v>
      </c>
      <c r="DB46" s="187">
        <f>[12]CAN!Q18</f>
        <v>0</v>
      </c>
      <c r="DC46" s="187">
        <f>[12]CAN!R18</f>
        <v>0</v>
      </c>
      <c r="DD46" s="187">
        <f>[12]CAN!S18</f>
        <v>0</v>
      </c>
      <c r="DE46" s="187">
        <f>[12]CAN!T18</f>
        <v>0</v>
      </c>
      <c r="DF46" s="187">
        <f>[12]CAN!U18</f>
        <v>0</v>
      </c>
      <c r="DG46" s="105" t="str">
        <f t="shared" si="4"/>
        <v>excl</v>
      </c>
      <c r="DH46" t="s">
        <v>121</v>
      </c>
      <c r="DI46" s="127"/>
      <c r="DJ46" s="127"/>
      <c r="DK46" s="127"/>
      <c r="DL46" s="127"/>
      <c r="DM46" s="127"/>
      <c r="DN46" s="127"/>
      <c r="DO46" s="127"/>
      <c r="DP46" s="127"/>
      <c r="DQ46" s="187">
        <f>[12]CAN!BA$18</f>
        <v>0</v>
      </c>
      <c r="DR46" s="187">
        <f>[12]CAN!BB$18</f>
        <v>0</v>
      </c>
      <c r="DS46" s="111"/>
      <c r="DT46" s="168"/>
      <c r="DW46" s="111">
        <f t="shared" si="12"/>
        <v>406.29600000000005</v>
      </c>
      <c r="DX46" s="111">
        <f t="shared" si="12"/>
        <v>443.23200000000003</v>
      </c>
      <c r="DY46" s="111">
        <f t="shared" si="12"/>
        <v>406.29600000000005</v>
      </c>
      <c r="DZ46" s="111">
        <f t="shared" si="12"/>
        <v>443.23200000000003</v>
      </c>
      <c r="EP46" t="s">
        <v>121</v>
      </c>
      <c r="EQ46">
        <v>2</v>
      </c>
      <c r="ER46" s="111">
        <f t="shared" si="13"/>
        <v>724.61577979999902</v>
      </c>
      <c r="ES46" s="111">
        <f>IF($BI$8=2015,VLOOKUP($L46,'[12]IMAGE CDLINKS CurPol'!$P$3:$Y$29,10,FALSE)*$AM46,VLOOKUP($L46,'[12]IMAGE CDLINKS CurPol'!$Z$3:$AI$29,10,FALSE)*$AP46)</f>
        <v>647.55730165701755</v>
      </c>
      <c r="ET46" s="111">
        <f t="shared" si="14"/>
        <v>0</v>
      </c>
      <c r="EU46" s="111">
        <f t="shared" si="19"/>
        <v>0</v>
      </c>
      <c r="EV46" s="111">
        <f>IF($BI$8=2015,VLOOKUP($L46,'[12]IMAGE CDLINKS 2C'!$P$3:$Y$29,10,FALSE)*$AM46,VLOOKUP($L46,'[12]IMAGE CDLINKS 2C'!$Z$3:$AI$29,10,FALSE)*$AP46)</f>
        <v>245.20334817301148</v>
      </c>
      <c r="EW46">
        <v>0</v>
      </c>
      <c r="EX46" s="111">
        <f>EW46-EV46</f>
        <v>-245.20334817301148</v>
      </c>
      <c r="EY46" s="111">
        <f t="shared" si="20"/>
        <v>0</v>
      </c>
      <c r="EZ46" s="111">
        <f>IF($BI$8=2015,VLOOKUP($L46,'[12]IMAGE CDLINKS 1_5C'!$P$3:$Y$29,10,FALSE)*$AM46,VLOOKUP($L46,'[12]IMAGE CDLINKS 1_5C'!$Z$3:$AI$29,10,FALSE)*$AP46)</f>
        <v>31.484763021561552</v>
      </c>
      <c r="FA46" s="192" t="s">
        <v>2340</v>
      </c>
    </row>
    <row r="47" spans="1:157" x14ac:dyDescent="0.25">
      <c r="A47" t="str">
        <f>IF([12]NDCs!C49="","",[12]NDCs!C49)</f>
        <v>B</v>
      </c>
      <c r="B47" s="159" t="str">
        <f t="shared" si="0"/>
        <v>v</v>
      </c>
      <c r="C47">
        <v>0</v>
      </c>
      <c r="D47">
        <v>0</v>
      </c>
      <c r="E47">
        <v>0</v>
      </c>
      <c r="F47">
        <v>1</v>
      </c>
      <c r="G47" t="b">
        <f t="shared" si="1"/>
        <v>1</v>
      </c>
      <c r="H47" t="s">
        <v>2328</v>
      </c>
      <c r="I47" t="s">
        <v>123</v>
      </c>
      <c r="J47">
        <v>132</v>
      </c>
      <c r="K47">
        <v>34</v>
      </c>
      <c r="L47">
        <v>8</v>
      </c>
      <c r="M47" t="str">
        <f>IF([12]NDCs!AL49="Excluding","excl","incl")</f>
        <v>excl</v>
      </c>
      <c r="N47" s="160">
        <f>[12]GHG_hist!BA37+IF($M47="incl",[12]LULUCF_hist!CR37,0)</f>
        <v>0.30270964</v>
      </c>
      <c r="O47" s="111">
        <f>[12]GHG_hist!BB37+IF($M47="incl",[12]LULUCF_hist!CS37,0)</f>
        <v>0.31380376999999998</v>
      </c>
      <c r="P47" s="111">
        <f>[12]GHG_hist!BC37+IF($M47="incl",[12]LULUCF_hist!CT37,0)</f>
        <v>0.34467962000000002</v>
      </c>
      <c r="Q47" s="111">
        <f>[12]GHG_hist!BD37+IF($M47="incl",[12]LULUCF_hist!CU37,0)</f>
        <v>0.35440418000000001</v>
      </c>
      <c r="R47" s="111">
        <f>[12]GHG_hist!BE37+IF($M47="incl",[12]LULUCF_hist!CV37,0)</f>
        <v>0.35138844000000002</v>
      </c>
      <c r="S47" s="111">
        <f>[12]GHG_hist!BF37+IF($M47="incl",[12]LULUCF_hist!CW37,0)</f>
        <v>0.37603755999999999</v>
      </c>
      <c r="T47" s="111">
        <f>[12]GHG_hist!BG37+IF($M47="incl",[12]LULUCF_hist!CX37,0)</f>
        <v>0.38098701000000001</v>
      </c>
      <c r="U47" s="111">
        <f>[12]GHG_hist!BH37+IF($M47="incl",[12]LULUCF_hist!CY37,0)</f>
        <v>0.37507403</v>
      </c>
      <c r="V47" s="111">
        <f>[12]GHG_hist!BI37+IF($M47="incl",[12]LULUCF_hist!CZ37,0)</f>
        <v>0.38849385000000003</v>
      </c>
      <c r="W47" s="111">
        <f>[12]GHG_hist!BJ37+IF($M47="incl",[12]LULUCF_hist!DA37,0)</f>
        <v>0.41614719999999999</v>
      </c>
      <c r="X47" s="111">
        <f>[12]GHG_hist!BK37+IF($M47="incl",[12]LULUCF_hist!DB37,0)</f>
        <v>0.44604216000000002</v>
      </c>
      <c r="Y47" s="111">
        <f>[12]GHG_hist!BL37+IF($M47="incl",[12]LULUCF_hist!DC37,0)</f>
        <v>0.45863643000000004</v>
      </c>
      <c r="Z47" s="111">
        <f>[12]GHG_hist!BM37+IF($M47="incl",[12]LULUCF_hist!DD37,0)</f>
        <v>0.50623024999999999</v>
      </c>
      <c r="AA47" s="111">
        <f>[12]GHG_hist!BN37+IF($M47="incl",[12]LULUCF_hist!DE37,0)</f>
        <v>0.54069469999999997</v>
      </c>
      <c r="AB47" s="111">
        <f>[12]GHG_hist!BO37+IF($M47="incl",[12]LULUCF_hist!DF37,0)</f>
        <v>0.57544824000000006</v>
      </c>
      <c r="AC47" s="111">
        <f>[12]GHG_hist!BP37+IF($M47="incl",[12]LULUCF_hist!DG37,0)</f>
        <v>0.70569593999999991</v>
      </c>
      <c r="AD47" s="111">
        <f>[12]GHG_hist!BQ37+IF($M47="incl",[12]LULUCF_hist!DH37,0)</f>
        <v>0.71887104000000002</v>
      </c>
      <c r="AE47" s="111">
        <f>[12]GHG_hist!BR37+IF($M47="incl",[12]LULUCF_hist!DI37,0)</f>
        <v>0.73200500999999996</v>
      </c>
      <c r="AF47" s="111">
        <f>[12]GHG_hist!BS37+IF($M47="incl",[12]LULUCF_hist!DJ37,0)</f>
        <v>0.67181539999999995</v>
      </c>
      <c r="AG47" s="111">
        <f>[12]GHG_hist!BT37+IF($M47="incl",[12]LULUCF_hist!DK37,0)</f>
        <v>0.71785544000000001</v>
      </c>
      <c r="AH47" s="111">
        <f>[12]GHG_hist!BU37+IF($M47="incl",[12]LULUCF_hist!DL37,0)</f>
        <v>0.74257479000000004</v>
      </c>
      <c r="AI47" s="111">
        <f>[12]GHG_hist!BV37+IF($M47="incl",[12]LULUCF_hist!DM37,0)</f>
        <v>0.80101850000000008</v>
      </c>
      <c r="AJ47" s="111">
        <f>[12]GHG_hist!BW37+IF($M47="incl",[12]LULUCF_hist!DN37,0)</f>
        <v>0.69613188000000004</v>
      </c>
      <c r="AK47" s="111">
        <f>[12]GHG_hist!BX37+IF($M47="incl",[12]LULUCF_hist!DO37,0)</f>
        <v>0.69372717000000006</v>
      </c>
      <c r="AL47" s="111">
        <f>[12]GHG_hist!BY37+IF($M47="incl",[12]LULUCF_hist!DP37,0)</f>
        <v>0.68910950999999998</v>
      </c>
      <c r="AM47" s="111">
        <f>[12]GHG_hist!BZ37+IF($M47="incl",[12]LULUCF_hist!DQ37,0)</f>
        <v>0.69660582999999998</v>
      </c>
      <c r="AN47" s="111">
        <f>[12]GHG_hist!CA37+IF($M47="incl",[12]LULUCF_hist!DR37,0)</f>
        <v>0.74618063000000001</v>
      </c>
      <c r="AO47" s="111">
        <f>[12]GHG_hist!CB37+IF($M47="incl",[12]LULUCF_hist!DS37,0)</f>
        <v>0.76731608000000007</v>
      </c>
      <c r="AP47" s="111">
        <f>[12]GHG_hist!CC37+IF($M47="incl",[12]LULUCF_hist!DT37,0)</f>
        <v>0.92969503999999992</v>
      </c>
      <c r="AQ47" s="111">
        <f>[12]GHG_hist!CD37+IF($M47="incl",[12]LULUCF_hist!DU37,0)</f>
        <v>0.95604421000000006</v>
      </c>
      <c r="AR47" s="111">
        <f>[12]GHG_hist!CE37+IF($M47="incl",[12]LULUCF_hist!DV37,0)</f>
        <v>0.96355148999999995</v>
      </c>
      <c r="AS47" s="111">
        <f>[12]GHG_hist!CF37+IF($M47="incl",[12]LULUCF_hist!DW37,0)</f>
        <v>1.0185031</v>
      </c>
      <c r="AT47" s="161">
        <f>VLOOKUP($L47,'[12]IMAGE SSP2'!$AF$3:$AK$29,4,FALSE)*$AM47</f>
        <v>0.91902283257858119</v>
      </c>
      <c r="AU47" s="162">
        <f>VLOOKUP($L47,'[12]IMAGE SSP2'!$AF$3:$AK$29,5,FALSE)*$AM47</f>
        <v>1.0662559029362291</v>
      </c>
      <c r="AV47" s="163">
        <f>VLOOKUP($L47,'[12]IMAGE SSP2'!$AF$3:$AK$29,6,FALSE)*$AM47</f>
        <v>1.2781973357880905</v>
      </c>
      <c r="AW47" s="111">
        <f t="shared" si="15"/>
        <v>0.37128739500000002</v>
      </c>
      <c r="AX47" s="164">
        <f>IF(A47="B",IF(M47="excl",[12]NatCom!CO37,[12]NatCom!AX37),"")</f>
        <v>0</v>
      </c>
      <c r="AY47" s="111" t="str">
        <f>IF('[12]Pledge 2020'!E37="","",'[12]Pledge 2020'!E37)</f>
        <v/>
      </c>
      <c r="AZ47" s="164" t="str">
        <f>IF('[12]Pledge 2020'!F37="","",'[12]Pledge 2020'!F37)</f>
        <v/>
      </c>
      <c r="BA47" s="111" t="str">
        <f>IF(BE47="","",(BE47-AH47)*0.75+AH47)</f>
        <v/>
      </c>
      <c r="BB47" s="111"/>
      <c r="BC47" s="111" t="str">
        <f>IF(BG47="","",(BG47-AH47)*0.75+AH47)</f>
        <v/>
      </c>
      <c r="BD47" s="111"/>
      <c r="BE47" s="111" t="s">
        <v>2477</v>
      </c>
      <c r="BF47" s="111" t="s">
        <v>2477</v>
      </c>
      <c r="BG47" s="111" t="s">
        <v>2477</v>
      </c>
      <c r="BH47" s="164"/>
      <c r="BI47" s="111" t="str">
        <f>IF([12]NDCs!V49="",IF([12]NDCs!X49="","",[12]NDCs!X49),[12]NDCs!V49)</f>
        <v/>
      </c>
      <c r="BJ47" s="111" t="str">
        <f>IF([12]NDCs!V49="",IF([12]NDCs!X49="","",[12]NDCs!X49),[12]NDCs!V49)</f>
        <v/>
      </c>
      <c r="BK47" s="111" t="str">
        <f>IF([12]NDCs!Z49="",IF([12]NDCs!AB49="",IF('input site'!BE47="","",'input site'!BE47),[12]NDCs!AB49),[12]NDCs!Z49)</f>
        <v/>
      </c>
      <c r="BL47" s="111" t="str">
        <f>IF([12]NDCs!AA49="",IF([12]NDCs!AC49="",IF('input site'!BF47="","",'input site'!BF47),[12]NDCs!AC49),[12]NDCs!AA49)</f>
        <v/>
      </c>
      <c r="BM47" s="111">
        <f>IF($BI$8=2015,VLOOKUP($L47,'[12]IMAGE CurPol SSP'!$AZ$3:$BD$29,4,FALSE)*$AM47,IF($BI$8=2018,VLOOKUP($L47,'[12]IMAGE CurPol SSP'!$BJ$3:$BN$29,4,FALSE)*$AP47,$AR47))</f>
        <v>0.96355148999999995</v>
      </c>
      <c r="BN47" s="111">
        <f t="shared" ref="BN47:BO50" si="41">IF($BI$8=2015,"",IF($BI$8=2018,"",$AR47))</f>
        <v>0.96355148999999995</v>
      </c>
      <c r="BO47" s="111">
        <f t="shared" si="41"/>
        <v>0.96355148999999995</v>
      </c>
      <c r="BP47" s="111">
        <f>IF($BI$8=2015,VLOOKUP($L47,'[12]IMAGE CurPol SSP'!$AZ$3:$BD$29,5,FALSE)*$AM47,IF($BI$8=2018,VLOOKUP($L47,'[12]IMAGE CurPol SSP'!$BJ$3:$BN$29,5,FALSE)*$AP47,VLOOKUP($L47,'[12]IMAGE CurPol SSP'!$BU$3:$BZ$29,5,FALSE)*$AS47))</f>
        <v>1.0549116010993282</v>
      </c>
      <c r="BQ47" s="111">
        <f>IF($BI$8=2015,"",IF($BI$8=2018,"",VLOOKUP($L47,'[12]IMAGE CurPol SSP'!$CQ$3:$CV$29,5,FALSE)*$AS47))</f>
        <v>1.0431912071400946</v>
      </c>
      <c r="BR47" s="111">
        <f>IF($BI$8=2015,"",IF($BI$8=2018,"",VLOOKUP($L47,'[12]IMAGE CurPol SSP'!$CF$3:$CK$29,5,FALSE)*$AS47))</f>
        <v>1.0647728636860783</v>
      </c>
      <c r="BS47" s="111">
        <f>IF($BI$8=2015,VLOOKUP($L47,'[12]IMAGE CurPol SSP'!$AZ$3:$BE$29,6,FALSE)*$AM47,IF($BI$8=2018,VLOOKUP($L47,'[12]IMAGE CurPol SSP'!$BJ$3:$BO$29,6,FALSE)*$AP47,VLOOKUP($L47,'[12]IMAGE CurPol SSP'!$BU$3:$BZ$29,6,FALSE)*$AS47))</f>
        <v>1.2130235067967832</v>
      </c>
      <c r="BT47" s="111">
        <f>IF($BI$8=2015,"",IF($BI$8=2018,"",VLOOKUP($L47,'[12]IMAGE CurPol SSP'!$CQ$3:$CV$29,6,FALSE)*$AS47))</f>
        <v>1.181603156610429</v>
      </c>
      <c r="BU47" s="164">
        <f>IF($BI$8=2015,"",IF($BI$8=2018,"",VLOOKUP($L47,'[12]IMAGE CurPol SSP'!$CF$3:$CK$29,6,FALSE)*$AS47))</f>
        <v>1.2130235067967832</v>
      </c>
      <c r="CN47" t="s">
        <v>123</v>
      </c>
      <c r="CO47" s="165" t="str">
        <f t="shared" si="2"/>
        <v/>
      </c>
      <c r="CP47" s="165" t="str">
        <f t="shared" si="2"/>
        <v/>
      </c>
      <c r="CQ47" s="165" t="str">
        <f t="shared" si="2"/>
        <v/>
      </c>
      <c r="CR47" s="165" t="str">
        <f t="shared" si="2"/>
        <v/>
      </c>
      <c r="CV47" s="125" t="s">
        <v>621</v>
      </c>
      <c r="CW47" s="125" t="s">
        <v>621</v>
      </c>
      <c r="CX47"/>
      <c r="CY47" s="167">
        <f t="shared" si="3"/>
        <v>-4.452865742141876E-2</v>
      </c>
      <c r="DB47" s="106"/>
      <c r="DC47" s="106"/>
      <c r="DD47" s="106"/>
      <c r="DE47" s="106"/>
      <c r="DF47" s="106"/>
      <c r="DG47" s="105" t="str">
        <f t="shared" si="4"/>
        <v>excl</v>
      </c>
      <c r="DH47" t="s">
        <v>123</v>
      </c>
      <c r="DI47" s="111">
        <f t="shared" ref="DI47:DJ50" si="42">IF(AY47="",$BM47,AY47)-$BM47</f>
        <v>0</v>
      </c>
      <c r="DJ47" s="111">
        <f t="shared" si="42"/>
        <v>0</v>
      </c>
      <c r="DK47" s="111">
        <f>IF(BA47="",$BP47,BA47)-$BP47</f>
        <v>0</v>
      </c>
      <c r="DL47" s="111">
        <f>IF(BC47="",$BP47,BC47)-$BP47</f>
        <v>0</v>
      </c>
      <c r="DM47" s="111">
        <f>IF(BE47="",$BS47,BE47)-$BS47</f>
        <v>0</v>
      </c>
      <c r="DN47" s="111">
        <f>IF(BG47="",$BS47,BG47)-$BS47</f>
        <v>0</v>
      </c>
      <c r="DO47" s="111">
        <f>IF(BI47="",$BS47,BI47)-$BS47</f>
        <v>0</v>
      </c>
      <c r="DP47" s="111">
        <f>IF(BK47="",$BS47,BK47)-$BS47</f>
        <v>0</v>
      </c>
      <c r="DQ47" s="106"/>
      <c r="DR47" s="106"/>
      <c r="DS47" s="111"/>
      <c r="DT47" s="168"/>
      <c r="DW47" s="111">
        <f t="shared" si="12"/>
        <v>1.2130235067967832</v>
      </c>
      <c r="DX47" s="111">
        <f t="shared" si="12"/>
        <v>1.2130235067967832</v>
      </c>
      <c r="DY47" s="111">
        <f t="shared" si="12"/>
        <v>1.2130235067967832</v>
      </c>
      <c r="DZ47" s="111">
        <f t="shared" si="12"/>
        <v>1.2130235067967832</v>
      </c>
      <c r="EP47" t="s">
        <v>123</v>
      </c>
      <c r="EQ47">
        <v>4</v>
      </c>
      <c r="ER47" s="111">
        <f t="shared" si="13"/>
        <v>0.92969503999999992</v>
      </c>
      <c r="ES47" s="111">
        <f>IF($BI$8=2015,VLOOKUP($L47,'[12]IMAGE CDLINKS CurPol'!$P$3:$Y$29,10,FALSE)*$AM47,VLOOKUP($L47,'[12]IMAGE CDLINKS CurPol'!$Z$3:$AI$29,10,FALSE)*$AP47)</f>
        <v>1.9410870686652597</v>
      </c>
      <c r="ET47" s="111">
        <f t="shared" si="14"/>
        <v>0</v>
      </c>
      <c r="EU47" s="111">
        <f t="shared" si="19"/>
        <v>0</v>
      </c>
      <c r="EV47" s="111">
        <f>IF($BI$8=2015,VLOOKUP($L47,'[12]IMAGE CDLINKS 2C'!$P$3:$Y$29,10,FALSE)*$AM47,VLOOKUP($L47,'[12]IMAGE CDLINKS 2C'!$Z$3:$AI$29,10,FALSE)*$AP47)</f>
        <v>0.88590281216754208</v>
      </c>
      <c r="EX47" s="111"/>
      <c r="EY47" s="111">
        <f t="shared" si="20"/>
        <v>0</v>
      </c>
      <c r="EZ47" s="111">
        <f>IF($BI$8=2015,VLOOKUP($L47,'[12]IMAGE CDLINKS 1_5C'!$P$3:$Y$29,10,FALSE)*$AM47,VLOOKUP($L47,'[12]IMAGE CDLINKS 1_5C'!$Z$3:$AI$29,10,FALSE)*$AP47)</f>
        <v>0.50461049424647619</v>
      </c>
      <c r="FA47" s="192">
        <v>2050</v>
      </c>
    </row>
    <row r="48" spans="1:157" x14ac:dyDescent="0.25">
      <c r="A48" t="str">
        <f>IF([12]NDCs!C50="","",[12]NDCs!C50)</f>
        <v/>
      </c>
      <c r="B48" s="159" t="str">
        <f t="shared" si="0"/>
        <v>v</v>
      </c>
      <c r="C48">
        <v>0</v>
      </c>
      <c r="D48">
        <v>0</v>
      </c>
      <c r="E48">
        <v>0</v>
      </c>
      <c r="F48">
        <v>1</v>
      </c>
      <c r="G48" t="b">
        <f t="shared" si="1"/>
        <v>0</v>
      </c>
      <c r="H48" t="s">
        <v>2328</v>
      </c>
      <c r="I48" t="s">
        <v>125</v>
      </c>
      <c r="J48">
        <v>136</v>
      </c>
      <c r="K48">
        <v>35</v>
      </c>
      <c r="L48">
        <v>4</v>
      </c>
      <c r="M48" t="str">
        <f>IF([12]NDCs!AL50="Excluding","excl","incl")</f>
        <v>excl</v>
      </c>
      <c r="N48" s="160">
        <f>[12]GHG_hist!BA38+IF($M48="incl",[12]LULUCF_hist!CR38,0)</f>
        <v>0</v>
      </c>
      <c r="O48" s="111">
        <f>[12]GHG_hist!BB38+IF($M48="incl",[12]LULUCF_hist!CS38,0)</f>
        <v>0</v>
      </c>
      <c r="P48" s="111">
        <f>[12]GHG_hist!BC38+IF($M48="incl",[12]LULUCF_hist!CT38,0)</f>
        <v>0</v>
      </c>
      <c r="Q48" s="111">
        <f>[12]GHG_hist!BD38+IF($M48="incl",[12]LULUCF_hist!CU38,0)</f>
        <v>0</v>
      </c>
      <c r="R48" s="111">
        <f>[12]GHG_hist!BE38+IF($M48="incl",[12]LULUCF_hist!CV38,0)</f>
        <v>0</v>
      </c>
      <c r="S48" s="111">
        <f>[12]GHG_hist!BF38+IF($M48="incl",[12]LULUCF_hist!CW38,0)</f>
        <v>0</v>
      </c>
      <c r="T48" s="111">
        <f>[12]GHG_hist!BG38+IF($M48="incl",[12]LULUCF_hist!CX38,0)</f>
        <v>0</v>
      </c>
      <c r="U48" s="111">
        <f>[12]GHG_hist!BH38+IF($M48="incl",[12]LULUCF_hist!CY38,0)</f>
        <v>0</v>
      </c>
      <c r="V48" s="111">
        <f>[12]GHG_hist!BI38+IF($M48="incl",[12]LULUCF_hist!CZ38,0)</f>
        <v>0</v>
      </c>
      <c r="W48" s="111">
        <f>[12]GHG_hist!BJ38+IF($M48="incl",[12]LULUCF_hist!DA38,0)</f>
        <v>0</v>
      </c>
      <c r="X48" s="111">
        <f>[12]GHG_hist!BK38+IF($M48="incl",[12]LULUCF_hist!DB38,0)</f>
        <v>0</v>
      </c>
      <c r="Y48" s="111">
        <f>[12]GHG_hist!BL38+IF($M48="incl",[12]LULUCF_hist!DC38,0)</f>
        <v>0</v>
      </c>
      <c r="Z48" s="111">
        <f>[12]GHG_hist!BM38+IF($M48="incl",[12]LULUCF_hist!DD38,0)</f>
        <v>0</v>
      </c>
      <c r="AA48" s="111">
        <f>[12]GHG_hist!BN38+IF($M48="incl",[12]LULUCF_hist!DE38,0)</f>
        <v>0</v>
      </c>
      <c r="AB48" s="111">
        <f>[12]GHG_hist!BO38+IF($M48="incl",[12]LULUCF_hist!DF38,0)</f>
        <v>0</v>
      </c>
      <c r="AC48" s="111">
        <f>[12]GHG_hist!BP38+IF($M48="incl",[12]LULUCF_hist!DG38,0)</f>
        <v>0</v>
      </c>
      <c r="AD48" s="111">
        <f>[12]GHG_hist!BQ38+IF($M48="incl",[12]LULUCF_hist!DH38,0)</f>
        <v>0</v>
      </c>
      <c r="AE48" s="111">
        <f>[12]GHG_hist!BR38+IF($M48="incl",[12]LULUCF_hist!DI38,0)</f>
        <v>0</v>
      </c>
      <c r="AF48" s="111">
        <f>[12]GHG_hist!BS38+IF($M48="incl",[12]LULUCF_hist!DJ38,0)</f>
        <v>0</v>
      </c>
      <c r="AG48" s="111">
        <f>[12]GHG_hist!BT38+IF($M48="incl",[12]LULUCF_hist!DK38,0)</f>
        <v>0</v>
      </c>
      <c r="AH48" s="111">
        <f>[12]GHG_hist!BU38+IF($M48="incl",[12]LULUCF_hist!DL38,0)</f>
        <v>0</v>
      </c>
      <c r="AI48" s="111">
        <f>[12]GHG_hist!BV38+IF($M48="incl",[12]LULUCF_hist!DM38,0)</f>
        <v>0</v>
      </c>
      <c r="AJ48" s="111">
        <f>[12]GHG_hist!BW38+IF($M48="incl",[12]LULUCF_hist!DN38,0)</f>
        <v>0</v>
      </c>
      <c r="AK48" s="111">
        <f>[12]GHG_hist!BX38+IF($M48="incl",[12]LULUCF_hist!DO38,0)</f>
        <v>0</v>
      </c>
      <c r="AL48" s="111">
        <f>[12]GHG_hist!BY38+IF($M48="incl",[12]LULUCF_hist!DP38,0)</f>
        <v>0</v>
      </c>
      <c r="AM48" s="111">
        <f>[12]GHG_hist!BZ38+IF($M48="incl",[12]LULUCF_hist!DQ38,0)</f>
        <v>0</v>
      </c>
      <c r="AN48" s="111">
        <f>[12]GHG_hist!CA38+IF($M48="incl",[12]LULUCF_hist!DR38,0)</f>
        <v>0</v>
      </c>
      <c r="AO48" s="111">
        <f>[12]GHG_hist!CB38+IF($M48="incl",[12]LULUCF_hist!DS38,0)</f>
        <v>0</v>
      </c>
      <c r="AP48" s="111">
        <f>[12]GHG_hist!CC38+IF($M48="incl",[12]LULUCF_hist!DT38,0)</f>
        <v>0</v>
      </c>
      <c r="AQ48" s="111">
        <f>[12]GHG_hist!CD38+IF($M48="incl",[12]LULUCF_hist!DU38,0)</f>
        <v>0</v>
      </c>
      <c r="AR48" s="111">
        <f>[12]GHG_hist!CE38+IF($M48="incl",[12]LULUCF_hist!DV38,0)</f>
        <v>0</v>
      </c>
      <c r="AS48" s="111">
        <f>[12]GHG_hist!CF38+IF($M48="incl",[12]LULUCF_hist!DW38,0)</f>
        <v>0</v>
      </c>
      <c r="AT48" s="161">
        <f>VLOOKUP($L48,'[12]IMAGE SSP2'!$AF$3:$AK$29,4,FALSE)*$AM48</f>
        <v>0</v>
      </c>
      <c r="AU48" s="162">
        <f>VLOOKUP($L48,'[12]IMAGE SSP2'!$AF$3:$AK$29,5,FALSE)*$AM48</f>
        <v>0</v>
      </c>
      <c r="AV48" s="163">
        <f>VLOOKUP($L48,'[12]IMAGE SSP2'!$AF$3:$AK$29,6,FALSE)*$AM48</f>
        <v>0</v>
      </c>
      <c r="AW48" s="111" t="str">
        <f t="shared" si="15"/>
        <v/>
      </c>
      <c r="AX48" s="164" t="str">
        <f>IF(A48="B",IF(M48="excl",[12]NatCom!CO38,[12]NatCom!AX38),"")</f>
        <v/>
      </c>
      <c r="AY48" s="111" t="str">
        <f>IF('[12]Pledge 2020'!E38="","",'[12]Pledge 2020'!E38)</f>
        <v/>
      </c>
      <c r="AZ48" s="164" t="str">
        <f>IF('[12]Pledge 2020'!F38="","",'[12]Pledge 2020'!F38)</f>
        <v/>
      </c>
      <c r="BA48" s="111" t="str">
        <f>IF(BE48="","",(BE48-AH48)*0.75+AH48)</f>
        <v/>
      </c>
      <c r="BB48" s="111"/>
      <c r="BC48" s="111" t="str">
        <f>IF(BG48="","",(BG48-AH48)*0.75+AH48)</f>
        <v/>
      </c>
      <c r="BD48" s="111"/>
      <c r="BE48" s="111" t="s">
        <v>2477</v>
      </c>
      <c r="BF48" s="111" t="s">
        <v>2477</v>
      </c>
      <c r="BG48" s="111" t="s">
        <v>2477</v>
      </c>
      <c r="BH48" s="164"/>
      <c r="BI48" s="111" t="str">
        <f>IF([12]NDCs!V50="",IF([12]NDCs!X50="","",[12]NDCs!X50),[12]NDCs!V50)</f>
        <v/>
      </c>
      <c r="BJ48" s="111" t="str">
        <f>IF([12]NDCs!V50="",IF([12]NDCs!X50="","",[12]NDCs!X50),[12]NDCs!V50)</f>
        <v/>
      </c>
      <c r="BK48" s="111" t="str">
        <f>IF([12]NDCs!Z50="",IF([12]NDCs!AB50="",IF('input site'!BE48="","",'input site'!BE48),[12]NDCs!AB50),[12]NDCs!Z50)</f>
        <v/>
      </c>
      <c r="BL48" s="111" t="str">
        <f>IF([12]NDCs!AA50="",IF([12]NDCs!AC50="",IF('input site'!BF48="","",'input site'!BF48),[12]NDCs!AC50),[12]NDCs!AA50)</f>
        <v/>
      </c>
      <c r="BM48" s="111">
        <f>IF($BI$8=2015,VLOOKUP($L48,'[12]IMAGE CurPol SSP'!$AZ$3:$BD$29,4,FALSE)*$AM48,IF($BI$8=2018,VLOOKUP($L48,'[12]IMAGE CurPol SSP'!$BJ$3:$BN$29,4,FALSE)*$AP48,$AR48))</f>
        <v>0</v>
      </c>
      <c r="BN48" s="111">
        <f t="shared" si="41"/>
        <v>0</v>
      </c>
      <c r="BO48" s="111">
        <f t="shared" si="41"/>
        <v>0</v>
      </c>
      <c r="BP48" s="111">
        <f>IF($BI$8=2015,VLOOKUP($L48,'[12]IMAGE CurPol SSP'!$AZ$3:$BD$29,5,FALSE)*$AM48,IF($BI$8=2018,VLOOKUP($L48,'[12]IMAGE CurPol SSP'!$BJ$3:$BN$29,5,FALSE)*$AP48,VLOOKUP($L48,'[12]IMAGE CurPol SSP'!$BU$3:$BZ$29,5,FALSE)*$AS48))</f>
        <v>0</v>
      </c>
      <c r="BQ48" s="111">
        <f>IF($BI$8=2015,"",IF($BI$8=2018,"",VLOOKUP($L48,'[12]IMAGE CurPol SSP'!$CQ$3:$CV$29,5,FALSE)*$AS48))</f>
        <v>0</v>
      </c>
      <c r="BR48" s="111">
        <f>IF($BI$8=2015,"",IF($BI$8=2018,"",VLOOKUP($L48,'[12]IMAGE CurPol SSP'!$CF$3:$CK$29,5,FALSE)*$AS48))</f>
        <v>0</v>
      </c>
      <c r="BS48" s="111">
        <f>IF($BI$8=2015,VLOOKUP($L48,'[12]IMAGE CurPol SSP'!$AZ$3:$BE$29,6,FALSE)*$AM48,IF($BI$8=2018,VLOOKUP($L48,'[12]IMAGE CurPol SSP'!$BJ$3:$BO$29,6,FALSE)*$AP48,VLOOKUP($L48,'[12]IMAGE CurPol SSP'!$BU$3:$BZ$29,6,FALSE)*$AS48))</f>
        <v>0</v>
      </c>
      <c r="BT48" s="111">
        <f>IF($BI$8=2015,"",IF($BI$8=2018,"",VLOOKUP($L48,'[12]IMAGE CurPol SSP'!$CQ$3:$CV$29,6,FALSE)*$AS48))</f>
        <v>0</v>
      </c>
      <c r="BU48" s="164">
        <f>IF($BI$8=2015,"",IF($BI$8=2018,"",VLOOKUP($L48,'[12]IMAGE CurPol SSP'!$CF$3:$CK$29,6,FALSE)*$AS48))</f>
        <v>0</v>
      </c>
      <c r="CN48" t="s">
        <v>125</v>
      </c>
      <c r="CO48" s="165" t="str">
        <f t="shared" si="2"/>
        <v/>
      </c>
      <c r="CP48" s="165" t="str">
        <f t="shared" si="2"/>
        <v/>
      </c>
      <c r="CQ48" s="165" t="str">
        <f t="shared" si="2"/>
        <v/>
      </c>
      <c r="CR48" s="165" t="str">
        <f t="shared" si="2"/>
        <v/>
      </c>
      <c r="CV48" s="125" t="s">
        <v>621</v>
      </c>
      <c r="CW48" s="125" t="s">
        <v>621</v>
      </c>
      <c r="CX48" s="165">
        <f>AP48/$AP$255</f>
        <v>0</v>
      </c>
      <c r="CY48" s="167">
        <f t="shared" si="3"/>
        <v>0</v>
      </c>
      <c r="DB48" s="106"/>
      <c r="DC48" s="106"/>
      <c r="DD48" s="106"/>
      <c r="DE48" s="106"/>
      <c r="DF48" s="106"/>
      <c r="DG48" s="105" t="str">
        <f t="shared" si="4"/>
        <v>excl</v>
      </c>
      <c r="DH48" t="s">
        <v>125</v>
      </c>
      <c r="DI48" s="111">
        <f t="shared" si="42"/>
        <v>0</v>
      </c>
      <c r="DJ48" s="111">
        <f t="shared" si="42"/>
        <v>0</v>
      </c>
      <c r="DK48" s="111">
        <f>IF(BA48="",$BP48,BA48)-$BP48</f>
        <v>0</v>
      </c>
      <c r="DL48" s="111">
        <f>IF(BC48="",$BP48,BC48)-$BP48</f>
        <v>0</v>
      </c>
      <c r="DM48" s="111">
        <f>IF(BE48="",$BS48,BE48)-$BS48</f>
        <v>0</v>
      </c>
      <c r="DN48" s="111">
        <f>IF(BG48="",$BS48,BG48)-$BS48</f>
        <v>0</v>
      </c>
      <c r="DO48" s="111">
        <f>IF(BI48="",$BS48,BI48)-$BS48</f>
        <v>0</v>
      </c>
      <c r="DP48" s="111">
        <f>IF(BK48="",$BS48,BK48)-$BS48</f>
        <v>0</v>
      </c>
      <c r="DQ48" s="106"/>
      <c r="DR48" s="106"/>
      <c r="DS48" s="111"/>
      <c r="DT48" s="168"/>
      <c r="DW48" s="111">
        <f t="shared" si="12"/>
        <v>0</v>
      </c>
      <c r="DX48" s="111">
        <f t="shared" si="12"/>
        <v>0</v>
      </c>
      <c r="DY48" s="111">
        <f t="shared" si="12"/>
        <v>0</v>
      </c>
      <c r="DZ48" s="111">
        <f t="shared" si="12"/>
        <v>0</v>
      </c>
      <c r="EP48" t="s">
        <v>125</v>
      </c>
      <c r="EQ48">
        <v>0</v>
      </c>
      <c r="ER48" s="111">
        <f t="shared" si="13"/>
        <v>0</v>
      </c>
      <c r="ES48" s="111">
        <f>IF($BI$8=2015,VLOOKUP($L48,'[12]IMAGE CDLINKS CurPol'!$P$3:$Y$29,10,FALSE)*$AM48,VLOOKUP($L48,'[12]IMAGE CDLINKS CurPol'!$Z$3:$AI$29,10,FALSE)*$AP48)</f>
        <v>0</v>
      </c>
      <c r="ET48" s="111">
        <f t="shared" si="14"/>
        <v>0</v>
      </c>
      <c r="EU48" s="111">
        <f t="shared" si="19"/>
        <v>0</v>
      </c>
      <c r="EV48" s="111">
        <f>IF($BI$8=2015,VLOOKUP($L48,'[12]IMAGE CDLINKS 2C'!$P$3:$Y$29,10,FALSE)*$AM48,VLOOKUP($L48,'[12]IMAGE CDLINKS 2C'!$Z$3:$AI$29,10,FALSE)*$AP48)</f>
        <v>0</v>
      </c>
      <c r="EY48" s="111">
        <f t="shared" si="20"/>
        <v>0</v>
      </c>
      <c r="EZ48" s="111">
        <f>IF($BI$8=2015,VLOOKUP($L48,'[12]IMAGE CDLINKS 1_5C'!$P$3:$Y$29,10,FALSE)*$AM48,VLOOKUP($L48,'[12]IMAGE CDLINKS 1_5C'!$Z$3:$AI$29,10,FALSE)*$AP48)</f>
        <v>0</v>
      </c>
      <c r="FA48" s="192"/>
    </row>
    <row r="49" spans="1:157" x14ac:dyDescent="0.25">
      <c r="A49" t="str">
        <f>IF([12]NDCs!C51="","",[12]NDCs!C51)</f>
        <v>B</v>
      </c>
      <c r="B49" s="159" t="str">
        <f t="shared" si="0"/>
        <v>v</v>
      </c>
      <c r="C49">
        <v>0</v>
      </c>
      <c r="D49">
        <v>0</v>
      </c>
      <c r="E49">
        <v>0</v>
      </c>
      <c r="F49">
        <v>1</v>
      </c>
      <c r="G49" t="b">
        <f t="shared" si="1"/>
        <v>1</v>
      </c>
      <c r="H49" t="s">
        <v>2333</v>
      </c>
      <c r="I49" t="s">
        <v>127</v>
      </c>
      <c r="J49">
        <v>140</v>
      </c>
      <c r="K49">
        <v>36</v>
      </c>
      <c r="L49">
        <v>8</v>
      </c>
      <c r="M49" t="str">
        <f>IF([12]NDCs!AL51="Excluding","excl","incl")</f>
        <v>excl</v>
      </c>
      <c r="N49" s="160">
        <f>[12]GHG_hist!BA39+IF($M49="incl",[12]LULUCF_hist!CR39,0)</f>
        <v>17.225882000000002</v>
      </c>
      <c r="O49" s="111">
        <f>[12]GHG_hist!BB39+IF($M49="incl",[12]LULUCF_hist!CS39,0)</f>
        <v>17.557573000000001</v>
      </c>
      <c r="P49" s="111">
        <f>[12]GHG_hist!BC39+IF($M49="incl",[12]LULUCF_hist!CT39,0)</f>
        <v>17.629746000000001</v>
      </c>
      <c r="Q49" s="111">
        <f>[12]GHG_hist!BD39+IF($M49="incl",[12]LULUCF_hist!CU39,0)</f>
        <v>17.677612</v>
      </c>
      <c r="R49" s="111">
        <f>[12]GHG_hist!BE39+IF($M49="incl",[12]LULUCF_hist!CV39,0)</f>
        <v>17.781111000000003</v>
      </c>
      <c r="S49" s="111">
        <f>[12]GHG_hist!BF39+IF($M49="incl",[12]LULUCF_hist!CW39,0)</f>
        <v>17.925196</v>
      </c>
      <c r="T49" s="111">
        <f>[12]GHG_hist!BG39+IF($M49="incl",[12]LULUCF_hist!CX39,0)</f>
        <v>20.103961999999999</v>
      </c>
      <c r="U49" s="111">
        <f>[12]GHG_hist!BH39+IF($M49="incl",[12]LULUCF_hist!CY39,0)</f>
        <v>20.311911000000002</v>
      </c>
      <c r="V49" s="111">
        <f>[12]GHG_hist!BI39+IF($M49="incl",[12]LULUCF_hist!CZ39,0)</f>
        <v>22.304419000000003</v>
      </c>
      <c r="W49" s="111">
        <f>[12]GHG_hist!BJ39+IF($M49="incl",[12]LULUCF_hist!DA39,0)</f>
        <v>19.912813</v>
      </c>
      <c r="X49" s="111">
        <f>[12]GHG_hist!BK39+IF($M49="incl",[12]LULUCF_hist!DB39,0)</f>
        <v>22.902754000000002</v>
      </c>
      <c r="Y49" s="111">
        <f>[12]GHG_hist!BL39+IF($M49="incl",[12]LULUCF_hist!DC39,0)</f>
        <v>19.065925</v>
      </c>
      <c r="Z49" s="111">
        <f>[12]GHG_hist!BM39+IF($M49="incl",[12]LULUCF_hist!DD39,0)</f>
        <v>16.847351</v>
      </c>
      <c r="AA49" s="111">
        <f>[12]GHG_hist!BN39+IF($M49="incl",[12]LULUCF_hist!DE39,0)</f>
        <v>21.9818</v>
      </c>
      <c r="AB49" s="111">
        <f>[12]GHG_hist!BO39+IF($M49="incl",[12]LULUCF_hist!DF39,0)</f>
        <v>19.398686000000001</v>
      </c>
      <c r="AC49" s="111">
        <f>[12]GHG_hist!BP39+IF($M49="incl",[12]LULUCF_hist!DG39,0)</f>
        <v>20.4648</v>
      </c>
      <c r="AD49" s="111">
        <f>[12]GHG_hist!BQ39+IF($M49="incl",[12]LULUCF_hist!DH39,0)</f>
        <v>20.621428000000002</v>
      </c>
      <c r="AE49" s="111">
        <f>[12]GHG_hist!BR39+IF($M49="incl",[12]LULUCF_hist!DI39,0)</f>
        <v>21.201376</v>
      </c>
      <c r="AF49" s="111">
        <f>[12]GHG_hist!BS39+IF($M49="incl",[12]LULUCF_hist!DJ39,0)</f>
        <v>22.419349</v>
      </c>
      <c r="AG49" s="111">
        <f>[12]GHG_hist!BT39+IF($M49="incl",[12]LULUCF_hist!DK39,0)</f>
        <v>17.897034999999999</v>
      </c>
      <c r="AH49" s="111">
        <f>[12]GHG_hist!BU39+IF($M49="incl",[12]LULUCF_hist!DL39,0)</f>
        <v>20.062785000000002</v>
      </c>
      <c r="AI49" s="111">
        <f>[12]GHG_hist!BV39+IF($M49="incl",[12]LULUCF_hist!DM39,0)</f>
        <v>21.373885999999999</v>
      </c>
      <c r="AJ49" s="111">
        <f>[12]GHG_hist!BW39+IF($M49="incl",[12]LULUCF_hist!DN39,0)</f>
        <v>18.517949000000002</v>
      </c>
      <c r="AK49" s="111">
        <f>[12]GHG_hist!BX39+IF($M49="incl",[12]LULUCF_hist!DO39,0)</f>
        <v>19.721516000000001</v>
      </c>
      <c r="AL49" s="111">
        <f>[12]GHG_hist!BY39+IF($M49="incl",[12]LULUCF_hist!DP39,0)</f>
        <v>19.269231000000001</v>
      </c>
      <c r="AM49" s="111">
        <f>[12]GHG_hist!BZ39+IF($M49="incl",[12]LULUCF_hist!DQ39,0)</f>
        <v>19.606823000000002</v>
      </c>
      <c r="AN49" s="111">
        <f>[12]GHG_hist!CA39+IF($M49="incl",[12]LULUCF_hist!DR39,0)</f>
        <v>21.330345000000001</v>
      </c>
      <c r="AO49" s="111">
        <f>[12]GHG_hist!CB39+IF($M49="incl",[12]LULUCF_hist!DS39,0)</f>
        <v>19.636455000000002</v>
      </c>
      <c r="AP49" s="111">
        <f>[12]GHG_hist!CC39+IF($M49="incl",[12]LULUCF_hist!DT39,0)</f>
        <v>20.220023000000001</v>
      </c>
      <c r="AQ49" s="111">
        <f>[12]GHG_hist!CD39+IF($M49="incl",[12]LULUCF_hist!DU39,0)</f>
        <v>18.611986000000002</v>
      </c>
      <c r="AR49" s="111">
        <f>[12]GHG_hist!CE39+IF($M49="incl",[12]LULUCF_hist!DV39,0)</f>
        <v>19.756205999999999</v>
      </c>
      <c r="AS49" s="111">
        <f>[12]GHG_hist!CF39+IF($M49="incl",[12]LULUCF_hist!DW39,0)</f>
        <v>19.623451000000003</v>
      </c>
      <c r="AT49" s="161">
        <f>VLOOKUP($L49,'[12]IMAGE SSP2'!$AF$3:$AK$29,4,FALSE)*$AM49</f>
        <v>25.867021542623146</v>
      </c>
      <c r="AU49" s="162">
        <f>VLOOKUP($L49,'[12]IMAGE SSP2'!$AF$3:$AK$29,5,FALSE)*$AM49</f>
        <v>30.011076366638829</v>
      </c>
      <c r="AV49" s="163">
        <f>VLOOKUP($L49,'[12]IMAGE SSP2'!$AF$3:$AK$29,6,FALSE)*$AM49</f>
        <v>35.976427188197171</v>
      </c>
      <c r="AW49" s="111">
        <f>IF(A49="B",AM49+(AX49-AM49)*0.33333,"")</f>
        <v>63.996971427410017</v>
      </c>
      <c r="AX49" s="164">
        <f>IF(A49="B",IF(M49="excl",[12]NatCom!CO39,[12]NatCom!AX39),"")</f>
        <v>152.77860000000001</v>
      </c>
      <c r="AY49" s="111" t="str">
        <f>IF('[12]Pledge 2020'!E39="","",'[12]Pledge 2020'!E39)</f>
        <v/>
      </c>
      <c r="AZ49" s="164" t="str">
        <f>IF('[12]Pledge 2020'!F39="","",'[12]Pledge 2020'!F39)</f>
        <v/>
      </c>
      <c r="BA49" s="111">
        <f>IF(BE49="","",(BE49-AH49)*0.75+AH49)</f>
        <v>16.684196249999999</v>
      </c>
      <c r="BB49" s="111">
        <f>IF(BF49="","",(BF49-AH49)*0.75+AH49)</f>
        <v>16.684196249999999</v>
      </c>
      <c r="BC49" s="111">
        <f>IF(BG49="","",(BG49-AH49)*0.75+AH49)</f>
        <v>15.034946250000001</v>
      </c>
      <c r="BD49" s="111">
        <f t="shared" ref="BD49:BD59" si="43">IF(BH49="","",(BH49-AH49)*0.75+AH49)</f>
        <v>15.034946250000001</v>
      </c>
      <c r="BE49" s="169">
        <v>15.558</v>
      </c>
      <c r="BF49" s="169">
        <v>15.558</v>
      </c>
      <c r="BG49" s="169">
        <v>13.359</v>
      </c>
      <c r="BH49" s="170">
        <v>13.359</v>
      </c>
      <c r="BI49" s="111" t="str">
        <f>IF([12]NDCs!V51="",IF([12]NDCs!X51="","",[12]NDCs!X51),[12]NDCs!V51)</f>
        <v/>
      </c>
      <c r="BJ49" s="111" t="str">
        <f>IF([12]NDCs!V51="",IF([12]NDCs!X51="","",[12]NDCs!X51),[12]NDCs!V51)</f>
        <v/>
      </c>
      <c r="BK49" s="111">
        <f>IF([12]NDCs!Z51="",IF([12]NDCs!AB51="",IF('input site'!BE49="","",'input site'!BE49),[12]NDCs!AB51),[12]NDCs!Z51)</f>
        <v>145.13967</v>
      </c>
      <c r="BL49" s="111">
        <f>IF([12]NDCs!AA51="",IF([12]NDCs!AC51="",IF('input site'!BF49="","",'input site'!BF49),[12]NDCs!AC51),[12]NDCs!AA51)</f>
        <v>145.13967</v>
      </c>
      <c r="BM49" s="111">
        <f>IF($BI$8=2015,VLOOKUP($L49,'[12]IMAGE CurPol SSP'!$AZ$3:$BD$29,4,FALSE)*$AM49,IF($BI$8=2018,VLOOKUP($L49,'[12]IMAGE CurPol SSP'!$BJ$3:$BN$29,4,FALSE)*$AP49,$AR49))</f>
        <v>19.756205999999999</v>
      </c>
      <c r="BN49" s="111">
        <f t="shared" si="41"/>
        <v>19.756205999999999</v>
      </c>
      <c r="BO49" s="111">
        <f t="shared" si="41"/>
        <v>19.756205999999999</v>
      </c>
      <c r="BP49" s="111">
        <f>IF($BI$8=2015,VLOOKUP($L49,'[12]IMAGE CurPol SSP'!$AZ$3:$BD$29,5,FALSE)*$AM49,IF($BI$8=2018,VLOOKUP($L49,'[12]IMAGE CurPol SSP'!$BJ$3:$BN$29,5,FALSE)*$AP49,VLOOKUP($L49,'[12]IMAGE CurPol SSP'!$BU$3:$BZ$29,5,FALSE)*$AS49))</f>
        <v>20.324931866681819</v>
      </c>
      <c r="BQ49" s="111">
        <f>IF($BI$8=2015,"",IF($BI$8=2018,"",VLOOKUP($L49,'[12]IMAGE CurPol SSP'!$CQ$3:$CV$29,5,FALSE)*$AS49))</f>
        <v>20.099115591248076</v>
      </c>
      <c r="BR49" s="111">
        <f>IF($BI$8=2015,"",IF($BI$8=2018,"",VLOOKUP($L49,'[12]IMAGE CurPol SSP'!$CF$3:$CK$29,5,FALSE)*$AS49))</f>
        <v>20.514928345994665</v>
      </c>
      <c r="BS49" s="111">
        <f>IF($BI$8=2015,VLOOKUP($L49,'[12]IMAGE CurPol SSP'!$AZ$3:$BE$29,6,FALSE)*$AM49,IF($BI$8=2018,VLOOKUP($L49,'[12]IMAGE CurPol SSP'!$BJ$3:$BO$29,6,FALSE)*$AP49,VLOOKUP($L49,'[12]IMAGE CurPol SSP'!$BU$3:$BZ$29,6,FALSE)*$AS49))</f>
        <v>23.371266466910946</v>
      </c>
      <c r="BT49" s="111">
        <f>IF($BI$8=2015,"",IF($BI$8=2018,"",VLOOKUP($L49,'[12]IMAGE CurPol SSP'!$CQ$3:$CV$29,6,FALSE)*$AS49))</f>
        <v>22.765892067672727</v>
      </c>
      <c r="BU49" s="164">
        <f>IF($BI$8=2015,"",IF($BI$8=2018,"",VLOOKUP($L49,'[12]IMAGE CurPol SSP'!$CF$3:$CK$29,6,FALSE)*$AS49))</f>
        <v>23.371266466910946</v>
      </c>
      <c r="CN49" t="s">
        <v>127</v>
      </c>
      <c r="CO49" s="165">
        <f t="shared" si="2"/>
        <v>-0.33431078619436283</v>
      </c>
      <c r="CP49" s="165">
        <f t="shared" si="2"/>
        <v>-0.33431078619436283</v>
      </c>
      <c r="CQ49" s="165">
        <f t="shared" si="2"/>
        <v>-0.42840068085682559</v>
      </c>
      <c r="CR49" s="165">
        <f t="shared" si="2"/>
        <v>-0.42840068085682559</v>
      </c>
      <c r="CS49" s="159"/>
      <c r="CU49" s="159"/>
      <c r="CV49" s="125" t="s">
        <v>621</v>
      </c>
      <c r="CW49" s="125" t="s">
        <v>621</v>
      </c>
      <c r="CX49" s="159"/>
      <c r="CY49" s="167">
        <f t="shared" si="3"/>
        <v>6.110815542623147</v>
      </c>
      <c r="CZ49" s="159"/>
      <c r="DB49" s="106"/>
      <c r="DC49" s="106"/>
      <c r="DD49" s="106"/>
      <c r="DE49" s="106"/>
      <c r="DF49" s="106"/>
      <c r="DG49" s="105" t="str">
        <f t="shared" si="4"/>
        <v>excl</v>
      </c>
      <c r="DH49" t="s">
        <v>127</v>
      </c>
      <c r="DI49" s="111">
        <f t="shared" si="42"/>
        <v>0</v>
      </c>
      <c r="DJ49" s="111">
        <f t="shared" si="42"/>
        <v>0</v>
      </c>
      <c r="DK49" s="111">
        <f>IF(BA49="",$BP49,BA49)-$BP49</f>
        <v>-3.6407356166818197</v>
      </c>
      <c r="DL49" s="111">
        <f>IF(BC49="",$BP49,BC49)-$BP49</f>
        <v>-5.2899856166818182</v>
      </c>
      <c r="DM49" s="111">
        <f>IF(BE49="",$BS49,BE49)-$BS49</f>
        <v>-7.813266466910946</v>
      </c>
      <c r="DN49" s="111">
        <f>IF(BG49="",$BS49,BG49)-$BS49</f>
        <v>-10.012266466910946</v>
      </c>
      <c r="DO49" s="111">
        <f>IF(BI49="",$BS49,BI49)-$BS49</f>
        <v>0</v>
      </c>
      <c r="DP49" s="111">
        <f>IF(BK49="",$BS49,BK49)-$BS49</f>
        <v>121.76840353308904</v>
      </c>
      <c r="DQ49" s="106"/>
      <c r="DR49" s="106"/>
      <c r="DS49" s="111"/>
      <c r="DT49" s="168"/>
      <c r="DW49" s="111">
        <f t="shared" si="12"/>
        <v>15.558</v>
      </c>
      <c r="DX49" s="111">
        <f t="shared" si="12"/>
        <v>15.558</v>
      </c>
      <c r="DY49" s="111">
        <f t="shared" si="12"/>
        <v>13.359</v>
      </c>
      <c r="DZ49" s="111">
        <f t="shared" si="12"/>
        <v>13.359</v>
      </c>
      <c r="EP49" t="s">
        <v>127</v>
      </c>
      <c r="EQ49">
        <v>-1</v>
      </c>
      <c r="ER49" s="111">
        <f t="shared" si="13"/>
        <v>20.220023000000001</v>
      </c>
      <c r="ES49" s="111">
        <f>IF($BI$8=2015,VLOOKUP($L49,'[12]IMAGE CDLINKS CurPol'!$P$3:$Y$29,10,FALSE)*$AM49,VLOOKUP($L49,'[12]IMAGE CDLINKS CurPol'!$Z$3:$AI$29,10,FALSE)*$AP49)</f>
        <v>42.216881326390791</v>
      </c>
      <c r="ET49" s="111">
        <f t="shared" si="14"/>
        <v>42.216881326390791</v>
      </c>
      <c r="EU49" s="111">
        <f t="shared" si="19"/>
        <v>19.267581805956912</v>
      </c>
      <c r="EV49" s="111">
        <f>IF($BI$8=2015,VLOOKUP($L49,'[12]IMAGE CDLINKS 2C'!$P$3:$Y$29,10,FALSE)*$AM49,VLOOKUP($L49,'[12]IMAGE CDLINKS 2C'!$Z$3:$AI$29,10,FALSE)*$AP49)</f>
        <v>19.267581805956912</v>
      </c>
      <c r="EX49" s="111"/>
      <c r="EY49" s="111">
        <f t="shared" si="20"/>
        <v>10.974820086923469</v>
      </c>
      <c r="EZ49" s="111">
        <f>IF($BI$8=2015,VLOOKUP($L49,'[12]IMAGE CDLINKS 1_5C'!$P$3:$Y$29,10,FALSE)*$AM49,VLOOKUP($L49,'[12]IMAGE CDLINKS 1_5C'!$Z$3:$AI$29,10,FALSE)*$AP49)</f>
        <v>10.974820086923469</v>
      </c>
      <c r="FA49" s="192">
        <v>2050</v>
      </c>
    </row>
    <row r="50" spans="1:157" x14ac:dyDescent="0.25">
      <c r="A50" t="str">
        <f>IF([12]NDCs!C52="","",[12]NDCs!C52)</f>
        <v>B</v>
      </c>
      <c r="B50" s="159" t="str">
        <f t="shared" si="0"/>
        <v>v</v>
      </c>
      <c r="C50">
        <v>0</v>
      </c>
      <c r="D50">
        <v>0</v>
      </c>
      <c r="E50">
        <v>0</v>
      </c>
      <c r="F50">
        <v>1</v>
      </c>
      <c r="G50" t="b">
        <f t="shared" si="1"/>
        <v>1</v>
      </c>
      <c r="H50" t="s">
        <v>2333</v>
      </c>
      <c r="I50" t="s">
        <v>129</v>
      </c>
      <c r="J50">
        <v>148</v>
      </c>
      <c r="K50">
        <v>38</v>
      </c>
      <c r="L50">
        <v>8</v>
      </c>
      <c r="M50" t="str">
        <f>IF([12]NDCs!AL52="Excluding","excl","incl")</f>
        <v>incl</v>
      </c>
      <c r="N50" s="160">
        <f>[12]GHG_hist!BA40+IF($M50="incl",[12]LULUCF_hist!CR40,0)</f>
        <v>-27.596077000000001</v>
      </c>
      <c r="O50" s="111">
        <f>[12]GHG_hist!BB40+IF($M50="incl",[12]LULUCF_hist!CS40,0)</f>
        <v>-18.979123000000001</v>
      </c>
      <c r="P50" s="111">
        <f>[12]GHG_hist!BC40+IF($M50="incl",[12]LULUCF_hist!CT40,0)</f>
        <v>-17.818117000000001</v>
      </c>
      <c r="Q50" s="111">
        <f>[12]GHG_hist!BD40+IF($M50="incl",[12]LULUCF_hist!CU40,0)</f>
        <v>-16.734562</v>
      </c>
      <c r="R50" s="111">
        <f>[12]GHG_hist!BE40+IF($M50="incl",[12]LULUCF_hist!CV40,0)</f>
        <v>-14.136973333333334</v>
      </c>
      <c r="S50" s="111">
        <f>[12]GHG_hist!BF40+IF($M50="incl",[12]LULUCF_hist!CW40,0)</f>
        <v>-11.575426666666665</v>
      </c>
      <c r="T50" s="111">
        <f>[12]GHG_hist!BG40+IF($M50="incl",[12]LULUCF_hist!CX40,0)</f>
        <v>-7.0103289999999916</v>
      </c>
      <c r="U50" s="111">
        <f>[12]GHG_hist!BH40+IF($M50="incl",[12]LULUCF_hist!CY40,0)</f>
        <v>-4.8373343333333203</v>
      </c>
      <c r="V50" s="111">
        <f>[12]GHG_hist!BI40+IF($M50="incl",[12]LULUCF_hist!CZ40,0)</f>
        <v>-2.4238986666666555</v>
      </c>
      <c r="W50" s="111">
        <f>[12]GHG_hist!BJ40+IF($M50="incl",[12]LULUCF_hist!DA40,0)</f>
        <v>-1.0316729999999978</v>
      </c>
      <c r="X50" s="111">
        <f>[12]GHG_hist!BK40+IF($M50="incl",[12]LULUCF_hist!DB40,0)</f>
        <v>-20.715391</v>
      </c>
      <c r="Y50" s="111">
        <f>[12]GHG_hist!BL40+IF($M50="incl",[12]LULUCF_hist!DC40,0)</f>
        <v>-18.402600999999997</v>
      </c>
      <c r="Z50" s="111">
        <f>[12]GHG_hist!BM40+IF($M50="incl",[12]LULUCF_hist!DD40,0)</f>
        <v>-19.267740999999997</v>
      </c>
      <c r="AA50" s="111">
        <f>[12]GHG_hist!BN40+IF($M50="incl",[12]LULUCF_hist!DE40,0)</f>
        <v>-13.215464000000004</v>
      </c>
      <c r="AB50" s="111">
        <f>[12]GHG_hist!BO40+IF($M50="incl",[12]LULUCF_hist!DF40,0)</f>
        <v>-6.4406701428571438</v>
      </c>
      <c r="AC50" s="111">
        <f>[12]GHG_hist!BP40+IF($M50="incl",[12]LULUCF_hist!DG40,0)</f>
        <v>-0.22713328571428093</v>
      </c>
      <c r="AD50" s="111">
        <f>[12]GHG_hist!BQ40+IF($M50="incl",[12]LULUCF_hist!DH40,0)</f>
        <v>5.0621535714285777</v>
      </c>
      <c r="AE50" s="111">
        <f>[12]GHG_hist!BR40+IF($M50="incl",[12]LULUCF_hist!DI40,0)</f>
        <v>11.178609428571438</v>
      </c>
      <c r="AF50" s="111">
        <f>[12]GHG_hist!BS40+IF($M50="incl",[12]LULUCF_hist!DJ40,0)</f>
        <v>16.595574285714292</v>
      </c>
      <c r="AG50" s="111">
        <f>[12]GHG_hist!BT40+IF($M50="incl",[12]LULUCF_hist!DK40,0)</f>
        <v>21.943263142857152</v>
      </c>
      <c r="AH50" s="111">
        <f>[12]GHG_hist!BU40+IF($M50="incl",[12]LULUCF_hist!DL40,0)</f>
        <v>28.421312999999998</v>
      </c>
      <c r="AI50" s="111">
        <f>[12]GHG_hist!BV40+IF($M50="incl",[12]LULUCF_hist!DM40,0)</f>
        <v>18.594457400000113</v>
      </c>
      <c r="AJ50" s="111">
        <f>[12]GHG_hist!BW40+IF($M50="incl",[12]LULUCF_hist!DN40,0)</f>
        <v>21.738143146320922</v>
      </c>
      <c r="AK50" s="111">
        <f>[12]GHG_hist!BX40+IF($M50="incl",[12]LULUCF_hist!DO40,0)</f>
        <v>24.788864892640824</v>
      </c>
      <c r="AL50" s="111">
        <f>[12]GHG_hist!BY40+IF($M50="incl",[12]LULUCF_hist!DP40,0)</f>
        <v>28.352579638961181</v>
      </c>
      <c r="AM50" s="111">
        <f>[12]GHG_hist!BZ40+IF($M50="incl",[12]LULUCF_hist!DQ40,0)</f>
        <v>32.947601385281537</v>
      </c>
      <c r="AN50" s="111">
        <f>[12]GHG_hist!CA40+IF($M50="incl",[12]LULUCF_hist!DR40,0)</f>
        <v>37.5196471316019</v>
      </c>
      <c r="AO50" s="111">
        <f>[12]GHG_hist!CB40+IF($M50="incl",[12]LULUCF_hist!DS40,0)</f>
        <v>40.555488877922251</v>
      </c>
      <c r="AP50" s="111">
        <f>[12]GHG_hist!CC40+IF($M50="incl",[12]LULUCF_hist!DT40,0)</f>
        <v>44.92848362424261</v>
      </c>
      <c r="AQ50" s="111">
        <f>[12]GHG_hist!CD40+IF($M50="incl",[12]LULUCF_hist!DU40,0)</f>
        <v>48.294385370562971</v>
      </c>
      <c r="AR50" s="111">
        <f>[12]GHG_hist!CE40+IF($M50="incl",[12]LULUCF_hist!DV40,0)</f>
        <v>52.826992116883325</v>
      </c>
      <c r="AS50" s="111">
        <f>[12]GHG_hist!CF40+IF($M50="incl",[12]LULUCF_hist!DW40,0)</f>
        <v>57.374267863203677</v>
      </c>
      <c r="AT50" s="171">
        <f>VLOOKUP($L50,'[12]IMAGE SSP2'!$AF$3:$AK$29,4,FALSE)*($AM50-'[12]IIASA Proj'!$EQ40)+('[12]IIASA Proj'!$EQ40+'[12]IIASA Proj'!$ER40)</f>
        <v>63.529544086501303</v>
      </c>
      <c r="AU50" s="172">
        <f>VLOOKUP($L50,'[12]IMAGE SSP2'!$AF$3:$AK$29,5,FALSE)*($AM50-'[12]IIASA Proj'!$EQ40)+('[12]IIASA Proj'!$EQ40+'[12]IIASA Proj'!$ES40)</f>
        <v>60.095640001017408</v>
      </c>
      <c r="AV50" s="173">
        <f>VLOOKUP($L50,'[12]IMAGE SSP2'!$AF$3:$AK$29,6,FALSE)*($AM50-'[12]IIASA Proj'!$EQ40)+('[12]IIASA Proj'!$EQ40+'[12]IIASA Proj'!$ET40)</f>
        <v>67.459951881580125</v>
      </c>
      <c r="AW50" s="111">
        <f>IF(A50="B",AM50+(AX50-AM50)*0.33333,"")</f>
        <v>50.28489421552564</v>
      </c>
      <c r="AX50" s="164">
        <f>[12]NDCs!$U$52</f>
        <v>84.96</v>
      </c>
      <c r="AY50" s="111" t="str">
        <f>IF('[12]Pledge 2020'!E40="","",'[12]Pledge 2020'!E40)</f>
        <v/>
      </c>
      <c r="AZ50" s="164" t="str">
        <f>IF('[12]Pledge 2020'!F40="","",'[12]Pledge 2020'!F40)</f>
        <v/>
      </c>
      <c r="BA50" s="111">
        <f>IF(BE50="","",(BE50-AH50)*0.75+AH50)</f>
        <v>70.506728249999995</v>
      </c>
      <c r="BB50" s="111">
        <f>IF(BF50="","",(BF50-AH50)*0.75+AH50)</f>
        <v>70.506728249999995</v>
      </c>
      <c r="BC50" s="111">
        <f>IF(BG50="","",(BG50-AH50)*0.75+AH50)</f>
        <v>58.527368249999988</v>
      </c>
      <c r="BD50" s="111">
        <f t="shared" si="43"/>
        <v>58.527368249999988</v>
      </c>
      <c r="BE50" s="169">
        <v>84.535199999999989</v>
      </c>
      <c r="BF50" s="169">
        <v>84.535199999999989</v>
      </c>
      <c r="BG50" s="169">
        <v>68.562719999999985</v>
      </c>
      <c r="BH50" s="170">
        <v>68.562719999999985</v>
      </c>
      <c r="BI50" s="111">
        <f>IF([12]NDCs!V52="",IF([12]NDCs!X52="","",[12]NDCs!X52),[12]NDCs!V52)</f>
        <v>23.449069999999999</v>
      </c>
      <c r="BJ50" s="111">
        <f>IF([12]NDCs!V52="",IF([12]NDCs!X52="","",[12]NDCs!X52),[12]NDCs!V52)</f>
        <v>23.449069999999999</v>
      </c>
      <c r="BK50" s="111">
        <f>IF([12]NDCs!Z52="",IF([12]NDCs!AB52="",IF('input site'!BE50="","",'input site'!BE50),[12]NDCs!AB52),[12]NDCs!Z52)</f>
        <v>8.2294499999999999</v>
      </c>
      <c r="BL50" s="111">
        <f>IF([12]NDCs!AA52="",IF([12]NDCs!AC52="",IF('input site'!BF50="","",'input site'!BF50),[12]NDCs!AC52),[12]NDCs!AA52)</f>
        <v>8.2294499999999999</v>
      </c>
      <c r="BM50" s="174">
        <f>IF($BI$8=2015,VLOOKUP($L50,'[12]IMAGE CurPol SSP'!$AZ$3:$BD$29,4,FALSE)*($AM50-'[12]IIASA Proj'!$EQ40)+('[12]IIASA Proj'!$EQ40+'[12]IIASA Proj'!$ER40),AR50)</f>
        <v>52.826992116883325</v>
      </c>
      <c r="BN50" s="175">
        <f t="shared" si="41"/>
        <v>52.826992116883325</v>
      </c>
      <c r="BO50" s="175">
        <f t="shared" si="41"/>
        <v>52.826992116883325</v>
      </c>
      <c r="BP50" s="174">
        <f>IF($BI$8=2015,VLOOKUP($L50,'[12]IMAGE CurPol SSP'!$AZ$3:$BD$29,5,FALSE)*($AM50-'[12]IIASA Proj'!$EQ40)+('[12]IIASA Proj'!$EQ40+'[12]IIASA Proj'!$ES40),VLOOKUP($L50,'[12]IMAGE CurPol SSP'!$BU$3:$BZ$29,5,FALSE)*($AS50-'[12]IIASA Proj'!$DV40)+('[12]IIASA Proj'!$EA40))</f>
        <v>46.276972740332603</v>
      </c>
      <c r="BQ50" s="174">
        <f>IF($BI$8=2015,"",IF($BI$8=2018,"",MIN(BP50,VLOOKUP($L50,'[12]IMAGE CurPol SSP'!$CQ$3:$CV$29,5,FALSE)*$AS50)))</f>
        <v>46.276972740332603</v>
      </c>
      <c r="BR50" s="174">
        <f>IF($BI$8=2015,"",IF($BI$8=2018,"",MAX(BP50,VLOOKUP($L50,'[12]IMAGE CurPol SSP'!$CF$3:$CK$29,5,FALSE)*$AS50)))</f>
        <v>59.980733975768466</v>
      </c>
      <c r="BS50" s="174">
        <f>IF($BI$8=2015,VLOOKUP($L50,'[12]IMAGE CurPol SSP'!$AZ$3:$BE$29,6,FALSE)*($AM50-'[12]IIASA Proj'!$EQ40)+('[12]IIASA Proj'!$EQ40+'[12]IIASA Proj'!$ET40),VLOOKUP($L50,'[12]IMAGE CurPol SSP'!$BU$3:$BZ$29,6,FALSE)*($AS50-'[12]IIASA Proj'!$DV40)+('[12]IIASA Proj'!$EF40))</f>
        <v>48.177794981265947</v>
      </c>
      <c r="BT50" s="174">
        <f>IF($BI$8=2015,"",IF($BI$8=2018,"",MIN($BS50,VLOOKUP($L50,'[12]IMAGE CurPol SSP'!$CQ$3:$CV$29,6,FALSE)*$AS50)))</f>
        <v>48.177794981265947</v>
      </c>
      <c r="BU50" s="176">
        <f>IF($BI$8=2015,"",IF($BI$8=2018,"",MAX($BS50,VLOOKUP($L50,'[12]IMAGE CurPol SSP'!$CF$3:$CK$29,6,FALSE)*$AS50)))</f>
        <v>68.331982105230026</v>
      </c>
      <c r="CN50" t="s">
        <v>129</v>
      </c>
      <c r="CO50" s="165">
        <f t="shared" si="2"/>
        <v>0.75465066495616306</v>
      </c>
      <c r="CP50" s="165">
        <f t="shared" si="2"/>
        <v>0.75465066495616306</v>
      </c>
      <c r="CQ50" s="165">
        <f t="shared" si="2"/>
        <v>0.42311868001972197</v>
      </c>
      <c r="CR50" s="165">
        <f t="shared" si="2"/>
        <v>0.42311868001972197</v>
      </c>
      <c r="CS50" s="159"/>
      <c r="CU50" s="159"/>
      <c r="CV50" s="125" t="s">
        <v>621</v>
      </c>
      <c r="CW50" s="125" t="s">
        <v>621</v>
      </c>
      <c r="CX50" s="159"/>
      <c r="CY50" s="167">
        <f t="shared" si="3"/>
        <v>10.702551969617979</v>
      </c>
      <c r="CZ50" s="159"/>
      <c r="DB50" s="106"/>
      <c r="DC50" s="106"/>
      <c r="DD50" s="106"/>
      <c r="DE50" s="106"/>
      <c r="DF50" s="106"/>
      <c r="DG50" s="105" t="str">
        <f t="shared" si="4"/>
        <v>incl</v>
      </c>
      <c r="DH50" t="s">
        <v>129</v>
      </c>
      <c r="DI50" s="111">
        <f t="shared" si="42"/>
        <v>0</v>
      </c>
      <c r="DJ50" s="111">
        <f t="shared" si="42"/>
        <v>0</v>
      </c>
      <c r="DK50" s="111">
        <f>IF(BA50="",$BP50,BA50)-$BP50</f>
        <v>24.229755509667392</v>
      </c>
      <c r="DL50" s="111">
        <f>IF(BC50="",$BP50,BC50)-$BP50</f>
        <v>12.250395509667385</v>
      </c>
      <c r="DM50" s="111">
        <f>IF(BE50="",$BS50,BE50)-$BS50</f>
        <v>36.357405018734042</v>
      </c>
      <c r="DN50" s="111">
        <f>IF(BG50="",$BS50,BG50)-$BS50</f>
        <v>20.384925018734037</v>
      </c>
      <c r="DO50" s="111">
        <f>IF(BI50="",$BS50,BI50)-$BS50</f>
        <v>-24.728724981265948</v>
      </c>
      <c r="DP50" s="111">
        <f>IF(BK50="",$BS50,BK50)-$BS50</f>
        <v>-39.948344981265947</v>
      </c>
      <c r="DQ50" s="106"/>
      <c r="DR50" s="106"/>
      <c r="DS50" s="177">
        <f>[12]GHG_hist!BZ40+IF($M50="incl",[12]LULUCF_hist!DQ40,0)</f>
        <v>32.947601385281537</v>
      </c>
      <c r="DT50" s="178">
        <f>IF($M50="incl",'[12]IIASA Proj'!EQ40,0)</f>
        <v>-12.384230522077747</v>
      </c>
      <c r="DW50" s="111">
        <f t="shared" si="12"/>
        <v>84.535199999999989</v>
      </c>
      <c r="DX50" s="111">
        <f t="shared" si="12"/>
        <v>84.535199999999989</v>
      </c>
      <c r="DY50" s="111">
        <f t="shared" si="12"/>
        <v>68.562719999999985</v>
      </c>
      <c r="DZ50" s="111">
        <f t="shared" si="12"/>
        <v>68.562719999999985</v>
      </c>
      <c r="EP50" t="s">
        <v>129</v>
      </c>
      <c r="EQ50">
        <v>-1</v>
      </c>
      <c r="ER50" s="111">
        <f t="shared" si="13"/>
        <v>44.92848362424261</v>
      </c>
      <c r="ES50" s="111">
        <f>IF($BI$8=2015,VLOOKUP($L50,'[12]IMAGE CDLINKS CurPol'!$P$3:$Y$29,10,FALSE)*$AM50,VLOOKUP($L50,'[12]IMAGE CDLINKS CurPol'!$Z$3:$AI$29,10,FALSE)*$AP50)</f>
        <v>93.805059536249885</v>
      </c>
      <c r="ET50" s="111">
        <f t="shared" si="14"/>
        <v>93.805059536249885</v>
      </c>
      <c r="EU50" s="111">
        <f t="shared" si="19"/>
        <v>42.812178485043752</v>
      </c>
      <c r="EV50" s="111">
        <f>IF($BI$8=2015,VLOOKUP($L50,'[12]IMAGE CDLINKS 2C'!$P$3:$Y$29,10,FALSE)*$AM50,VLOOKUP($L50,'[12]IMAGE CDLINKS 2C'!$Z$3:$AI$29,10,FALSE)*$AP50)</f>
        <v>42.812178485043752</v>
      </c>
      <c r="EX50" s="111"/>
      <c r="EY50" s="111">
        <f t="shared" si="20"/>
        <v>24.385829064306698</v>
      </c>
      <c r="EZ50" s="111">
        <f>IF($BI$8=2015,VLOOKUP($L50,'[12]IMAGE CDLINKS 1_5C'!$P$3:$Y$29,10,FALSE)*$AM50,VLOOKUP($L50,'[12]IMAGE CDLINKS 1_5C'!$Z$3:$AI$29,10,FALSE)*$AP50)</f>
        <v>24.385829064306698</v>
      </c>
      <c r="FA50" s="192">
        <v>2050</v>
      </c>
    </row>
    <row r="51" spans="1:157" x14ac:dyDescent="0.25">
      <c r="A51" t="str">
        <f>IF([12]NDCs!C53="","",[12]NDCs!C53)</f>
        <v>F</v>
      </c>
      <c r="B51" s="159" t="str">
        <f t="shared" si="0"/>
        <v>iv</v>
      </c>
      <c r="C51">
        <v>0</v>
      </c>
      <c r="D51">
        <v>0</v>
      </c>
      <c r="E51">
        <v>0</v>
      </c>
      <c r="F51">
        <v>1</v>
      </c>
      <c r="G51" t="b">
        <f t="shared" si="1"/>
        <v>1</v>
      </c>
      <c r="H51" t="s">
        <v>2339</v>
      </c>
      <c r="I51" t="s">
        <v>131</v>
      </c>
      <c r="J51">
        <v>152</v>
      </c>
      <c r="K51">
        <v>39</v>
      </c>
      <c r="L51">
        <v>6</v>
      </c>
      <c r="M51" t="str">
        <f>IF([12]NDCs!AL53="Excluding","excl","incl")</f>
        <v>excl</v>
      </c>
      <c r="N51" s="195">
        <f>[12]CHL!$A$24*IF($M51="incl",[12]CHL!E$41,[12]CHL!E$37)</f>
        <v>52.015999999999998</v>
      </c>
      <c r="O51" s="195">
        <f>[12]CHL!$A$24*IF($M51="incl",[12]CHL!F$41,[12]CHL!F$37)</f>
        <v>54.473100000000002</v>
      </c>
      <c r="P51" s="195">
        <f>[12]CHL!$A$24*IF($M51="incl",[12]CHL!G$41,[12]CHL!G$37)</f>
        <v>56.930199999999999</v>
      </c>
      <c r="Q51" s="195">
        <f>[12]CHL!$A$24*IF($M51="incl",[12]CHL!H$41,[12]CHL!H$37)</f>
        <v>59.387300000000003</v>
      </c>
      <c r="R51" s="195">
        <f>[12]CHL!$A$24*IF($M51="incl",[12]CHL!I$41,[12]CHL!I$37)</f>
        <v>61.8444</v>
      </c>
      <c r="S51" s="195">
        <f>[12]CHL!$A$24*IF($M51="incl",[12]CHL!J$41,[12]CHL!J$37)</f>
        <v>64.301500000000004</v>
      </c>
      <c r="T51" s="195">
        <f>[12]CHL!$A$24*IF($M51="incl",[12]CHL!K$41,[12]CHL!K$37)</f>
        <v>66.758600000000001</v>
      </c>
      <c r="U51" s="195">
        <f>[12]CHL!$A$24*IF($M51="incl",[12]CHL!L$41,[12]CHL!L$37)</f>
        <v>69.215699999999998</v>
      </c>
      <c r="V51" s="195">
        <f>[12]CHL!$A$24*IF($M51="incl",[12]CHL!M$41,[12]CHL!M$37)</f>
        <v>71.672799999999995</v>
      </c>
      <c r="W51" s="195">
        <f>[12]CHL!$A$24*IF($M51="incl",[12]CHL!N$41,[12]CHL!N$37)</f>
        <v>74.129900000000006</v>
      </c>
      <c r="X51" s="195">
        <f>[12]CHL!$A$24*IF($M51="incl",[12]CHL!O$41,[12]CHL!O$37)</f>
        <v>76.587000000000003</v>
      </c>
      <c r="Y51" s="195">
        <f>[12]CHL!$A$24*IF($M51="incl",[12]CHL!P$41,[12]CHL!P$37)</f>
        <v>78.114500000000007</v>
      </c>
      <c r="Z51" s="195">
        <f>[12]CHL!$A$24*IF($M51="incl",[12]CHL!Q$41,[12]CHL!Q$37)</f>
        <v>79.641999999999996</v>
      </c>
      <c r="AA51" s="195">
        <f>[12]CHL!$A$24*IF($M51="incl",[12]CHL!R$41,[12]CHL!R$37)</f>
        <v>81.169499999999999</v>
      </c>
      <c r="AB51" s="195">
        <f>[12]CHL!$A$24*IF($M51="incl",[12]CHL!S$41,[12]CHL!S$37)</f>
        <v>82.697000000000003</v>
      </c>
      <c r="AC51" s="195">
        <f>[12]CHL!$A$24*IF($M51="incl",[12]CHL!T$41,[12]CHL!T$37)</f>
        <v>84.224500000000006</v>
      </c>
      <c r="AD51" s="195">
        <f>[12]CHL!$A$24*IF($M51="incl",[12]CHL!U$41,[12]CHL!U$37)</f>
        <v>85.751999999999995</v>
      </c>
      <c r="AE51" s="195">
        <f>[12]CHL!$A$24*IF($M51="incl",[12]CHL!V$41,[12]CHL!V$37)</f>
        <v>87.279499999999999</v>
      </c>
      <c r="AF51" s="195">
        <f>[12]CHL!$A$24*IF($M51="incl",[12]CHL!W$41,[12]CHL!W$37)</f>
        <v>88.807000000000002</v>
      </c>
      <c r="AG51" s="195">
        <f>[12]CHL!$A$24*IF($M51="incl",[12]CHL!X$41,[12]CHL!X$37)</f>
        <v>90.334500000000006</v>
      </c>
      <c r="AH51" s="195">
        <f>[12]CHL!$A$24*IF($M51="incl",[12]CHL!Y$41,[12]CHL!Y$37)</f>
        <v>91.861999999999995</v>
      </c>
      <c r="AI51" s="195">
        <f>[12]CHL!$A$24*IF($M51="incl",[12]CHL!Z$41,[12]CHL!Z$37)</f>
        <v>96.009333333333302</v>
      </c>
      <c r="AJ51" s="195">
        <f>[12]CHL!$A$24*IF($M51="incl",[12]CHL!AA$41,[12]CHL!AA$37)</f>
        <v>100.156666666666</v>
      </c>
      <c r="AK51" s="195">
        <f>[12]CHL!$A$24*IF($M51="incl",[12]CHL!AB$41,[12]CHL!AB$37)</f>
        <v>104.304</v>
      </c>
      <c r="AL51" s="195">
        <f>[12]CHL!$A$24*IF($M51="incl",[12]CHL!AC$41,[12]CHL!AC$37)</f>
        <v>101.47399999999899</v>
      </c>
      <c r="AM51" s="195">
        <f>[12]CHL!$A$24*IF($M51="incl",[12]CHL!AD$41,[12]CHL!AD$37)</f>
        <v>108.24299999999999</v>
      </c>
      <c r="AN51" s="195">
        <f>[12]CHL!$A$24*IF($M51="incl",[12]CHL!AE$41,[12]CHL!AE$37)</f>
        <v>111.678</v>
      </c>
      <c r="AO51" s="195">
        <f>[12]CHL!$A$24*IF($M51="incl",[12]CHL!AF$41,[12]CHL!AF$37)</f>
        <v>108.6267445</v>
      </c>
      <c r="AP51" s="195">
        <f>[12]CHL!$A$24*IF($M51="incl",[12]CHL!AG$41,[12]CHL!AG$37)</f>
        <v>109.4514964</v>
      </c>
      <c r="AQ51" s="195">
        <f>[12]CHL!$A$24*IF($M51="incl",[12]CHL!AH$41,[12]CHL!AH$37)</f>
        <v>108.1977558</v>
      </c>
      <c r="AR51" s="195">
        <f>[12]CHL!$A$24*IF($M51="incl",[12]CHL!AI$41,[12]CHL!AI$37)</f>
        <v>107.07790439999999</v>
      </c>
      <c r="AS51" s="195">
        <f>[12]CHL!$A$24*IF($M51="incl",[12]CHL!AJ$41,[12]CHL!AJ$37)</f>
        <v>106.1575684</v>
      </c>
      <c r="AT51" s="179">
        <f>[12]CHL!$A$24*[12]CHL!AI23</f>
        <v>123.64552</v>
      </c>
      <c r="AU51" s="177">
        <f>[12]CHL!$A$24*[12]CHL!AN23</f>
        <v>136.54071999999999</v>
      </c>
      <c r="AV51" s="180">
        <f>[12]CHL!$A$24*[12]CHL!AS23</f>
        <v>151.24672000000001</v>
      </c>
      <c r="AW51" s="111" t="str">
        <f t="shared" si="15"/>
        <v/>
      </c>
      <c r="AX51" s="164" t="str">
        <f>IF(A51="B",IF(M51="excl",[12]NatCom!CO41,[12]NatCom!AX41),"")</f>
        <v/>
      </c>
      <c r="AY51" s="111" t="str">
        <f>IF('[12]Pledge 2020'!E41="","",'[12]Pledge 2020'!E41)</f>
        <v/>
      </c>
      <c r="AZ51" s="180">
        <f>[12]CHL!$A$24*IF('[12]Pledge 2020'!F41="","",'[12]Pledge 2020'!F41)</f>
        <v>119</v>
      </c>
      <c r="BA51" s="177">
        <f>[12]CHL!$A$24*[12]CHL!X10</f>
        <v>94.215499999999992</v>
      </c>
      <c r="BB51" s="177">
        <f>IF(BF51="","",(BF51-AH51)*0.75+AH51)</f>
        <v>94.215499999999992</v>
      </c>
      <c r="BC51" s="177">
        <f>[12]CHL!$A$24*[12]CHL!Y10</f>
        <v>94.215499999999992</v>
      </c>
      <c r="BD51" s="111">
        <f t="shared" si="43"/>
        <v>94.215499999999992</v>
      </c>
      <c r="BE51" s="169">
        <v>95</v>
      </c>
      <c r="BF51" s="169">
        <v>95</v>
      </c>
      <c r="BG51" s="169">
        <v>95</v>
      </c>
      <c r="BH51" s="170">
        <v>95</v>
      </c>
      <c r="BI51" s="111">
        <f>IF([12]NDCs!V53="",IF([12]NDCs!X53="","",[12]NDCs!X53),[12]NDCs!V53)</f>
        <v>131</v>
      </c>
      <c r="BJ51" s="111">
        <f>IF([12]NDCs!V53="",IF([12]NDCs!X53="","",[12]NDCs!X53),[12]NDCs!V53)</f>
        <v>131</v>
      </c>
      <c r="BK51" s="111">
        <f>IF([12]NDCs!Z53="",IF([12]NDCs!AB53="",IF('input site'!BE51="","",'input site'!BE51),[12]NDCs!AB53),[12]NDCs!Z53)</f>
        <v>122.8</v>
      </c>
      <c r="BL51" s="111">
        <f>IF([12]NDCs!AA53="",IF([12]NDCs!AC53="",IF('input site'!BF51="","",'input site'!BF51),[12]NDCs!AC53),[12]NDCs!AA53)</f>
        <v>104.5</v>
      </c>
      <c r="BM51" s="160">
        <f>MEDIAN(BN51:BO51)</f>
        <v>107.5198967499995</v>
      </c>
      <c r="BN51" s="177">
        <f>[12]CHL!$A$24*[12]CHL!AB$7</f>
        <v>107.07790439999999</v>
      </c>
      <c r="BO51" s="177">
        <f>[12]CHL!$A$24*[12]CHL!AB$6</f>
        <v>107.961889099999</v>
      </c>
      <c r="BP51" s="160">
        <f>MEDIAN(BQ51:BR51)</f>
        <v>116.80189675</v>
      </c>
      <c r="BQ51" s="177">
        <f>[12]CHL!$A$24*[12]CHL!AC$7</f>
        <v>114.8629578</v>
      </c>
      <c r="BR51" s="177">
        <f>[12]CHL!$A$24*[12]CHL!AC$6</f>
        <v>118.74083570000001</v>
      </c>
      <c r="BS51" s="160">
        <f>MEDIAN(BT51:BU51)</f>
        <v>124.02967914999951</v>
      </c>
      <c r="BT51" s="177">
        <f>[12]CHL!$A$24*[12]CHL!AD$7</f>
        <v>121.7092902</v>
      </c>
      <c r="BU51" s="177">
        <f>[12]CHL!$A$24*[12]CHL!AD$6</f>
        <v>126.35006809999901</v>
      </c>
      <c r="CN51" t="s">
        <v>131</v>
      </c>
      <c r="CO51" s="165">
        <f t="shared" si="2"/>
        <v>-0.23405429530210653</v>
      </c>
      <c r="CP51" s="165">
        <f t="shared" si="2"/>
        <v>-0.23405429530210653</v>
      </c>
      <c r="CQ51" s="165">
        <f t="shared" si="2"/>
        <v>-0.23405429530210653</v>
      </c>
      <c r="CR51" s="165">
        <f t="shared" si="2"/>
        <v>-0.23405429530210653</v>
      </c>
      <c r="CS51" s="185">
        <f>IF(BE51&lt;=MIN(BS51:BU51),0,1)</f>
        <v>0</v>
      </c>
      <c r="CT51" s="185">
        <f>IF(BG51&lt;=MIN(BS51:BU51),0,1)</f>
        <v>0</v>
      </c>
      <c r="CU51">
        <f>IF(BS51&lt;=MAX(N51,AH51),1,0)</f>
        <v>0</v>
      </c>
      <c r="CV51" s="121" t="str">
        <f>IF(CS51=1,IF(CU51=1,"i","ii"),IF(CU51=1,"iii","iv"))</f>
        <v>iv</v>
      </c>
      <c r="CW51" s="121" t="str">
        <f>IF(CT51=1,IF(CU51=1,"i","ii"),IF(CU51=1,"iii","iv"))</f>
        <v>iv</v>
      </c>
      <c r="CX51"/>
      <c r="CY51" s="167">
        <f t="shared" si="3"/>
        <v>16.125623250000501</v>
      </c>
      <c r="DA51" s="106"/>
      <c r="DB51" s="106"/>
      <c r="DC51" s="106"/>
      <c r="DD51" s="106"/>
      <c r="DE51" s="187">
        <f>[12]CHL!T23</f>
        <v>0</v>
      </c>
      <c r="DF51" s="187">
        <f>[12]CHL!U23</f>
        <v>0</v>
      </c>
      <c r="DG51" s="105" t="str">
        <f t="shared" si="4"/>
        <v>excl</v>
      </c>
      <c r="DH51" t="s">
        <v>131</v>
      </c>
      <c r="DI51" s="177"/>
      <c r="DJ51" s="177"/>
      <c r="DK51" s="177"/>
      <c r="DL51" s="177"/>
      <c r="DM51" s="177"/>
      <c r="DN51" s="177"/>
      <c r="DO51" s="127"/>
      <c r="DP51" s="127"/>
      <c r="DQ51" s="187">
        <f>[12]CHL!BA$18</f>
        <v>6.9703208500004905</v>
      </c>
      <c r="DR51" s="187">
        <f>[12]CHL!BB$18</f>
        <v>0</v>
      </c>
      <c r="DS51" s="111"/>
      <c r="DT51" s="168"/>
      <c r="DW51" s="111">
        <f t="shared" si="12"/>
        <v>95</v>
      </c>
      <c r="DX51" s="111">
        <f t="shared" si="12"/>
        <v>95</v>
      </c>
      <c r="DY51" s="111">
        <f t="shared" si="12"/>
        <v>95</v>
      </c>
      <c r="DZ51" s="111">
        <f t="shared" si="12"/>
        <v>95</v>
      </c>
      <c r="EP51" t="s">
        <v>131</v>
      </c>
      <c r="EQ51">
        <v>4</v>
      </c>
      <c r="ER51" s="111">
        <f t="shared" si="13"/>
        <v>109.4514964</v>
      </c>
      <c r="ES51" s="111">
        <f>IF($BI$8=2015,VLOOKUP($L51,'[12]IMAGE CDLINKS CurPol'!$P$3:$Y$29,10,FALSE)*$AM51,VLOOKUP($L51,'[12]IMAGE CDLINKS CurPol'!$Z$3:$AI$29,10,FALSE)*$AP51)</f>
        <v>178.66385096147513</v>
      </c>
      <c r="ET51" s="111">
        <f t="shared" si="14"/>
        <v>65</v>
      </c>
      <c r="EU51" s="111">
        <f t="shared" si="19"/>
        <v>65</v>
      </c>
      <c r="EV51" s="111">
        <f>IF($BI$8=2015,VLOOKUP($L51,'[12]IMAGE CDLINKS 2C'!$P$3:$Y$29,10,FALSE)*$AM51,VLOOKUP($L51,'[12]IMAGE CDLINKS 2C'!$Z$3:$AI$29,10,FALSE)*$AP51)</f>
        <v>70.157454109293681</v>
      </c>
      <c r="EW51">
        <v>65</v>
      </c>
      <c r="EX51" s="111">
        <f>EW51-EV51</f>
        <v>-5.1574541092936812</v>
      </c>
      <c r="EY51" s="111">
        <f t="shared" si="20"/>
        <v>65</v>
      </c>
      <c r="EZ51" s="111">
        <f>IF($BI$8=2015,VLOOKUP($L51,'[12]IMAGE CDLINKS 1_5C'!$P$3:$Y$29,10,FALSE)*$AM51,VLOOKUP($L51,'[12]IMAGE CDLINKS 1_5C'!$Z$3:$AI$29,10,FALSE)*$AP51)</f>
        <v>41.5069931701237</v>
      </c>
      <c r="FA51" s="192" t="s">
        <v>2341</v>
      </c>
    </row>
    <row r="52" spans="1:157" x14ac:dyDescent="0.25">
      <c r="A52" t="str">
        <f>IF([12]NDCs!C54="","",[12]NDCs!C54)</f>
        <v>E</v>
      </c>
      <c r="B52" s="159" t="str">
        <f t="shared" si="0"/>
        <v>ii</v>
      </c>
      <c r="C52">
        <v>1</v>
      </c>
      <c r="D52">
        <v>0</v>
      </c>
      <c r="E52">
        <v>1</v>
      </c>
      <c r="F52">
        <v>1</v>
      </c>
      <c r="G52" t="b">
        <f t="shared" si="1"/>
        <v>1</v>
      </c>
      <c r="H52" t="s">
        <v>2339</v>
      </c>
      <c r="I52" t="s">
        <v>133</v>
      </c>
      <c r="J52">
        <v>156</v>
      </c>
      <c r="K52">
        <v>40</v>
      </c>
      <c r="L52">
        <v>20</v>
      </c>
      <c r="M52" t="str">
        <f>IF([12]NDCs!AL54="Excluding","excl","incl")</f>
        <v>incl</v>
      </c>
      <c r="N52" s="195">
        <f>[12]CHI!$A$24*IF($M52="incl",[12]CHI!E$42,[12]CHI!E$37)</f>
        <v>3237.5209999999902</v>
      </c>
      <c r="O52" s="195">
        <f>[12]CHI!$A$24*IF($M52="incl",[12]CHI!F$42,[12]CHI!F$37)</f>
        <v>3371.5209999999902</v>
      </c>
      <c r="P52" s="195">
        <f>[12]CHI!$A$24*IF($M52="incl",[12]CHI!G$42,[12]CHI!G$37)</f>
        <v>3507.5209999999902</v>
      </c>
      <c r="Q52" s="195">
        <f>[12]CHI!$A$24*IF($M52="incl",[12]CHI!H$42,[12]CHI!H$37)</f>
        <v>3689.5209999999902</v>
      </c>
      <c r="R52" s="195">
        <f>[12]CHI!$A$24*IF($M52="incl",[12]CHI!I$42,[12]CHI!I$37)</f>
        <v>3941.5209999999902</v>
      </c>
      <c r="S52" s="195">
        <f>[12]CHI!$A$24*IF($M52="incl",[12]CHI!J$42,[12]CHI!J$37)</f>
        <v>4263.9281818181798</v>
      </c>
      <c r="T52" s="195">
        <f>[12]CHI!$A$24*IF($M52="incl",[12]CHI!K$42,[12]CHI!K$37)</f>
        <v>4413.3353636363599</v>
      </c>
      <c r="U52" s="195">
        <f>[12]CHI!$A$24*IF($M52="incl",[12]CHI!L$42,[12]CHI!L$37)</f>
        <v>4359.74254545454</v>
      </c>
      <c r="V52" s="195">
        <f>[12]CHI!$A$24*IF($M52="incl",[12]CHI!M$42,[12]CHI!M$37)</f>
        <v>4186.1497272727202</v>
      </c>
      <c r="W52" s="195">
        <f>[12]CHI!$A$24*IF($M52="incl",[12]CHI!N$42,[12]CHI!N$37)</f>
        <v>4224.5569090909003</v>
      </c>
      <c r="X52" s="195">
        <f>[12]CHI!$A$24*IF($M52="incl",[12]CHI!O$42,[12]CHI!O$37)</f>
        <v>4324.9640909090904</v>
      </c>
      <c r="Y52" s="195">
        <f>[12]CHI!$A$24*IF($M52="incl",[12]CHI!P$42,[12]CHI!P$37)</f>
        <v>4407.3712727272696</v>
      </c>
      <c r="Z52" s="195">
        <f>[12]CHI!$A$24*IF($M52="incl",[12]CHI!Q$42,[12]CHI!Q$37)</f>
        <v>4787.7784545454497</v>
      </c>
      <c r="AA52" s="195">
        <f>[12]CHI!$A$24*IF($M52="incl",[12]CHI!R$42,[12]CHI!R$37)</f>
        <v>5543.1856363636298</v>
      </c>
      <c r="AB52" s="195">
        <f>[12]CHI!$A$24*IF($M52="incl",[12]CHI!S$42,[12]CHI!S$37)</f>
        <v>6330.5928181818099</v>
      </c>
      <c r="AC52" s="195">
        <f>[12]CHI!$A$24*IF($M52="incl",[12]CHI!T$42,[12]CHI!T$37)</f>
        <v>7053</v>
      </c>
      <c r="AD52" s="195">
        <f>[12]CHI!$A$24*IF($M52="incl",[12]CHI!U$42,[12]CHI!U$37)</f>
        <v>7767.6</v>
      </c>
      <c r="AE52" s="195">
        <f>[12]CHI!$A$24*IF($M52="incl",[12]CHI!V$42,[12]CHI!V$37)</f>
        <v>8272.2000000000007</v>
      </c>
      <c r="AF52" s="195">
        <f>[12]CHI!$A$24*IF($M52="incl",[12]CHI!W$42,[12]CHI!W$37)</f>
        <v>8785.7999999999993</v>
      </c>
      <c r="AG52" s="195">
        <f>[12]CHI!$A$24*IF($M52="incl",[12]CHI!X$42,[12]CHI!X$37)</f>
        <v>9228.4</v>
      </c>
      <c r="AH52" s="195">
        <f>[12]CHI!$A$24*IF($M52="incl",[12]CHI!Y$42,[12]CHI!Y$37)</f>
        <v>10013</v>
      </c>
      <c r="AI52" s="195">
        <f>[12]CHI!$A$24*IF($M52="incl",[12]CHI!Z$42,[12]CHI!Z$37)</f>
        <v>11270.5</v>
      </c>
      <c r="AJ52" s="195">
        <f>[12]CHI!$A$24*IF($M52="incl",[12]CHI!AA$42,[12]CHI!AA$37)</f>
        <v>11827</v>
      </c>
      <c r="AK52" s="195">
        <f>[12]CHI!$A$24*IF($M52="incl",[12]CHI!AB$42,[12]CHI!AB$37)</f>
        <v>11849.5</v>
      </c>
      <c r="AL52" s="195">
        <f>[12]CHI!$A$24*IF($M52="incl",[12]CHI!AC$42,[12]CHI!AC$37)</f>
        <v>11774</v>
      </c>
      <c r="AM52" s="195">
        <f>[12]CHI!$A$24*IF($M52="incl",[12]CHI!AD$42,[12]CHI!AD$37)</f>
        <v>11565.461300413301</v>
      </c>
      <c r="AN52" s="195">
        <f>[12]CHI!$A$24*IF($M52="incl",[12]CHI!AE$42,[12]CHI!AE$37)</f>
        <v>11386.788523482201</v>
      </c>
      <c r="AO52" s="195">
        <f>[12]CHI!$A$24*IF($M52="incl",[12]CHI!AF$42,[12]CHI!AF$37)</f>
        <v>11633.656627374799</v>
      </c>
      <c r="AP52" s="195">
        <f>[12]CHI!$A$24*IF($M52="incl",[12]CHI!AG$42,[12]CHI!AG$37)</f>
        <v>11972.058960620099</v>
      </c>
      <c r="AQ52" s="195">
        <f>[12]CHI!$A$24*IF($M52="incl",[12]CHI!AH$42,[12]CHI!AH$37)</f>
        <v>12247.171541517</v>
      </c>
      <c r="AR52" s="195">
        <f>[12]CHI!$A$24*IF($M52="incl",[12]CHI!AI$42,[12]CHI!AI$37)</f>
        <v>12535.966640000001</v>
      </c>
      <c r="AS52" s="195">
        <f>[12]CHI!$A$24*IF($M52="incl",[12]CHI!AJ$42,[12]CHI!AJ$37)</f>
        <v>13038.949070000001</v>
      </c>
      <c r="AT52" s="189">
        <f>AR52</f>
        <v>12535.966640000001</v>
      </c>
      <c r="AU52" s="177">
        <f>[12]CHI!$A$24*[12]CHI!AN23</f>
        <v>14813.839837829912</v>
      </c>
      <c r="AV52" s="180">
        <f>[12]CHI!$A$24*[12]CHI!AS23</f>
        <v>15533.058475659822</v>
      </c>
      <c r="AW52" s="111" t="str">
        <f t="shared" si="15"/>
        <v/>
      </c>
      <c r="AX52" s="164" t="str">
        <f>IF(A52="B",IF(M52="excl",[12]NatCom!CO42,[12]NatCom!AX42),"")</f>
        <v/>
      </c>
      <c r="AY52" s="111">
        <f>IF('[12]Pledge 2020'!E42="","",'[12]Pledge 2020'!E42)</f>
        <v>13231.2</v>
      </c>
      <c r="AZ52" s="164">
        <f>[12]CHI!$P$13</f>
        <v>12160.4</v>
      </c>
      <c r="BA52" s="106">
        <f>[12]CHI!X10</f>
        <v>12811.738950081126</v>
      </c>
      <c r="BB52" s="106">
        <f>IF(BF52="","",(BF52-AH52)*0.75+AH52)</f>
        <v>12811.738950081126</v>
      </c>
      <c r="BC52" s="106">
        <f>(AZ52+BG52)/2</f>
        <v>12952.52596672075</v>
      </c>
      <c r="BD52" s="106">
        <f t="shared" si="43"/>
        <v>12811.738950081126</v>
      </c>
      <c r="BE52" s="199">
        <v>13744.651933441501</v>
      </c>
      <c r="BF52" s="199">
        <v>13744.651933441501</v>
      </c>
      <c r="BG52" s="199">
        <v>13744.651933441501</v>
      </c>
      <c r="BH52" s="200">
        <v>13744.651933441501</v>
      </c>
      <c r="BI52" s="201">
        <f>[12]CHI!$AD$5</f>
        <v>13845.495529695199</v>
      </c>
      <c r="BJ52" s="201">
        <f>[12]CHI!$AD$5</f>
        <v>13845.495529695199</v>
      </c>
      <c r="BK52" s="201">
        <f>[12]CHI!$AD$5</f>
        <v>13845.495529695199</v>
      </c>
      <c r="BL52" s="201">
        <f>[12]CHI!$AD$5</f>
        <v>13845.495529695199</v>
      </c>
      <c r="BM52" s="191">
        <f>[12]CHI!$A$24*[12]CHI!AB$5</f>
        <v>12535.597779896299</v>
      </c>
      <c r="BN52" s="127">
        <f>[12]CHI!$A$24*[12]CHI!AB7</f>
        <v>12535.597779896299</v>
      </c>
      <c r="BO52" s="127">
        <f>[12]CHI!$A$24*[12]CHI!AB6</f>
        <v>12535.597779896299</v>
      </c>
      <c r="BP52" s="191">
        <f>[12]CHI!$A$24*[12]CHI!AC$5</f>
        <v>13737.849570311701</v>
      </c>
      <c r="BQ52" s="127">
        <f>[12]CHI!$A$24*[12]CHI!AC7</f>
        <v>13023.7983</v>
      </c>
      <c r="BR52" s="127">
        <f>[12]CHI!$A$24*[12]CHI!AC6</f>
        <v>13737.849570311701</v>
      </c>
      <c r="BS52" s="191">
        <f>[12]CHI!$A$24*[12]CHI!AD$5</f>
        <v>13845.495529695199</v>
      </c>
      <c r="BT52" s="127">
        <f>[12]CHI!$A$24*[12]CHI!AD7</f>
        <v>12775.05818</v>
      </c>
      <c r="BU52" s="184">
        <f>[12]CHI!$A$24*[12]CHI!AD6</f>
        <v>13845.495529695199</v>
      </c>
      <c r="CM52" s="165"/>
      <c r="CN52" t="s">
        <v>133</v>
      </c>
      <c r="CO52" s="165">
        <f t="shared" si="2"/>
        <v>-7.2834949126532322E-3</v>
      </c>
      <c r="CP52" s="165">
        <f t="shared" si="2"/>
        <v>-7.2834949126532322E-3</v>
      </c>
      <c r="CQ52" s="165">
        <f t="shared" si="2"/>
        <v>-7.2834949126532322E-3</v>
      </c>
      <c r="CR52" s="165">
        <f t="shared" si="2"/>
        <v>-7.2834949126532322E-3</v>
      </c>
      <c r="CS52" s="185">
        <f>IF(BE52&lt;=MIN(BS52:BU52),0,1)</f>
        <v>1</v>
      </c>
      <c r="CT52" s="185">
        <f>IF(BG52&lt;=MIN(BS52:BU52),0,1)</f>
        <v>1</v>
      </c>
      <c r="CU52">
        <f>IF(BS52&lt;=MAX(AN52,AP52),1,0)</f>
        <v>0</v>
      </c>
      <c r="CV52" s="121" t="str">
        <f>IF(CS52=1,IF(CU52=1,"i","ii"),IF(CU52=1,"iii","iv"))</f>
        <v>ii</v>
      </c>
      <c r="CW52" s="121" t="str">
        <f>IF(CT52=1,IF(CU52=1,"i","ii"),IF(CU52=1,"iii","iv"))</f>
        <v>ii</v>
      </c>
      <c r="CX52"/>
      <c r="CY52" s="167">
        <f t="shared" si="3"/>
        <v>0.36886010370108124</v>
      </c>
      <c r="DA52" s="187">
        <f>[12]CHI!P18</f>
        <v>695.60222010370126</v>
      </c>
      <c r="DB52" s="187">
        <f>[12]CHI!Q18</f>
        <v>695.60222010370126</v>
      </c>
      <c r="DC52" s="187">
        <f>[12]CHI!R18</f>
        <v>0</v>
      </c>
      <c r="DD52" s="187">
        <f>[12]CHI!S18</f>
        <v>0</v>
      </c>
      <c r="DE52" s="187">
        <f>[12]CHI!T18</f>
        <v>0</v>
      </c>
      <c r="DF52" s="187">
        <f>[12]CHI!U18</f>
        <v>0</v>
      </c>
      <c r="DG52" s="105" t="str">
        <f t="shared" si="4"/>
        <v>incl</v>
      </c>
      <c r="DH52" t="s">
        <v>133</v>
      </c>
      <c r="DI52" s="127">
        <f t="shared" ref="DI52:DN52" si="44">DA52</f>
        <v>695.60222010370126</v>
      </c>
      <c r="DJ52" s="127">
        <f t="shared" si="44"/>
        <v>695.60222010370126</v>
      </c>
      <c r="DK52" s="127">
        <f t="shared" si="44"/>
        <v>0</v>
      </c>
      <c r="DL52" s="127">
        <f t="shared" si="44"/>
        <v>0</v>
      </c>
      <c r="DM52" s="127">
        <f t="shared" si="44"/>
        <v>0</v>
      </c>
      <c r="DN52" s="127">
        <f t="shared" si="44"/>
        <v>0</v>
      </c>
      <c r="DO52" s="111">
        <f>IF(BI52="",$BS52,BI52)-$BS52</f>
        <v>0</v>
      </c>
      <c r="DP52" s="111">
        <f>IF(BK52="",$BS52,BK52)-$BS52</f>
        <v>0</v>
      </c>
      <c r="DQ52" s="187"/>
      <c r="DR52" s="187"/>
      <c r="DS52" s="111"/>
      <c r="DT52" s="168"/>
      <c r="DW52" s="111">
        <f t="shared" si="12"/>
        <v>13744.651933441501</v>
      </c>
      <c r="DX52" s="111">
        <f t="shared" si="12"/>
        <v>13744.651933441501</v>
      </c>
      <c r="DY52" s="111">
        <f t="shared" si="12"/>
        <v>13744.651933441501</v>
      </c>
      <c r="DZ52" s="111">
        <f t="shared" si="12"/>
        <v>13744.651933441501</v>
      </c>
      <c r="EP52" t="s">
        <v>133</v>
      </c>
      <c r="EQ52">
        <v>4</v>
      </c>
      <c r="ER52" s="111">
        <f t="shared" si="13"/>
        <v>11972.058960620099</v>
      </c>
      <c r="ES52" s="111">
        <f>IF($BI$8=2015,VLOOKUP($L52,'[12]IMAGE CDLINKS CurPol'!$P$3:$Y$29,10,FALSE)*$AM52,VLOOKUP($L52,'[12]IMAGE CDLINKS CurPol'!$Z$3:$AI$29,10,FALSE)*$AP52)</f>
        <v>13966.19671951835</v>
      </c>
      <c r="ET52" s="111">
        <f t="shared" si="14"/>
        <v>4762.6249274752117</v>
      </c>
      <c r="EU52" s="111">
        <f t="shared" si="19"/>
        <v>4762.6249274752117</v>
      </c>
      <c r="EV52" s="111">
        <f>IF($BI$8=2015,VLOOKUP($L52,'[12]IMAGE CDLINKS 2C'!$P$3:$Y$29,10,FALSE)*$AM52,VLOOKUP($L52,'[12]IMAGE CDLINKS 2C'!$Z$3:$AI$29,10,FALSE)*$AP52)</f>
        <v>2115.7686358692486</v>
      </c>
      <c r="EW52" s="202">
        <f>[12]CHI!$BM$31</f>
        <v>4762.6249274752117</v>
      </c>
      <c r="EX52" s="111">
        <f>EW52-EV52</f>
        <v>2646.8562916059632</v>
      </c>
      <c r="EY52" s="111">
        <f t="shared" si="20"/>
        <v>4762.6249274752117</v>
      </c>
      <c r="EZ52" s="111">
        <f>IF($BI$8=2015,VLOOKUP($L52,'[12]IMAGE CDLINKS 1_5C'!$P$3:$Y$29,10,FALSE)*$AM52,VLOOKUP($L52,'[12]IMAGE CDLINKS 1_5C'!$Z$3:$AI$29,10,FALSE)*$AP52)</f>
        <v>995.31636903488038</v>
      </c>
      <c r="FA52" s="192" t="s">
        <v>2342</v>
      </c>
    </row>
    <row r="53" spans="1:157" x14ac:dyDescent="0.25">
      <c r="A53" t="str">
        <f>IF([12]NDCs!C55="","",[12]NDCs!C55)</f>
        <v>B</v>
      </c>
      <c r="B53" s="159" t="str">
        <f t="shared" si="0"/>
        <v>iv</v>
      </c>
      <c r="C53">
        <v>1</v>
      </c>
      <c r="D53">
        <v>0</v>
      </c>
      <c r="E53">
        <v>0</v>
      </c>
      <c r="F53">
        <v>1</v>
      </c>
      <c r="G53" t="b">
        <f t="shared" si="1"/>
        <v>1</v>
      </c>
      <c r="H53" t="s">
        <v>2333</v>
      </c>
      <c r="I53" t="s">
        <v>135</v>
      </c>
      <c r="J53">
        <v>170</v>
      </c>
      <c r="K53">
        <v>42</v>
      </c>
      <c r="L53">
        <v>6</v>
      </c>
      <c r="M53" t="str">
        <f>IF([12]NDCs!AL55="Excluding","excl","incl")</f>
        <v>incl</v>
      </c>
      <c r="N53" s="195">
        <f>[12]COL!$A$24*IF($M53="incl",[12]COL!E$41,[12]COL!E$37)</f>
        <v>216.56852791</v>
      </c>
      <c r="O53" s="195">
        <f>[12]COL!$A$24*IF($M53="incl",[12]COL!F$41,[12]COL!F$37)</f>
        <v>220.16989999999899</v>
      </c>
      <c r="P53" s="195">
        <f>[12]COL!$A$24*IF($M53="incl",[12]COL!G$41,[12]COL!G$37)</f>
        <v>225.50290269999999</v>
      </c>
      <c r="Q53" s="195">
        <f>[12]COL!$A$24*IF($M53="incl",[12]COL!H$41,[12]COL!H$37)</f>
        <v>228.05801159999999</v>
      </c>
      <c r="R53" s="195">
        <f>[12]COL!$A$24*IF($M53="incl",[12]COL!I$41,[12]COL!I$37)</f>
        <v>230.1912116</v>
      </c>
      <c r="S53" s="195">
        <f>[12]COL!$A$24*IF($M53="incl",[12]COL!J$41,[12]COL!J$37)</f>
        <v>232.59633629999999</v>
      </c>
      <c r="T53" s="195">
        <f>[12]COL!$A$24*IF($M53="incl",[12]COL!K$41,[12]COL!K$37)</f>
        <v>234.50362680000001</v>
      </c>
      <c r="U53" s="195">
        <f>[12]COL!$A$24*IF($M53="incl",[12]COL!L$41,[12]COL!L$37)</f>
        <v>242.04261459999901</v>
      </c>
      <c r="V53" s="195">
        <f>[12]COL!$A$24*IF($M53="incl",[12]COL!M$41,[12]COL!M$37)</f>
        <v>240.97918049999899</v>
      </c>
      <c r="W53" s="195">
        <f>[12]COL!$A$24*IF($M53="incl",[12]COL!N$41,[12]COL!N$37)</f>
        <v>235.78040999999999</v>
      </c>
      <c r="X53" s="195">
        <f>[12]COL!$A$24*IF($M53="incl",[12]COL!O$41,[12]COL!O$37)</f>
        <v>219.75228229999999</v>
      </c>
      <c r="Y53" s="195">
        <f>[12]COL!$A$24*IF($M53="incl",[12]COL!P$41,[12]COL!P$37)</f>
        <v>200.279922099999</v>
      </c>
      <c r="Z53" s="195">
        <f>[12]COL!$A$24*IF($M53="incl",[12]COL!Q$41,[12]COL!Q$37)</f>
        <v>200.23121090000001</v>
      </c>
      <c r="AA53" s="195">
        <f>[12]COL!$A$24*IF($M53="incl",[12]COL!R$41,[12]COL!R$37)</f>
        <v>218.74220739999899</v>
      </c>
      <c r="AB53" s="195">
        <f>[12]COL!$A$24*IF($M53="incl",[12]COL!S$41,[12]COL!S$37)</f>
        <v>221.27391230000001</v>
      </c>
      <c r="AC53" s="195">
        <f>[12]COL!$A$24*IF($M53="incl",[12]COL!T$41,[12]COL!T$37)</f>
        <v>213.43465230000001</v>
      </c>
      <c r="AD53" s="195">
        <f>[12]COL!$A$24*IF($M53="incl",[12]COL!U$41,[12]COL!U$37)</f>
        <v>216.1171851</v>
      </c>
      <c r="AE53" s="195">
        <f>[12]COL!$A$24*IF($M53="incl",[12]COL!V$41,[12]COL!V$37)</f>
        <v>219.7634655</v>
      </c>
      <c r="AF53" s="195">
        <f>[12]COL!$A$24*IF($M53="incl",[12]COL!W$41,[12]COL!W$37)</f>
        <v>216.38845319999999</v>
      </c>
      <c r="AG53" s="195">
        <f>[12]COL!$A$24*IF($M53="incl",[12]COL!X$41,[12]COL!X$37)</f>
        <v>215.9860582</v>
      </c>
      <c r="AH53" s="195">
        <f>[12]COL!$A$24*IF($M53="incl",[12]COL!Y$41,[12]COL!Y$37)</f>
        <v>225.2893833</v>
      </c>
      <c r="AI53" s="195">
        <f>[12]COL!$A$24*IF($M53="incl",[12]COL!Z$41,[12]COL!Z$37)</f>
        <v>233.25587780000001</v>
      </c>
      <c r="AJ53" s="195">
        <f>[12]COL!$A$24*IF($M53="incl",[12]COL!AA$41,[12]COL!AA$37)</f>
        <v>234.32642099999899</v>
      </c>
      <c r="AK53" s="195">
        <f>[12]COL!$A$24*IF($M53="incl",[12]COL!AB$41,[12]COL!AB$37)</f>
        <v>224.82454039999999</v>
      </c>
      <c r="AL53" s="195">
        <f>[12]COL!$A$24*IF($M53="incl",[12]COL!AC$41,[12]COL!AC$37)</f>
        <v>231.52462739999899</v>
      </c>
      <c r="AM53" s="195">
        <f>[12]COL!$A$24*IF($M53="incl",[12]COL!AD$41,[12]COL!AD$37)</f>
        <v>228.0081505</v>
      </c>
      <c r="AN53" s="195">
        <f>[12]COL!$A$24*IF($M53="incl",[12]COL!AE$41,[12]COL!AE$37)</f>
        <v>250.05014370000001</v>
      </c>
      <c r="AO53" s="195">
        <f>[12]COL!$A$24*IF($M53="incl",[12]COL!AF$41,[12]COL!AF$37)</f>
        <v>272.24323559999999</v>
      </c>
      <c r="AP53" s="195">
        <f>[12]COL!$A$24*IF($M53="incl",[12]COL!AG$41,[12]COL!AG$37)</f>
        <v>273.52005120000001</v>
      </c>
      <c r="AQ53" s="195">
        <f>[12]COL!$A$24*IF($M53="incl",[12]COL!AH$41,[12]COL!AH$37)</f>
        <v>288.873635199999</v>
      </c>
      <c r="AR53" s="195">
        <f>[12]COL!$A$24*IF($M53="incl",[12]COL!AI$41,[12]COL!AI$37)</f>
        <v>282.82861919999903</v>
      </c>
      <c r="AS53" s="195">
        <f>[12]COL!$A$24*IF($M53="incl",[12]COL!AJ$41,[12]COL!AJ$37)</f>
        <v>289.59149019999899</v>
      </c>
      <c r="AT53" s="189">
        <f>[12]COL!$A$24*[12]COL!AI23</f>
        <v>291.42560519999904</v>
      </c>
      <c r="AU53" s="111">
        <f>[12]COL!$A$24*[12]COL!AN23</f>
        <v>298.56100519999904</v>
      </c>
      <c r="AV53" s="164">
        <f>[12]COL!$A$24*[12]COL!AS23</f>
        <v>308.56390519999906</v>
      </c>
      <c r="AW53" s="111">
        <f>[12]COL!$A$24*IF(A53="B",AM53+(AX53-AM53)*0.33333,"")</f>
        <v>267.27170769383503</v>
      </c>
      <c r="AX53" s="164">
        <f>[12]NDCs!$U$55</f>
        <v>345.8</v>
      </c>
      <c r="AY53" s="111" t="str">
        <f>IF('[12]Pledge 2020'!E43="","",'[12]Pledge 2020'!E43)</f>
        <v/>
      </c>
      <c r="AZ53" s="164" t="str">
        <f>IF('[12]Pledge 2020'!F43="","",'[12]Pledge 2020'!F43)</f>
        <v/>
      </c>
      <c r="BA53" s="111">
        <f>IF(BE53="","",(BE53-AH53)*0.75+AH53)</f>
        <v>183.40384582500002</v>
      </c>
      <c r="BB53" s="111">
        <f>IF(BF53="","",(BF53-AH53)*0.75+AH53)</f>
        <v>183.40384582500002</v>
      </c>
      <c r="BC53" s="111">
        <f>IF(BG53="","",(BG53-AH53)*0.75+AH53)</f>
        <v>183.40384582500002</v>
      </c>
      <c r="BD53" s="111">
        <f>IF(BH53="","",(BH53-AH53)*0.75+AH53)</f>
        <v>183.40384582500002</v>
      </c>
      <c r="BE53" s="199">
        <v>169.44200000000001</v>
      </c>
      <c r="BF53" s="199">
        <v>169.44200000000001</v>
      </c>
      <c r="BG53" s="199">
        <v>169.44200000000001</v>
      </c>
      <c r="BH53" s="200">
        <v>169.44200000000001</v>
      </c>
      <c r="BI53" s="111">
        <f>IF([12]NDCs!V55="",IF([12]NDCs!X55="","",[12]NDCs!X55),[12]NDCs!V55)</f>
        <v>268</v>
      </c>
      <c r="BJ53" s="111">
        <f>IF([12]NDCs!V55="",IF([12]NDCs!X55="","",[12]NDCs!X55),[12]NDCs!V55)</f>
        <v>268</v>
      </c>
      <c r="BK53" s="111">
        <f>IF([12]NDCs!Z55="",IF([12]NDCs!AB55="",IF('input site'!BE53="","",'input site'!BE53),[12]NDCs!AB55),[12]NDCs!Z55)</f>
        <v>234.49999999999997</v>
      </c>
      <c r="BL53" s="111">
        <f>IF([12]NDCs!AA55="",IF([12]NDCs!AC55="",IF('input site'!BF53="","",'input site'!BF53),[12]NDCs!AC55),[12]NDCs!AA55)</f>
        <v>234.49999999999997</v>
      </c>
      <c r="BM53" s="203">
        <f>MEDIAN(BN53:BO53)</f>
        <v>282.82861919999903</v>
      </c>
      <c r="BN53" s="177">
        <f>[12]COL!$A$24*[12]COL!AB$7</f>
        <v>282.82861919999903</v>
      </c>
      <c r="BO53" s="177">
        <f>[12]COL!$A$24*[12]COL!AB$6</f>
        <v>282.82861919999903</v>
      </c>
      <c r="BP53" s="111">
        <f>MEDIAN(BQ53:BR53)</f>
        <v>305.25262199999952</v>
      </c>
      <c r="BQ53" s="177">
        <f>[12]COL!$A$24*[12]COL!AC$7</f>
        <v>304.37742309999999</v>
      </c>
      <c r="BR53" s="177">
        <f>[12]COL!$A$24*[12]COL!AC$6</f>
        <v>306.12782089999899</v>
      </c>
      <c r="BS53" s="111">
        <f>MEDIAN(BT53:BU53)</f>
        <v>317.47711419999951</v>
      </c>
      <c r="BT53" s="177">
        <f>[12]COL!$A$24*[12]COL!AD$7</f>
        <v>315.48100229999898</v>
      </c>
      <c r="BU53" s="177">
        <f>[12]COL!$A$24*[12]COL!AD$6</f>
        <v>319.47322609999998</v>
      </c>
      <c r="CN53" t="s">
        <v>135</v>
      </c>
      <c r="CO53" s="165">
        <f t="shared" si="2"/>
        <v>-0.46628593866688151</v>
      </c>
      <c r="CP53" s="165">
        <f t="shared" si="2"/>
        <v>-0.46628593866688151</v>
      </c>
      <c r="CQ53" s="165">
        <f t="shared" si="2"/>
        <v>-0.46628593866688151</v>
      </c>
      <c r="CR53" s="165">
        <f t="shared" si="2"/>
        <v>-0.46628593866688151</v>
      </c>
      <c r="CS53" s="185">
        <f>IF(BE53&lt;=MIN(BS53:BU53),0,1)</f>
        <v>0</v>
      </c>
      <c r="CT53" s="185">
        <f>IF(BG53&lt;=MIN(BS53:BU53),0,1)</f>
        <v>0</v>
      </c>
      <c r="CU53">
        <f>IF(BS53&lt;=MAX(AN53,AP53),1,0)</f>
        <v>0</v>
      </c>
      <c r="CV53" s="126" t="str">
        <f>IF(CS53=1,IF(CU53=1,"i","ii"),IF(CU53=1,"iii","iv"))</f>
        <v>iv</v>
      </c>
      <c r="CW53" s="126" t="str">
        <f>IF(CT53=1,IF(CU53=1,"i","ii"),IF(CU53=1,"iii","iv"))</f>
        <v>iv</v>
      </c>
      <c r="CX53"/>
      <c r="CY53" s="167">
        <f t="shared" si="3"/>
        <v>8.5969860000000153</v>
      </c>
      <c r="DB53" s="106"/>
      <c r="DC53" s="187">
        <f>MAX(BA53-$AU53,0)</f>
        <v>0</v>
      </c>
      <c r="DD53" s="187">
        <f>MAX(BC53-$AU53,0)</f>
        <v>0</v>
      </c>
      <c r="DE53" s="187">
        <f>[12]COL!T18</f>
        <v>0</v>
      </c>
      <c r="DF53" s="187">
        <f>[12]COL!U18</f>
        <v>0</v>
      </c>
      <c r="DG53" s="105" t="str">
        <f t="shared" si="4"/>
        <v>incl</v>
      </c>
      <c r="DH53" t="s">
        <v>135</v>
      </c>
      <c r="DI53" s="111">
        <f t="shared" ref="DI53:DJ73" si="45">IF(AY53="",$BM53,AY53)-$BM53</f>
        <v>0</v>
      </c>
      <c r="DJ53" s="111">
        <f t="shared" si="45"/>
        <v>0</v>
      </c>
      <c r="DK53" s="127">
        <f>MAX(BA53-$AU53,0)</f>
        <v>0</v>
      </c>
      <c r="DL53" s="127">
        <f>MAX(BC53-$AU53,0)</f>
        <v>0</v>
      </c>
      <c r="DM53" s="127">
        <f>MAX(BE53-$AV53,0)</f>
        <v>0</v>
      </c>
      <c r="DN53" s="127">
        <f>MAX(BG53-$AV53,0)</f>
        <v>0</v>
      </c>
      <c r="DO53" s="127"/>
      <c r="DP53" s="127"/>
      <c r="DQ53" s="187">
        <f>[12]COL!BA$18</f>
        <v>30.406828149999996</v>
      </c>
      <c r="DR53" s="187">
        <f>[12]COL!BB$18</f>
        <v>0</v>
      </c>
      <c r="DS53" s="111"/>
      <c r="DT53" s="168"/>
      <c r="DW53" s="111">
        <f t="shared" si="12"/>
        <v>169.44200000000001</v>
      </c>
      <c r="DX53" s="111">
        <f t="shared" si="12"/>
        <v>169.44200000000001</v>
      </c>
      <c r="DY53" s="111">
        <f t="shared" si="12"/>
        <v>169.44200000000001</v>
      </c>
      <c r="DZ53" s="111">
        <f t="shared" si="12"/>
        <v>169.44200000000001</v>
      </c>
      <c r="EP53" t="s">
        <v>135</v>
      </c>
      <c r="EQ53">
        <v>4</v>
      </c>
      <c r="ER53" s="111">
        <f t="shared" si="13"/>
        <v>273.52005120000001</v>
      </c>
      <c r="ES53" s="111">
        <f>IF($BI$8=2015,VLOOKUP($L53,'[12]IMAGE CDLINKS CurPol'!$P$3:$Y$29,10,FALSE)*$AM53,VLOOKUP($L53,'[12]IMAGE CDLINKS CurPol'!$Z$3:$AI$29,10,FALSE)*$AP53)</f>
        <v>446.48220691272201</v>
      </c>
      <c r="ET53" s="111">
        <f t="shared" si="14"/>
        <v>0</v>
      </c>
      <c r="EU53" s="111">
        <f t="shared" si="19"/>
        <v>0</v>
      </c>
      <c r="EV53" s="111">
        <f>IF($BI$8=2015,VLOOKUP($L53,'[12]IMAGE CDLINKS 2C'!$P$3:$Y$29,10,FALSE)*$AM53,VLOOKUP($L53,'[12]IMAGE CDLINKS 2C'!$Z$3:$AI$29,10,FALSE)*$AP53)</f>
        <v>175.32396605987071</v>
      </c>
      <c r="EW53">
        <v>0</v>
      </c>
      <c r="EX53" s="111">
        <f>EW53-EV53</f>
        <v>-175.32396605987071</v>
      </c>
      <c r="EY53" s="111">
        <f t="shared" si="20"/>
        <v>0</v>
      </c>
      <c r="EZ53" s="111">
        <f>IF($BI$8=2015,VLOOKUP($L53,'[12]IMAGE CDLINKS 1_5C'!$P$3:$Y$29,10,FALSE)*$AM53,VLOOKUP($L53,'[12]IMAGE CDLINKS 1_5C'!$Z$3:$AI$29,10,FALSE)*$AP53)</f>
        <v>103.72626478819238</v>
      </c>
      <c r="FA53" s="192">
        <v>2050</v>
      </c>
    </row>
    <row r="54" spans="1:157" x14ac:dyDescent="0.25">
      <c r="A54" t="str">
        <f>IF([12]NDCs!C56="","",[12]NDCs!C56)</f>
        <v>B</v>
      </c>
      <c r="B54" s="159" t="str">
        <f t="shared" si="0"/>
        <v>v</v>
      </c>
      <c r="C54">
        <v>0</v>
      </c>
      <c r="D54">
        <v>0</v>
      </c>
      <c r="E54">
        <v>0</v>
      </c>
      <c r="F54">
        <v>1</v>
      </c>
      <c r="G54" t="b">
        <f t="shared" si="1"/>
        <v>1</v>
      </c>
      <c r="H54" t="s">
        <v>2333</v>
      </c>
      <c r="I54" t="s">
        <v>137</v>
      </c>
      <c r="J54">
        <v>174</v>
      </c>
      <c r="K54">
        <v>43</v>
      </c>
      <c r="L54">
        <v>9</v>
      </c>
      <c r="M54" t="str">
        <f>IF([12]NDCs!AL56="Excluding","excl","incl")</f>
        <v>incl</v>
      </c>
      <c r="N54" s="160">
        <f>[12]GHG_hist!BA44+IF($M54="incl",[12]LULUCF_hist!CR44,0)</f>
        <v>-0.51370157999999999</v>
      </c>
      <c r="O54" s="111">
        <f>[12]GHG_hist!BB44+IF($M54="incl",[12]LULUCF_hist!CS44,0)</f>
        <v>-0.50619165999999993</v>
      </c>
      <c r="P54" s="111">
        <f>[12]GHG_hist!BC44+IF($M54="incl",[12]LULUCF_hist!CT44,0)</f>
        <v>-0.49729458999999998</v>
      </c>
      <c r="Q54" s="111">
        <f>[12]GHG_hist!BD44+IF($M54="incl",[12]LULUCF_hist!CU44,0)</f>
        <v>-0.48492859999999993</v>
      </c>
      <c r="R54" s="111">
        <f>[12]GHG_hist!BE44+IF($M54="incl",[12]LULUCF_hist!CV44,0)</f>
        <v>-0.47998100999999993</v>
      </c>
      <c r="S54" s="111">
        <f>[12]GHG_hist!BF44+IF($M54="incl",[12]LULUCF_hist!CW44,0)</f>
        <v>-0.84744242333333319</v>
      </c>
      <c r="T54" s="111">
        <f>[12]GHG_hist!BG44+IF($M54="incl",[12]LULUCF_hist!CX44,0)</f>
        <v>-1.2160123066666666</v>
      </c>
      <c r="U54" s="111">
        <f>[12]GHG_hist!BH44+IF($M54="incl",[12]LULUCF_hist!CY44,0)</f>
        <v>-1.5847624299999998</v>
      </c>
      <c r="V54" s="111">
        <f>[12]GHG_hist!BI44+IF($M54="incl",[12]LULUCF_hist!CZ44,0)</f>
        <v>-1.9446856733333331</v>
      </c>
      <c r="W54" s="111">
        <f>[12]GHG_hist!BJ44+IF($M54="incl",[12]LULUCF_hist!DA44,0)</f>
        <v>-2.3087371966666663</v>
      </c>
      <c r="X54" s="111">
        <f>[12]GHG_hist!BK44+IF($M54="incl",[12]LULUCF_hist!DB44,0)</f>
        <v>-2.6935221999999999</v>
      </c>
      <c r="Y54" s="111">
        <f>[12]GHG_hist!BL44+IF($M54="incl",[12]LULUCF_hist!DC44,0)</f>
        <v>-2.5713180709090664</v>
      </c>
      <c r="Z54" s="111">
        <f>[12]GHG_hist!BM44+IF($M54="incl",[12]LULUCF_hist!DD44,0)</f>
        <v>-2.8025936621211391</v>
      </c>
      <c r="AA54" s="111">
        <f>[12]GHG_hist!BN44+IF($M54="incl",[12]LULUCF_hist!DE44,0)</f>
        <v>-3.0193593133333252</v>
      </c>
      <c r="AB54" s="111">
        <f>[12]GHG_hist!BO44+IF($M54="incl",[12]LULUCF_hist!DF44,0)</f>
        <v>-3.2417642745453978</v>
      </c>
      <c r="AC54" s="111">
        <f>[12]GHG_hist!BP44+IF($M54="incl",[12]LULUCF_hist!DG44,0)</f>
        <v>-3.4746819757575844</v>
      </c>
      <c r="AD54" s="111">
        <f>[12]GHG_hist!BQ44+IF($M54="incl",[12]LULUCF_hist!DH44,0)</f>
        <v>-3.6741138269697142</v>
      </c>
      <c r="AE54" s="111">
        <f>[12]GHG_hist!BR44+IF($M54="incl",[12]LULUCF_hist!DI44,0)</f>
        <v>-3.9890691481817866</v>
      </c>
      <c r="AF54" s="111">
        <f>[12]GHG_hist!BS44+IF($M54="incl",[12]LULUCF_hist!DJ44,0)</f>
        <v>-4.1972798293939162</v>
      </c>
      <c r="AG54" s="111">
        <f>[12]GHG_hist!BT44+IF($M54="incl",[12]LULUCF_hist!DK44,0)</f>
        <v>-4.4042388106060457</v>
      </c>
      <c r="AH54" s="111">
        <f>[12]GHG_hist!BU44+IF($M54="incl",[12]LULUCF_hist!DL44,0)</f>
        <v>-4.5979566118181188</v>
      </c>
      <c r="AI54" s="111">
        <f>[12]GHG_hist!BV44+IF($M54="incl",[12]LULUCF_hist!DM44,0)</f>
        <v>-4.842242403030248</v>
      </c>
      <c r="AJ54" s="111">
        <f>[12]GHG_hist!BW44+IF($M54="incl",[12]LULUCF_hist!DN44,0)</f>
        <v>-5.0605764042423775</v>
      </c>
      <c r="AK54" s="111">
        <f>[12]GHG_hist!BX44+IF($M54="incl",[12]LULUCF_hist!DO44,0)</f>
        <v>-5.2591925154545072</v>
      </c>
      <c r="AL54" s="111">
        <f>[12]GHG_hist!BY44+IF($M54="incl",[12]LULUCF_hist!DP44,0)</f>
        <v>-5.50862289666658</v>
      </c>
      <c r="AM54" s="111">
        <f>[12]GHG_hist!BZ44+IF($M54="incl",[12]LULUCF_hist!DQ44,0)</f>
        <v>-5.7248733578787094</v>
      </c>
      <c r="AN54" s="111">
        <f>[12]GHG_hist!CA44+IF($M54="incl",[12]LULUCF_hist!DR44,0)</f>
        <v>-5.9270725790908392</v>
      </c>
      <c r="AO54" s="111">
        <f>[12]GHG_hist!CB44+IF($M54="incl",[12]LULUCF_hist!DS44,0)</f>
        <v>-6.1203777403029687</v>
      </c>
      <c r="AP54" s="111">
        <f>[12]GHG_hist!CC44+IF($M54="incl",[12]LULUCF_hist!DT44,0)</f>
        <v>-6.3338344315150987</v>
      </c>
      <c r="AQ54" s="111">
        <f>[12]GHG_hist!CD44+IF($M54="incl",[12]LULUCF_hist!DU44,0)</f>
        <v>-6.5440473627272278</v>
      </c>
      <c r="AR54" s="111">
        <f>[12]GHG_hist!CE44+IF($M54="incl",[12]LULUCF_hist!DV44,0)</f>
        <v>-6.8156993939393002</v>
      </c>
      <c r="AS54" s="111">
        <f>[12]GHG_hist!CF44+IF($M54="incl",[12]LULUCF_hist!DW44,0)</f>
        <v>-7.0353010451514297</v>
      </c>
      <c r="AT54" s="161">
        <f>VLOOKUP($L54,'[12]IMAGE SSP2'!$AF$3:$AK$29,4,FALSE)*$AM54</f>
        <v>-6.5481176158118775</v>
      </c>
      <c r="AU54" s="162">
        <f>VLOOKUP($L54,'[12]IMAGE SSP2'!$AF$3:$AK$29,5,FALSE)*$AM54</f>
        <v>-7.5013401320396946</v>
      </c>
      <c r="AV54" s="163">
        <f>VLOOKUP($L54,'[12]IMAGE SSP2'!$AF$3:$AK$29,6,FALSE)*$AM54</f>
        <v>-8.6978564772174281</v>
      </c>
      <c r="AW54" s="111">
        <f>IF(A54="B",AM54+(AX54-AM54)*0.33333,"")</f>
        <v>-3.6422697314969992</v>
      </c>
      <c r="AX54" s="164">
        <f>IF(A54="B",IF(M54="excl",[12]NatCom!CO44,[12]NatCom!AX44),"")</f>
        <v>0.52300000000000002</v>
      </c>
      <c r="AY54" s="111" t="str">
        <f>IF('[12]Pledge 2020'!E44="","",'[12]Pledge 2020'!E44)</f>
        <v/>
      </c>
      <c r="AZ54" s="164" t="str">
        <f>IF('[12]Pledge 2020'!F44="","",'[12]Pledge 2020'!F44)</f>
        <v/>
      </c>
      <c r="BA54" s="111" t="str">
        <f>IF(BE54="","",(BE54-AH54)*0.75+AH54)</f>
        <v/>
      </c>
      <c r="BB54" s="111"/>
      <c r="BC54" s="111">
        <f>IF(BG54="","",(BG54-AH54)*0.75+AH54)</f>
        <v>-1.0867291529545295</v>
      </c>
      <c r="BD54" s="111">
        <f t="shared" si="43"/>
        <v>-1.0867291529545295</v>
      </c>
      <c r="BE54" s="111" t="s">
        <v>2477</v>
      </c>
      <c r="BF54" s="111"/>
      <c r="BG54" s="111">
        <v>8.3680000000000018E-2</v>
      </c>
      <c r="BH54" s="164">
        <v>8.3680000000000018E-2</v>
      </c>
      <c r="BI54" s="111" t="str">
        <f>IF([12]NDCs!V56="",IF([12]NDCs!X56="","",[12]NDCs!X56),[12]NDCs!V56)</f>
        <v/>
      </c>
      <c r="BJ54" s="111" t="str">
        <f>IF([12]NDCs!V56="",IF([12]NDCs!X56="","",[12]NDCs!X56),[12]NDCs!V56)</f>
        <v/>
      </c>
      <c r="BK54" s="111">
        <f>IF([12]NDCs!Z56="",IF([12]NDCs!AB56="",IF('input site'!BE54="","",'input site'!BE54),[12]NDCs!AB56),[12]NDCs!Z56)</f>
        <v>8.3680000000000018E-2</v>
      </c>
      <c r="BL54" s="111">
        <f>IF([12]NDCs!AA56="",IF([12]NDCs!AC56="",IF('input site'!BF54="","",'input site'!BF54),[12]NDCs!AC56),[12]NDCs!AA56)</f>
        <v>8.3680000000000018E-2</v>
      </c>
      <c r="BM54" s="174">
        <f>IF($BI$8=2015,VLOOKUP($L54,'[12]IMAGE CurPol SSP'!$AZ$3:$BD$29,4,FALSE)*($AM54-'[12]IIASA Proj'!$EQ44)+('[12]IIASA Proj'!$EQ44+'[12]IIASA Proj'!$ER44),AR54)</f>
        <v>-6.8156993939393002</v>
      </c>
      <c r="BN54" s="175">
        <f t="shared" ref="BN54:BO54" si="46">IF($BI$8=2015,"",IF($BI$8=2018,"",$AR54))</f>
        <v>-6.8156993939393002</v>
      </c>
      <c r="BO54" s="175">
        <f t="shared" si="46"/>
        <v>-6.8156993939393002</v>
      </c>
      <c r="BP54" s="174">
        <f>IF($BI$8=2015,VLOOKUP($L54,'[12]IMAGE CurPol SSP'!$AZ$3:$BD$29,5,FALSE)*($AM54-'[12]IIASA Proj'!$EQ44)+('[12]IIASA Proj'!$EQ44+'[12]IIASA Proj'!$ES44),VLOOKUP($L54,'[12]IMAGE CurPol SSP'!$BU$3:$BZ$29,5,FALSE)*($AS54-'[12]IIASA Proj'!$DV44)+('[12]IIASA Proj'!$EA44))</f>
        <v>-7.0591078069977327</v>
      </c>
      <c r="BQ54" s="174">
        <f>IF($BI$8=2015,"",IF($BI$8=2018,"",MIN(BP54,VLOOKUP($L54,'[12]IMAGE CurPol SSP'!$CQ$3:$CV$29,5,FALSE)*$AS54)))</f>
        <v>-8.7258908071228838</v>
      </c>
      <c r="BR54" s="174">
        <f>IF($BI$8=2015,"",IF($BI$8=2018,"",MAX(BP54,VLOOKUP($L54,'[12]IMAGE CurPol SSP'!$CF$3:$CK$29,5,FALSE)*$AS54)))</f>
        <v>-7.0591078069977327</v>
      </c>
      <c r="BS54" s="174">
        <f>IF($BI$8=2015,VLOOKUP($L54,'[12]IMAGE CurPol SSP'!$AZ$3:$BE$29,6,FALSE)*($AM54-'[12]IIASA Proj'!$EQ44)+('[12]IIASA Proj'!$EQ44+'[12]IIASA Proj'!$ET44),VLOOKUP($L54,'[12]IMAGE CurPol SSP'!$BU$3:$BZ$29,6,FALSE)*($AS54-'[12]IIASA Proj'!$DV44)+('[12]IIASA Proj'!$EF44))</f>
        <v>-7.0901954335686428</v>
      </c>
      <c r="BT54" s="174">
        <f>IF($BI$8=2015,"",IF($BI$8=2018,"",MIN($BS54,VLOOKUP($L54,'[12]IMAGE CurPol SSP'!$CQ$3:$CV$29,6,FALSE)*$AS54)))</f>
        <v>-10.917508125205549</v>
      </c>
      <c r="BU54" s="176">
        <f>IF($BI$8=2015,"",IF($BI$8=2018,"",MAX($BS54,VLOOKUP($L54,'[12]IMAGE CurPol SSP'!$CF$3:$CK$29,6,FALSE)*$AS54)))</f>
        <v>-7.0901954335686428</v>
      </c>
      <c r="CN54" t="s">
        <v>137</v>
      </c>
      <c r="CO54" s="165" t="str">
        <f t="shared" si="2"/>
        <v/>
      </c>
      <c r="CP54" s="165" t="str">
        <f t="shared" si="2"/>
        <v/>
      </c>
      <c r="CQ54" s="165">
        <f t="shared" si="2"/>
        <v>-1.0118022134628075</v>
      </c>
      <c r="CR54" s="165">
        <f t="shared" si="2"/>
        <v>-1.0118022134628075</v>
      </c>
      <c r="CS54" s="159"/>
      <c r="CU54" s="159"/>
      <c r="CV54" s="125" t="s">
        <v>621</v>
      </c>
      <c r="CW54" s="125" t="s">
        <v>621</v>
      </c>
      <c r="CX54" s="159"/>
      <c r="CY54" s="167">
        <f t="shared" si="3"/>
        <v>0.26758177812742279</v>
      </c>
      <c r="CZ54" s="159"/>
      <c r="DB54" s="106"/>
      <c r="DC54" s="106"/>
      <c r="DD54" s="106"/>
      <c r="DE54" s="106"/>
      <c r="DF54" s="106"/>
      <c r="DG54" s="105" t="str">
        <f t="shared" si="4"/>
        <v>incl</v>
      </c>
      <c r="DH54" t="s">
        <v>137</v>
      </c>
      <c r="DI54" s="111">
        <f t="shared" si="45"/>
        <v>0</v>
      </c>
      <c r="DJ54" s="111">
        <f t="shared" si="45"/>
        <v>0</v>
      </c>
      <c r="DK54" s="111">
        <f t="shared" ref="DK54:DK73" si="47">IF(BA54="",$BP54,BA54)-$BP54</f>
        <v>0</v>
      </c>
      <c r="DL54" s="111">
        <f t="shared" ref="DL54:DL73" si="48">IF(BC54="",$BP54,BC54)-$BP54</f>
        <v>5.9723786540432027</v>
      </c>
      <c r="DM54" s="111">
        <f t="shared" ref="DM54:DM73" si="49">IF(BE54="",$BS54,BE54)-$BS54</f>
        <v>0</v>
      </c>
      <c r="DN54" s="111">
        <f t="shared" ref="DN54:DN73" si="50">IF(BG54="",$BS54,BG54)-$BS54</f>
        <v>7.173875433568643</v>
      </c>
      <c r="DO54" s="111">
        <f>IF(BI54="",$BS54,BI54)-$BS54</f>
        <v>0</v>
      </c>
      <c r="DP54" s="111">
        <f>IF(BK54="",$BS54,BK54)-$BS54</f>
        <v>7.173875433568643</v>
      </c>
      <c r="DQ54" s="106"/>
      <c r="DR54" s="106"/>
      <c r="DS54" s="111">
        <f>[12]GHG_hist!BZ44+IF($M54="incl",[12]LULUCF_hist!DQ44,0)</f>
        <v>-5.7248733578787094</v>
      </c>
      <c r="DT54" s="168">
        <f>IF($M54="incl",'[12]IIASA Proj'!EQ44,0)</f>
        <v>-6.9390125303029677</v>
      </c>
      <c r="DW54" s="111">
        <f t="shared" si="12"/>
        <v>-7.0901954335686428</v>
      </c>
      <c r="DX54" s="111">
        <f t="shared" si="12"/>
        <v>-7.0901954335686428</v>
      </c>
      <c r="DY54" s="111">
        <f t="shared" si="12"/>
        <v>8.3680000000000018E-2</v>
      </c>
      <c r="DZ54" s="111">
        <f t="shared" si="12"/>
        <v>8.3680000000000018E-2</v>
      </c>
      <c r="EP54" t="s">
        <v>137</v>
      </c>
      <c r="EQ54">
        <v>1</v>
      </c>
      <c r="ER54" s="111">
        <f t="shared" si="13"/>
        <v>-6.3338344315150987</v>
      </c>
      <c r="ES54" s="111">
        <f>IF($BI$8=2015,VLOOKUP($L54,'[12]IMAGE CDLINKS CurPol'!$P$3:$Y$29,10,FALSE)*$AM54,VLOOKUP($L54,'[12]IMAGE CDLINKS CurPol'!$Z$3:$AI$29,10,FALSE)*$AP54)</f>
        <v>-13.810058632342201</v>
      </c>
      <c r="ET54" s="111">
        <f t="shared" si="14"/>
        <v>0</v>
      </c>
      <c r="EU54" s="111">
        <f t="shared" si="19"/>
        <v>-7.4222699674106165</v>
      </c>
      <c r="EV54" s="111">
        <f>IF($BI$8=2015,VLOOKUP($L54,'[12]IMAGE CDLINKS 2C'!$P$3:$Y$29,10,FALSE)*$AM54,VLOOKUP($L54,'[12]IMAGE CDLINKS 2C'!$Z$3:$AI$29,10,FALSE)*$AP54)</f>
        <v>-7.4222699674106165</v>
      </c>
      <c r="EW54">
        <v>0</v>
      </c>
      <c r="EX54" s="111">
        <f>EW54-EV54</f>
        <v>7.4222699674106165</v>
      </c>
      <c r="EY54" s="111">
        <f t="shared" si="20"/>
        <v>0</v>
      </c>
      <c r="EZ54" s="111">
        <f>IF($BI$8=2015,VLOOKUP($L54,'[12]IMAGE CDLINKS 1_5C'!$P$3:$Y$29,10,FALSE)*$AM54,VLOOKUP($L54,'[12]IMAGE CDLINKS 1_5C'!$Z$3:$AI$29,10,FALSE)*$AP54)</f>
        <v>-6.7815284702571725</v>
      </c>
      <c r="FA54" s="192">
        <v>2050</v>
      </c>
    </row>
    <row r="55" spans="1:157" x14ac:dyDescent="0.25">
      <c r="A55" t="str">
        <f>IF([12]NDCs!C57="","",[12]NDCs!C57)</f>
        <v>B</v>
      </c>
      <c r="B55" s="159" t="str">
        <f t="shared" si="0"/>
        <v>iv</v>
      </c>
      <c r="C55">
        <v>0</v>
      </c>
      <c r="D55">
        <v>0</v>
      </c>
      <c r="E55">
        <v>0</v>
      </c>
      <c r="F55">
        <v>1</v>
      </c>
      <c r="G55" t="b">
        <f t="shared" si="1"/>
        <v>1</v>
      </c>
      <c r="H55" t="s">
        <v>2328</v>
      </c>
      <c r="I55" t="s">
        <v>139</v>
      </c>
      <c r="J55">
        <v>180</v>
      </c>
      <c r="K55">
        <v>45</v>
      </c>
      <c r="L55">
        <v>8</v>
      </c>
      <c r="M55" t="str">
        <f>IF([12]NDCs!AL57="Excluding","excl","incl")</f>
        <v>incl</v>
      </c>
      <c r="N55" s="195">
        <f>[12]COD!$A$24*IF($M55="incl",[12]COD!E$41,[12]COD!E$37)</f>
        <v>203.95768131</v>
      </c>
      <c r="O55" s="195">
        <f>[12]COD!$A$24*IF($M55="incl",[12]COD!F$41,[12]COD!F$37)</f>
        <v>202.61987321999999</v>
      </c>
      <c r="P55" s="195">
        <f>[12]COD!$A$24*IF($M55="incl",[12]COD!G$41,[12]COD!G$37)</f>
        <v>203.00774824999999</v>
      </c>
      <c r="Q55" s="195">
        <f>[12]COD!$A$24*IF($M55="incl",[12]COD!H$41,[12]COD!H$37)</f>
        <v>203.29969818000001</v>
      </c>
      <c r="R55" s="195">
        <f>[12]COD!$A$24*IF($M55="incl",[12]COD!I$41,[12]COD!I$37)</f>
        <v>208.59117949</v>
      </c>
      <c r="S55" s="195">
        <f>[12]COD!$A$24*IF($M55="incl",[12]COD!J$41,[12]COD!J$37)</f>
        <v>207.78606325999999</v>
      </c>
      <c r="T55" s="195">
        <f>[12]COD!$A$24*IF($M55="incl",[12]COD!K$41,[12]COD!K$37)</f>
        <v>208.87309220999899</v>
      </c>
      <c r="U55" s="195">
        <f>[12]COD!$A$24*IF($M55="incl",[12]COD!L$41,[12]COD!L$37)</f>
        <v>214.17957995</v>
      </c>
      <c r="V55" s="195">
        <f>[12]COD!$A$24*IF($M55="incl",[12]COD!M$41,[12]COD!M$37)</f>
        <v>215.71525073999999</v>
      </c>
      <c r="W55" s="195">
        <f>[12]COD!$A$24*IF($M55="incl",[12]COD!N$41,[12]COD!N$37)</f>
        <v>208.03438334999899</v>
      </c>
      <c r="X55" s="195">
        <f>[12]COD!$A$24*IF($M55="incl",[12]COD!O$41,[12]COD!O$37)</f>
        <v>205.09607394999901</v>
      </c>
      <c r="Y55" s="195">
        <f>[12]COD!$A$24*IF($M55="incl",[12]COD!P$41,[12]COD!P$37)</f>
        <v>202.19227480000001</v>
      </c>
      <c r="Z55" s="195">
        <f>[12]COD!$A$24*IF($M55="incl",[12]COD!Q$41,[12]COD!Q$37)</f>
        <v>202.58118106000001</v>
      </c>
      <c r="AA55" s="195">
        <f>[12]COD!$A$24*IF($M55="incl",[12]COD!R$41,[12]COD!R$37)</f>
        <v>207.71835476999999</v>
      </c>
      <c r="AB55" s="195">
        <f>[12]COD!$A$24*IF($M55="incl",[12]COD!S$41,[12]COD!S$37)</f>
        <v>212.41070582</v>
      </c>
      <c r="AC55" s="195">
        <f>[12]COD!$A$24*IF($M55="incl",[12]COD!T$41,[12]COD!T$37)</f>
        <v>211.40665695999999</v>
      </c>
      <c r="AD55" s="195">
        <f>[12]COD!$A$24*IF($M55="incl",[12]COD!U$41,[12]COD!U$37)</f>
        <v>218.27145345999901</v>
      </c>
      <c r="AE55" s="195">
        <f>[12]COD!$A$24*IF($M55="incl",[12]COD!V$41,[12]COD!V$37)</f>
        <v>208.11826922999899</v>
      </c>
      <c r="AF55" s="195">
        <f>IF($M55="incl",[12]COD!W$41,[12]COD!W$37)</f>
        <v>212.86889712000001</v>
      </c>
      <c r="AG55" s="195">
        <f>[12]COD!$A$24*IF($M55="incl",[12]COD!X$41,[12]COD!X$37)</f>
        <v>213.82441158999899</v>
      </c>
      <c r="AH55" s="195">
        <f>[12]COD!$A$24*IF($M55="incl",[12]COD!Y$41,[12]COD!Y$37)</f>
        <v>217.43383306999999</v>
      </c>
      <c r="AI55" s="195">
        <f>[12]COD!$A$24*IF($M55="incl",[12]COD!Z$41,[12]COD!Z$37)</f>
        <v>218.38600299999999</v>
      </c>
      <c r="AJ55" s="195">
        <f>[12]COD!$A$24*IF($M55="incl",[12]COD!AA$41,[12]COD!AA$37)</f>
        <v>211.07439649999901</v>
      </c>
      <c r="AK55" s="195">
        <f>[12]COD!$A$24*IF($M55="incl",[12]COD!AB$41,[12]COD!AB$37)</f>
        <v>217.67947344999999</v>
      </c>
      <c r="AL55" s="195">
        <f>[12]COD!$A$24*IF($M55="incl",[12]COD!AC$41,[12]COD!AC$37)</f>
        <v>216.68713971</v>
      </c>
      <c r="AM55" s="195">
        <f>[12]COD!$A$24*IF($M55="incl",[12]COD!AD$41,[12]COD!AD$37)</f>
        <v>218.22148849999999</v>
      </c>
      <c r="AN55" s="195">
        <f>[12]COD!$A$24*IF($M55="incl",[12]COD!AE$41,[12]COD!AE$37)</f>
        <v>232.81541331</v>
      </c>
      <c r="AO55" s="195">
        <f>[12]COD!$A$24*IF($M55="incl",[12]COD!AF$41,[12]COD!AF$37)</f>
        <v>247.430190909999</v>
      </c>
      <c r="AP55" s="195">
        <f>[12]COD!$A$24*IF($M55="incl",[12]COD!AG$41,[12]COD!AG$37)</f>
        <v>262.066245989999</v>
      </c>
      <c r="AQ55" s="195">
        <f>[12]COD!$A$24*IF($M55="incl",[12]COD!AH$41,[12]COD!AH$37)</f>
        <v>276.724011869999</v>
      </c>
      <c r="AR55" s="195">
        <f>[12]COD!$A$24*IF($M55="incl",[12]COD!AI$41,[12]COD!AI$37)</f>
        <v>291.40393069999902</v>
      </c>
      <c r="AS55" s="195">
        <f>[12]COD!$A$24*IF($M55="incl",[12]COD!AJ$41,[12]COD!AJ$37)</f>
        <v>298.24645364999901</v>
      </c>
      <c r="AT55" s="179">
        <f>[12]COD!$A$24*[12]COD!AI23</f>
        <v>334.86103970999994</v>
      </c>
      <c r="AU55" s="177">
        <f>[12]COD!$A$24*[12]COD!AN23</f>
        <v>403.31763970999987</v>
      </c>
      <c r="AV55" s="180">
        <f>[12]COD!$A$24*[12]COD!AS23</f>
        <v>484.17713971000001</v>
      </c>
      <c r="AW55" s="177">
        <f>[12]COD!$A$24*IF(A55="B",AM55+(AX55-AM55)*0.33333,"")</f>
        <v>288.81361973829502</v>
      </c>
      <c r="AX55" s="180">
        <f>[12]COD!$A$24*IF(A55="B",IF(M55="excl",[12]NatCom!CO45,[12]NatCom!AX45),"")</f>
        <v>430</v>
      </c>
      <c r="AY55" s="111" t="str">
        <f>IF('[12]Pledge 2020'!E45="","",'[12]Pledge 2020'!E45)</f>
        <v/>
      </c>
      <c r="AZ55" s="164" t="str">
        <f>IF('[12]Pledge 2020'!F45="","",'[12]Pledge 2020'!F45)</f>
        <v/>
      </c>
      <c r="BA55" s="111">
        <f>[12]COD!X10</f>
        <v>370.40845826750001</v>
      </c>
      <c r="BB55" s="111">
        <f>BA55</f>
        <v>370.40845826750001</v>
      </c>
      <c r="BC55" s="177">
        <f>[12]COD!$A$24*[12]COD!Y10</f>
        <v>309.13345826749998</v>
      </c>
      <c r="BD55" s="111">
        <f t="shared" si="43"/>
        <v>309.13345826749998</v>
      </c>
      <c r="BE55" s="169">
        <v>421.4</v>
      </c>
      <c r="BF55" s="169">
        <v>421.4</v>
      </c>
      <c r="BG55" s="169">
        <v>339.7</v>
      </c>
      <c r="BH55" s="170">
        <v>339.7</v>
      </c>
      <c r="BI55" s="111" t="str">
        <f>IF([12]NDCs!V57="",IF([12]NDCs!X57="","",[12]NDCs!X57),[12]NDCs!V57)</f>
        <v/>
      </c>
      <c r="BJ55" s="111" t="str">
        <f>IF([12]NDCs!V57="",IF([12]NDCs!X57="","",[12]NDCs!X57),[12]NDCs!V57)</f>
        <v/>
      </c>
      <c r="BK55" s="111">
        <f>[12]COD!$A$24*[12]COD!BB17</f>
        <v>356.9</v>
      </c>
      <c r="BL55" s="111">
        <f>[12]COD!$A$24*[12]COD!BB17</f>
        <v>356.9</v>
      </c>
      <c r="BM55" s="160">
        <f>MEDIAN(BN55:BO55)</f>
        <v>293.60161471999902</v>
      </c>
      <c r="BN55" s="177">
        <f>[12]COD!$A$24*[12]COD!AB$7</f>
        <v>291.40393069999902</v>
      </c>
      <c r="BO55" s="177">
        <f>[12]COD!$A$24*[12]COD!AB$6</f>
        <v>295.79929873999902</v>
      </c>
      <c r="BP55" s="160">
        <f>MEDIAN(BQ55:BR55)</f>
        <v>330.90560599499952</v>
      </c>
      <c r="BQ55" s="177">
        <f>[12]COD!$A$24*[12]COD!AC$7</f>
        <v>325.85193522999998</v>
      </c>
      <c r="BR55" s="177">
        <f>[12]COD!$A$24*[12]COD!AC$6</f>
        <v>335.959276759999</v>
      </c>
      <c r="BS55" s="160">
        <f>MEDIAN(BT55:BU55)</f>
        <v>369.64553817999899</v>
      </c>
      <c r="BT55" s="177">
        <f>[12]COD!$A$24*[12]COD!AD$7</f>
        <v>360.925485979999</v>
      </c>
      <c r="BU55" s="177">
        <f>[12]COD!$A$24*[12]COD!AD$6</f>
        <v>378.36559037999899</v>
      </c>
      <c r="CN55" t="s">
        <v>139</v>
      </c>
      <c r="CO55" s="165">
        <f t="shared" si="2"/>
        <v>0.14001105511734635</v>
      </c>
      <c r="CP55" s="165">
        <f t="shared" si="2"/>
        <v>0.14001105511734635</v>
      </c>
      <c r="CQ55" s="165">
        <f t="shared" si="2"/>
        <v>-8.1011496384996273E-2</v>
      </c>
      <c r="CR55" s="165">
        <f t="shared" si="2"/>
        <v>-8.1011496384996273E-2</v>
      </c>
      <c r="CS55" s="38">
        <f>IF(BE55="",0,IF(BE55&lt;=MIN(BS55:BU55),0,1))</f>
        <v>1</v>
      </c>
      <c r="CT55" s="204">
        <f>IF(BG55&lt;=MIN(BS55:BU55)*0.97,0,1)</f>
        <v>0</v>
      </c>
      <c r="CU55">
        <f>IF(BS55&lt;=MAX(N55,AH55),1,0)</f>
        <v>0</v>
      </c>
      <c r="CV55" s="126" t="str">
        <f>$CW$55</f>
        <v>iv</v>
      </c>
      <c r="CW55" s="126" t="str">
        <f>IF(CT55=1,IF(CU55=1,"i","ii"),IF(CU55=1,"iii","iv"))</f>
        <v>iv</v>
      </c>
      <c r="CX55"/>
      <c r="CY55" s="167">
        <f t="shared" si="3"/>
        <v>41.259424990000923</v>
      </c>
      <c r="DB55" s="106"/>
      <c r="DC55" s="106"/>
      <c r="DD55" s="106"/>
      <c r="DE55" s="187">
        <f>[12]COD!T27</f>
        <v>0</v>
      </c>
      <c r="DF55" s="187">
        <f>[12]COD!U27</f>
        <v>0</v>
      </c>
      <c r="DG55" s="105" t="str">
        <f t="shared" si="4"/>
        <v>incl</v>
      </c>
      <c r="DH55" t="s">
        <v>139</v>
      </c>
      <c r="DI55" s="111">
        <f t="shared" si="45"/>
        <v>0</v>
      </c>
      <c r="DJ55" s="111">
        <f t="shared" si="45"/>
        <v>0</v>
      </c>
      <c r="DK55" s="111">
        <f t="shared" si="47"/>
        <v>39.50285227250049</v>
      </c>
      <c r="DL55" s="111">
        <f t="shared" si="48"/>
        <v>-21.772147727499544</v>
      </c>
      <c r="DM55" s="111">
        <f t="shared" si="49"/>
        <v>51.754461820000984</v>
      </c>
      <c r="DN55" s="111">
        <f t="shared" si="50"/>
        <v>-29.945538179999005</v>
      </c>
      <c r="DO55" s="127"/>
      <c r="DP55" s="127"/>
      <c r="DQ55" s="187">
        <f>[12]COD!BA$18</f>
        <v>0</v>
      </c>
      <c r="DR55" s="187">
        <f>[12]COD!BB$18</f>
        <v>0</v>
      </c>
      <c r="DS55" s="111"/>
      <c r="DT55" s="168"/>
      <c r="DW55" s="111">
        <f t="shared" si="12"/>
        <v>421.4</v>
      </c>
      <c r="DX55" s="111">
        <f t="shared" si="12"/>
        <v>421.4</v>
      </c>
      <c r="DY55" s="111">
        <f t="shared" si="12"/>
        <v>339.7</v>
      </c>
      <c r="DZ55" s="111">
        <f t="shared" si="12"/>
        <v>339.7</v>
      </c>
      <c r="EP55" t="s">
        <v>139</v>
      </c>
      <c r="EQ55">
        <v>1</v>
      </c>
      <c r="ER55" s="111">
        <f t="shared" si="13"/>
        <v>262.066245989999</v>
      </c>
      <c r="ES55" s="111">
        <f>IF($BI$8=2015,VLOOKUP($L55,'[12]IMAGE CDLINKS CurPol'!$P$3:$Y$29,10,FALSE)*$AM55,VLOOKUP($L55,'[12]IMAGE CDLINKS CurPol'!$Z$3:$AI$29,10,FALSE)*$AP55)</f>
        <v>547.16157378320111</v>
      </c>
      <c r="ET55" s="111">
        <f t="shared" si="14"/>
        <v>0</v>
      </c>
      <c r="EU55" s="111">
        <f t="shared" si="19"/>
        <v>249.72191343166784</v>
      </c>
      <c r="EV55" s="111">
        <f>IF($BI$8=2015,VLOOKUP($L55,'[12]IMAGE CDLINKS 2C'!$P$3:$Y$29,10,FALSE)*$AM55,VLOOKUP($L55,'[12]IMAGE CDLINKS 2C'!$Z$3:$AI$29,10,FALSE)*$AP55)</f>
        <v>249.72191343166784</v>
      </c>
      <c r="EW55">
        <v>0</v>
      </c>
      <c r="EX55" s="111">
        <f>EW55-EV55</f>
        <v>-249.72191343166784</v>
      </c>
      <c r="EY55" s="111">
        <f t="shared" si="20"/>
        <v>0</v>
      </c>
      <c r="EZ55" s="111">
        <f>IF($BI$8=2015,VLOOKUP($L55,'[12]IMAGE CDLINKS 1_5C'!$P$3:$Y$29,10,FALSE)*$AM55,VLOOKUP($L55,'[12]IMAGE CDLINKS 1_5C'!$Z$3:$AI$29,10,FALSE)*$AP55)</f>
        <v>142.24167304832778</v>
      </c>
      <c r="FA55" s="192">
        <v>2050</v>
      </c>
    </row>
    <row r="56" spans="1:157" x14ac:dyDescent="0.25">
      <c r="A56" t="str">
        <f>IF([12]NDCs!C58="","",[12]NDCs!C58)</f>
        <v>B</v>
      </c>
      <c r="B56" s="159" t="str">
        <f t="shared" si="0"/>
        <v>v</v>
      </c>
      <c r="C56">
        <v>0</v>
      </c>
      <c r="D56">
        <v>0</v>
      </c>
      <c r="E56">
        <v>0</v>
      </c>
      <c r="F56">
        <v>1</v>
      </c>
      <c r="G56" t="b">
        <f t="shared" si="1"/>
        <v>1</v>
      </c>
      <c r="H56" t="s">
        <v>2333</v>
      </c>
      <c r="I56" t="s">
        <v>141</v>
      </c>
      <c r="J56">
        <v>178</v>
      </c>
      <c r="K56">
        <v>44</v>
      </c>
      <c r="L56">
        <v>8</v>
      </c>
      <c r="M56" t="str">
        <f>IF([12]NDCs!AL58="Excluding","excl","incl")</f>
        <v>excl</v>
      </c>
      <c r="N56" s="160">
        <f>[12]GHG_hist!BA46+IF($M56="incl",[12]LULUCF_hist!CR46,0)</f>
        <v>12.399058999999999</v>
      </c>
      <c r="O56" s="111">
        <f>[12]GHG_hist!BB46+IF($M56="incl",[12]LULUCF_hist!CS46,0)</f>
        <v>12.370032</v>
      </c>
      <c r="P56" s="111">
        <f>[12]GHG_hist!BC46+IF($M56="incl",[12]LULUCF_hist!CT46,0)</f>
        <v>12.630466</v>
      </c>
      <c r="Q56" s="111">
        <f>[12]GHG_hist!BD46+IF($M56="incl",[12]LULUCF_hist!CU46,0)</f>
        <v>12.578434</v>
      </c>
      <c r="R56" s="111">
        <f>[12]GHG_hist!BE46+IF($M56="incl",[12]LULUCF_hist!CV46,0)</f>
        <v>12.566584000000001</v>
      </c>
      <c r="S56" s="111">
        <f>[12]GHG_hist!BF46+IF($M56="incl",[12]LULUCF_hist!CW46,0)</f>
        <v>13.895528000000001</v>
      </c>
      <c r="T56" s="111">
        <f>[12]GHG_hist!BG46+IF($M56="incl",[12]LULUCF_hist!CX46,0)</f>
        <v>15.828809</v>
      </c>
      <c r="U56" s="111">
        <f>[12]GHG_hist!BH46+IF($M56="incl",[12]LULUCF_hist!CY46,0)</f>
        <v>17.432866000000001</v>
      </c>
      <c r="V56" s="111">
        <f>[12]GHG_hist!BI46+IF($M56="incl",[12]LULUCF_hist!CZ46,0)</f>
        <v>18.688903</v>
      </c>
      <c r="W56" s="111">
        <f>[12]GHG_hist!BJ46+IF($M56="incl",[12]LULUCF_hist!DA46,0)</f>
        <v>19.032143000000001</v>
      </c>
      <c r="X56" s="111">
        <f>[12]GHG_hist!BK46+IF($M56="incl",[12]LULUCF_hist!DB46,0)</f>
        <v>20.106703000000003</v>
      </c>
      <c r="Y56" s="111">
        <f>[12]GHG_hist!BL46+IF($M56="incl",[12]LULUCF_hist!DC46,0)</f>
        <v>19.434566</v>
      </c>
      <c r="Z56" s="111">
        <f>[12]GHG_hist!BM46+IF($M56="incl",[12]LULUCF_hist!DD46,0)</f>
        <v>13.822645000000001</v>
      </c>
      <c r="AA56" s="111">
        <f>[12]GHG_hist!BN46+IF($M56="incl",[12]LULUCF_hist!DE46,0)</f>
        <v>16.22878</v>
      </c>
      <c r="AB56" s="111">
        <f>[12]GHG_hist!BO46+IF($M56="incl",[12]LULUCF_hist!DF46,0)</f>
        <v>17.362466000000001</v>
      </c>
      <c r="AC56" s="111">
        <f>[12]GHG_hist!BP46+IF($M56="incl",[12]LULUCF_hist!DG46,0)</f>
        <v>20.856652</v>
      </c>
      <c r="AD56" s="111">
        <f>[12]GHG_hist!BQ46+IF($M56="incl",[12]LULUCF_hist!DH46,0)</f>
        <v>22.645628000000002</v>
      </c>
      <c r="AE56" s="111">
        <f>[12]GHG_hist!BR46+IF($M56="incl",[12]LULUCF_hist!DI46,0)</f>
        <v>19.599363</v>
      </c>
      <c r="AF56" s="111">
        <f>[12]GHG_hist!BS46+IF($M56="incl",[12]LULUCF_hist!DJ46,0)</f>
        <v>19.346485000000001</v>
      </c>
      <c r="AG56" s="111">
        <f>[12]GHG_hist!BT46+IF($M56="incl",[12]LULUCF_hist!DK46,0)</f>
        <v>20.969198000000002</v>
      </c>
      <c r="AH56" s="111">
        <f>[12]GHG_hist!BU46+IF($M56="incl",[12]LULUCF_hist!DL46,0)</f>
        <v>22.990614000000001</v>
      </c>
      <c r="AI56" s="111">
        <f>[12]GHG_hist!BV46+IF($M56="incl",[12]LULUCF_hist!DM46,0)</f>
        <v>22.293116000000001</v>
      </c>
      <c r="AJ56" s="111">
        <f>[12]GHG_hist!BW46+IF($M56="incl",[12]LULUCF_hist!DN46,0)</f>
        <v>21.985044000000002</v>
      </c>
      <c r="AK56" s="111">
        <f>[12]GHG_hist!BX46+IF($M56="incl",[12]LULUCF_hist!DO46,0)</f>
        <v>21.710637999999999</v>
      </c>
      <c r="AL56" s="111">
        <f>[12]GHG_hist!BY46+IF($M56="incl",[12]LULUCF_hist!DP46,0)</f>
        <v>21.403846000000001</v>
      </c>
      <c r="AM56" s="111">
        <f>[12]GHG_hist!BZ46+IF($M56="incl",[12]LULUCF_hist!DQ46,0)</f>
        <v>21.434854999999999</v>
      </c>
      <c r="AN56" s="111">
        <f>[12]GHG_hist!CA46+IF($M56="incl",[12]LULUCF_hist!DR46,0)</f>
        <v>21.519076000000002</v>
      </c>
      <c r="AO56" s="111">
        <f>[12]GHG_hist!CB46+IF($M56="incl",[12]LULUCF_hist!DS46,0)</f>
        <v>22.913032999999999</v>
      </c>
      <c r="AP56" s="111">
        <f>[12]GHG_hist!CC46+IF($M56="incl",[12]LULUCF_hist!DT46,0)</f>
        <v>25.880927</v>
      </c>
      <c r="AQ56" s="111">
        <f>[12]GHG_hist!CD46+IF($M56="incl",[12]LULUCF_hist!DU46,0)</f>
        <v>26.523913</v>
      </c>
      <c r="AR56" s="111">
        <f>[12]GHG_hist!CE46+IF($M56="incl",[12]LULUCF_hist!DV46,0)</f>
        <v>27.124562999999998</v>
      </c>
      <c r="AS56" s="111">
        <f>[12]GHG_hist!CF46+IF($M56="incl",[12]LULUCF_hist!DW46,0)</f>
        <v>24.739348000000003</v>
      </c>
      <c r="AT56" s="161">
        <f>VLOOKUP($L56,'[12]IMAGE SSP2'!$AF$3:$AK$29,4,FALSE)*$AM56</f>
        <v>28.278719915409212</v>
      </c>
      <c r="AU56" s="162">
        <f>VLOOKUP($L56,'[12]IMAGE SSP2'!$AF$3:$AK$29,5,FALSE)*$AM56</f>
        <v>32.809143547265663</v>
      </c>
      <c r="AV56" s="163">
        <f>VLOOKUP($L56,'[12]IMAGE SSP2'!$AF$3:$AK$29,6,FALSE)*$AM56</f>
        <v>39.330670766858248</v>
      </c>
      <c r="AW56" s="111">
        <f>IF(A56="B",AM56+(AX56-AM56)*0.33333,"")</f>
        <v>22.87505559785</v>
      </c>
      <c r="AX56" s="164">
        <f>IF(A56="B",IF(M56="excl",[12]NatCom!CO46,[12]NatCom!AX46),"")</f>
        <v>25.755500000000001</v>
      </c>
      <c r="AY56" s="111" t="str">
        <f>IF('[12]Pledge 2020'!E46="","",'[12]Pledge 2020'!E46)</f>
        <v/>
      </c>
      <c r="AZ56" s="164" t="str">
        <f>IF('[12]Pledge 2020'!F46="","",'[12]Pledge 2020'!F46)</f>
        <v/>
      </c>
      <c r="BA56" s="111" t="str">
        <f t="shared" ref="BA56:BA119" si="51">IF(BE56="","",(BE56-AH56)*0.75+AH56)</f>
        <v/>
      </c>
      <c r="BB56" s="111"/>
      <c r="BC56" s="111">
        <f t="shared" ref="BC56:BC119" si="52">IF(BG56="","",(BG56-AH56)*0.75+AH56)</f>
        <v>14.991778500000002</v>
      </c>
      <c r="BD56" s="111">
        <f t="shared" si="43"/>
        <v>14.991778500000002</v>
      </c>
      <c r="BE56" s="111" t="s">
        <v>2477</v>
      </c>
      <c r="BF56" s="111"/>
      <c r="BG56" s="111">
        <v>12.325500000000002</v>
      </c>
      <c r="BH56" s="164">
        <v>12.325500000000002</v>
      </c>
      <c r="BI56" s="111" t="str">
        <f>IF([12]NDCs!V58="",IF([12]NDCs!X58="","",[12]NDCs!X58),[12]NDCs!V58)</f>
        <v/>
      </c>
      <c r="BJ56" s="111" t="str">
        <f>IF([12]NDCs!V58="",IF([12]NDCs!X58="","",[12]NDCs!X58),[12]NDCs!V58)</f>
        <v/>
      </c>
      <c r="BK56" s="111">
        <f>IF([12]NDCs!Z58="",IF([12]NDCs!AB58="",IF('input site'!BE56="","",'input site'!BE56),[12]NDCs!AB58),[12]NDCs!Z58)</f>
        <v>12.325500000000002</v>
      </c>
      <c r="BL56" s="111">
        <f>IF([12]NDCs!AA58="",IF([12]NDCs!AC58="",IF('input site'!BF56="","",'input site'!BF56),[12]NDCs!AC58),[12]NDCs!AA58)</f>
        <v>12.325500000000002</v>
      </c>
      <c r="BM56" s="111">
        <f>IF($BI$8=2015,VLOOKUP($L56,'[12]IMAGE CurPol SSP'!$AZ$3:$BD$29,4,FALSE)*$AM56,IF($BI$8=2018,VLOOKUP($L56,'[12]IMAGE CurPol SSP'!$BJ$3:$BN$29,4,FALSE)*$AP56,$AR56))</f>
        <v>27.124562999999998</v>
      </c>
      <c r="BN56" s="111">
        <f t="shared" ref="BN56:BO68" si="53">IF($BI$8=2015,"",IF($BI$8=2018,"",$AR56))</f>
        <v>27.124562999999998</v>
      </c>
      <c r="BO56" s="111">
        <f t="shared" si="53"/>
        <v>27.124562999999998</v>
      </c>
      <c r="BP56" s="111">
        <f>IF($BI$8=2015,VLOOKUP($L56,'[12]IMAGE CurPol SSP'!$AZ$3:$BD$29,5,FALSE)*$AM56,IF($BI$8=2018,VLOOKUP($L56,'[12]IMAGE CurPol SSP'!$BJ$3:$BN$29,5,FALSE)*$AP56,VLOOKUP($L56,'[12]IMAGE CurPol SSP'!$BU$3:$BZ$29,5,FALSE)*$AS56))</f>
        <v>25.62370719228392</v>
      </c>
      <c r="BQ56" s="111">
        <f>IF($BI$8=2015,"",IF($BI$8=2018,"",VLOOKUP($L56,'[12]IMAGE CurPol SSP'!$CQ$3:$CV$29,5,FALSE)*$AS56))</f>
        <v>25.339019885142115</v>
      </c>
      <c r="BR56" s="111">
        <f>IF($BI$8=2015,"",IF($BI$8=2018,"",VLOOKUP($L56,'[12]IMAGE CurPol SSP'!$CF$3:$CK$29,5,FALSE)*$AS56))</f>
        <v>25.863236366866683</v>
      </c>
      <c r="BS56" s="111">
        <f>IF($BI$8=2015,VLOOKUP($L56,'[12]IMAGE CurPol SSP'!$AZ$3:$BE$29,6,FALSE)*$AM56,IF($BI$8=2018,VLOOKUP($L56,'[12]IMAGE CurPol SSP'!$BJ$3:$BO$29,6,FALSE)*$AP56,VLOOKUP($L56,'[12]IMAGE CurPol SSP'!$BU$3:$BZ$29,6,FALSE)*$AS56))</f>
        <v>29.46423105322506</v>
      </c>
      <c r="BT56" s="111">
        <f>IF($BI$8=2015,"",IF($BI$8=2018,"",VLOOKUP($L56,'[12]IMAGE CurPol SSP'!$CQ$3:$CV$29,6,FALSE)*$AS56))</f>
        <v>28.701033594580032</v>
      </c>
      <c r="BU56" s="164">
        <f>IF($BI$8=2015,"",IF($BI$8=2018,"",VLOOKUP($L56,'[12]IMAGE CurPol SSP'!$CF$3:$CK$29,6,FALSE)*$AS56))</f>
        <v>29.46423105322506</v>
      </c>
      <c r="CN56" t="s">
        <v>141</v>
      </c>
      <c r="CO56" s="165" t="str">
        <f t="shared" si="2"/>
        <v/>
      </c>
      <c r="CP56" s="165" t="str">
        <f t="shared" si="2"/>
        <v/>
      </c>
      <c r="CQ56" s="165">
        <f t="shared" si="2"/>
        <v>-0.58167922394666083</v>
      </c>
      <c r="CR56" s="165">
        <f t="shared" si="2"/>
        <v>-0.58167922394666083</v>
      </c>
      <c r="CS56" s="159"/>
      <c r="CU56" s="159"/>
      <c r="CV56" s="125" t="s">
        <v>621</v>
      </c>
      <c r="CW56" s="125" t="s">
        <v>621</v>
      </c>
      <c r="CX56" s="159"/>
      <c r="CY56" s="167">
        <f t="shared" si="3"/>
        <v>1.1541569154092137</v>
      </c>
      <c r="CZ56" s="159"/>
      <c r="DB56" s="106"/>
      <c r="DC56" s="106"/>
      <c r="DD56" s="106"/>
      <c r="DE56" s="106"/>
      <c r="DF56" s="106"/>
      <c r="DG56" s="105" t="str">
        <f t="shared" si="4"/>
        <v>excl</v>
      </c>
      <c r="DH56" t="s">
        <v>141</v>
      </c>
      <c r="DI56" s="111">
        <f t="shared" si="45"/>
        <v>0</v>
      </c>
      <c r="DJ56" s="111">
        <f t="shared" si="45"/>
        <v>0</v>
      </c>
      <c r="DK56" s="111">
        <f t="shared" si="47"/>
        <v>0</v>
      </c>
      <c r="DL56" s="111">
        <f t="shared" si="48"/>
        <v>-10.631928692283918</v>
      </c>
      <c r="DM56" s="111">
        <f t="shared" si="49"/>
        <v>0</v>
      </c>
      <c r="DN56" s="111">
        <f t="shared" si="50"/>
        <v>-17.138731053225058</v>
      </c>
      <c r="DO56" s="111">
        <f t="shared" ref="DO56:DO73" si="54">IF(BI56="",$BS56,BI56)-$BS56</f>
        <v>0</v>
      </c>
      <c r="DP56" s="111">
        <f t="shared" ref="DP56:DP73" si="55">IF(BK56="",$BS56,BK56)-$BS56</f>
        <v>-17.138731053225058</v>
      </c>
      <c r="DQ56" s="106"/>
      <c r="DR56" s="106"/>
      <c r="DS56" s="111"/>
      <c r="DT56" s="168"/>
      <c r="DW56" s="111">
        <f t="shared" si="12"/>
        <v>29.46423105322506</v>
      </c>
      <c r="DX56" s="111">
        <f t="shared" si="12"/>
        <v>29.46423105322506</v>
      </c>
      <c r="DY56" s="111">
        <f t="shared" si="12"/>
        <v>12.325500000000002</v>
      </c>
      <c r="DZ56" s="111">
        <f t="shared" si="12"/>
        <v>12.325500000000002</v>
      </c>
      <c r="EP56" t="s">
        <v>141</v>
      </c>
      <c r="EQ56">
        <v>0</v>
      </c>
      <c r="ER56" s="111">
        <f t="shared" si="13"/>
        <v>25.880927</v>
      </c>
      <c r="ES56" s="111">
        <f>IF($BI$8=2015,VLOOKUP($L56,'[12]IMAGE CDLINKS CurPol'!$P$3:$Y$29,10,FALSE)*$AM56,VLOOKUP($L56,'[12]IMAGE CDLINKS CurPol'!$Z$3:$AI$29,10,FALSE)*$AP56)</f>
        <v>54.036141490837231</v>
      </c>
      <c r="ET56" s="111">
        <f t="shared" si="14"/>
        <v>54.036141490837231</v>
      </c>
      <c r="EU56" s="111">
        <f t="shared" si="19"/>
        <v>24.661835359262398</v>
      </c>
      <c r="EV56" s="111">
        <f>IF($BI$8=2015,VLOOKUP($L56,'[12]IMAGE CDLINKS 2C'!$P$3:$Y$29,10,FALSE)*$AM56,VLOOKUP($L56,'[12]IMAGE CDLINKS 2C'!$Z$3:$AI$29,10,FALSE)*$AP56)</f>
        <v>24.661835359262398</v>
      </c>
      <c r="EY56" s="111">
        <f t="shared" si="20"/>
        <v>14.047388447965659</v>
      </c>
      <c r="EZ56" s="111">
        <f>IF($BI$8=2015,VLOOKUP($L56,'[12]IMAGE CDLINKS 1_5C'!$P$3:$Y$29,10,FALSE)*$AM56,VLOOKUP($L56,'[12]IMAGE CDLINKS 1_5C'!$Z$3:$AI$29,10,FALSE)*$AP56)</f>
        <v>14.047388447965659</v>
      </c>
      <c r="FA56" s="192"/>
    </row>
    <row r="57" spans="1:157" x14ac:dyDescent="0.25">
      <c r="A57" t="str">
        <f>IF([12]NDCs!C59="","",[12]NDCs!C59)</f>
        <v>G</v>
      </c>
      <c r="B57" s="159" t="str">
        <f t="shared" si="0"/>
        <v>v</v>
      </c>
      <c r="C57">
        <v>0</v>
      </c>
      <c r="D57">
        <v>0</v>
      </c>
      <c r="E57">
        <v>0</v>
      </c>
      <c r="F57" s="38">
        <v>0</v>
      </c>
      <c r="G57" t="b">
        <f t="shared" si="1"/>
        <v>0</v>
      </c>
      <c r="H57" t="s">
        <v>2328</v>
      </c>
      <c r="I57" t="s">
        <v>143</v>
      </c>
      <c r="J57">
        <v>184</v>
      </c>
      <c r="K57">
        <v>46</v>
      </c>
      <c r="L57">
        <v>24</v>
      </c>
      <c r="M57" t="str">
        <f>IF([12]NDCs!AL59="Excluding","excl","incl")</f>
        <v>excl</v>
      </c>
      <c r="N57" s="160">
        <f>[12]GHG_hist!BA47+IF($M57="incl",[12]LULUCF_hist!CR47,0)</f>
        <v>5.0958464999999994E-2</v>
      </c>
      <c r="O57" s="111">
        <f>[12]GHG_hist!BB47+IF($M57="incl",[12]LULUCF_hist!CS47,0)</f>
        <v>5.0473593999999997E-2</v>
      </c>
      <c r="P57" s="111">
        <f>[12]GHG_hist!BC47+IF($M57="incl",[12]LULUCF_hist!CT47,0)</f>
        <v>5.1532583999999999E-2</v>
      </c>
      <c r="Q57" s="111">
        <f>[12]GHG_hist!BD47+IF($M57="incl",[12]LULUCF_hist!CU47,0)</f>
        <v>5.8651766000000001E-2</v>
      </c>
      <c r="R57" s="111">
        <f>[12]GHG_hist!BE47+IF($M57="incl",[12]LULUCF_hist!CV47,0)</f>
        <v>6.0383538E-2</v>
      </c>
      <c r="S57" s="111">
        <f>[12]GHG_hist!BF47+IF($M57="incl",[12]LULUCF_hist!CW47,0)</f>
        <v>6.1913656000000004E-2</v>
      </c>
      <c r="T57" s="111">
        <f>[12]GHG_hist!BG47+IF($M57="incl",[12]LULUCF_hist!CX47,0)</f>
        <v>7.2036962999999996E-2</v>
      </c>
      <c r="U57" s="111">
        <f>[12]GHG_hist!BH47+IF($M57="incl",[12]LULUCF_hist!CY47,0)</f>
        <v>7.3501852000000006E-2</v>
      </c>
      <c r="V57" s="111">
        <f>[12]GHG_hist!BI47+IF($M57="incl",[12]LULUCF_hist!CZ47,0)</f>
        <v>7.4977307999999993E-2</v>
      </c>
      <c r="W57" s="111">
        <f>[12]GHG_hist!BJ47+IF($M57="incl",[12]LULUCF_hist!DA47,0)</f>
        <v>7.1147142999999996E-2</v>
      </c>
      <c r="X57" s="111">
        <f>[12]GHG_hist!BK47+IF($M57="incl",[12]LULUCF_hist!DB47,0)</f>
        <v>7.0327901999999998E-2</v>
      </c>
      <c r="Y57" s="111">
        <f>[12]GHG_hist!BL47+IF($M57="incl",[12]LULUCF_hist!DC47,0)</f>
        <v>5.3480883E-2</v>
      </c>
      <c r="Z57" s="111">
        <f>[12]GHG_hist!BM47+IF($M57="incl",[12]LULUCF_hist!DD47,0)</f>
        <v>4.1584446000000004E-2</v>
      </c>
      <c r="AA57" s="111">
        <f>[12]GHG_hist!BN47+IF($M57="incl",[12]LULUCF_hist!DE47,0)</f>
        <v>4.8857586000000001E-2</v>
      </c>
      <c r="AB57" s="111">
        <f>[12]GHG_hist!BO47+IF($M57="incl",[12]LULUCF_hist!DF47,0)</f>
        <v>6.8559546999999998E-2</v>
      </c>
      <c r="AC57" s="111">
        <f>[12]GHG_hist!BP47+IF($M57="incl",[12]LULUCF_hist!DG47,0)</f>
        <v>7.6777428000000009E-2</v>
      </c>
      <c r="AD57" s="111">
        <f>[12]GHG_hist!BQ47+IF($M57="incl",[12]LULUCF_hist!DH47,0)</f>
        <v>6.9511285000000006E-2</v>
      </c>
      <c r="AE57" s="111">
        <f>[12]GHG_hist!BR47+IF($M57="incl",[12]LULUCF_hist!DI47,0)</f>
        <v>6.929846399999999E-2</v>
      </c>
      <c r="AF57" s="111">
        <f>[12]GHG_hist!BS47+IF($M57="incl",[12]LULUCF_hist!DJ47,0)</f>
        <v>6.9543882000000001E-2</v>
      </c>
      <c r="AG57" s="111">
        <f>[12]GHG_hist!BT47+IF($M57="incl",[12]LULUCF_hist!DK47,0)</f>
        <v>6.5484365000000003E-2</v>
      </c>
      <c r="AH57" s="111">
        <f>[12]GHG_hist!BU47+IF($M57="incl",[12]LULUCF_hist!DL47,0)</f>
        <v>7.3065780000000011E-2</v>
      </c>
      <c r="AI57" s="111">
        <f>[12]GHG_hist!BV47+IF($M57="incl",[12]LULUCF_hist!DM47,0)</f>
        <v>8.0630491000000012E-2</v>
      </c>
      <c r="AJ57" s="111">
        <f>[12]GHG_hist!BW47+IF($M57="incl",[12]LULUCF_hist!DN47,0)</f>
        <v>8.4402991999999996E-2</v>
      </c>
      <c r="AK57" s="111">
        <f>[12]GHG_hist!BX47+IF($M57="incl",[12]LULUCF_hist!DO47,0)</f>
        <v>8.3923212000000011E-2</v>
      </c>
      <c r="AL57" s="111">
        <f>[12]GHG_hist!BY47+IF($M57="incl",[12]LULUCF_hist!DP47,0)</f>
        <v>8.7674681000000004E-2</v>
      </c>
      <c r="AM57" s="111">
        <f>[12]GHG_hist!BZ47+IF($M57="incl",[12]LULUCF_hist!DQ47,0)</f>
        <v>8.3604995000000001E-2</v>
      </c>
      <c r="AN57" s="111">
        <f>[12]GHG_hist!CA47+IF($M57="incl",[12]LULUCF_hist!DR47,0)</f>
        <v>8.3412481999999996E-2</v>
      </c>
      <c r="AO57" s="111">
        <f>[12]GHG_hist!CB47+IF($M57="incl",[12]LULUCF_hist!DS47,0)</f>
        <v>9.0158493000000006E-2</v>
      </c>
      <c r="AP57" s="111">
        <f>[12]GHG_hist!CC47+IF($M57="incl",[12]LULUCF_hist!DT47,0)</f>
        <v>9.1202096999999996E-2</v>
      </c>
      <c r="AQ57" s="111">
        <f>[12]GHG_hist!CD47+IF($M57="incl",[12]LULUCF_hist!DU47,0)</f>
        <v>9.5608383000000005E-2</v>
      </c>
      <c r="AR57" s="111">
        <f>[12]GHG_hist!CE47+IF($M57="incl",[12]LULUCF_hist!DV47,0)</f>
        <v>9.4246573E-2</v>
      </c>
      <c r="AS57" s="111">
        <f>[12]GHG_hist!CF47+IF($M57="incl",[12]LULUCF_hist!DW47,0)</f>
        <v>9.5000671999999994E-2</v>
      </c>
      <c r="AT57" s="161">
        <f>VLOOKUP($L57,'[12]IMAGE SSP2'!$AF$3:$AK$29,4,FALSE)*$AM57</f>
        <v>8.9749056788481774E-2</v>
      </c>
      <c r="AU57" s="162">
        <f>VLOOKUP($L57,'[12]IMAGE SSP2'!$AF$3:$AK$29,5,FALSE)*$AM57</f>
        <v>9.214023049500375E-2</v>
      </c>
      <c r="AV57" s="163">
        <f>VLOOKUP($L57,'[12]IMAGE SSP2'!$AF$3:$AK$29,6,FALSE)*$AM57</f>
        <v>9.3219301249850686E-2</v>
      </c>
      <c r="AW57" s="111" t="str">
        <f t="shared" si="15"/>
        <v/>
      </c>
      <c r="AX57" s="164" t="str">
        <f>IF(A57="B",IF(M57="excl",[12]NatCom!CO47,[12]NatCom!AX47),"")</f>
        <v/>
      </c>
      <c r="AY57" s="111" t="str">
        <f>IF('[12]Pledge 2020'!E47="","",'[12]Pledge 2020'!E47)</f>
        <v/>
      </c>
      <c r="AZ57" s="164" t="str">
        <f>IF('[12]Pledge 2020'!F47="","",'[12]Pledge 2020'!F47)</f>
        <v/>
      </c>
      <c r="BA57" s="111" t="str">
        <f t="shared" si="51"/>
        <v/>
      </c>
      <c r="BB57" s="111"/>
      <c r="BC57" s="111" t="str">
        <f t="shared" si="52"/>
        <v/>
      </c>
      <c r="BD57" s="111"/>
      <c r="BE57" s="111" t="s">
        <v>2477</v>
      </c>
      <c r="BF57" s="111"/>
      <c r="BG57" s="111" t="s">
        <v>2477</v>
      </c>
      <c r="BH57" s="164"/>
      <c r="BI57" s="111" t="str">
        <f>IF([12]NDCs!V59="",IF([12]NDCs!X59="","",[12]NDCs!X59),[12]NDCs!V59)</f>
        <v/>
      </c>
      <c r="BJ57" s="111" t="str">
        <f>IF([12]NDCs!V59="",IF([12]NDCs!X59="","",[12]NDCs!X59),[12]NDCs!V59)</f>
        <v/>
      </c>
      <c r="BK57" s="111" t="str">
        <f>IF([12]NDCs!Z59="",IF([12]NDCs!AB59="",IF('input site'!BE57="","",'input site'!BE57),[12]NDCs!AB59),[12]NDCs!Z59)</f>
        <v/>
      </c>
      <c r="BL57" s="111" t="str">
        <f>IF([12]NDCs!AA59="",IF([12]NDCs!AC59="",IF('input site'!BF57="","",'input site'!BF57),[12]NDCs!AC59),[12]NDCs!AA59)</f>
        <v/>
      </c>
      <c r="BM57" s="111">
        <f>IF($BI$8=2015,VLOOKUP($L57,'[12]IMAGE CurPol SSP'!$AZ$3:$BD$29,4,FALSE)*$AM57,IF($BI$8=2018,VLOOKUP($L57,'[12]IMAGE CurPol SSP'!$BJ$3:$BN$29,4,FALSE)*$AP57,$AR57))</f>
        <v>9.4246573E-2</v>
      </c>
      <c r="BN57" s="111">
        <f t="shared" si="53"/>
        <v>9.4246573E-2</v>
      </c>
      <c r="BO57" s="111">
        <f t="shared" si="53"/>
        <v>9.4246573E-2</v>
      </c>
      <c r="BP57" s="111">
        <f>IF($BI$8=2015,VLOOKUP($L57,'[12]IMAGE CurPol SSP'!$AZ$3:$BD$29,5,FALSE)*$AM57,IF($BI$8=2018,VLOOKUP($L57,'[12]IMAGE CurPol SSP'!$BJ$3:$BN$29,5,FALSE)*$AP57,VLOOKUP($L57,'[12]IMAGE CurPol SSP'!$BU$3:$BZ$29,5,FALSE)*$AS57))</f>
        <v>9.6754696082832561E-2</v>
      </c>
      <c r="BQ57" s="111">
        <f>IF($BI$8=2015,"",IF($BI$8=2018,"",VLOOKUP($L57,'[12]IMAGE CurPol SSP'!$CQ$3:$CV$29,5,FALSE)*$AS57))</f>
        <v>9.4199246950288529E-2</v>
      </c>
      <c r="BR57" s="111">
        <f>IF($BI$8=2015,"",IF($BI$8=2018,"",VLOOKUP($L57,'[12]IMAGE CurPol SSP'!$CF$3:$CK$29,5,FALSE)*$AS57))</f>
        <v>9.6754696082832561E-2</v>
      </c>
      <c r="BS57" s="111">
        <f>IF($BI$8=2015,VLOOKUP($L57,'[12]IMAGE CurPol SSP'!$AZ$3:$BE$29,6,FALSE)*$AM57,IF($BI$8=2018,VLOOKUP($L57,'[12]IMAGE CurPol SSP'!$BJ$3:$BO$29,6,FALSE)*$AP57,VLOOKUP($L57,'[12]IMAGE CurPol SSP'!$BU$3:$BZ$29,6,FALSE)*$AS57))</f>
        <v>9.9591924335596424E-2</v>
      </c>
      <c r="BT57" s="111">
        <f>IF($BI$8=2015,"",IF($BI$8=2018,"",VLOOKUP($L57,'[12]IMAGE CurPol SSP'!$CQ$3:$CV$29,6,FALSE)*$AS57))</f>
        <v>9.1986918287102135E-2</v>
      </c>
      <c r="BU57" s="164">
        <f>IF($BI$8=2015,"",IF($BI$8=2018,"",VLOOKUP($L57,'[12]IMAGE CurPol SSP'!$CF$3:$CK$29,6,FALSE)*$AS57))</f>
        <v>9.9591924335596424E-2</v>
      </c>
      <c r="CN57" t="s">
        <v>143</v>
      </c>
      <c r="CO57" s="165" t="str">
        <f t="shared" si="2"/>
        <v/>
      </c>
      <c r="CP57" s="165" t="str">
        <f t="shared" si="2"/>
        <v/>
      </c>
      <c r="CQ57" s="165" t="str">
        <f t="shared" si="2"/>
        <v/>
      </c>
      <c r="CR57" s="165" t="str">
        <f t="shared" si="2"/>
        <v/>
      </c>
      <c r="CV57" s="125" t="s">
        <v>621</v>
      </c>
      <c r="CW57" s="125" t="s">
        <v>621</v>
      </c>
      <c r="CX57"/>
      <c r="CY57" s="167">
        <f t="shared" si="3"/>
        <v>-4.4975162115182266E-3</v>
      </c>
      <c r="DB57" s="106"/>
      <c r="DC57" s="106"/>
      <c r="DD57" s="106"/>
      <c r="DE57" s="106"/>
      <c r="DF57" s="106"/>
      <c r="DG57" s="105" t="str">
        <f t="shared" si="4"/>
        <v>excl</v>
      </c>
      <c r="DH57" t="s">
        <v>143</v>
      </c>
      <c r="DI57" s="111">
        <f t="shared" si="45"/>
        <v>0</v>
      </c>
      <c r="DJ57" s="111">
        <f t="shared" si="45"/>
        <v>0</v>
      </c>
      <c r="DK57" s="111">
        <f t="shared" si="47"/>
        <v>0</v>
      </c>
      <c r="DL57" s="111">
        <f t="shared" si="48"/>
        <v>0</v>
      </c>
      <c r="DM57" s="111">
        <f t="shared" si="49"/>
        <v>0</v>
      </c>
      <c r="DN57" s="111">
        <f t="shared" si="50"/>
        <v>0</v>
      </c>
      <c r="DO57" s="111">
        <f t="shared" si="54"/>
        <v>0</v>
      </c>
      <c r="DP57" s="111">
        <f t="shared" si="55"/>
        <v>0</v>
      </c>
      <c r="DQ57" s="106"/>
      <c r="DR57" s="106"/>
      <c r="DS57" s="111"/>
      <c r="DT57" s="168"/>
      <c r="DW57" s="111">
        <f t="shared" si="12"/>
        <v>9.9591924335596424E-2</v>
      </c>
      <c r="DX57" s="111">
        <f t="shared" si="12"/>
        <v>9.9591924335596424E-2</v>
      </c>
      <c r="DY57" s="111">
        <f t="shared" si="12"/>
        <v>9.9591924335596424E-2</v>
      </c>
      <c r="DZ57" s="111">
        <f t="shared" si="12"/>
        <v>9.9591924335596424E-2</v>
      </c>
      <c r="EP57" t="s">
        <v>143</v>
      </c>
      <c r="EQ57">
        <v>-1</v>
      </c>
      <c r="ER57" s="111">
        <f t="shared" si="13"/>
        <v>9.1202096999999996E-2</v>
      </c>
      <c r="ES57" s="111">
        <f>IF($BI$8=2015,VLOOKUP($L57,'[12]IMAGE CDLINKS CurPol'!$P$3:$Y$29,10,FALSE)*$AM57,VLOOKUP($L57,'[12]IMAGE CDLINKS CurPol'!$Z$3:$AI$29,10,FALSE)*$AP57)</f>
        <v>9.4029940554516231E-2</v>
      </c>
      <c r="ET57" s="111">
        <f t="shared" si="14"/>
        <v>9.4029940554516231E-2</v>
      </c>
      <c r="EU57" s="111">
        <f t="shared" si="19"/>
        <v>3.6139199563608913E-2</v>
      </c>
      <c r="EV57" s="111">
        <f>IF($BI$8=2015,VLOOKUP($L57,'[12]IMAGE CDLINKS 2C'!$P$3:$Y$29,10,FALSE)*$AM57,VLOOKUP($L57,'[12]IMAGE CDLINKS 2C'!$Z$3:$AI$29,10,FALSE)*$AP57)</f>
        <v>3.6139199563608913E-2</v>
      </c>
      <c r="EX57" s="111"/>
      <c r="EY57" s="111">
        <f t="shared" si="20"/>
        <v>1.5632505176097156E-2</v>
      </c>
      <c r="EZ57" s="111">
        <f>IF($BI$8=2015,VLOOKUP($L57,'[12]IMAGE CDLINKS 1_5C'!$P$3:$Y$29,10,FALSE)*$AM57,VLOOKUP($L57,'[12]IMAGE CDLINKS 1_5C'!$Z$3:$AI$29,10,FALSE)*$AP57)</f>
        <v>1.5632505176097156E-2</v>
      </c>
      <c r="FA57" s="192">
        <v>2050</v>
      </c>
    </row>
    <row r="58" spans="1:157" x14ac:dyDescent="0.25">
      <c r="A58" t="str">
        <f>IF([12]NDCs!C60="","",[12]NDCs!C60)</f>
        <v>F</v>
      </c>
      <c r="B58" s="159" t="str">
        <f t="shared" si="0"/>
        <v>iii</v>
      </c>
      <c r="C58">
        <v>0</v>
      </c>
      <c r="D58">
        <v>0</v>
      </c>
      <c r="E58">
        <v>0</v>
      </c>
      <c r="F58">
        <v>1</v>
      </c>
      <c r="G58" t="b">
        <f t="shared" si="1"/>
        <v>1</v>
      </c>
      <c r="H58" t="s">
        <v>2339</v>
      </c>
      <c r="I58" t="s">
        <v>145</v>
      </c>
      <c r="J58">
        <v>188</v>
      </c>
      <c r="K58">
        <v>47</v>
      </c>
      <c r="L58">
        <v>4</v>
      </c>
      <c r="M58" s="38" t="str">
        <f>IF([12]NDCs!AL60="Excluding","excl","incl")</f>
        <v>incl</v>
      </c>
      <c r="N58" s="160">
        <f>[12]GHG_hist!BA48+IF($M58="incl",[12]LULUCF_hist!CR48,0)</f>
        <v>38.040147900000001</v>
      </c>
      <c r="O58" s="111">
        <f>[12]GHG_hist!BB48+IF($M58="incl",[12]LULUCF_hist!CS48,0)</f>
        <v>35.287751333333333</v>
      </c>
      <c r="P58" s="111">
        <f>[12]GHG_hist!BC48+IF($M58="incl",[12]LULUCF_hist!CT48,0)</f>
        <v>32.720211066666671</v>
      </c>
      <c r="Q58" s="111">
        <f>[12]GHG_hist!BD48+IF($M58="incl",[12]LULUCF_hist!CU48,0)</f>
        <v>29.715545000000002</v>
      </c>
      <c r="R58" s="111">
        <f>[12]GHG_hist!BE48+IF($M58="incl",[12]LULUCF_hist!CV48,0)</f>
        <v>27.632467333333338</v>
      </c>
      <c r="S58" s="111">
        <f>[12]GHG_hist!BF48+IF($M58="incl",[12]LULUCF_hist!CW48,0)</f>
        <v>23.671840666666668</v>
      </c>
      <c r="T58" s="111">
        <f>[12]GHG_hist!BG48+IF($M58="incl",[12]LULUCF_hist!CX48,0)</f>
        <v>20.551895999999999</v>
      </c>
      <c r="U58" s="111">
        <f>[12]GHG_hist!BH48+IF($M58="incl",[12]LULUCF_hist!CY48,0)</f>
        <v>22.743670999999999</v>
      </c>
      <c r="V58" s="111">
        <f>[12]GHG_hist!BI48+IF($M58="incl",[12]LULUCF_hist!CZ48,0)</f>
        <v>24.920915000000001</v>
      </c>
      <c r="W58" s="111">
        <f>[12]GHG_hist!BJ48+IF($M58="incl",[12]LULUCF_hist!DA48,0)</f>
        <v>26.756979999999999</v>
      </c>
      <c r="X58" s="111">
        <f>[12]GHG_hist!BK48+IF($M58="incl",[12]LULUCF_hist!DB48,0)</f>
        <v>28.333970999999998</v>
      </c>
      <c r="Y58" s="111">
        <f>[12]GHG_hist!BL48+IF($M58="incl",[12]LULUCF_hist!DC48,0)</f>
        <v>26.071780000000004</v>
      </c>
      <c r="Z58" s="111">
        <f>[12]GHG_hist!BM48+IF($M58="incl",[12]LULUCF_hist!DD48,0)</f>
        <v>24.146402999999999</v>
      </c>
      <c r="AA58" s="111">
        <f>[12]GHG_hist!BN48+IF($M58="incl",[12]LULUCF_hist!DE48,0)</f>
        <v>22.237782000000003</v>
      </c>
      <c r="AB58" s="111">
        <f>[12]GHG_hist!BO48+IF($M58="incl",[12]LULUCF_hist!DF48,0)</f>
        <v>20.117028000000005</v>
      </c>
      <c r="AC58" s="111">
        <f>[12]GHG_hist!BP48+IF($M58="incl",[12]LULUCF_hist!DG48,0)</f>
        <v>17.298401999999999</v>
      </c>
      <c r="AD58" s="111">
        <f>[12]GHG_hist!BQ48+IF($M58="incl",[12]LULUCF_hist!DH48,0)</f>
        <v>17.285986000000001</v>
      </c>
      <c r="AE58" s="111">
        <f>[12]GHG_hist!BR48+IF($M58="incl",[12]LULUCF_hist!DI48,0)</f>
        <v>18.168672000000001</v>
      </c>
      <c r="AF58" s="111">
        <f>[12]GHG_hist!BS48+IF($M58="incl",[12]LULUCF_hist!DJ48,0)</f>
        <v>18.240811000000001</v>
      </c>
      <c r="AG58" s="111">
        <f>[12]GHG_hist!BT48+IF($M58="incl",[12]LULUCF_hist!DK48,0)</f>
        <v>17.836886</v>
      </c>
      <c r="AH58" s="111">
        <f>[12]GHG_hist!BU48+IF($M58="incl",[12]LULUCF_hist!DL48,0)</f>
        <v>17.457936</v>
      </c>
      <c r="AI58" s="111">
        <f>[12]GHG_hist!BV48+IF($M58="incl",[12]LULUCF_hist!DM48,0)</f>
        <v>17.122522</v>
      </c>
      <c r="AJ58" s="111">
        <f>[12]GHG_hist!BW48+IF($M58="incl",[12]LULUCF_hist!DN48,0)</f>
        <v>18.48236</v>
      </c>
      <c r="AK58" s="111">
        <f>[12]GHG_hist!BX48+IF($M58="incl",[12]LULUCF_hist!DO48,0)</f>
        <v>19.642101</v>
      </c>
      <c r="AL58" s="111">
        <f>[12]GHG_hist!BY48+IF($M58="incl",[12]LULUCF_hist!DP48,0)</f>
        <v>13.459947</v>
      </c>
      <c r="AM58" s="111">
        <f>[12]GHG_hist!BZ48+IF($M58="incl",[12]LULUCF_hist!DQ48,0)</f>
        <v>14.961212</v>
      </c>
      <c r="AN58" s="111">
        <f>[12]GHG_hist!CA48+IF($M58="incl",[12]LULUCF_hist!DR48,0)</f>
        <v>13.632835999999999</v>
      </c>
      <c r="AO58" s="111">
        <f>[12]GHG_hist!CB48+IF($M58="incl",[12]LULUCF_hist!DS48,0)</f>
        <v>12.397452999999999</v>
      </c>
      <c r="AP58" s="111">
        <f>[12]GHG_hist!CC48+IF($M58="incl",[12]LULUCF_hist!DT48,0)</f>
        <v>12.460639835978959</v>
      </c>
      <c r="AQ58" s="111">
        <f>[12]GHG_hist!CD48+IF($M58="incl",[12]LULUCF_hist!DU48,0)</f>
        <v>12.514369691662171</v>
      </c>
      <c r="AR58" s="111">
        <f>[12]GHG_hist!CE48+IF($M58="incl",[12]LULUCF_hist!DV48,0)</f>
        <v>9.8554885473453862</v>
      </c>
      <c r="AS58" s="111">
        <f>[12]GHG_hist!CF48+IF($M58="incl",[12]LULUCF_hist!DW48,0)</f>
        <v>10.264886403028598</v>
      </c>
      <c r="AT58" s="171">
        <f>VLOOKUP($L58,'[12]IMAGE SSP2'!$AF$3:$AK$29,4,FALSE)*($AM58-'[12]IIASA Proj'!$EQ48)+('[12]IIASA Proj'!$EQ48+'[12]IIASA Proj'!$ER48)</f>
        <v>16.610823485489053</v>
      </c>
      <c r="AU58" s="172">
        <f>VLOOKUP($L58,'[12]IMAGE SSP2'!$AF$3:$AK$29,5,FALSE)*($AM58-'[12]IIASA Proj'!$EQ48)+('[12]IIASA Proj'!$EQ48+'[12]IIASA Proj'!$ES48)</f>
        <v>19.727758390797106</v>
      </c>
      <c r="AV58" s="173">
        <f>VLOOKUP($L58,'[12]IMAGE SSP2'!$AF$3:$AK$29,6,FALSE)*($AM58-'[12]IIASA Proj'!$EQ48)+('[12]IIASA Proj'!$EQ48+'[12]IIASA Proj'!$ET48)</f>
        <v>21.523243518074786</v>
      </c>
      <c r="AW58" s="111" t="str">
        <f t="shared" si="15"/>
        <v/>
      </c>
      <c r="AX58" s="164" t="str">
        <f>IF(A58="B",IF(M58="excl",[12]NatCom!CO48,[12]NatCom!AX48),"")</f>
        <v/>
      </c>
      <c r="AY58" s="111" t="str">
        <f>IF('[12]Pledge 2020'!E48="","",'[12]Pledge 2020'!E48)</f>
        <v/>
      </c>
      <c r="AZ58" s="164">
        <f>IF('[12]Pledge 2020'!F48="","",'[12]Pledge 2020'!F48)</f>
        <v>1.4318181818181799</v>
      </c>
      <c r="BA58" s="111">
        <f t="shared" si="51"/>
        <v>11.196984</v>
      </c>
      <c r="BB58" s="111">
        <f>IF(BF58="","",(BF58-AH58)*0.75+AH58)</f>
        <v>11.196984</v>
      </c>
      <c r="BC58" s="111">
        <f t="shared" si="52"/>
        <v>11.196984</v>
      </c>
      <c r="BD58" s="111">
        <f t="shared" si="43"/>
        <v>11.196984</v>
      </c>
      <c r="BE58" s="169">
        <v>9.11</v>
      </c>
      <c r="BF58" s="169">
        <v>9.11</v>
      </c>
      <c r="BG58" s="169">
        <v>9.11</v>
      </c>
      <c r="BH58" s="170">
        <v>9.11</v>
      </c>
      <c r="BI58" s="111">
        <f>IF([12]NDCs!V60="",IF([12]NDCs!X60="","",[12]NDCs!X60),[12]NDCs!V60)</f>
        <v>9.3735520000000001</v>
      </c>
      <c r="BJ58" s="111">
        <f>IF([12]NDCs!V60="",IF([12]NDCs!X60="","",[12]NDCs!X60),[12]NDCs!V60)</f>
        <v>9.3735520000000001</v>
      </c>
      <c r="BK58" s="111">
        <f>IF([12]NDCs!Z60="",IF([12]NDCs!AB60="",IF('input site'!BE58="","",'input site'!BE58),[12]NDCs!AB60),[12]NDCs!Z60)</f>
        <v>9.3735520000000001</v>
      </c>
      <c r="BL58" s="111">
        <f>IF([12]NDCs!AA60="",IF([12]NDCs!AC60="",IF('input site'!BF58="","",'input site'!BF58),[12]NDCs!AC60),[12]NDCs!AA60)</f>
        <v>9.3735520000000001</v>
      </c>
      <c r="BM58" s="205">
        <f>AR58</f>
        <v>9.8554885473453862</v>
      </c>
      <c r="BN58" s="111">
        <f t="shared" si="53"/>
        <v>9.8554885473453862</v>
      </c>
      <c r="BO58" s="111">
        <f t="shared" si="53"/>
        <v>9.8554885473453862</v>
      </c>
      <c r="BP58" s="205">
        <f>[12]NatCom!$CJ48</f>
        <v>15.359906465</v>
      </c>
      <c r="BQ58" s="111">
        <f>IF($BI$8=2015,"",IF($BI$8=2018,"",VLOOKUP($L58,'[12]IMAGE CurPol SSP'!$CQ$3:$CV$29,5,FALSE)*$AS58))</f>
        <v>11.056899760870603</v>
      </c>
      <c r="BR58" s="111">
        <f>IF($BI$8=2015,"",IF($BI$8=2018,"",VLOOKUP($L58,'[12]IMAGE CurPol SSP'!$CF$3:$CK$29,5,FALSE)*$AS58))</f>
        <v>11.690748358799997</v>
      </c>
      <c r="BS58" s="205">
        <f>[12]NatCom!$CO48</f>
        <v>14.497468045</v>
      </c>
      <c r="BT58" s="111">
        <f>IF($BI$8=2015,"",IF($BI$8=2018,"",VLOOKUP($L58,'[12]IMAGE CurPol SSP'!$CQ$3:$CV$29,6,FALSE)*$AS58))</f>
        <v>12.3664444826455</v>
      </c>
      <c r="BU58" s="164">
        <f>IF($BI$8=2015,"",IF($BI$8=2018,"",VLOOKUP($L58,'[12]IMAGE CurPol SSP'!$CF$3:$CK$29,6,FALSE)*$AS58))</f>
        <v>13.542243816565877</v>
      </c>
      <c r="CN58" t="s">
        <v>145</v>
      </c>
      <c r="CO58" s="165">
        <f t="shared" si="2"/>
        <v>-0.37161441075623358</v>
      </c>
      <c r="CP58" s="165">
        <f t="shared" si="2"/>
        <v>-0.37161441075623358</v>
      </c>
      <c r="CQ58" s="165">
        <f t="shared" si="2"/>
        <v>-0.37161441075623358</v>
      </c>
      <c r="CR58" s="165">
        <f t="shared" si="2"/>
        <v>-0.37161441075623358</v>
      </c>
      <c r="CS58">
        <f>IF(BE58&lt;=BS58,0,1)</f>
        <v>0</v>
      </c>
      <c r="CT58">
        <f>IF(BG58&lt;=BS58,0,1)</f>
        <v>0</v>
      </c>
      <c r="CU58">
        <f>IF(BS58&lt;=MAX(N58,AH58),1,0)</f>
        <v>1</v>
      </c>
      <c r="CV58" s="126" t="str">
        <f>IF(CS58=1,IF(CU58=1,"i","ii"),IF(CU58=1,"iii","iv"))</f>
        <v>iii</v>
      </c>
      <c r="CW58" s="126" t="str">
        <f>IF(CT58=1,IF(CU58=1,"i","ii"),IF(CU58=1,"iii","iv"))</f>
        <v>iii</v>
      </c>
      <c r="CX58"/>
      <c r="CY58" s="167">
        <f t="shared" si="3"/>
        <v>6.7553349381436671</v>
      </c>
      <c r="DB58" s="106"/>
      <c r="DC58" s="106"/>
      <c r="DD58" s="106"/>
      <c r="DE58" s="106"/>
      <c r="DF58" s="106"/>
      <c r="DG58" s="105" t="str">
        <f t="shared" si="4"/>
        <v>incl</v>
      </c>
      <c r="DH58" t="s">
        <v>145</v>
      </c>
      <c r="DI58" s="111">
        <f t="shared" si="45"/>
        <v>0</v>
      </c>
      <c r="DJ58" s="111">
        <f t="shared" si="45"/>
        <v>-8.4236703655272063</v>
      </c>
      <c r="DK58" s="111">
        <f t="shared" si="47"/>
        <v>-4.1629224649999994</v>
      </c>
      <c r="DL58" s="111">
        <f t="shared" si="48"/>
        <v>-4.1629224649999994</v>
      </c>
      <c r="DM58" s="111">
        <f t="shared" si="49"/>
        <v>-5.3874680450000003</v>
      </c>
      <c r="DN58" s="111">
        <f t="shared" si="50"/>
        <v>-5.3874680450000003</v>
      </c>
      <c r="DO58" s="111">
        <f t="shared" si="54"/>
        <v>-5.1239160449999996</v>
      </c>
      <c r="DP58" s="111">
        <f t="shared" si="55"/>
        <v>-5.1239160449999996</v>
      </c>
      <c r="DQ58" s="106"/>
      <c r="DR58" s="106"/>
      <c r="DS58" s="206">
        <f>[12]BUR!AI48</f>
        <v>15</v>
      </c>
      <c r="DT58" s="178">
        <f>IF($M58="incl",'[12]IIASA Proj'!EQ48,0)</f>
        <v>-2.0170114944717747</v>
      </c>
      <c r="DW58" s="111">
        <f t="shared" si="12"/>
        <v>9.11</v>
      </c>
      <c r="DX58" s="111">
        <f t="shared" si="12"/>
        <v>9.11</v>
      </c>
      <c r="DY58" s="111">
        <f t="shared" si="12"/>
        <v>9.11</v>
      </c>
      <c r="DZ58" s="111">
        <f t="shared" si="12"/>
        <v>9.11</v>
      </c>
      <c r="EP58" t="s">
        <v>145</v>
      </c>
      <c r="EQ58">
        <v>4</v>
      </c>
      <c r="ER58" s="111">
        <f t="shared" si="13"/>
        <v>12.460639835978959</v>
      </c>
      <c r="ES58" s="111">
        <f>IF($BI$8=2015,VLOOKUP($L58,'[12]IMAGE CDLINKS CurPol'!$P$3:$Y$29,10,FALSE)*$AM58,VLOOKUP($L58,'[12]IMAGE CDLINKS CurPol'!$Z$3:$AI$29,10,FALSE)*$AP58)</f>
        <v>23.600177621371014</v>
      </c>
      <c r="ET58" s="111">
        <f t="shared" si="14"/>
        <v>0</v>
      </c>
      <c r="EU58" s="111">
        <f t="shared" si="19"/>
        <v>0</v>
      </c>
      <c r="EV58" s="111">
        <f>IF($BI$8=2015,VLOOKUP($L58,'[12]IMAGE CDLINKS 2C'!$P$3:$Y$29,10,FALSE)*$AM58,VLOOKUP($L58,'[12]IMAGE CDLINKS 2C'!$Z$3:$AI$29,10,FALSE)*$AP58)</f>
        <v>6.5478760617067149</v>
      </c>
      <c r="EW58">
        <v>0</v>
      </c>
      <c r="EX58" s="111">
        <f>EW58-EV58</f>
        <v>-6.5478760617067149</v>
      </c>
      <c r="EY58" s="111">
        <f t="shared" si="20"/>
        <v>0</v>
      </c>
      <c r="EZ58" s="111">
        <f>IF($BI$8=2015,VLOOKUP($L58,'[12]IMAGE CDLINKS 1_5C'!$P$3:$Y$29,10,FALSE)*$AM58,VLOOKUP($L58,'[12]IMAGE CDLINKS 1_5C'!$Z$3:$AI$29,10,FALSE)*$AP58)</f>
        <v>1.3317096722989226</v>
      </c>
      <c r="FA58" s="192">
        <v>2050</v>
      </c>
    </row>
    <row r="59" spans="1:157" x14ac:dyDescent="0.25">
      <c r="A59" t="str">
        <f>IF([12]NDCs!C61="","",[12]NDCs!C61)</f>
        <v>B</v>
      </c>
      <c r="B59" s="159" t="str">
        <f t="shared" si="0"/>
        <v>v</v>
      </c>
      <c r="C59">
        <v>0</v>
      </c>
      <c r="D59">
        <v>0</v>
      </c>
      <c r="E59">
        <v>0</v>
      </c>
      <c r="F59">
        <v>1</v>
      </c>
      <c r="G59" t="b">
        <f t="shared" si="1"/>
        <v>1</v>
      </c>
      <c r="H59" t="s">
        <v>2333</v>
      </c>
      <c r="I59" t="s">
        <v>147</v>
      </c>
      <c r="J59">
        <v>384</v>
      </c>
      <c r="K59">
        <v>97</v>
      </c>
      <c r="L59">
        <v>8</v>
      </c>
      <c r="M59" t="str">
        <f>IF([12]NDCs!AL61="Excluding","excl","incl")</f>
        <v>excl</v>
      </c>
      <c r="N59" s="160">
        <f>[12]GHG_hist!BA49+IF($M59="incl",[12]LULUCF_hist!CR49,0)</f>
        <v>14.282941000000001</v>
      </c>
      <c r="O59" s="111">
        <f>[12]GHG_hist!BB49+IF($M59="incl",[12]LULUCF_hist!CS49,0)</f>
        <v>14.093924999999999</v>
      </c>
      <c r="P59" s="111">
        <f>[12]GHG_hist!BC49+IF($M59="incl",[12]LULUCF_hist!CT49,0)</f>
        <v>13.870939</v>
      </c>
      <c r="Q59" s="111">
        <f>[12]GHG_hist!BD49+IF($M59="incl",[12]LULUCF_hist!CU49,0)</f>
        <v>15.225495</v>
      </c>
      <c r="R59" s="111">
        <f>[12]GHG_hist!BE49+IF($M59="incl",[12]LULUCF_hist!CV49,0)</f>
        <v>14.897279000000001</v>
      </c>
      <c r="S59" s="111">
        <f>[12]GHG_hist!BF49+IF($M59="incl",[12]LULUCF_hist!CW49,0)</f>
        <v>17.388662</v>
      </c>
      <c r="T59" s="111">
        <f>[12]GHG_hist!BG49+IF($M59="incl",[12]LULUCF_hist!CX49,0)</f>
        <v>19.010864000000002</v>
      </c>
      <c r="U59" s="111">
        <f>[12]GHG_hist!BH49+IF($M59="incl",[12]LULUCF_hist!CY49,0)</f>
        <v>19.243109</v>
      </c>
      <c r="V59" s="111">
        <f>[12]GHG_hist!BI49+IF($M59="incl",[12]LULUCF_hist!CZ49,0)</f>
        <v>18.922619999999998</v>
      </c>
      <c r="W59" s="111">
        <f>[12]GHG_hist!BJ49+IF($M59="incl",[12]LULUCF_hist!DA49,0)</f>
        <v>18.471881000000003</v>
      </c>
      <c r="X59" s="111">
        <f>[12]GHG_hist!BK49+IF($M59="incl",[12]LULUCF_hist!DB49,0)</f>
        <v>19.478754000000002</v>
      </c>
      <c r="Y59" s="111">
        <f>[12]GHG_hist!BL49+IF($M59="incl",[12]LULUCF_hist!DC49,0)</f>
        <v>21.174906</v>
      </c>
      <c r="Z59" s="111">
        <f>[12]GHG_hist!BM49+IF($M59="incl",[12]LULUCF_hist!DD49,0)</f>
        <v>21.941687000000002</v>
      </c>
      <c r="AA59" s="111">
        <f>[12]GHG_hist!BN49+IF($M59="incl",[12]LULUCF_hist!DE49,0)</f>
        <v>19.792064999999997</v>
      </c>
      <c r="AB59" s="111">
        <f>[12]GHG_hist!BO49+IF($M59="incl",[12]LULUCF_hist!DF49,0)</f>
        <v>21.312804</v>
      </c>
      <c r="AC59" s="111">
        <f>[12]GHG_hist!BP49+IF($M59="incl",[12]LULUCF_hist!DG49,0)</f>
        <v>23.458179000000001</v>
      </c>
      <c r="AD59" s="111">
        <f>[12]GHG_hist!BQ49+IF($M59="incl",[12]LULUCF_hist!DH49,0)</f>
        <v>22.753736</v>
      </c>
      <c r="AE59" s="111">
        <f>[12]GHG_hist!BR49+IF($M59="incl",[12]LULUCF_hist!DI49,0)</f>
        <v>22.842673999999999</v>
      </c>
      <c r="AF59" s="111">
        <f>[12]GHG_hist!BS49+IF($M59="incl",[12]LULUCF_hist!DJ49,0)</f>
        <v>22.573645000000003</v>
      </c>
      <c r="AG59" s="111">
        <f>[12]GHG_hist!BT49+IF($M59="incl",[12]LULUCF_hist!DK49,0)</f>
        <v>21.162776999999998</v>
      </c>
      <c r="AH59" s="111">
        <f>[12]GHG_hist!BU49+IF($M59="incl",[12]LULUCF_hist!DL49,0)</f>
        <v>22.132679</v>
      </c>
      <c r="AI59" s="111">
        <f>[12]GHG_hist!BV49+IF($M59="incl",[12]LULUCF_hist!DM49,0)</f>
        <v>23.605356</v>
      </c>
      <c r="AJ59" s="111">
        <f>[12]GHG_hist!BW49+IF($M59="incl",[12]LULUCF_hist!DN49,0)</f>
        <v>26.196825</v>
      </c>
      <c r="AK59" s="111">
        <f>[12]GHG_hist!BX49+IF($M59="incl",[12]LULUCF_hist!DO49,0)</f>
        <v>28.137326000000002</v>
      </c>
      <c r="AL59" s="111">
        <f>[12]GHG_hist!BY49+IF($M59="incl",[12]LULUCF_hist!DP49,0)</f>
        <v>27.935786</v>
      </c>
      <c r="AM59" s="111">
        <f>[12]GHG_hist!BZ49+IF($M59="incl",[12]LULUCF_hist!DQ49,0)</f>
        <v>27.979004</v>
      </c>
      <c r="AN59" s="111">
        <f>[12]GHG_hist!CA49+IF($M59="incl",[12]LULUCF_hist!DR49,0)</f>
        <v>32.409103000000002</v>
      </c>
      <c r="AO59" s="111">
        <f>[12]GHG_hist!CB49+IF($M59="incl",[12]LULUCF_hist!DS49,0)</f>
        <v>31.615964999999999</v>
      </c>
      <c r="AP59" s="111">
        <f>[12]GHG_hist!CC49+IF($M59="incl",[12]LULUCF_hist!DT49,0)</f>
        <v>32.004443000000002</v>
      </c>
      <c r="AQ59" s="111">
        <f>[12]GHG_hist!CD49+IF($M59="incl",[12]LULUCF_hist!DU49,0)</f>
        <v>32.859917000000003</v>
      </c>
      <c r="AR59" s="111">
        <f>[12]GHG_hist!CE49+IF($M59="incl",[12]LULUCF_hist!DV49,0)</f>
        <v>33.420249000000005</v>
      </c>
      <c r="AS59" s="111">
        <f>[12]GHG_hist!CF49+IF($M59="incl",[12]LULUCF_hist!DW49,0)</f>
        <v>33.917072999999995</v>
      </c>
      <c r="AT59" s="161">
        <f>VLOOKUP($L59,'[12]IMAGE SSP2'!$AF$3:$AK$29,4,FALSE)*$AM59</f>
        <v>36.912328897401636</v>
      </c>
      <c r="AU59" s="162">
        <f>VLOOKUP($L59,'[12]IMAGE SSP2'!$AF$3:$AK$29,5,FALSE)*$AM59</f>
        <v>42.825909414620263</v>
      </c>
      <c r="AV59" s="163">
        <f>VLOOKUP($L59,'[12]IMAGE SSP2'!$AF$3:$AK$29,6,FALSE)*$AM59</f>
        <v>51.338485597808337</v>
      </c>
      <c r="AW59" s="111">
        <f>IF(A59="B",AM59+(AX59-AM59)*0.33333,"")</f>
        <v>30.070398419180002</v>
      </c>
      <c r="AX59" s="164">
        <f>IF(A59="B",IF(M59="excl",[12]NatCom!CO49,[12]NatCom!AX49),"")</f>
        <v>34.253250000000001</v>
      </c>
      <c r="AY59" s="111" t="str">
        <f>IF('[12]Pledge 2020'!E49="","",'[12]Pledge 2020'!E49)</f>
        <v/>
      </c>
      <c r="AZ59" s="164" t="str">
        <f>IF('[12]Pledge 2020'!F49="","",'[12]Pledge 2020'!F49)</f>
        <v/>
      </c>
      <c r="BA59" s="111">
        <f t="shared" si="51"/>
        <v>23.96528975</v>
      </c>
      <c r="BB59" s="111">
        <f>IF(BF59="","",(BF59-AH59)*0.75+AH59)</f>
        <v>23.96528975</v>
      </c>
      <c r="BC59" s="111">
        <f t="shared" si="52"/>
        <v>23.96528975</v>
      </c>
      <c r="BD59" s="111">
        <f t="shared" si="43"/>
        <v>23.96528975</v>
      </c>
      <c r="BE59" s="111">
        <v>24.576160000000002</v>
      </c>
      <c r="BF59" s="111">
        <v>24.576160000000002</v>
      </c>
      <c r="BG59" s="111">
        <v>24.576160000000002</v>
      </c>
      <c r="BH59" s="164">
        <v>24.576160000000002</v>
      </c>
      <c r="BI59" s="111">
        <f>IF([12]NDCs!V61="",IF([12]NDCs!X61="","",[12]NDCs!X61),[12]NDCs!V61)</f>
        <v>24.576160000000002</v>
      </c>
      <c r="BJ59" s="111">
        <f>IF([12]NDCs!V61="",IF([12]NDCs!X61="","",[12]NDCs!X61),[12]NDCs!V61)</f>
        <v>24.576160000000002</v>
      </c>
      <c r="BK59" s="111">
        <f>IF([12]NDCs!Z61="",IF([12]NDCs!AB61="",IF('input site'!BE59="","",'input site'!BE59),[12]NDCs!AB61),[12]NDCs!Z61)</f>
        <v>24.576160000000002</v>
      </c>
      <c r="BL59" s="111">
        <f>IF([12]NDCs!AA61="",IF([12]NDCs!AC61="",IF('input site'!BF59="","",'input site'!BF59),[12]NDCs!AC61),[12]NDCs!AA61)</f>
        <v>24.576160000000002</v>
      </c>
      <c r="BM59" s="111">
        <f>IF($BI$8=2015,VLOOKUP($L59,'[12]IMAGE CurPol SSP'!$AZ$3:$BD$29,4,FALSE)*$AM59,IF($BI$8=2018,VLOOKUP($L59,'[12]IMAGE CurPol SSP'!$BJ$3:$BN$29,4,FALSE)*$AP59,$AR59))</f>
        <v>33.420249000000005</v>
      </c>
      <c r="BN59" s="111">
        <f t="shared" si="53"/>
        <v>33.420249000000005</v>
      </c>
      <c r="BO59" s="111">
        <f t="shared" si="53"/>
        <v>33.420249000000005</v>
      </c>
      <c r="BP59" s="111">
        <f>IF($BI$8=2015,VLOOKUP($L59,'[12]IMAGE CurPol SSP'!$AZ$3:$BD$29,5,FALSE)*$AM59,IF($BI$8=2018,VLOOKUP($L59,'[12]IMAGE CurPol SSP'!$BJ$3:$BN$29,5,FALSE)*$AP59,VLOOKUP($L59,'[12]IMAGE CurPol SSP'!$BU$3:$BZ$29,5,FALSE)*$AS59))</f>
        <v>35.129508965689737</v>
      </c>
      <c r="BQ59" s="111">
        <f>IF($BI$8=2015,"",IF($BI$8=2018,"",VLOOKUP($L59,'[12]IMAGE CurPol SSP'!$CQ$3:$CV$29,5,FALSE)*$AS59))</f>
        <v>34.739209262621493</v>
      </c>
      <c r="BR59" s="111">
        <f>IF($BI$8=2015,"",IF($BI$8=2018,"",VLOOKUP($L59,'[12]IMAGE CurPol SSP'!$CF$3:$CK$29,5,FALSE)*$AS59))</f>
        <v>35.45789791514602</v>
      </c>
      <c r="BS59" s="111">
        <f>IF($BI$8=2015,VLOOKUP($L59,'[12]IMAGE CurPol SSP'!$AZ$3:$BE$29,6,FALSE)*$AM59,IF($BI$8=2018,VLOOKUP($L59,'[12]IMAGE CurPol SSP'!$BJ$3:$BO$29,6,FALSE)*$AP59,VLOOKUP($L59,'[12]IMAGE CurPol SSP'!$BU$3:$BZ$29,6,FALSE)*$AS59))</f>
        <v>40.394778210044215</v>
      </c>
      <c r="BT59" s="111">
        <f>IF($BI$8=2015,"",IF($BI$8=2018,"",VLOOKUP($L59,'[12]IMAGE CurPol SSP'!$CQ$3:$CV$29,6,FALSE)*$AS59))</f>
        <v>39.348452174358961</v>
      </c>
      <c r="BU59" s="164">
        <f>IF($BI$8=2015,"",IF($BI$8=2018,"",VLOOKUP($L59,'[12]IMAGE CurPol SSP'!$CF$3:$CK$29,6,FALSE)*$AS59))</f>
        <v>40.394778210044215</v>
      </c>
      <c r="CN59" t="s">
        <v>147</v>
      </c>
      <c r="CO59" s="165">
        <f t="shared" si="2"/>
        <v>-0.39160057093990663</v>
      </c>
      <c r="CP59" s="165">
        <f t="shared" si="2"/>
        <v>-0.39160057093990663</v>
      </c>
      <c r="CQ59" s="165">
        <f t="shared" si="2"/>
        <v>-0.39160057093990663</v>
      </c>
      <c r="CR59" s="165">
        <f t="shared" si="2"/>
        <v>-0.39160057093990663</v>
      </c>
      <c r="CS59" s="159"/>
      <c r="CU59" s="159"/>
      <c r="CV59" s="125" t="s">
        <v>621</v>
      </c>
      <c r="CW59" s="125" t="s">
        <v>621</v>
      </c>
      <c r="CX59" s="159"/>
      <c r="CY59" s="167">
        <f t="shared" si="3"/>
        <v>3.4920798974016307</v>
      </c>
      <c r="CZ59" s="159"/>
      <c r="DB59" s="106"/>
      <c r="DC59" s="106"/>
      <c r="DD59" s="106"/>
      <c r="DE59" s="106"/>
      <c r="DF59" s="106"/>
      <c r="DG59" s="105" t="str">
        <f t="shared" si="4"/>
        <v>excl</v>
      </c>
      <c r="DH59" t="s">
        <v>147</v>
      </c>
      <c r="DI59" s="111">
        <f t="shared" si="45"/>
        <v>0</v>
      </c>
      <c r="DJ59" s="111">
        <f t="shared" si="45"/>
        <v>0</v>
      </c>
      <c r="DK59" s="111">
        <f t="shared" si="47"/>
        <v>-11.164219215689737</v>
      </c>
      <c r="DL59" s="111">
        <f t="shared" si="48"/>
        <v>-11.164219215689737</v>
      </c>
      <c r="DM59" s="111">
        <f t="shared" si="49"/>
        <v>-15.818618210044214</v>
      </c>
      <c r="DN59" s="111">
        <f t="shared" si="50"/>
        <v>-15.818618210044214</v>
      </c>
      <c r="DO59" s="111">
        <f t="shared" si="54"/>
        <v>-15.818618210044214</v>
      </c>
      <c r="DP59" s="111">
        <f t="shared" si="55"/>
        <v>-15.818618210044214</v>
      </c>
      <c r="DQ59" s="106"/>
      <c r="DR59" s="106"/>
      <c r="DS59" s="111"/>
      <c r="DT59" s="168"/>
      <c r="DW59" s="111">
        <f t="shared" si="12"/>
        <v>24.576160000000002</v>
      </c>
      <c r="DX59" s="111">
        <f t="shared" si="12"/>
        <v>24.576160000000002</v>
      </c>
      <c r="DY59" s="111">
        <f t="shared" si="12"/>
        <v>24.576160000000002</v>
      </c>
      <c r="DZ59" s="111">
        <f t="shared" si="12"/>
        <v>24.576160000000002</v>
      </c>
      <c r="EP59" t="s">
        <v>147</v>
      </c>
      <c r="EQ59">
        <v>0</v>
      </c>
      <c r="ER59" s="111">
        <f t="shared" si="13"/>
        <v>32.004443000000002</v>
      </c>
      <c r="ES59" s="111">
        <f>IF($BI$8=2015,VLOOKUP($L59,'[12]IMAGE CDLINKS CurPol'!$P$3:$Y$29,10,FALSE)*$AM59,VLOOKUP($L59,'[12]IMAGE CDLINKS CurPol'!$Z$3:$AI$29,10,FALSE)*$AP59)</f>
        <v>66.821277703207286</v>
      </c>
      <c r="ET59" s="111">
        <f t="shared" si="14"/>
        <v>66.821277703207286</v>
      </c>
      <c r="EU59" s="111">
        <f t="shared" si="19"/>
        <v>30.49691010027956</v>
      </c>
      <c r="EV59" s="111">
        <f>IF($BI$8=2015,VLOOKUP($L59,'[12]IMAGE CDLINKS 2C'!$P$3:$Y$29,10,FALSE)*$AM59,VLOOKUP($L59,'[12]IMAGE CDLINKS 2C'!$Z$3:$AI$29,10,FALSE)*$AP59)</f>
        <v>30.49691010027956</v>
      </c>
      <c r="EY59" s="111">
        <f t="shared" si="20"/>
        <v>17.371048683139342</v>
      </c>
      <c r="EZ59" s="111">
        <f>IF($BI$8=2015,VLOOKUP($L59,'[12]IMAGE CDLINKS 1_5C'!$P$3:$Y$29,10,FALSE)*$AM59,VLOOKUP($L59,'[12]IMAGE CDLINKS 1_5C'!$Z$3:$AI$29,10,FALSE)*$AP59)</f>
        <v>17.371048683139342</v>
      </c>
      <c r="FA59" s="192"/>
    </row>
    <row r="60" spans="1:157" x14ac:dyDescent="0.25">
      <c r="A60" t="str">
        <f>IF([12]NDCs!C62="","",[12]NDCs!C62)</f>
        <v>A</v>
      </c>
      <c r="B60" s="159" t="str">
        <f t="shared" si="0"/>
        <v>v</v>
      </c>
      <c r="C60">
        <v>0</v>
      </c>
      <c r="D60">
        <v>1</v>
      </c>
      <c r="E60">
        <v>0</v>
      </c>
      <c r="F60">
        <v>1</v>
      </c>
      <c r="G60" t="b">
        <f t="shared" si="1"/>
        <v>1</v>
      </c>
      <c r="H60" t="s">
        <v>2335</v>
      </c>
      <c r="I60" t="s">
        <v>149</v>
      </c>
      <c r="J60">
        <v>191</v>
      </c>
      <c r="K60">
        <v>48</v>
      </c>
      <c r="L60">
        <v>12</v>
      </c>
      <c r="M60" t="str">
        <f>IF([12]NDCs!AL62="Excluding","excl","incl")</f>
        <v>incl</v>
      </c>
      <c r="N60" s="160">
        <f>[12]GHG_hist!BA50+IF($M60="incl",[12]LULUCF_hist!CR50,0)</f>
        <v>25.063059168556347</v>
      </c>
      <c r="O60" s="111">
        <f>[12]GHG_hist!BB50+IF($M60="incl",[12]LULUCF_hist!CS50,0)</f>
        <v>17.217742597147808</v>
      </c>
      <c r="P60" s="111">
        <f>[12]GHG_hist!BC50+IF($M60="incl",[12]LULUCF_hist!CT50,0)</f>
        <v>15.205229003726622</v>
      </c>
      <c r="Q60" s="111">
        <f>[12]GHG_hist!BD50+IF($M60="incl",[12]LULUCF_hist!CU50,0)</f>
        <v>15.001690694302244</v>
      </c>
      <c r="R60" s="111">
        <f>[12]GHG_hist!BE50+IF($M60="incl",[12]LULUCF_hist!CV50,0)</f>
        <v>13.84375226727102</v>
      </c>
      <c r="S60" s="111">
        <f>[12]GHG_hist!BF50+IF($M60="incl",[12]LULUCF_hist!CW50,0)</f>
        <v>14.024583553562618</v>
      </c>
      <c r="T60" s="111">
        <f>[12]GHG_hist!BG50+IF($M60="incl",[12]LULUCF_hist!CX50,0)</f>
        <v>14.877158892084513</v>
      </c>
      <c r="U60" s="111">
        <f>[12]GHG_hist!BH50+IF($M60="incl",[12]LULUCF_hist!CY50,0)</f>
        <v>16.873172651538638</v>
      </c>
      <c r="V60" s="111">
        <f>[12]GHG_hist!BI50+IF($M60="incl",[12]LULUCF_hist!CZ50,0)</f>
        <v>17.155158183260912</v>
      </c>
      <c r="W60" s="111">
        <f>[12]GHG_hist!BJ50+IF($M60="incl",[12]LULUCF_hist!DA50,0)</f>
        <v>17.667845194857918</v>
      </c>
      <c r="X60" s="111">
        <f>[12]GHG_hist!BK50+IF($M60="incl",[12]LULUCF_hist!DB50,0)</f>
        <v>18.833167203081544</v>
      </c>
      <c r="Y60" s="111">
        <f>[12]GHG_hist!BL50+IF($M60="incl",[12]LULUCF_hist!DC50,0)</f>
        <v>18.761824671482685</v>
      </c>
      <c r="Z60" s="111">
        <f>[12]GHG_hist!BM50+IF($M60="incl",[12]LULUCF_hist!DD50,0)</f>
        <v>19.536872167964233</v>
      </c>
      <c r="AA60" s="111">
        <f>[12]GHG_hist!BN50+IF($M60="incl",[12]LULUCF_hist!DE50,0)</f>
        <v>21.793496062016942</v>
      </c>
      <c r="AB60" s="111">
        <f>[12]GHG_hist!BO50+IF($M60="incl",[12]LULUCF_hist!DF50,0)</f>
        <v>21.49668775675087</v>
      </c>
      <c r="AC60" s="111">
        <f>[12]GHG_hist!BP50+IF($M60="incl",[12]LULUCF_hist!DG50,0)</f>
        <v>21.743463723500589</v>
      </c>
      <c r="AD60" s="111">
        <f>[12]GHG_hist!BQ50+IF($M60="incl",[12]LULUCF_hist!DH50,0)</f>
        <v>22.325470053992163</v>
      </c>
      <c r="AE60" s="111">
        <f>[12]GHG_hist!BR50+IF($M60="incl",[12]LULUCF_hist!DI50,0)</f>
        <v>24.922447929521596</v>
      </c>
      <c r="AF60" s="111">
        <f>[12]GHG_hist!BS50+IF($M60="incl",[12]LULUCF_hist!DJ50,0)</f>
        <v>23.807353799782852</v>
      </c>
      <c r="AG60" s="111">
        <f>[12]GHG_hist!BT50+IF($M60="incl",[12]LULUCF_hist!DK50,0)</f>
        <v>21.442591486081302</v>
      </c>
      <c r="AH60" s="111">
        <f>[12]GHG_hist!BU50+IF($M60="incl",[12]LULUCF_hist!DL50,0)</f>
        <v>21.115433978159931</v>
      </c>
      <c r="AI60" s="111">
        <f>[12]GHG_hist!BV50+IF($M60="incl",[12]LULUCF_hist!DM50,0)</f>
        <v>22.099167659756851</v>
      </c>
      <c r="AJ60" s="111">
        <f>[12]GHG_hist!BW50+IF($M60="incl",[12]LULUCF_hist!DN50,0)</f>
        <v>20.765316590423296</v>
      </c>
      <c r="AK60" s="111">
        <f>[12]GHG_hist!BX50+IF($M60="incl",[12]LULUCF_hist!DO50,0)</f>
        <v>18.527825968194769</v>
      </c>
      <c r="AL60" s="111">
        <f>[12]GHG_hist!BY50+IF($M60="incl",[12]LULUCF_hist!DP50,0)</f>
        <v>17.941974973300052</v>
      </c>
      <c r="AM60" s="111">
        <f>[12]GHG_hist!BZ50+IF($M60="incl",[12]LULUCF_hist!DQ50,0)</f>
        <v>18.7134591679938</v>
      </c>
      <c r="AN60" s="111">
        <f>[12]GHG_hist!CA50+IF($M60="incl",[12]LULUCF_hist!DR50,0)</f>
        <v>18.905281156649888</v>
      </c>
      <c r="AO60" s="111">
        <f>[12]GHG_hist!CB50+IF($M60="incl",[12]LULUCF_hist!DS50,0)</f>
        <v>20.616855580749071</v>
      </c>
      <c r="AP60" s="111">
        <f>[12]GHG_hist!CC50+IF($M60="incl",[12]LULUCF_hist!DT50,0)</f>
        <v>18.92250860658476</v>
      </c>
      <c r="AQ60" s="111">
        <f>[12]GHG_hist!CD50+IF($M60="incl",[12]LULUCF_hist!DU50,0)</f>
        <v>18.903553902189273</v>
      </c>
      <c r="AR60" s="111">
        <f>[12]GHG_hist!CE50+IF($M60="incl",[12]LULUCF_hist!DV50,0)</f>
        <v>18.096708384603026</v>
      </c>
      <c r="AS60" s="111">
        <f>[12]GHG_hist!CF50+IF($M60="incl",[12]LULUCF_hist!DW50,0)</f>
        <v>18.520604140181206</v>
      </c>
      <c r="AT60" s="161">
        <f>VLOOKUP($L60,'[12]IMAGE SSP2'!$AF$3:$AK$29,4,FALSE)*$AM60</f>
        <v>19.470218550357739</v>
      </c>
      <c r="AU60" s="162">
        <f>VLOOKUP($L60,'[12]IMAGE SSP2'!$AF$3:$AK$29,5,FALSE)*$AM60</f>
        <v>19.885638512682132</v>
      </c>
      <c r="AV60" s="163">
        <f>VLOOKUP($L60,'[12]IMAGE SSP2'!$AF$3:$AK$29,6,FALSE)*$AM60</f>
        <v>20.41723785511844</v>
      </c>
      <c r="AW60" s="111" t="str">
        <f t="shared" si="15"/>
        <v/>
      </c>
      <c r="AX60" s="164" t="str">
        <f>IF(A60="B",IF(M60="excl",[12]NatCom!CO50,[12]NatCom!AX50),"")</f>
        <v/>
      </c>
      <c r="AY60" s="111" t="str">
        <f>IF('[12]Pledge 2020'!E50="","",'[12]Pledge 2020'!E50)</f>
        <v/>
      </c>
      <c r="AZ60" s="164" t="str">
        <f>IF('[12]Pledge 2020'!F50="","",'[12]Pledge 2020'!F50)</f>
        <v/>
      </c>
      <c r="BA60" s="111" t="str">
        <f t="shared" si="51"/>
        <v/>
      </c>
      <c r="BB60" s="111"/>
      <c r="BC60" s="111" t="str">
        <f t="shared" si="52"/>
        <v/>
      </c>
      <c r="BD60" s="111"/>
      <c r="BE60" s="111" t="s">
        <v>2477</v>
      </c>
      <c r="BF60" s="111"/>
      <c r="BG60" s="111" t="s">
        <v>2477</v>
      </c>
      <c r="BH60" s="164"/>
      <c r="BI60" s="111" t="str">
        <f>IF([12]NDCs!V62="",IF([12]NDCs!X62="","",[12]NDCs!X62),[12]NDCs!V62)</f>
        <v/>
      </c>
      <c r="BJ60" s="111" t="str">
        <f>IF([12]NDCs!V62="",IF([12]NDCs!X62="","",[12]NDCs!X62),[12]NDCs!V62)</f>
        <v/>
      </c>
      <c r="BK60" s="111" t="str">
        <f>IF([12]NDCs!Z62="",IF([12]NDCs!AB62="",IF('input site'!BE60="","",'input site'!BE60),[12]NDCs!AB62),[12]NDCs!Z62)</f>
        <v/>
      </c>
      <c r="BL60" s="111" t="str">
        <f>IF([12]NDCs!AA62="",IF([12]NDCs!AC62="",IF('input site'!BF60="","",'input site'!BF60),[12]NDCs!AC62),[12]NDCs!AA62)</f>
        <v/>
      </c>
      <c r="BM60" s="111">
        <f>IF($BI$8=2015,VLOOKUP($L60,'[12]IMAGE CurPol SSP'!$AZ$3:$BD$29,4,FALSE)*$AM60,IF($BI$8=2018,VLOOKUP($L60,'[12]IMAGE CurPol SSP'!$BJ$3:$BN$29,4,FALSE)*$AP60,$AR60))</f>
        <v>18.096708384603026</v>
      </c>
      <c r="BN60" s="111">
        <f t="shared" si="53"/>
        <v>18.096708384603026</v>
      </c>
      <c r="BO60" s="111">
        <f t="shared" si="53"/>
        <v>18.096708384603026</v>
      </c>
      <c r="BP60" s="111">
        <f>IF($BI$8=2015,VLOOKUP($L60,'[12]IMAGE CurPol SSP'!$AZ$3:$BD$29,5,FALSE)*$AM60,IF($BI$8=2018,VLOOKUP($L60,'[12]IMAGE CurPol SSP'!$BJ$3:$BN$29,5,FALSE)*$AP60,VLOOKUP($L60,'[12]IMAGE CurPol SSP'!$BU$3:$BZ$29,5,FALSE)*$AS60))</f>
        <v>14.729231514090094</v>
      </c>
      <c r="BQ60" s="111">
        <f>IF($BI$8=2015,"",IF($BI$8=2018,"",VLOOKUP($L60,'[12]IMAGE CurPol SSP'!$CQ$3:$CV$29,5,FALSE)*$AS60))</f>
        <v>14.729231514090094</v>
      </c>
      <c r="BR60" s="111">
        <f>IF($BI$8=2015,"",IF($BI$8=2018,"",VLOOKUP($L60,'[12]IMAGE CurPol SSP'!$CF$3:$CK$29,5,FALSE)*$AS60))</f>
        <v>15.200121774306504</v>
      </c>
      <c r="BS60" s="111">
        <f>IF($BI$8=2015,VLOOKUP($L60,'[12]IMAGE CurPol SSP'!$AZ$3:$BE$29,6,FALSE)*$AM60,IF($BI$8=2018,VLOOKUP($L60,'[12]IMAGE CurPol SSP'!$BJ$3:$BO$29,6,FALSE)*$AP60,VLOOKUP($L60,'[12]IMAGE CurPol SSP'!$BU$3:$BZ$29,6,FALSE)*$AS60))</f>
        <v>9.4898315601578247</v>
      </c>
      <c r="BT60" s="111">
        <f>IF($BI$8=2015,"",IF($BI$8=2018,"",VLOOKUP($L60,'[12]IMAGE CurPol SSP'!$CQ$3:$CV$29,6,FALSE)*$AS60))</f>
        <v>9.4898315601578247</v>
      </c>
      <c r="BU60" s="164">
        <f>IF($BI$8=2015,"",IF($BI$8=2018,"",VLOOKUP($L60,'[12]IMAGE CurPol SSP'!$CF$3:$CK$29,6,FALSE)*$AS60))</f>
        <v>9.969365622051189</v>
      </c>
      <c r="CN60" t="s">
        <v>149</v>
      </c>
      <c r="CO60" s="165" t="str">
        <f t="shared" si="2"/>
        <v/>
      </c>
      <c r="CP60" s="165" t="str">
        <f t="shared" si="2"/>
        <v/>
      </c>
      <c r="CQ60" s="165" t="str">
        <f t="shared" si="2"/>
        <v/>
      </c>
      <c r="CR60" s="165" t="str">
        <f t="shared" si="2"/>
        <v/>
      </c>
      <c r="CV60" s="125" t="s">
        <v>621</v>
      </c>
      <c r="CW60" s="125" t="s">
        <v>621</v>
      </c>
      <c r="CX60"/>
      <c r="CY60" s="167">
        <f t="shared" si="3"/>
        <v>1.3735101657547126</v>
      </c>
      <c r="DB60" s="106"/>
      <c r="DC60" s="106"/>
      <c r="DD60" s="106"/>
      <c r="DE60" s="106"/>
      <c r="DF60" s="106"/>
      <c r="DG60" s="105" t="str">
        <f t="shared" si="4"/>
        <v>incl</v>
      </c>
      <c r="DH60" t="s">
        <v>149</v>
      </c>
      <c r="DI60" s="111">
        <f t="shared" si="45"/>
        <v>0</v>
      </c>
      <c r="DJ60" s="111">
        <f t="shared" si="45"/>
        <v>0</v>
      </c>
      <c r="DK60" s="111">
        <f t="shared" si="47"/>
        <v>0</v>
      </c>
      <c r="DL60" s="111">
        <f t="shared" si="48"/>
        <v>0</v>
      </c>
      <c r="DM60" s="111">
        <f t="shared" si="49"/>
        <v>0</v>
      </c>
      <c r="DN60" s="111">
        <f t="shared" si="50"/>
        <v>0</v>
      </c>
      <c r="DO60" s="111">
        <f t="shared" si="54"/>
        <v>0</v>
      </c>
      <c r="DP60" s="111">
        <f t="shared" si="55"/>
        <v>0</v>
      </c>
      <c r="DQ60" s="106"/>
      <c r="DR60" s="106"/>
      <c r="DS60" s="111"/>
      <c r="DT60" s="168"/>
      <c r="DW60" s="111">
        <f t="shared" si="12"/>
        <v>9.4898315601578247</v>
      </c>
      <c r="DX60" s="111">
        <f t="shared" si="12"/>
        <v>9.4898315601578247</v>
      </c>
      <c r="DY60" s="111">
        <f t="shared" si="12"/>
        <v>9.4898315601578247</v>
      </c>
      <c r="DZ60" s="111">
        <f t="shared" si="12"/>
        <v>9.4898315601578247</v>
      </c>
      <c r="EP60" t="s">
        <v>149</v>
      </c>
      <c r="ER60" s="111">
        <f t="shared" si="13"/>
        <v>18.92250860658476</v>
      </c>
      <c r="ES60" s="111">
        <f>IF($BI$8=2015,VLOOKUP($L60,'[12]IMAGE CDLINKS CurPol'!$P$3:$Y$29,10,FALSE)*$AM60,VLOOKUP($L60,'[12]IMAGE CDLINKS CurPol'!$Z$3:$AI$29,10,FALSE)*$AP60)</f>
        <v>19.892531262652845</v>
      </c>
      <c r="ET60" s="111">
        <f t="shared" si="14"/>
        <v>19.892531262652845</v>
      </c>
      <c r="EU60" s="111">
        <f t="shared" si="19"/>
        <v>4.3069125543164644</v>
      </c>
      <c r="EV60" s="111">
        <f>IF($BI$8=2015,VLOOKUP($L60,'[12]IMAGE CDLINKS 2C'!$P$3:$Y$29,10,FALSE)*$AM60,VLOOKUP($L60,'[12]IMAGE CDLINKS 2C'!$Z$3:$AI$29,10,FALSE)*$AP60)</f>
        <v>4.3069125543164644</v>
      </c>
      <c r="EY60" s="111">
        <f t="shared" si="20"/>
        <v>2.1011029078619154</v>
      </c>
      <c r="EZ60" s="111">
        <f>IF($BI$8=2015,VLOOKUP($L60,'[12]IMAGE CDLINKS 1_5C'!$P$3:$Y$29,10,FALSE)*$AM60,VLOOKUP($L60,'[12]IMAGE CDLINKS 1_5C'!$Z$3:$AI$29,10,FALSE)*$AP60)</f>
        <v>2.1011029078619154</v>
      </c>
      <c r="FA60" s="192" t="s">
        <v>2338</v>
      </c>
    </row>
    <row r="61" spans="1:157" x14ac:dyDescent="0.25">
      <c r="A61" t="str">
        <f>IF([12]NDCs!C63="","",[12]NDCs!C63)</f>
        <v>G</v>
      </c>
      <c r="B61" s="159" t="str">
        <f t="shared" si="0"/>
        <v>v</v>
      </c>
      <c r="C61">
        <v>0</v>
      </c>
      <c r="D61">
        <v>0</v>
      </c>
      <c r="E61">
        <v>0</v>
      </c>
      <c r="F61">
        <v>1</v>
      </c>
      <c r="G61" t="b">
        <f t="shared" si="1"/>
        <v>0</v>
      </c>
      <c r="H61" t="s">
        <v>2328</v>
      </c>
      <c r="I61" t="s">
        <v>151</v>
      </c>
      <c r="J61">
        <v>192</v>
      </c>
      <c r="K61">
        <v>49</v>
      </c>
      <c r="L61">
        <v>4</v>
      </c>
      <c r="M61" t="str">
        <f>IF([12]NDCs!AL63="Excluding","excl","incl")</f>
        <v>excl</v>
      </c>
      <c r="N61" s="160">
        <f>[12]GHG_hist!BA51+IF($M61="incl",[12]LULUCF_hist!CR51,0)</f>
        <v>49.536723000000002</v>
      </c>
      <c r="O61" s="111">
        <f>[12]GHG_hist!BB51+IF($M61="incl",[12]LULUCF_hist!CS51,0)</f>
        <v>44.213408000000001</v>
      </c>
      <c r="P61" s="111">
        <f>[12]GHG_hist!BC51+IF($M61="incl",[12]LULUCF_hist!CT51,0)</f>
        <v>35.089267999999997</v>
      </c>
      <c r="Q61" s="111">
        <f>[12]GHG_hist!BD51+IF($M61="incl",[12]LULUCF_hist!CU51,0)</f>
        <v>32.891927000000003</v>
      </c>
      <c r="R61" s="111">
        <f>[12]GHG_hist!BE51+IF($M61="incl",[12]LULUCF_hist!CV51,0)</f>
        <v>34.325285000000001</v>
      </c>
      <c r="S61" s="111">
        <f>[12]GHG_hist!BF51+IF($M61="incl",[12]LULUCF_hist!CW51,0)</f>
        <v>37.934635999999998</v>
      </c>
      <c r="T61" s="111">
        <f>[12]GHG_hist!BG51+IF($M61="incl",[12]LULUCF_hist!CX51,0)</f>
        <v>39.122081000000001</v>
      </c>
      <c r="U61" s="111">
        <f>[12]GHG_hist!BH51+IF($M61="incl",[12]LULUCF_hist!CY51,0)</f>
        <v>39.527252999999995</v>
      </c>
      <c r="V61" s="111">
        <f>[12]GHG_hist!BI51+IF($M61="incl",[12]LULUCF_hist!CZ51,0)</f>
        <v>40.807497000000005</v>
      </c>
      <c r="W61" s="111">
        <f>[12]GHG_hist!BJ51+IF($M61="incl",[12]LULUCF_hist!DA51,0)</f>
        <v>40.182046999999997</v>
      </c>
      <c r="X61" s="111">
        <f>[12]GHG_hist!BK51+IF($M61="incl",[12]LULUCF_hist!DB51,0)</f>
        <v>39.525277000000003</v>
      </c>
      <c r="Y61" s="111">
        <f>[12]GHG_hist!BL51+IF($M61="incl",[12]LULUCF_hist!DC51,0)</f>
        <v>38.391639000000005</v>
      </c>
      <c r="Z61" s="111">
        <f>[12]GHG_hist!BM51+IF($M61="incl",[12]LULUCF_hist!DD51,0)</f>
        <v>38.203648000000001</v>
      </c>
      <c r="AA61" s="111">
        <f>[12]GHG_hist!BN51+IF($M61="incl",[12]LULUCF_hist!DE51,0)</f>
        <v>38.08614</v>
      </c>
      <c r="AB61" s="111">
        <f>[12]GHG_hist!BO51+IF($M61="incl",[12]LULUCF_hist!DF51,0)</f>
        <v>38.261275000000005</v>
      </c>
      <c r="AC61" s="111">
        <f>[12]GHG_hist!BP51+IF($M61="incl",[12]LULUCF_hist!DG51,0)</f>
        <v>39.352238</v>
      </c>
      <c r="AD61" s="111">
        <f>[12]GHG_hist!BQ51+IF($M61="incl",[12]LULUCF_hist!DH51,0)</f>
        <v>41.333040000000004</v>
      </c>
      <c r="AE61" s="111">
        <f>[12]GHG_hist!BR51+IF($M61="incl",[12]LULUCF_hist!DI51,0)</f>
        <v>41.876849999999997</v>
      </c>
      <c r="AF61" s="111">
        <f>[12]GHG_hist!BS51+IF($M61="incl",[12]LULUCF_hist!DJ51,0)</f>
        <v>44.706358000000002</v>
      </c>
      <c r="AG61" s="111">
        <f>[12]GHG_hist!BT51+IF($M61="incl",[12]LULUCF_hist!DK51,0)</f>
        <v>45.845019999999998</v>
      </c>
      <c r="AH61" s="111">
        <f>[12]GHG_hist!BU51+IF($M61="incl",[12]LULUCF_hist!DL51,0)</f>
        <v>50.430754</v>
      </c>
      <c r="AI61" s="111">
        <f>[12]GHG_hist!BV51+IF($M61="incl",[12]LULUCF_hist!DM51,0)</f>
        <v>47.521942000000003</v>
      </c>
      <c r="AJ61" s="111">
        <f>[12]GHG_hist!BW51+IF($M61="incl",[12]LULUCF_hist!DN51,0)</f>
        <v>49.467509</v>
      </c>
      <c r="AK61" s="111">
        <f>[12]GHG_hist!BX51+IF($M61="incl",[12]LULUCF_hist!DO51,0)</f>
        <v>49.489085000000003</v>
      </c>
      <c r="AL61" s="111">
        <f>[12]GHG_hist!BY51+IF($M61="incl",[12]LULUCF_hist!DP51,0)</f>
        <v>51.023716999999998</v>
      </c>
      <c r="AM61" s="111">
        <f>[12]GHG_hist!BZ51+IF($M61="incl",[12]LULUCF_hist!DQ51,0)</f>
        <v>53.273462000000002</v>
      </c>
      <c r="AN61" s="111">
        <f>[12]GHG_hist!CA51+IF($M61="incl",[12]LULUCF_hist!DR51,0)</f>
        <v>52.514669000000005</v>
      </c>
      <c r="AO61" s="111">
        <f>[12]GHG_hist!CB51+IF($M61="incl",[12]LULUCF_hist!DS51,0)</f>
        <v>48.814353000000004</v>
      </c>
      <c r="AP61" s="111">
        <f>[12]GHG_hist!CC51+IF($M61="incl",[12]LULUCF_hist!DT51,0)</f>
        <v>49.535754000000004</v>
      </c>
      <c r="AQ61" s="111">
        <f>[12]GHG_hist!CD51+IF($M61="incl",[12]LULUCF_hist!DU51,0)</f>
        <v>50.114084000000005</v>
      </c>
      <c r="AR61" s="111">
        <f>[12]GHG_hist!CE51+IF($M61="incl",[12]LULUCF_hist!DV51,0)</f>
        <v>45.070754999999998</v>
      </c>
      <c r="AS61" s="111">
        <f>[12]GHG_hist!CF51+IF($M61="incl",[12]LULUCF_hist!DW51,0)</f>
        <v>51.069002999999995</v>
      </c>
      <c r="AT61" s="161">
        <f>VLOOKUP($L61,'[12]IMAGE SSP2'!$AF$3:$AK$29,4,FALSE)*$AM61</f>
        <v>60.572506360082521</v>
      </c>
      <c r="AU61" s="162">
        <f>VLOOKUP($L61,'[12]IMAGE SSP2'!$AF$3:$AK$29,5,FALSE)*$AM61</f>
        <v>67.766007459018439</v>
      </c>
      <c r="AV61" s="163">
        <f>VLOOKUP($L61,'[12]IMAGE SSP2'!$AF$3:$AK$29,6,FALSE)*$AM61</f>
        <v>71.534903499016252</v>
      </c>
      <c r="AW61" s="111" t="str">
        <f t="shared" si="15"/>
        <v/>
      </c>
      <c r="AX61" s="164" t="str">
        <f>IF(A61="B",IF(M61="excl",[12]NatCom!CO51,[12]NatCom!AX51),"")</f>
        <v/>
      </c>
      <c r="AY61" s="111" t="str">
        <f>IF('[12]Pledge 2020'!E51="","",'[12]Pledge 2020'!E51)</f>
        <v/>
      </c>
      <c r="AZ61" s="164" t="str">
        <f>IF('[12]Pledge 2020'!F51="","",'[12]Pledge 2020'!F51)</f>
        <v/>
      </c>
      <c r="BA61" s="111" t="str">
        <f t="shared" si="51"/>
        <v/>
      </c>
      <c r="BB61" s="111"/>
      <c r="BC61" s="111" t="str">
        <f t="shared" si="52"/>
        <v/>
      </c>
      <c r="BD61" s="111"/>
      <c r="BE61" s="111" t="s">
        <v>2477</v>
      </c>
      <c r="BF61" s="111"/>
      <c r="BG61" s="111" t="s">
        <v>2477</v>
      </c>
      <c r="BH61" s="164"/>
      <c r="BI61" s="111" t="str">
        <f>IF([12]NDCs!V63="",IF([12]NDCs!X63="","",[12]NDCs!X63),[12]NDCs!V63)</f>
        <v/>
      </c>
      <c r="BJ61" s="111" t="str">
        <f>IF([12]NDCs!V63="",IF([12]NDCs!X63="","",[12]NDCs!X63),[12]NDCs!V63)</f>
        <v/>
      </c>
      <c r="BK61" s="111" t="str">
        <f>IF([12]NDCs!Z63="",IF([12]NDCs!AB63="",IF('input site'!BE61="","",'input site'!BE61),[12]NDCs!AB63),[12]NDCs!Z63)</f>
        <v/>
      </c>
      <c r="BL61" s="111" t="str">
        <f>IF([12]NDCs!AA63="",IF([12]NDCs!AC63="",IF('input site'!BF61="","",'input site'!BF61),[12]NDCs!AC63),[12]NDCs!AA63)</f>
        <v/>
      </c>
      <c r="BM61" s="111">
        <f>IF($BI$8=2015,VLOOKUP($L61,'[12]IMAGE CurPol SSP'!$AZ$3:$BD$29,4,FALSE)*$AM61,IF($BI$8=2018,VLOOKUP($L61,'[12]IMAGE CurPol SSP'!$BJ$3:$BN$29,4,FALSE)*$AP61,$AR61))</f>
        <v>45.070754999999998</v>
      </c>
      <c r="BN61" s="111">
        <f t="shared" si="53"/>
        <v>45.070754999999998</v>
      </c>
      <c r="BO61" s="111">
        <f t="shared" si="53"/>
        <v>45.070754999999998</v>
      </c>
      <c r="BP61" s="111">
        <f>IF($BI$8=2015,VLOOKUP($L61,'[12]IMAGE CurPol SSP'!$AZ$3:$BD$29,5,FALSE)*$AM61,IF($BI$8=2018,VLOOKUP($L61,'[12]IMAGE CurPol SSP'!$BJ$3:$BN$29,5,FALSE)*$AP61,VLOOKUP($L61,'[12]IMAGE CurPol SSP'!$BU$3:$BZ$29,5,FALSE)*$AS61))</f>
        <v>55.961659831246756</v>
      </c>
      <c r="BQ61" s="111">
        <f>IF($BI$8=2015,"",IF($BI$8=2018,"",VLOOKUP($L61,'[12]IMAGE CurPol SSP'!$CQ$3:$CV$29,5,FALSE)*$AS61))</f>
        <v>55.009361515388889</v>
      </c>
      <c r="BR61" s="111">
        <f>IF($BI$8=2015,"",IF($BI$8=2018,"",VLOOKUP($L61,'[12]IMAGE CurPol SSP'!$CF$3:$CK$29,5,FALSE)*$AS61))</f>
        <v>58.162831965841363</v>
      </c>
      <c r="BS61" s="111">
        <f>IF($BI$8=2015,VLOOKUP($L61,'[12]IMAGE CurPol SSP'!$AZ$3:$BE$29,6,FALSE)*$AM61,IF($BI$8=2018,VLOOKUP($L61,'[12]IMAGE CurPol SSP'!$BJ$3:$BO$29,6,FALSE)*$AP61,VLOOKUP($L61,'[12]IMAGE CurPol SSP'!$BU$3:$BZ$29,6,FALSE)*$AS61))</f>
        <v>62.971614105481741</v>
      </c>
      <c r="BT61" s="111">
        <f>IF($BI$8=2015,"",IF($BI$8=2018,"",VLOOKUP($L61,'[12]IMAGE CurPol SSP'!$CQ$3:$CV$29,6,FALSE)*$AS61))</f>
        <v>61.524498721897544</v>
      </c>
      <c r="BU61" s="164">
        <f>IF($BI$8=2015,"",IF($BI$8=2018,"",VLOOKUP($L61,'[12]IMAGE CurPol SSP'!$CF$3:$CK$29,6,FALSE)*$AS61))</f>
        <v>67.374237077858425</v>
      </c>
      <c r="CN61" t="s">
        <v>151</v>
      </c>
      <c r="CO61" s="165" t="str">
        <f t="shared" si="2"/>
        <v/>
      </c>
      <c r="CP61" s="165" t="str">
        <f t="shared" si="2"/>
        <v/>
      </c>
      <c r="CQ61" s="165" t="str">
        <f t="shared" si="2"/>
        <v/>
      </c>
      <c r="CR61" s="165" t="str">
        <f t="shared" si="2"/>
        <v/>
      </c>
      <c r="CV61" s="125" t="s">
        <v>621</v>
      </c>
      <c r="CW61" s="125" t="s">
        <v>621</v>
      </c>
      <c r="CX61"/>
      <c r="CY61" s="167">
        <f t="shared" si="3"/>
        <v>15.501751360082523</v>
      </c>
      <c r="DB61" s="106"/>
      <c r="DC61" s="106"/>
      <c r="DD61" s="106"/>
      <c r="DE61" s="106"/>
      <c r="DF61" s="106"/>
      <c r="DG61" s="105" t="str">
        <f t="shared" si="4"/>
        <v>excl</v>
      </c>
      <c r="DH61" t="s">
        <v>151</v>
      </c>
      <c r="DI61" s="111">
        <f t="shared" si="45"/>
        <v>0</v>
      </c>
      <c r="DJ61" s="111">
        <f t="shared" si="45"/>
        <v>0</v>
      </c>
      <c r="DK61" s="111">
        <f t="shared" si="47"/>
        <v>0</v>
      </c>
      <c r="DL61" s="111">
        <f t="shared" si="48"/>
        <v>0</v>
      </c>
      <c r="DM61" s="111">
        <f t="shared" si="49"/>
        <v>0</v>
      </c>
      <c r="DN61" s="111">
        <f t="shared" si="50"/>
        <v>0</v>
      </c>
      <c r="DO61" s="111">
        <f t="shared" si="54"/>
        <v>0</v>
      </c>
      <c r="DP61" s="111">
        <f t="shared" si="55"/>
        <v>0</v>
      </c>
      <c r="DQ61" s="106"/>
      <c r="DR61" s="106"/>
      <c r="DS61" s="111"/>
      <c r="DT61" s="168"/>
      <c r="DW61" s="111">
        <f t="shared" si="12"/>
        <v>62.971614105481741</v>
      </c>
      <c r="DX61" s="111">
        <f t="shared" si="12"/>
        <v>62.971614105481741</v>
      </c>
      <c r="DY61" s="111">
        <f t="shared" si="12"/>
        <v>62.971614105481741</v>
      </c>
      <c r="DZ61" s="111">
        <f t="shared" si="12"/>
        <v>62.971614105481741</v>
      </c>
      <c r="EP61" t="s">
        <v>151</v>
      </c>
      <c r="EQ61">
        <v>0</v>
      </c>
      <c r="ER61" s="111">
        <f t="shared" si="13"/>
        <v>49.535754000000004</v>
      </c>
      <c r="ES61" s="111">
        <f>IF($BI$8=2015,VLOOKUP($L61,'[12]IMAGE CDLINKS CurPol'!$P$3:$Y$29,10,FALSE)*$AM61,VLOOKUP($L61,'[12]IMAGE CDLINKS CurPol'!$Z$3:$AI$29,10,FALSE)*$AP61)</f>
        <v>93.819627916136952</v>
      </c>
      <c r="ET61" s="111">
        <f t="shared" si="14"/>
        <v>93.819627916136952</v>
      </c>
      <c r="EU61" s="111">
        <f t="shared" si="19"/>
        <v>26.030282721008451</v>
      </c>
      <c r="EV61" s="111">
        <f>IF($BI$8=2015,VLOOKUP($L61,'[12]IMAGE CDLINKS 2C'!$P$3:$Y$29,10,FALSE)*$AM61,VLOOKUP($L61,'[12]IMAGE CDLINKS 2C'!$Z$3:$AI$29,10,FALSE)*$AP61)</f>
        <v>26.030282721008451</v>
      </c>
      <c r="EY61" s="111">
        <f t="shared" si="20"/>
        <v>5.2940493903006214</v>
      </c>
      <c r="EZ61" s="111">
        <f>IF($BI$8=2015,VLOOKUP($L61,'[12]IMAGE CDLINKS 1_5C'!$P$3:$Y$29,10,FALSE)*$AM61,VLOOKUP($L61,'[12]IMAGE CDLINKS 1_5C'!$Z$3:$AI$29,10,FALSE)*$AP61)</f>
        <v>5.2940493903006214</v>
      </c>
      <c r="FA61" s="192"/>
    </row>
    <row r="62" spans="1:157" x14ac:dyDescent="0.25">
      <c r="A62" t="str">
        <f>IF([12]NDCs!C64="","",[12]NDCs!C64)</f>
        <v>A</v>
      </c>
      <c r="B62" s="159" t="str">
        <f t="shared" si="0"/>
        <v>v</v>
      </c>
      <c r="C62">
        <v>0</v>
      </c>
      <c r="D62">
        <v>1</v>
      </c>
      <c r="E62">
        <v>0</v>
      </c>
      <c r="F62">
        <v>1</v>
      </c>
      <c r="G62" t="b">
        <f t="shared" si="1"/>
        <v>1</v>
      </c>
      <c r="H62" t="s">
        <v>2335</v>
      </c>
      <c r="I62" t="s">
        <v>153</v>
      </c>
      <c r="J62">
        <v>196</v>
      </c>
      <c r="K62">
        <v>50</v>
      </c>
      <c r="L62">
        <v>12</v>
      </c>
      <c r="M62" t="str">
        <f>IF([12]NDCs!AL64="Excluding","excl","incl")</f>
        <v>incl</v>
      </c>
      <c r="N62" s="160">
        <f>[12]GHG_hist!BA52+IF($M62="incl",[12]LULUCF_hist!CR52,0)</f>
        <v>5.3856638973532629</v>
      </c>
      <c r="O62" s="111">
        <f>[12]GHG_hist!BB52+IF($M62="incl",[12]LULUCF_hist!CS52,0)</f>
        <v>5.8772274757293017</v>
      </c>
      <c r="P62" s="111">
        <f>[12]GHG_hist!BC52+IF($M62="incl",[12]LULUCF_hist!CT52,0)</f>
        <v>6.3117092707875351</v>
      </c>
      <c r="Q62" s="111">
        <f>[12]GHG_hist!BD52+IF($M62="incl",[12]LULUCF_hist!CU52,0)</f>
        <v>6.595750763116345</v>
      </c>
      <c r="R62" s="111">
        <f>[12]GHG_hist!BE52+IF($M62="incl",[12]LULUCF_hist!CV52,0)</f>
        <v>6.8444497318203563</v>
      </c>
      <c r="S62" s="111">
        <f>[12]GHG_hist!BF52+IF($M62="incl",[12]LULUCF_hist!CW52,0)</f>
        <v>6.7612789593326728</v>
      </c>
      <c r="T62" s="111">
        <f>[12]GHG_hist!BG52+IF($M62="incl",[12]LULUCF_hist!CX52,0)</f>
        <v>7.1277241941202707</v>
      </c>
      <c r="U62" s="111">
        <f>[12]GHG_hist!BH52+IF($M62="incl",[12]LULUCF_hist!CY52,0)</f>
        <v>7.2231236251116586</v>
      </c>
      <c r="V62" s="111">
        <f>[12]GHG_hist!BI52+IF($M62="incl",[12]LULUCF_hist!CZ52,0)</f>
        <v>7.5367006504298297</v>
      </c>
      <c r="W62" s="111">
        <f>[12]GHG_hist!BJ52+IF($M62="incl",[12]LULUCF_hist!DA52,0)</f>
        <v>7.8072608393967435</v>
      </c>
      <c r="X62" s="111">
        <f>[12]GHG_hist!BK52+IF($M62="incl",[12]LULUCF_hist!DB52,0)</f>
        <v>8.1371570596802627</v>
      </c>
      <c r="Y62" s="111">
        <f>[12]GHG_hist!BL52+IF($M62="incl",[12]LULUCF_hist!DC52,0)</f>
        <v>8.0505656152385843</v>
      </c>
      <c r="Z62" s="111">
        <f>[12]GHG_hist!BM52+IF($M62="incl",[12]LULUCF_hist!DD52,0)</f>
        <v>8.2498676453429418</v>
      </c>
      <c r="AA62" s="111">
        <f>[12]GHG_hist!BN52+IF($M62="incl",[12]LULUCF_hist!DE52,0)</f>
        <v>8.6347752715693034</v>
      </c>
      <c r="AB62" s="111">
        <f>[12]GHG_hist!BO52+IF($M62="incl",[12]LULUCF_hist!DF52,0)</f>
        <v>8.8348042111003942</v>
      </c>
      <c r="AC62" s="111">
        <f>[12]GHG_hist!BP52+IF($M62="incl",[12]LULUCF_hist!DG52,0)</f>
        <v>8.9738065104097018</v>
      </c>
      <c r="AD62" s="111">
        <f>[12]GHG_hist!BQ52+IF($M62="incl",[12]LULUCF_hist!DH52,0)</f>
        <v>9.2197189285057064</v>
      </c>
      <c r="AE62" s="111">
        <f>[12]GHG_hist!BR52+IF($M62="incl",[12]LULUCF_hist!DI52,0)</f>
        <v>9.5936249178862436</v>
      </c>
      <c r="AF62" s="111">
        <f>[12]GHG_hist!BS52+IF($M62="incl",[12]LULUCF_hist!DJ52,0)</f>
        <v>9.748189195340899</v>
      </c>
      <c r="AG62" s="111">
        <f>[12]GHG_hist!BT52+IF($M62="incl",[12]LULUCF_hist!DK52,0)</f>
        <v>9.4816716385163655</v>
      </c>
      <c r="AH62" s="111">
        <f>[12]GHG_hist!BU52+IF($M62="incl",[12]LULUCF_hist!DL52,0)</f>
        <v>9.1595734866440139</v>
      </c>
      <c r="AI62" s="111">
        <f>[12]GHG_hist!BV52+IF($M62="incl",[12]LULUCF_hist!DM52,0)</f>
        <v>8.8252289341316015</v>
      </c>
      <c r="AJ62" s="111">
        <f>[12]GHG_hist!BW52+IF($M62="incl",[12]LULUCF_hist!DN52,0)</f>
        <v>8.2948204852549985</v>
      </c>
      <c r="AK62" s="111">
        <f>[12]GHG_hist!BX52+IF($M62="incl",[12]LULUCF_hist!DO52,0)</f>
        <v>7.5815372719413245</v>
      </c>
      <c r="AL62" s="111">
        <f>[12]GHG_hist!BY52+IF($M62="incl",[12]LULUCF_hist!DP52,0)</f>
        <v>7.9552628021118581</v>
      </c>
      <c r="AM62" s="111">
        <f>[12]GHG_hist!BZ52+IF($M62="incl",[12]LULUCF_hist!DQ52,0)</f>
        <v>8.008285106743239</v>
      </c>
      <c r="AN62" s="111">
        <f>[12]GHG_hist!CA52+IF($M62="incl",[12]LULUCF_hist!DR52,0)</f>
        <v>8.560814752583056</v>
      </c>
      <c r="AO62" s="111">
        <f>[12]GHG_hist!CB52+IF($M62="incl",[12]LULUCF_hist!DS52,0)</f>
        <v>8.6209331967507286</v>
      </c>
      <c r="AP62" s="111">
        <f>[12]GHG_hist!CC52+IF($M62="incl",[12]LULUCF_hist!DT52,0)</f>
        <v>8.4807688925500901</v>
      </c>
      <c r="AQ62" s="111">
        <f>[12]GHG_hist!CD52+IF($M62="incl",[12]LULUCF_hist!DU52,0)</f>
        <v>8.551273269986563</v>
      </c>
      <c r="AR62" s="111">
        <f>[12]GHG_hist!CE52+IF($M62="incl",[12]LULUCF_hist!DV52,0)</f>
        <v>8.1572245414005788</v>
      </c>
      <c r="AS62" s="111">
        <f>[12]GHG_hist!CF52+IF($M62="incl",[12]LULUCF_hist!DW52,0)</f>
        <v>8.3872118558293938</v>
      </c>
      <c r="AT62" s="161">
        <f>VLOOKUP($L62,'[12]IMAGE SSP2'!$AF$3:$AK$29,4,FALSE)*$AM62</f>
        <v>8.3321346332668309</v>
      </c>
      <c r="AU62" s="162">
        <f>VLOOKUP($L62,'[12]IMAGE SSP2'!$AF$3:$AK$29,5,FALSE)*$AM62</f>
        <v>8.5099105039629439</v>
      </c>
      <c r="AV62" s="163">
        <f>VLOOKUP($L62,'[12]IMAGE SSP2'!$AF$3:$AK$29,6,FALSE)*$AM62</f>
        <v>8.7374044727994704</v>
      </c>
      <c r="AW62" s="111" t="str">
        <f t="shared" si="15"/>
        <v/>
      </c>
      <c r="AX62" s="164" t="str">
        <f>IF(A62="B",IF(M62="excl",[12]NatCom!CO52,[12]NatCom!AX52),"")</f>
        <v/>
      </c>
      <c r="AY62" s="111" t="str">
        <f>IF('[12]Pledge 2020'!E52="","",'[12]Pledge 2020'!E52)</f>
        <v/>
      </c>
      <c r="AZ62" s="164" t="str">
        <f>IF('[12]Pledge 2020'!F52="","",'[12]Pledge 2020'!F52)</f>
        <v/>
      </c>
      <c r="BA62" s="111" t="str">
        <f t="shared" si="51"/>
        <v/>
      </c>
      <c r="BB62" s="111"/>
      <c r="BC62" s="111" t="str">
        <f t="shared" si="52"/>
        <v/>
      </c>
      <c r="BD62" s="111"/>
      <c r="BE62" s="111" t="s">
        <v>2477</v>
      </c>
      <c r="BF62" s="111"/>
      <c r="BG62" s="111" t="s">
        <v>2477</v>
      </c>
      <c r="BH62" s="164"/>
      <c r="BI62" s="111" t="str">
        <f>IF([12]NDCs!V64="",IF([12]NDCs!X64="","",[12]NDCs!X64),[12]NDCs!V64)</f>
        <v/>
      </c>
      <c r="BJ62" s="111" t="str">
        <f>IF([12]NDCs!V64="",IF([12]NDCs!X64="","",[12]NDCs!X64),[12]NDCs!V64)</f>
        <v/>
      </c>
      <c r="BK62" s="111" t="str">
        <f>IF([12]NDCs!Z64="",IF([12]NDCs!AB64="",IF('input site'!BE62="","",'input site'!BE62),[12]NDCs!AB64),[12]NDCs!Z64)</f>
        <v/>
      </c>
      <c r="BL62" s="111" t="str">
        <f>IF([12]NDCs!AA64="",IF([12]NDCs!AC64="",IF('input site'!BF62="","",'input site'!BF62),[12]NDCs!AC64),[12]NDCs!AA64)</f>
        <v/>
      </c>
      <c r="BM62" s="111">
        <f>IF($BI$8=2015,VLOOKUP($L62,'[12]IMAGE CurPol SSP'!$AZ$3:$BD$29,4,FALSE)*$AM62,IF($BI$8=2018,VLOOKUP($L62,'[12]IMAGE CurPol SSP'!$BJ$3:$BN$29,4,FALSE)*$AP62,$AR62))</f>
        <v>8.1572245414005788</v>
      </c>
      <c r="BN62" s="111">
        <f t="shared" si="53"/>
        <v>8.1572245414005788</v>
      </c>
      <c r="BO62" s="111">
        <f t="shared" si="53"/>
        <v>8.1572245414005788</v>
      </c>
      <c r="BP62" s="111">
        <f>IF($BI$8=2015,VLOOKUP($L62,'[12]IMAGE CurPol SSP'!$AZ$3:$BD$29,5,FALSE)*$AM62,IF($BI$8=2018,VLOOKUP($L62,'[12]IMAGE CurPol SSP'!$BJ$3:$BN$29,5,FALSE)*$AP62,VLOOKUP($L62,'[12]IMAGE CurPol SSP'!$BU$3:$BZ$29,5,FALSE)*$AS62))</f>
        <v>6.670256771711534</v>
      </c>
      <c r="BQ62" s="111">
        <f>IF($BI$8=2015,"",IF($BI$8=2018,"",VLOOKUP($L62,'[12]IMAGE CurPol SSP'!$CQ$3:$CV$29,5,FALSE)*$AS62))</f>
        <v>6.670256771711534</v>
      </c>
      <c r="BR62" s="111">
        <f>IF($BI$8=2015,"",IF($BI$8=2018,"",VLOOKUP($L62,'[12]IMAGE CurPol SSP'!$CF$3:$CK$29,5,FALSE)*$AS62))</f>
        <v>6.8835033992723034</v>
      </c>
      <c r="BS62" s="111">
        <f>IF($BI$8=2015,VLOOKUP($L62,'[12]IMAGE CurPol SSP'!$AZ$3:$BE$29,6,FALSE)*$AM62,IF($BI$8=2018,VLOOKUP($L62,'[12]IMAGE CurPol SSP'!$BJ$3:$BO$29,6,FALSE)*$AP62,VLOOKUP($L62,'[12]IMAGE CurPol SSP'!$BU$3:$BZ$29,6,FALSE)*$AS62))</f>
        <v>4.2975502941882393</v>
      </c>
      <c r="BT62" s="111">
        <f>IF($BI$8=2015,"",IF($BI$8=2018,"",VLOOKUP($L62,'[12]IMAGE CurPol SSP'!$CQ$3:$CV$29,6,FALSE)*$AS62))</f>
        <v>4.2975502941882393</v>
      </c>
      <c r="BU62" s="164">
        <f>IF($BI$8=2015,"",IF($BI$8=2018,"",VLOOKUP($L62,'[12]IMAGE CurPol SSP'!$CF$3:$CK$29,6,FALSE)*$AS62))</f>
        <v>4.5147113402720578</v>
      </c>
      <c r="CN62" t="s">
        <v>153</v>
      </c>
      <c r="CO62" s="165" t="str">
        <f t="shared" si="2"/>
        <v/>
      </c>
      <c r="CP62" s="165" t="str">
        <f t="shared" si="2"/>
        <v/>
      </c>
      <c r="CQ62" s="165" t="str">
        <f t="shared" si="2"/>
        <v/>
      </c>
      <c r="CR62" s="165" t="str">
        <f t="shared" si="2"/>
        <v/>
      </c>
      <c r="CV62" s="125" t="s">
        <v>621</v>
      </c>
      <c r="CW62" s="125" t="s">
        <v>621</v>
      </c>
      <c r="CX62"/>
      <c r="CY62" s="167">
        <f t="shared" si="3"/>
        <v>0.17491009186625206</v>
      </c>
      <c r="DB62" s="106"/>
      <c r="DC62" s="106"/>
      <c r="DD62" s="106"/>
      <c r="DE62" s="106"/>
      <c r="DF62" s="106"/>
      <c r="DG62" s="105" t="str">
        <f t="shared" si="4"/>
        <v>incl</v>
      </c>
      <c r="DH62" t="s">
        <v>153</v>
      </c>
      <c r="DI62" s="111">
        <f t="shared" si="45"/>
        <v>0</v>
      </c>
      <c r="DJ62" s="111">
        <f t="shared" si="45"/>
        <v>0</v>
      </c>
      <c r="DK62" s="111">
        <f t="shared" si="47"/>
        <v>0</v>
      </c>
      <c r="DL62" s="111">
        <f t="shared" si="48"/>
        <v>0</v>
      </c>
      <c r="DM62" s="111">
        <f t="shared" si="49"/>
        <v>0</v>
      </c>
      <c r="DN62" s="111">
        <f t="shared" si="50"/>
        <v>0</v>
      </c>
      <c r="DO62" s="111">
        <f t="shared" si="54"/>
        <v>0</v>
      </c>
      <c r="DP62" s="111">
        <f t="shared" si="55"/>
        <v>0</v>
      </c>
      <c r="DQ62" s="106"/>
      <c r="DR62" s="106"/>
      <c r="DS62" s="111"/>
      <c r="DT62" s="168"/>
      <c r="DW62" s="111">
        <f t="shared" si="12"/>
        <v>4.2975502941882393</v>
      </c>
      <c r="DX62" s="111">
        <f t="shared" si="12"/>
        <v>4.2975502941882393</v>
      </c>
      <c r="DY62" s="111">
        <f t="shared" si="12"/>
        <v>4.2975502941882393</v>
      </c>
      <c r="DZ62" s="111">
        <f t="shared" si="12"/>
        <v>4.2975502941882393</v>
      </c>
      <c r="EP62" t="s">
        <v>153</v>
      </c>
      <c r="ER62" s="111">
        <f t="shared" si="13"/>
        <v>8.4807688925500901</v>
      </c>
      <c r="ES62" s="111">
        <f>IF($BI$8=2015,VLOOKUP($L62,'[12]IMAGE CDLINKS CurPol'!$P$3:$Y$29,10,FALSE)*$AM62,VLOOKUP($L62,'[12]IMAGE CDLINKS CurPol'!$Z$3:$AI$29,10,FALSE)*$AP62)</f>
        <v>8.9155176955596609</v>
      </c>
      <c r="ET62" s="111">
        <f t="shared" si="14"/>
        <v>8.9155176955596609</v>
      </c>
      <c r="EU62" s="111">
        <f t="shared" si="19"/>
        <v>1.9302900462610979</v>
      </c>
      <c r="EV62" s="111">
        <f>IF($BI$8=2015,VLOOKUP($L62,'[12]IMAGE CDLINKS 2C'!$P$3:$Y$29,10,FALSE)*$AM62,VLOOKUP($L62,'[12]IMAGE CDLINKS 2C'!$Z$3:$AI$29,10,FALSE)*$AP62)</f>
        <v>1.9302900462610979</v>
      </c>
      <c r="EY62" s="111">
        <f t="shared" si="20"/>
        <v>0.94168107154889202</v>
      </c>
      <c r="EZ62" s="111">
        <f>IF($BI$8=2015,VLOOKUP($L62,'[12]IMAGE CDLINKS 1_5C'!$P$3:$Y$29,10,FALSE)*$AM62,VLOOKUP($L62,'[12]IMAGE CDLINKS 1_5C'!$Z$3:$AI$29,10,FALSE)*$AP62)</f>
        <v>0.94168107154889202</v>
      </c>
      <c r="FA62" s="192" t="s">
        <v>2338</v>
      </c>
    </row>
    <row r="63" spans="1:157" x14ac:dyDescent="0.25">
      <c r="A63" t="str">
        <f>IF([12]NDCs!C65="","",[12]NDCs!C65)</f>
        <v>A</v>
      </c>
      <c r="B63" s="159" t="str">
        <f t="shared" si="0"/>
        <v>v</v>
      </c>
      <c r="C63">
        <v>0</v>
      </c>
      <c r="D63">
        <v>1</v>
      </c>
      <c r="E63">
        <v>0</v>
      </c>
      <c r="F63">
        <v>1</v>
      </c>
      <c r="G63" t="b">
        <f t="shared" si="1"/>
        <v>1</v>
      </c>
      <c r="H63" t="s">
        <v>2335</v>
      </c>
      <c r="I63" t="s">
        <v>155</v>
      </c>
      <c r="J63">
        <v>203</v>
      </c>
      <c r="K63">
        <v>51</v>
      </c>
      <c r="L63">
        <v>12</v>
      </c>
      <c r="M63" t="str">
        <f>IF([12]NDCs!AL65="Excluding","excl","incl")</f>
        <v>incl</v>
      </c>
      <c r="N63" s="160">
        <f>[12]GHG_hist!BA53+IF($M63="incl",[12]LULUCF_hist!CR53,0)</f>
        <v>188.26173761105244</v>
      </c>
      <c r="O63" s="111">
        <f>[12]GHG_hist!BB53+IF($M63="incl",[12]LULUCF_hist!CS53,0)</f>
        <v>169.00023318282987</v>
      </c>
      <c r="P63" s="111">
        <f>[12]GHG_hist!BC53+IF($M63="incl",[12]LULUCF_hist!CT53,0)</f>
        <v>163.16394596968649</v>
      </c>
      <c r="Q63" s="111">
        <f>[12]GHG_hist!BD53+IF($M63="incl",[12]LULUCF_hist!CU53,0)</f>
        <v>155.82114682222232</v>
      </c>
      <c r="R63" s="111">
        <f>[12]GHG_hist!BE53+IF($M63="incl",[12]LULUCF_hist!CV53,0)</f>
        <v>148.35817876730869</v>
      </c>
      <c r="S63" s="111">
        <f>[12]GHG_hist!BF53+IF($M63="incl",[12]LULUCF_hist!CW53,0)</f>
        <v>147.10681774910546</v>
      </c>
      <c r="T63" s="111">
        <f>[12]GHG_hist!BG53+IF($M63="incl",[12]LULUCF_hist!CX53,0)</f>
        <v>150.69695779497957</v>
      </c>
      <c r="U63" s="111">
        <f>[12]GHG_hist!BH53+IF($M63="incl",[12]LULUCF_hist!CY53,0)</f>
        <v>147.21669808085011</v>
      </c>
      <c r="V63" s="111">
        <f>[12]GHG_hist!BI53+IF($M63="incl",[12]LULUCF_hist!CZ53,0)</f>
        <v>141.45765931430088</v>
      </c>
      <c r="W63" s="111">
        <f>[12]GHG_hist!BJ53+IF($M63="incl",[12]LULUCF_hist!DA53,0)</f>
        <v>131.34320989904469</v>
      </c>
      <c r="X63" s="111">
        <f>[12]GHG_hist!BK53+IF($M63="incl",[12]LULUCF_hist!DB53,0)</f>
        <v>140.81643241539763</v>
      </c>
      <c r="Y63" s="111">
        <f>[12]GHG_hist!BL53+IF($M63="incl",[12]LULUCF_hist!DC53,0)</f>
        <v>140.5544994887635</v>
      </c>
      <c r="Z63" s="111">
        <f>[12]GHG_hist!BM53+IF($M63="incl",[12]LULUCF_hist!DD53,0)</f>
        <v>136.98900406655167</v>
      </c>
      <c r="AA63" s="111">
        <f>[12]GHG_hist!BN53+IF($M63="incl",[12]LULUCF_hist!DE53,0)</f>
        <v>140.75808418762554</v>
      </c>
      <c r="AB63" s="111">
        <f>[12]GHG_hist!BO53+IF($M63="incl",[12]LULUCF_hist!DF53,0)</f>
        <v>141.93027219453325</v>
      </c>
      <c r="AC63" s="111">
        <f>[12]GHG_hist!BP53+IF($M63="incl",[12]LULUCF_hist!DG53,0)</f>
        <v>139.65695940455976</v>
      </c>
      <c r="AD63" s="111">
        <f>[12]GHG_hist!BQ53+IF($M63="incl",[12]LULUCF_hist!DH53,0)</f>
        <v>142.05014199691766</v>
      </c>
      <c r="AE63" s="111">
        <f>[12]GHG_hist!BR53+IF($M63="incl",[12]LULUCF_hist!DI53,0)</f>
        <v>144.37279093340268</v>
      </c>
      <c r="AF63" s="111">
        <f>[12]GHG_hist!BS53+IF($M63="incl",[12]LULUCF_hist!DJ53,0)</f>
        <v>137.9965190599209</v>
      </c>
      <c r="AG63" s="111">
        <f>[12]GHG_hist!BT53+IF($M63="incl",[12]LULUCF_hist!DK53,0)</f>
        <v>128.55810399414051</v>
      </c>
      <c r="AH63" s="111">
        <f>[12]GHG_hist!BU53+IF($M63="incl",[12]LULUCF_hist!DL53,0)</f>
        <v>132.04749070219904</v>
      </c>
      <c r="AI63" s="111">
        <f>[12]GHG_hist!BV53+IF($M63="incl",[12]LULUCF_hist!DM53,0)</f>
        <v>130.17285665254599</v>
      </c>
      <c r="AJ63" s="111">
        <f>[12]GHG_hist!BW53+IF($M63="incl",[12]LULUCF_hist!DN53,0)</f>
        <v>126.04281809308685</v>
      </c>
      <c r="AK63" s="111">
        <f>[12]GHG_hist!BX53+IF($M63="incl",[12]LULUCF_hist!DO53,0)</f>
        <v>121.35364716939475</v>
      </c>
      <c r="AL63" s="111">
        <f>[12]GHG_hist!BY53+IF($M63="incl",[12]LULUCF_hist!DP53,0)</f>
        <v>119.26102059169996</v>
      </c>
      <c r="AM63" s="111">
        <f>[12]GHG_hist!BZ53+IF($M63="incl",[12]LULUCF_hist!DQ53,0)</f>
        <v>120.81497072311282</v>
      </c>
      <c r="AN63" s="111">
        <f>[12]GHG_hist!CA53+IF($M63="incl",[12]LULUCF_hist!DR53,0)</f>
        <v>123.35647919375791</v>
      </c>
      <c r="AO63" s="111">
        <f>[12]GHG_hist!CB53+IF($M63="incl",[12]LULUCF_hist!DS53,0)</f>
        <v>125.82822398300877</v>
      </c>
      <c r="AP63" s="111">
        <f>[12]GHG_hist!CC53+IF($M63="incl",[12]LULUCF_hist!DT53,0)</f>
        <v>129.54081766435641</v>
      </c>
      <c r="AQ63" s="111">
        <f>[12]GHG_hist!CD53+IF($M63="incl",[12]LULUCF_hist!DU53,0)</f>
        <v>130.62504334744165</v>
      </c>
      <c r="AR63" s="111">
        <f>[12]GHG_hist!CE53+IF($M63="incl",[12]LULUCF_hist!DV53,0)</f>
        <v>123.7754174313886</v>
      </c>
      <c r="AS63" s="111">
        <f>[12]GHG_hist!CF53+IF($M63="incl",[12]LULUCF_hist!DW53,0)</f>
        <v>126.1911422025979</v>
      </c>
      <c r="AT63" s="161">
        <f>VLOOKUP($L63,'[12]IMAGE SSP2'!$AF$3:$AK$29,4,FALSE)*$AM63</f>
        <v>125.70064481489763</v>
      </c>
      <c r="AU63" s="162">
        <f>VLOOKUP($L63,'[12]IMAGE SSP2'!$AF$3:$AK$29,5,FALSE)*$AM63</f>
        <v>128.38261558980693</v>
      </c>
      <c r="AV63" s="163">
        <f>VLOOKUP($L63,'[12]IMAGE SSP2'!$AF$3:$AK$29,6,FALSE)*$AM63</f>
        <v>131.81464589571183</v>
      </c>
      <c r="AW63" s="111" t="str">
        <f t="shared" si="15"/>
        <v/>
      </c>
      <c r="AX63" s="164" t="str">
        <f>IF(A63="B",IF(M63="excl",[12]NatCom!CO53,[12]NatCom!AX53),"")</f>
        <v/>
      </c>
      <c r="AY63" s="111" t="str">
        <f>IF('[12]Pledge 2020'!E53="","",'[12]Pledge 2020'!E53)</f>
        <v/>
      </c>
      <c r="AZ63" s="164" t="str">
        <f>IF('[12]Pledge 2020'!F53="","",'[12]Pledge 2020'!F53)</f>
        <v/>
      </c>
      <c r="BA63" s="111" t="str">
        <f t="shared" si="51"/>
        <v/>
      </c>
      <c r="BB63" s="111"/>
      <c r="BC63" s="111" t="str">
        <f t="shared" si="52"/>
        <v/>
      </c>
      <c r="BD63" s="111"/>
      <c r="BE63" s="111" t="s">
        <v>2477</v>
      </c>
      <c r="BF63" s="111"/>
      <c r="BG63" s="111" t="s">
        <v>2477</v>
      </c>
      <c r="BH63" s="164"/>
      <c r="BI63" s="111" t="str">
        <f>IF([12]NDCs!V65="",IF([12]NDCs!X65="","",[12]NDCs!X65),[12]NDCs!V65)</f>
        <v/>
      </c>
      <c r="BJ63" s="111" t="str">
        <f>IF([12]NDCs!V65="",IF([12]NDCs!X65="","",[12]NDCs!X65),[12]NDCs!V65)</f>
        <v/>
      </c>
      <c r="BK63" s="111" t="str">
        <f>IF([12]NDCs!Z65="",IF([12]NDCs!AB65="",IF('input site'!BE63="","",'input site'!BE63),[12]NDCs!AB65),[12]NDCs!Z65)</f>
        <v/>
      </c>
      <c r="BL63" s="111" t="str">
        <f>IF([12]NDCs!AA65="",IF([12]NDCs!AC65="",IF('input site'!BF63="","",'input site'!BF63),[12]NDCs!AC65),[12]NDCs!AA65)</f>
        <v/>
      </c>
      <c r="BM63" s="111">
        <f>IF($BI$8=2015,VLOOKUP($L63,'[12]IMAGE CurPol SSP'!$AZ$3:$BD$29,4,FALSE)*$AM63,IF($BI$8=2018,VLOOKUP($L63,'[12]IMAGE CurPol SSP'!$BJ$3:$BN$29,4,FALSE)*$AP63,$AR63))</f>
        <v>123.7754174313886</v>
      </c>
      <c r="BN63" s="111">
        <f t="shared" si="53"/>
        <v>123.7754174313886</v>
      </c>
      <c r="BO63" s="111">
        <f t="shared" si="53"/>
        <v>123.7754174313886</v>
      </c>
      <c r="BP63" s="111">
        <f>IF($BI$8=2015,VLOOKUP($L63,'[12]IMAGE CurPol SSP'!$AZ$3:$BD$29,5,FALSE)*$AM63,IF($BI$8=2018,VLOOKUP($L63,'[12]IMAGE CurPol SSP'!$BJ$3:$BN$29,5,FALSE)*$AP63,VLOOKUP($L63,'[12]IMAGE CurPol SSP'!$BU$3:$BZ$29,5,FALSE)*$AS63))</f>
        <v>100.35841889720039</v>
      </c>
      <c r="BQ63" s="111">
        <f>IF($BI$8=2015,"",IF($BI$8=2018,"",VLOOKUP($L63,'[12]IMAGE CurPol SSP'!$CQ$3:$CV$29,5,FALSE)*$AS63))</f>
        <v>100.35841889720039</v>
      </c>
      <c r="BR63" s="111">
        <f>IF($BI$8=2015,"",IF($BI$8=2018,"",VLOOKUP($L63,'[12]IMAGE CurPol SSP'!$CF$3:$CK$29,5,FALSE)*$AS63))</f>
        <v>103.56685526023828</v>
      </c>
      <c r="BS63" s="111">
        <f>IF($BI$8=2015,VLOOKUP($L63,'[12]IMAGE CurPol SSP'!$AZ$3:$BE$29,6,FALSE)*$AM63,IF($BI$8=2018,VLOOKUP($L63,'[12]IMAGE CurPol SSP'!$BJ$3:$BO$29,6,FALSE)*$AP63,VLOOKUP($L63,'[12]IMAGE CurPol SSP'!$BU$3:$BZ$29,6,FALSE)*$AS63))</f>
        <v>64.659482748107635</v>
      </c>
      <c r="BT63" s="111">
        <f>IF($BI$8=2015,"",IF($BI$8=2018,"",VLOOKUP($L63,'[12]IMAGE CurPol SSP'!$CQ$3:$CV$29,6,FALSE)*$AS63))</f>
        <v>64.659482748107635</v>
      </c>
      <c r="BU63" s="164">
        <f>IF($BI$8=2015,"",IF($BI$8=2018,"",VLOOKUP($L63,'[12]IMAGE CurPol SSP'!$CF$3:$CK$29,6,FALSE)*$AS63))</f>
        <v>67.926814123334736</v>
      </c>
      <c r="CN63" t="s">
        <v>155</v>
      </c>
      <c r="CO63" s="165" t="str">
        <f t="shared" si="2"/>
        <v/>
      </c>
      <c r="CP63" s="165" t="str">
        <f t="shared" si="2"/>
        <v/>
      </c>
      <c r="CQ63" s="165" t="str">
        <f t="shared" si="2"/>
        <v/>
      </c>
      <c r="CR63" s="165" t="str">
        <f t="shared" si="2"/>
        <v/>
      </c>
      <c r="CV63" s="125" t="s">
        <v>621</v>
      </c>
      <c r="CW63" s="125" t="s">
        <v>621</v>
      </c>
      <c r="CX63"/>
      <c r="CY63" s="167">
        <f t="shared" si="3"/>
        <v>1.925227383509025</v>
      </c>
      <c r="DB63" s="106"/>
      <c r="DC63" s="106"/>
      <c r="DD63" s="106"/>
      <c r="DE63" s="106"/>
      <c r="DF63" s="106"/>
      <c r="DG63" s="105" t="str">
        <f t="shared" si="4"/>
        <v>incl</v>
      </c>
      <c r="DH63" t="s">
        <v>155</v>
      </c>
      <c r="DI63" s="111">
        <f t="shared" si="45"/>
        <v>0</v>
      </c>
      <c r="DJ63" s="111">
        <f t="shared" si="45"/>
        <v>0</v>
      </c>
      <c r="DK63" s="111">
        <f t="shared" si="47"/>
        <v>0</v>
      </c>
      <c r="DL63" s="111">
        <f t="shared" si="48"/>
        <v>0</v>
      </c>
      <c r="DM63" s="111">
        <f t="shared" si="49"/>
        <v>0</v>
      </c>
      <c r="DN63" s="111">
        <f t="shared" si="50"/>
        <v>0</v>
      </c>
      <c r="DO63" s="111">
        <f t="shared" si="54"/>
        <v>0</v>
      </c>
      <c r="DP63" s="111">
        <f t="shared" si="55"/>
        <v>0</v>
      </c>
      <c r="DQ63" s="106"/>
      <c r="DR63" s="106"/>
      <c r="DS63" s="111"/>
      <c r="DT63" s="168"/>
      <c r="DW63" s="111">
        <f t="shared" si="12"/>
        <v>64.659482748107635</v>
      </c>
      <c r="DX63" s="111">
        <f t="shared" si="12"/>
        <v>64.659482748107635</v>
      </c>
      <c r="DY63" s="111">
        <f t="shared" si="12"/>
        <v>64.659482748107635</v>
      </c>
      <c r="DZ63" s="111">
        <f t="shared" si="12"/>
        <v>64.659482748107635</v>
      </c>
      <c r="EP63" t="s">
        <v>155</v>
      </c>
      <c r="ER63" s="111">
        <f t="shared" si="13"/>
        <v>129.54081766435641</v>
      </c>
      <c r="ES63" s="111">
        <f>IF($BI$8=2015,VLOOKUP($L63,'[12]IMAGE CDLINKS CurPol'!$P$3:$Y$29,10,FALSE)*$AM63,VLOOKUP($L63,'[12]IMAGE CDLINKS CurPol'!$Z$3:$AI$29,10,FALSE)*$AP63)</f>
        <v>136.18145557513972</v>
      </c>
      <c r="ET63" s="111">
        <f t="shared" si="14"/>
        <v>136.18145557513972</v>
      </c>
      <c r="EU63" s="111">
        <f t="shared" si="19"/>
        <v>29.484514209753783</v>
      </c>
      <c r="EV63" s="111">
        <f>IF($BI$8=2015,VLOOKUP($L63,'[12]IMAGE CDLINKS 2C'!$P$3:$Y$29,10,FALSE)*$AM63,VLOOKUP($L63,'[12]IMAGE CDLINKS 2C'!$Z$3:$AI$29,10,FALSE)*$AP63)</f>
        <v>29.484514209753783</v>
      </c>
      <c r="EY63" s="111">
        <f t="shared" si="20"/>
        <v>14.383853343138403</v>
      </c>
      <c r="EZ63" s="111">
        <f>IF($BI$8=2015,VLOOKUP($L63,'[12]IMAGE CDLINKS 1_5C'!$P$3:$Y$29,10,FALSE)*$AM63,VLOOKUP($L63,'[12]IMAGE CDLINKS 1_5C'!$Z$3:$AI$29,10,FALSE)*$AP63)</f>
        <v>14.383853343138403</v>
      </c>
      <c r="FA63" s="192" t="s">
        <v>2338</v>
      </c>
    </row>
    <row r="64" spans="1:157" x14ac:dyDescent="0.25">
      <c r="A64" t="str">
        <f>IF([12]NDCs!C66="","",[12]NDCs!C66)</f>
        <v>A</v>
      </c>
      <c r="B64" s="159" t="str">
        <f t="shared" si="0"/>
        <v>v</v>
      </c>
      <c r="C64">
        <v>0</v>
      </c>
      <c r="D64">
        <v>1</v>
      </c>
      <c r="E64">
        <v>0</v>
      </c>
      <c r="F64">
        <v>1</v>
      </c>
      <c r="G64" t="b">
        <f t="shared" si="1"/>
        <v>1</v>
      </c>
      <c r="H64" t="s">
        <v>2335</v>
      </c>
      <c r="I64" t="s">
        <v>157</v>
      </c>
      <c r="J64">
        <v>208</v>
      </c>
      <c r="K64">
        <v>53</v>
      </c>
      <c r="L64">
        <v>11</v>
      </c>
      <c r="M64" t="str">
        <f>IF([12]NDCs!AL66="Excluding","excl","incl")</f>
        <v>incl</v>
      </c>
      <c r="N64" s="160">
        <f>[12]GHG_hist!BA54+IF($M64="incl",[12]LULUCF_hist!CR54,0)</f>
        <v>78.74600428361461</v>
      </c>
      <c r="O64" s="111">
        <f>[12]GHG_hist!BB54+IF($M64="incl",[12]LULUCF_hist!CS54,0)</f>
        <v>88.619353667746822</v>
      </c>
      <c r="P64" s="111">
        <f>[12]GHG_hist!BC54+IF($M64="incl",[12]LULUCF_hist!CT54,0)</f>
        <v>83.587686844818919</v>
      </c>
      <c r="Q64" s="111">
        <f>[12]GHG_hist!BD54+IF($M64="incl",[12]LULUCF_hist!CU54,0)</f>
        <v>84.351264910621438</v>
      </c>
      <c r="R64" s="111">
        <f>[12]GHG_hist!BE54+IF($M64="incl",[12]LULUCF_hist!CV54,0)</f>
        <v>87.838484497252779</v>
      </c>
      <c r="S64" s="111">
        <f>[12]GHG_hist!BF54+IF($M64="incl",[12]LULUCF_hist!CW54,0)</f>
        <v>85.06340830986187</v>
      </c>
      <c r="T64" s="111">
        <f>[12]GHG_hist!BG54+IF($M64="incl",[12]LULUCF_hist!CX54,0)</f>
        <v>97.53660841682057</v>
      </c>
      <c r="U64" s="111">
        <f>[12]GHG_hist!BH54+IF($M64="incl",[12]LULUCF_hist!CY54,0)</f>
        <v>88.490977704478595</v>
      </c>
      <c r="V64" s="111">
        <f>[12]GHG_hist!BI54+IF($M64="incl",[12]LULUCF_hist!CZ54,0)</f>
        <v>84.423363283007959</v>
      </c>
      <c r="W64" s="111">
        <f>[12]GHG_hist!BJ54+IF($M64="incl",[12]LULUCF_hist!DA54,0)</f>
        <v>82.09439324302754</v>
      </c>
      <c r="X64" s="111">
        <f>[12]GHG_hist!BK54+IF($M64="incl",[12]LULUCF_hist!DB54,0)</f>
        <v>77.688248595854347</v>
      </c>
      <c r="Y64" s="111">
        <f>[12]GHG_hist!BL54+IF($M64="incl",[12]LULUCF_hist!DC54,0)</f>
        <v>78.887309608146552</v>
      </c>
      <c r="Z64" s="111">
        <f>[12]GHG_hist!BM54+IF($M64="incl",[12]LULUCF_hist!DD54,0)</f>
        <v>79.372203128222964</v>
      </c>
      <c r="AA64" s="111">
        <f>[12]GHG_hist!BN54+IF($M64="incl",[12]LULUCF_hist!DE54,0)</f>
        <v>84.229182652761978</v>
      </c>
      <c r="AB64" s="111">
        <f>[12]GHG_hist!BO54+IF($M64="incl",[12]LULUCF_hist!DF54,0)</f>
        <v>78.015129505592441</v>
      </c>
      <c r="AC64" s="111">
        <f>[12]GHG_hist!BP54+IF($M64="incl",[12]LULUCF_hist!DG54,0)</f>
        <v>73.635263052383749</v>
      </c>
      <c r="AD64" s="111">
        <f>[12]GHG_hist!BQ54+IF($M64="incl",[12]LULUCF_hist!DH54,0)</f>
        <v>81.554794063242682</v>
      </c>
      <c r="AE64" s="111">
        <f>[12]GHG_hist!BR54+IF($M64="incl",[12]LULUCF_hist!DI54,0)</f>
        <v>77.250060010721768</v>
      </c>
      <c r="AF64" s="111">
        <f>[12]GHG_hist!BS54+IF($M64="incl",[12]LULUCF_hist!DJ54,0)</f>
        <v>72.247268635538603</v>
      </c>
      <c r="AG64" s="111">
        <f>[12]GHG_hist!BT54+IF($M64="incl",[12]LULUCF_hist!DK54,0)</f>
        <v>68.780922389593385</v>
      </c>
      <c r="AH64" s="111">
        <f>[12]GHG_hist!BU54+IF($M64="incl",[12]LULUCF_hist!DL54,0)</f>
        <v>68.128726389728413</v>
      </c>
      <c r="AI64" s="111">
        <f>[12]GHG_hist!BV54+IF($M64="incl",[12]LULUCF_hist!DM54,0)</f>
        <v>62.39073780157824</v>
      </c>
      <c r="AJ64" s="111">
        <f>[12]GHG_hist!BW54+IF($M64="incl",[12]LULUCF_hist!DN54,0)</f>
        <v>57.359682332711166</v>
      </c>
      <c r="AK64" s="111">
        <f>[12]GHG_hist!BX54+IF($M64="incl",[12]LULUCF_hist!DO54,0)</f>
        <v>58.722544332620188</v>
      </c>
      <c r="AL64" s="111">
        <f>[12]GHG_hist!BY54+IF($M64="incl",[12]LULUCF_hist!DP54,0)</f>
        <v>55.277389451991048</v>
      </c>
      <c r="AM64" s="111">
        <f>[12]GHG_hist!BZ54+IF($M64="incl",[12]LULUCF_hist!DQ54,0)</f>
        <v>51.479376939610809</v>
      </c>
      <c r="AN64" s="111">
        <f>[12]GHG_hist!CA54+IF($M64="incl",[12]LULUCF_hist!DR54,0)</f>
        <v>54.64425231020568</v>
      </c>
      <c r="AO64" s="111">
        <f>[12]GHG_hist!CB54+IF($M64="incl",[12]LULUCF_hist!DS54,0)</f>
        <v>52.466267760266547</v>
      </c>
      <c r="AP64" s="111">
        <f>[12]GHG_hist!CC54+IF($M64="incl",[12]LULUCF_hist!DT54,0)</f>
        <v>54.290511081145695</v>
      </c>
      <c r="AQ64" s="111">
        <f>[12]GHG_hist!CD54+IF($M64="incl",[12]LULUCF_hist!DU54,0)</f>
        <v>49.710986567073157</v>
      </c>
      <c r="AR64" s="111">
        <f>[12]GHG_hist!CE54+IF($M64="incl",[12]LULUCF_hist!DV54,0)</f>
        <v>47.395389721197759</v>
      </c>
      <c r="AS64" s="111">
        <f>[12]GHG_hist!CF54+IF($M64="incl",[12]LULUCF_hist!DW54,0)</f>
        <v>47.709399926904858</v>
      </c>
      <c r="AT64" s="161">
        <f>VLOOKUP($L64,'[12]IMAGE SSP2'!$AF$3:$AK$29,4,FALSE)*$AM64</f>
        <v>50.05841486159202</v>
      </c>
      <c r="AU64" s="162">
        <f>VLOOKUP($L64,'[12]IMAGE SSP2'!$AF$3:$AK$29,5,FALSE)*$AM64</f>
        <v>48.401414367148334</v>
      </c>
      <c r="AV64" s="163">
        <f>VLOOKUP($L64,'[12]IMAGE SSP2'!$AF$3:$AK$29,6,FALSE)*$AM64</f>
        <v>48.132102496532632</v>
      </c>
      <c r="AW64" s="111" t="str">
        <f t="shared" si="15"/>
        <v/>
      </c>
      <c r="AX64" s="164" t="str">
        <f>IF(A64="B",IF(M64="excl",[12]NatCom!CO54,[12]NatCom!AX54),"")</f>
        <v/>
      </c>
      <c r="AY64" s="111" t="str">
        <f>IF('[12]Pledge 2020'!E54="","",'[12]Pledge 2020'!E54)</f>
        <v/>
      </c>
      <c r="AZ64" s="164" t="str">
        <f>IF('[12]Pledge 2020'!F54="","",'[12]Pledge 2020'!F54)</f>
        <v/>
      </c>
      <c r="BA64" s="111" t="str">
        <f t="shared" si="51"/>
        <v/>
      </c>
      <c r="BB64" s="111"/>
      <c r="BC64" s="111" t="str">
        <f t="shared" si="52"/>
        <v/>
      </c>
      <c r="BD64" s="111"/>
      <c r="BE64" s="111" t="s">
        <v>2477</v>
      </c>
      <c r="BF64" s="111"/>
      <c r="BG64" s="111" t="s">
        <v>2477</v>
      </c>
      <c r="BH64" s="164"/>
      <c r="BI64" s="111" t="str">
        <f>IF([12]NDCs!V66="",IF([12]NDCs!X66="","",[12]NDCs!X66),[12]NDCs!V66)</f>
        <v/>
      </c>
      <c r="BJ64" s="111" t="str">
        <f>IF([12]NDCs!V66="",IF([12]NDCs!X66="","",[12]NDCs!X66),[12]NDCs!V66)</f>
        <v/>
      </c>
      <c r="BK64" s="111" t="str">
        <f>IF([12]NDCs!Z66="",IF([12]NDCs!AB66="",IF('input site'!BE64="","",'input site'!BE64),[12]NDCs!AB66),[12]NDCs!Z66)</f>
        <v/>
      </c>
      <c r="BL64" s="111" t="str">
        <f>IF([12]NDCs!AA66="",IF([12]NDCs!AC66="",IF('input site'!BF64="","",'input site'!BF64),[12]NDCs!AC66),[12]NDCs!AA66)</f>
        <v/>
      </c>
      <c r="BM64" s="111">
        <f>IF($BI$8=2015,VLOOKUP($L64,'[12]IMAGE CurPol SSP'!$AZ$3:$BD$29,4,FALSE)*$AM64,IF($BI$8=2018,VLOOKUP($L64,'[12]IMAGE CurPol SSP'!$BJ$3:$BN$29,4,FALSE)*$AP64,$AR64))</f>
        <v>47.395389721197759</v>
      </c>
      <c r="BN64" s="111">
        <f t="shared" si="53"/>
        <v>47.395389721197759</v>
      </c>
      <c r="BO64" s="111">
        <f t="shared" si="53"/>
        <v>47.395389721197759</v>
      </c>
      <c r="BP64" s="111">
        <f>IF($BI$8=2015,VLOOKUP($L64,'[12]IMAGE CurPol SSP'!$AZ$3:$BD$29,5,FALSE)*$AM64,IF($BI$8=2018,VLOOKUP($L64,'[12]IMAGE CurPol SSP'!$BJ$3:$BN$29,5,FALSE)*$AP64,VLOOKUP($L64,'[12]IMAGE CurPol SSP'!$BU$3:$BZ$29,5,FALSE)*$AS64))</f>
        <v>38.698985935217024</v>
      </c>
      <c r="BQ64" s="111">
        <f>IF($BI$8=2015,"",IF($BI$8=2018,"",VLOOKUP($L64,'[12]IMAGE CurPol SSP'!$CQ$3:$CV$29,5,FALSE)*$AS64))</f>
        <v>37.610831656310381</v>
      </c>
      <c r="BR64" s="111">
        <f>IF($BI$8=2015,"",IF($BI$8=2018,"",VLOOKUP($L64,'[12]IMAGE CurPol SSP'!$CF$3:$CK$29,5,FALSE)*$AS64))</f>
        <v>39.35985541908785</v>
      </c>
      <c r="BS64" s="111">
        <f>IF($BI$8=2015,VLOOKUP($L64,'[12]IMAGE CurPol SSP'!$AZ$3:$BE$29,6,FALSE)*$AM64,IF($BI$8=2018,VLOOKUP($L64,'[12]IMAGE CurPol SSP'!$BJ$3:$BO$29,6,FALSE)*$AP64,VLOOKUP($L64,'[12]IMAGE CurPol SSP'!$BU$3:$BZ$29,6,FALSE)*$AS64))</f>
        <v>26.619436216147736</v>
      </c>
      <c r="BT64" s="111">
        <f>IF($BI$8=2015,"",IF($BI$8=2018,"",VLOOKUP($L64,'[12]IMAGE CurPol SSP'!$CQ$3:$CV$29,6,FALSE)*$AS64))</f>
        <v>24.893375409342255</v>
      </c>
      <c r="BU64" s="164">
        <f>IF($BI$8=2015,"",IF($BI$8=2018,"",VLOOKUP($L64,'[12]IMAGE CurPol SSP'!$CF$3:$CK$29,6,FALSE)*$AS64))</f>
        <v>27.975653264972074</v>
      </c>
      <c r="CN64" t="s">
        <v>157</v>
      </c>
      <c r="CO64" s="165" t="str">
        <f t="shared" si="2"/>
        <v/>
      </c>
      <c r="CP64" s="165" t="str">
        <f t="shared" si="2"/>
        <v/>
      </c>
      <c r="CQ64" s="165" t="str">
        <f t="shared" si="2"/>
        <v/>
      </c>
      <c r="CR64" s="165" t="str">
        <f t="shared" si="2"/>
        <v/>
      </c>
      <c r="CV64" s="125" t="s">
        <v>621</v>
      </c>
      <c r="CW64" s="125" t="s">
        <v>621</v>
      </c>
      <c r="CX64"/>
      <c r="CY64" s="167">
        <f t="shared" si="3"/>
        <v>2.6630251403942609</v>
      </c>
      <c r="DB64" s="106"/>
      <c r="DC64" s="106"/>
      <c r="DD64" s="106"/>
      <c r="DE64" s="106"/>
      <c r="DF64" s="106"/>
      <c r="DG64" s="105" t="str">
        <f t="shared" si="4"/>
        <v>incl</v>
      </c>
      <c r="DH64" t="s">
        <v>157</v>
      </c>
      <c r="DI64" s="111">
        <f t="shared" si="45"/>
        <v>0</v>
      </c>
      <c r="DJ64" s="111">
        <f t="shared" si="45"/>
        <v>0</v>
      </c>
      <c r="DK64" s="111">
        <f t="shared" si="47"/>
        <v>0</v>
      </c>
      <c r="DL64" s="111">
        <f t="shared" si="48"/>
        <v>0</v>
      </c>
      <c r="DM64" s="111">
        <f t="shared" si="49"/>
        <v>0</v>
      </c>
      <c r="DN64" s="111">
        <f t="shared" si="50"/>
        <v>0</v>
      </c>
      <c r="DO64" s="111">
        <f t="shared" si="54"/>
        <v>0</v>
      </c>
      <c r="DP64" s="111">
        <f t="shared" si="55"/>
        <v>0</v>
      </c>
      <c r="DQ64" s="106"/>
      <c r="DR64" s="106"/>
      <c r="DS64" s="111"/>
      <c r="DT64" s="168"/>
      <c r="DW64" s="111">
        <f t="shared" si="12"/>
        <v>26.619436216147736</v>
      </c>
      <c r="DX64" s="111">
        <f t="shared" si="12"/>
        <v>26.619436216147736</v>
      </c>
      <c r="DY64" s="111">
        <f t="shared" si="12"/>
        <v>26.619436216147736</v>
      </c>
      <c r="DZ64" s="111">
        <f t="shared" si="12"/>
        <v>26.619436216147736</v>
      </c>
      <c r="EP64" t="s">
        <v>157</v>
      </c>
      <c r="ER64" s="111">
        <f t="shared" si="13"/>
        <v>54.290511081145695</v>
      </c>
      <c r="ES64" s="111">
        <f>IF($BI$8=2015,VLOOKUP($L64,'[12]IMAGE CDLINKS CurPol'!$P$3:$Y$29,10,FALSE)*$AM64,VLOOKUP($L64,'[12]IMAGE CDLINKS CurPol'!$Z$3:$AI$29,10,FALSE)*$AP64)</f>
        <v>52.023517273220357</v>
      </c>
      <c r="ET64" s="111">
        <f t="shared" si="14"/>
        <v>52.023517273220357</v>
      </c>
      <c r="EU64" s="111">
        <f t="shared" si="19"/>
        <v>11.084093605549091</v>
      </c>
      <c r="EV64" s="111">
        <f>IF($BI$8=2015,VLOOKUP($L64,'[12]IMAGE CDLINKS 2C'!$P$3:$Y$29,10,FALSE)*$AM64,VLOOKUP($L64,'[12]IMAGE CDLINKS 2C'!$Z$3:$AI$29,10,FALSE)*$AP64)</f>
        <v>11.084093605549091</v>
      </c>
      <c r="EY64" s="111">
        <f t="shared" si="20"/>
        <v>6.1308771214304603</v>
      </c>
      <c r="EZ64" s="111">
        <f>IF($BI$8=2015,VLOOKUP($L64,'[12]IMAGE CDLINKS 1_5C'!$P$3:$Y$29,10,FALSE)*$AM64,VLOOKUP($L64,'[12]IMAGE CDLINKS 1_5C'!$Z$3:$AI$29,10,FALSE)*$AP64)</f>
        <v>6.1308771214304603</v>
      </c>
      <c r="FA64" s="192" t="s">
        <v>2338</v>
      </c>
    </row>
    <row r="65" spans="1:157" x14ac:dyDescent="0.25">
      <c r="A65" t="str">
        <f>IF([12]NDCs!C67="","",[12]NDCs!C67)</f>
        <v>B</v>
      </c>
      <c r="B65" s="159" t="str">
        <f t="shared" si="0"/>
        <v>v</v>
      </c>
      <c r="C65">
        <v>0</v>
      </c>
      <c r="D65">
        <v>0</v>
      </c>
      <c r="E65">
        <v>0</v>
      </c>
      <c r="F65">
        <v>1</v>
      </c>
      <c r="G65" t="b">
        <f t="shared" si="1"/>
        <v>1</v>
      </c>
      <c r="H65" t="s">
        <v>2328</v>
      </c>
      <c r="I65" t="s">
        <v>159</v>
      </c>
      <c r="J65">
        <v>262</v>
      </c>
      <c r="K65">
        <v>69</v>
      </c>
      <c r="L65">
        <v>9</v>
      </c>
      <c r="M65" t="str">
        <f>IF([12]NDCs!AL67="Excluding","excl","incl")</f>
        <v>excl</v>
      </c>
      <c r="N65" s="160">
        <f>[12]GHG_hist!BA55+IF($M65="incl",[12]LULUCF_hist!CR55,0)</f>
        <v>0.80400834999999993</v>
      </c>
      <c r="O65" s="111">
        <f>[12]GHG_hist!BB55+IF($M65="incl",[12]LULUCF_hist!CS55,0)</f>
        <v>0.82935555000000005</v>
      </c>
      <c r="P65" s="111">
        <f>[12]GHG_hist!BC55+IF($M65="incl",[12]LULUCF_hist!CT55,0)</f>
        <v>0.82987602000000005</v>
      </c>
      <c r="Q65" s="111">
        <f>[12]GHG_hist!BD55+IF($M65="incl",[12]LULUCF_hist!CU55,0)</f>
        <v>0.84350214000000012</v>
      </c>
      <c r="R65" s="111">
        <f>[12]GHG_hist!BE55+IF($M65="incl",[12]LULUCF_hist!CV55,0)</f>
        <v>0.85270330000000005</v>
      </c>
      <c r="S65" s="111">
        <f>[12]GHG_hist!BF55+IF($M65="incl",[12]LULUCF_hist!CW55,0)</f>
        <v>0.89395820999999998</v>
      </c>
      <c r="T65" s="111">
        <f>[12]GHG_hist!BG55+IF($M65="incl",[12]LULUCF_hist!CX55,0)</f>
        <v>0.92394940999999997</v>
      </c>
      <c r="U65" s="111">
        <f>[12]GHG_hist!BH55+IF($M65="incl",[12]LULUCF_hist!CY55,0)</f>
        <v>0.94936120000000013</v>
      </c>
      <c r="V65" s="111">
        <f>[12]GHG_hist!BI55+IF($M65="incl",[12]LULUCF_hist!CZ55,0)</f>
        <v>0.95972331</v>
      </c>
      <c r="W65" s="111">
        <f>[12]GHG_hist!BJ55+IF($M65="incl",[12]LULUCF_hist!DA55,0)</f>
        <v>0.99128532000000003</v>
      </c>
      <c r="X65" s="111">
        <f>[12]GHG_hist!BK55+IF($M65="incl",[12]LULUCF_hist!DB55,0)</f>
        <v>1.0088766</v>
      </c>
      <c r="Y65" s="111">
        <f>[12]GHG_hist!BL55+IF($M65="incl",[12]LULUCF_hist!DC55,0)</f>
        <v>1.0250355</v>
      </c>
      <c r="Z65" s="111">
        <f>[12]GHG_hist!BM55+IF($M65="incl",[12]LULUCF_hist!DD55,0)</f>
        <v>1.0726619000000002</v>
      </c>
      <c r="AA65" s="111">
        <f>[12]GHG_hist!BN55+IF($M65="incl",[12]LULUCF_hist!DE55,0)</f>
        <v>1.1113377</v>
      </c>
      <c r="AB65" s="111">
        <f>[12]GHG_hist!BO55+IF($M65="incl",[12]LULUCF_hist!DF55,0)</f>
        <v>1.1176754000000002</v>
      </c>
      <c r="AC65" s="111">
        <f>[12]GHG_hist!BP55+IF($M65="incl",[12]LULUCF_hist!DG55,0)</f>
        <v>1.1426546000000002</v>
      </c>
      <c r="AD65" s="111">
        <f>[12]GHG_hist!BQ55+IF($M65="incl",[12]LULUCF_hist!DH55,0)</f>
        <v>1.1471431000000001</v>
      </c>
      <c r="AE65" s="111">
        <f>[12]GHG_hist!BR55+IF($M65="incl",[12]LULUCF_hist!DI55,0)</f>
        <v>1.2192445000000001</v>
      </c>
      <c r="AF65" s="111">
        <f>[12]GHG_hist!BS55+IF($M65="incl",[12]LULUCF_hist!DJ55,0)</f>
        <v>1.2771178999999999</v>
      </c>
      <c r="AG65" s="111">
        <f>[12]GHG_hist!BT55+IF($M65="incl",[12]LULUCF_hist!DK55,0)</f>
        <v>1.2394658999999999</v>
      </c>
      <c r="AH65" s="111">
        <f>[12]GHG_hist!BU55+IF($M65="incl",[12]LULUCF_hist!DL55,0)</f>
        <v>1.3177062000000002</v>
      </c>
      <c r="AI65" s="111">
        <f>[12]GHG_hist!BV55+IF($M65="incl",[12]LULUCF_hist!DM55,0)</f>
        <v>1.2696711000000001</v>
      </c>
      <c r="AJ65" s="111">
        <f>[12]GHG_hist!BW55+IF($M65="incl",[12]LULUCF_hist!DN55,0)</f>
        <v>1.2939456</v>
      </c>
      <c r="AK65" s="111">
        <f>[12]GHG_hist!BX55+IF($M65="incl",[12]LULUCF_hist!DO55,0)</f>
        <v>1.3774774999999999</v>
      </c>
      <c r="AL65" s="111">
        <f>[12]GHG_hist!BY55+IF($M65="incl",[12]LULUCF_hist!DP55,0)</f>
        <v>1.1771294999999999</v>
      </c>
      <c r="AM65" s="111">
        <f>[12]GHG_hist!BZ55+IF($M65="incl",[12]LULUCF_hist!DQ55,0)</f>
        <v>1.2467001</v>
      </c>
      <c r="AN65" s="111">
        <f>[12]GHG_hist!CA55+IF($M65="incl",[12]LULUCF_hist!DR55,0)</f>
        <v>1.2068079</v>
      </c>
      <c r="AO65" s="111">
        <f>[12]GHG_hist!CB55+IF($M65="incl",[12]LULUCF_hist!DS55,0)</f>
        <v>1.1996732999999999</v>
      </c>
      <c r="AP65" s="111">
        <f>[12]GHG_hist!CC55+IF($M65="incl",[12]LULUCF_hist!DT55,0)</f>
        <v>1.2443725999999999</v>
      </c>
      <c r="AQ65" s="111">
        <f>[12]GHG_hist!CD55+IF($M65="incl",[12]LULUCF_hist!DU55,0)</f>
        <v>1.2555779</v>
      </c>
      <c r="AR65" s="111">
        <f>[12]GHG_hist!CE55+IF($M65="incl",[12]LULUCF_hist!DV55,0)</f>
        <v>1.2283025999999999</v>
      </c>
      <c r="AS65" s="111">
        <f>[12]GHG_hist!CF55+IF($M65="incl",[12]LULUCF_hist!DW55,0)</f>
        <v>1.3090354</v>
      </c>
      <c r="AT65" s="161">
        <f>VLOOKUP($L65,'[12]IMAGE SSP2'!$AF$3:$AK$29,4,FALSE)*$AM65</f>
        <v>1.425977200912151</v>
      </c>
      <c r="AU65" s="162">
        <f>VLOOKUP($L65,'[12]IMAGE SSP2'!$AF$3:$AK$29,5,FALSE)*$AM65</f>
        <v>1.6335595406451322</v>
      </c>
      <c r="AV65" s="163">
        <f>VLOOKUP($L65,'[12]IMAGE SSP2'!$AF$3:$AK$29,6,FALSE)*$AM65</f>
        <v>1.8941237407477955</v>
      </c>
      <c r="AW65" s="111">
        <f>IF(A65="B",AM65+(AX65-AM65)*0.33333,"")</f>
        <v>2.3227893056669999</v>
      </c>
      <c r="AX65" s="164">
        <f>IF(A65="B",IF(M65="excl",[12]NatCom!CO55,[12]NatCom!AX55),"")</f>
        <v>4.4749999999999996</v>
      </c>
      <c r="AY65" s="111" t="str">
        <f>IF('[12]Pledge 2020'!E55="","",'[12]Pledge 2020'!E55)</f>
        <v/>
      </c>
      <c r="AZ65" s="164" t="str">
        <f>IF('[12]Pledge 2020'!F55="","",'[12]Pledge 2020'!F55)</f>
        <v/>
      </c>
      <c r="BA65" s="111">
        <f t="shared" si="51"/>
        <v>2.3431765499999999</v>
      </c>
      <c r="BB65" s="111">
        <f>IF(BF65="","",(BF65-AH65)*0.75+AH65)</f>
        <v>2.3431765499999999</v>
      </c>
      <c r="BC65" s="111">
        <f t="shared" si="52"/>
        <v>1.67192655</v>
      </c>
      <c r="BD65" s="111">
        <f>IF(BH65="","",(BH65-AH65)*0.75+AH65)</f>
        <v>1.67192655</v>
      </c>
      <c r="BE65" s="111">
        <v>2.6849999999999996</v>
      </c>
      <c r="BF65" s="111">
        <v>2.6849999999999996</v>
      </c>
      <c r="BG65" s="111">
        <v>1.79</v>
      </c>
      <c r="BH65" s="164">
        <v>1.79</v>
      </c>
      <c r="BI65" s="111">
        <f>IF([12]NDCs!V67="",IF([12]NDCs!X67="","",[12]NDCs!X67),[12]NDCs!V67)</f>
        <v>2.6849999999999996</v>
      </c>
      <c r="BJ65" s="111">
        <f>IF([12]NDCs!V67="",IF([12]NDCs!X67="","",[12]NDCs!X67),[12]NDCs!V67)</f>
        <v>2.6849999999999996</v>
      </c>
      <c r="BK65" s="111">
        <f>IF([12]NDCs!Z67="",IF([12]NDCs!AB67="",IF('input site'!BE65="","",'input site'!BE65),[12]NDCs!AB67),[12]NDCs!Z67)</f>
        <v>1.79</v>
      </c>
      <c r="BL65" s="111">
        <f>IF([12]NDCs!AA67="",IF([12]NDCs!AC67="",IF('input site'!BF65="","",'input site'!BF65),[12]NDCs!AC67),[12]NDCs!AA67)</f>
        <v>1.79</v>
      </c>
      <c r="BM65" s="111">
        <f>IF($BI$8=2015,VLOOKUP($L65,'[12]IMAGE CurPol SSP'!$AZ$3:$BD$29,4,FALSE)*$AM65,IF($BI$8=2018,VLOOKUP($L65,'[12]IMAGE CurPol SSP'!$BJ$3:$BN$29,4,FALSE)*$AP65,$AR65))</f>
        <v>1.2283025999999999</v>
      </c>
      <c r="BN65" s="111">
        <f t="shared" si="53"/>
        <v>1.2283025999999999</v>
      </c>
      <c r="BO65" s="111">
        <f t="shared" si="53"/>
        <v>1.2283025999999999</v>
      </c>
      <c r="BP65" s="111">
        <f>IF($BI$8=2015,VLOOKUP($L65,'[12]IMAGE CurPol SSP'!$AZ$3:$BD$29,5,FALSE)*$AM65,IF($BI$8=2018,VLOOKUP($L65,'[12]IMAGE CurPol SSP'!$BJ$3:$BN$29,5,FALSE)*$AP65,VLOOKUP($L65,'[12]IMAGE CurPol SSP'!$BU$3:$BZ$29,5,FALSE)*$AS65))</f>
        <v>1.6351360992137494</v>
      </c>
      <c r="BQ65" s="111">
        <f>IF($BI$8=2015,"",IF($BI$8=2018,"",VLOOKUP($L65,'[12]IMAGE CurPol SSP'!$CQ$3:$CV$29,5,FALSE)*$AS65))</f>
        <v>1.6235978943545784</v>
      </c>
      <c r="BR65" s="111">
        <f>IF($BI$8=2015,"",IF($BI$8=2018,"",VLOOKUP($L65,'[12]IMAGE CurPol SSP'!$CF$3:$CK$29,5,FALSE)*$AS65))</f>
        <v>1.6592507160784145</v>
      </c>
      <c r="BS65" s="111">
        <f>IF($BI$8=2015,VLOOKUP($L65,'[12]IMAGE CurPol SSP'!$AZ$3:$BE$29,6,FALSE)*$AM65,IF($BI$8=2018,VLOOKUP($L65,'[12]IMAGE CurPol SSP'!$BJ$3:$BO$29,6,FALSE)*$AP65,VLOOKUP($L65,'[12]IMAGE CurPol SSP'!$BU$3:$BZ$29,6,FALSE)*$AS65))</f>
        <v>2.0602857929128193</v>
      </c>
      <c r="BT65" s="111">
        <f>IF($BI$8=2015,"",IF($BI$8=2018,"",VLOOKUP($L65,'[12]IMAGE CurPol SSP'!$CQ$3:$CV$29,6,FALSE)*$AS65))</f>
        <v>2.0313849434390598</v>
      </c>
      <c r="BU65" s="164">
        <f>IF($BI$8=2015,"",IF($BI$8=2018,"",VLOOKUP($L65,'[12]IMAGE CurPol SSP'!$CF$3:$CK$29,6,FALSE)*$AS65))</f>
        <v>2.1192011020368811</v>
      </c>
      <c r="CN65" t="s">
        <v>159</v>
      </c>
      <c r="CO65" s="165">
        <f t="shared" si="2"/>
        <v>0.30321725715730108</v>
      </c>
      <c r="CP65" s="165">
        <f t="shared" si="2"/>
        <v>0.30321725715730108</v>
      </c>
      <c r="CQ65" s="165">
        <f t="shared" si="2"/>
        <v>-0.13118849522846576</v>
      </c>
      <c r="CR65" s="165">
        <f t="shared" si="2"/>
        <v>-0.13118849522846576</v>
      </c>
      <c r="CS65" s="159"/>
      <c r="CU65" s="159"/>
      <c r="CV65" s="125" t="s">
        <v>621</v>
      </c>
      <c r="CW65" s="125" t="s">
        <v>621</v>
      </c>
      <c r="CX65" s="159"/>
      <c r="CY65" s="167">
        <f t="shared" si="3"/>
        <v>0.19767460091215105</v>
      </c>
      <c r="CZ65" s="159"/>
      <c r="DB65" s="106"/>
      <c r="DC65" s="106"/>
      <c r="DD65" s="106"/>
      <c r="DE65" s="106"/>
      <c r="DF65" s="106"/>
      <c r="DG65" s="105" t="str">
        <f t="shared" si="4"/>
        <v>excl</v>
      </c>
      <c r="DH65" t="s">
        <v>159</v>
      </c>
      <c r="DI65" s="111">
        <f t="shared" si="45"/>
        <v>0</v>
      </c>
      <c r="DJ65" s="111">
        <f t="shared" si="45"/>
        <v>0</v>
      </c>
      <c r="DK65" s="111">
        <f t="shared" si="47"/>
        <v>0.70804045078625055</v>
      </c>
      <c r="DL65" s="111">
        <f t="shared" si="48"/>
        <v>3.679045078625065E-2</v>
      </c>
      <c r="DM65" s="111">
        <f t="shared" si="49"/>
        <v>0.62471420708718028</v>
      </c>
      <c r="DN65" s="111">
        <f t="shared" si="50"/>
        <v>-0.27028579291281929</v>
      </c>
      <c r="DO65" s="111">
        <f t="shared" si="54"/>
        <v>0.62471420708718028</v>
      </c>
      <c r="DP65" s="111">
        <f t="shared" si="55"/>
        <v>-0.27028579291281929</v>
      </c>
      <c r="DQ65" s="106"/>
      <c r="DR65" s="106"/>
      <c r="DS65" s="111"/>
      <c r="DT65" s="168"/>
      <c r="DW65" s="111">
        <f t="shared" si="12"/>
        <v>2.6849999999999996</v>
      </c>
      <c r="DX65" s="111">
        <f t="shared" si="12"/>
        <v>2.6849999999999996</v>
      </c>
      <c r="DY65" s="111">
        <f t="shared" si="12"/>
        <v>1.79</v>
      </c>
      <c r="DZ65" s="111">
        <f t="shared" si="12"/>
        <v>1.79</v>
      </c>
      <c r="EP65" t="s">
        <v>159</v>
      </c>
      <c r="EQ65">
        <v>-1</v>
      </c>
      <c r="ER65" s="111">
        <f t="shared" si="13"/>
        <v>1.2443725999999999</v>
      </c>
      <c r="ES65" s="111">
        <f>IF($BI$8=2015,VLOOKUP($L65,'[12]IMAGE CDLINKS CurPol'!$P$3:$Y$29,10,FALSE)*$AM65,VLOOKUP($L65,'[12]IMAGE CDLINKS CurPol'!$Z$3:$AI$29,10,FALSE)*$AP65)</f>
        <v>2.7131840518239385</v>
      </c>
      <c r="ET65" s="111">
        <f t="shared" si="14"/>
        <v>2.7131840518239385</v>
      </c>
      <c r="EU65" s="111">
        <f t="shared" si="19"/>
        <v>1.4582113689762695</v>
      </c>
      <c r="EV65" s="111">
        <f>IF($BI$8=2015,VLOOKUP($L65,'[12]IMAGE CDLINKS 2C'!$P$3:$Y$29,10,FALSE)*$AM65,VLOOKUP($L65,'[12]IMAGE CDLINKS 2C'!$Z$3:$AI$29,10,FALSE)*$AP65)</f>
        <v>1.4582113689762695</v>
      </c>
      <c r="EX65" s="111"/>
      <c r="EY65" s="111">
        <f t="shared" si="20"/>
        <v>1.3323285137545553</v>
      </c>
      <c r="EZ65" s="111">
        <f>IF($BI$8=2015,VLOOKUP($L65,'[12]IMAGE CDLINKS 1_5C'!$P$3:$Y$29,10,FALSE)*$AM65,VLOOKUP($L65,'[12]IMAGE CDLINKS 1_5C'!$Z$3:$AI$29,10,FALSE)*$AP65)</f>
        <v>1.3323285137545553</v>
      </c>
      <c r="FA65" s="192">
        <v>2050</v>
      </c>
    </row>
    <row r="66" spans="1:157" x14ac:dyDescent="0.25">
      <c r="A66" t="str">
        <f>IF([12]NDCs!C68="","",[12]NDCs!C68)</f>
        <v>A</v>
      </c>
      <c r="B66" s="159" t="str">
        <f t="shared" si="0"/>
        <v>v</v>
      </c>
      <c r="C66">
        <v>0</v>
      </c>
      <c r="D66">
        <v>0</v>
      </c>
      <c r="E66">
        <v>0</v>
      </c>
      <c r="F66">
        <v>1</v>
      </c>
      <c r="G66" t="b">
        <f t="shared" si="1"/>
        <v>1</v>
      </c>
      <c r="H66" t="s">
        <v>2333</v>
      </c>
      <c r="I66" t="s">
        <v>161</v>
      </c>
      <c r="J66">
        <v>212</v>
      </c>
      <c r="K66">
        <v>54</v>
      </c>
      <c r="L66">
        <v>4</v>
      </c>
      <c r="M66" t="str">
        <f>IF([12]NDCs!AL68="Excluding","excl","incl")</f>
        <v>excl</v>
      </c>
      <c r="N66" s="160">
        <f>[12]GHG_hist!BA56+IF($M66="incl",[12]LULUCF_hist!CR56,0)</f>
        <v>0.10662245000000001</v>
      </c>
      <c r="O66" s="111">
        <f>[12]GHG_hist!BB56+IF($M66="incl",[12]LULUCF_hist!CS56,0)</f>
        <v>0.10714324000000001</v>
      </c>
      <c r="P66" s="111">
        <f>[12]GHG_hist!BC56+IF($M66="incl",[12]LULUCF_hist!CT56,0)</f>
        <v>0.10641092000000001</v>
      </c>
      <c r="Q66" s="111">
        <f>[12]GHG_hist!BD56+IF($M66="incl",[12]LULUCF_hist!CU56,0)</f>
        <v>0.12863554999999999</v>
      </c>
      <c r="R66" s="111">
        <f>[12]GHG_hist!BE56+IF($M66="incl",[12]LULUCF_hist!CV56,0)</f>
        <v>0.13889123</v>
      </c>
      <c r="S66" s="111">
        <f>[12]GHG_hist!BF56+IF($M66="incl",[12]LULUCF_hist!CW56,0)</f>
        <v>0.15917371</v>
      </c>
      <c r="T66" s="111">
        <f>[12]GHG_hist!BG56+IF($M66="incl",[12]LULUCF_hist!CX56,0)</f>
        <v>0.15895933000000001</v>
      </c>
      <c r="U66" s="111">
        <f>[12]GHG_hist!BH56+IF($M66="incl",[12]LULUCF_hist!CY56,0)</f>
        <v>0.16977784000000001</v>
      </c>
      <c r="V66" s="111">
        <f>[12]GHG_hist!BI56+IF($M66="incl",[12]LULUCF_hist!CZ56,0)</f>
        <v>0.14369986000000001</v>
      </c>
      <c r="W66" s="111">
        <f>[12]GHG_hist!BJ56+IF($M66="incl",[12]LULUCF_hist!DA56,0)</f>
        <v>0.17986082</v>
      </c>
      <c r="X66" s="111">
        <f>[12]GHG_hist!BK56+IF($M66="incl",[12]LULUCF_hist!DB56,0)</f>
        <v>0.20982040000000002</v>
      </c>
      <c r="Y66" s="111">
        <f>[12]GHG_hist!BL56+IF($M66="incl",[12]LULUCF_hist!DC56,0)</f>
        <v>0.21920212</v>
      </c>
      <c r="Z66" s="111">
        <f>[12]GHG_hist!BM56+IF($M66="incl",[12]LULUCF_hist!DD56,0)</f>
        <v>0.2088006</v>
      </c>
      <c r="AA66" s="111">
        <f>[12]GHG_hist!BN56+IF($M66="incl",[12]LULUCF_hist!DE56,0)</f>
        <v>0.21008478</v>
      </c>
      <c r="AB66" s="111">
        <f>[12]GHG_hist!BO56+IF($M66="incl",[12]LULUCF_hist!DF56,0)</f>
        <v>0.20049877000000002</v>
      </c>
      <c r="AC66" s="111">
        <f>[12]GHG_hist!BP56+IF($M66="incl",[12]LULUCF_hist!DG56,0)</f>
        <v>0.21358776000000002</v>
      </c>
      <c r="AD66" s="111">
        <f>[12]GHG_hist!BQ56+IF($M66="incl",[12]LULUCF_hist!DH56,0)</f>
        <v>0.23197736000000002</v>
      </c>
      <c r="AE66" s="111">
        <f>[12]GHG_hist!BR56+IF($M66="incl",[12]LULUCF_hist!DI56,0)</f>
        <v>0.24223272000000001</v>
      </c>
      <c r="AF66" s="111">
        <f>[12]GHG_hist!BS56+IF($M66="incl",[12]LULUCF_hist!DJ56,0)</f>
        <v>0.23242825</v>
      </c>
      <c r="AG66" s="111">
        <f>[12]GHG_hist!BT56+IF($M66="incl",[12]LULUCF_hist!DK56,0)</f>
        <v>0.23828447</v>
      </c>
      <c r="AH66" s="111">
        <f>[12]GHG_hist!BU56+IF($M66="incl",[12]LULUCF_hist!DL56,0)</f>
        <v>0.24143543000000001</v>
      </c>
      <c r="AI66" s="111">
        <f>[12]GHG_hist!BV56+IF($M66="incl",[12]LULUCF_hist!DM56,0)</f>
        <v>0.25960493000000001</v>
      </c>
      <c r="AJ66" s="111">
        <f>[12]GHG_hist!BW56+IF($M66="incl",[12]LULUCF_hist!DN56,0)</f>
        <v>0.25693103</v>
      </c>
      <c r="AK66" s="111">
        <f>[12]GHG_hist!BX56+IF($M66="incl",[12]LULUCF_hist!DO56,0)</f>
        <v>0.26047082999999999</v>
      </c>
      <c r="AL66" s="111">
        <f>[12]GHG_hist!BY56+IF($M66="incl",[12]LULUCF_hist!DP56,0)</f>
        <v>0.26426780000000005</v>
      </c>
      <c r="AM66" s="111">
        <f>[12]GHG_hist!BZ56+IF($M66="incl",[12]LULUCF_hist!DQ56,0)</f>
        <v>0.27068518999999996</v>
      </c>
      <c r="AN66" s="111">
        <f>[12]GHG_hist!CA56+IF($M66="incl",[12]LULUCF_hist!DR56,0)</f>
        <v>0.26706844000000002</v>
      </c>
      <c r="AO66" s="111">
        <f>[12]GHG_hist!CB56+IF($M66="incl",[12]LULUCF_hist!DS56,0)</f>
        <v>0.25556809999999996</v>
      </c>
      <c r="AP66" s="111">
        <f>[12]GHG_hist!CC56+IF($M66="incl",[12]LULUCF_hist!DT56,0)</f>
        <v>0.25928194999999998</v>
      </c>
      <c r="AQ66" s="111">
        <f>[12]GHG_hist!CD56+IF($M66="incl",[12]LULUCF_hist!DU56,0)</f>
        <v>0.26646001000000002</v>
      </c>
      <c r="AR66" s="111">
        <f>[12]GHG_hist!CE56+IF($M66="incl",[12]LULUCF_hist!DV56,0)</f>
        <v>0.25162618000000003</v>
      </c>
      <c r="AS66" s="111">
        <f>[12]GHG_hist!CF56+IF($M66="incl",[12]LULUCF_hist!DW56,0)</f>
        <v>0.25080874000000003</v>
      </c>
      <c r="AT66" s="161">
        <f>VLOOKUP($L66,'[12]IMAGE SSP2'!$AF$3:$AK$29,4,FALSE)*$AM66</f>
        <v>0.30777200837548613</v>
      </c>
      <c r="AU66" s="162">
        <f>VLOOKUP($L66,'[12]IMAGE SSP2'!$AF$3:$AK$29,5,FALSE)*$AM66</f>
        <v>0.34432255603335521</v>
      </c>
      <c r="AV66" s="163">
        <f>VLOOKUP($L66,'[12]IMAGE SSP2'!$AF$3:$AK$29,6,FALSE)*$AM66</f>
        <v>0.36347250991990859</v>
      </c>
      <c r="AW66" s="111" t="str">
        <f t="shared" si="15"/>
        <v/>
      </c>
      <c r="AX66" s="164" t="str">
        <f>IF(A66="B",IF(M66="excl",[12]NatCom!CO56,[12]NatCom!AX56),"")</f>
        <v/>
      </c>
      <c r="AY66" s="111" t="str">
        <f>IF('[12]Pledge 2020'!E56="","",'[12]Pledge 2020'!E56)</f>
        <v/>
      </c>
      <c r="AZ66" s="164" t="str">
        <f>IF('[12]Pledge 2020'!F56="","",'[12]Pledge 2020'!F56)</f>
        <v/>
      </c>
      <c r="BA66" s="111" t="str">
        <f t="shared" si="51"/>
        <v/>
      </c>
      <c r="BB66" s="111"/>
      <c r="BC66" s="111">
        <f t="shared" si="52"/>
        <v>0.14446434270499997</v>
      </c>
      <c r="BD66" s="111">
        <f>IF(BH66="","",(BH66-AH66)*0.75+AH66)</f>
        <v>0.14446434270499997</v>
      </c>
      <c r="BE66" s="111" t="s">
        <v>2477</v>
      </c>
      <c r="BF66" s="111"/>
      <c r="BG66" s="111">
        <v>0.11214064693999999</v>
      </c>
      <c r="BH66" s="164">
        <v>0.11214064693999999</v>
      </c>
      <c r="BI66" s="111" t="str">
        <f>IF([12]NDCs!V68="",IF([12]NDCs!X68="","",[12]NDCs!X68),[12]NDCs!V68)</f>
        <v/>
      </c>
      <c r="BJ66" s="111" t="str">
        <f>IF([12]NDCs!V68="",IF([12]NDCs!X68="","",[12]NDCs!X68),[12]NDCs!V68)</f>
        <v/>
      </c>
      <c r="BK66" s="111">
        <f>IF([12]NDCs!Z68="",IF([12]NDCs!AB68="",IF('input site'!BE66="","",'input site'!BE66),[12]NDCs!AB68),[12]NDCs!Z68)</f>
        <v>0.11214064693999999</v>
      </c>
      <c r="BL66" s="111">
        <f>IF([12]NDCs!AA68="",IF([12]NDCs!AC68="",IF('input site'!BF66="","",'input site'!BF66),[12]NDCs!AC68),[12]NDCs!AA68)</f>
        <v>0.11214064693999999</v>
      </c>
      <c r="BM66" s="111">
        <f>IF($BI$8=2015,VLOOKUP($L66,'[12]IMAGE CurPol SSP'!$AZ$3:$BD$29,4,FALSE)*$AM66,IF($BI$8=2018,VLOOKUP($L66,'[12]IMAGE CurPol SSP'!$BJ$3:$BN$29,4,FALSE)*$AP66,$AR66))</f>
        <v>0.25162618000000003</v>
      </c>
      <c r="BN66" s="111">
        <f t="shared" si="53"/>
        <v>0.25162618000000003</v>
      </c>
      <c r="BO66" s="111">
        <f t="shared" si="53"/>
        <v>0.25162618000000003</v>
      </c>
      <c r="BP66" s="111">
        <f>IF($BI$8=2015,VLOOKUP($L66,'[12]IMAGE CurPol SSP'!$AZ$3:$BD$29,5,FALSE)*$AM66,IF($BI$8=2018,VLOOKUP($L66,'[12]IMAGE CurPol SSP'!$BJ$3:$BN$29,5,FALSE)*$AP66,VLOOKUP($L66,'[12]IMAGE CurPol SSP'!$BU$3:$BZ$29,5,FALSE)*$AS66))</f>
        <v>0.27483742712940012</v>
      </c>
      <c r="BQ66" s="111">
        <f>IF($BI$8=2015,"",IF($BI$8=2018,"",VLOOKUP($L66,'[12]IMAGE CurPol SSP'!$CQ$3:$CV$29,5,FALSE)*$AS66))</f>
        <v>0.27016052476840369</v>
      </c>
      <c r="BR66" s="111">
        <f>IF($BI$8=2015,"",IF($BI$8=2018,"",VLOOKUP($L66,'[12]IMAGE CurPol SSP'!$CF$3:$CK$29,5,FALSE)*$AS66))</f>
        <v>0.28564776563553429</v>
      </c>
      <c r="BS66" s="111">
        <f>IF($BI$8=2015,VLOOKUP($L66,'[12]IMAGE CurPol SSP'!$AZ$3:$BE$29,6,FALSE)*$AM66,IF($BI$8=2018,VLOOKUP($L66,'[12]IMAGE CurPol SSP'!$BJ$3:$BO$29,6,FALSE)*$AP66,VLOOKUP($L66,'[12]IMAGE CurPol SSP'!$BU$3:$BZ$29,6,FALSE)*$AS66))</f>
        <v>0.30926452959267886</v>
      </c>
      <c r="BT66" s="111">
        <f>IF($BI$8=2015,"",IF($BI$8=2018,"",VLOOKUP($L66,'[12]IMAGE CurPol SSP'!$CQ$3:$CV$29,6,FALSE)*$AS66))</f>
        <v>0.30215749470516856</v>
      </c>
      <c r="BU66" s="164">
        <f>IF($BI$8=2015,"",IF($BI$8=2018,"",VLOOKUP($L66,'[12]IMAGE CurPol SSP'!$CF$3:$CK$29,6,FALSE)*$AS66))</f>
        <v>0.33088657536468763</v>
      </c>
      <c r="CN66" t="s">
        <v>161</v>
      </c>
      <c r="CO66" s="165" t="str">
        <f t="shared" si="2"/>
        <v/>
      </c>
      <c r="CP66" s="165" t="str">
        <f t="shared" si="2"/>
        <v/>
      </c>
      <c r="CQ66" s="165">
        <f t="shared" si="2"/>
        <v>-0.63739570429335557</v>
      </c>
      <c r="CR66" s="165">
        <f t="shared" si="2"/>
        <v>-0.63739570429335557</v>
      </c>
      <c r="CV66" s="125" t="s">
        <v>621</v>
      </c>
      <c r="CW66" s="125" t="s">
        <v>621</v>
      </c>
      <c r="CX66"/>
      <c r="CY66" s="167">
        <f t="shared" si="3"/>
        <v>5.6145828375486095E-2</v>
      </c>
      <c r="DB66" s="106"/>
      <c r="DC66" s="106"/>
      <c r="DD66" s="106"/>
      <c r="DE66" s="106"/>
      <c r="DF66" s="106"/>
      <c r="DG66" s="105" t="str">
        <f t="shared" si="4"/>
        <v>excl</v>
      </c>
      <c r="DH66" t="s">
        <v>161</v>
      </c>
      <c r="DI66" s="111">
        <f t="shared" si="45"/>
        <v>0</v>
      </c>
      <c r="DJ66" s="111">
        <f t="shared" si="45"/>
        <v>0</v>
      </c>
      <c r="DK66" s="111">
        <f t="shared" si="47"/>
        <v>0</v>
      </c>
      <c r="DL66" s="111">
        <f t="shared" si="48"/>
        <v>-0.13037308442440015</v>
      </c>
      <c r="DM66" s="111">
        <f t="shared" si="49"/>
        <v>0</v>
      </c>
      <c r="DN66" s="111">
        <f t="shared" si="50"/>
        <v>-0.19712388265267888</v>
      </c>
      <c r="DO66" s="111">
        <f t="shared" si="54"/>
        <v>0</v>
      </c>
      <c r="DP66" s="111">
        <f t="shared" si="55"/>
        <v>-0.19712388265267888</v>
      </c>
      <c r="DQ66" s="106"/>
      <c r="DR66" s="106"/>
      <c r="DS66" s="111"/>
      <c r="DT66" s="168"/>
      <c r="DW66" s="111">
        <f t="shared" si="12"/>
        <v>0.30926452959267886</v>
      </c>
      <c r="DX66" s="111">
        <f t="shared" si="12"/>
        <v>0.30926452959267886</v>
      </c>
      <c r="DY66" s="111">
        <f t="shared" si="12"/>
        <v>0.11214064693999999</v>
      </c>
      <c r="DZ66" s="111">
        <f t="shared" si="12"/>
        <v>0.11214064693999999</v>
      </c>
      <c r="EP66" t="s">
        <v>161</v>
      </c>
      <c r="EQ66">
        <v>1</v>
      </c>
      <c r="ER66" s="111">
        <f t="shared" si="13"/>
        <v>0.25928194999999998</v>
      </c>
      <c r="ES66" s="111">
        <f>IF($BI$8=2015,VLOOKUP($L66,'[12]IMAGE CDLINKS CurPol'!$P$3:$Y$29,10,FALSE)*$AM66,VLOOKUP($L66,'[12]IMAGE CDLINKS CurPol'!$Z$3:$AI$29,10,FALSE)*$AP66)</f>
        <v>0.49107430714328926</v>
      </c>
      <c r="ET66" s="111">
        <f t="shared" si="14"/>
        <v>0</v>
      </c>
      <c r="EU66" s="111">
        <f t="shared" si="19"/>
        <v>0.13624870760934366</v>
      </c>
      <c r="EV66" s="111">
        <f>IF($BI$8=2015,VLOOKUP($L66,'[12]IMAGE CDLINKS 2C'!$P$3:$Y$29,10,FALSE)*$AM66,VLOOKUP($L66,'[12]IMAGE CDLINKS 2C'!$Z$3:$AI$29,10,FALSE)*$AP66)</f>
        <v>0.13624870760934366</v>
      </c>
      <c r="EW66">
        <v>0</v>
      </c>
      <c r="EX66" s="111">
        <f>EW66-EV66</f>
        <v>-0.13624870760934366</v>
      </c>
      <c r="EY66" s="111">
        <f t="shared" si="20"/>
        <v>0</v>
      </c>
      <c r="EZ66" s="111">
        <f>IF($BI$8=2015,VLOOKUP($L66,'[12]IMAGE CDLINKS 1_5C'!$P$3:$Y$29,10,FALSE)*$AM66,VLOOKUP($L66,'[12]IMAGE CDLINKS 1_5C'!$Z$3:$AI$29,10,FALSE)*$AP66)</f>
        <v>2.7710317063377211E-2</v>
      </c>
      <c r="FA66" s="192">
        <v>2050</v>
      </c>
    </row>
    <row r="67" spans="1:157" x14ac:dyDescent="0.25">
      <c r="A67" t="str">
        <f>IF([12]NDCs!C69="","",[12]NDCs!C69)</f>
        <v>A</v>
      </c>
      <c r="B67" s="159" t="str">
        <f t="shared" si="0"/>
        <v>v</v>
      </c>
      <c r="C67">
        <v>0</v>
      </c>
      <c r="D67">
        <v>0</v>
      </c>
      <c r="E67">
        <v>0</v>
      </c>
      <c r="F67">
        <v>1</v>
      </c>
      <c r="G67" t="b">
        <f t="shared" si="1"/>
        <v>1</v>
      </c>
      <c r="H67" t="s">
        <v>2328</v>
      </c>
      <c r="I67" t="s">
        <v>163</v>
      </c>
      <c r="J67">
        <v>214</v>
      </c>
      <c r="K67">
        <v>55</v>
      </c>
      <c r="L67">
        <v>4</v>
      </c>
      <c r="M67" t="str">
        <f>IF([12]NDCs!AL69="Excluding","excl","incl")</f>
        <v>incl</v>
      </c>
      <c r="N67" s="160">
        <f>[12]GHG_hist!BA57+IF($M67="incl",[12]LULUCF_hist!CR57,0)</f>
        <v>8.7113899999999997</v>
      </c>
      <c r="O67" s="111">
        <f>[12]GHG_hist!BB57+IF($M67="incl",[12]LULUCF_hist!CS57,0)</f>
        <v>10.674187500000002</v>
      </c>
      <c r="P67" s="111">
        <f>[12]GHG_hist!BC57+IF($M67="incl",[12]LULUCF_hist!CT57,0)</f>
        <v>12.279719000000002</v>
      </c>
      <c r="Q67" s="111">
        <f>[12]GHG_hist!BD57+IF($M67="incl",[12]LULUCF_hist!CU57,0)</f>
        <v>14.185876499999999</v>
      </c>
      <c r="R67" s="111">
        <f>[12]GHG_hist!BE57+IF($M67="incl",[12]LULUCF_hist!CV57,0)</f>
        <v>15.860668999999998</v>
      </c>
      <c r="S67" s="111">
        <f>[12]GHG_hist!BF57+IF($M67="incl",[12]LULUCF_hist!CW57,0)</f>
        <v>16.802696666666666</v>
      </c>
      <c r="T67" s="111">
        <f>[12]GHG_hist!BG57+IF($M67="incl",[12]LULUCF_hist!CX57,0)</f>
        <v>15.222014333333334</v>
      </c>
      <c r="U67" s="111">
        <f>[12]GHG_hist!BH57+IF($M67="incl",[12]LULUCF_hist!CY57,0)</f>
        <v>13.296543000000003</v>
      </c>
      <c r="V67" s="111">
        <f>[12]GHG_hist!BI57+IF($M67="incl",[12]LULUCF_hist!CZ57,0)</f>
        <v>10.512594666666669</v>
      </c>
      <c r="W67" s="111">
        <f>[12]GHG_hist!BJ57+IF($M67="incl",[12]LULUCF_hist!DA57,0)</f>
        <v>9.2560053333333379</v>
      </c>
      <c r="X67" s="111">
        <f>[12]GHG_hist!BK57+IF($M67="incl",[12]LULUCF_hist!DB57,0)</f>
        <v>9.2797480000000014</v>
      </c>
      <c r="Y67" s="111">
        <f>[12]GHG_hist!BL57+IF($M67="incl",[12]LULUCF_hist!DC57,0)</f>
        <v>9.9382640000000002</v>
      </c>
      <c r="Z67" s="111">
        <f>[12]GHG_hist!BM57+IF($M67="incl",[12]LULUCF_hist!DD57,0)</f>
        <v>12.403181999999997</v>
      </c>
      <c r="AA67" s="111">
        <f>[12]GHG_hist!BN57+IF($M67="incl",[12]LULUCF_hist!DE57,0)</f>
        <v>12.434113</v>
      </c>
      <c r="AB67" s="111">
        <f>[12]GHG_hist!BO57+IF($M67="incl",[12]LULUCF_hist!DF57,0)</f>
        <v>10.351559999999999</v>
      </c>
      <c r="AC67" s="111">
        <f>[12]GHG_hist!BP57+IF($M67="incl",[12]LULUCF_hist!DG57,0)</f>
        <v>10.659756999999999</v>
      </c>
      <c r="AD67" s="111">
        <f>[12]GHG_hist!BQ57+IF($M67="incl",[12]LULUCF_hist!DH57,0)</f>
        <v>12.328685999999998</v>
      </c>
      <c r="AE67" s="111">
        <f>[12]GHG_hist!BR57+IF($M67="incl",[12]LULUCF_hist!DI57,0)</f>
        <v>14.080961999999996</v>
      </c>
      <c r="AF67" s="111">
        <f>[12]GHG_hist!BS57+IF($M67="incl",[12]LULUCF_hist!DJ57,0)</f>
        <v>14.562715999999995</v>
      </c>
      <c r="AG67" s="111">
        <f>[12]GHG_hist!BT57+IF($M67="incl",[12]LULUCF_hist!DK57,0)</f>
        <v>14.683248999999993</v>
      </c>
      <c r="AH67" s="111">
        <f>[12]GHG_hist!BU57+IF($M67="incl",[12]LULUCF_hist!DL57,0)</f>
        <v>15.641075999999998</v>
      </c>
      <c r="AI67" s="111">
        <f>[12]GHG_hist!BV57+IF($M67="incl",[12]LULUCF_hist!DM57,0)</f>
        <v>18.183381000000001</v>
      </c>
      <c r="AJ67" s="111">
        <f>[12]GHG_hist!BW57+IF($M67="incl",[12]LULUCF_hist!DN57,0)</f>
        <v>20.467314000000005</v>
      </c>
      <c r="AK67" s="111">
        <f>[12]GHG_hist!BX57+IF($M67="incl",[12]LULUCF_hist!DO57,0)</f>
        <v>21.905815</v>
      </c>
      <c r="AL67" s="111">
        <f>[12]GHG_hist!BY57+IF($M67="incl",[12]LULUCF_hist!DP57,0)</f>
        <v>24.379694000000004</v>
      </c>
      <c r="AM67" s="111">
        <f>[12]GHG_hist!BZ57+IF($M67="incl",[12]LULUCF_hist!DQ57,0)</f>
        <v>28.213835999999993</v>
      </c>
      <c r="AN67" s="111">
        <f>[12]GHG_hist!CA57+IF($M67="incl",[12]LULUCF_hist!DR57,0)</f>
        <v>25.224958784615424</v>
      </c>
      <c r="AO67" s="111">
        <f>[12]GHG_hist!CB57+IF($M67="incl",[12]LULUCF_hist!DS57,0)</f>
        <v>25.016803674643917</v>
      </c>
      <c r="AP67" s="111">
        <f>[12]GHG_hist!CC57+IF($M67="incl",[12]LULUCF_hist!DT57,0)</f>
        <v>25.94671956467235</v>
      </c>
      <c r="AQ67" s="111">
        <f>[12]GHG_hist!CD57+IF($M67="incl",[12]LULUCF_hist!DU57,0)</f>
        <v>26.700510454700897</v>
      </c>
      <c r="AR67" s="111">
        <f>[12]GHG_hist!CE57+IF($M67="incl",[12]LULUCF_hist!DV57,0)</f>
        <v>24.522999344729335</v>
      </c>
      <c r="AS67" s="111">
        <f>[12]GHG_hist!CF57+IF($M67="incl",[12]LULUCF_hist!DW57,0)</f>
        <v>25.224274234757878</v>
      </c>
      <c r="AT67" s="171">
        <f>VLOOKUP($L67,'[12]IMAGE SSP2'!$AF$3:$AK$29,4,FALSE)*($AM67-'[12]IIASA Proj'!$EQ57)+('[12]IIASA Proj'!$EQ57+'[12]IIASA Proj'!$ER57)</f>
        <v>41.020793179991713</v>
      </c>
      <c r="AU67" s="172">
        <f>VLOOKUP($L67,'[12]IMAGE SSP2'!$AF$3:$AK$29,5,FALSE)*($AM67-'[12]IIASA Proj'!$EQ57)+('[12]IIASA Proj'!$EQ57+'[12]IIASA Proj'!$ES57)</f>
        <v>38.420954795641045</v>
      </c>
      <c r="AV67" s="173">
        <f>VLOOKUP($L67,'[12]IMAGE SSP2'!$AF$3:$AK$29,6,FALSE)*($AM67-'[12]IIASA Proj'!$EQ57)+('[12]IIASA Proj'!$EQ57+'[12]IIASA Proj'!$ET57)</f>
        <v>40.658259419836646</v>
      </c>
      <c r="AW67" s="111" t="str">
        <f t="shared" si="15"/>
        <v/>
      </c>
      <c r="AX67" s="164" t="str">
        <f>IF(A67="B",IF(M67="excl",[12]NatCom!CO57,[12]NatCom!AX57),"")</f>
        <v/>
      </c>
      <c r="AY67" s="111" t="str">
        <f>IF('[12]Pledge 2020'!E57="","",'[12]Pledge 2020'!E57)</f>
        <v/>
      </c>
      <c r="AZ67" s="164" t="str">
        <f>IF('[12]Pledge 2020'!F57="","",'[12]Pledge 2020'!F57)</f>
        <v/>
      </c>
      <c r="BA67" s="111">
        <f t="shared" si="51"/>
        <v>32.269404945336056</v>
      </c>
      <c r="BB67" s="111">
        <f>IF(BF67="","",(BF67-AH67)*0.75+AH67)</f>
        <v>32.269404945336056</v>
      </c>
      <c r="BC67" s="111">
        <f t="shared" si="52"/>
        <v>26.170666032360565</v>
      </c>
      <c r="BD67" s="111">
        <f>IF(BH67="","",(BH67-AH67)*0.75+AH67)</f>
        <v>26.170666032360565</v>
      </c>
      <c r="BE67" s="169">
        <v>37.812181260448078</v>
      </c>
      <c r="BF67" s="169">
        <v>37.812181260448078</v>
      </c>
      <c r="BG67" s="169">
        <v>29.680529376480752</v>
      </c>
      <c r="BH67" s="170">
        <v>29.680529376480752</v>
      </c>
      <c r="BI67" s="111" t="str">
        <f>IF([12]NDCs!V69="",IF([12]NDCs!X69="","",[12]NDCs!X69),[12]NDCs!V69)</f>
        <v/>
      </c>
      <c r="BJ67" s="111" t="str">
        <f>IF([12]NDCs!V69="",IF([12]NDCs!X69="","",[12]NDCs!X69),[12]NDCs!V69)</f>
        <v/>
      </c>
      <c r="BK67" s="202">
        <f>BG67</f>
        <v>29.680529376480752</v>
      </c>
      <c r="BL67" s="202">
        <f>BH67</f>
        <v>29.680529376480752</v>
      </c>
      <c r="BM67" s="174">
        <f>IF($BI$8=2015,VLOOKUP($L67,'[12]IMAGE CurPol SSP'!$AZ$3:$BD$29,4,FALSE)*($AM67-'[12]IIASA Proj'!$EQ57)+('[12]IIASA Proj'!$EQ57+'[12]IIASA Proj'!$ER57),AR67)</f>
        <v>24.522999344729335</v>
      </c>
      <c r="BN67" s="175">
        <f t="shared" si="53"/>
        <v>24.522999344729335</v>
      </c>
      <c r="BO67" s="175">
        <f t="shared" si="53"/>
        <v>24.522999344729335</v>
      </c>
      <c r="BP67" s="174">
        <f>IF($BI$8=2015,VLOOKUP($L67,'[12]IMAGE CurPol SSP'!$AZ$3:$BD$29,5,FALSE)*($AM67-'[12]IIASA Proj'!$EQ57)+('[12]IIASA Proj'!$EQ57+'[12]IIASA Proj'!$ES57),VLOOKUP($L67,'[12]IMAGE CurPol SSP'!$BU$3:$BZ$29,5,FALSE)*($AS67-'[12]IIASA Proj'!$DV57)+('[12]IIASA Proj'!$EA57))</f>
        <v>19.871495336818725</v>
      </c>
      <c r="BQ67" s="174">
        <f>IF($BI$8=2015,"",IF($BI$8=2018,"",MIN(BP67,VLOOKUP($L67,'[12]IMAGE CurPol SSP'!$CQ$3:$CV$29,5,FALSE)*$AS67)))</f>
        <v>19.871495336818725</v>
      </c>
      <c r="BR67" s="174">
        <f>IF($BI$8=2015,"",IF($BI$8=2018,"",MAX(BP67,VLOOKUP($L67,'[12]IMAGE CurPol SSP'!$CF$3:$CK$29,5,FALSE)*$AS67)))</f>
        <v>28.728096058122073</v>
      </c>
      <c r="BS67" s="174">
        <f>IF($BI$8=2015,VLOOKUP($L67,'[12]IMAGE CurPol SSP'!$AZ$3:$BE$29,6,FALSE)*($AM67-'[12]IIASA Proj'!$EQ57)+('[12]IIASA Proj'!$EQ57+'[12]IIASA Proj'!$ET57),VLOOKUP($L67,'[12]IMAGE CurPol SSP'!$BU$3:$BZ$29,6,FALSE)*($AS67-'[12]IIASA Proj'!$DV57)+('[12]IIASA Proj'!$EF57))</f>
        <v>23.993020544872508</v>
      </c>
      <c r="BT67" s="174">
        <f>IF($BI$8=2015,"",IF($BI$8=2018,"",MIN($BS67,VLOOKUP($L67,'[12]IMAGE CurPol SSP'!$CQ$3:$CV$29,6,FALSE)*$AS67)))</f>
        <v>23.993020544872508</v>
      </c>
      <c r="BU67" s="176">
        <f>IF($BI$8=2015,"",IF($BI$8=2018,"",MAX($BS67,VLOOKUP($L67,'[12]IMAGE CurPol SSP'!$CF$3:$CK$29,6,FALSE)*$AS67)))</f>
        <v>33.277842381404888</v>
      </c>
      <c r="CN67" t="s">
        <v>163</v>
      </c>
      <c r="CO67" s="165">
        <f t="shared" si="2"/>
        <v>0.57596586014380891</v>
      </c>
      <c r="CP67" s="165">
        <f t="shared" si="2"/>
        <v>0.57596586014380891</v>
      </c>
      <c r="CQ67" s="165">
        <f t="shared" si="2"/>
        <v>0.23704847086557046</v>
      </c>
      <c r="CR67" s="165">
        <f t="shared" si="2"/>
        <v>0.23704847086557046</v>
      </c>
      <c r="CV67" s="125" t="s">
        <v>621</v>
      </c>
      <c r="CW67" s="125" t="s">
        <v>621</v>
      </c>
      <c r="CX67"/>
      <c r="CY67" s="167">
        <f t="shared" si="3"/>
        <v>16.497793835262378</v>
      </c>
      <c r="DB67" s="106"/>
      <c r="DC67" s="106"/>
      <c r="DD67" s="106"/>
      <c r="DE67" s="106"/>
      <c r="DF67" s="106"/>
      <c r="DG67" s="105" t="str">
        <f t="shared" si="4"/>
        <v>incl</v>
      </c>
      <c r="DH67" t="s">
        <v>163</v>
      </c>
      <c r="DI67" s="111">
        <f t="shared" si="45"/>
        <v>0</v>
      </c>
      <c r="DJ67" s="111">
        <f t="shared" si="45"/>
        <v>0</v>
      </c>
      <c r="DK67" s="111">
        <f t="shared" si="47"/>
        <v>12.397909608517331</v>
      </c>
      <c r="DL67" s="111">
        <f t="shared" si="48"/>
        <v>6.2991706955418394</v>
      </c>
      <c r="DM67" s="111">
        <f t="shared" si="49"/>
        <v>13.81916071557557</v>
      </c>
      <c r="DN67" s="111">
        <f t="shared" si="50"/>
        <v>5.6875088316082447</v>
      </c>
      <c r="DO67" s="111">
        <f t="shared" si="54"/>
        <v>0</v>
      </c>
      <c r="DP67" s="111">
        <f t="shared" si="55"/>
        <v>5.6875088316082447</v>
      </c>
      <c r="DQ67" s="106"/>
      <c r="DR67" s="106"/>
      <c r="DS67" s="177">
        <f>[12]GHG_hist!BZ57+IF($M67="incl",[12]LULUCF_hist!DQ57,0)</f>
        <v>28.213835999999993</v>
      </c>
      <c r="DT67" s="178">
        <f>IF($M67="incl",'[12]IIASA Proj'!EQ57,0)</f>
        <v>-19.281346704273481</v>
      </c>
      <c r="DW67" s="111">
        <f t="shared" si="12"/>
        <v>37.812181260448078</v>
      </c>
      <c r="DX67" s="111">
        <f t="shared" si="12"/>
        <v>37.812181260448078</v>
      </c>
      <c r="DY67" s="111">
        <f t="shared" si="12"/>
        <v>29.680529376480752</v>
      </c>
      <c r="DZ67" s="111">
        <f t="shared" si="12"/>
        <v>29.680529376480752</v>
      </c>
      <c r="EP67" t="s">
        <v>163</v>
      </c>
      <c r="EQ67">
        <v>4</v>
      </c>
      <c r="ER67" s="111">
        <f t="shared" si="13"/>
        <v>25.94671956467235</v>
      </c>
      <c r="ES67" s="111">
        <f>IF($BI$8=2015,VLOOKUP($L67,'[12]IMAGE CDLINKS CurPol'!$P$3:$Y$29,10,FALSE)*$AM67,VLOOKUP($L67,'[12]IMAGE CDLINKS CurPol'!$Z$3:$AI$29,10,FALSE)*$AP67)</f>
        <v>49.142515832138351</v>
      </c>
      <c r="ET67" s="111">
        <f t="shared" si="14"/>
        <v>0</v>
      </c>
      <c r="EU67" s="111">
        <f t="shared" si="19"/>
        <v>0</v>
      </c>
      <c r="EV67" s="111">
        <f>IF($BI$8=2015,VLOOKUP($L67,'[12]IMAGE CDLINKS 2C'!$P$3:$Y$29,10,FALSE)*$AM67,VLOOKUP($L67,'[12]IMAGE CDLINKS 2C'!$Z$3:$AI$29,10,FALSE)*$AP67)</f>
        <v>13.634605136951029</v>
      </c>
      <c r="EW67">
        <v>0</v>
      </c>
      <c r="EX67" s="111">
        <f>EW67-EV67</f>
        <v>-13.634605136951029</v>
      </c>
      <c r="EY67" s="111">
        <f t="shared" si="20"/>
        <v>0</v>
      </c>
      <c r="EZ67" s="111">
        <f>IF($BI$8=2015,VLOOKUP($L67,'[12]IMAGE CDLINKS 1_5C'!$P$3:$Y$29,10,FALSE)*$AM67,VLOOKUP($L67,'[12]IMAGE CDLINKS 1_5C'!$Z$3:$AI$29,10,FALSE)*$AP67)</f>
        <v>2.7730114876550553</v>
      </c>
      <c r="FA67" s="192">
        <v>2050</v>
      </c>
    </row>
    <row r="68" spans="1:157" x14ac:dyDescent="0.25">
      <c r="A68" t="str">
        <f>IF([12]NDCs!C70="","",[12]NDCs!C70)</f>
        <v>G</v>
      </c>
      <c r="B68" s="159" t="str">
        <f t="shared" si="0"/>
        <v>v</v>
      </c>
      <c r="C68">
        <v>0</v>
      </c>
      <c r="D68">
        <v>0</v>
      </c>
      <c r="E68">
        <v>0</v>
      </c>
      <c r="F68">
        <v>1</v>
      </c>
      <c r="G68" t="b">
        <f t="shared" si="1"/>
        <v>0</v>
      </c>
      <c r="H68" t="s">
        <v>2328</v>
      </c>
      <c r="I68" t="s">
        <v>165</v>
      </c>
      <c r="J68">
        <v>218</v>
      </c>
      <c r="K68">
        <v>56</v>
      </c>
      <c r="L68">
        <v>6</v>
      </c>
      <c r="M68" t="str">
        <f>IF([12]NDCs!AL70="Excluding","excl","incl")</f>
        <v>excl</v>
      </c>
      <c r="N68" s="160">
        <f>[12]GHG_hist!BA58+IF($M68="incl",[12]LULUCF_hist!CR58,0)</f>
        <v>35.738682999999995</v>
      </c>
      <c r="O68" s="111">
        <f>[12]GHG_hist!BB58+IF($M68="incl",[12]LULUCF_hist!CS58,0)</f>
        <v>35.992665000000002</v>
      </c>
      <c r="P68" s="111">
        <f>[12]GHG_hist!BC58+IF($M68="incl",[12]LULUCF_hist!CT58,0)</f>
        <v>44.098114000000002</v>
      </c>
      <c r="Q68" s="111">
        <f>[12]GHG_hist!BD58+IF($M68="incl",[12]LULUCF_hist!CU58,0)</f>
        <v>47.173490000000001</v>
      </c>
      <c r="R68" s="111">
        <f>[12]GHG_hist!BE58+IF($M68="incl",[12]LULUCF_hist!CV58,0)</f>
        <v>34.264927000000007</v>
      </c>
      <c r="S68" s="111">
        <f>[12]GHG_hist!BF58+IF($M68="incl",[12]LULUCF_hist!CW58,0)</f>
        <v>45.817163999999998</v>
      </c>
      <c r="T68" s="111">
        <f>[12]GHG_hist!BG58+IF($M68="incl",[12]LULUCF_hist!CX58,0)</f>
        <v>47.796492000000001</v>
      </c>
      <c r="U68" s="111">
        <f>[12]GHG_hist!BH58+IF($M68="incl",[12]LULUCF_hist!CY58,0)</f>
        <v>41.100512000000002</v>
      </c>
      <c r="V68" s="111">
        <f>[12]GHG_hist!BI58+IF($M68="incl",[12]LULUCF_hist!CZ58,0)</f>
        <v>43.994242</v>
      </c>
      <c r="W68" s="111">
        <f>[12]GHG_hist!BJ58+IF($M68="incl",[12]LULUCF_hist!DA58,0)</f>
        <v>41.901756999999996</v>
      </c>
      <c r="X68" s="111">
        <f>[12]GHG_hist!BK58+IF($M68="incl",[12]LULUCF_hist!DB58,0)</f>
        <v>38.618033000000004</v>
      </c>
      <c r="Y68" s="111">
        <f>[12]GHG_hist!BL58+IF($M68="incl",[12]LULUCF_hist!DC58,0)</f>
        <v>43.565175000000004</v>
      </c>
      <c r="Z68" s="111">
        <f>[12]GHG_hist!BM58+IF($M68="incl",[12]LULUCF_hist!DD58,0)</f>
        <v>44.709154000000005</v>
      </c>
      <c r="AA68" s="111">
        <f>[12]GHG_hist!BN58+IF($M68="incl",[12]LULUCF_hist!DE58,0)</f>
        <v>46.726371</v>
      </c>
      <c r="AB68" s="111">
        <f>[12]GHG_hist!BO58+IF($M68="incl",[12]LULUCF_hist!DF58,0)</f>
        <v>49.519120999999998</v>
      </c>
      <c r="AC68" s="111">
        <f>[12]GHG_hist!BP58+IF($M68="incl",[12]LULUCF_hist!DG58,0)</f>
        <v>50.158777000000001</v>
      </c>
      <c r="AD68" s="111">
        <f>[12]GHG_hist!BQ58+IF($M68="incl",[12]LULUCF_hist!DH58,0)</f>
        <v>49.336167000000003</v>
      </c>
      <c r="AE68" s="111">
        <f>[12]GHG_hist!BR58+IF($M68="incl",[12]LULUCF_hist!DI58,0)</f>
        <v>52.822276000000002</v>
      </c>
      <c r="AF68" s="111">
        <f>[12]GHG_hist!BS58+IF($M68="incl",[12]LULUCF_hist!DJ58,0)</f>
        <v>48.850622000000001</v>
      </c>
      <c r="AG68" s="111">
        <f>[12]GHG_hist!BT58+IF($M68="incl",[12]LULUCF_hist!DK58,0)</f>
        <v>52.389493000000002</v>
      </c>
      <c r="AH68" s="111">
        <f>[12]GHG_hist!BU58+IF($M68="incl",[12]LULUCF_hist!DL58,0)</f>
        <v>54.903934</v>
      </c>
      <c r="AI68" s="111">
        <f>[12]GHG_hist!BV58+IF($M68="incl",[12]LULUCF_hist!DM58,0)</f>
        <v>58.983941000000002</v>
      </c>
      <c r="AJ68" s="111">
        <f>[12]GHG_hist!BW58+IF($M68="incl",[12]LULUCF_hist!DN58,0)</f>
        <v>59.305040999999996</v>
      </c>
      <c r="AK68" s="111">
        <f>[12]GHG_hist!BX58+IF($M68="incl",[12]LULUCF_hist!DO58,0)</f>
        <v>60.196845000000003</v>
      </c>
      <c r="AL68" s="111">
        <f>[12]GHG_hist!BY58+IF($M68="incl",[12]LULUCF_hist!DP58,0)</f>
        <v>62.028213000000008</v>
      </c>
      <c r="AM68" s="111">
        <f>[12]GHG_hist!BZ58+IF($M68="incl",[12]LULUCF_hist!DQ58,0)</f>
        <v>59.119605000000007</v>
      </c>
      <c r="AN68" s="111">
        <f>[12]GHG_hist!CA58+IF($M68="incl",[12]LULUCF_hist!DR58,0)</f>
        <v>59.604817000000004</v>
      </c>
      <c r="AO68" s="111">
        <f>[12]GHG_hist!CB58+IF($M68="incl",[12]LULUCF_hist!DS58,0)</f>
        <v>60.131905000000003</v>
      </c>
      <c r="AP68" s="111">
        <f>[12]GHG_hist!CC58+IF($M68="incl",[12]LULUCF_hist!DT58,0)</f>
        <v>60.197910000000007</v>
      </c>
      <c r="AQ68" s="111">
        <f>[12]GHG_hist!CD58+IF($M68="incl",[12]LULUCF_hist!DU58,0)</f>
        <v>59.534754</v>
      </c>
      <c r="AR68" s="111">
        <f>[12]GHG_hist!CE58+IF($M68="incl",[12]LULUCF_hist!DV58,0)</f>
        <v>53.233888</v>
      </c>
      <c r="AS68" s="111">
        <f>[12]GHG_hist!CF58+IF($M68="incl",[12]LULUCF_hist!DW58,0)</f>
        <v>60.786369000000001</v>
      </c>
      <c r="AT68" s="161">
        <f>VLOOKUP($L68,'[12]IMAGE SSP2'!$AF$3:$AK$29,4,FALSE)*$AM68</f>
        <v>66.503708226994561</v>
      </c>
      <c r="AU68" s="162">
        <f>VLOOKUP($L68,'[12]IMAGE SSP2'!$AF$3:$AK$29,5,FALSE)*$AM68</f>
        <v>73.404129744024132</v>
      </c>
      <c r="AV68" s="163">
        <f>VLOOKUP($L68,'[12]IMAGE SSP2'!$AF$3:$AK$29,6,FALSE)*$AM68</f>
        <v>79.627939960375627</v>
      </c>
      <c r="AW68" s="111" t="str">
        <f t="shared" si="15"/>
        <v/>
      </c>
      <c r="AX68" s="164" t="str">
        <f>IF(A68="B",IF(M68="excl",[12]NatCom!CO58,[12]NatCom!AX58),"")</f>
        <v/>
      </c>
      <c r="AY68" s="111" t="str">
        <f>IF('[12]Pledge 2020'!E58="","",'[12]Pledge 2020'!E58)</f>
        <v/>
      </c>
      <c r="AZ68" s="164" t="str">
        <f>IF('[12]Pledge 2020'!F58="","",'[12]Pledge 2020'!F58)</f>
        <v/>
      </c>
      <c r="BA68" s="111" t="str">
        <f t="shared" si="51"/>
        <v/>
      </c>
      <c r="BB68" s="111"/>
      <c r="BC68" s="111" t="str">
        <f t="shared" si="52"/>
        <v/>
      </c>
      <c r="BD68" s="111"/>
      <c r="BE68" s="111" t="s">
        <v>2477</v>
      </c>
      <c r="BF68" s="111"/>
      <c r="BG68" s="111" t="s">
        <v>2477</v>
      </c>
      <c r="BH68" s="164"/>
      <c r="BI68" s="111" t="str">
        <f>IF([12]NDCs!V70="",IF([12]NDCs!X70="","",[12]NDCs!X70),[12]NDCs!V70)</f>
        <v/>
      </c>
      <c r="BJ68" s="111" t="str">
        <f>IF([12]NDCs!V70="",IF([12]NDCs!X70="","",[12]NDCs!X70),[12]NDCs!V70)</f>
        <v/>
      </c>
      <c r="BK68" s="111" t="str">
        <f>IF([12]NDCs!Z70="",IF([12]NDCs!AB70="",IF('input site'!BE68="","",'input site'!BE68),[12]NDCs!AB70),[12]NDCs!Z70)</f>
        <v/>
      </c>
      <c r="BL68" s="111" t="str">
        <f>IF([12]NDCs!AA70="",IF([12]NDCs!AC70="",IF('input site'!BF68="","",'input site'!BF68),[12]NDCs!AC70),[12]NDCs!AA70)</f>
        <v/>
      </c>
      <c r="BM68" s="111">
        <f>IF($BI$8=2015,VLOOKUP($L68,'[12]IMAGE CurPol SSP'!$AZ$3:$BD$29,4,FALSE)*$AM68,IF($BI$8=2018,VLOOKUP($L68,'[12]IMAGE CurPol SSP'!$BJ$3:$BN$29,4,FALSE)*$AP68,$AR68))</f>
        <v>53.233888</v>
      </c>
      <c r="BN68" s="111">
        <f t="shared" si="53"/>
        <v>53.233888</v>
      </c>
      <c r="BO68" s="111">
        <f t="shared" si="53"/>
        <v>53.233888</v>
      </c>
      <c r="BP68" s="111">
        <f>IF($BI$8=2015,VLOOKUP($L68,'[12]IMAGE CurPol SSP'!$AZ$3:$BD$29,5,FALSE)*$AM68,IF($BI$8=2018,VLOOKUP($L68,'[12]IMAGE CurPol SSP'!$BJ$3:$BN$29,5,FALSE)*$AP68,VLOOKUP($L68,'[12]IMAGE CurPol SSP'!$BU$3:$BZ$29,5,FALSE)*$AS68))</f>
        <v>63.348682614600158</v>
      </c>
      <c r="BQ68" s="111">
        <f>IF($BI$8=2015,"",IF($BI$8=2018,"",VLOOKUP($L68,'[12]IMAGE CurPol SSP'!$CQ$3:$CV$29,5,FALSE)*$AS68))</f>
        <v>62.322394817094683</v>
      </c>
      <c r="BR68" s="111">
        <f>IF($BI$8=2015,"",IF($BI$8=2018,"",VLOOKUP($L68,'[12]IMAGE CurPol SSP'!$CF$3:$CK$29,5,FALSE)*$AS68))</f>
        <v>64.384518385244675</v>
      </c>
      <c r="BS68" s="111">
        <f>IF($BI$8=2015,VLOOKUP($L68,'[12]IMAGE CurPol SSP'!$AZ$3:$BE$29,6,FALSE)*$AM68,IF($BI$8=2018,VLOOKUP($L68,'[12]IMAGE CurPol SSP'!$BJ$3:$BO$29,6,FALSE)*$AP68,VLOOKUP($L68,'[12]IMAGE CurPol SSP'!$BU$3:$BZ$29,6,FALSE)*$AS68))</f>
        <v>67.560825675310724</v>
      </c>
      <c r="BT68" s="111">
        <f>IF($BI$8=2015,"",IF($BI$8=2018,"",VLOOKUP($L68,'[12]IMAGE CurPol SSP'!$CQ$3:$CV$29,6,FALSE)*$AS68))</f>
        <v>66.372595830598812</v>
      </c>
      <c r="BU68" s="164">
        <f>IF($BI$8=2015,"",IF($BI$8=2018,"",VLOOKUP($L68,'[12]IMAGE CurPol SSP'!$CF$3:$CK$29,6,FALSE)*$AS68))</f>
        <v>67.94052864291767</v>
      </c>
      <c r="CN68" t="s">
        <v>165</v>
      </c>
      <c r="CO68" s="165" t="str">
        <f t="shared" si="2"/>
        <v/>
      </c>
      <c r="CP68" s="165" t="str">
        <f t="shared" si="2"/>
        <v/>
      </c>
      <c r="CQ68" s="165" t="str">
        <f t="shared" si="2"/>
        <v/>
      </c>
      <c r="CR68" s="165" t="str">
        <f t="shared" si="2"/>
        <v/>
      </c>
      <c r="CV68" s="125" t="s">
        <v>621</v>
      </c>
      <c r="CW68" s="125" t="s">
        <v>621</v>
      </c>
      <c r="CX68"/>
      <c r="CY68" s="167">
        <f t="shared" si="3"/>
        <v>13.269820226994561</v>
      </c>
      <c r="DB68" s="106"/>
      <c r="DC68" s="106"/>
      <c r="DD68" s="106"/>
      <c r="DE68" s="106"/>
      <c r="DF68" s="106"/>
      <c r="DG68" s="105" t="str">
        <f t="shared" si="4"/>
        <v>excl</v>
      </c>
      <c r="DH68" t="s">
        <v>165</v>
      </c>
      <c r="DI68" s="111">
        <f t="shared" si="45"/>
        <v>0</v>
      </c>
      <c r="DJ68" s="111">
        <f t="shared" si="45"/>
        <v>0</v>
      </c>
      <c r="DK68" s="111">
        <f t="shared" si="47"/>
        <v>0</v>
      </c>
      <c r="DL68" s="111">
        <f t="shared" si="48"/>
        <v>0</v>
      </c>
      <c r="DM68" s="111">
        <f t="shared" si="49"/>
        <v>0</v>
      </c>
      <c r="DN68" s="111">
        <f t="shared" si="50"/>
        <v>0</v>
      </c>
      <c r="DO68" s="111">
        <f t="shared" si="54"/>
        <v>0</v>
      </c>
      <c r="DP68" s="111">
        <f t="shared" si="55"/>
        <v>0</v>
      </c>
      <c r="DQ68" s="106"/>
      <c r="DR68" s="106"/>
      <c r="DS68" s="111"/>
      <c r="DT68" s="168"/>
      <c r="DW68" s="111">
        <f t="shared" si="12"/>
        <v>67.560825675310724</v>
      </c>
      <c r="DX68" s="111">
        <f t="shared" si="12"/>
        <v>67.560825675310724</v>
      </c>
      <c r="DY68" s="111">
        <f t="shared" si="12"/>
        <v>67.560825675310724</v>
      </c>
      <c r="DZ68" s="111">
        <f t="shared" si="12"/>
        <v>67.560825675310724</v>
      </c>
      <c r="EP68" t="s">
        <v>165</v>
      </c>
      <c r="EQ68">
        <v>1</v>
      </c>
      <c r="ER68" s="111">
        <f t="shared" si="13"/>
        <v>60.197910000000007</v>
      </c>
      <c r="ES68" s="111">
        <f>IF($BI$8=2015,VLOOKUP($L68,'[12]IMAGE CDLINKS CurPol'!$P$3:$Y$29,10,FALSE)*$AM68,VLOOKUP($L68,'[12]IMAGE CDLINKS CurPol'!$Z$3:$AI$29,10,FALSE)*$AP68)</f>
        <v>98.264443832969789</v>
      </c>
      <c r="ET68" s="111">
        <f t="shared" si="14"/>
        <v>0</v>
      </c>
      <c r="EU68" s="111">
        <f t="shared" si="19"/>
        <v>38.586335017895578</v>
      </c>
      <c r="EV68" s="111">
        <f>IF($BI$8=2015,VLOOKUP($L68,'[12]IMAGE CDLINKS 2C'!$P$3:$Y$29,10,FALSE)*$AM68,VLOOKUP($L68,'[12]IMAGE CDLINKS 2C'!$Z$3:$AI$29,10,FALSE)*$AP68)</f>
        <v>38.586335017895578</v>
      </c>
      <c r="EW68">
        <v>0</v>
      </c>
      <c r="EX68" s="111">
        <f>EW68-EV68</f>
        <v>-38.586335017895578</v>
      </c>
      <c r="EY68" s="111">
        <f t="shared" si="20"/>
        <v>0</v>
      </c>
      <c r="EZ68" s="111">
        <f>IF($BI$8=2015,VLOOKUP($L68,'[12]IMAGE CDLINKS 1_5C'!$P$3:$Y$29,10,FALSE)*$AM68,VLOOKUP($L68,'[12]IMAGE CDLINKS 1_5C'!$Z$3:$AI$29,10,FALSE)*$AP68)</f>
        <v>22.828689615117234</v>
      </c>
      <c r="FA68" s="192">
        <v>2050</v>
      </c>
    </row>
    <row r="69" spans="1:157" x14ac:dyDescent="0.25">
      <c r="A69" t="str">
        <f>IF([12]NDCs!C71="","",[12]NDCs!C71)</f>
        <v>B</v>
      </c>
      <c r="B69" s="159" t="str">
        <f t="shared" si="0"/>
        <v>ii</v>
      </c>
      <c r="C69">
        <v>1</v>
      </c>
      <c r="D69">
        <v>0</v>
      </c>
      <c r="E69">
        <v>0</v>
      </c>
      <c r="F69">
        <v>1</v>
      </c>
      <c r="G69" t="b">
        <f t="shared" si="1"/>
        <v>1</v>
      </c>
      <c r="H69" t="s">
        <v>2333</v>
      </c>
      <c r="I69" t="s">
        <v>167</v>
      </c>
      <c r="J69">
        <v>818</v>
      </c>
      <c r="K69">
        <v>211</v>
      </c>
      <c r="L69">
        <v>7</v>
      </c>
      <c r="M69" t="str">
        <f>IF([12]NDCs!AL71="Excluding","excl","incl")</f>
        <v>excl</v>
      </c>
      <c r="N69" s="177">
        <f>[12]EGP!$A$24*IF($M69="incl",[12]EGP!E$41,[12]EGP!E$37)</f>
        <v>128</v>
      </c>
      <c r="O69" s="177">
        <f>[12]EGP!$A$24*IF($M69="incl",[12]EGP!F$41,[12]EGP!F$37)</f>
        <v>131</v>
      </c>
      <c r="P69" s="177">
        <f>[12]EGP!$A$24*IF($M69="incl",[12]EGP!G$41,[12]EGP!G$37)</f>
        <v>134</v>
      </c>
      <c r="Q69" s="177">
        <f>[12]EGP!$A$24*IF($M69="incl",[12]EGP!H$41,[12]EGP!H$37)</f>
        <v>147</v>
      </c>
      <c r="R69" s="177">
        <f>[12]EGP!$A$24*IF($M69="incl",[12]EGP!I$41,[12]EGP!I$37)</f>
        <v>138</v>
      </c>
      <c r="S69" s="177">
        <f>[12]EGP!$A$24*IF($M69="incl",[12]EGP!J$41,[12]EGP!J$37)</f>
        <v>150</v>
      </c>
      <c r="T69" s="177">
        <f>[12]EGP!$A$24*IF($M69="incl",[12]EGP!K$41,[12]EGP!K$37)</f>
        <v>150</v>
      </c>
      <c r="U69" s="177">
        <f>[12]EGP!$A$24*IF($M69="incl",[12]EGP!L$41,[12]EGP!L$37)</f>
        <v>162</v>
      </c>
      <c r="V69" s="177">
        <f>[12]EGP!$A$24*IF($M69="incl",[12]EGP!M$41,[12]EGP!M$37)</f>
        <v>173</v>
      </c>
      <c r="W69" s="177">
        <f>[12]EGP!$A$24*IF($M69="incl",[12]EGP!N$41,[12]EGP!N$37)</f>
        <v>177</v>
      </c>
      <c r="X69" s="177">
        <f>[12]EGP!$A$24*IF($M69="incl",[12]EGP!O$41,[12]EGP!O$37)</f>
        <v>191</v>
      </c>
      <c r="Y69" s="177">
        <f>[12]EGP!$A$24*IF($M69="incl",[12]EGP!P$41,[12]EGP!P$37)</f>
        <v>185</v>
      </c>
      <c r="Z69" s="177">
        <f>[12]EGP!$A$24*IF($M69="incl",[12]EGP!Q$41,[12]EGP!Q$37)</f>
        <v>193</v>
      </c>
      <c r="AA69" s="177">
        <f>[12]EGP!$A$24*IF($M69="incl",[12]EGP!R$41,[12]EGP!R$37)</f>
        <v>218</v>
      </c>
      <c r="AB69" s="177">
        <f>[12]EGP!$A$24*IF($M69="incl",[12]EGP!S$41,[12]EGP!S$37)</f>
        <v>228</v>
      </c>
      <c r="AC69" s="177">
        <f>[12]EGP!$A$24*IF($M69="incl",[12]EGP!T$41,[12]EGP!T$37)</f>
        <v>251</v>
      </c>
      <c r="AD69" s="177">
        <f>[12]EGP!$A$24*IF($M69="incl",[12]EGP!U$41,[12]EGP!U$37)</f>
        <v>264</v>
      </c>
      <c r="AE69" s="177">
        <f>[12]EGP!$A$24*IF($M69="incl",[12]EGP!V$41,[12]EGP!V$37)</f>
        <v>274</v>
      </c>
      <c r="AF69" s="177">
        <f>[12]EGP!$A$24*IF($M69="incl",[12]EGP!W$41,[12]EGP!W$37)</f>
        <v>286</v>
      </c>
      <c r="AG69" s="177">
        <f>[12]EGP!$A$24*IF($M69="incl",[12]EGP!X$41,[12]EGP!X$37)</f>
        <v>291</v>
      </c>
      <c r="AH69" s="177">
        <f>[12]EGP!$A$24*IF($M69="incl",[12]EGP!Y$41,[12]EGP!Y$37)</f>
        <v>291</v>
      </c>
      <c r="AI69" s="177">
        <f>[12]EGP!$A$24*IF($M69="incl",[12]EGP!Z$41,[12]EGP!Z$37)</f>
        <v>308</v>
      </c>
      <c r="AJ69" s="177">
        <f>[12]EGP!$A$24*IF($M69="incl",[12]EGP!AA$41,[12]EGP!AA$37)</f>
        <v>306</v>
      </c>
      <c r="AK69" s="177">
        <f>[12]EGP!$A$24*IF($M69="incl",[12]EGP!AB$41,[12]EGP!AB$37)</f>
        <v>302</v>
      </c>
      <c r="AL69" s="177">
        <f>[12]EGP!$A$24*IF($M69="incl",[12]EGP!AC$41,[12]EGP!AC$37)</f>
        <v>318</v>
      </c>
      <c r="AM69" s="177">
        <f>[12]EGP!$A$24*IF($M69="incl",[12]EGP!AD$41,[12]EGP!AD$37)</f>
        <v>313</v>
      </c>
      <c r="AN69" s="177">
        <f>[12]EGP!$A$24*IF($M69="incl",[12]EGP!AE$41,[12]EGP!AE$37)</f>
        <v>329</v>
      </c>
      <c r="AO69" s="177">
        <f>[12]EGP!$A$24*IF($M69="incl",[12]EGP!AF$41,[12]EGP!AF$37)</f>
        <v>348</v>
      </c>
      <c r="AP69" s="177">
        <f>[12]EGP!$A$24*IF($M69="incl",[12]EGP!AG$41,[12]EGP!AG$37)</f>
        <v>347</v>
      </c>
      <c r="AQ69" s="177">
        <f>[12]EGP!$A$24*IF($M69="incl",[12]EGP!AH$41,[12]EGP!AH$37)</f>
        <v>353</v>
      </c>
      <c r="AR69" s="177">
        <f>[12]EGP!$A$24*IF($M69="incl",[12]EGP!AI$41,[12]EGP!AI$37)</f>
        <v>337</v>
      </c>
      <c r="AS69" s="177">
        <f>[12]EGP!$A$24*IF($M69="incl",[12]EGP!AJ$41,[12]EGP!AJ$37)</f>
        <v>346</v>
      </c>
      <c r="AT69" s="161">
        <f>VLOOKUP($L69,'[12]IMAGE SSP2'!$AF$3:$AK$29,4,FALSE)*$AM69</f>
        <v>365.02638570402451</v>
      </c>
      <c r="AU69" s="162">
        <f>VLOOKUP($L69,'[12]IMAGE SSP2'!$AF$3:$AK$29,5,FALSE)*$AM69</f>
        <v>406.56529709832392</v>
      </c>
      <c r="AV69" s="163">
        <f>VLOOKUP($L69,'[12]IMAGE SSP2'!$AF$3:$AK$29,6,FALSE)*$AM69</f>
        <v>428.85986731075945</v>
      </c>
      <c r="AW69" s="111">
        <f t="shared" si="15"/>
        <v>145.5</v>
      </c>
      <c r="AX69" s="164">
        <f>IF(A69="B",IF(M69="excl",[12]NatCom!CO59,[12]NatCom!AX59),"")</f>
        <v>0</v>
      </c>
      <c r="AY69" s="111" t="str">
        <f>IF('[12]Pledge 2020'!E59="","",'[12]Pledge 2020'!E59)</f>
        <v/>
      </c>
      <c r="AZ69" s="164" t="str">
        <f>IF('[12]Pledge 2020'!F59="","",'[12]Pledge 2020'!F59)</f>
        <v/>
      </c>
      <c r="BA69" s="111" t="str">
        <f t="shared" si="51"/>
        <v/>
      </c>
      <c r="BB69" s="111"/>
      <c r="BC69" s="111">
        <f t="shared" si="52"/>
        <v>444.75</v>
      </c>
      <c r="BD69" s="111">
        <f>IF(BH69="","",(BH69-AI69)*0.75+AI69)</f>
        <v>461</v>
      </c>
      <c r="BE69" s="111" t="s">
        <v>2477</v>
      </c>
      <c r="BF69" s="111"/>
      <c r="BG69" s="169">
        <v>496</v>
      </c>
      <c r="BH69" s="170">
        <v>512</v>
      </c>
      <c r="BI69" s="111" t="str">
        <f>IF([12]NDCs!V71="",IF([12]NDCs!X71="","",[12]NDCs!X71),[12]NDCs!V71)</f>
        <v/>
      </c>
      <c r="BJ69" s="111" t="str">
        <f>IF([12]NDCs!V71="",IF([12]NDCs!X71="","",[12]NDCs!X71),[12]NDCs!V71)</f>
        <v/>
      </c>
      <c r="BK69" s="111" t="str">
        <f>IF([12]NDCs!Z71="",IF([12]NDCs!AB71="",IF('input site'!BE69="","",'input site'!BE69),[12]NDCs!AB71),[12]NDCs!Z71)</f>
        <v/>
      </c>
      <c r="BL69" s="111" t="str">
        <f>IF([12]NDCs!AA71="",IF([12]NDCs!AC71="",IF('input site'!BF69="","",'input site'!BF69),[12]NDCs!AC71),[12]NDCs!AA71)</f>
        <v/>
      </c>
      <c r="BM69" s="207">
        <f>[12]EGP!$A$24*[12]EGP!AB$5</f>
        <v>0</v>
      </c>
      <c r="BN69" s="177">
        <f>[12]EGP!$A$24*[12]EGP!AB$7</f>
        <v>0</v>
      </c>
      <c r="BO69" s="177">
        <f>[12]EGP!$A$24*[12]EGP!AB$6</f>
        <v>0</v>
      </c>
      <c r="BP69" s="207">
        <f>[12]EGP!$A$24*[12]EGP!AC$5</f>
        <v>389.06589305</v>
      </c>
      <c r="BQ69" s="177">
        <f>[12]EGP!$A$24*[12]EGP!AC$7</f>
        <v>370.87932380000001</v>
      </c>
      <c r="BR69" s="177">
        <f>[12]EGP!$A$24*[12]EGP!AC$6</f>
        <v>407.25246229999999</v>
      </c>
      <c r="BS69" s="160">
        <f>[12]EGP!$A$24*[12]EGP!AD$5</f>
        <v>442.17304389999947</v>
      </c>
      <c r="BT69" s="177">
        <f>[12]EGP!$A$24*[12]EGP!AD$7</f>
        <v>401.01842379999999</v>
      </c>
      <c r="BU69" s="177">
        <f>[12]EGP!$A$24*[12]EGP!AD$6</f>
        <v>483.327663999999</v>
      </c>
      <c r="CN69" t="s">
        <v>167</v>
      </c>
      <c r="CO69" s="165" t="str">
        <f t="shared" si="2"/>
        <v/>
      </c>
      <c r="CP69" s="165" t="str">
        <f t="shared" si="2"/>
        <v/>
      </c>
      <c r="CQ69" s="165">
        <f t="shared" si="2"/>
        <v>0.12173278503194762</v>
      </c>
      <c r="CR69" s="165">
        <f t="shared" si="2"/>
        <v>0.15791771358136519</v>
      </c>
      <c r="CS69" s="185">
        <f>IF(BE69&lt;=MIN(BS69:BU69),0,1)</f>
        <v>1</v>
      </c>
      <c r="CT69" s="185">
        <f>IF(BG69&lt;=MIN(BS69:BU69),0,1)</f>
        <v>1</v>
      </c>
      <c r="CV69" s="126" t="str">
        <f>IF(CS69=1,IF(CU69=1,"i","ii"),IF(CU69=1,"iii","iv"))</f>
        <v>ii</v>
      </c>
      <c r="CW69" s="126" t="str">
        <f>IF(CT69=1,IF(CU69=1,"i","ii"),IF(CU69=1,"iii","iv"))</f>
        <v>ii</v>
      </c>
      <c r="CX69"/>
      <c r="CY69" s="167">
        <f t="shared" si="3"/>
        <v>365.02638570402451</v>
      </c>
      <c r="DB69" s="106"/>
      <c r="DC69" s="106"/>
      <c r="DD69" s="106"/>
      <c r="DE69" s="106"/>
      <c r="DF69" s="106"/>
      <c r="DG69" s="105" t="str">
        <f t="shared" si="4"/>
        <v>excl</v>
      </c>
      <c r="DH69" t="s">
        <v>167</v>
      </c>
      <c r="DI69" s="111">
        <f t="shared" si="45"/>
        <v>0</v>
      </c>
      <c r="DJ69" s="111">
        <f t="shared" si="45"/>
        <v>0</v>
      </c>
      <c r="DK69" s="111">
        <f t="shared" si="47"/>
        <v>0</v>
      </c>
      <c r="DL69" s="111">
        <f t="shared" si="48"/>
        <v>55.68410695</v>
      </c>
      <c r="DM69" s="111">
        <f t="shared" si="49"/>
        <v>0</v>
      </c>
      <c r="DN69" s="111">
        <f t="shared" si="50"/>
        <v>53.82695610000053</v>
      </c>
      <c r="DO69" s="111">
        <f t="shared" si="54"/>
        <v>0</v>
      </c>
      <c r="DP69" s="111">
        <f t="shared" si="55"/>
        <v>0</v>
      </c>
      <c r="DQ69" s="106"/>
      <c r="DR69" s="106"/>
      <c r="DS69" s="111"/>
      <c r="DT69" s="168"/>
      <c r="DW69" s="111">
        <f t="shared" si="12"/>
        <v>442.17304389999947</v>
      </c>
      <c r="DX69" s="111">
        <f t="shared" si="12"/>
        <v>442.17304389999947</v>
      </c>
      <c r="DY69" s="111">
        <f t="shared" si="12"/>
        <v>496</v>
      </c>
      <c r="DZ69" s="111">
        <f t="shared" si="12"/>
        <v>512</v>
      </c>
      <c r="EP69" t="s">
        <v>167</v>
      </c>
      <c r="EQ69">
        <v>0</v>
      </c>
      <c r="ER69" s="111">
        <f t="shared" si="13"/>
        <v>347</v>
      </c>
      <c r="ES69" s="111">
        <f>IF($BI$8=2015,VLOOKUP($L69,'[12]IMAGE CDLINKS CurPol'!$P$3:$Y$29,10,FALSE)*$AM69,VLOOKUP($L69,'[12]IMAGE CDLINKS CurPol'!$Z$3:$AI$29,10,FALSE)*$AP69)</f>
        <v>486.6021465064959</v>
      </c>
      <c r="ET69" s="111">
        <f t="shared" si="14"/>
        <v>486.6021465064959</v>
      </c>
      <c r="EU69" s="111">
        <f t="shared" si="19"/>
        <v>162.21159026616692</v>
      </c>
      <c r="EV69" s="111">
        <f>IF($BI$8=2015,VLOOKUP($L69,'[12]IMAGE CDLINKS 2C'!$P$3:$Y$29,10,FALSE)*$AM69,VLOOKUP($L69,'[12]IMAGE CDLINKS 2C'!$Z$3:$AI$29,10,FALSE)*$AP69)</f>
        <v>162.21159026616692</v>
      </c>
      <c r="EY69" s="111">
        <f t="shared" si="20"/>
        <v>48.303497170273346</v>
      </c>
      <c r="EZ69" s="111">
        <f>IF($BI$8=2015,VLOOKUP($L69,'[12]IMAGE CDLINKS 1_5C'!$P$3:$Y$29,10,FALSE)*$AM69,VLOOKUP($L69,'[12]IMAGE CDLINKS 1_5C'!$Z$3:$AI$29,10,FALSE)*$AP69)</f>
        <v>48.303497170273346</v>
      </c>
      <c r="FA69" s="192"/>
    </row>
    <row r="70" spans="1:157" x14ac:dyDescent="0.25">
      <c r="A70" t="str">
        <f>IF([12]NDCs!C72="","",[12]NDCs!C72)</f>
        <v>G</v>
      </c>
      <c r="B70" s="159" t="str">
        <f t="shared" si="0"/>
        <v>v</v>
      </c>
      <c r="C70">
        <v>0</v>
      </c>
      <c r="D70">
        <v>0</v>
      </c>
      <c r="E70">
        <v>0</v>
      </c>
      <c r="F70">
        <v>1</v>
      </c>
      <c r="G70" t="b">
        <f t="shared" si="1"/>
        <v>0</v>
      </c>
      <c r="H70" t="s">
        <v>2328</v>
      </c>
      <c r="I70" t="s">
        <v>169</v>
      </c>
      <c r="J70">
        <v>222</v>
      </c>
      <c r="K70">
        <v>57</v>
      </c>
      <c r="L70">
        <v>4</v>
      </c>
      <c r="M70" t="str">
        <f>IF([12]NDCs!AL72="Excluding","excl","incl")</f>
        <v>excl</v>
      </c>
      <c r="N70" s="160">
        <f>[12]GHG_hist!BA60+IF($M70="incl",[12]LULUCF_hist!CR60,0)</f>
        <v>10.41408</v>
      </c>
      <c r="O70" s="111">
        <f>[12]GHG_hist!BB60+IF($M70="incl",[12]LULUCF_hist!CS60,0)</f>
        <v>11.321873999999999</v>
      </c>
      <c r="P70" s="111">
        <f>[12]GHG_hist!BC60+IF($M70="incl",[12]LULUCF_hist!CT60,0)</f>
        <v>11.582537</v>
      </c>
      <c r="Q70" s="111">
        <f>[12]GHG_hist!BD60+IF($M70="incl",[12]LULUCF_hist!CU60,0)</f>
        <v>12.096376000000001</v>
      </c>
      <c r="R70" s="111">
        <f>[12]GHG_hist!BE60+IF($M70="incl",[12]LULUCF_hist!CV60,0)</f>
        <v>12.642762000000001</v>
      </c>
      <c r="S70" s="111">
        <f>[12]GHG_hist!BF60+IF($M70="incl",[12]LULUCF_hist!CW60,0)</f>
        <v>12.291613999999999</v>
      </c>
      <c r="T70" s="111">
        <f>[12]GHG_hist!BG60+IF($M70="incl",[12]LULUCF_hist!CX60,0)</f>
        <v>12.493606</v>
      </c>
      <c r="U70" s="111">
        <f>[12]GHG_hist!BH60+IF($M70="incl",[12]LULUCF_hist!CY60,0)</f>
        <v>13.363889</v>
      </c>
      <c r="V70" s="111">
        <f>[12]GHG_hist!BI60+IF($M70="incl",[12]LULUCF_hist!CZ60,0)</f>
        <v>12.705217000000001</v>
      </c>
      <c r="W70" s="111">
        <f>[12]GHG_hist!BJ60+IF($M70="incl",[12]LULUCF_hist!DA60,0)</f>
        <v>12.615515</v>
      </c>
      <c r="X70" s="111">
        <f>[12]GHG_hist!BK60+IF($M70="incl",[12]LULUCF_hist!DB60,0)</f>
        <v>11.661847</v>
      </c>
      <c r="Y70" s="111">
        <f>[12]GHG_hist!BL60+IF($M70="incl",[12]LULUCF_hist!DC60,0)</f>
        <v>12.134457000000001</v>
      </c>
      <c r="Z70" s="111">
        <f>[12]GHG_hist!BM60+IF($M70="incl",[12]LULUCF_hist!DD60,0)</f>
        <v>12.214722999999999</v>
      </c>
      <c r="AA70" s="111">
        <f>[12]GHG_hist!BN60+IF($M70="incl",[12]LULUCF_hist!DE60,0)</f>
        <v>12.263916</v>
      </c>
      <c r="AB70" s="111">
        <f>[12]GHG_hist!BO60+IF($M70="incl",[12]LULUCF_hist!DF60,0)</f>
        <v>12.171967</v>
      </c>
      <c r="AC70" s="111">
        <f>[12]GHG_hist!BP60+IF($M70="incl",[12]LULUCF_hist!DG60,0)</f>
        <v>12.226126000000001</v>
      </c>
      <c r="AD70" s="111">
        <f>[12]GHG_hist!BQ60+IF($M70="incl",[12]LULUCF_hist!DH60,0)</f>
        <v>12.750731</v>
      </c>
      <c r="AE70" s="111">
        <f>[12]GHG_hist!BR60+IF($M70="incl",[12]LULUCF_hist!DI60,0)</f>
        <v>12.811117000000001</v>
      </c>
      <c r="AF70" s="111">
        <f>[12]GHG_hist!BS60+IF($M70="incl",[12]LULUCF_hist!DJ60,0)</f>
        <v>12.259383</v>
      </c>
      <c r="AG70" s="111">
        <f>[12]GHG_hist!BT60+IF($M70="incl",[12]LULUCF_hist!DK60,0)</f>
        <v>11.995790000000001</v>
      </c>
      <c r="AH70" s="111">
        <f>[12]GHG_hist!BU60+IF($M70="incl",[12]LULUCF_hist!DL60,0)</f>
        <v>11.852198000000001</v>
      </c>
      <c r="AI70" s="111">
        <f>[12]GHG_hist!BV60+IF($M70="incl",[12]LULUCF_hist!DM60,0)</f>
        <v>11.729359000000001</v>
      </c>
      <c r="AJ70" s="111">
        <f>[12]GHG_hist!BW60+IF($M70="incl",[12]LULUCF_hist!DN60,0)</f>
        <v>11.870375000000001</v>
      </c>
      <c r="AK70" s="111">
        <f>[12]GHG_hist!BX60+IF($M70="incl",[12]LULUCF_hist!DO60,0)</f>
        <v>11.225693999999999</v>
      </c>
      <c r="AL70" s="111">
        <f>[12]GHG_hist!BY60+IF($M70="incl",[12]LULUCF_hist!DP60,0)</f>
        <v>11.352069999999999</v>
      </c>
      <c r="AM70" s="111">
        <f>[12]GHG_hist!BZ60+IF($M70="incl",[12]LULUCF_hist!DQ60,0)</f>
        <v>11.860593000000001</v>
      </c>
      <c r="AN70" s="111">
        <f>[12]GHG_hist!CA60+IF($M70="incl",[12]LULUCF_hist!DR60,0)</f>
        <v>11.673999</v>
      </c>
      <c r="AO70" s="111">
        <f>[12]GHG_hist!CB60+IF($M70="incl",[12]LULUCF_hist!DS60,0)</f>
        <v>11.036114</v>
      </c>
      <c r="AP70" s="111">
        <f>[12]GHG_hist!CC60+IF($M70="incl",[12]LULUCF_hist!DT60,0)</f>
        <v>12.297675999999999</v>
      </c>
      <c r="AQ70" s="111">
        <f>[12]GHG_hist!CD60+IF($M70="incl",[12]LULUCF_hist!DU60,0)</f>
        <v>12.905149</v>
      </c>
      <c r="AR70" s="111">
        <f>[12]GHG_hist!CE60+IF($M70="incl",[12]LULUCF_hist!DV60,0)</f>
        <v>11.66146</v>
      </c>
      <c r="AS70" s="111">
        <f>[12]GHG_hist!CF60+IF($M70="incl",[12]LULUCF_hist!DW60,0)</f>
        <v>12.649775999999999</v>
      </c>
      <c r="AT70" s="161">
        <f>VLOOKUP($L70,'[12]IMAGE SSP2'!$AF$3:$AK$29,4,FALSE)*$AM70</f>
        <v>13.485623384619725</v>
      </c>
      <c r="AU70" s="162">
        <f>VLOOKUP($L70,'[12]IMAGE SSP2'!$AF$3:$AK$29,5,FALSE)*$AM70</f>
        <v>15.087156034769844</v>
      </c>
      <c r="AV70" s="163">
        <f>VLOOKUP($L70,'[12]IMAGE SSP2'!$AF$3:$AK$29,6,FALSE)*$AM70</f>
        <v>15.926248151398676</v>
      </c>
      <c r="AW70" s="111" t="str">
        <f t="shared" si="15"/>
        <v/>
      </c>
      <c r="AX70" s="164" t="str">
        <f>IF(A70="B",IF(M70="excl",[12]NatCom!CO60,[12]NatCom!AX60),"")</f>
        <v/>
      </c>
      <c r="AY70" s="111" t="str">
        <f>IF('[12]Pledge 2020'!E60="","",'[12]Pledge 2020'!E60)</f>
        <v/>
      </c>
      <c r="AZ70" s="164" t="str">
        <f>IF('[12]Pledge 2020'!F60="","",'[12]Pledge 2020'!F60)</f>
        <v/>
      </c>
      <c r="BA70" s="111" t="str">
        <f t="shared" si="51"/>
        <v/>
      </c>
      <c r="BB70" s="111"/>
      <c r="BC70" s="111" t="str">
        <f t="shared" si="52"/>
        <v/>
      </c>
      <c r="BD70" s="111"/>
      <c r="BE70" s="111" t="s">
        <v>2477</v>
      </c>
      <c r="BF70" s="111"/>
      <c r="BG70" s="111" t="s">
        <v>2477</v>
      </c>
      <c r="BH70" s="164"/>
      <c r="BI70" s="111" t="str">
        <f>IF([12]NDCs!V72="",IF([12]NDCs!X72="","",[12]NDCs!X72),[12]NDCs!V72)</f>
        <v/>
      </c>
      <c r="BJ70" s="111" t="str">
        <f>IF([12]NDCs!V72="",IF([12]NDCs!X72="","",[12]NDCs!X72),[12]NDCs!V72)</f>
        <v/>
      </c>
      <c r="BK70" s="111" t="str">
        <f>IF([12]NDCs!Z72="",IF([12]NDCs!AB72="",IF('input site'!BE70="","",'input site'!BE70),[12]NDCs!AB72),[12]NDCs!Z72)</f>
        <v/>
      </c>
      <c r="BL70" s="111" t="str">
        <f>IF([12]NDCs!AA72="",IF([12]NDCs!AC72="",IF('input site'!BF70="","",'input site'!BF70),[12]NDCs!AC72),[12]NDCs!AA72)</f>
        <v/>
      </c>
      <c r="BM70" s="111">
        <f>IF($BI$8=2015,VLOOKUP($L70,'[12]IMAGE CurPol SSP'!$AZ$3:$BD$29,4,FALSE)*$AM70,IF($BI$8=2018,VLOOKUP($L70,'[12]IMAGE CurPol SSP'!$BJ$3:$BN$29,4,FALSE)*$AP70,$AR70))</f>
        <v>11.66146</v>
      </c>
      <c r="BN70" s="111">
        <f t="shared" ref="BN70:BO73" si="56">IF($BI$8=2015,"",IF($BI$8=2018,"",$AR70))</f>
        <v>11.66146</v>
      </c>
      <c r="BO70" s="111">
        <f t="shared" si="56"/>
        <v>11.66146</v>
      </c>
      <c r="BP70" s="111">
        <f>IF($BI$8=2015,VLOOKUP($L70,'[12]IMAGE CurPol SSP'!$AZ$3:$BD$29,5,FALSE)*$AM70,IF($BI$8=2018,VLOOKUP($L70,'[12]IMAGE CurPol SSP'!$BJ$3:$BN$29,5,FALSE)*$AP70,VLOOKUP($L70,'[12]IMAGE CurPol SSP'!$BU$3:$BZ$29,5,FALSE)*$AS70))</f>
        <v>13.861685560093456</v>
      </c>
      <c r="BQ70" s="111">
        <f>IF($BI$8=2015,"",IF($BI$8=2018,"",VLOOKUP($L70,'[12]IMAGE CurPol SSP'!$CQ$3:$CV$29,5,FALSE)*$AS70))</f>
        <v>13.625801566415738</v>
      </c>
      <c r="BR70" s="111">
        <f>IF($BI$8=2015,"",IF($BI$8=2018,"",VLOOKUP($L70,'[12]IMAGE CurPol SSP'!$CF$3:$CK$29,5,FALSE)*$AS70))</f>
        <v>14.406915206344108</v>
      </c>
      <c r="BS70" s="111">
        <f>IF($BI$8=2015,VLOOKUP($L70,'[12]IMAGE CurPol SSP'!$AZ$3:$BE$29,6,FALSE)*$AM70,IF($BI$8=2018,VLOOKUP($L70,'[12]IMAGE CurPol SSP'!$BJ$3:$BO$29,6,FALSE)*$AP70,VLOOKUP($L70,'[12]IMAGE CurPol SSP'!$BU$3:$BZ$29,6,FALSE)*$AS70))</f>
        <v>15.598049031675524</v>
      </c>
      <c r="BT70" s="111">
        <f>IF($BI$8=2015,"",IF($BI$8=2018,"",VLOOKUP($L70,'[12]IMAGE CurPol SSP'!$CQ$3:$CV$29,6,FALSE)*$AS70))</f>
        <v>15.239599005766575</v>
      </c>
      <c r="BU70" s="164">
        <f>IF($BI$8=2015,"",IF($BI$8=2018,"",VLOOKUP($L70,'[12]IMAGE CurPol SSP'!$CF$3:$CK$29,6,FALSE)*$AS70))</f>
        <v>16.688577358868816</v>
      </c>
      <c r="CN70" t="s">
        <v>169</v>
      </c>
      <c r="CO70" s="165" t="str">
        <f t="shared" si="2"/>
        <v/>
      </c>
      <c r="CP70" s="165" t="str">
        <f t="shared" si="2"/>
        <v/>
      </c>
      <c r="CQ70" s="165" t="str">
        <f t="shared" si="2"/>
        <v/>
      </c>
      <c r="CR70" s="165" t="str">
        <f t="shared" si="2"/>
        <v/>
      </c>
      <c r="CV70" s="125" t="s">
        <v>621</v>
      </c>
      <c r="CW70" s="125" t="s">
        <v>621</v>
      </c>
      <c r="CX70"/>
      <c r="CY70" s="167">
        <f t="shared" si="3"/>
        <v>1.8241633846197249</v>
      </c>
      <c r="DB70" s="106"/>
      <c r="DC70" s="106"/>
      <c r="DD70" s="106"/>
      <c r="DE70" s="106"/>
      <c r="DF70" s="106"/>
      <c r="DG70" s="105" t="str">
        <f t="shared" si="4"/>
        <v>excl</v>
      </c>
      <c r="DH70" t="s">
        <v>169</v>
      </c>
      <c r="DI70" s="111">
        <f t="shared" si="45"/>
        <v>0</v>
      </c>
      <c r="DJ70" s="111">
        <f t="shared" si="45"/>
        <v>0</v>
      </c>
      <c r="DK70" s="111">
        <f t="shared" si="47"/>
        <v>0</v>
      </c>
      <c r="DL70" s="111">
        <f t="shared" si="48"/>
        <v>0</v>
      </c>
      <c r="DM70" s="111">
        <f t="shared" si="49"/>
        <v>0</v>
      </c>
      <c r="DN70" s="111">
        <f t="shared" si="50"/>
        <v>0</v>
      </c>
      <c r="DO70" s="111">
        <f t="shared" si="54"/>
        <v>0</v>
      </c>
      <c r="DP70" s="111">
        <f t="shared" si="55"/>
        <v>0</v>
      </c>
      <c r="DQ70" s="106"/>
      <c r="DR70" s="106"/>
      <c r="DS70" s="111"/>
      <c r="DT70" s="168"/>
      <c r="DW70" s="111">
        <f t="shared" si="12"/>
        <v>15.598049031675524</v>
      </c>
      <c r="DX70" s="111">
        <f t="shared" si="12"/>
        <v>15.598049031675524</v>
      </c>
      <c r="DY70" s="111">
        <f t="shared" si="12"/>
        <v>15.598049031675524</v>
      </c>
      <c r="DZ70" s="111">
        <f t="shared" si="12"/>
        <v>15.598049031675524</v>
      </c>
      <c r="EP70" t="s">
        <v>169</v>
      </c>
      <c r="EQ70">
        <v>0</v>
      </c>
      <c r="ER70" s="111">
        <f t="shared" si="13"/>
        <v>12.297675999999999</v>
      </c>
      <c r="ES70" s="111">
        <f>IF($BI$8=2015,VLOOKUP($L70,'[12]IMAGE CDLINKS CurPol'!$P$3:$Y$29,10,FALSE)*$AM70,VLOOKUP($L70,'[12]IMAGE CDLINKS CurPol'!$Z$3:$AI$29,10,FALSE)*$AP70)</f>
        <v>23.291527702459263</v>
      </c>
      <c r="ET70" s="111">
        <f t="shared" si="14"/>
        <v>23.291527702459263</v>
      </c>
      <c r="EU70" s="111">
        <f t="shared" si="19"/>
        <v>6.4622410530252603</v>
      </c>
      <c r="EV70" s="111">
        <f>IF($BI$8=2015,VLOOKUP($L70,'[12]IMAGE CDLINKS 2C'!$P$3:$Y$29,10,FALSE)*$AM70,VLOOKUP($L70,'[12]IMAGE CDLINKS 2C'!$Z$3:$AI$29,10,FALSE)*$AP70)</f>
        <v>6.4622410530252603</v>
      </c>
      <c r="EY70" s="111">
        <f t="shared" si="20"/>
        <v>1.3142931897213996</v>
      </c>
      <c r="EZ70" s="111">
        <f>IF($BI$8=2015,VLOOKUP($L70,'[12]IMAGE CDLINKS 1_5C'!$P$3:$Y$29,10,FALSE)*$AM70,VLOOKUP($L70,'[12]IMAGE CDLINKS 1_5C'!$Z$3:$AI$29,10,FALSE)*$AP70)</f>
        <v>1.3142931897213996</v>
      </c>
      <c r="FA70" s="192"/>
    </row>
    <row r="71" spans="1:157" x14ac:dyDescent="0.25">
      <c r="A71" t="str">
        <f>IF([12]NDCs!C73="","",[12]NDCs!C73)</f>
        <v>A</v>
      </c>
      <c r="B71" s="159" t="str">
        <f t="shared" si="0"/>
        <v>v</v>
      </c>
      <c r="C71">
        <v>0</v>
      </c>
      <c r="D71">
        <v>0</v>
      </c>
      <c r="E71">
        <v>0</v>
      </c>
      <c r="F71">
        <v>1</v>
      </c>
      <c r="G71" t="b">
        <f t="shared" si="1"/>
        <v>1</v>
      </c>
      <c r="H71" t="s">
        <v>2328</v>
      </c>
      <c r="I71" t="s">
        <v>171</v>
      </c>
      <c r="J71">
        <v>226</v>
      </c>
      <c r="K71">
        <v>58</v>
      </c>
      <c r="L71">
        <v>8</v>
      </c>
      <c r="M71" t="str">
        <f>IF([12]NDCs!AL73="Excluding","excl","incl")</f>
        <v>incl</v>
      </c>
      <c r="N71" s="160">
        <f>[12]GHG_hist!BA61+IF($M71="incl",[12]LULUCF_hist!CR61,0)</f>
        <v>-8.4446960999999998</v>
      </c>
      <c r="O71" s="111">
        <f>[12]GHG_hist!BB61+IF($M71="incl",[12]LULUCF_hist!CS61,0)</f>
        <v>-7.7358206100000002</v>
      </c>
      <c r="P71" s="111">
        <f>[12]GHG_hist!BC61+IF($M71="incl",[12]LULUCF_hist!CT61,0)</f>
        <v>-6.9911310000000011</v>
      </c>
      <c r="Q71" s="111">
        <f>[12]GHG_hist!BD61+IF($M71="incl",[12]LULUCF_hist!CU61,0)</f>
        <v>-6.2160134000000005</v>
      </c>
      <c r="R71" s="111">
        <f>[12]GHG_hist!BE61+IF($M71="incl",[12]LULUCF_hist!CV61,0)</f>
        <v>-6.1287792000000003</v>
      </c>
      <c r="S71" s="111">
        <f>[12]GHG_hist!BF61+IF($M71="incl",[12]LULUCF_hist!CW61,0)</f>
        <v>-1.6768451000000004</v>
      </c>
      <c r="T71" s="111">
        <f>[12]GHG_hist!BG61+IF($M71="incl",[12]LULUCF_hist!CX61,0)</f>
        <v>-1.9669062000000013</v>
      </c>
      <c r="U71" s="111">
        <f>[12]GHG_hist!BH61+IF($M71="incl",[12]LULUCF_hist!CY61,0)</f>
        <v>-0.68604650000000156</v>
      </c>
      <c r="V71" s="111">
        <f>[12]GHG_hist!BI61+IF($M71="incl",[12]LULUCF_hist!CZ61,0)</f>
        <v>0.89890209999999904</v>
      </c>
      <c r="W71" s="111">
        <f>[12]GHG_hist!BJ61+IF($M71="incl",[12]LULUCF_hist!DA61,0)</f>
        <v>1.7571349999999999</v>
      </c>
      <c r="X71" s="111">
        <f>[12]GHG_hist!BK61+IF($M71="incl",[12]LULUCF_hist!DB61,0)</f>
        <v>3.2537999999999982</v>
      </c>
      <c r="Y71" s="111">
        <f>[12]GHG_hist!BL61+IF($M71="incl",[12]LULUCF_hist!DC61,0)</f>
        <v>5.6170819999999999</v>
      </c>
      <c r="Z71" s="111">
        <f>[12]GHG_hist!BM61+IF($M71="incl",[12]LULUCF_hist!DD61,0)</f>
        <v>5.6796980000000001</v>
      </c>
      <c r="AA71" s="111">
        <f>[12]GHG_hist!BN61+IF($M71="incl",[12]LULUCF_hist!DE61,0)</f>
        <v>7.9282719999999998</v>
      </c>
      <c r="AB71" s="111">
        <f>[12]GHG_hist!BO61+IF($M71="incl",[12]LULUCF_hist!DF61,0)</f>
        <v>8.8638339999999971</v>
      </c>
      <c r="AC71" s="111">
        <f>[12]GHG_hist!BP61+IF($M71="incl",[12]LULUCF_hist!DG61,0)</f>
        <v>9.9417870000000015</v>
      </c>
      <c r="AD71" s="111">
        <f>[12]GHG_hist!BQ61+IF($M71="incl",[12]LULUCF_hist!DH61,0)</f>
        <v>11.246509999999997</v>
      </c>
      <c r="AE71" s="111">
        <f>[12]GHG_hist!BR61+IF($M71="incl",[12]LULUCF_hist!DI61,0)</f>
        <v>10.639426</v>
      </c>
      <c r="AF71" s="111">
        <f>[12]GHG_hist!BS61+IF($M71="incl",[12]LULUCF_hist!DJ61,0)</f>
        <v>12.040982</v>
      </c>
      <c r="AG71" s="111">
        <f>[12]GHG_hist!BT61+IF($M71="incl",[12]LULUCF_hist!DK61,0)</f>
        <v>10.162525000000002</v>
      </c>
      <c r="AH71" s="111">
        <f>[12]GHG_hist!BU61+IF($M71="incl",[12]LULUCF_hist!DL61,0)</f>
        <v>10.792942</v>
      </c>
      <c r="AI71" s="111">
        <f>[12]GHG_hist!BV61+IF($M71="incl",[12]LULUCF_hist!DM61,0)</f>
        <v>11.353138999999999</v>
      </c>
      <c r="AJ71" s="111">
        <f>[12]GHG_hist!BW61+IF($M71="incl",[12]LULUCF_hist!DN61,0)</f>
        <v>11.022371</v>
      </c>
      <c r="AK71" s="111">
        <f>[12]GHG_hist!BX61+IF($M71="incl",[12]LULUCF_hist!DO61,0)</f>
        <v>10.078078000000001</v>
      </c>
      <c r="AL71" s="111">
        <f>[12]GHG_hist!BY61+IF($M71="incl",[12]LULUCF_hist!DP61,0)</f>
        <v>9.6014689999999963</v>
      </c>
      <c r="AM71" s="111">
        <f>[12]GHG_hist!BZ61+IF($M71="incl",[12]LULUCF_hist!DQ61,0)</f>
        <v>7.7177159999999922</v>
      </c>
      <c r="AN71" s="111">
        <f>[12]GHG_hist!CA61+IF($M71="incl",[12]LULUCF_hist!DR61,0)</f>
        <v>6.5953999999999944</v>
      </c>
      <c r="AO71" s="111">
        <f>[12]GHG_hist!CB61+IF($M71="incl",[12]LULUCF_hist!DS61,0)</f>
        <v>5.470846999999992</v>
      </c>
      <c r="AP71" s="111">
        <f>[12]GHG_hist!CC61+IF($M71="incl",[12]LULUCF_hist!DT61,0)</f>
        <v>6.838525999999991</v>
      </c>
      <c r="AQ71" s="111">
        <f>[12]GHG_hist!CD61+IF($M71="incl",[12]LULUCF_hist!DU61,0)</f>
        <v>6.4228619999999896</v>
      </c>
      <c r="AR71" s="111">
        <f>[12]GHG_hist!CE61+IF($M71="incl",[12]LULUCF_hist!DV61,0)</f>
        <v>6.3821789999999901</v>
      </c>
      <c r="AS71" s="111">
        <f>[12]GHG_hist!CF61+IF($M71="incl",[12]LULUCF_hist!DW61,0)</f>
        <v>3.9279379999999886</v>
      </c>
      <c r="AT71" s="171">
        <f>VLOOKUP($L71,'[12]IMAGE SSP2'!$AF$3:$AK$29,4,FALSE)*($AM71-'[12]IIASA Proj'!$EQ61)+('[12]IIASA Proj'!$EQ61+'[12]IIASA Proj'!$ER61)</f>
        <v>15.609725573915904</v>
      </c>
      <c r="AU71" s="172">
        <f>VLOOKUP($L71,'[12]IMAGE SSP2'!$AF$3:$AK$29,5,FALSE)*($AM71-'[12]IIASA Proj'!$EQ61)+('[12]IIASA Proj'!$EQ61+'[12]IIASA Proj'!$ES61)</f>
        <v>21.379742169448544</v>
      </c>
      <c r="AV71" s="173">
        <f>VLOOKUP($L71,'[12]IMAGE SSP2'!$AF$3:$AK$29,6,FALSE)*($AM71-'[12]IIASA Proj'!$EQ61)+('[12]IIASA Proj'!$EQ61+'[12]IIASA Proj'!$ET61)</f>
        <v>28.791663032780399</v>
      </c>
      <c r="AW71" s="111" t="str">
        <f t="shared" si="15"/>
        <v/>
      </c>
      <c r="AX71" s="164" t="str">
        <f>IF(A71="B",IF(M71="excl",[12]NatCom!CO61,[12]NatCom!AX61),"")</f>
        <v/>
      </c>
      <c r="AY71" s="111" t="str">
        <f>IF('[12]Pledge 2020'!E61="","",'[12]Pledge 2020'!E61)</f>
        <v/>
      </c>
      <c r="AZ71" s="164" t="str">
        <f>IF('[12]Pledge 2020'!F61="","",'[12]Pledge 2020'!F61)</f>
        <v/>
      </c>
      <c r="BA71" s="111" t="str">
        <f t="shared" si="51"/>
        <v/>
      </c>
      <c r="BB71" s="111"/>
      <c r="BC71" s="111">
        <f t="shared" si="52"/>
        <v>17.652731979999999</v>
      </c>
      <c r="BD71" s="111">
        <f>IF(BH71="","",(BH71-AH71)*0.75+AH71)</f>
        <v>17.652731979999999</v>
      </c>
      <c r="BE71" s="111" t="s">
        <v>2477</v>
      </c>
      <c r="BF71" s="111"/>
      <c r="BG71" s="111">
        <v>19.939328639999999</v>
      </c>
      <c r="BH71" s="111">
        <v>19.939328639999999</v>
      </c>
      <c r="BI71" s="111" t="str">
        <f>IF([12]NDCs!V73="",IF([12]NDCs!X73="","",[12]NDCs!X73),[12]NDCs!V73)</f>
        <v/>
      </c>
      <c r="BJ71" s="111" t="str">
        <f>IF([12]NDCs!V73="",IF([12]NDCs!X73="","",[12]NDCs!X73),[12]NDCs!V73)</f>
        <v/>
      </c>
      <c r="BK71" s="111">
        <f>IF([12]NDCs!Z73="",IF([12]NDCs!AB73="",IF('input site'!BE71="","",'input site'!BE71),[12]NDCs!AB73),[12]NDCs!Z73)</f>
        <v>19.939328639999999</v>
      </c>
      <c r="BL71" s="111">
        <f>IF([12]NDCs!AA73="",IF([12]NDCs!AC73="",IF('input site'!BF71="","",'input site'!BF71),[12]NDCs!AC73),[12]NDCs!AA73)</f>
        <v>19.939328639999999</v>
      </c>
      <c r="BM71" s="174">
        <f>IF($BI$8=2015,VLOOKUP($L71,'[12]IMAGE CurPol SSP'!$AZ$3:$BD$29,4,FALSE)*($AM71-'[12]IIASA Proj'!$EQ61)+('[12]IIASA Proj'!$EQ61+'[12]IIASA Proj'!$ER61),AR71)</f>
        <v>6.3821789999999901</v>
      </c>
      <c r="BN71" s="175">
        <f t="shared" si="56"/>
        <v>6.3821789999999901</v>
      </c>
      <c r="BO71" s="175">
        <f t="shared" si="56"/>
        <v>6.3821789999999901</v>
      </c>
      <c r="BP71" s="174">
        <f>IF($BI$8=2015,VLOOKUP($L71,'[12]IMAGE CurPol SSP'!$AZ$3:$BD$29,5,FALSE)*($AM71-'[12]IIASA Proj'!$EQ61)+('[12]IIASA Proj'!$EQ61+'[12]IIASA Proj'!$ES61),VLOOKUP($L71,'[12]IMAGE CurPol SSP'!$BU$3:$BZ$29,5,FALSE)*($AS71-'[12]IIASA Proj'!$DV61)+('[12]IIASA Proj'!$EA61))</f>
        <v>6.2563069231835691</v>
      </c>
      <c r="BQ71" s="174">
        <f>IF($BI$8=2015,"",IF($BI$8=2018,"",MIN(BP71,VLOOKUP($L71,'[12]IMAGE CurPol SSP'!$CQ$3:$CV$29,5,FALSE)*$AS71)))</f>
        <v>4.0231496436205614</v>
      </c>
      <c r="BR71" s="174">
        <f>IF($BI$8=2015,"",IF($BI$8=2018,"",MAX(BP71,VLOOKUP($L71,'[12]IMAGE CurPol SSP'!$CF$3:$CK$29,5,FALSE)*$AS71)))</f>
        <v>6.2563069231835691</v>
      </c>
      <c r="BS71" s="174">
        <f>IF($BI$8=2015,VLOOKUP($L71,'[12]IMAGE CurPol SSP'!$AZ$3:$BE$29,6,FALSE)*($AM71-'[12]IIASA Proj'!$EQ61)+('[12]IIASA Proj'!$EQ61+'[12]IIASA Proj'!$ET61),VLOOKUP($L71,'[12]IMAGE CurPol SSP'!$BU$3:$BZ$29,6,FALSE)*($AS71-'[12]IIASA Proj'!$DV61)+('[12]IIASA Proj'!$EF61))</f>
        <v>10.023281862303143</v>
      </c>
      <c r="BT71" s="174">
        <f>IF($BI$8=2015,"",IF($BI$8=2018,"",MIN($BS71,VLOOKUP($L71,'[12]IMAGE CurPol SSP'!$CQ$3:$CV$29,6,FALSE)*$AS71)))</f>
        <v>4.5569463065650382</v>
      </c>
      <c r="BU71" s="176">
        <f>IF($BI$8=2015,"",IF($BI$8=2018,"",MAX($BS71,VLOOKUP($L71,'[12]IMAGE CurPol SSP'!$CF$3:$CK$29,6,FALSE)*$AS71)))</f>
        <v>10.023281862303143</v>
      </c>
      <c r="CN71" t="s">
        <v>171</v>
      </c>
      <c r="CO71" s="165" t="str">
        <f t="shared" si="2"/>
        <v/>
      </c>
      <c r="CP71" s="165" t="str">
        <f t="shared" si="2"/>
        <v/>
      </c>
      <c r="CQ71" s="165">
        <f t="shared" si="2"/>
        <v>0.9893013998728708</v>
      </c>
      <c r="CR71" s="165">
        <f t="shared" si="2"/>
        <v>0.9893013998728708</v>
      </c>
      <c r="CV71" s="125" t="s">
        <v>621</v>
      </c>
      <c r="CW71" s="125" t="s">
        <v>621</v>
      </c>
      <c r="CX71"/>
      <c r="CY71" s="167">
        <f t="shared" si="3"/>
        <v>9.2275465739159142</v>
      </c>
      <c r="DB71" s="106"/>
      <c r="DC71" s="106"/>
      <c r="DD71" s="106"/>
      <c r="DE71" s="106"/>
      <c r="DF71" s="106"/>
      <c r="DG71" s="105" t="str">
        <f t="shared" si="4"/>
        <v>incl</v>
      </c>
      <c r="DH71" t="s">
        <v>171</v>
      </c>
      <c r="DI71" s="111">
        <f t="shared" si="45"/>
        <v>0</v>
      </c>
      <c r="DJ71" s="111">
        <f t="shared" si="45"/>
        <v>0</v>
      </c>
      <c r="DK71" s="111">
        <f t="shared" si="47"/>
        <v>0</v>
      </c>
      <c r="DL71" s="111">
        <f t="shared" si="48"/>
        <v>11.39642505681643</v>
      </c>
      <c r="DM71" s="111">
        <f t="shared" si="49"/>
        <v>0</v>
      </c>
      <c r="DN71" s="111">
        <f t="shared" si="50"/>
        <v>9.9160467776968559</v>
      </c>
      <c r="DO71" s="111">
        <f t="shared" si="54"/>
        <v>0</v>
      </c>
      <c r="DP71" s="111">
        <f t="shared" si="55"/>
        <v>9.9160467776968559</v>
      </c>
      <c r="DQ71" s="106"/>
      <c r="DR71" s="106"/>
      <c r="DS71" s="177">
        <f>[12]GHG_hist!BZ61+IF($M71="incl",[12]LULUCF_hist!DQ61,0)</f>
        <v>7.7177159999999922</v>
      </c>
      <c r="DT71" s="178">
        <f>IF($M71="incl",'[12]IIASA Proj'!EQ61,0)</f>
        <v>-10.699521200000007</v>
      </c>
      <c r="DW71" s="111">
        <f t="shared" si="12"/>
        <v>10.023281862303143</v>
      </c>
      <c r="DX71" s="111">
        <f t="shared" si="12"/>
        <v>10.023281862303143</v>
      </c>
      <c r="DY71" s="111">
        <f t="shared" si="12"/>
        <v>19.939328639999999</v>
      </c>
      <c r="DZ71" s="111">
        <f t="shared" si="12"/>
        <v>19.939328639999999</v>
      </c>
      <c r="EP71" t="s">
        <v>171</v>
      </c>
      <c r="EQ71">
        <v>0</v>
      </c>
      <c r="ER71" s="111">
        <f t="shared" si="13"/>
        <v>6.838525999999991</v>
      </c>
      <c r="ES71" s="111">
        <f>IF($BI$8=2015,VLOOKUP($L71,'[12]IMAGE CDLINKS CurPol'!$P$3:$Y$29,10,FALSE)*$AM71,VLOOKUP($L71,'[12]IMAGE CDLINKS CurPol'!$Z$3:$AI$29,10,FALSE)*$AP71)</f>
        <v>14.27798774459542</v>
      </c>
      <c r="ET71" s="111">
        <f t="shared" si="14"/>
        <v>14.27798774459542</v>
      </c>
      <c r="EU71" s="111">
        <f t="shared" si="19"/>
        <v>6.516405007905437</v>
      </c>
      <c r="EV71" s="111">
        <f>IF($BI$8=2015,VLOOKUP($L71,'[12]IMAGE CDLINKS 2C'!$P$3:$Y$29,10,FALSE)*$AM71,VLOOKUP($L71,'[12]IMAGE CDLINKS 2C'!$Z$3:$AI$29,10,FALSE)*$AP71)</f>
        <v>6.516405007905437</v>
      </c>
      <c r="EY71" s="111">
        <f t="shared" si="20"/>
        <v>3.7117461493366402</v>
      </c>
      <c r="EZ71" s="111">
        <f>IF($BI$8=2015,VLOOKUP($L71,'[12]IMAGE CDLINKS 1_5C'!$P$3:$Y$29,10,FALSE)*$AM71,VLOOKUP($L71,'[12]IMAGE CDLINKS 1_5C'!$Z$3:$AI$29,10,FALSE)*$AP71)</f>
        <v>3.7117461493366402</v>
      </c>
      <c r="FA71" s="192"/>
    </row>
    <row r="72" spans="1:157" x14ac:dyDescent="0.25">
      <c r="A72" t="str">
        <f>IF([12]NDCs!C74="","",[12]NDCs!C74)</f>
        <v>G</v>
      </c>
      <c r="B72" s="159" t="str">
        <f t="shared" si="0"/>
        <v>v</v>
      </c>
      <c r="C72">
        <v>0</v>
      </c>
      <c r="D72">
        <v>0</v>
      </c>
      <c r="E72">
        <v>0</v>
      </c>
      <c r="F72">
        <v>1</v>
      </c>
      <c r="G72" t="b">
        <f t="shared" si="1"/>
        <v>0</v>
      </c>
      <c r="H72" t="s">
        <v>2333</v>
      </c>
      <c r="I72" t="s">
        <v>173</v>
      </c>
      <c r="J72">
        <v>232</v>
      </c>
      <c r="K72">
        <v>60</v>
      </c>
      <c r="L72">
        <v>9</v>
      </c>
      <c r="M72" t="str">
        <f>IF([12]NDCs!AL74="Excluding","excl","incl")</f>
        <v>excl</v>
      </c>
      <c r="N72" s="160">
        <f>[12]GHG_hist!BA62+IF($M72="incl",[12]LULUCF_hist!CR62,0)</f>
        <v>4.2698913000000003</v>
      </c>
      <c r="O72" s="111">
        <f>[12]GHG_hist!BB62+IF($M72="incl",[12]LULUCF_hist!CS62,0)</f>
        <v>4.2480435999999999</v>
      </c>
      <c r="P72" s="111">
        <f>[12]GHG_hist!BC62+IF($M72="incl",[12]LULUCF_hist!CT62,0)</f>
        <v>4.3920699999999995</v>
      </c>
      <c r="Q72" s="111">
        <f>[12]GHG_hist!BD62+IF($M72="incl",[12]LULUCF_hist!CU62,0)</f>
        <v>3.8637621000000002</v>
      </c>
      <c r="R72" s="111">
        <f>[12]GHG_hist!BE62+IF($M72="incl",[12]LULUCF_hist!CV62,0)</f>
        <v>4.0102627000000002</v>
      </c>
      <c r="S72" s="111">
        <f>[12]GHG_hist!BF62+IF($M72="incl",[12]LULUCF_hist!CW62,0)</f>
        <v>4.3134436999999997</v>
      </c>
      <c r="T72" s="111">
        <f>[12]GHG_hist!BG62+IF($M72="incl",[12]LULUCF_hist!CX62,0)</f>
        <v>5.0291686000000002</v>
      </c>
      <c r="U72" s="111">
        <f>[12]GHG_hist!BH62+IF($M72="incl",[12]LULUCF_hist!CY62,0)</f>
        <v>5.6606183000000003</v>
      </c>
      <c r="V72" s="111">
        <f>[12]GHG_hist!BI62+IF($M72="incl",[12]LULUCF_hist!CZ62,0)</f>
        <v>5.6422763000000007</v>
      </c>
      <c r="W72" s="111">
        <f>[12]GHG_hist!BJ62+IF($M72="incl",[12]LULUCF_hist!DA62,0)</f>
        <v>5.9627509999999999</v>
      </c>
      <c r="X72" s="111">
        <f>[12]GHG_hist!BK62+IF($M72="incl",[12]LULUCF_hist!DB62,0)</f>
        <v>6.1429948999999997</v>
      </c>
      <c r="Y72" s="111">
        <f>[12]GHG_hist!BL62+IF($M72="incl",[12]LULUCF_hist!DC62,0)</f>
        <v>5.7968776000000002</v>
      </c>
      <c r="Z72" s="111">
        <f>[12]GHG_hist!BM62+IF($M72="incl",[12]LULUCF_hist!DD62,0)</f>
        <v>5.7507904999999999</v>
      </c>
      <c r="AA72" s="111">
        <f>[12]GHG_hist!BN62+IF($M72="incl",[12]LULUCF_hist!DE62,0)</f>
        <v>5.9095487999999996</v>
      </c>
      <c r="AB72" s="111">
        <f>[12]GHG_hist!BO62+IF($M72="incl",[12]LULUCF_hist!DF62,0)</f>
        <v>5.9420643000000002</v>
      </c>
      <c r="AC72" s="111">
        <f>[12]GHG_hist!BP62+IF($M72="incl",[12]LULUCF_hist!DG62,0)</f>
        <v>6.0470977000000001</v>
      </c>
      <c r="AD72" s="111">
        <f>[12]GHG_hist!BQ62+IF($M72="incl",[12]LULUCF_hist!DH62,0)</f>
        <v>5.8883824000000002</v>
      </c>
      <c r="AE72" s="111">
        <f>[12]GHG_hist!BR62+IF($M72="incl",[12]LULUCF_hist!DI62,0)</f>
        <v>6.2388385</v>
      </c>
      <c r="AF72" s="111">
        <f>[12]GHG_hist!BS62+IF($M72="incl",[12]LULUCF_hist!DJ62,0)</f>
        <v>6.2495031000000001</v>
      </c>
      <c r="AG72" s="111">
        <f>[12]GHG_hist!BT62+IF($M72="incl",[12]LULUCF_hist!DK62,0)</f>
        <v>6.2785041000000001</v>
      </c>
      <c r="AH72" s="111">
        <f>[12]GHG_hist!BU62+IF($M72="incl",[12]LULUCF_hist!DL62,0)</f>
        <v>6.1711027000000005</v>
      </c>
      <c r="AI72" s="111">
        <f>[12]GHG_hist!BV62+IF($M72="incl",[12]LULUCF_hist!DM62,0)</f>
        <v>6.5163576000000001</v>
      </c>
      <c r="AJ72" s="111">
        <f>[12]GHG_hist!BW62+IF($M72="incl",[12]LULUCF_hist!DN62,0)</f>
        <v>6.6340739000000006</v>
      </c>
      <c r="AK72" s="111">
        <f>[12]GHG_hist!BX62+IF($M72="incl",[12]LULUCF_hist!DO62,0)</f>
        <v>6.6933951</v>
      </c>
      <c r="AL72" s="111">
        <f>[12]GHG_hist!BY62+IF($M72="incl",[12]LULUCF_hist!DP62,0)</f>
        <v>6.7212588999999996</v>
      </c>
      <c r="AM72" s="111">
        <f>[12]GHG_hist!BZ62+IF($M72="incl",[12]LULUCF_hist!DQ62,0)</f>
        <v>6.7226750000000006</v>
      </c>
      <c r="AN72" s="111">
        <f>[12]GHG_hist!CA62+IF($M72="incl",[12]LULUCF_hist!DR62,0)</f>
        <v>6.7746542000000005</v>
      </c>
      <c r="AO72" s="111">
        <f>[12]GHG_hist!CB62+IF($M72="incl",[12]LULUCF_hist!DS62,0)</f>
        <v>6.7991674</v>
      </c>
      <c r="AP72" s="111">
        <f>[12]GHG_hist!CC62+IF($M72="incl",[12]LULUCF_hist!DT62,0)</f>
        <v>6.8289956000000007</v>
      </c>
      <c r="AQ72" s="111">
        <f>[12]GHG_hist!CD62+IF($M72="incl",[12]LULUCF_hist!DU62,0)</f>
        <v>6.8431856</v>
      </c>
      <c r="AR72" s="111">
        <f>[12]GHG_hist!CE62+IF($M72="incl",[12]LULUCF_hist!DV62,0)</f>
        <v>6.8146374999999999</v>
      </c>
      <c r="AS72" s="111">
        <f>[12]GHG_hist!CF62+IF($M72="incl",[12]LULUCF_hist!DW62,0)</f>
        <v>6.9140739999999994</v>
      </c>
      <c r="AT72" s="161">
        <f>VLOOKUP($L72,'[12]IMAGE SSP2'!$AF$3:$AK$29,4,FALSE)*$AM72</f>
        <v>7.6894044358720244</v>
      </c>
      <c r="AU72" s="162">
        <f>VLOOKUP($L72,'[12]IMAGE SSP2'!$AF$3:$AK$29,5,FALSE)*$AM72</f>
        <v>8.8087663463783432</v>
      </c>
      <c r="AV72" s="163">
        <f>VLOOKUP($L72,'[12]IMAGE SSP2'!$AF$3:$AK$29,6,FALSE)*$AM72</f>
        <v>10.213826339495512</v>
      </c>
      <c r="AW72" s="111" t="str">
        <f t="shared" si="15"/>
        <v/>
      </c>
      <c r="AX72" s="164" t="str">
        <f>IF(A72="B",IF(M72="excl",[12]NatCom!CO62,[12]NatCom!AX62),"")</f>
        <v/>
      </c>
      <c r="AY72" s="111" t="str">
        <f>IF('[12]Pledge 2020'!E62="","",'[12]Pledge 2020'!E62)</f>
        <v/>
      </c>
      <c r="AZ72" s="164" t="str">
        <f>IF('[12]Pledge 2020'!F62="","",'[12]Pledge 2020'!F62)</f>
        <v/>
      </c>
      <c r="BA72" s="111" t="str">
        <f t="shared" si="51"/>
        <v/>
      </c>
      <c r="BB72" s="111"/>
      <c r="BC72" s="111" t="str">
        <f t="shared" si="52"/>
        <v/>
      </c>
      <c r="BD72" s="111"/>
      <c r="BE72" s="111" t="s">
        <v>2477</v>
      </c>
      <c r="BF72" s="111"/>
      <c r="BG72" s="111" t="s">
        <v>2477</v>
      </c>
      <c r="BH72" s="164"/>
      <c r="BI72" s="111" t="str">
        <f>IF([12]NDCs!V74="",IF([12]NDCs!X74="","",[12]NDCs!X74),[12]NDCs!V74)</f>
        <v/>
      </c>
      <c r="BJ72" s="111" t="str">
        <f>IF([12]NDCs!V74="",IF([12]NDCs!X74="","",[12]NDCs!X74),[12]NDCs!V74)</f>
        <v/>
      </c>
      <c r="BK72" s="111" t="str">
        <f>IF([12]NDCs!Z74="",IF([12]NDCs!AB74="",IF('input site'!BE72="","",'input site'!BE72),[12]NDCs!AB74),[12]NDCs!Z74)</f>
        <v/>
      </c>
      <c r="BL72" s="111" t="str">
        <f>IF([12]NDCs!AA74="",IF([12]NDCs!AC74="",IF('input site'!BF72="","",'input site'!BF72),[12]NDCs!AC74),[12]NDCs!AA74)</f>
        <v/>
      </c>
      <c r="BM72" s="111">
        <f>IF($BI$8=2015,VLOOKUP($L72,'[12]IMAGE CurPol SSP'!$AZ$3:$BD$29,4,FALSE)*$AM72,IF($BI$8=2018,VLOOKUP($L72,'[12]IMAGE CurPol SSP'!$BJ$3:$BN$29,4,FALSE)*$AP72,$AR72))</f>
        <v>6.8146374999999999</v>
      </c>
      <c r="BN72" s="111">
        <f t="shared" si="56"/>
        <v>6.8146374999999999</v>
      </c>
      <c r="BO72" s="111">
        <f t="shared" si="56"/>
        <v>6.8146374999999999</v>
      </c>
      <c r="BP72" s="111">
        <f>IF($BI$8=2015,VLOOKUP($L72,'[12]IMAGE CurPol SSP'!$AZ$3:$BD$29,5,FALSE)*$AM72,IF($BI$8=2018,VLOOKUP($L72,'[12]IMAGE CurPol SSP'!$BJ$3:$BN$29,5,FALSE)*$AP72,VLOOKUP($L72,'[12]IMAGE CurPol SSP'!$BU$3:$BZ$29,5,FALSE)*$AS72))</f>
        <v>8.6364753696005501</v>
      </c>
      <c r="BQ72" s="111">
        <f>IF($BI$8=2015,"",IF($BI$8=2018,"",VLOOKUP($L72,'[12]IMAGE CurPol SSP'!$CQ$3:$CV$29,5,FALSE)*$AS72))</f>
        <v>8.5755327837671445</v>
      </c>
      <c r="BR72" s="111">
        <f>IF($BI$8=2015,"",IF($BI$8=2018,"",VLOOKUP($L72,'[12]IMAGE CurPol SSP'!$CF$3:$CK$29,5,FALSE)*$AS72))</f>
        <v>8.7638441523576418</v>
      </c>
      <c r="BS72" s="111">
        <f>IF($BI$8=2015,VLOOKUP($L72,'[12]IMAGE CurPol SSP'!$AZ$3:$BE$29,6,FALSE)*$AM72,IF($BI$8=2018,VLOOKUP($L72,'[12]IMAGE CurPol SSP'!$BJ$3:$BO$29,6,FALSE)*$AP72,VLOOKUP($L72,'[12]IMAGE CurPol SSP'!$BU$3:$BZ$29,6,FALSE)*$AS72))</f>
        <v>10.882034537299685</v>
      </c>
      <c r="BT72" s="111">
        <f>IF($BI$8=2015,"",IF($BI$8=2018,"",VLOOKUP($L72,'[12]IMAGE CurPol SSP'!$CQ$3:$CV$29,6,FALSE)*$AS72))</f>
        <v>10.729385791571008</v>
      </c>
      <c r="BU72" s="164">
        <f>IF($BI$8=2015,"",IF($BI$8=2018,"",VLOOKUP($L72,'[12]IMAGE CurPol SSP'!$CF$3:$CK$29,6,FALSE)*$AS72))</f>
        <v>11.193213904195826</v>
      </c>
      <c r="CN72" t="s">
        <v>173</v>
      </c>
      <c r="CO72" s="165" t="str">
        <f t="shared" si="2"/>
        <v/>
      </c>
      <c r="CP72" s="165" t="str">
        <f t="shared" si="2"/>
        <v/>
      </c>
      <c r="CQ72" s="165" t="str">
        <f t="shared" si="2"/>
        <v/>
      </c>
      <c r="CR72" s="165" t="str">
        <f t="shared" si="2"/>
        <v/>
      </c>
      <c r="CV72" s="125" t="s">
        <v>621</v>
      </c>
      <c r="CW72" s="125" t="s">
        <v>621</v>
      </c>
      <c r="CX72"/>
      <c r="CY72" s="167">
        <f t="shared" si="3"/>
        <v>0.87476693587202448</v>
      </c>
      <c r="DB72" s="106"/>
      <c r="DC72" s="106"/>
      <c r="DD72" s="106"/>
      <c r="DE72" s="106"/>
      <c r="DF72" s="106"/>
      <c r="DG72" s="105" t="str">
        <f t="shared" si="4"/>
        <v>excl</v>
      </c>
      <c r="DH72" t="s">
        <v>173</v>
      </c>
      <c r="DI72" s="111">
        <f t="shared" si="45"/>
        <v>0</v>
      </c>
      <c r="DJ72" s="111">
        <f t="shared" si="45"/>
        <v>0</v>
      </c>
      <c r="DK72" s="111">
        <f t="shared" si="47"/>
        <v>0</v>
      </c>
      <c r="DL72" s="111">
        <f t="shared" si="48"/>
        <v>0</v>
      </c>
      <c r="DM72" s="111">
        <f t="shared" si="49"/>
        <v>0</v>
      </c>
      <c r="DN72" s="111">
        <f t="shared" si="50"/>
        <v>0</v>
      </c>
      <c r="DO72" s="111">
        <f t="shared" si="54"/>
        <v>0</v>
      </c>
      <c r="DP72" s="111">
        <f t="shared" si="55"/>
        <v>0</v>
      </c>
      <c r="DQ72" s="106"/>
      <c r="DR72" s="106"/>
      <c r="DS72" s="111"/>
      <c r="DT72" s="168"/>
      <c r="DW72" s="111">
        <f t="shared" si="12"/>
        <v>10.882034537299685</v>
      </c>
      <c r="DX72" s="111">
        <f t="shared" si="12"/>
        <v>10.882034537299685</v>
      </c>
      <c r="DY72" s="111">
        <f t="shared" si="12"/>
        <v>10.882034537299685</v>
      </c>
      <c r="DZ72" s="111">
        <f t="shared" si="12"/>
        <v>10.882034537299685</v>
      </c>
      <c r="EP72" t="s">
        <v>173</v>
      </c>
      <c r="EQ72">
        <v>-1</v>
      </c>
      <c r="ER72" s="111">
        <f t="shared" si="13"/>
        <v>6.8289956000000007</v>
      </c>
      <c r="ES72" s="111">
        <f>IF($BI$8=2015,VLOOKUP($L72,'[12]IMAGE CDLINKS CurPol'!$P$3:$Y$29,10,FALSE)*$AM72,VLOOKUP($L72,'[12]IMAGE CDLINKS CurPol'!$Z$3:$AI$29,10,FALSE)*$AP72)</f>
        <v>14.889689753612263</v>
      </c>
      <c r="ET72" s="111">
        <f t="shared" si="14"/>
        <v>14.889689753612263</v>
      </c>
      <c r="EU72" s="111">
        <f t="shared" si="19"/>
        <v>8.0025219316215424</v>
      </c>
      <c r="EV72" s="111">
        <f>IF($BI$8=2015,VLOOKUP($L72,'[12]IMAGE CDLINKS 2C'!$P$3:$Y$29,10,FALSE)*$AM72,VLOOKUP($L72,'[12]IMAGE CDLINKS 2C'!$Z$3:$AI$29,10,FALSE)*$AP72)</f>
        <v>8.0025219316215424</v>
      </c>
      <c r="EX72" s="111"/>
      <c r="EY72" s="111">
        <f t="shared" si="20"/>
        <v>7.3116890858770107</v>
      </c>
      <c r="EZ72" s="111">
        <f>IF($BI$8=2015,VLOOKUP($L72,'[12]IMAGE CDLINKS 1_5C'!$P$3:$Y$29,10,FALSE)*$AM72,VLOOKUP($L72,'[12]IMAGE CDLINKS 1_5C'!$Z$3:$AI$29,10,FALSE)*$AP72)</f>
        <v>7.3116890858770107</v>
      </c>
      <c r="FA72" s="192">
        <v>2050</v>
      </c>
    </row>
    <row r="73" spans="1:157" x14ac:dyDescent="0.25">
      <c r="A73" t="str">
        <f>IF([12]NDCs!C75="","",[12]NDCs!C75)</f>
        <v>A</v>
      </c>
      <c r="B73" s="159" t="str">
        <f t="shared" si="0"/>
        <v>v</v>
      </c>
      <c r="C73">
        <v>0</v>
      </c>
      <c r="D73">
        <v>1</v>
      </c>
      <c r="E73">
        <v>0</v>
      </c>
      <c r="F73">
        <v>1</v>
      </c>
      <c r="G73" t="b">
        <f t="shared" si="1"/>
        <v>1</v>
      </c>
      <c r="H73" t="s">
        <v>2335</v>
      </c>
      <c r="I73" t="s">
        <v>175</v>
      </c>
      <c r="J73">
        <v>233</v>
      </c>
      <c r="K73">
        <v>61</v>
      </c>
      <c r="L73">
        <v>12</v>
      </c>
      <c r="M73" t="str">
        <f>IF([12]NDCs!AL75="Excluding","excl","incl")</f>
        <v>incl</v>
      </c>
      <c r="N73" s="160">
        <f>[12]GHG_hist!BA63+IF($M73="incl",[12]LULUCF_hist!CR63,0)</f>
        <v>36.500247515051321</v>
      </c>
      <c r="O73" s="111">
        <f>[12]GHG_hist!BB63+IF($M73="incl",[12]LULUCF_hist!CS63,0)</f>
        <v>33.758234728727508</v>
      </c>
      <c r="P73" s="111">
        <f>[12]GHG_hist!BC63+IF($M73="incl",[12]LULUCF_hist!CT63,0)</f>
        <v>24.58356171958145</v>
      </c>
      <c r="Q73" s="111">
        <f>[12]GHG_hist!BD63+IF($M73="incl",[12]LULUCF_hist!CU63,0)</f>
        <v>17.972478729259482</v>
      </c>
      <c r="R73" s="111">
        <f>[12]GHG_hist!BE63+IF($M73="incl",[12]LULUCF_hist!CV63,0)</f>
        <v>19.025104041316673</v>
      </c>
      <c r="S73" s="111">
        <f>[12]GHG_hist!BF63+IF($M73="incl",[12]LULUCF_hist!CW63,0)</f>
        <v>16.653590864641664</v>
      </c>
      <c r="T73" s="111">
        <f>[12]GHG_hist!BG63+IF($M73="incl",[12]LULUCF_hist!CX63,0)</f>
        <v>17.232894119757344</v>
      </c>
      <c r="U73" s="111">
        <f>[12]GHG_hist!BH63+IF($M73="incl",[12]LULUCF_hist!CY63,0)</f>
        <v>16.816125160926486</v>
      </c>
      <c r="V73" s="111">
        <f>[12]GHG_hist!BI63+IF($M73="incl",[12]LULUCF_hist!CZ63,0)</f>
        <v>14.587680258115052</v>
      </c>
      <c r="W73" s="111">
        <f>[12]GHG_hist!BJ63+IF($M73="incl",[12]LULUCF_hist!DA63,0)</f>
        <v>13.866183477518003</v>
      </c>
      <c r="X73" s="111">
        <f>[12]GHG_hist!BK63+IF($M73="incl",[12]LULUCF_hist!DB63,0)</f>
        <v>12.708119456822635</v>
      </c>
      <c r="Y73" s="111">
        <f>[12]GHG_hist!BL63+IF($M73="incl",[12]LULUCF_hist!DC63,0)</f>
        <v>12.896935335701425</v>
      </c>
      <c r="Z73" s="111">
        <f>[12]GHG_hist!BM63+IF($M73="incl",[12]LULUCF_hist!DD63,0)</f>
        <v>12.633929438873952</v>
      </c>
      <c r="AA73" s="111">
        <f>[12]GHG_hist!BN63+IF($M73="incl",[12]LULUCF_hist!DE63,0)</f>
        <v>14.903917623685274</v>
      </c>
      <c r="AB73" s="111">
        <f>[12]GHG_hist!BO63+IF($M73="incl",[12]LULUCF_hist!DF63,0)</f>
        <v>14.5705175151014</v>
      </c>
      <c r="AC73" s="111">
        <f>[12]GHG_hist!BP63+IF($M73="incl",[12]LULUCF_hist!DG63,0)</f>
        <v>16.327234531130454</v>
      </c>
      <c r="AD73" s="111">
        <f>[12]GHG_hist!BQ63+IF($M73="incl",[12]LULUCF_hist!DH63,0)</f>
        <v>14.097600895873928</v>
      </c>
      <c r="AE73" s="111">
        <f>[12]GHG_hist!BR63+IF($M73="incl",[12]LULUCF_hist!DI63,0)</f>
        <v>18.098531123977356</v>
      </c>
      <c r="AF73" s="111">
        <f>[12]GHG_hist!BS63+IF($M73="incl",[12]LULUCF_hist!DJ63,0)</f>
        <v>14.733208178952845</v>
      </c>
      <c r="AG73" s="111">
        <f>[12]GHG_hist!BT63+IF($M73="incl",[12]LULUCF_hist!DK63,0)</f>
        <v>11.652629281991057</v>
      </c>
      <c r="AH73" s="111">
        <f>[12]GHG_hist!BU63+IF($M73="incl",[12]LULUCF_hist!DL63,0)</f>
        <v>15.57511103117173</v>
      </c>
      <c r="AI73" s="111">
        <f>[12]GHG_hist!BV63+IF($M73="incl",[12]LULUCF_hist!DM63,0)</f>
        <v>15.830432706448878</v>
      </c>
      <c r="AJ73" s="111">
        <f>[12]GHG_hist!BW63+IF($M73="incl",[12]LULUCF_hist!DN63,0)</f>
        <v>16.358957759861319</v>
      </c>
      <c r="AK73" s="111">
        <f>[12]GHG_hist!BX63+IF($M73="incl",[12]LULUCF_hist!DO63,0)</f>
        <v>19.118820754128357</v>
      </c>
      <c r="AL73" s="111">
        <f>[12]GHG_hist!BY63+IF($M73="incl",[12]LULUCF_hist!DP63,0)</f>
        <v>20.741961469615546</v>
      </c>
      <c r="AM73" s="111">
        <f>[12]GHG_hist!BZ63+IF($M73="incl",[12]LULUCF_hist!DQ63,0)</f>
        <v>17.165068545533543</v>
      </c>
      <c r="AN73" s="111">
        <f>[12]GHG_hist!CA63+IF($M73="incl",[12]LULUCF_hist!DR63,0)</f>
        <v>19.427988645229799</v>
      </c>
      <c r="AO73" s="111">
        <f>[12]GHG_hist!CB63+IF($M73="incl",[12]LULUCF_hist!DS63,0)</f>
        <v>21.142744006634334</v>
      </c>
      <c r="AP73" s="111">
        <f>[12]GHG_hist!CC63+IF($M73="incl",[12]LULUCF_hist!DT63,0)</f>
        <v>22.263292526436519</v>
      </c>
      <c r="AQ73" s="111">
        <f>[12]GHG_hist!CD63+IF($M73="incl",[12]LULUCF_hist!DU63,0)</f>
        <v>15.669315708648707</v>
      </c>
      <c r="AR73" s="111">
        <f>[12]GHG_hist!CE63+IF($M73="incl",[12]LULUCF_hist!DV63,0)</f>
        <v>13.89984229915062</v>
      </c>
      <c r="AS73" s="111">
        <f>[12]GHG_hist!CF63+IF($M73="incl",[12]LULUCF_hist!DW63,0)</f>
        <v>15.48189544234412</v>
      </c>
      <c r="AT73" s="161">
        <f>VLOOKUP($L73,'[12]IMAGE SSP2'!$AF$3:$AK$29,4,FALSE)*$AM73</f>
        <v>17.859212079026783</v>
      </c>
      <c r="AU73" s="162">
        <f>VLOOKUP($L73,'[12]IMAGE SSP2'!$AF$3:$AK$29,5,FALSE)*$AM73</f>
        <v>18.240259327665719</v>
      </c>
      <c r="AV73" s="163">
        <f>VLOOKUP($L73,'[12]IMAGE SSP2'!$AF$3:$AK$29,6,FALSE)*$AM73</f>
        <v>18.727873032313465</v>
      </c>
      <c r="AW73" s="111" t="str">
        <f t="shared" si="15"/>
        <v/>
      </c>
      <c r="AX73" s="164" t="str">
        <f>IF(A73="B",IF(M73="excl",[12]NatCom!CO63,[12]NatCom!AX63),"")</f>
        <v/>
      </c>
      <c r="AY73" s="111" t="str">
        <f>IF('[12]Pledge 2020'!E63="","",'[12]Pledge 2020'!E63)</f>
        <v/>
      </c>
      <c r="AZ73" s="164" t="str">
        <f>IF('[12]Pledge 2020'!F63="","",'[12]Pledge 2020'!F63)</f>
        <v/>
      </c>
      <c r="BA73" s="111" t="str">
        <f t="shared" si="51"/>
        <v/>
      </c>
      <c r="BB73" s="111"/>
      <c r="BC73" s="111" t="str">
        <f t="shared" si="52"/>
        <v/>
      </c>
      <c r="BD73" s="111"/>
      <c r="BE73" s="111" t="s">
        <v>2477</v>
      </c>
      <c r="BF73" s="111"/>
      <c r="BG73" s="111" t="s">
        <v>2477</v>
      </c>
      <c r="BH73" s="164"/>
      <c r="BI73" s="111" t="str">
        <f>IF([12]NDCs!V75="",IF([12]NDCs!X75="","",[12]NDCs!X75),[12]NDCs!V75)</f>
        <v/>
      </c>
      <c r="BJ73" s="111" t="str">
        <f>IF([12]NDCs!V75="",IF([12]NDCs!X75="","",[12]NDCs!X75),[12]NDCs!V75)</f>
        <v/>
      </c>
      <c r="BK73" s="111" t="str">
        <f>IF([12]NDCs!Z75="",IF([12]NDCs!AB75="",IF('input site'!BE73="","",'input site'!BE73),[12]NDCs!AB75),[12]NDCs!Z75)</f>
        <v/>
      </c>
      <c r="BL73" s="111" t="str">
        <f>IF([12]NDCs!AA75="",IF([12]NDCs!AC75="",IF('input site'!BF73="","",'input site'!BF73),[12]NDCs!AC75),[12]NDCs!AA75)</f>
        <v/>
      </c>
      <c r="BM73" s="111">
        <f>IF($BI$8=2015,VLOOKUP($L73,'[12]IMAGE CurPol SSP'!$AZ$3:$BD$29,4,FALSE)*$AM73,IF($BI$8=2018,VLOOKUP($L73,'[12]IMAGE CurPol SSP'!$BJ$3:$BN$29,4,FALSE)*$AP73,$AR73))</f>
        <v>13.89984229915062</v>
      </c>
      <c r="BN73" s="111">
        <f t="shared" si="56"/>
        <v>13.89984229915062</v>
      </c>
      <c r="BO73" s="111">
        <f t="shared" si="56"/>
        <v>13.89984229915062</v>
      </c>
      <c r="BP73" s="111">
        <f>IF($BI$8=2015,VLOOKUP($L73,'[12]IMAGE CurPol SSP'!$AZ$3:$BD$29,5,FALSE)*$AM73,IF($BI$8=2018,VLOOKUP($L73,'[12]IMAGE CurPol SSP'!$BJ$3:$BN$29,5,FALSE)*$AP73,VLOOKUP($L73,'[12]IMAGE CurPol SSP'!$BU$3:$BZ$29,5,FALSE)*$AS73))</f>
        <v>12.312580114624257</v>
      </c>
      <c r="BQ73" s="111">
        <f>IF($BI$8=2015,"",IF($BI$8=2018,"",VLOOKUP($L73,'[12]IMAGE CurPol SSP'!$CQ$3:$CV$29,5,FALSE)*$AS73))</f>
        <v>12.312580114624257</v>
      </c>
      <c r="BR73" s="111">
        <f>IF($BI$8=2015,"",IF($BI$8=2018,"",VLOOKUP($L73,'[12]IMAGE CurPol SSP'!$CF$3:$CK$29,5,FALSE)*$AS73))</f>
        <v>12.706210566326</v>
      </c>
      <c r="BS73" s="111">
        <f>IF($BI$8=2015,VLOOKUP($L73,'[12]IMAGE CurPol SSP'!$AZ$3:$BE$29,6,FALSE)*$AM73,IF($BI$8=2018,VLOOKUP($L73,'[12]IMAGE CurPol SSP'!$BJ$3:$BO$29,6,FALSE)*$AP73,VLOOKUP($L73,'[12]IMAGE CurPol SSP'!$BU$3:$BZ$29,6,FALSE)*$AS73))</f>
        <v>7.9328178966403495</v>
      </c>
      <c r="BT73" s="111">
        <f>IF($BI$8=2015,"",IF($BI$8=2018,"",VLOOKUP($L73,'[12]IMAGE CurPol SSP'!$CQ$3:$CV$29,6,FALSE)*$AS73))</f>
        <v>7.9328178966403495</v>
      </c>
      <c r="BU73" s="164">
        <f>IF($BI$8=2015,"",IF($BI$8=2018,"",VLOOKUP($L73,'[12]IMAGE CurPol SSP'!$CF$3:$CK$29,6,FALSE)*$AS73))</f>
        <v>8.3336739459939864</v>
      </c>
      <c r="CN73" t="s">
        <v>175</v>
      </c>
      <c r="CO73" s="165" t="str">
        <f t="shared" si="2"/>
        <v/>
      </c>
      <c r="CP73" s="165" t="str">
        <f t="shared" si="2"/>
        <v/>
      </c>
      <c r="CQ73" s="165" t="str">
        <f t="shared" si="2"/>
        <v/>
      </c>
      <c r="CR73" s="165" t="str">
        <f t="shared" si="2"/>
        <v/>
      </c>
      <c r="CV73" s="125" t="s">
        <v>621</v>
      </c>
      <c r="CW73" s="125" t="s">
        <v>621</v>
      </c>
      <c r="CX73"/>
      <c r="CY73" s="167">
        <f t="shared" si="3"/>
        <v>3.9593697798761625</v>
      </c>
      <c r="DB73" s="106"/>
      <c r="DC73" s="106"/>
      <c r="DD73" s="106"/>
      <c r="DE73" s="106"/>
      <c r="DF73" s="106"/>
      <c r="DG73" s="105" t="str">
        <f t="shared" si="4"/>
        <v>incl</v>
      </c>
      <c r="DH73" t="s">
        <v>175</v>
      </c>
      <c r="DI73" s="111">
        <f t="shared" si="45"/>
        <v>0</v>
      </c>
      <c r="DJ73" s="111">
        <f t="shared" si="45"/>
        <v>0</v>
      </c>
      <c r="DK73" s="111">
        <f t="shared" si="47"/>
        <v>0</v>
      </c>
      <c r="DL73" s="111">
        <f t="shared" si="48"/>
        <v>0</v>
      </c>
      <c r="DM73" s="111">
        <f t="shared" si="49"/>
        <v>0</v>
      </c>
      <c r="DN73" s="111">
        <f t="shared" si="50"/>
        <v>0</v>
      </c>
      <c r="DO73" s="111">
        <f t="shared" si="54"/>
        <v>0</v>
      </c>
      <c r="DP73" s="111">
        <f t="shared" si="55"/>
        <v>0</v>
      </c>
      <c r="DQ73" s="106"/>
      <c r="DR73" s="106"/>
      <c r="DS73" s="111"/>
      <c r="DT73" s="168"/>
      <c r="DW73" s="111">
        <f t="shared" si="12"/>
        <v>7.9328178966403495</v>
      </c>
      <c r="DX73" s="111">
        <f t="shared" si="12"/>
        <v>7.9328178966403495</v>
      </c>
      <c r="DY73" s="111">
        <f t="shared" si="12"/>
        <v>7.9328178966403495</v>
      </c>
      <c r="DZ73" s="111">
        <f t="shared" si="12"/>
        <v>7.9328178966403495</v>
      </c>
      <c r="EP73" t="s">
        <v>175</v>
      </c>
      <c r="ER73" s="111">
        <f t="shared" si="13"/>
        <v>22.263292526436519</v>
      </c>
      <c r="ES73" s="111">
        <f>IF($BI$8=2015,VLOOKUP($L73,'[12]IMAGE CDLINKS CurPol'!$P$3:$Y$29,10,FALSE)*$AM73,VLOOKUP($L73,'[12]IMAGE CDLINKS CurPol'!$Z$3:$AI$29,10,FALSE)*$AP73)</f>
        <v>23.404573452676903</v>
      </c>
      <c r="ET73" s="111">
        <f t="shared" si="14"/>
        <v>23.404573452676903</v>
      </c>
      <c r="EU73" s="111">
        <f t="shared" si="19"/>
        <v>5.0673013856715796</v>
      </c>
      <c r="EV73" s="111">
        <f>IF($BI$8=2015,VLOOKUP($L73,'[12]IMAGE CDLINKS 2C'!$P$3:$Y$29,10,FALSE)*$AM73,VLOOKUP($L73,'[12]IMAGE CDLINKS 2C'!$Z$3:$AI$29,10,FALSE)*$AP73)</f>
        <v>5.0673013856715796</v>
      </c>
      <c r="EY73" s="111">
        <f t="shared" si="20"/>
        <v>2.4720542946191779</v>
      </c>
      <c r="EZ73" s="111">
        <f>IF($BI$8=2015,VLOOKUP($L73,'[12]IMAGE CDLINKS 1_5C'!$P$3:$Y$29,10,FALSE)*$AM73,VLOOKUP($L73,'[12]IMAGE CDLINKS 1_5C'!$Z$3:$AI$29,10,FALSE)*$AP73)</f>
        <v>2.4720542946191779</v>
      </c>
      <c r="FA73" s="192" t="s">
        <v>2338</v>
      </c>
    </row>
    <row r="74" spans="1:157" x14ac:dyDescent="0.25">
      <c r="A74" t="str">
        <f>IF([12]NDCs!C76="","",[12]NDCs!C76)</f>
        <v>B</v>
      </c>
      <c r="B74" s="159" t="str">
        <f t="shared" si="0"/>
        <v>ii</v>
      </c>
      <c r="C74">
        <v>1</v>
      </c>
      <c r="D74">
        <v>0</v>
      </c>
      <c r="E74">
        <v>0</v>
      </c>
      <c r="F74">
        <v>1</v>
      </c>
      <c r="G74" t="b">
        <f t="shared" si="1"/>
        <v>1</v>
      </c>
      <c r="H74" t="s">
        <v>2333</v>
      </c>
      <c r="I74" t="s">
        <v>177</v>
      </c>
      <c r="J74">
        <v>231</v>
      </c>
      <c r="K74">
        <v>59</v>
      </c>
      <c r="L74">
        <v>9</v>
      </c>
      <c r="M74" t="str">
        <f>IF([12]NDCs!AL76="Excluding","excl","incl")</f>
        <v>incl</v>
      </c>
      <c r="N74" s="195">
        <f>[12]ETH!$A$24*IF($M74="incl",[12]ETH!E$41,[12]ETH!E$37)</f>
        <v>22.529999999999902</v>
      </c>
      <c r="O74" s="195">
        <f>[12]ETH!$A$24*IF($M74="incl",[12]ETH!F$41,[12]ETH!F$37)</f>
        <v>28.61</v>
      </c>
      <c r="P74" s="195">
        <f>[12]ETH!$A$24*IF($M74="incl",[12]ETH!G$41,[12]ETH!G$37)</f>
        <v>35.18</v>
      </c>
      <c r="Q74" s="195">
        <f>[12]ETH!$A$24*IF($M74="incl",[12]ETH!H$41,[12]ETH!H$37)</f>
        <v>32.04</v>
      </c>
      <c r="R74" s="195">
        <f>[12]ETH!$A$24*IF($M74="incl",[12]ETH!I$41,[12]ETH!I$37)</f>
        <v>47.55</v>
      </c>
      <c r="S74" s="195">
        <f>[12]ETH!$A$24*IF($M74="incl",[12]ETH!J$41,[12]ETH!J$37)</f>
        <v>47.1</v>
      </c>
      <c r="T74" s="195">
        <f>[12]ETH!$A$24*IF($M74="incl",[12]ETH!K$41,[12]ETH!K$37)</f>
        <v>50.84</v>
      </c>
      <c r="U74" s="195">
        <f>[12]ETH!$A$24*IF($M74="incl",[12]ETH!L$41,[12]ETH!L$37)</f>
        <v>56.45</v>
      </c>
      <c r="V74" s="195">
        <f>[12]ETH!$A$24*IF($M74="incl",[12]ETH!M$41,[12]ETH!M$37)</f>
        <v>58.95</v>
      </c>
      <c r="W74" s="195">
        <f>[12]ETH!$A$24*IF($M74="incl",[12]ETH!N$41,[12]ETH!N$37)</f>
        <v>61.83</v>
      </c>
      <c r="X74" s="195">
        <f>[12]ETH!$A$24*IF($M74="incl",[12]ETH!O$41,[12]ETH!O$37)</f>
        <v>61.989999999999903</v>
      </c>
      <c r="Y74" s="195">
        <f>[12]ETH!$A$24*IF($M74="incl",[12]ETH!P$41,[12]ETH!P$37)</f>
        <v>67.83</v>
      </c>
      <c r="Z74" s="195">
        <f>[12]ETH!$A$24*IF($M74="incl",[12]ETH!Q$41,[12]ETH!Q$37)</f>
        <v>59.159999998000004</v>
      </c>
      <c r="AA74" s="195">
        <f>[12]ETH!$A$24*IF($M74="incl",[12]ETH!R$41,[12]ETH!R$37)</f>
        <v>119.879999962</v>
      </c>
      <c r="AB74" s="195">
        <f>[12]ETH!$A$24*IF($M74="incl",[12]ETH!S$41,[12]ETH!S$37)</f>
        <v>123.870000015</v>
      </c>
      <c r="AC74" s="195">
        <f>[12]ETH!$A$24*IF($M74="incl",[12]ETH!T$41,[12]ETH!T$37)</f>
        <v>112.35</v>
      </c>
      <c r="AD74" s="195">
        <f>[12]ETH!$A$24*IF($M74="incl",[12]ETH!U$41,[12]ETH!U$37)</f>
        <v>116.4</v>
      </c>
      <c r="AE74" s="195">
        <f>[12]ETH!$A$24*IF($M74="incl",[12]ETH!V$41,[12]ETH!V$37)</f>
        <v>124.56</v>
      </c>
      <c r="AF74" s="195">
        <f>[12]ETH!$A$24*IF($M74="incl",[12]ETH!W$41,[12]ETH!W$37)</f>
        <v>183.00000003</v>
      </c>
      <c r="AG74" s="195">
        <f>[12]ETH!$A$24*IF($M74="incl",[12]ETH!X$41,[12]ETH!X$37)</f>
        <v>188.64999997999999</v>
      </c>
      <c r="AH74" s="195">
        <f>[12]ETH!$A$24*IF($M74="incl",[12]ETH!Y$41,[12]ETH!Y$37)</f>
        <v>194.10000004</v>
      </c>
      <c r="AI74" s="195">
        <f>[12]ETH!$A$24*IF($M74="incl",[12]ETH!Z$41,[12]ETH!Z$37)</f>
        <v>192.33999999</v>
      </c>
      <c r="AJ74" s="195">
        <f>[12]ETH!$A$24*IF($M74="incl",[12]ETH!AA$41,[12]ETH!AA$37)</f>
        <v>203.85000005000001</v>
      </c>
      <c r="AK74" s="195">
        <f>[12]ETH!$A$24*IF($M74="incl",[12]ETH!AB$41,[12]ETH!AB$37)</f>
        <v>209.99</v>
      </c>
      <c r="AL74" s="195">
        <f>[12]ETH!$A$24*IF($M74="incl",[12]ETH!AC$41,[12]ETH!AC$37)</f>
        <v>216.5</v>
      </c>
      <c r="AM74" s="195">
        <f>[12]ETH!$A$24*IF($M74="incl",[12]ETH!AD$41,[12]ETH!AD$37)</f>
        <v>227.9</v>
      </c>
      <c r="AN74" s="195">
        <f>[12]ETH!$A$24*IF($M74="incl",[12]ETH!AE$41,[12]ETH!AE$37)</f>
        <v>234</v>
      </c>
      <c r="AO74" s="195">
        <f>[12]ETH!$A$24*IF($M74="incl",[12]ETH!AF$41,[12]ETH!AF$37)</f>
        <v>246.79999999999899</v>
      </c>
      <c r="AP74" s="195">
        <f>[12]ETH!$A$24*IF($M74="incl",[12]ETH!AG$41,[12]ETH!AG$37)</f>
        <v>260.06</v>
      </c>
      <c r="AQ74" s="195">
        <f>[12]ETH!$A$24*IF($M74="incl",[12]ETH!AH$41,[12]ETH!AH$37)</f>
        <v>260.00286269999998</v>
      </c>
      <c r="AR74" s="195">
        <f>[12]ETH!$A$24*IF($M74="incl",[12]ETH!AI$41,[12]ETH!AI$37)</f>
        <v>258.8762026</v>
      </c>
      <c r="AS74" s="195">
        <f>[12]ETH!$A$24*IF($M74="incl",[12]ETH!AJ$41,[12]ETH!AJ$37)</f>
        <v>259.66456849999997</v>
      </c>
      <c r="AT74" s="161">
        <f>VLOOKUP($L74,'[12]IMAGE SSP2'!$AF$3:$AK$29,4,FALSE)*$AM74</f>
        <v>260.67231733428048</v>
      </c>
      <c r="AU74" s="162">
        <f>VLOOKUP($L74,'[12]IMAGE SSP2'!$AF$3:$AK$29,5,FALSE)*$AM74</f>
        <v>298.61890547135243</v>
      </c>
      <c r="AV74" s="163">
        <f>VLOOKUP($L74,'[12]IMAGE SSP2'!$AF$3:$AK$29,6,FALSE)*$AM74</f>
        <v>346.25071459962396</v>
      </c>
      <c r="AW74" s="111">
        <f>IF(A74="B",AH74+(AX74-AH74)*0.5,"")</f>
        <v>297.05000001999997</v>
      </c>
      <c r="AX74" s="164">
        <f>IF(A74="B",IF(M74="excl",[12]NatCom!CO64,[12]NatCom!AX64),"")</f>
        <v>400</v>
      </c>
      <c r="AY74" s="111" t="str">
        <f>IF('[12]Pledge 2020'!E64="","",'[12]Pledge 2020'!E64)</f>
        <v/>
      </c>
      <c r="AZ74" s="164" t="str">
        <f>IF('[12]Pledge 2020'!F64="","",'[12]Pledge 2020'!F64)</f>
        <v/>
      </c>
      <c r="BA74" s="111">
        <f t="shared" si="51"/>
        <v>309.38775000999999</v>
      </c>
      <c r="BB74" s="111">
        <f>IF(BF74="","",(BF74-AH74)*0.75+AH74)</f>
        <v>309.38775000999999</v>
      </c>
      <c r="BC74" s="111">
        <f t="shared" si="52"/>
        <v>142.94400001000002</v>
      </c>
      <c r="BD74" s="111">
        <f>IF(BH74="","",(BH74-AH74)*0.75+AH74)</f>
        <v>142.94400001000002</v>
      </c>
      <c r="BE74" s="169">
        <v>347.81700000000001</v>
      </c>
      <c r="BF74" s="169">
        <v>347.81700000000001</v>
      </c>
      <c r="BG74" s="169">
        <v>125.89200000000002</v>
      </c>
      <c r="BH74" s="170">
        <v>125.89200000000002</v>
      </c>
      <c r="BI74" s="201" t="str">
        <f>IF([12]NDCs!V76="",IF([12]NDCs!X76="","",[12]NDCs!X76),[12]NDCs!V76)</f>
        <v/>
      </c>
      <c r="BJ74" s="201" t="str">
        <f>IF([12]NDCs!V76="",IF([12]NDCs!X76="","",[12]NDCs!X76),[12]NDCs!V76)</f>
        <v/>
      </c>
      <c r="BK74" s="111">
        <f>IF([12]NDCs!Z76="",IF([12]NDCs!AB76="",IF('input site'!BE74="","",'input site'!BE74),[12]NDCs!AB76),[12]NDCs!Z76)</f>
        <v>144</v>
      </c>
      <c r="BL74" s="111">
        <f>IF([12]NDCs!AA76="",IF([12]NDCs!AC76="",IF('input site'!BF74="","",'input site'!BF74),[12]NDCs!AC76),[12]NDCs!AA76)</f>
        <v>144</v>
      </c>
      <c r="BM74" s="160">
        <f>MEDIAN(BN74:BO74)</f>
        <v>258.8762026</v>
      </c>
      <c r="BN74" s="177">
        <f>[12]ETH!$A$24*[12]ETH!AB$7</f>
        <v>258.8762026</v>
      </c>
      <c r="BO74" s="177">
        <f>[12]ETH!$A$24*[12]ETH!AB$6</f>
        <v>258.8762026</v>
      </c>
      <c r="BP74" s="160">
        <f>MEDIAN(BQ74:BR74)</f>
        <v>266.43641830000001</v>
      </c>
      <c r="BQ74" s="177">
        <f>[12]ETH!$A$24*[12]ETH!AC$7</f>
        <v>261.53161269999998</v>
      </c>
      <c r="BR74" s="177">
        <f>[12]ETH!$A$24*[12]ETH!AC$6</f>
        <v>271.34122389999999</v>
      </c>
      <c r="BS74" s="160">
        <f>MEDIAN(BT74:BU74)</f>
        <v>300.01527035000004</v>
      </c>
      <c r="BT74" s="177">
        <f>[12]ETH!$A$24*[12]ETH!AD$7</f>
        <v>286.6176284</v>
      </c>
      <c r="BU74" s="177">
        <f>[12]ETH!$A$24*[12]ETH!AD$6</f>
        <v>313.41291230000002</v>
      </c>
      <c r="CN74" t="s">
        <v>177</v>
      </c>
      <c r="CO74" s="165">
        <f t="shared" si="2"/>
        <v>0.15933098870012219</v>
      </c>
      <c r="CP74" s="165">
        <f t="shared" si="2"/>
        <v>0.15933098870012219</v>
      </c>
      <c r="CQ74" s="165">
        <f t="shared" si="2"/>
        <v>-0.58038135907837796</v>
      </c>
      <c r="CR74" s="165">
        <f t="shared" si="2"/>
        <v>-0.58038135907837796</v>
      </c>
      <c r="CS74" s="185">
        <f>IF(BE74&lt;=MIN(BS74:BU74),0,1)</f>
        <v>1</v>
      </c>
      <c r="CT74" s="185">
        <f>IF(BG74&lt;=MIN(BS74:BU74),0,1)</f>
        <v>0</v>
      </c>
      <c r="CU74">
        <f>IF(BS74&lt;=AP74,1,0)</f>
        <v>0</v>
      </c>
      <c r="CV74" s="126" t="str">
        <f>IF(CS74=1,IF(CU74=1,"i","ii"),IF(CU74=1,"iii","iv"))</f>
        <v>ii</v>
      </c>
      <c r="CW74" s="126" t="str">
        <f>IF(CT74=1,IF(CU74=1,"i","ii"),IF(CU74=1,"iii","iv"))</f>
        <v>iv</v>
      </c>
      <c r="CX74"/>
      <c r="CY74" s="167">
        <f t="shared" si="3"/>
        <v>1.7961147342804793</v>
      </c>
      <c r="DB74" s="106"/>
      <c r="DC74" s="106"/>
      <c r="DD74" s="106"/>
      <c r="DE74" s="187">
        <f>[12]ETH!T18</f>
        <v>47.80172964999997</v>
      </c>
      <c r="DF74" s="187">
        <f>[12]ETH!U18</f>
        <v>0</v>
      </c>
      <c r="DG74" s="105" t="str">
        <f t="shared" si="4"/>
        <v>incl</v>
      </c>
      <c r="DH74" t="s">
        <v>177</v>
      </c>
      <c r="DI74" s="127">
        <f>DA74</f>
        <v>0</v>
      </c>
      <c r="DJ74" s="127">
        <f>DB74</f>
        <v>0</v>
      </c>
      <c r="DK74" s="177"/>
      <c r="DL74" s="177"/>
      <c r="DM74" s="177"/>
      <c r="DN74" s="177"/>
      <c r="DO74" s="127"/>
      <c r="DP74" s="127"/>
      <c r="DQ74" s="187">
        <f>[12]ETH!BA$18</f>
        <v>0</v>
      </c>
      <c r="DR74" s="187">
        <f>[12]ETH!BB$18</f>
        <v>0</v>
      </c>
      <c r="DS74" s="111"/>
      <c r="DT74" s="168"/>
      <c r="DW74" s="111">
        <f t="shared" si="12"/>
        <v>347.81700000000001</v>
      </c>
      <c r="DX74" s="111">
        <f t="shared" si="12"/>
        <v>347.81700000000001</v>
      </c>
      <c r="DY74" s="111">
        <f t="shared" si="12"/>
        <v>125.89200000000002</v>
      </c>
      <c r="DZ74" s="111">
        <f t="shared" si="12"/>
        <v>125.89200000000002</v>
      </c>
      <c r="EP74" t="s">
        <v>177</v>
      </c>
      <c r="EQ74">
        <v>0</v>
      </c>
      <c r="ER74" s="111">
        <f t="shared" si="13"/>
        <v>260.06</v>
      </c>
      <c r="ES74" s="111">
        <f>IF($BI$8=2015,VLOOKUP($L74,'[12]IMAGE CDLINKS CurPol'!$P$3:$Y$29,10,FALSE)*$AM74,VLOOKUP($L74,'[12]IMAGE CDLINKS CurPol'!$Z$3:$AI$29,10,FALSE)*$AP74)</f>
        <v>567.02521778230528</v>
      </c>
      <c r="ET74" s="111">
        <f t="shared" si="14"/>
        <v>567.02521778230528</v>
      </c>
      <c r="EU74" s="111">
        <f t="shared" si="19"/>
        <v>304.7499186465281</v>
      </c>
      <c r="EV74" s="111">
        <f>IF($BI$8=2015,VLOOKUP($L74,'[12]IMAGE CDLINKS 2C'!$P$3:$Y$29,10,FALSE)*$AM74,VLOOKUP($L74,'[12]IMAGE CDLINKS 2C'!$Z$3:$AI$29,10,FALSE)*$AP74)</f>
        <v>304.7499186465281</v>
      </c>
      <c r="EY74" s="111">
        <f t="shared" si="20"/>
        <v>278.44180536200304</v>
      </c>
      <c r="EZ74" s="111">
        <f>IF($BI$8=2015,VLOOKUP($L74,'[12]IMAGE CDLINKS 1_5C'!$P$3:$Y$29,10,FALSE)*$AM74,VLOOKUP($L74,'[12]IMAGE CDLINKS 1_5C'!$Z$3:$AI$29,10,FALSE)*$AP74)</f>
        <v>278.44180536200304</v>
      </c>
      <c r="FA74" s="192" t="s">
        <v>2343</v>
      </c>
    </row>
    <row r="75" spans="1:157" x14ac:dyDescent="0.25">
      <c r="A75" t="str">
        <f>IF([12]NDCs!C77="","",[12]NDCs!C77)</f>
        <v/>
      </c>
      <c r="B75" s="159" t="str">
        <f t="shared" si="0"/>
        <v>v</v>
      </c>
      <c r="C75">
        <v>0</v>
      </c>
      <c r="D75">
        <v>0</v>
      </c>
      <c r="E75">
        <v>0</v>
      </c>
      <c r="F75">
        <v>0</v>
      </c>
      <c r="G75" t="b">
        <f t="shared" si="1"/>
        <v>0</v>
      </c>
      <c r="H75" t="s">
        <v>2328</v>
      </c>
      <c r="I75" t="s">
        <v>179</v>
      </c>
      <c r="J75">
        <v>234</v>
      </c>
      <c r="K75">
        <v>62</v>
      </c>
      <c r="L75">
        <v>11</v>
      </c>
      <c r="M75" t="str">
        <f>IF([12]NDCs!AL77="Excluding","excl","incl")</f>
        <v>excl</v>
      </c>
      <c r="N75" s="160">
        <f>[12]GHG_hist!BA65+IF($M75="incl",[12]LULUCF_hist!CR65,0)</f>
        <v>0</v>
      </c>
      <c r="O75" s="111">
        <f>[12]GHG_hist!BB65+IF($M75="incl",[12]LULUCF_hist!CS65,0)</f>
        <v>0</v>
      </c>
      <c r="P75" s="111">
        <f>[12]GHG_hist!BC65+IF($M75="incl",[12]LULUCF_hist!CT65,0)</f>
        <v>0</v>
      </c>
      <c r="Q75" s="111">
        <f>[12]GHG_hist!BD65+IF($M75="incl",[12]LULUCF_hist!CU65,0)</f>
        <v>0</v>
      </c>
      <c r="R75" s="111">
        <f>[12]GHG_hist!BE65+IF($M75="incl",[12]LULUCF_hist!CV65,0)</f>
        <v>0</v>
      </c>
      <c r="S75" s="111">
        <f>[12]GHG_hist!BF65+IF($M75="incl",[12]LULUCF_hist!CW65,0)</f>
        <v>0</v>
      </c>
      <c r="T75" s="111">
        <f>[12]GHG_hist!BG65+IF($M75="incl",[12]LULUCF_hist!CX65,0)</f>
        <v>0</v>
      </c>
      <c r="U75" s="111">
        <f>[12]GHG_hist!BH65+IF($M75="incl",[12]LULUCF_hist!CY65,0)</f>
        <v>0</v>
      </c>
      <c r="V75" s="111">
        <f>[12]GHG_hist!BI65+IF($M75="incl",[12]LULUCF_hist!CZ65,0)</f>
        <v>0</v>
      </c>
      <c r="W75" s="111">
        <f>[12]GHG_hist!BJ65+IF($M75="incl",[12]LULUCF_hist!DA65,0)</f>
        <v>0</v>
      </c>
      <c r="X75" s="111">
        <f>[12]GHG_hist!BK65+IF($M75="incl",[12]LULUCF_hist!DB65,0)</f>
        <v>0</v>
      </c>
      <c r="Y75" s="111">
        <f>[12]GHG_hist!BL65+IF($M75="incl",[12]LULUCF_hist!DC65,0)</f>
        <v>0</v>
      </c>
      <c r="Z75" s="111">
        <f>[12]GHG_hist!BM65+IF($M75="incl",[12]LULUCF_hist!DD65,0)</f>
        <v>0</v>
      </c>
      <c r="AA75" s="111">
        <f>[12]GHG_hist!BN65+IF($M75="incl",[12]LULUCF_hist!DE65,0)</f>
        <v>0</v>
      </c>
      <c r="AB75" s="111">
        <f>[12]GHG_hist!BO65+IF($M75="incl",[12]LULUCF_hist!DF65,0)</f>
        <v>0</v>
      </c>
      <c r="AC75" s="111">
        <f>[12]GHG_hist!BP65+IF($M75="incl",[12]LULUCF_hist!DG65,0)</f>
        <v>0</v>
      </c>
      <c r="AD75" s="111">
        <f>[12]GHG_hist!BQ65+IF($M75="incl",[12]LULUCF_hist!DH65,0)</f>
        <v>0</v>
      </c>
      <c r="AE75" s="111">
        <f>[12]GHG_hist!BR65+IF($M75="incl",[12]LULUCF_hist!DI65,0)</f>
        <v>0</v>
      </c>
      <c r="AF75" s="111">
        <f>[12]GHG_hist!BS65+IF($M75="incl",[12]LULUCF_hist!DJ65,0)</f>
        <v>0</v>
      </c>
      <c r="AG75" s="111">
        <f>[12]GHG_hist!BT65+IF($M75="incl",[12]LULUCF_hist!DK65,0)</f>
        <v>0</v>
      </c>
      <c r="AH75" s="111">
        <f>[12]GHG_hist!BU65+IF($M75="incl",[12]LULUCF_hist!DL65,0)</f>
        <v>0</v>
      </c>
      <c r="AI75" s="111">
        <f>[12]GHG_hist!BV65+IF($M75="incl",[12]LULUCF_hist!DM65,0)</f>
        <v>0</v>
      </c>
      <c r="AJ75" s="111">
        <f>[12]GHG_hist!BW65+IF($M75="incl",[12]LULUCF_hist!DN65,0)</f>
        <v>0</v>
      </c>
      <c r="AK75" s="111">
        <f>[12]GHG_hist!BX65+IF($M75="incl",[12]LULUCF_hist!DO65,0)</f>
        <v>0</v>
      </c>
      <c r="AL75" s="111">
        <f>[12]GHG_hist!BY65+IF($M75="incl",[12]LULUCF_hist!DP65,0)</f>
        <v>0</v>
      </c>
      <c r="AM75" s="111">
        <f>[12]GHG_hist!BZ65+IF($M75="incl",[12]LULUCF_hist!DQ65,0)</f>
        <v>0</v>
      </c>
      <c r="AN75" s="111">
        <f>[12]GHG_hist!CA65+IF($M75="incl",[12]LULUCF_hist!DR65,0)</f>
        <v>0</v>
      </c>
      <c r="AO75" s="111">
        <f>[12]GHG_hist!CB65+IF($M75="incl",[12]LULUCF_hist!DS65,0)</f>
        <v>0</v>
      </c>
      <c r="AP75" s="111">
        <f>[12]GHG_hist!CC65+IF($M75="incl",[12]LULUCF_hist!DT65,0)</f>
        <v>0</v>
      </c>
      <c r="AQ75" s="111">
        <f>[12]GHG_hist!CD65+IF($M75="incl",[12]LULUCF_hist!DU65,0)</f>
        <v>0</v>
      </c>
      <c r="AR75" s="111">
        <f>[12]GHG_hist!CE65+IF($M75="incl",[12]LULUCF_hist!DV65,0)</f>
        <v>0</v>
      </c>
      <c r="AS75" s="111">
        <f>[12]GHG_hist!CF65+IF($M75="incl",[12]LULUCF_hist!DW65,0)</f>
        <v>0</v>
      </c>
      <c r="AT75" s="161">
        <f>VLOOKUP($L75,'[12]IMAGE SSP2'!$AF$3:$AK$29,4,FALSE)*$AM75</f>
        <v>0</v>
      </c>
      <c r="AU75" s="162">
        <f>VLOOKUP($L75,'[12]IMAGE SSP2'!$AF$3:$AK$29,5,FALSE)*$AM75</f>
        <v>0</v>
      </c>
      <c r="AV75" s="163">
        <f>VLOOKUP($L75,'[12]IMAGE SSP2'!$AF$3:$AK$29,6,FALSE)*$AM75</f>
        <v>0</v>
      </c>
      <c r="AW75" s="111" t="str">
        <f t="shared" si="15"/>
        <v/>
      </c>
      <c r="AX75" s="164" t="str">
        <f>IF(A75="B",IF(M75="excl",[12]NatCom!CO65,[12]NatCom!AX65),"")</f>
        <v/>
      </c>
      <c r="AY75" s="111" t="str">
        <f>IF('[12]Pledge 2020'!E65="","",'[12]Pledge 2020'!E65)</f>
        <v/>
      </c>
      <c r="AZ75" s="164" t="str">
        <f>IF('[12]Pledge 2020'!F65="","",'[12]Pledge 2020'!F65)</f>
        <v/>
      </c>
      <c r="BA75" s="111" t="str">
        <f t="shared" si="51"/>
        <v/>
      </c>
      <c r="BB75" s="111"/>
      <c r="BC75" s="111" t="str">
        <f t="shared" si="52"/>
        <v/>
      </c>
      <c r="BD75" s="111"/>
      <c r="BE75" s="111" t="s">
        <v>2477</v>
      </c>
      <c r="BF75" s="111"/>
      <c r="BG75" s="111" t="s">
        <v>2477</v>
      </c>
      <c r="BH75" s="164"/>
      <c r="BI75" s="111" t="str">
        <f>IF([12]NDCs!V77="",IF([12]NDCs!X77="","",[12]NDCs!X77),[12]NDCs!V77)</f>
        <v/>
      </c>
      <c r="BJ75" s="111" t="str">
        <f>IF([12]NDCs!V77="",IF([12]NDCs!X77="","",[12]NDCs!X77),[12]NDCs!V77)</f>
        <v/>
      </c>
      <c r="BK75" s="111" t="str">
        <f>IF([12]NDCs!Z77="",IF([12]NDCs!AB77="",IF('input site'!BE75="","",'input site'!BE75),[12]NDCs!AB77),[12]NDCs!Z77)</f>
        <v/>
      </c>
      <c r="BL75" s="111" t="str">
        <f>IF([12]NDCs!AA77="",IF([12]NDCs!AC77="",IF('input site'!BF75="","",'input site'!BF75),[12]NDCs!AC77),[12]NDCs!AA77)</f>
        <v/>
      </c>
      <c r="BM75" s="111">
        <f>IF($BI$8=2015,VLOOKUP($L75,'[12]IMAGE CurPol SSP'!$AZ$3:$BD$29,4,FALSE)*$AM75,IF($BI$8=2018,VLOOKUP($L75,'[12]IMAGE CurPol SSP'!$BJ$3:$BN$29,4,FALSE)*$AP75,$AR75))</f>
        <v>0</v>
      </c>
      <c r="BN75" s="111">
        <f t="shared" ref="BN75:BO90" si="57">IF($BI$8=2015,"",IF($BI$8=2018,"",$AR75))</f>
        <v>0</v>
      </c>
      <c r="BO75" s="111">
        <f t="shared" si="57"/>
        <v>0</v>
      </c>
      <c r="BP75" s="111">
        <f>IF($BI$8=2015,VLOOKUP($L75,'[12]IMAGE CurPol SSP'!$AZ$3:$BD$29,5,FALSE)*$AM75,IF($BI$8=2018,VLOOKUP($L75,'[12]IMAGE CurPol SSP'!$BJ$3:$BN$29,5,FALSE)*$AP75,VLOOKUP($L75,'[12]IMAGE CurPol SSP'!$BU$3:$BZ$29,5,FALSE)*$AS75))</f>
        <v>0</v>
      </c>
      <c r="BQ75" s="111">
        <f>IF($BI$8=2015,"",IF($BI$8=2018,"",VLOOKUP($L75,'[12]IMAGE CurPol SSP'!$CQ$3:$CV$29,5,FALSE)*$AS75))</f>
        <v>0</v>
      </c>
      <c r="BR75" s="111">
        <f>IF($BI$8=2015,"",IF($BI$8=2018,"",VLOOKUP($L75,'[12]IMAGE CurPol SSP'!$CF$3:$CK$29,5,FALSE)*$AS75))</f>
        <v>0</v>
      </c>
      <c r="BS75" s="111">
        <f>IF($BI$8=2015,VLOOKUP($L75,'[12]IMAGE CurPol SSP'!$AZ$3:$BE$29,6,FALSE)*$AM75,IF($BI$8=2018,VLOOKUP($L75,'[12]IMAGE CurPol SSP'!$BJ$3:$BO$29,6,FALSE)*$AP75,VLOOKUP($L75,'[12]IMAGE CurPol SSP'!$BU$3:$BZ$29,6,FALSE)*$AS75))</f>
        <v>0</v>
      </c>
      <c r="BT75" s="111">
        <f>IF($BI$8=2015,"",IF($BI$8=2018,"",VLOOKUP($L75,'[12]IMAGE CurPol SSP'!$CQ$3:$CV$29,6,FALSE)*$AS75))</f>
        <v>0</v>
      </c>
      <c r="BU75" s="164">
        <f>IF($BI$8=2015,"",IF($BI$8=2018,"",VLOOKUP($L75,'[12]IMAGE CurPol SSP'!$CF$3:$CK$29,6,FALSE)*$AS75))</f>
        <v>0</v>
      </c>
      <c r="CN75" t="s">
        <v>179</v>
      </c>
      <c r="CO75" s="165" t="str">
        <f t="shared" si="2"/>
        <v/>
      </c>
      <c r="CP75" s="165" t="str">
        <f t="shared" si="2"/>
        <v/>
      </c>
      <c r="CQ75" s="165" t="str">
        <f t="shared" si="2"/>
        <v/>
      </c>
      <c r="CR75" s="165" t="str">
        <f t="shared" si="2"/>
        <v/>
      </c>
      <c r="CV75" s="125" t="s">
        <v>621</v>
      </c>
      <c r="CW75" s="125" t="s">
        <v>621</v>
      </c>
      <c r="CX75" s="165">
        <f>AP75/$AP$255</f>
        <v>0</v>
      </c>
      <c r="CY75" s="167">
        <f t="shared" si="3"/>
        <v>0</v>
      </c>
      <c r="DB75" s="106"/>
      <c r="DC75" s="106"/>
      <c r="DD75" s="106"/>
      <c r="DE75" s="106"/>
      <c r="DF75" s="106"/>
      <c r="DG75" s="105" t="str">
        <f t="shared" si="4"/>
        <v>excl</v>
      </c>
      <c r="DH75" t="s">
        <v>179</v>
      </c>
      <c r="DI75" s="111">
        <f t="shared" ref="DI75:DJ100" si="58">IF(AY75="",$BM75,AY75)-$BM75</f>
        <v>0</v>
      </c>
      <c r="DJ75" s="111">
        <f t="shared" si="58"/>
        <v>0</v>
      </c>
      <c r="DK75" s="111">
        <f t="shared" ref="DK75:DK100" si="59">IF(BA75="",$BP75,BA75)-$BP75</f>
        <v>0</v>
      </c>
      <c r="DL75" s="111">
        <f t="shared" ref="DL75:DL100" si="60">IF(BC75="",$BP75,BC75)-$BP75</f>
        <v>0</v>
      </c>
      <c r="DM75" s="111">
        <f t="shared" ref="DM75:DM100" si="61">IF(BE75="",$BS75,BE75)-$BS75</f>
        <v>0</v>
      </c>
      <c r="DN75" s="111">
        <f t="shared" ref="DN75:DN100" si="62">IF(BG75="",$BS75,BG75)-$BS75</f>
        <v>0</v>
      </c>
      <c r="DO75" s="111">
        <f t="shared" ref="DO75:DO100" si="63">IF(BI75="",$BS75,BI75)-$BS75</f>
        <v>0</v>
      </c>
      <c r="DP75" s="111">
        <f t="shared" ref="DP75:DP100" si="64">IF(BK75="",$BS75,BK75)-$BS75</f>
        <v>0</v>
      </c>
      <c r="DQ75" s="106"/>
      <c r="DR75" s="106"/>
      <c r="DS75" s="111"/>
      <c r="DT75" s="168"/>
      <c r="DW75" s="111">
        <f t="shared" si="12"/>
        <v>0</v>
      </c>
      <c r="DX75" s="111">
        <f t="shared" si="12"/>
        <v>0</v>
      </c>
      <c r="DY75" s="111">
        <f t="shared" si="12"/>
        <v>0</v>
      </c>
      <c r="DZ75" s="111">
        <f t="shared" si="12"/>
        <v>0</v>
      </c>
      <c r="EP75" t="s">
        <v>179</v>
      </c>
      <c r="EQ75">
        <v>0</v>
      </c>
      <c r="ER75" s="111">
        <f t="shared" si="13"/>
        <v>0</v>
      </c>
      <c r="ES75" s="111">
        <f>IF($BI$8=2015,VLOOKUP($L75,'[12]IMAGE CDLINKS CurPol'!$P$3:$Y$29,10,FALSE)*$AM75,VLOOKUP($L75,'[12]IMAGE CDLINKS CurPol'!$Z$3:$AI$29,10,FALSE)*$AP75)</f>
        <v>0</v>
      </c>
      <c r="ET75" s="111">
        <f t="shared" si="14"/>
        <v>0</v>
      </c>
      <c r="EU75" s="111">
        <f t="shared" si="19"/>
        <v>0</v>
      </c>
      <c r="EV75" s="111">
        <f>IF($BI$8=2015,VLOOKUP($L75,'[12]IMAGE CDLINKS 2C'!$P$3:$Y$29,10,FALSE)*$AM75,VLOOKUP($L75,'[12]IMAGE CDLINKS 2C'!$Z$3:$AI$29,10,FALSE)*$AP75)</f>
        <v>0</v>
      </c>
      <c r="EY75" s="111">
        <f t="shared" si="20"/>
        <v>0</v>
      </c>
      <c r="EZ75" s="111">
        <f>IF($BI$8=2015,VLOOKUP($L75,'[12]IMAGE CDLINKS 1_5C'!$P$3:$Y$29,10,FALSE)*$AM75,VLOOKUP($L75,'[12]IMAGE CDLINKS 1_5C'!$Z$3:$AI$29,10,FALSE)*$AP75)</f>
        <v>0</v>
      </c>
      <c r="FA75" s="192"/>
    </row>
    <row r="76" spans="1:157" x14ac:dyDescent="0.25">
      <c r="A76" t="str">
        <f>IF([12]NDCs!C78="","",[12]NDCs!C78)</f>
        <v/>
      </c>
      <c r="B76" s="159" t="str">
        <f t="shared" si="0"/>
        <v>v</v>
      </c>
      <c r="C76">
        <v>0</v>
      </c>
      <c r="D76">
        <v>0</v>
      </c>
      <c r="E76">
        <v>0</v>
      </c>
      <c r="F76">
        <v>0</v>
      </c>
      <c r="G76" t="b">
        <f t="shared" si="1"/>
        <v>0</v>
      </c>
      <c r="H76" t="s">
        <v>2328</v>
      </c>
      <c r="I76" t="s">
        <v>181</v>
      </c>
      <c r="J76">
        <v>238</v>
      </c>
      <c r="K76">
        <v>63</v>
      </c>
      <c r="L76">
        <v>6</v>
      </c>
      <c r="M76" t="str">
        <f>IF([12]NDCs!AL78="Excluding","excl","incl")</f>
        <v>excl</v>
      </c>
      <c r="N76" s="160">
        <f>[12]GHG_hist!BA66+IF($M76="incl",[12]LULUCF_hist!CR66,0)</f>
        <v>0</v>
      </c>
      <c r="O76" s="111">
        <f>[12]GHG_hist!BB66+IF($M76="incl",[12]LULUCF_hist!CS66,0)</f>
        <v>0</v>
      </c>
      <c r="P76" s="111">
        <f>[12]GHG_hist!BC66+IF($M76="incl",[12]LULUCF_hist!CT66,0)</f>
        <v>0</v>
      </c>
      <c r="Q76" s="111">
        <f>[12]GHG_hist!BD66+IF($M76="incl",[12]LULUCF_hist!CU66,0)</f>
        <v>0</v>
      </c>
      <c r="R76" s="111">
        <f>[12]GHG_hist!BE66+IF($M76="incl",[12]LULUCF_hist!CV66,0)</f>
        <v>0</v>
      </c>
      <c r="S76" s="111">
        <f>[12]GHG_hist!BF66+IF($M76="incl",[12]LULUCF_hist!CW66,0)</f>
        <v>0</v>
      </c>
      <c r="T76" s="111">
        <f>[12]GHG_hist!BG66+IF($M76="incl",[12]LULUCF_hist!CX66,0)</f>
        <v>0</v>
      </c>
      <c r="U76" s="111">
        <f>[12]GHG_hist!BH66+IF($M76="incl",[12]LULUCF_hist!CY66,0)</f>
        <v>0</v>
      </c>
      <c r="V76" s="111">
        <f>[12]GHG_hist!BI66+IF($M76="incl",[12]LULUCF_hist!CZ66,0)</f>
        <v>0</v>
      </c>
      <c r="W76" s="111">
        <f>[12]GHG_hist!BJ66+IF($M76="incl",[12]LULUCF_hist!DA66,0)</f>
        <v>0</v>
      </c>
      <c r="X76" s="111">
        <f>[12]GHG_hist!BK66+IF($M76="incl",[12]LULUCF_hist!DB66,0)</f>
        <v>0</v>
      </c>
      <c r="Y76" s="111">
        <f>[12]GHG_hist!BL66+IF($M76="incl",[12]LULUCF_hist!DC66,0)</f>
        <v>0</v>
      </c>
      <c r="Z76" s="111">
        <f>[12]GHG_hist!BM66+IF($M76="incl",[12]LULUCF_hist!DD66,0)</f>
        <v>0</v>
      </c>
      <c r="AA76" s="111">
        <f>[12]GHG_hist!BN66+IF($M76="incl",[12]LULUCF_hist!DE66,0)</f>
        <v>0</v>
      </c>
      <c r="AB76" s="111">
        <f>[12]GHG_hist!BO66+IF($M76="incl",[12]LULUCF_hist!DF66,0)</f>
        <v>0</v>
      </c>
      <c r="AC76" s="111">
        <f>[12]GHG_hist!BP66+IF($M76="incl",[12]LULUCF_hist!DG66,0)</f>
        <v>0</v>
      </c>
      <c r="AD76" s="111">
        <f>[12]GHG_hist!BQ66+IF($M76="incl",[12]LULUCF_hist!DH66,0)</f>
        <v>0</v>
      </c>
      <c r="AE76" s="111">
        <f>[12]GHG_hist!BR66+IF($M76="incl",[12]LULUCF_hist!DI66,0)</f>
        <v>0</v>
      </c>
      <c r="AF76" s="111">
        <f>[12]GHG_hist!BS66+IF($M76="incl",[12]LULUCF_hist!DJ66,0)</f>
        <v>0</v>
      </c>
      <c r="AG76" s="111">
        <f>[12]GHG_hist!BT66+IF($M76="incl",[12]LULUCF_hist!DK66,0)</f>
        <v>0</v>
      </c>
      <c r="AH76" s="111">
        <f>[12]GHG_hist!BU66+IF($M76="incl",[12]LULUCF_hist!DL66,0)</f>
        <v>0</v>
      </c>
      <c r="AI76" s="111">
        <f>[12]GHG_hist!BV66+IF($M76="incl",[12]LULUCF_hist!DM66,0)</f>
        <v>0</v>
      </c>
      <c r="AJ76" s="111">
        <f>[12]GHG_hist!BW66+IF($M76="incl",[12]LULUCF_hist!DN66,0)</f>
        <v>0</v>
      </c>
      <c r="AK76" s="111">
        <f>[12]GHG_hist!BX66+IF($M76="incl",[12]LULUCF_hist!DO66,0)</f>
        <v>0</v>
      </c>
      <c r="AL76" s="111">
        <f>[12]GHG_hist!BY66+IF($M76="incl",[12]LULUCF_hist!DP66,0)</f>
        <v>0</v>
      </c>
      <c r="AM76" s="111">
        <f>[12]GHG_hist!BZ66+IF($M76="incl",[12]LULUCF_hist!DQ66,0)</f>
        <v>0</v>
      </c>
      <c r="AN76" s="111">
        <f>[12]GHG_hist!CA66+IF($M76="incl",[12]LULUCF_hist!DR66,0)</f>
        <v>0</v>
      </c>
      <c r="AO76" s="111">
        <f>[12]GHG_hist!CB66+IF($M76="incl",[12]LULUCF_hist!DS66,0)</f>
        <v>0</v>
      </c>
      <c r="AP76" s="111">
        <f>[12]GHG_hist!CC66+IF($M76="incl",[12]LULUCF_hist!DT66,0)</f>
        <v>0</v>
      </c>
      <c r="AQ76" s="111">
        <f>[12]GHG_hist!CD66+IF($M76="incl",[12]LULUCF_hist!DU66,0)</f>
        <v>0</v>
      </c>
      <c r="AR76" s="111">
        <f>[12]GHG_hist!CE66+IF($M76="incl",[12]LULUCF_hist!DV66,0)</f>
        <v>0</v>
      </c>
      <c r="AS76" s="111">
        <f>[12]GHG_hist!CF66+IF($M76="incl",[12]LULUCF_hist!DW66,0)</f>
        <v>0</v>
      </c>
      <c r="AT76" s="161">
        <f>VLOOKUP($L76,'[12]IMAGE SSP2'!$AF$3:$AK$29,4,FALSE)*$AM76</f>
        <v>0</v>
      </c>
      <c r="AU76" s="162">
        <f>VLOOKUP($L76,'[12]IMAGE SSP2'!$AF$3:$AK$29,5,FALSE)*$AM76</f>
        <v>0</v>
      </c>
      <c r="AV76" s="163">
        <f>VLOOKUP($L76,'[12]IMAGE SSP2'!$AF$3:$AK$29,6,FALSE)*$AM76</f>
        <v>0</v>
      </c>
      <c r="AW76" s="111" t="str">
        <f t="shared" si="15"/>
        <v/>
      </c>
      <c r="AX76" s="164" t="str">
        <f>IF(A76="B",IF(M76="excl",[12]NatCom!CO66,[12]NatCom!AX66),"")</f>
        <v/>
      </c>
      <c r="AY76" s="111" t="str">
        <f>IF('[12]Pledge 2020'!E66="","",'[12]Pledge 2020'!E66)</f>
        <v/>
      </c>
      <c r="AZ76" s="164" t="str">
        <f>IF('[12]Pledge 2020'!F66="","",'[12]Pledge 2020'!F66)</f>
        <v/>
      </c>
      <c r="BA76" s="111" t="str">
        <f t="shared" si="51"/>
        <v/>
      </c>
      <c r="BB76" s="111"/>
      <c r="BC76" s="111" t="str">
        <f t="shared" si="52"/>
        <v/>
      </c>
      <c r="BD76" s="111"/>
      <c r="BE76" s="111" t="s">
        <v>2477</v>
      </c>
      <c r="BF76" s="111"/>
      <c r="BG76" s="111" t="s">
        <v>2477</v>
      </c>
      <c r="BH76" s="164"/>
      <c r="BI76" s="111" t="str">
        <f>IF([12]NDCs!V78="",IF([12]NDCs!X78="","",[12]NDCs!X78),[12]NDCs!V78)</f>
        <v/>
      </c>
      <c r="BJ76" s="111" t="str">
        <f>IF([12]NDCs!V78="",IF([12]NDCs!X78="","",[12]NDCs!X78),[12]NDCs!V78)</f>
        <v/>
      </c>
      <c r="BK76" s="111" t="str">
        <f>IF([12]NDCs!Z78="",IF([12]NDCs!AB78="",IF('input site'!BE76="","",'input site'!BE76),[12]NDCs!AB78),[12]NDCs!Z78)</f>
        <v/>
      </c>
      <c r="BL76" s="111" t="str">
        <f>IF([12]NDCs!AA78="",IF([12]NDCs!AC78="",IF('input site'!BF76="","",'input site'!BF76),[12]NDCs!AC78),[12]NDCs!AA78)</f>
        <v/>
      </c>
      <c r="BM76" s="111">
        <f>IF($BI$8=2015,VLOOKUP($L76,'[12]IMAGE CurPol SSP'!$AZ$3:$BD$29,4,FALSE)*$AM76,IF($BI$8=2018,VLOOKUP($L76,'[12]IMAGE CurPol SSP'!$BJ$3:$BN$29,4,FALSE)*$AP76,$AR76))</f>
        <v>0</v>
      </c>
      <c r="BN76" s="111">
        <f t="shared" si="57"/>
        <v>0</v>
      </c>
      <c r="BO76" s="111">
        <f t="shared" si="57"/>
        <v>0</v>
      </c>
      <c r="BP76" s="111">
        <f>IF($BI$8=2015,VLOOKUP($L76,'[12]IMAGE CurPol SSP'!$AZ$3:$BD$29,5,FALSE)*$AM76,IF($BI$8=2018,VLOOKUP($L76,'[12]IMAGE CurPol SSP'!$BJ$3:$BN$29,5,FALSE)*$AP76,VLOOKUP($L76,'[12]IMAGE CurPol SSP'!$BU$3:$BZ$29,5,FALSE)*$AS76))</f>
        <v>0</v>
      </c>
      <c r="BQ76" s="111">
        <f>IF($BI$8=2015,"",IF($BI$8=2018,"",VLOOKUP($L76,'[12]IMAGE CurPol SSP'!$CQ$3:$CV$29,5,FALSE)*$AS76))</f>
        <v>0</v>
      </c>
      <c r="BR76" s="111">
        <f>IF($BI$8=2015,"",IF($BI$8=2018,"",VLOOKUP($L76,'[12]IMAGE CurPol SSP'!$CF$3:$CK$29,5,FALSE)*$AS76))</f>
        <v>0</v>
      </c>
      <c r="BS76" s="111">
        <f>IF($BI$8=2015,VLOOKUP($L76,'[12]IMAGE CurPol SSP'!$AZ$3:$BE$29,6,FALSE)*$AM76,IF($BI$8=2018,VLOOKUP($L76,'[12]IMAGE CurPol SSP'!$BJ$3:$BO$29,6,FALSE)*$AP76,VLOOKUP($L76,'[12]IMAGE CurPol SSP'!$BU$3:$BZ$29,6,FALSE)*$AS76))</f>
        <v>0</v>
      </c>
      <c r="BT76" s="111">
        <f>IF($BI$8=2015,"",IF($BI$8=2018,"",VLOOKUP($L76,'[12]IMAGE CurPol SSP'!$CQ$3:$CV$29,6,FALSE)*$AS76))</f>
        <v>0</v>
      </c>
      <c r="BU76" s="164">
        <f>IF($BI$8=2015,"",IF($BI$8=2018,"",VLOOKUP($L76,'[12]IMAGE CurPol SSP'!$CF$3:$CK$29,6,FALSE)*$AS76))</f>
        <v>0</v>
      </c>
      <c r="CN76" t="s">
        <v>181</v>
      </c>
      <c r="CO76" s="165" t="str">
        <f t="shared" si="2"/>
        <v/>
      </c>
      <c r="CP76" s="165" t="str">
        <f t="shared" si="2"/>
        <v/>
      </c>
      <c r="CQ76" s="165" t="str">
        <f t="shared" si="2"/>
        <v/>
      </c>
      <c r="CR76" s="165" t="str">
        <f t="shared" ref="CR76:CR139" si="65">IF(BH76="","",BH76/$BS76-1)</f>
        <v/>
      </c>
      <c r="CV76" s="125" t="s">
        <v>621</v>
      </c>
      <c r="CW76" s="125" t="s">
        <v>621</v>
      </c>
      <c r="CX76" s="165">
        <f>AP76/$AP$255</f>
        <v>0</v>
      </c>
      <c r="CY76" s="167">
        <f t="shared" si="3"/>
        <v>0</v>
      </c>
      <c r="DB76" s="106"/>
      <c r="DC76" s="106"/>
      <c r="DD76" s="106"/>
      <c r="DE76" s="106"/>
      <c r="DF76" s="106"/>
      <c r="DG76" s="105" t="str">
        <f t="shared" si="4"/>
        <v>excl</v>
      </c>
      <c r="DH76" t="s">
        <v>181</v>
      </c>
      <c r="DI76" s="111">
        <f t="shared" si="58"/>
        <v>0</v>
      </c>
      <c r="DJ76" s="111">
        <f t="shared" si="58"/>
        <v>0</v>
      </c>
      <c r="DK76" s="111">
        <f t="shared" si="59"/>
        <v>0</v>
      </c>
      <c r="DL76" s="111">
        <f t="shared" si="60"/>
        <v>0</v>
      </c>
      <c r="DM76" s="111">
        <f t="shared" si="61"/>
        <v>0</v>
      </c>
      <c r="DN76" s="111">
        <f t="shared" si="62"/>
        <v>0</v>
      </c>
      <c r="DO76" s="111">
        <f t="shared" si="63"/>
        <v>0</v>
      </c>
      <c r="DP76" s="111">
        <f t="shared" si="64"/>
        <v>0</v>
      </c>
      <c r="DQ76" s="106"/>
      <c r="DR76" s="106"/>
      <c r="DS76" s="111"/>
      <c r="DT76" s="168"/>
      <c r="DW76" s="111">
        <f t="shared" si="12"/>
        <v>0</v>
      </c>
      <c r="DX76" s="111">
        <f t="shared" si="12"/>
        <v>0</v>
      </c>
      <c r="DY76" s="111">
        <f t="shared" si="12"/>
        <v>0</v>
      </c>
      <c r="DZ76" s="111">
        <f t="shared" ref="DZ76:DZ139" si="66">IF(BH76="",$BS76,BH76)</f>
        <v>0</v>
      </c>
      <c r="EP76" t="s">
        <v>181</v>
      </c>
      <c r="EQ76">
        <v>0</v>
      </c>
      <c r="ER76" s="111">
        <f t="shared" si="13"/>
        <v>0</v>
      </c>
      <c r="ES76" s="111">
        <f>IF($BI$8=2015,VLOOKUP($L76,'[12]IMAGE CDLINKS CurPol'!$P$3:$Y$29,10,FALSE)*$AM76,VLOOKUP($L76,'[12]IMAGE CDLINKS CurPol'!$Z$3:$AI$29,10,FALSE)*$AP76)</f>
        <v>0</v>
      </c>
      <c r="ET76" s="111">
        <f t="shared" si="14"/>
        <v>0</v>
      </c>
      <c r="EU76" s="111">
        <f t="shared" si="19"/>
        <v>0</v>
      </c>
      <c r="EV76" s="111">
        <f>IF($BI$8=2015,VLOOKUP($L76,'[12]IMAGE CDLINKS 2C'!$P$3:$Y$29,10,FALSE)*$AM76,VLOOKUP($L76,'[12]IMAGE CDLINKS 2C'!$Z$3:$AI$29,10,FALSE)*$AP76)</f>
        <v>0</v>
      </c>
      <c r="EY76" s="111">
        <f t="shared" si="20"/>
        <v>0</v>
      </c>
      <c r="EZ76" s="111">
        <f>IF($BI$8=2015,VLOOKUP($L76,'[12]IMAGE CDLINKS 1_5C'!$P$3:$Y$29,10,FALSE)*$AM76,VLOOKUP($L76,'[12]IMAGE CDLINKS 1_5C'!$Z$3:$AI$29,10,FALSE)*$AP76)</f>
        <v>0</v>
      </c>
      <c r="FA76" s="192"/>
    </row>
    <row r="77" spans="1:157" x14ac:dyDescent="0.25">
      <c r="A77" t="str">
        <f>IF([12]NDCs!C79="","",[12]NDCs!C79)</f>
        <v>G</v>
      </c>
      <c r="B77" s="159" t="str">
        <f t="shared" ref="B77:B140" si="67">CV77</f>
        <v>v</v>
      </c>
      <c r="C77">
        <v>0</v>
      </c>
      <c r="D77">
        <v>0</v>
      </c>
      <c r="E77">
        <v>0</v>
      </c>
      <c r="F77">
        <v>1</v>
      </c>
      <c r="G77" t="b">
        <f t="shared" ref="G77:G140" si="68">IF(OR(A77="",A77="G"),FALSE,TRUE)</f>
        <v>0</v>
      </c>
      <c r="H77" t="s">
        <v>2328</v>
      </c>
      <c r="I77" t="s">
        <v>183</v>
      </c>
      <c r="J77">
        <v>242</v>
      </c>
      <c r="K77">
        <v>64</v>
      </c>
      <c r="L77">
        <v>24</v>
      </c>
      <c r="M77" t="str">
        <f>IF([12]NDCs!AL79="Excluding","excl","incl")</f>
        <v>excl</v>
      </c>
      <c r="N77" s="160">
        <f>[12]GHG_hist!BA67+IF($M77="incl",[12]LULUCF_hist!CR67,0)</f>
        <v>1.6891557000000001</v>
      </c>
      <c r="O77" s="111">
        <f>[12]GHG_hist!BB67+IF($M77="incl",[12]LULUCF_hist!CS67,0)</f>
        <v>1.5487010000000001</v>
      </c>
      <c r="P77" s="111">
        <f>[12]GHG_hist!BC67+IF($M77="incl",[12]LULUCF_hist!CT67,0)</f>
        <v>1.6327593</v>
      </c>
      <c r="Q77" s="111">
        <f>[12]GHG_hist!BD67+IF($M77="incl",[12]LULUCF_hist!CU67,0)</f>
        <v>1.6753245999999999</v>
      </c>
      <c r="R77" s="111">
        <f>[12]GHG_hist!BE67+IF($M77="incl",[12]LULUCF_hist!CV67,0)</f>
        <v>1.6946960999999998</v>
      </c>
      <c r="S77" s="111">
        <f>[12]GHG_hist!BF67+IF($M77="incl",[12]LULUCF_hist!CW67,0)</f>
        <v>1.7489899</v>
      </c>
      <c r="T77" s="111">
        <f>[12]GHG_hist!BG67+IF($M77="incl",[12]LULUCF_hist!CX67,0)</f>
        <v>1.836139</v>
      </c>
      <c r="U77" s="111">
        <f>[12]GHG_hist!BH67+IF($M77="incl",[12]LULUCF_hist!CY67,0)</f>
        <v>1.8031443</v>
      </c>
      <c r="V77" s="111">
        <f>[12]GHG_hist!BI67+IF($M77="incl",[12]LULUCF_hist!CZ67,0)</f>
        <v>1.7635303</v>
      </c>
      <c r="W77" s="111">
        <f>[12]GHG_hist!BJ67+IF($M77="incl",[12]LULUCF_hist!DA67,0)</f>
        <v>1.7757628999999999</v>
      </c>
      <c r="X77" s="111">
        <f>[12]GHG_hist!BK67+IF($M77="incl",[12]LULUCF_hist!DB67,0)</f>
        <v>1.8439314</v>
      </c>
      <c r="Y77" s="111">
        <f>[12]GHG_hist!BL67+IF($M77="incl",[12]LULUCF_hist!DC67,0)</f>
        <v>2.0893625999999998</v>
      </c>
      <c r="Z77" s="111">
        <f>[12]GHG_hist!BM67+IF($M77="incl",[12]LULUCF_hist!DD67,0)</f>
        <v>1.8560921000000001</v>
      </c>
      <c r="AA77" s="111">
        <f>[12]GHG_hist!BN67+IF($M77="incl",[12]LULUCF_hist!DE67,0)</f>
        <v>2.0482252999999999</v>
      </c>
      <c r="AB77" s="111">
        <f>[12]GHG_hist!BO67+IF($M77="incl",[12]LULUCF_hist!DF67,0)</f>
        <v>2.4429504999999998</v>
      </c>
      <c r="AC77" s="111">
        <f>[12]GHG_hist!BP67+IF($M77="incl",[12]LULUCF_hist!DG67,0)</f>
        <v>2.1464846</v>
      </c>
      <c r="AD77" s="111">
        <f>[12]GHG_hist!BQ67+IF($M77="incl",[12]LULUCF_hist!DH67,0)</f>
        <v>2.3242505000000002</v>
      </c>
      <c r="AE77" s="111">
        <f>[12]GHG_hist!BR67+IF($M77="incl",[12]LULUCF_hist!DI67,0)</f>
        <v>2.2353291</v>
      </c>
      <c r="AF77" s="111">
        <f>[12]GHG_hist!BS67+IF($M77="incl",[12]LULUCF_hist!DJ67,0)</f>
        <v>2.2675505</v>
      </c>
      <c r="AG77" s="111">
        <f>[12]GHG_hist!BT67+IF($M77="incl",[12]LULUCF_hist!DK67,0)</f>
        <v>2.2589074</v>
      </c>
      <c r="AH77" s="111">
        <f>[12]GHG_hist!BU67+IF($M77="incl",[12]LULUCF_hist!DL67,0)</f>
        <v>2.3901791999999999</v>
      </c>
      <c r="AI77" s="111">
        <f>[12]GHG_hist!BV67+IF($M77="incl",[12]LULUCF_hist!DM67,0)</f>
        <v>2.3627608000000002</v>
      </c>
      <c r="AJ77" s="111">
        <f>[12]GHG_hist!BW67+IF($M77="incl",[12]LULUCF_hist!DN67,0)</f>
        <v>2.3296356999999999</v>
      </c>
      <c r="AK77" s="111">
        <f>[12]GHG_hist!BX67+IF($M77="incl",[12]LULUCF_hist!DO67,0)</f>
        <v>2.7405843000000001</v>
      </c>
      <c r="AL77" s="111">
        <f>[12]GHG_hist!BY67+IF($M77="incl",[12]LULUCF_hist!DP67,0)</f>
        <v>2.9194073</v>
      </c>
      <c r="AM77" s="111">
        <f>[12]GHG_hist!BZ67+IF($M77="incl",[12]LULUCF_hist!DQ67,0)</f>
        <v>3.7073352000000002</v>
      </c>
      <c r="AN77" s="111">
        <f>[12]GHG_hist!CA67+IF($M77="incl",[12]LULUCF_hist!DR67,0)</f>
        <v>3.5398527</v>
      </c>
      <c r="AO77" s="111">
        <f>[12]GHG_hist!CB67+IF($M77="incl",[12]LULUCF_hist!DS67,0)</f>
        <v>3.616377</v>
      </c>
      <c r="AP77" s="111">
        <f>[12]GHG_hist!CC67+IF($M77="incl",[12]LULUCF_hist!DT67,0)</f>
        <v>3.7526899</v>
      </c>
      <c r="AQ77" s="111">
        <f>[12]GHG_hist!CD67+IF($M77="incl",[12]LULUCF_hist!DU67,0)</f>
        <v>4.0561553000000004</v>
      </c>
      <c r="AR77" s="111">
        <f>[12]GHG_hist!CE67+IF($M77="incl",[12]LULUCF_hist!DV67,0)</f>
        <v>4.0532458</v>
      </c>
      <c r="AS77" s="111">
        <f>[12]GHG_hist!CF67+IF($M77="incl",[12]LULUCF_hist!DW67,0)</f>
        <v>4.1870805000000004</v>
      </c>
      <c r="AT77" s="161">
        <f>VLOOKUP($L77,'[12]IMAGE SSP2'!$AF$3:$AK$29,4,FALSE)*$AM77</f>
        <v>3.9797841911088856</v>
      </c>
      <c r="AU77" s="162">
        <f>VLOOKUP($L77,'[12]IMAGE SSP2'!$AF$3:$AK$29,5,FALSE)*$AM77</f>
        <v>4.0858171195422095</v>
      </c>
      <c r="AV77" s="163">
        <f>VLOOKUP($L77,'[12]IMAGE SSP2'!$AF$3:$AK$29,6,FALSE)*$AM77</f>
        <v>4.1336668561845551</v>
      </c>
      <c r="AW77" s="111" t="str">
        <f t="shared" si="15"/>
        <v/>
      </c>
      <c r="AX77" s="164" t="str">
        <f>IF(A77="B",IF(M77="excl",[12]NatCom!CO67,[12]NatCom!AX67),"")</f>
        <v/>
      </c>
      <c r="AY77" s="111" t="str">
        <f>IF('[12]Pledge 2020'!E67="","",'[12]Pledge 2020'!E67)</f>
        <v/>
      </c>
      <c r="AZ77" s="164" t="str">
        <f>IF('[12]Pledge 2020'!F67="","",'[12]Pledge 2020'!F67)</f>
        <v/>
      </c>
      <c r="BA77" s="111" t="str">
        <f t="shared" si="51"/>
        <v/>
      </c>
      <c r="BB77" s="111"/>
      <c r="BC77" s="111" t="str">
        <f t="shared" si="52"/>
        <v/>
      </c>
      <c r="BD77" s="111"/>
      <c r="BE77" s="111" t="s">
        <v>2477</v>
      </c>
      <c r="BF77" s="111"/>
      <c r="BG77" s="111" t="s">
        <v>2477</v>
      </c>
      <c r="BH77" s="164"/>
      <c r="BI77" s="111" t="str">
        <f>IF([12]NDCs!V79="",IF([12]NDCs!X79="","",[12]NDCs!X79),[12]NDCs!V79)</f>
        <v/>
      </c>
      <c r="BJ77" s="111" t="str">
        <f>IF([12]NDCs!V79="",IF([12]NDCs!X79="","",[12]NDCs!X79),[12]NDCs!V79)</f>
        <v/>
      </c>
      <c r="BK77" s="111" t="str">
        <f>IF([12]NDCs!Z79="",IF([12]NDCs!AB79="",IF('input site'!BE77="","",'input site'!BE77),[12]NDCs!AB79),[12]NDCs!Z79)</f>
        <v/>
      </c>
      <c r="BL77" s="111" t="str">
        <f>IF([12]NDCs!AA79="",IF([12]NDCs!AC79="",IF('input site'!BF77="","",'input site'!BF77),[12]NDCs!AC79),[12]NDCs!AA79)</f>
        <v/>
      </c>
      <c r="BM77" s="111">
        <f>IF($BI$8=2015,VLOOKUP($L77,'[12]IMAGE CurPol SSP'!$AZ$3:$BD$29,4,FALSE)*$AM77,IF($BI$8=2018,VLOOKUP($L77,'[12]IMAGE CurPol SSP'!$BJ$3:$BN$29,4,FALSE)*$AP77,$AR77))</f>
        <v>4.0532458</v>
      </c>
      <c r="BN77" s="111">
        <f t="shared" si="57"/>
        <v>4.0532458</v>
      </c>
      <c r="BO77" s="111">
        <f t="shared" si="57"/>
        <v>4.0532458</v>
      </c>
      <c r="BP77" s="111">
        <f>IF($BI$8=2015,VLOOKUP($L77,'[12]IMAGE CurPol SSP'!$AZ$3:$BD$29,5,FALSE)*$AM77,IF($BI$8=2018,VLOOKUP($L77,'[12]IMAGE CurPol SSP'!$BJ$3:$BN$29,5,FALSE)*$AP77,VLOOKUP($L77,'[12]IMAGE CurPol SSP'!$BU$3:$BZ$29,5,FALSE)*$AS77))</f>
        <v>4.2643877429820147</v>
      </c>
      <c r="BQ77" s="111">
        <f>IF($BI$8=2015,"",IF($BI$8=2018,"",VLOOKUP($L77,'[12]IMAGE CurPol SSP'!$CQ$3:$CV$29,5,FALSE)*$AS77))</f>
        <v>4.1517583161963065</v>
      </c>
      <c r="BR77" s="111">
        <f>IF($BI$8=2015,"",IF($BI$8=2018,"",VLOOKUP($L77,'[12]IMAGE CurPol SSP'!$CF$3:$CK$29,5,FALSE)*$AS77))</f>
        <v>4.2643877429820147</v>
      </c>
      <c r="BS77" s="111">
        <f>IF($BI$8=2015,VLOOKUP($L77,'[12]IMAGE CurPol SSP'!$AZ$3:$BE$29,6,FALSE)*$AM77,IF($BI$8=2018,VLOOKUP($L77,'[12]IMAGE CurPol SSP'!$BJ$3:$BO$29,6,FALSE)*$AP77,VLOOKUP($L77,'[12]IMAGE CurPol SSP'!$BU$3:$BZ$29,6,FALSE)*$AS77))</f>
        <v>4.3894363646506767</v>
      </c>
      <c r="BT77" s="111">
        <f>IF($BI$8=2015,"",IF($BI$8=2018,"",VLOOKUP($L77,'[12]IMAGE CurPol SSP'!$CQ$3:$CV$29,6,FALSE)*$AS77))</f>
        <v>4.054251656399007</v>
      </c>
      <c r="BU77" s="164">
        <f>IF($BI$8=2015,"",IF($BI$8=2018,"",VLOOKUP($L77,'[12]IMAGE CurPol SSP'!$CF$3:$CK$29,6,FALSE)*$AS77))</f>
        <v>4.3894363646506767</v>
      </c>
      <c r="CN77" t="s">
        <v>183</v>
      </c>
      <c r="CO77" s="165" t="str">
        <f t="shared" ref="CO77:CR140" si="69">IF(BE77="","",BE77/$BS77-1)</f>
        <v/>
      </c>
      <c r="CP77" s="165" t="str">
        <f t="shared" si="69"/>
        <v/>
      </c>
      <c r="CQ77" s="165" t="str">
        <f t="shared" si="69"/>
        <v/>
      </c>
      <c r="CR77" s="165" t="str">
        <f t="shared" si="65"/>
        <v/>
      </c>
      <c r="CV77" s="125" t="s">
        <v>621</v>
      </c>
      <c r="CW77" s="125" t="s">
        <v>621</v>
      </c>
      <c r="CX77"/>
      <c r="CY77" s="167">
        <f t="shared" ref="CY77:CY140" si="70">AT77-BM77</f>
        <v>-7.3461608891114416E-2</v>
      </c>
      <c r="DB77" s="106"/>
      <c r="DC77" s="106"/>
      <c r="DD77" s="106"/>
      <c r="DE77" s="106"/>
      <c r="DF77" s="106"/>
      <c r="DG77" s="105" t="str">
        <f t="shared" ref="DG77:DG140" si="71">M77</f>
        <v>excl</v>
      </c>
      <c r="DH77" t="s">
        <v>183</v>
      </c>
      <c r="DI77" s="111">
        <f t="shared" si="58"/>
        <v>0</v>
      </c>
      <c r="DJ77" s="111">
        <f t="shared" si="58"/>
        <v>0</v>
      </c>
      <c r="DK77" s="111">
        <f t="shared" si="59"/>
        <v>0</v>
      </c>
      <c r="DL77" s="111">
        <f t="shared" si="60"/>
        <v>0</v>
      </c>
      <c r="DM77" s="111">
        <f t="shared" si="61"/>
        <v>0</v>
      </c>
      <c r="DN77" s="111">
        <f t="shared" si="62"/>
        <v>0</v>
      </c>
      <c r="DO77" s="111">
        <f t="shared" si="63"/>
        <v>0</v>
      </c>
      <c r="DP77" s="111">
        <f t="shared" si="64"/>
        <v>0</v>
      </c>
      <c r="DQ77" s="106"/>
      <c r="DR77" s="106"/>
      <c r="DS77" s="111"/>
      <c r="DT77" s="168"/>
      <c r="DW77" s="111">
        <f t="shared" ref="DW77:DZ140" si="72">IF(BE77="",$BS77,BE77)</f>
        <v>4.3894363646506767</v>
      </c>
      <c r="DX77" s="111">
        <f t="shared" si="72"/>
        <v>4.3894363646506767</v>
      </c>
      <c r="DY77" s="111">
        <f t="shared" si="72"/>
        <v>4.3894363646506767</v>
      </c>
      <c r="DZ77" s="111">
        <f t="shared" si="66"/>
        <v>4.3894363646506767</v>
      </c>
      <c r="EP77" t="s">
        <v>183</v>
      </c>
      <c r="EQ77">
        <v>4</v>
      </c>
      <c r="ER77" s="111">
        <f t="shared" ref="ER77:ER140" si="73">AP77</f>
        <v>3.7526899</v>
      </c>
      <c r="ES77" s="111">
        <f>IF($BI$8=2015,VLOOKUP($L77,'[12]IMAGE CDLINKS CurPol'!$P$3:$Y$29,10,FALSE)*$AM77,VLOOKUP($L77,'[12]IMAGE CDLINKS CurPol'!$Z$3:$AI$29,10,FALSE)*$AP77)</f>
        <v>3.8690470923769822</v>
      </c>
      <c r="ET77" s="111">
        <f t="shared" ref="ET77:ET101" si="74">IF(EQ77&gt;=1,EW77,ES77)</f>
        <v>0</v>
      </c>
      <c r="EU77" s="111">
        <f t="shared" si="19"/>
        <v>0</v>
      </c>
      <c r="EV77" s="111">
        <f>IF($BI$8=2015,VLOOKUP($L77,'[12]IMAGE CDLINKS 2C'!$P$3:$Y$29,10,FALSE)*$AM77,VLOOKUP($L77,'[12]IMAGE CDLINKS 2C'!$Z$3:$AI$29,10,FALSE)*$AP77)</f>
        <v>1.4870185407736796</v>
      </c>
      <c r="EW77">
        <v>0</v>
      </c>
      <c r="EX77" s="111">
        <f>EW77-EV77</f>
        <v>-1.4870185407736796</v>
      </c>
      <c r="EY77" s="111">
        <f t="shared" si="20"/>
        <v>0</v>
      </c>
      <c r="EZ77" s="111">
        <f>IF($BI$8=2015,VLOOKUP($L77,'[12]IMAGE CDLINKS 1_5C'!$P$3:$Y$29,10,FALSE)*$AM77,VLOOKUP($L77,'[12]IMAGE CDLINKS 1_5C'!$Z$3:$AI$29,10,FALSE)*$AP77)</f>
        <v>0.64323021307325334</v>
      </c>
      <c r="FA77" s="192">
        <v>2050</v>
      </c>
    </row>
    <row r="78" spans="1:157" x14ac:dyDescent="0.25">
      <c r="A78" t="str">
        <f>IF([12]NDCs!C80="","",[12]NDCs!C80)</f>
        <v>A</v>
      </c>
      <c r="B78" s="159" t="str">
        <f t="shared" si="67"/>
        <v>v</v>
      </c>
      <c r="C78">
        <v>0</v>
      </c>
      <c r="D78">
        <v>1</v>
      </c>
      <c r="E78">
        <v>0</v>
      </c>
      <c r="F78">
        <v>1</v>
      </c>
      <c r="G78" t="b">
        <f t="shared" si="68"/>
        <v>1</v>
      </c>
      <c r="H78" t="s">
        <v>2335</v>
      </c>
      <c r="I78" t="s">
        <v>185</v>
      </c>
      <c r="J78">
        <v>246</v>
      </c>
      <c r="K78">
        <v>65</v>
      </c>
      <c r="L78">
        <v>11</v>
      </c>
      <c r="M78" t="str">
        <f>IF([12]NDCs!AL80="Excluding","excl","incl")</f>
        <v>incl</v>
      </c>
      <c r="N78" s="160">
        <f>[12]GHG_hist!BA68+IF($M78="incl",[12]LULUCF_hist!CR68,0)</f>
        <v>45.040982353999993</v>
      </c>
      <c r="O78" s="111">
        <f>[12]GHG_hist!BB68+IF($M78="incl",[12]LULUCF_hist!CS68,0)</f>
        <v>30.530527250666644</v>
      </c>
      <c r="P78" s="111">
        <f>[12]GHG_hist!BC68+IF($M78="incl",[12]LULUCF_hist!CT68,0)</f>
        <v>35.117362335333304</v>
      </c>
      <c r="Q78" s="111">
        <f>[12]GHG_hist!BD68+IF($M78="incl",[12]LULUCF_hist!CU68,0)</f>
        <v>36.679873783333306</v>
      </c>
      <c r="R78" s="111">
        <f>[12]GHG_hist!BE68+IF($M78="incl",[12]LULUCF_hist!CV68,0)</f>
        <v>49.052006279666642</v>
      </c>
      <c r="S78" s="111">
        <f>[12]GHG_hist!BF68+IF($M78="incl",[12]LULUCF_hist!CW68,0)</f>
        <v>46.657731311999981</v>
      </c>
      <c r="T78" s="111">
        <f>[12]GHG_hist!BG68+IF($M78="incl",[12]LULUCF_hist!CX68,0)</f>
        <v>46.295732972999986</v>
      </c>
      <c r="U78" s="111">
        <f>[12]GHG_hist!BH68+IF($M78="incl",[12]LULUCF_hist!CY68,0)</f>
        <v>49.579594185666636</v>
      </c>
      <c r="V78" s="111">
        <f>[12]GHG_hist!BI68+IF($M78="incl",[12]LULUCF_hist!CZ68,0)</f>
        <v>47.895978844666658</v>
      </c>
      <c r="W78" s="111">
        <f>[12]GHG_hist!BJ68+IF($M78="incl",[12]LULUCF_hist!DA68,0)</f>
        <v>46.987237274999998</v>
      </c>
      <c r="X78" s="111">
        <f>[12]GHG_hist!BK68+IF($M78="incl",[12]LULUCF_hist!DB68,0)</f>
        <v>45.543973993666647</v>
      </c>
      <c r="Y78" s="111">
        <f>[12]GHG_hist!BL68+IF($M78="incl",[12]LULUCF_hist!DC68,0)</f>
        <v>50.150556016999985</v>
      </c>
      <c r="Z78" s="111">
        <f>[12]GHG_hist!BM68+IF($M78="incl",[12]LULUCF_hist!DD68,0)</f>
        <v>51.429008614333313</v>
      </c>
      <c r="AA78" s="111">
        <f>[12]GHG_hist!BN68+IF($M78="incl",[12]LULUCF_hist!DE68,0)</f>
        <v>58.559895079333302</v>
      </c>
      <c r="AB78" s="111">
        <f>[12]GHG_hist!BO68+IF($M78="incl",[12]LULUCF_hist!DF68,0)</f>
        <v>53.340137203333313</v>
      </c>
      <c r="AC78" s="111">
        <f>[12]GHG_hist!BP68+IF($M78="incl",[12]LULUCF_hist!DG68,0)</f>
        <v>41.272682808999974</v>
      </c>
      <c r="AD78" s="111">
        <f>[12]GHG_hist!BQ68+IF($M78="incl",[12]LULUCF_hist!DH68,0)</f>
        <v>48.753418586333297</v>
      </c>
      <c r="AE78" s="111">
        <f>[12]GHG_hist!BR68+IF($M78="incl",[12]LULUCF_hist!DI68,0)</f>
        <v>56.748151185333327</v>
      </c>
      <c r="AF78" s="111">
        <f>[12]GHG_hist!BS68+IF($M78="incl",[12]LULUCF_hist!DJ68,0)</f>
        <v>46.056274095999981</v>
      </c>
      <c r="AG78" s="111">
        <f>[12]GHG_hist!BT68+IF($M78="incl",[12]LULUCF_hist!DK68,0)</f>
        <v>30.11238923599997</v>
      </c>
      <c r="AH78" s="111">
        <f>[12]GHG_hist!BU68+IF($M78="incl",[12]LULUCF_hist!DL68,0)</f>
        <v>49.442743270999969</v>
      </c>
      <c r="AI78" s="111">
        <f>[12]GHG_hist!BV68+IF($M78="incl",[12]LULUCF_hist!DM68,0)</f>
        <v>42.429858860666648</v>
      </c>
      <c r="AJ78" s="111">
        <f>[12]GHG_hist!BW68+IF($M78="incl",[12]LULUCF_hist!DN68,0)</f>
        <v>35.131991802333303</v>
      </c>
      <c r="AK78" s="111">
        <f>[12]GHG_hist!BX68+IF($M78="incl",[12]LULUCF_hist!DO68,0)</f>
        <v>42.368058035999987</v>
      </c>
      <c r="AL78" s="111">
        <f>[12]GHG_hist!BY68+IF($M78="incl",[12]LULUCF_hist!DP68,0)</f>
        <v>37.71424486666664</v>
      </c>
      <c r="AM78" s="111">
        <f>[12]GHG_hist!BZ68+IF($M78="incl",[12]LULUCF_hist!DQ68,0)</f>
        <v>38.270548171999991</v>
      </c>
      <c r="AN78" s="111">
        <f>[12]GHG_hist!CA68+IF($M78="incl",[12]LULUCF_hist!DR68,0)</f>
        <v>44.394027583999993</v>
      </c>
      <c r="AO78" s="111">
        <f>[12]GHG_hist!CB68+IF($M78="incl",[12]LULUCF_hist!DS68,0)</f>
        <v>43.993755626666655</v>
      </c>
      <c r="AP78" s="111">
        <f>[12]GHG_hist!CC68+IF($M78="incl",[12]LULUCF_hist!DT68,0)</f>
        <v>54.139492290000007</v>
      </c>
      <c r="AQ78" s="111">
        <f>[12]GHG_hist!CD68+IF($M78="incl",[12]LULUCF_hist!DU68,0)</f>
        <v>46.02463268533333</v>
      </c>
      <c r="AR78" s="111">
        <f>[12]GHG_hist!CE68+IF($M78="incl",[12]LULUCF_hist!DV68,0)</f>
        <v>38.659158706999989</v>
      </c>
      <c r="AS78" s="111">
        <f>[12]GHG_hist!CF68+IF($M78="incl",[12]LULUCF_hist!DW68,0)</f>
        <v>48.31565251</v>
      </c>
      <c r="AT78" s="161">
        <f>VLOOKUP($L78,'[12]IMAGE SSP2'!$AF$3:$AK$29,4,FALSE)*$AM78</f>
        <v>37.214183451012865</v>
      </c>
      <c r="AU78" s="162">
        <f>VLOOKUP($L78,'[12]IMAGE SSP2'!$AF$3:$AK$29,5,FALSE)*$AM78</f>
        <v>35.982344197829498</v>
      </c>
      <c r="AV78" s="163">
        <f>VLOOKUP($L78,'[12]IMAGE SSP2'!$AF$3:$AK$29,6,FALSE)*$AM78</f>
        <v>35.782133676055317</v>
      </c>
      <c r="AW78" s="111" t="str">
        <f t="shared" ref="AW78:AW141" si="75">IF(A78="B",AH78+(AX78-AH78)*0.5,"")</f>
        <v/>
      </c>
      <c r="AX78" s="164" t="str">
        <f>IF(A78="B",IF(M78="excl",[12]NatCom!CO68,[12]NatCom!AX68),"")</f>
        <v/>
      </c>
      <c r="AY78" s="111" t="str">
        <f>IF('[12]Pledge 2020'!E68="","",'[12]Pledge 2020'!E68)</f>
        <v/>
      </c>
      <c r="AZ78" s="164" t="str">
        <f>IF('[12]Pledge 2020'!F68="","",'[12]Pledge 2020'!F68)</f>
        <v/>
      </c>
      <c r="BA78" s="111" t="str">
        <f t="shared" si="51"/>
        <v/>
      </c>
      <c r="BB78" s="111"/>
      <c r="BC78" s="111" t="str">
        <f t="shared" si="52"/>
        <v/>
      </c>
      <c r="BD78" s="111"/>
      <c r="BE78" s="111" t="s">
        <v>2477</v>
      </c>
      <c r="BF78" s="111"/>
      <c r="BG78" s="111" t="s">
        <v>2477</v>
      </c>
      <c r="BH78" s="164"/>
      <c r="BI78" s="111" t="str">
        <f>IF([12]NDCs!V80="",IF([12]NDCs!X80="","",[12]NDCs!X80),[12]NDCs!V80)</f>
        <v/>
      </c>
      <c r="BJ78" s="111" t="str">
        <f>IF([12]NDCs!V80="",IF([12]NDCs!X80="","",[12]NDCs!X80),[12]NDCs!V80)</f>
        <v/>
      </c>
      <c r="BK78" s="111" t="str">
        <f>IF([12]NDCs!Z80="",IF([12]NDCs!AB80="",IF('input site'!BE78="","",'input site'!BE78),[12]NDCs!AB80),[12]NDCs!Z80)</f>
        <v/>
      </c>
      <c r="BL78" s="111" t="str">
        <f>IF([12]NDCs!AA80="",IF([12]NDCs!AC80="",IF('input site'!BF78="","",'input site'!BF78),[12]NDCs!AC80),[12]NDCs!AA80)</f>
        <v/>
      </c>
      <c r="BM78" s="111">
        <f>IF($BI$8=2015,VLOOKUP($L78,'[12]IMAGE CurPol SSP'!$AZ$3:$BD$29,4,FALSE)*$AM78,IF($BI$8=2018,VLOOKUP($L78,'[12]IMAGE CurPol SSP'!$BJ$3:$BN$29,4,FALSE)*$AP78,$AR78))</f>
        <v>38.659158706999989</v>
      </c>
      <c r="BN78" s="111">
        <f t="shared" si="57"/>
        <v>38.659158706999989</v>
      </c>
      <c r="BO78" s="111">
        <f t="shared" si="57"/>
        <v>38.659158706999989</v>
      </c>
      <c r="BP78" s="111">
        <f>IF($BI$8=2015,VLOOKUP($L78,'[12]IMAGE CurPol SSP'!$AZ$3:$BD$29,5,FALSE)*$AM78,IF($BI$8=2018,VLOOKUP($L78,'[12]IMAGE CurPol SSP'!$BJ$3:$BN$29,5,FALSE)*$AP78,VLOOKUP($L78,'[12]IMAGE CurPol SSP'!$BU$3:$BZ$29,5,FALSE)*$AS78))</f>
        <v>39.190741442985576</v>
      </c>
      <c r="BQ78" s="111">
        <f>IF($BI$8=2015,"",IF($BI$8=2018,"",VLOOKUP($L78,'[12]IMAGE CurPol SSP'!$CQ$3:$CV$29,5,FALSE)*$AS78))</f>
        <v>38.088759776951782</v>
      </c>
      <c r="BR78" s="111">
        <f>IF($BI$8=2015,"",IF($BI$8=2018,"",VLOOKUP($L78,'[12]IMAGE CurPol SSP'!$CF$3:$CK$29,5,FALSE)*$AS78))</f>
        <v>39.860008723355605</v>
      </c>
      <c r="BS78" s="111">
        <f>IF($BI$8=2015,VLOOKUP($L78,'[12]IMAGE CurPol SSP'!$AZ$3:$BE$29,6,FALSE)*$AM78,IF($BI$8=2018,VLOOKUP($L78,'[12]IMAGE CurPol SSP'!$BJ$3:$BO$29,6,FALSE)*$AP78,VLOOKUP($L78,'[12]IMAGE CurPol SSP'!$BU$3:$BZ$29,6,FALSE)*$AS78))</f>
        <v>26.957694546608838</v>
      </c>
      <c r="BT78" s="111">
        <f>IF($BI$8=2015,"",IF($BI$8=2018,"",VLOOKUP($L78,'[12]IMAGE CurPol SSP'!$CQ$3:$CV$29,6,FALSE)*$AS78))</f>
        <v>25.209700350904978</v>
      </c>
      <c r="BU78" s="164">
        <f>IF($BI$8=2015,"",IF($BI$8=2018,"",VLOOKUP($L78,'[12]IMAGE CurPol SSP'!$CF$3:$CK$29,6,FALSE)*$AS78))</f>
        <v>28.331145308084086</v>
      </c>
      <c r="CN78" t="s">
        <v>185</v>
      </c>
      <c r="CO78" s="165" t="str">
        <f t="shared" si="69"/>
        <v/>
      </c>
      <c r="CP78" s="165" t="str">
        <f t="shared" si="69"/>
        <v/>
      </c>
      <c r="CQ78" s="165" t="str">
        <f t="shared" si="69"/>
        <v/>
      </c>
      <c r="CR78" s="165" t="str">
        <f t="shared" si="65"/>
        <v/>
      </c>
      <c r="CV78" s="125" t="s">
        <v>621</v>
      </c>
      <c r="CW78" s="125" t="s">
        <v>621</v>
      </c>
      <c r="CX78"/>
      <c r="CY78" s="167">
        <f t="shared" si="70"/>
        <v>-1.4449752559871243</v>
      </c>
      <c r="DB78" s="106"/>
      <c r="DC78" s="106"/>
      <c r="DD78" s="106"/>
      <c r="DE78" s="106"/>
      <c r="DF78" s="106"/>
      <c r="DG78" s="105" t="str">
        <f t="shared" si="71"/>
        <v>incl</v>
      </c>
      <c r="DH78" t="s">
        <v>185</v>
      </c>
      <c r="DI78" s="111">
        <f t="shared" si="58"/>
        <v>0</v>
      </c>
      <c r="DJ78" s="111">
        <f t="shared" si="58"/>
        <v>0</v>
      </c>
      <c r="DK78" s="111">
        <f t="shared" si="59"/>
        <v>0</v>
      </c>
      <c r="DL78" s="111">
        <f t="shared" si="60"/>
        <v>0</v>
      </c>
      <c r="DM78" s="111">
        <f t="shared" si="61"/>
        <v>0</v>
      </c>
      <c r="DN78" s="111">
        <f t="shared" si="62"/>
        <v>0</v>
      </c>
      <c r="DO78" s="111">
        <f t="shared" si="63"/>
        <v>0</v>
      </c>
      <c r="DP78" s="111">
        <f t="shared" si="64"/>
        <v>0</v>
      </c>
      <c r="DQ78" s="106"/>
      <c r="DR78" s="106"/>
      <c r="DS78" s="111"/>
      <c r="DT78" s="168"/>
      <c r="DW78" s="111">
        <f t="shared" si="72"/>
        <v>26.957694546608838</v>
      </c>
      <c r="DX78" s="111">
        <f t="shared" si="72"/>
        <v>26.957694546608838</v>
      </c>
      <c r="DY78" s="111">
        <f t="shared" si="72"/>
        <v>26.957694546608838</v>
      </c>
      <c r="DZ78" s="111">
        <f t="shared" si="66"/>
        <v>26.957694546608838</v>
      </c>
      <c r="EP78" t="s">
        <v>185</v>
      </c>
      <c r="ER78" s="111">
        <f t="shared" si="73"/>
        <v>54.139492290000007</v>
      </c>
      <c r="ES78" s="111">
        <f>IF($BI$8=2015,VLOOKUP($L78,'[12]IMAGE CDLINKS CurPol'!$P$3:$Y$29,10,FALSE)*$AM78,VLOOKUP($L78,'[12]IMAGE CDLINKS CurPol'!$Z$3:$AI$29,10,FALSE)*$AP78)</f>
        <v>51.878804531835293</v>
      </c>
      <c r="ET78" s="111">
        <f t="shared" si="74"/>
        <v>51.878804531835293</v>
      </c>
      <c r="EU78" s="111">
        <f t="shared" ref="EU78:EU141" si="76">IF(EQ78&gt;=1.5,EW78,EV78)</f>
        <v>11.053261211749119</v>
      </c>
      <c r="EV78" s="111">
        <f>IF($BI$8=2015,VLOOKUP($L78,'[12]IMAGE CDLINKS 2C'!$P$3:$Y$29,10,FALSE)*$AM78,VLOOKUP($L78,'[12]IMAGE CDLINKS 2C'!$Z$3:$AI$29,10,FALSE)*$AP78)</f>
        <v>11.053261211749119</v>
      </c>
      <c r="EY78" s="111">
        <f t="shared" ref="EY78:EY141" si="77">IF(EQ78&gt;=1,EW78,EZ78)</f>
        <v>6.1138229874187671</v>
      </c>
      <c r="EZ78" s="111">
        <f>IF($BI$8=2015,VLOOKUP($L78,'[12]IMAGE CDLINKS 1_5C'!$P$3:$Y$29,10,FALSE)*$AM78,VLOOKUP($L78,'[12]IMAGE CDLINKS 1_5C'!$Z$3:$AI$29,10,FALSE)*$AP78)</f>
        <v>6.1138229874187671</v>
      </c>
      <c r="FA78" s="192" t="s">
        <v>2344</v>
      </c>
    </row>
    <row r="79" spans="1:157" x14ac:dyDescent="0.25">
      <c r="A79" t="str">
        <f>IF([12]NDCs!C81="","",[12]NDCs!C81)</f>
        <v>A</v>
      </c>
      <c r="B79" s="159" t="str">
        <f t="shared" si="67"/>
        <v>v</v>
      </c>
      <c r="C79">
        <v>0</v>
      </c>
      <c r="D79">
        <v>1</v>
      </c>
      <c r="E79">
        <v>0</v>
      </c>
      <c r="F79">
        <v>1</v>
      </c>
      <c r="G79" t="b">
        <f t="shared" si="68"/>
        <v>1</v>
      </c>
      <c r="H79" t="s">
        <v>2335</v>
      </c>
      <c r="I79" t="s">
        <v>187</v>
      </c>
      <c r="J79">
        <v>250</v>
      </c>
      <c r="K79">
        <v>66</v>
      </c>
      <c r="L79">
        <v>11</v>
      </c>
      <c r="M79" t="str">
        <f>IF([12]NDCs!AL81="Excluding","excl","incl")</f>
        <v>incl</v>
      </c>
      <c r="N79" s="160">
        <f>[12]GHG_hist!BA69+IF($M79="incl",[12]LULUCF_hist!CR69,0)</f>
        <v>522.05067847307839</v>
      </c>
      <c r="O79" s="111">
        <f>[12]GHG_hist!BB69+IF($M79="incl",[12]LULUCF_hist!CS69,0)</f>
        <v>548.0110041069363</v>
      </c>
      <c r="P79" s="111">
        <f>[12]GHG_hist!BC69+IF($M79="incl",[12]LULUCF_hist!CT69,0)</f>
        <v>540.69636715793411</v>
      </c>
      <c r="Q79" s="111">
        <f>[12]GHG_hist!BD69+IF($M79="incl",[12]LULUCF_hist!CU69,0)</f>
        <v>515.67699940684599</v>
      </c>
      <c r="R79" s="111">
        <f>[12]GHG_hist!BE69+IF($M79="incl",[12]LULUCF_hist!CV69,0)</f>
        <v>509.13711175750143</v>
      </c>
      <c r="S79" s="111">
        <f>[12]GHG_hist!BF69+IF($M79="incl",[12]LULUCF_hist!CW69,0)</f>
        <v>512.03906529705671</v>
      </c>
      <c r="T79" s="111">
        <f>[12]GHG_hist!BG69+IF($M79="incl",[12]LULUCF_hist!CX69,0)</f>
        <v>523.40742283797385</v>
      </c>
      <c r="U79" s="111">
        <f>[12]GHG_hist!BH69+IF($M79="incl",[12]LULUCF_hist!CY69,0)</f>
        <v>514.38665916950106</v>
      </c>
      <c r="V79" s="111">
        <f>[12]GHG_hist!BI69+IF($M79="incl",[12]LULUCF_hist!CZ69,0)</f>
        <v>525.48886799312447</v>
      </c>
      <c r="W79" s="111">
        <f>[12]GHG_hist!BJ69+IF($M79="incl",[12]LULUCF_hist!DA69,0)</f>
        <v>515.41609223560818</v>
      </c>
      <c r="X79" s="111">
        <f>[12]GHG_hist!BK69+IF($M79="incl",[12]LULUCF_hist!DB69,0)</f>
        <v>524.57757455505043</v>
      </c>
      <c r="Y79" s="111">
        <f>[12]GHG_hist!BL69+IF($M79="incl",[12]LULUCF_hist!DC69,0)</f>
        <v>516.84047203238117</v>
      </c>
      <c r="Z79" s="111">
        <f>[12]GHG_hist!BM69+IF($M79="incl",[12]LULUCF_hist!DD69,0)</f>
        <v>503.71016357307013</v>
      </c>
      <c r="AA79" s="111">
        <f>[12]GHG_hist!BN69+IF($M79="incl",[12]LULUCF_hist!DE69,0)</f>
        <v>501.56346531750717</v>
      </c>
      <c r="AB79" s="111">
        <f>[12]GHG_hist!BO69+IF($M79="incl",[12]LULUCF_hist!DF69,0)</f>
        <v>500.16335056767372</v>
      </c>
      <c r="AC79" s="111">
        <f>[12]GHG_hist!BP69+IF($M79="incl",[12]LULUCF_hist!DG69,0)</f>
        <v>499.9660708772771</v>
      </c>
      <c r="AD79" s="111">
        <f>[12]GHG_hist!BQ69+IF($M79="incl",[12]LULUCF_hist!DH69,0)</f>
        <v>489.34499703224645</v>
      </c>
      <c r="AE79" s="111">
        <f>[12]GHG_hist!BR69+IF($M79="incl",[12]LULUCF_hist!DI69,0)</f>
        <v>480.99633345621032</v>
      </c>
      <c r="AF79" s="111">
        <f>[12]GHG_hist!BS69+IF($M79="incl",[12]LULUCF_hist!DJ69,0)</f>
        <v>475.94692687909372</v>
      </c>
      <c r="AG79" s="111">
        <f>[12]GHG_hist!BT69+IF($M79="incl",[12]LULUCF_hist!DK69,0)</f>
        <v>465.40634618690893</v>
      </c>
      <c r="AH79" s="111">
        <f>[12]GHG_hist!BU69+IF($M79="incl",[12]LULUCF_hist!DL69,0)</f>
        <v>466.42800771430984</v>
      </c>
      <c r="AI79" s="111">
        <f>[12]GHG_hist!BV69+IF($M79="incl",[12]LULUCF_hist!DM69,0)</f>
        <v>440.39764219045071</v>
      </c>
      <c r="AJ79" s="111">
        <f>[12]GHG_hist!BW69+IF($M79="incl",[12]LULUCF_hist!DN69,0)</f>
        <v>437.25994606139102</v>
      </c>
      <c r="AK79" s="111">
        <f>[12]GHG_hist!BX69+IF($M79="incl",[12]LULUCF_hist!DO69,0)</f>
        <v>439.17364515993677</v>
      </c>
      <c r="AL79" s="111">
        <f>[12]GHG_hist!BY69+IF($M79="incl",[12]LULUCF_hist!DP69,0)</f>
        <v>412.99869225205714</v>
      </c>
      <c r="AM79" s="111">
        <f>[12]GHG_hist!BZ69+IF($M79="incl",[12]LULUCF_hist!DQ69,0)</f>
        <v>420.65077418937074</v>
      </c>
      <c r="AN79" s="111">
        <f>[12]GHG_hist!CA69+IF($M79="incl",[12]LULUCF_hist!DR69,0)</f>
        <v>429.88371579370869</v>
      </c>
      <c r="AO79" s="111">
        <f>[12]GHG_hist!CB69+IF($M79="incl",[12]LULUCF_hist!DS69,0)</f>
        <v>444.05933554199066</v>
      </c>
      <c r="AP79" s="111">
        <f>[12]GHG_hist!CC69+IF($M79="incl",[12]LULUCF_hist!DT69,0)</f>
        <v>424.40273000725966</v>
      </c>
      <c r="AQ79" s="111">
        <f>[12]GHG_hist!CD69+IF($M79="incl",[12]LULUCF_hist!DU69,0)</f>
        <v>418.62572818025689</v>
      </c>
      <c r="AR79" s="111">
        <f>[12]GHG_hist!CE69+IF($M79="incl",[12]LULUCF_hist!DV69,0)</f>
        <v>373.02666743396082</v>
      </c>
      <c r="AS79" s="111">
        <f>[12]GHG_hist!CF69+IF($M79="incl",[12]LULUCF_hist!DW69,0)</f>
        <v>400.35472473705738</v>
      </c>
      <c r="AT79" s="161">
        <f>VLOOKUP($L79,'[12]IMAGE SSP2'!$AF$3:$AK$29,4,FALSE)*$AM79</f>
        <v>409.03974014532002</v>
      </c>
      <c r="AU79" s="162">
        <f>VLOOKUP($L79,'[12]IMAGE SSP2'!$AF$3:$AK$29,5,FALSE)*$AM79</f>
        <v>395.49997757908767</v>
      </c>
      <c r="AV79" s="163">
        <f>VLOOKUP($L79,'[12]IMAGE SSP2'!$AF$3:$AK$29,6,FALSE)*$AM79</f>
        <v>393.29936339904867</v>
      </c>
      <c r="AW79" s="111" t="str">
        <f t="shared" si="75"/>
        <v/>
      </c>
      <c r="AX79" s="164" t="str">
        <f>IF(A79="B",IF(M79="excl",[12]NatCom!CO69,[12]NatCom!AX69),"")</f>
        <v/>
      </c>
      <c r="AY79" s="111" t="str">
        <f>IF('[12]Pledge 2020'!E69="","",'[12]Pledge 2020'!E69)</f>
        <v/>
      </c>
      <c r="AZ79" s="164" t="str">
        <f>IF('[12]Pledge 2020'!F69="","",'[12]Pledge 2020'!F69)</f>
        <v/>
      </c>
      <c r="BA79" s="111" t="str">
        <f t="shared" si="51"/>
        <v/>
      </c>
      <c r="BB79" s="111"/>
      <c r="BC79" s="111" t="str">
        <f t="shared" si="52"/>
        <v/>
      </c>
      <c r="BD79" s="111"/>
      <c r="BE79" s="111" t="s">
        <v>2477</v>
      </c>
      <c r="BF79" s="111"/>
      <c r="BG79" s="111" t="s">
        <v>2477</v>
      </c>
      <c r="BH79" s="164"/>
      <c r="BI79" s="111" t="str">
        <f>IF([12]NDCs!V81="",IF([12]NDCs!X81="","",[12]NDCs!X81),[12]NDCs!V81)</f>
        <v/>
      </c>
      <c r="BJ79" s="111" t="str">
        <f>IF([12]NDCs!V81="",IF([12]NDCs!X81="","",[12]NDCs!X81),[12]NDCs!V81)</f>
        <v/>
      </c>
      <c r="BK79" s="111" t="str">
        <f>IF([12]NDCs!Z81="",IF([12]NDCs!AB81="",IF('input site'!BE79="","",'input site'!BE79),[12]NDCs!AB81),[12]NDCs!Z81)</f>
        <v/>
      </c>
      <c r="BL79" s="111" t="str">
        <f>IF([12]NDCs!AA81="",IF([12]NDCs!AC81="",IF('input site'!BF79="","",'input site'!BF79),[12]NDCs!AC81),[12]NDCs!AA81)</f>
        <v/>
      </c>
      <c r="BM79" s="111">
        <f>IF($BI$8=2015,VLOOKUP($L79,'[12]IMAGE CurPol SSP'!$AZ$3:$BD$29,4,FALSE)*$AM79,IF($BI$8=2018,VLOOKUP($L79,'[12]IMAGE CurPol SSP'!$BJ$3:$BN$29,4,FALSE)*$AP79,$AR79))</f>
        <v>373.02666743396082</v>
      </c>
      <c r="BN79" s="111">
        <f t="shared" si="57"/>
        <v>373.02666743396082</v>
      </c>
      <c r="BO79" s="111">
        <f t="shared" si="57"/>
        <v>373.02666743396082</v>
      </c>
      <c r="BP79" s="111">
        <f>IF($BI$8=2015,VLOOKUP($L79,'[12]IMAGE CurPol SSP'!$AZ$3:$BD$29,5,FALSE)*$AM79,IF($BI$8=2018,VLOOKUP($L79,'[12]IMAGE CurPol SSP'!$BJ$3:$BN$29,5,FALSE)*$AP79,VLOOKUP($L79,'[12]IMAGE CurPol SSP'!$BU$3:$BZ$29,5,FALSE)*$AS79))</f>
        <v>324.74359110435773</v>
      </c>
      <c r="BQ79" s="111">
        <f>IF($BI$8=2015,"",IF($BI$8=2018,"",VLOOKUP($L79,'[12]IMAGE CurPol SSP'!$CQ$3:$CV$29,5,FALSE)*$AS79))</f>
        <v>315.61231493088724</v>
      </c>
      <c r="BR79" s="111">
        <f>IF($BI$8=2015,"",IF($BI$8=2018,"",VLOOKUP($L79,'[12]IMAGE CurPol SSP'!$CF$3:$CK$29,5,FALSE)*$AS79))</f>
        <v>330.28929532003832</v>
      </c>
      <c r="BS79" s="111">
        <f>IF($BI$8=2015,VLOOKUP($L79,'[12]IMAGE CurPol SSP'!$AZ$3:$BE$29,6,FALSE)*$AM79,IF($BI$8=2018,VLOOKUP($L79,'[12]IMAGE CurPol SSP'!$BJ$3:$BO$29,6,FALSE)*$AP79,VLOOKUP($L79,'[12]IMAGE CurPol SSP'!$BU$3:$BZ$29,6,FALSE)*$AS79))</f>
        <v>223.37772169214682</v>
      </c>
      <c r="BT79" s="111">
        <f>IF($BI$8=2015,"",IF($BI$8=2018,"",VLOOKUP($L79,'[12]IMAGE CurPol SSP'!$CQ$3:$CV$29,6,FALSE)*$AS79))</f>
        <v>208.8934355714502</v>
      </c>
      <c r="BU79" s="164">
        <f>IF($BI$8=2015,"",IF($BI$8=2018,"",VLOOKUP($L79,'[12]IMAGE CurPol SSP'!$CF$3:$CK$29,6,FALSE)*$AS79))</f>
        <v>234.75845387695</v>
      </c>
      <c r="CN79" t="s">
        <v>187</v>
      </c>
      <c r="CO79" s="165" t="str">
        <f t="shared" si="69"/>
        <v/>
      </c>
      <c r="CP79" s="165" t="str">
        <f t="shared" si="69"/>
        <v/>
      </c>
      <c r="CQ79" s="165" t="str">
        <f t="shared" si="69"/>
        <v/>
      </c>
      <c r="CR79" s="165" t="str">
        <f t="shared" si="65"/>
        <v/>
      </c>
      <c r="CV79" s="125" t="s">
        <v>621</v>
      </c>
      <c r="CW79" s="125" t="s">
        <v>621</v>
      </c>
      <c r="CX79"/>
      <c r="CY79" s="167">
        <f t="shared" si="70"/>
        <v>36.0130727113592</v>
      </c>
      <c r="DB79" s="106"/>
      <c r="DC79" s="106"/>
      <c r="DD79" s="106"/>
      <c r="DE79" s="106"/>
      <c r="DF79" s="106"/>
      <c r="DG79" s="105" t="str">
        <f t="shared" si="71"/>
        <v>incl</v>
      </c>
      <c r="DH79" t="s">
        <v>187</v>
      </c>
      <c r="DI79" s="111">
        <f t="shared" si="58"/>
        <v>0</v>
      </c>
      <c r="DJ79" s="111">
        <f t="shared" si="58"/>
        <v>0</v>
      </c>
      <c r="DK79" s="111">
        <f t="shared" si="59"/>
        <v>0</v>
      </c>
      <c r="DL79" s="111">
        <f t="shared" si="60"/>
        <v>0</v>
      </c>
      <c r="DM79" s="111">
        <f t="shared" si="61"/>
        <v>0</v>
      </c>
      <c r="DN79" s="111">
        <f t="shared" si="62"/>
        <v>0</v>
      </c>
      <c r="DO79" s="111">
        <f t="shared" si="63"/>
        <v>0</v>
      </c>
      <c r="DP79" s="111">
        <f t="shared" si="64"/>
        <v>0</v>
      </c>
      <c r="DQ79" s="106"/>
      <c r="DR79" s="106"/>
      <c r="DS79" s="111"/>
      <c r="DT79" s="168"/>
      <c r="DW79" s="111">
        <f t="shared" si="72"/>
        <v>223.37772169214682</v>
      </c>
      <c r="DX79" s="111">
        <f t="shared" si="72"/>
        <v>223.37772169214682</v>
      </c>
      <c r="DY79" s="111">
        <f t="shared" si="72"/>
        <v>223.37772169214682</v>
      </c>
      <c r="DZ79" s="111">
        <f t="shared" si="66"/>
        <v>223.37772169214682</v>
      </c>
      <c r="EP79" t="s">
        <v>187</v>
      </c>
      <c r="ER79" s="111">
        <f t="shared" si="73"/>
        <v>424.40273000725966</v>
      </c>
      <c r="ES79" s="111">
        <f>IF($BI$8=2015,VLOOKUP($L79,'[12]IMAGE CDLINKS CurPol'!$P$3:$Y$29,10,FALSE)*$AM79,VLOOKUP($L79,'[12]IMAGE CDLINKS CurPol'!$Z$3:$AI$29,10,FALSE)*$AP79)</f>
        <v>406.68106296391517</v>
      </c>
      <c r="ET79" s="111">
        <f t="shared" si="74"/>
        <v>406.68106296391517</v>
      </c>
      <c r="EU79" s="111">
        <f t="shared" si="76"/>
        <v>86.647178156418505</v>
      </c>
      <c r="EV79" s="111">
        <f>IF($BI$8=2015,VLOOKUP($L79,'[12]IMAGE CDLINKS 2C'!$P$3:$Y$29,10,FALSE)*$AM79,VLOOKUP($L79,'[12]IMAGE CDLINKS 2C'!$Z$3:$AI$29,10,FALSE)*$AP79)</f>
        <v>86.647178156418505</v>
      </c>
      <c r="EY79" s="111">
        <f t="shared" si="77"/>
        <v>47.926625405774828</v>
      </c>
      <c r="EZ79" s="111">
        <f>IF($BI$8=2015,VLOOKUP($L79,'[12]IMAGE CDLINKS 1_5C'!$P$3:$Y$29,10,FALSE)*$AM79,VLOOKUP($L79,'[12]IMAGE CDLINKS 1_5C'!$Z$3:$AI$29,10,FALSE)*$AP79)</f>
        <v>47.926625405774828</v>
      </c>
      <c r="FA79" s="192" t="s">
        <v>2338</v>
      </c>
    </row>
    <row r="80" spans="1:157" x14ac:dyDescent="0.25">
      <c r="A80" t="str">
        <f>IF([12]NDCs!C82="","",[12]NDCs!C82)</f>
        <v/>
      </c>
      <c r="B80" s="159" t="str">
        <f t="shared" si="67"/>
        <v>v</v>
      </c>
      <c r="C80">
        <v>0</v>
      </c>
      <c r="D80">
        <v>0</v>
      </c>
      <c r="E80">
        <v>0</v>
      </c>
      <c r="F80">
        <v>0</v>
      </c>
      <c r="G80" t="b">
        <f t="shared" si="68"/>
        <v>0</v>
      </c>
      <c r="H80" t="s">
        <v>2328</v>
      </c>
      <c r="I80" t="s">
        <v>189</v>
      </c>
      <c r="J80">
        <v>254</v>
      </c>
      <c r="K80">
        <v>67</v>
      </c>
      <c r="L80">
        <v>6</v>
      </c>
      <c r="M80" t="str">
        <f>IF([12]NDCs!AL82="Excluding","excl","incl")</f>
        <v>excl</v>
      </c>
      <c r="N80" s="160">
        <f>[12]GHG_hist!BA70+IF($M80="incl",[12]LULUCF_hist!CR70,0)</f>
        <v>0</v>
      </c>
      <c r="O80" s="111">
        <f>[12]GHG_hist!BB70+IF($M80="incl",[12]LULUCF_hist!CS70,0)</f>
        <v>0</v>
      </c>
      <c r="P80" s="111">
        <f>[12]GHG_hist!BC70+IF($M80="incl",[12]LULUCF_hist!CT70,0)</f>
        <v>0</v>
      </c>
      <c r="Q80" s="111">
        <f>[12]GHG_hist!BD70+IF($M80="incl",[12]LULUCF_hist!CU70,0)</f>
        <v>0</v>
      </c>
      <c r="R80" s="111">
        <f>[12]GHG_hist!BE70+IF($M80="incl",[12]LULUCF_hist!CV70,0)</f>
        <v>0</v>
      </c>
      <c r="S80" s="111">
        <f>[12]GHG_hist!BF70+IF($M80="incl",[12]LULUCF_hist!CW70,0)</f>
        <v>0</v>
      </c>
      <c r="T80" s="111">
        <f>[12]GHG_hist!BG70+IF($M80="incl",[12]LULUCF_hist!CX70,0)</f>
        <v>0</v>
      </c>
      <c r="U80" s="111">
        <f>[12]GHG_hist!BH70+IF($M80="incl",[12]LULUCF_hist!CY70,0)</f>
        <v>0</v>
      </c>
      <c r="V80" s="111">
        <f>[12]GHG_hist!BI70+IF($M80="incl",[12]LULUCF_hist!CZ70,0)</f>
        <v>0</v>
      </c>
      <c r="W80" s="111">
        <f>[12]GHG_hist!BJ70+IF($M80="incl",[12]LULUCF_hist!DA70,0)</f>
        <v>0</v>
      </c>
      <c r="X80" s="111">
        <f>[12]GHG_hist!BK70+IF($M80="incl",[12]LULUCF_hist!DB70,0)</f>
        <v>0</v>
      </c>
      <c r="Y80" s="111">
        <f>[12]GHG_hist!BL70+IF($M80="incl",[12]LULUCF_hist!DC70,0)</f>
        <v>0</v>
      </c>
      <c r="Z80" s="111">
        <f>[12]GHG_hist!BM70+IF($M80="incl",[12]LULUCF_hist!DD70,0)</f>
        <v>0</v>
      </c>
      <c r="AA80" s="111">
        <f>[12]GHG_hist!BN70+IF($M80="incl",[12]LULUCF_hist!DE70,0)</f>
        <v>0</v>
      </c>
      <c r="AB80" s="111">
        <f>[12]GHG_hist!BO70+IF($M80="incl",[12]LULUCF_hist!DF70,0)</f>
        <v>0</v>
      </c>
      <c r="AC80" s="111">
        <f>[12]GHG_hist!BP70+IF($M80="incl",[12]LULUCF_hist!DG70,0)</f>
        <v>0</v>
      </c>
      <c r="AD80" s="111">
        <f>[12]GHG_hist!BQ70+IF($M80="incl",[12]LULUCF_hist!DH70,0)</f>
        <v>0</v>
      </c>
      <c r="AE80" s="111">
        <f>[12]GHG_hist!BR70+IF($M80="incl",[12]LULUCF_hist!DI70,0)</f>
        <v>0</v>
      </c>
      <c r="AF80" s="111">
        <f>[12]GHG_hist!BS70+IF($M80="incl",[12]LULUCF_hist!DJ70,0)</f>
        <v>0</v>
      </c>
      <c r="AG80" s="111">
        <f>[12]GHG_hist!BT70+IF($M80="incl",[12]LULUCF_hist!DK70,0)</f>
        <v>0</v>
      </c>
      <c r="AH80" s="111">
        <f>[12]GHG_hist!BU70+IF($M80="incl",[12]LULUCF_hist!DL70,0)</f>
        <v>0</v>
      </c>
      <c r="AI80" s="111">
        <f>[12]GHG_hist!BV70+IF($M80="incl",[12]LULUCF_hist!DM70,0)</f>
        <v>0</v>
      </c>
      <c r="AJ80" s="111">
        <f>[12]GHG_hist!BW70+IF($M80="incl",[12]LULUCF_hist!DN70,0)</f>
        <v>0</v>
      </c>
      <c r="AK80" s="111">
        <f>[12]GHG_hist!BX70+IF($M80="incl",[12]LULUCF_hist!DO70,0)</f>
        <v>0</v>
      </c>
      <c r="AL80" s="111">
        <f>[12]GHG_hist!BY70+IF($M80="incl",[12]LULUCF_hist!DP70,0)</f>
        <v>0</v>
      </c>
      <c r="AM80" s="111">
        <f>[12]GHG_hist!BZ70+IF($M80="incl",[12]LULUCF_hist!DQ70,0)</f>
        <v>0</v>
      </c>
      <c r="AN80" s="111">
        <f>[12]GHG_hist!CA70+IF($M80="incl",[12]LULUCF_hist!DR70,0)</f>
        <v>0</v>
      </c>
      <c r="AO80" s="111">
        <f>[12]GHG_hist!CB70+IF($M80="incl",[12]LULUCF_hist!DS70,0)</f>
        <v>0</v>
      </c>
      <c r="AP80" s="111">
        <f>[12]GHG_hist!CC70+IF($M80="incl",[12]LULUCF_hist!DT70,0)</f>
        <v>0</v>
      </c>
      <c r="AQ80" s="111">
        <f>[12]GHG_hist!CD70+IF($M80="incl",[12]LULUCF_hist!DU70,0)</f>
        <v>0</v>
      </c>
      <c r="AR80" s="111">
        <f>[12]GHG_hist!CE70+IF($M80="incl",[12]LULUCF_hist!DV70,0)</f>
        <v>0</v>
      </c>
      <c r="AS80" s="111">
        <f>[12]GHG_hist!CF70+IF($M80="incl",[12]LULUCF_hist!DW70,0)</f>
        <v>0</v>
      </c>
      <c r="AT80" s="161">
        <f>VLOOKUP($L80,'[12]IMAGE SSP2'!$AF$3:$AK$29,4,FALSE)*$AM80</f>
        <v>0</v>
      </c>
      <c r="AU80" s="162">
        <f>VLOOKUP($L80,'[12]IMAGE SSP2'!$AF$3:$AK$29,5,FALSE)*$AM80</f>
        <v>0</v>
      </c>
      <c r="AV80" s="163">
        <f>VLOOKUP($L80,'[12]IMAGE SSP2'!$AF$3:$AK$29,6,FALSE)*$AM80</f>
        <v>0</v>
      </c>
      <c r="AW80" s="111" t="str">
        <f t="shared" si="75"/>
        <v/>
      </c>
      <c r="AX80" s="164" t="str">
        <f>IF(A80="B",IF(M80="excl",[12]NatCom!CO70,[12]NatCom!AX70),"")</f>
        <v/>
      </c>
      <c r="AY80" s="111" t="str">
        <f>IF('[12]Pledge 2020'!E70="","",'[12]Pledge 2020'!E70)</f>
        <v/>
      </c>
      <c r="AZ80" s="164" t="str">
        <f>IF('[12]Pledge 2020'!F70="","",'[12]Pledge 2020'!F70)</f>
        <v/>
      </c>
      <c r="BA80" s="111" t="str">
        <f t="shared" si="51"/>
        <v/>
      </c>
      <c r="BB80" s="111"/>
      <c r="BC80" s="111" t="str">
        <f t="shared" si="52"/>
        <v/>
      </c>
      <c r="BD80" s="111"/>
      <c r="BE80" s="111" t="s">
        <v>2477</v>
      </c>
      <c r="BF80" s="111"/>
      <c r="BG80" s="111" t="s">
        <v>2477</v>
      </c>
      <c r="BH80" s="164"/>
      <c r="BI80" s="111" t="str">
        <f>IF([12]NDCs!V82="",IF([12]NDCs!X82="","",[12]NDCs!X82),[12]NDCs!V82)</f>
        <v/>
      </c>
      <c r="BJ80" s="111" t="str">
        <f>IF([12]NDCs!V82="",IF([12]NDCs!X82="","",[12]NDCs!X82),[12]NDCs!V82)</f>
        <v/>
      </c>
      <c r="BK80" s="111" t="str">
        <f>IF([12]NDCs!Z82="",IF([12]NDCs!AB82="",IF('input site'!BE80="","",'input site'!BE80),[12]NDCs!AB82),[12]NDCs!Z82)</f>
        <v/>
      </c>
      <c r="BL80" s="111" t="str">
        <f>IF([12]NDCs!AA82="",IF([12]NDCs!AC82="",IF('input site'!BF80="","",'input site'!BF80),[12]NDCs!AC82),[12]NDCs!AA82)</f>
        <v/>
      </c>
      <c r="BM80" s="111">
        <f>IF($BI$8=2015,VLOOKUP($L80,'[12]IMAGE CurPol SSP'!$AZ$3:$BD$29,4,FALSE)*$AM80,IF($BI$8=2018,VLOOKUP($L80,'[12]IMAGE CurPol SSP'!$BJ$3:$BN$29,4,FALSE)*$AP80,$AR80))</f>
        <v>0</v>
      </c>
      <c r="BN80" s="111">
        <f t="shared" si="57"/>
        <v>0</v>
      </c>
      <c r="BO80" s="111">
        <f t="shared" si="57"/>
        <v>0</v>
      </c>
      <c r="BP80" s="111">
        <f>IF($BI$8=2015,VLOOKUP($L80,'[12]IMAGE CurPol SSP'!$AZ$3:$BD$29,5,FALSE)*$AM80,IF($BI$8=2018,VLOOKUP($L80,'[12]IMAGE CurPol SSP'!$BJ$3:$BN$29,5,FALSE)*$AP80,VLOOKUP($L80,'[12]IMAGE CurPol SSP'!$BU$3:$BZ$29,5,FALSE)*$AS80))</f>
        <v>0</v>
      </c>
      <c r="BQ80" s="111">
        <f>IF($BI$8=2015,"",IF($BI$8=2018,"",VLOOKUP($L80,'[12]IMAGE CurPol SSP'!$CQ$3:$CV$29,5,FALSE)*$AS80))</f>
        <v>0</v>
      </c>
      <c r="BR80" s="111">
        <f>IF($BI$8=2015,"",IF($BI$8=2018,"",VLOOKUP($L80,'[12]IMAGE CurPol SSP'!$CF$3:$CK$29,5,FALSE)*$AS80))</f>
        <v>0</v>
      </c>
      <c r="BS80" s="111">
        <f>IF($BI$8=2015,VLOOKUP($L80,'[12]IMAGE CurPol SSP'!$AZ$3:$BE$29,6,FALSE)*$AM80,IF($BI$8=2018,VLOOKUP($L80,'[12]IMAGE CurPol SSP'!$BJ$3:$BO$29,6,FALSE)*$AP80,VLOOKUP($L80,'[12]IMAGE CurPol SSP'!$BU$3:$BZ$29,6,FALSE)*$AS80))</f>
        <v>0</v>
      </c>
      <c r="BT80" s="111">
        <f>IF($BI$8=2015,"",IF($BI$8=2018,"",VLOOKUP($L80,'[12]IMAGE CurPol SSP'!$CQ$3:$CV$29,6,FALSE)*$AS80))</f>
        <v>0</v>
      </c>
      <c r="BU80" s="164">
        <f>IF($BI$8=2015,"",IF($BI$8=2018,"",VLOOKUP($L80,'[12]IMAGE CurPol SSP'!$CF$3:$CK$29,6,FALSE)*$AS80))</f>
        <v>0</v>
      </c>
      <c r="CN80" t="s">
        <v>189</v>
      </c>
      <c r="CO80" s="165" t="str">
        <f t="shared" si="69"/>
        <v/>
      </c>
      <c r="CP80" s="165" t="str">
        <f t="shared" si="69"/>
        <v/>
      </c>
      <c r="CQ80" s="165" t="str">
        <f t="shared" si="69"/>
        <v/>
      </c>
      <c r="CR80" s="165" t="str">
        <f t="shared" si="65"/>
        <v/>
      </c>
      <c r="CV80" s="125" t="s">
        <v>621</v>
      </c>
      <c r="CW80" s="125" t="s">
        <v>621</v>
      </c>
      <c r="CX80" s="165">
        <f>AP80/$AP$255</f>
        <v>0</v>
      </c>
      <c r="CY80" s="167">
        <f t="shared" si="70"/>
        <v>0</v>
      </c>
      <c r="DB80" s="106"/>
      <c r="DC80" s="106"/>
      <c r="DD80" s="106"/>
      <c r="DE80" s="106"/>
      <c r="DF80" s="106"/>
      <c r="DG80" s="105" t="str">
        <f t="shared" si="71"/>
        <v>excl</v>
      </c>
      <c r="DH80" t="s">
        <v>189</v>
      </c>
      <c r="DI80" s="111">
        <f t="shared" si="58"/>
        <v>0</v>
      </c>
      <c r="DJ80" s="111">
        <f t="shared" si="58"/>
        <v>0</v>
      </c>
      <c r="DK80" s="111">
        <f t="shared" si="59"/>
        <v>0</v>
      </c>
      <c r="DL80" s="111">
        <f t="shared" si="60"/>
        <v>0</v>
      </c>
      <c r="DM80" s="111">
        <f t="shared" si="61"/>
        <v>0</v>
      </c>
      <c r="DN80" s="111">
        <f t="shared" si="62"/>
        <v>0</v>
      </c>
      <c r="DO80" s="111">
        <f t="shared" si="63"/>
        <v>0</v>
      </c>
      <c r="DP80" s="111">
        <f t="shared" si="64"/>
        <v>0</v>
      </c>
      <c r="DQ80" s="106"/>
      <c r="DR80" s="106"/>
      <c r="DS80" s="111"/>
      <c r="DT80" s="168"/>
      <c r="DW80" s="111">
        <f t="shared" si="72"/>
        <v>0</v>
      </c>
      <c r="DX80" s="111">
        <f t="shared" si="72"/>
        <v>0</v>
      </c>
      <c r="DY80" s="111">
        <f t="shared" si="72"/>
        <v>0</v>
      </c>
      <c r="DZ80" s="111">
        <f t="shared" si="66"/>
        <v>0</v>
      </c>
      <c r="EP80" t="s">
        <v>189</v>
      </c>
      <c r="EQ80">
        <v>0</v>
      </c>
      <c r="ER80" s="111">
        <f t="shared" si="73"/>
        <v>0</v>
      </c>
      <c r="ES80" s="111">
        <f>IF($BI$8=2015,VLOOKUP($L80,'[12]IMAGE CDLINKS CurPol'!$P$3:$Y$29,10,FALSE)*$AM80,VLOOKUP($L80,'[12]IMAGE CDLINKS CurPol'!$Z$3:$AI$29,10,FALSE)*$AP80)</f>
        <v>0</v>
      </c>
      <c r="ET80" s="111">
        <f t="shared" si="74"/>
        <v>0</v>
      </c>
      <c r="EU80" s="111">
        <f t="shared" si="76"/>
        <v>0</v>
      </c>
      <c r="EV80" s="111">
        <f>IF($BI$8=2015,VLOOKUP($L80,'[12]IMAGE CDLINKS 2C'!$P$3:$Y$29,10,FALSE)*$AM80,VLOOKUP($L80,'[12]IMAGE CDLINKS 2C'!$Z$3:$AI$29,10,FALSE)*$AP80)</f>
        <v>0</v>
      </c>
      <c r="EY80" s="111">
        <f t="shared" si="77"/>
        <v>0</v>
      </c>
      <c r="EZ80" s="111">
        <f>IF($BI$8=2015,VLOOKUP($L80,'[12]IMAGE CDLINKS 1_5C'!$P$3:$Y$29,10,FALSE)*$AM80,VLOOKUP($L80,'[12]IMAGE CDLINKS 1_5C'!$Z$3:$AI$29,10,FALSE)*$AP80)</f>
        <v>0</v>
      </c>
      <c r="FA80" s="192"/>
    </row>
    <row r="81" spans="1:157" x14ac:dyDescent="0.25">
      <c r="A81" t="str">
        <f>IF([12]NDCs!C83="","",[12]NDCs!C83)</f>
        <v/>
      </c>
      <c r="B81" s="159" t="str">
        <f t="shared" si="67"/>
        <v>v</v>
      </c>
      <c r="C81">
        <v>0</v>
      </c>
      <c r="D81">
        <v>0</v>
      </c>
      <c r="E81">
        <v>0</v>
      </c>
      <c r="F81">
        <v>1</v>
      </c>
      <c r="G81" t="b">
        <f t="shared" si="68"/>
        <v>0</v>
      </c>
      <c r="H81" t="s">
        <v>2328</v>
      </c>
      <c r="I81" t="s">
        <v>191</v>
      </c>
      <c r="J81">
        <v>258</v>
      </c>
      <c r="K81">
        <v>68</v>
      </c>
      <c r="L81">
        <v>24</v>
      </c>
      <c r="M81" t="str">
        <f>IF([12]NDCs!AL83="Excluding","excl","incl")</f>
        <v>excl</v>
      </c>
      <c r="N81" s="160">
        <f>[12]GHG_hist!BA71+IF($M81="incl",[12]LULUCF_hist!CR71,0)</f>
        <v>0</v>
      </c>
      <c r="O81" s="111">
        <f>[12]GHG_hist!BB71+IF($M81="incl",[12]LULUCF_hist!CS71,0)</f>
        <v>0</v>
      </c>
      <c r="P81" s="111">
        <f>[12]GHG_hist!BC71+IF($M81="incl",[12]LULUCF_hist!CT71,0)</f>
        <v>0</v>
      </c>
      <c r="Q81" s="111">
        <f>[12]GHG_hist!BD71+IF($M81="incl",[12]LULUCF_hist!CU71,0)</f>
        <v>0</v>
      </c>
      <c r="R81" s="111">
        <f>[12]GHG_hist!BE71+IF($M81="incl",[12]LULUCF_hist!CV71,0)</f>
        <v>0</v>
      </c>
      <c r="S81" s="111">
        <f>[12]GHG_hist!BF71+IF($M81="incl",[12]LULUCF_hist!CW71,0)</f>
        <v>0</v>
      </c>
      <c r="T81" s="111">
        <f>[12]GHG_hist!BG71+IF($M81="incl",[12]LULUCF_hist!CX71,0)</f>
        <v>0</v>
      </c>
      <c r="U81" s="111">
        <f>[12]GHG_hist!BH71+IF($M81="incl",[12]LULUCF_hist!CY71,0)</f>
        <v>0</v>
      </c>
      <c r="V81" s="111">
        <f>[12]GHG_hist!BI71+IF($M81="incl",[12]LULUCF_hist!CZ71,0)</f>
        <v>0</v>
      </c>
      <c r="W81" s="111">
        <f>[12]GHG_hist!BJ71+IF($M81="incl",[12]LULUCF_hist!DA71,0)</f>
        <v>0</v>
      </c>
      <c r="X81" s="111">
        <f>[12]GHG_hist!BK71+IF($M81="incl",[12]LULUCF_hist!DB71,0)</f>
        <v>0</v>
      </c>
      <c r="Y81" s="111">
        <f>[12]GHG_hist!BL71+IF($M81="incl",[12]LULUCF_hist!DC71,0)</f>
        <v>0</v>
      </c>
      <c r="Z81" s="111">
        <f>[12]GHG_hist!BM71+IF($M81="incl",[12]LULUCF_hist!DD71,0)</f>
        <v>0</v>
      </c>
      <c r="AA81" s="111">
        <f>[12]GHG_hist!BN71+IF($M81="incl",[12]LULUCF_hist!DE71,0)</f>
        <v>0</v>
      </c>
      <c r="AB81" s="111">
        <f>[12]GHG_hist!BO71+IF($M81="incl",[12]LULUCF_hist!DF71,0)</f>
        <v>0</v>
      </c>
      <c r="AC81" s="111">
        <f>[12]GHG_hist!BP71+IF($M81="incl",[12]LULUCF_hist!DG71,0)</f>
        <v>0</v>
      </c>
      <c r="AD81" s="111">
        <f>[12]GHG_hist!BQ71+IF($M81="incl",[12]LULUCF_hist!DH71,0)</f>
        <v>0</v>
      </c>
      <c r="AE81" s="111">
        <f>[12]GHG_hist!BR71+IF($M81="incl",[12]LULUCF_hist!DI71,0)</f>
        <v>0</v>
      </c>
      <c r="AF81" s="111">
        <f>[12]GHG_hist!BS71+IF($M81="incl",[12]LULUCF_hist!DJ71,0)</f>
        <v>0</v>
      </c>
      <c r="AG81" s="111">
        <f>[12]GHG_hist!BT71+IF($M81="incl",[12]LULUCF_hist!DK71,0)</f>
        <v>0</v>
      </c>
      <c r="AH81" s="111">
        <f>[12]GHG_hist!BU71+IF($M81="incl",[12]LULUCF_hist!DL71,0)</f>
        <v>0</v>
      </c>
      <c r="AI81" s="111">
        <f>[12]GHG_hist!BV71+IF($M81="incl",[12]LULUCF_hist!DM71,0)</f>
        <v>0</v>
      </c>
      <c r="AJ81" s="111">
        <f>[12]GHG_hist!BW71+IF($M81="incl",[12]LULUCF_hist!DN71,0)</f>
        <v>0</v>
      </c>
      <c r="AK81" s="111">
        <f>[12]GHG_hist!BX71+IF($M81="incl",[12]LULUCF_hist!DO71,0)</f>
        <v>0</v>
      </c>
      <c r="AL81" s="111">
        <f>[12]GHG_hist!BY71+IF($M81="incl",[12]LULUCF_hist!DP71,0)</f>
        <v>0</v>
      </c>
      <c r="AM81" s="111">
        <f>[12]GHG_hist!BZ71+IF($M81="incl",[12]LULUCF_hist!DQ71,0)</f>
        <v>0</v>
      </c>
      <c r="AN81" s="111">
        <f>[12]GHG_hist!CA71+IF($M81="incl",[12]LULUCF_hist!DR71,0)</f>
        <v>0</v>
      </c>
      <c r="AO81" s="111">
        <f>[12]GHG_hist!CB71+IF($M81="incl",[12]LULUCF_hist!DS71,0)</f>
        <v>0</v>
      </c>
      <c r="AP81" s="111">
        <f>[12]GHG_hist!CC71+IF($M81="incl",[12]LULUCF_hist!DT71,0)</f>
        <v>0</v>
      </c>
      <c r="AQ81" s="111">
        <f>[12]GHG_hist!CD71+IF($M81="incl",[12]LULUCF_hist!DU71,0)</f>
        <v>0</v>
      </c>
      <c r="AR81" s="111">
        <f>[12]GHG_hist!CE71+IF($M81="incl",[12]LULUCF_hist!DV71,0)</f>
        <v>0</v>
      </c>
      <c r="AS81" s="111">
        <f>[12]GHG_hist!CF71+IF($M81="incl",[12]LULUCF_hist!DW71,0)</f>
        <v>0</v>
      </c>
      <c r="AT81" s="161">
        <f>VLOOKUP($L81,'[12]IMAGE SSP2'!$AF$3:$AK$29,4,FALSE)*$AM81</f>
        <v>0</v>
      </c>
      <c r="AU81" s="162">
        <f>VLOOKUP($L81,'[12]IMAGE SSP2'!$AF$3:$AK$29,5,FALSE)*$AM81</f>
        <v>0</v>
      </c>
      <c r="AV81" s="163">
        <f>VLOOKUP($L81,'[12]IMAGE SSP2'!$AF$3:$AK$29,6,FALSE)*$AM81</f>
        <v>0</v>
      </c>
      <c r="AW81" s="111" t="str">
        <f t="shared" si="75"/>
        <v/>
      </c>
      <c r="AX81" s="164" t="str">
        <f>IF(A81="B",IF(M81="excl",[12]NatCom!CO71,[12]NatCom!AX71),"")</f>
        <v/>
      </c>
      <c r="AY81" s="111" t="str">
        <f>IF('[12]Pledge 2020'!E71="","",'[12]Pledge 2020'!E71)</f>
        <v/>
      </c>
      <c r="AZ81" s="164" t="str">
        <f>IF('[12]Pledge 2020'!F71="","",'[12]Pledge 2020'!F71)</f>
        <v/>
      </c>
      <c r="BA81" s="111" t="str">
        <f t="shared" si="51"/>
        <v/>
      </c>
      <c r="BB81" s="111"/>
      <c r="BC81" s="111" t="str">
        <f t="shared" si="52"/>
        <v/>
      </c>
      <c r="BD81" s="111"/>
      <c r="BE81" s="111" t="s">
        <v>2477</v>
      </c>
      <c r="BF81" s="111"/>
      <c r="BG81" s="111" t="s">
        <v>2477</v>
      </c>
      <c r="BH81" s="164"/>
      <c r="BI81" s="111" t="str">
        <f>IF([12]NDCs!V83="",IF([12]NDCs!X83="","",[12]NDCs!X83),[12]NDCs!V83)</f>
        <v/>
      </c>
      <c r="BJ81" s="111" t="str">
        <f>IF([12]NDCs!V83="",IF([12]NDCs!X83="","",[12]NDCs!X83),[12]NDCs!V83)</f>
        <v/>
      </c>
      <c r="BK81" s="111" t="str">
        <f>IF([12]NDCs!Z83="",IF([12]NDCs!AB83="",IF('input site'!BE81="","",'input site'!BE81),[12]NDCs!AB83),[12]NDCs!Z83)</f>
        <v/>
      </c>
      <c r="BL81" s="111" t="str">
        <f>IF([12]NDCs!AA83="",IF([12]NDCs!AC83="",IF('input site'!BF81="","",'input site'!BF81),[12]NDCs!AC83),[12]NDCs!AA83)</f>
        <v/>
      </c>
      <c r="BM81" s="111">
        <f>IF($BI$8=2015,VLOOKUP($L81,'[12]IMAGE CurPol SSP'!$AZ$3:$BD$29,4,FALSE)*$AM81,IF($BI$8=2018,VLOOKUP($L81,'[12]IMAGE CurPol SSP'!$BJ$3:$BN$29,4,FALSE)*$AP81,$AR81))</f>
        <v>0</v>
      </c>
      <c r="BN81" s="111">
        <f t="shared" si="57"/>
        <v>0</v>
      </c>
      <c r="BO81" s="111">
        <f t="shared" si="57"/>
        <v>0</v>
      </c>
      <c r="BP81" s="111">
        <f>IF($BI$8=2015,VLOOKUP($L81,'[12]IMAGE CurPol SSP'!$AZ$3:$BD$29,5,FALSE)*$AM81,IF($BI$8=2018,VLOOKUP($L81,'[12]IMAGE CurPol SSP'!$BJ$3:$BN$29,5,FALSE)*$AP81,VLOOKUP($L81,'[12]IMAGE CurPol SSP'!$BU$3:$BZ$29,5,FALSE)*$AS81))</f>
        <v>0</v>
      </c>
      <c r="BQ81" s="111">
        <f>IF($BI$8=2015,"",IF($BI$8=2018,"",VLOOKUP($L81,'[12]IMAGE CurPol SSP'!$CQ$3:$CV$29,5,FALSE)*$AS81))</f>
        <v>0</v>
      </c>
      <c r="BR81" s="111">
        <f>IF($BI$8=2015,"",IF($BI$8=2018,"",VLOOKUP($L81,'[12]IMAGE CurPol SSP'!$CF$3:$CK$29,5,FALSE)*$AS81))</f>
        <v>0</v>
      </c>
      <c r="BS81" s="111">
        <f>IF($BI$8=2015,VLOOKUP($L81,'[12]IMAGE CurPol SSP'!$AZ$3:$BE$29,6,FALSE)*$AM81,IF($BI$8=2018,VLOOKUP($L81,'[12]IMAGE CurPol SSP'!$BJ$3:$BO$29,6,FALSE)*$AP81,VLOOKUP($L81,'[12]IMAGE CurPol SSP'!$BU$3:$BZ$29,6,FALSE)*$AS81))</f>
        <v>0</v>
      </c>
      <c r="BT81" s="111">
        <f>IF($BI$8=2015,"",IF($BI$8=2018,"",VLOOKUP($L81,'[12]IMAGE CurPol SSP'!$CQ$3:$CV$29,6,FALSE)*$AS81))</f>
        <v>0</v>
      </c>
      <c r="BU81" s="164">
        <f>IF($BI$8=2015,"",IF($BI$8=2018,"",VLOOKUP($L81,'[12]IMAGE CurPol SSP'!$CF$3:$CK$29,6,FALSE)*$AS81))</f>
        <v>0</v>
      </c>
      <c r="CN81" t="s">
        <v>191</v>
      </c>
      <c r="CO81" s="165" t="str">
        <f t="shared" si="69"/>
        <v/>
      </c>
      <c r="CP81" s="165" t="str">
        <f t="shared" si="69"/>
        <v/>
      </c>
      <c r="CQ81" s="165" t="str">
        <f t="shared" si="69"/>
        <v/>
      </c>
      <c r="CR81" s="165" t="str">
        <f t="shared" si="65"/>
        <v/>
      </c>
      <c r="CV81" s="125" t="s">
        <v>621</v>
      </c>
      <c r="CW81" s="125" t="s">
        <v>621</v>
      </c>
      <c r="CX81" s="165">
        <f>AP81/$AP$255</f>
        <v>0</v>
      </c>
      <c r="CY81" s="167">
        <f t="shared" si="70"/>
        <v>0</v>
      </c>
      <c r="DB81" s="106"/>
      <c r="DC81" s="106"/>
      <c r="DD81" s="106"/>
      <c r="DE81" s="106"/>
      <c r="DF81" s="106"/>
      <c r="DG81" s="105" t="str">
        <f t="shared" si="71"/>
        <v>excl</v>
      </c>
      <c r="DH81" t="s">
        <v>191</v>
      </c>
      <c r="DI81" s="111">
        <f t="shared" si="58"/>
        <v>0</v>
      </c>
      <c r="DJ81" s="111">
        <f t="shared" si="58"/>
        <v>0</v>
      </c>
      <c r="DK81" s="111">
        <f t="shared" si="59"/>
        <v>0</v>
      </c>
      <c r="DL81" s="111">
        <f t="shared" si="60"/>
        <v>0</v>
      </c>
      <c r="DM81" s="111">
        <f t="shared" si="61"/>
        <v>0</v>
      </c>
      <c r="DN81" s="111">
        <f t="shared" si="62"/>
        <v>0</v>
      </c>
      <c r="DO81" s="111">
        <f t="shared" si="63"/>
        <v>0</v>
      </c>
      <c r="DP81" s="111">
        <f t="shared" si="64"/>
        <v>0</v>
      </c>
      <c r="DQ81" s="106"/>
      <c r="DR81" s="106"/>
      <c r="DS81" s="111"/>
      <c r="DT81" s="168"/>
      <c r="DW81" s="111">
        <f t="shared" si="72"/>
        <v>0</v>
      </c>
      <c r="DX81" s="111">
        <f t="shared" si="72"/>
        <v>0</v>
      </c>
      <c r="DY81" s="111">
        <f t="shared" si="72"/>
        <v>0</v>
      </c>
      <c r="DZ81" s="111">
        <f t="shared" si="66"/>
        <v>0</v>
      </c>
      <c r="EP81" t="s">
        <v>191</v>
      </c>
      <c r="EQ81">
        <v>0</v>
      </c>
      <c r="ER81" s="111">
        <f t="shared" si="73"/>
        <v>0</v>
      </c>
      <c r="ES81" s="111">
        <f>IF($BI$8=2015,VLOOKUP($L81,'[12]IMAGE CDLINKS CurPol'!$P$3:$Y$29,10,FALSE)*$AM81,VLOOKUP($L81,'[12]IMAGE CDLINKS CurPol'!$Z$3:$AI$29,10,FALSE)*$AP81)</f>
        <v>0</v>
      </c>
      <c r="ET81" s="111">
        <f t="shared" si="74"/>
        <v>0</v>
      </c>
      <c r="EU81" s="111">
        <f t="shared" si="76"/>
        <v>0</v>
      </c>
      <c r="EV81" s="111">
        <f>IF($BI$8=2015,VLOOKUP($L81,'[12]IMAGE CDLINKS 2C'!$P$3:$Y$29,10,FALSE)*$AM81,VLOOKUP($L81,'[12]IMAGE CDLINKS 2C'!$Z$3:$AI$29,10,FALSE)*$AP81)</f>
        <v>0</v>
      </c>
      <c r="EY81" s="111">
        <f t="shared" si="77"/>
        <v>0</v>
      </c>
      <c r="EZ81" s="111">
        <f>IF($BI$8=2015,VLOOKUP($L81,'[12]IMAGE CDLINKS 1_5C'!$P$3:$Y$29,10,FALSE)*$AM81,VLOOKUP($L81,'[12]IMAGE CDLINKS 1_5C'!$Z$3:$AI$29,10,FALSE)*$AP81)</f>
        <v>0</v>
      </c>
      <c r="FA81" s="192"/>
    </row>
    <row r="82" spans="1:157" x14ac:dyDescent="0.25">
      <c r="A82" t="str">
        <f>IF([12]NDCs!C84="","",[12]NDCs!C84)</f>
        <v/>
      </c>
      <c r="B82" s="159" t="str">
        <f t="shared" si="67"/>
        <v>v</v>
      </c>
      <c r="C82">
        <v>0</v>
      </c>
      <c r="D82">
        <v>0</v>
      </c>
      <c r="E82">
        <v>0</v>
      </c>
      <c r="F82">
        <v>1</v>
      </c>
      <c r="G82" t="b">
        <f t="shared" si="68"/>
        <v>0</v>
      </c>
      <c r="H82" t="s">
        <v>2333</v>
      </c>
      <c r="I82" t="s">
        <v>193</v>
      </c>
      <c r="J82">
        <v>266</v>
      </c>
      <c r="K82">
        <v>70</v>
      </c>
      <c r="L82">
        <v>8</v>
      </c>
      <c r="M82" t="str">
        <f>IF([12]NDCs!AL84="Excluding","excl","incl")</f>
        <v>excl</v>
      </c>
      <c r="N82" s="160">
        <f>[12]GHG_hist!BA72+IF($M82="incl",[12]LULUCF_hist!CR72,0)</f>
        <v>5.4493675999999995</v>
      </c>
      <c r="O82" s="111">
        <f>[12]GHG_hist!BB72+IF($M82="incl",[12]LULUCF_hist!CS72,0)</f>
        <v>5.0629445999999998</v>
      </c>
      <c r="P82" s="111">
        <f>[12]GHG_hist!BC72+IF($M82="incl",[12]LULUCF_hist!CT72,0)</f>
        <v>5.3803379000000007</v>
      </c>
      <c r="Q82" s="111">
        <f>[12]GHG_hist!BD72+IF($M82="incl",[12]LULUCF_hist!CU72,0)</f>
        <v>5.4835586000000003</v>
      </c>
      <c r="R82" s="111">
        <f>[12]GHG_hist!BE72+IF($M82="incl",[12]LULUCF_hist!CV72,0)</f>
        <v>4.9807072000000003</v>
      </c>
      <c r="S82" s="111">
        <f>[12]GHG_hist!BF72+IF($M82="incl",[12]LULUCF_hist!CW72,0)</f>
        <v>5.3630006000000003</v>
      </c>
      <c r="T82" s="111">
        <f>[12]GHG_hist!BG72+IF($M82="incl",[12]LULUCF_hist!CX72,0)</f>
        <v>5.3628098</v>
      </c>
      <c r="U82" s="111">
        <f>[12]GHG_hist!BH72+IF($M82="incl",[12]LULUCF_hist!CY72,0)</f>
        <v>4.9433423000000003</v>
      </c>
      <c r="V82" s="111">
        <f>[12]GHG_hist!BI72+IF($M82="incl",[12]LULUCF_hist!CZ72,0)</f>
        <v>5.3554660000000007</v>
      </c>
      <c r="W82" s="111">
        <f>[12]GHG_hist!BJ72+IF($M82="incl",[12]LULUCF_hist!DA72,0)</f>
        <v>4.8507227999999998</v>
      </c>
      <c r="X82" s="111">
        <f>[12]GHG_hist!BK72+IF($M82="incl",[12]LULUCF_hist!DB72,0)</f>
        <v>4.6148008000000003</v>
      </c>
      <c r="Y82" s="111">
        <f>[12]GHG_hist!BL72+IF($M82="incl",[12]LULUCF_hist!DC72,0)</f>
        <v>4.7229080000000003</v>
      </c>
      <c r="Z82" s="111">
        <f>[12]GHG_hist!BM72+IF($M82="incl",[12]LULUCF_hist!DD72,0)</f>
        <v>4.6388864999999999</v>
      </c>
      <c r="AA82" s="111">
        <f>[12]GHG_hist!BN72+IF($M82="incl",[12]LULUCF_hist!DE72,0)</f>
        <v>4.9462193000000001</v>
      </c>
      <c r="AB82" s="111">
        <f>[12]GHG_hist!BO72+IF($M82="incl",[12]LULUCF_hist!DF72,0)</f>
        <v>4.8510251000000002</v>
      </c>
      <c r="AC82" s="111">
        <f>[12]GHG_hist!BP72+IF($M82="incl",[12]LULUCF_hist!DG72,0)</f>
        <v>4.5706639999999998</v>
      </c>
      <c r="AD82" s="111">
        <f>[12]GHG_hist!BQ72+IF($M82="incl",[12]LULUCF_hist!DH72,0)</f>
        <v>4.7274862000000004</v>
      </c>
      <c r="AE82" s="111">
        <f>[12]GHG_hist!BR72+IF($M82="incl",[12]LULUCF_hist!DI72,0)</f>
        <v>4.6859289999999998</v>
      </c>
      <c r="AF82" s="111">
        <f>[12]GHG_hist!BS72+IF($M82="incl",[12]LULUCF_hist!DJ72,0)</f>
        <v>5.3002965000000009</v>
      </c>
      <c r="AG82" s="111">
        <f>[12]GHG_hist!BT72+IF($M82="incl",[12]LULUCF_hist!DK72,0)</f>
        <v>5.2450074000000004</v>
      </c>
      <c r="AH82" s="111">
        <f>[12]GHG_hist!BU72+IF($M82="incl",[12]LULUCF_hist!DL72,0)</f>
        <v>6.1533610000000003</v>
      </c>
      <c r="AI82" s="111">
        <f>[12]GHG_hist!BV72+IF($M82="incl",[12]LULUCF_hist!DM72,0)</f>
        <v>6.0509385</v>
      </c>
      <c r="AJ82" s="111">
        <f>[12]GHG_hist!BW72+IF($M82="incl",[12]LULUCF_hist!DN72,0)</f>
        <v>5.7428306000000005</v>
      </c>
      <c r="AK82" s="111">
        <f>[12]GHG_hist!BX72+IF($M82="incl",[12]LULUCF_hist!DO72,0)</f>
        <v>5.7337740000000004</v>
      </c>
      <c r="AL82" s="111">
        <f>[12]GHG_hist!BY72+IF($M82="incl",[12]LULUCF_hist!DP72,0)</f>
        <v>5.6990273</v>
      </c>
      <c r="AM82" s="111">
        <f>[12]GHG_hist!BZ72+IF($M82="incl",[12]LULUCF_hist!DQ72,0)</f>
        <v>5.7149049999999999</v>
      </c>
      <c r="AN82" s="111">
        <f>[12]GHG_hist!CA72+IF($M82="incl",[12]LULUCF_hist!DR72,0)</f>
        <v>5.9756875000000003</v>
      </c>
      <c r="AO82" s="111">
        <f>[12]GHG_hist!CB72+IF($M82="incl",[12]LULUCF_hist!DS72,0)</f>
        <v>6.1828477999999993</v>
      </c>
      <c r="AP82" s="111">
        <f>[12]GHG_hist!CC72+IF($M82="incl",[12]LULUCF_hist!DT72,0)</f>
        <v>5.9038652000000003</v>
      </c>
      <c r="AQ82" s="111">
        <f>[12]GHG_hist!CD72+IF($M82="incl",[12]LULUCF_hist!DU72,0)</f>
        <v>6.3638303000000001</v>
      </c>
      <c r="AR82" s="111">
        <f>[12]GHG_hist!CE72+IF($M82="incl",[12]LULUCF_hist!DV72,0)</f>
        <v>5.9297299000000008</v>
      </c>
      <c r="AS82" s="111">
        <f>[12]GHG_hist!CF72+IF($M82="incl",[12]LULUCF_hist!DW72,0)</f>
        <v>5.9947040999999999</v>
      </c>
      <c r="AT82" s="161">
        <f>VLOOKUP($L82,'[12]IMAGE SSP2'!$AF$3:$AK$29,4,FALSE)*$AM82</f>
        <v>7.5395983708857228</v>
      </c>
      <c r="AU82" s="162">
        <f>VLOOKUP($L82,'[12]IMAGE SSP2'!$AF$3:$AK$29,5,FALSE)*$AM82</f>
        <v>8.7474880750994721</v>
      </c>
      <c r="AV82" s="163">
        <f>VLOOKUP($L82,'[12]IMAGE SSP2'!$AF$3:$AK$29,6,FALSE)*$AM82</f>
        <v>10.486240612258495</v>
      </c>
      <c r="AW82" s="111" t="str">
        <f t="shared" si="75"/>
        <v/>
      </c>
      <c r="AX82" s="164" t="str">
        <f>IF(A82="B",IF(M82="excl",[12]NatCom!CO72,[12]NatCom!AX72),"")</f>
        <v/>
      </c>
      <c r="AY82" s="111" t="str">
        <f>IF('[12]Pledge 2020'!E72="","",'[12]Pledge 2020'!E72)</f>
        <v/>
      </c>
      <c r="AZ82" s="164" t="str">
        <f>IF('[12]Pledge 2020'!F72="","",'[12]Pledge 2020'!F72)</f>
        <v/>
      </c>
      <c r="BA82" s="111" t="str">
        <f t="shared" si="51"/>
        <v/>
      </c>
      <c r="BB82" s="111"/>
      <c r="BC82" s="111" t="str">
        <f t="shared" si="52"/>
        <v/>
      </c>
      <c r="BD82" s="111"/>
      <c r="BE82" s="111" t="s">
        <v>2477</v>
      </c>
      <c r="BF82" s="111"/>
      <c r="BG82" s="111" t="s">
        <v>2477</v>
      </c>
      <c r="BH82" s="164"/>
      <c r="BI82" s="111" t="str">
        <f>IF([12]NDCs!V84="",IF([12]NDCs!X84="","",[12]NDCs!X84),[12]NDCs!V84)</f>
        <v/>
      </c>
      <c r="BJ82" s="111" t="str">
        <f>IF([12]NDCs!V84="",IF([12]NDCs!X84="","",[12]NDCs!X84),[12]NDCs!V84)</f>
        <v/>
      </c>
      <c r="BK82" s="111" t="str">
        <f>IF([12]NDCs!Z84="",IF([12]NDCs!AB84="",IF('input site'!BE82="","",'input site'!BE82),[12]NDCs!AB84),[12]NDCs!Z84)</f>
        <v/>
      </c>
      <c r="BL82" s="111" t="str">
        <f>IF([12]NDCs!AA84="",IF([12]NDCs!AC84="",IF('input site'!BF82="","",'input site'!BF82),[12]NDCs!AC84),[12]NDCs!AA84)</f>
        <v/>
      </c>
      <c r="BM82" s="111">
        <f>IF($BI$8=2015,VLOOKUP($L82,'[12]IMAGE CurPol SSP'!$AZ$3:$BD$29,4,FALSE)*$AM82,IF($BI$8=2018,VLOOKUP($L82,'[12]IMAGE CurPol SSP'!$BJ$3:$BN$29,4,FALSE)*$AP82,$AR82))</f>
        <v>5.9297299000000008</v>
      </c>
      <c r="BN82" s="111">
        <f t="shared" si="57"/>
        <v>5.9297299000000008</v>
      </c>
      <c r="BO82" s="111">
        <f t="shared" si="57"/>
        <v>5.9297299000000008</v>
      </c>
      <c r="BP82" s="111">
        <f>IF($BI$8=2015,VLOOKUP($L82,'[12]IMAGE CurPol SSP'!$AZ$3:$BD$29,5,FALSE)*$AM82,IF($BI$8=2018,VLOOKUP($L82,'[12]IMAGE CurPol SSP'!$BJ$3:$BN$29,5,FALSE)*$AP82,VLOOKUP($L82,'[12]IMAGE CurPol SSP'!$BU$3:$BZ$29,5,FALSE)*$AS82))</f>
        <v>6.2089972040808794</v>
      </c>
      <c r="BQ82" s="111">
        <f>IF($BI$8=2015,"",IF($BI$8=2018,"",VLOOKUP($L82,'[12]IMAGE CurPol SSP'!$CQ$3:$CV$29,5,FALSE)*$AS82))</f>
        <v>6.1400133259551923</v>
      </c>
      <c r="BR82" s="111">
        <f>IF($BI$8=2015,"",IF($BI$8=2018,"",VLOOKUP($L82,'[12]IMAGE CurPol SSP'!$CF$3:$CK$29,5,FALSE)*$AS82))</f>
        <v>6.2670386094138291</v>
      </c>
      <c r="BS82" s="111">
        <f>IF($BI$8=2015,VLOOKUP($L82,'[12]IMAGE CurPol SSP'!$AZ$3:$BE$29,6,FALSE)*$AM82,IF($BI$8=2018,VLOOKUP($L82,'[12]IMAGE CurPol SSP'!$BJ$3:$BO$29,6,FALSE)*$AP82,VLOOKUP($L82,'[12]IMAGE CurPol SSP'!$BU$3:$BZ$29,6,FALSE)*$AS82))</f>
        <v>7.1396120341617557</v>
      </c>
      <c r="BT82" s="111">
        <f>IF($BI$8=2015,"",IF($BI$8=2018,"",VLOOKUP($L82,'[12]IMAGE CurPol SSP'!$CQ$3:$CV$29,6,FALSE)*$AS82))</f>
        <v>6.954678181642727</v>
      </c>
      <c r="BU82" s="164">
        <f>IF($BI$8=2015,"",IF($BI$8=2018,"",VLOOKUP($L82,'[12]IMAGE CurPol SSP'!$CF$3:$CK$29,6,FALSE)*$AS82))</f>
        <v>7.1396120341617557</v>
      </c>
      <c r="CN82" t="s">
        <v>193</v>
      </c>
      <c r="CO82" s="165" t="str">
        <f t="shared" si="69"/>
        <v/>
      </c>
      <c r="CP82" s="165" t="str">
        <f t="shared" si="69"/>
        <v/>
      </c>
      <c r="CQ82" s="165" t="str">
        <f t="shared" si="69"/>
        <v/>
      </c>
      <c r="CR82" s="165" t="str">
        <f t="shared" si="65"/>
        <v/>
      </c>
      <c r="CV82" s="125" t="s">
        <v>621</v>
      </c>
      <c r="CW82" s="125" t="s">
        <v>621</v>
      </c>
      <c r="CX82" s="165">
        <f>AP82/$AP$255</f>
        <v>1.2920889401361071E-4</v>
      </c>
      <c r="CY82" s="167">
        <f t="shared" si="70"/>
        <v>1.609868470885722</v>
      </c>
      <c r="DB82" s="106"/>
      <c r="DC82" s="106"/>
      <c r="DD82" s="106"/>
      <c r="DE82" s="106"/>
      <c r="DF82" s="106"/>
      <c r="DG82" s="105" t="str">
        <f t="shared" si="71"/>
        <v>excl</v>
      </c>
      <c r="DH82" t="s">
        <v>193</v>
      </c>
      <c r="DI82" s="111">
        <f t="shared" si="58"/>
        <v>0</v>
      </c>
      <c r="DJ82" s="111">
        <f t="shared" si="58"/>
        <v>0</v>
      </c>
      <c r="DK82" s="111">
        <f t="shared" si="59"/>
        <v>0</v>
      </c>
      <c r="DL82" s="111">
        <f t="shared" si="60"/>
        <v>0</v>
      </c>
      <c r="DM82" s="111">
        <f t="shared" si="61"/>
        <v>0</v>
      </c>
      <c r="DN82" s="111">
        <f t="shared" si="62"/>
        <v>0</v>
      </c>
      <c r="DO82" s="111">
        <f t="shared" si="63"/>
        <v>0</v>
      </c>
      <c r="DP82" s="111">
        <f t="shared" si="64"/>
        <v>0</v>
      </c>
      <c r="DQ82" s="106"/>
      <c r="DR82" s="106"/>
      <c r="DS82" s="111"/>
      <c r="DT82" s="168"/>
      <c r="DW82" s="111">
        <f t="shared" si="72"/>
        <v>7.1396120341617557</v>
      </c>
      <c r="DX82" s="111">
        <f t="shared" si="72"/>
        <v>7.1396120341617557</v>
      </c>
      <c r="DY82" s="111">
        <f t="shared" si="72"/>
        <v>7.1396120341617557</v>
      </c>
      <c r="DZ82" s="111">
        <f t="shared" si="66"/>
        <v>7.1396120341617557</v>
      </c>
      <c r="EP82" t="s">
        <v>193</v>
      </c>
      <c r="EQ82">
        <v>0</v>
      </c>
      <c r="ER82" s="111">
        <f t="shared" si="73"/>
        <v>5.9038652000000003</v>
      </c>
      <c r="ES82" s="111">
        <f>IF($BI$8=2015,VLOOKUP($L82,'[12]IMAGE CDLINKS CurPol'!$P$3:$Y$29,10,FALSE)*$AM82,VLOOKUP($L82,'[12]IMAGE CDLINKS CurPol'!$Z$3:$AI$29,10,FALSE)*$AP82)</f>
        <v>12.326532789572417</v>
      </c>
      <c r="ET82" s="111">
        <f t="shared" si="74"/>
        <v>12.326532789572417</v>
      </c>
      <c r="EU82" s="111">
        <f t="shared" si="76"/>
        <v>5.6257703422168293</v>
      </c>
      <c r="EV82" s="111">
        <f>IF($BI$8=2015,VLOOKUP($L82,'[12]IMAGE CDLINKS 2C'!$P$3:$Y$29,10,FALSE)*$AM82,VLOOKUP($L82,'[12]IMAGE CDLINKS 2C'!$Z$3:$AI$29,10,FALSE)*$AP82)</f>
        <v>5.6257703422168293</v>
      </c>
      <c r="EY82" s="111">
        <f t="shared" si="77"/>
        <v>3.2044403899762348</v>
      </c>
      <c r="EZ82" s="111">
        <f>IF($BI$8=2015,VLOOKUP($L82,'[12]IMAGE CDLINKS 1_5C'!$P$3:$Y$29,10,FALSE)*$AM82,VLOOKUP($L82,'[12]IMAGE CDLINKS 1_5C'!$Z$3:$AI$29,10,FALSE)*$AP82)</f>
        <v>3.2044403899762348</v>
      </c>
      <c r="FA82" s="192"/>
    </row>
    <row r="83" spans="1:157" x14ac:dyDescent="0.25">
      <c r="A83" t="str">
        <f>IF([12]NDCs!C85="","",[12]NDCs!C85)</f>
        <v>B</v>
      </c>
      <c r="B83" s="159" t="str">
        <f t="shared" si="67"/>
        <v>v</v>
      </c>
      <c r="C83">
        <v>0</v>
      </c>
      <c r="D83">
        <v>0</v>
      </c>
      <c r="E83">
        <v>0</v>
      </c>
      <c r="F83">
        <v>1</v>
      </c>
      <c r="G83" t="b">
        <f t="shared" si="68"/>
        <v>1</v>
      </c>
      <c r="H83" t="s">
        <v>2333</v>
      </c>
      <c r="I83" t="s">
        <v>195</v>
      </c>
      <c r="J83">
        <v>270</v>
      </c>
      <c r="K83">
        <v>72</v>
      </c>
      <c r="L83">
        <v>8</v>
      </c>
      <c r="M83" t="str">
        <f>IF([12]NDCs!AL85="Excluding","excl","incl")</f>
        <v>excl</v>
      </c>
      <c r="N83" s="160">
        <f>[12]GHG_hist!BA73+IF($M83="incl",[12]LULUCF_hist!CR73,0)</f>
        <v>1.1787665999999999</v>
      </c>
      <c r="O83" s="111">
        <f>[12]GHG_hist!BB73+IF($M83="incl",[12]LULUCF_hist!CS73,0)</f>
        <v>1.2152835</v>
      </c>
      <c r="P83" s="111">
        <f>[12]GHG_hist!BC73+IF($M83="incl",[12]LULUCF_hist!CT73,0)</f>
        <v>1.2118061</v>
      </c>
      <c r="Q83" s="111">
        <f>[12]GHG_hist!BD73+IF($M83="incl",[12]LULUCF_hist!CU73,0)</f>
        <v>1.2139610000000001</v>
      </c>
      <c r="R83" s="111">
        <f>[12]GHG_hist!BE73+IF($M83="incl",[12]LULUCF_hist!CV73,0)</f>
        <v>1.2496980000000002</v>
      </c>
      <c r="S83" s="111">
        <f>[12]GHG_hist!BF73+IF($M83="incl",[12]LULUCF_hist!CW73,0)</f>
        <v>1.2814191000000001</v>
      </c>
      <c r="T83" s="111">
        <f>[12]GHG_hist!BG73+IF($M83="incl",[12]LULUCF_hist!CX73,0)</f>
        <v>1.3307880000000001</v>
      </c>
      <c r="U83" s="111">
        <f>[12]GHG_hist!BH73+IF($M83="incl",[12]LULUCF_hist!CY73,0)</f>
        <v>1.2871778</v>
      </c>
      <c r="V83" s="111">
        <f>[12]GHG_hist!BI73+IF($M83="incl",[12]LULUCF_hist!CZ73,0)</f>
        <v>1.3528520000000002</v>
      </c>
      <c r="W83" s="111">
        <f>[12]GHG_hist!BJ73+IF($M83="incl",[12]LULUCF_hist!DA73,0)</f>
        <v>1.3594806000000002</v>
      </c>
      <c r="X83" s="111">
        <f>[12]GHG_hist!BK73+IF($M83="incl",[12]LULUCF_hist!DB73,0)</f>
        <v>1.4421832999999999</v>
      </c>
      <c r="Y83" s="111">
        <f>[12]GHG_hist!BL73+IF($M83="incl",[12]LULUCF_hist!DC73,0)</f>
        <v>1.3920602</v>
      </c>
      <c r="Z83" s="111">
        <f>[12]GHG_hist!BM73+IF($M83="incl",[12]LULUCF_hist!DD73,0)</f>
        <v>1.3924617000000001</v>
      </c>
      <c r="AA83" s="111">
        <f>[12]GHG_hist!BN73+IF($M83="incl",[12]LULUCF_hist!DE73,0)</f>
        <v>1.5113283</v>
      </c>
      <c r="AB83" s="111">
        <f>[12]GHG_hist!BO73+IF($M83="incl",[12]LULUCF_hist!DF73,0)</f>
        <v>1.6353215999999999</v>
      </c>
      <c r="AC83" s="111">
        <f>[12]GHG_hist!BP73+IF($M83="incl",[12]LULUCF_hist!DG73,0)</f>
        <v>1.7009860000000001</v>
      </c>
      <c r="AD83" s="111">
        <f>[12]GHG_hist!BQ73+IF($M83="incl",[12]LULUCF_hist!DH73,0)</f>
        <v>1.7968001999999998</v>
      </c>
      <c r="AE83" s="111">
        <f>[12]GHG_hist!BR73+IF($M83="incl",[12]LULUCF_hist!DI73,0)</f>
        <v>1.8106343</v>
      </c>
      <c r="AF83" s="111">
        <f>[12]GHG_hist!BS73+IF($M83="incl",[12]LULUCF_hist!DJ73,0)</f>
        <v>1.9593678000000001</v>
      </c>
      <c r="AG83" s="111">
        <f>[12]GHG_hist!BT73+IF($M83="incl",[12]LULUCF_hist!DK73,0)</f>
        <v>2.2857240999999999</v>
      </c>
      <c r="AH83" s="111">
        <f>[12]GHG_hist!BU73+IF($M83="incl",[12]LULUCF_hist!DL73,0)</f>
        <v>2.4443245</v>
      </c>
      <c r="AI83" s="111">
        <f>[12]GHG_hist!BV73+IF($M83="incl",[12]LULUCF_hist!DM73,0)</f>
        <v>2.1338897000000001</v>
      </c>
      <c r="AJ83" s="111">
        <f>[12]GHG_hist!BW73+IF($M83="incl",[12]LULUCF_hist!DN73,0)</f>
        <v>2.2179193000000001</v>
      </c>
      <c r="AK83" s="111">
        <f>[12]GHG_hist!BX73+IF($M83="incl",[12]LULUCF_hist!DO73,0)</f>
        <v>2.2807337000000003</v>
      </c>
      <c r="AL83" s="111">
        <f>[12]GHG_hist!BY73+IF($M83="incl",[12]LULUCF_hist!DP73,0)</f>
        <v>2.4263132000000001</v>
      </c>
      <c r="AM83" s="111">
        <f>[12]GHG_hist!BZ73+IF($M83="incl",[12]LULUCF_hist!DQ73,0)</f>
        <v>2.5830929999999999</v>
      </c>
      <c r="AN83" s="111">
        <f>[12]GHG_hist!CA73+IF($M83="incl",[12]LULUCF_hist!DR73,0)</f>
        <v>2.4763121000000003</v>
      </c>
      <c r="AO83" s="111">
        <f>[12]GHG_hist!CB73+IF($M83="incl",[12]LULUCF_hist!DS73,0)</f>
        <v>2.5222076000000002</v>
      </c>
      <c r="AP83" s="111">
        <f>[12]GHG_hist!CC73+IF($M83="incl",[12]LULUCF_hist!DT73,0)</f>
        <v>2.5162419000000003</v>
      </c>
      <c r="AQ83" s="111">
        <f>[12]GHG_hist!CD73+IF($M83="incl",[12]LULUCF_hist!DU73,0)</f>
        <v>2.7028252000000004</v>
      </c>
      <c r="AR83" s="111">
        <f>[12]GHG_hist!CE73+IF($M83="incl",[12]LULUCF_hist!DV73,0)</f>
        <v>2.7520270999999998</v>
      </c>
      <c r="AS83" s="111">
        <f>[12]GHG_hist!CF73+IF($M83="incl",[12]LULUCF_hist!DW73,0)</f>
        <v>2.8157779999999999</v>
      </c>
      <c r="AT83" s="161">
        <f>VLOOKUP($L83,'[12]IMAGE SSP2'!$AF$3:$AK$29,4,FALSE)*$AM83</f>
        <v>3.4078403358667053</v>
      </c>
      <c r="AU83" s="162">
        <f>VLOOKUP($L83,'[12]IMAGE SSP2'!$AF$3:$AK$29,5,FALSE)*$AM83</f>
        <v>3.9537971697469896</v>
      </c>
      <c r="AV83" s="163">
        <f>VLOOKUP($L83,'[12]IMAGE SSP2'!$AF$3:$AK$29,6,FALSE)*$AM83</f>
        <v>4.7396999113442186</v>
      </c>
      <c r="AW83" s="111">
        <f t="shared" si="75"/>
        <v>1.22216225</v>
      </c>
      <c r="AX83" s="164"/>
      <c r="AY83" s="111" t="str">
        <f>IF('[12]Pledge 2020'!E73="","",'[12]Pledge 2020'!E73)</f>
        <v/>
      </c>
      <c r="AZ83" s="164" t="str">
        <f>IF('[12]Pledge 2020'!F73="","",'[12]Pledge 2020'!F73)</f>
        <v/>
      </c>
      <c r="BA83" s="111" t="str">
        <f t="shared" si="51"/>
        <v/>
      </c>
      <c r="BB83" s="111"/>
      <c r="BC83" s="111">
        <f t="shared" si="52"/>
        <v>1.8552518710000001</v>
      </c>
      <c r="BD83" s="111">
        <f>IF(BH83="","",(BH83-AH83)*0.75+AH83)</f>
        <v>1.8552518710000001</v>
      </c>
      <c r="BE83" s="111" t="s">
        <v>2477</v>
      </c>
      <c r="BF83" s="111"/>
      <c r="BG83" s="111">
        <v>1.6588943280000001</v>
      </c>
      <c r="BH83" s="164">
        <v>1.6588943280000001</v>
      </c>
      <c r="BI83" s="111" t="str">
        <f>IF([12]NDCs!V85="",IF([12]NDCs!X85="","",[12]NDCs!X85),[12]NDCs!V85)</f>
        <v/>
      </c>
      <c r="BJ83" s="111" t="str">
        <f>IF([12]NDCs!V85="",IF([12]NDCs!X85="","",[12]NDCs!X85),[12]NDCs!V85)</f>
        <v/>
      </c>
      <c r="BK83" s="111">
        <f>IF([12]NDCs!Z85="",IF([12]NDCs!AB85="",IF('input site'!BE83="","",'input site'!BE83),[12]NDCs!AB85),[12]NDCs!Z85)</f>
        <v>1.6588943280000001</v>
      </c>
      <c r="BL83" s="111">
        <f>IF([12]NDCs!AA85="",IF([12]NDCs!AC85="",IF('input site'!BF83="","",'input site'!BF83),[12]NDCs!AC85),[12]NDCs!AA85)</f>
        <v>1.6588943280000001</v>
      </c>
      <c r="BM83" s="111">
        <f>IF($BI$8=2015,VLOOKUP($L83,'[12]IMAGE CurPol SSP'!$AZ$3:$BD$29,4,FALSE)*$AM83,IF($BI$8=2018,VLOOKUP($L83,'[12]IMAGE CurPol SSP'!$BJ$3:$BN$29,4,FALSE)*$AP83,$AR83))</f>
        <v>2.7520270999999998</v>
      </c>
      <c r="BN83" s="111">
        <f t="shared" si="57"/>
        <v>2.7520270999999998</v>
      </c>
      <c r="BO83" s="111">
        <f t="shared" si="57"/>
        <v>2.7520270999999998</v>
      </c>
      <c r="BP83" s="111">
        <f>IF($BI$8=2015,VLOOKUP($L83,'[12]IMAGE CurPol SSP'!$AZ$3:$BD$29,5,FALSE)*$AM83,IF($BI$8=2018,VLOOKUP($L83,'[12]IMAGE CurPol SSP'!$BJ$3:$BN$29,5,FALSE)*$AP83,VLOOKUP($L83,'[12]IMAGE CurPol SSP'!$BU$3:$BZ$29,5,FALSE)*$AS83))</f>
        <v>2.9164338118561095</v>
      </c>
      <c r="BQ83" s="111">
        <f>IF($BI$8=2015,"",IF($BI$8=2018,"",VLOOKUP($L83,'[12]IMAGE CurPol SSP'!$CQ$3:$CV$29,5,FALSE)*$AS83))</f>
        <v>2.8840313307426566</v>
      </c>
      <c r="BR83" s="111">
        <f>IF($BI$8=2015,"",IF($BI$8=2018,"",VLOOKUP($L83,'[12]IMAGE CurPol SSP'!$CF$3:$CK$29,5,FALSE)*$AS83))</f>
        <v>2.9436964939667418</v>
      </c>
      <c r="BS83" s="111">
        <f>IF($BI$8=2015,VLOOKUP($L83,'[12]IMAGE CurPol SSP'!$AZ$3:$BE$29,6,FALSE)*$AM83,IF($BI$8=2018,VLOOKUP($L83,'[12]IMAGE CurPol SSP'!$BJ$3:$BO$29,6,FALSE)*$AP83,VLOOKUP($L83,'[12]IMAGE CurPol SSP'!$BU$3:$BZ$29,6,FALSE)*$AS83))</f>
        <v>3.3535537632838155</v>
      </c>
      <c r="BT83" s="111">
        <f>IF($BI$8=2015,"",IF($BI$8=2018,"",VLOOKUP($L83,'[12]IMAGE CurPol SSP'!$CQ$3:$CV$29,6,FALSE)*$AS83))</f>
        <v>3.2666883125973798</v>
      </c>
      <c r="BU83" s="164">
        <f>IF($BI$8=2015,"",IF($BI$8=2018,"",VLOOKUP($L83,'[12]IMAGE CurPol SSP'!$CF$3:$CK$29,6,FALSE)*$AS83))</f>
        <v>3.3535537632838155</v>
      </c>
      <c r="CN83" t="s">
        <v>195</v>
      </c>
      <c r="CO83" s="165" t="str">
        <f t="shared" si="69"/>
        <v/>
      </c>
      <c r="CP83" s="165" t="str">
        <f t="shared" si="69"/>
        <v/>
      </c>
      <c r="CQ83" s="165">
        <f t="shared" si="69"/>
        <v>-0.50533241895141012</v>
      </c>
      <c r="CR83" s="165">
        <f t="shared" si="65"/>
        <v>-0.50533241895141012</v>
      </c>
      <c r="CV83" s="125" t="s">
        <v>621</v>
      </c>
      <c r="CW83" s="125" t="s">
        <v>621</v>
      </c>
      <c r="CX83"/>
      <c r="CY83" s="167">
        <f t="shared" si="70"/>
        <v>0.65581323586670548</v>
      </c>
      <c r="DB83" s="106"/>
      <c r="DC83" s="106"/>
      <c r="DD83" s="106"/>
      <c r="DE83" s="106"/>
      <c r="DF83" s="106"/>
      <c r="DG83" s="105" t="str">
        <f t="shared" si="71"/>
        <v>excl</v>
      </c>
      <c r="DH83" t="s">
        <v>195</v>
      </c>
      <c r="DI83" s="111">
        <f t="shared" si="58"/>
        <v>0</v>
      </c>
      <c r="DJ83" s="111">
        <f t="shared" si="58"/>
        <v>0</v>
      </c>
      <c r="DK83" s="111">
        <f t="shared" si="59"/>
        <v>0</v>
      </c>
      <c r="DL83" s="111">
        <f t="shared" si="60"/>
        <v>-1.0611819408561094</v>
      </c>
      <c r="DM83" s="111">
        <f t="shared" si="61"/>
        <v>0</v>
      </c>
      <c r="DN83" s="111">
        <f t="shared" si="62"/>
        <v>-1.6946594352838154</v>
      </c>
      <c r="DO83" s="111">
        <f t="shared" si="63"/>
        <v>0</v>
      </c>
      <c r="DP83" s="111">
        <f t="shared" si="64"/>
        <v>-1.6946594352838154</v>
      </c>
      <c r="DQ83" s="106"/>
      <c r="DR83" s="106"/>
      <c r="DS83" s="111"/>
      <c r="DT83" s="168"/>
      <c r="DW83" s="111">
        <f t="shared" si="72"/>
        <v>3.3535537632838155</v>
      </c>
      <c r="DX83" s="111">
        <f t="shared" si="72"/>
        <v>3.3535537632838155</v>
      </c>
      <c r="DY83" s="111">
        <f t="shared" si="72"/>
        <v>1.6588943280000001</v>
      </c>
      <c r="DZ83" s="111">
        <f t="shared" si="66"/>
        <v>1.6588943280000001</v>
      </c>
      <c r="EP83" t="s">
        <v>195</v>
      </c>
      <c r="EQ83">
        <v>1</v>
      </c>
      <c r="ER83" s="111">
        <f t="shared" si="73"/>
        <v>2.5162419000000003</v>
      </c>
      <c r="ES83" s="111">
        <f>IF($BI$8=2015,VLOOKUP($L83,'[12]IMAGE CDLINKS CurPol'!$P$3:$Y$29,10,FALSE)*$AM83,VLOOKUP($L83,'[12]IMAGE CDLINKS CurPol'!$Z$3:$AI$29,10,FALSE)*$AP83)</f>
        <v>5.2535986571722537</v>
      </c>
      <c r="ET83" s="111">
        <f t="shared" si="74"/>
        <v>0</v>
      </c>
      <c r="EU83" s="111">
        <f t="shared" si="76"/>
        <v>2.3977171861687028</v>
      </c>
      <c r="EV83" s="111">
        <f>IF($BI$8=2015,VLOOKUP($L83,'[12]IMAGE CDLINKS 2C'!$P$3:$Y$29,10,FALSE)*$AM83,VLOOKUP($L83,'[12]IMAGE CDLINKS 2C'!$Z$3:$AI$29,10,FALSE)*$AP83)</f>
        <v>2.3977171861687028</v>
      </c>
      <c r="EW83">
        <v>0</v>
      </c>
      <c r="EX83" s="111">
        <f>EW83-EV83</f>
        <v>-2.3977171861687028</v>
      </c>
      <c r="EY83" s="111">
        <f t="shared" si="77"/>
        <v>0</v>
      </c>
      <c r="EZ83" s="111">
        <f>IF($BI$8=2015,VLOOKUP($L83,'[12]IMAGE CDLINKS 1_5C'!$P$3:$Y$29,10,FALSE)*$AM83,VLOOKUP($L83,'[12]IMAGE CDLINKS 1_5C'!$Z$3:$AI$29,10,FALSE)*$AP83)</f>
        <v>1.3657403924653535</v>
      </c>
      <c r="FA83" s="192">
        <v>2050</v>
      </c>
    </row>
    <row r="84" spans="1:157" x14ac:dyDescent="0.25">
      <c r="A84" t="str">
        <f>IF([12]NDCs!C86="","",[12]NDCs!C86)</f>
        <v>B</v>
      </c>
      <c r="B84" s="159" t="str">
        <f t="shared" si="67"/>
        <v>v</v>
      </c>
      <c r="C84">
        <v>0</v>
      </c>
      <c r="D84">
        <v>0</v>
      </c>
      <c r="E84">
        <v>0</v>
      </c>
      <c r="F84">
        <v>1</v>
      </c>
      <c r="G84" t="b">
        <f t="shared" si="68"/>
        <v>1</v>
      </c>
      <c r="H84" t="s">
        <v>2333</v>
      </c>
      <c r="I84" t="s">
        <v>197</v>
      </c>
      <c r="J84">
        <v>268</v>
      </c>
      <c r="K84">
        <v>71</v>
      </c>
      <c r="L84">
        <v>16</v>
      </c>
      <c r="M84" t="str">
        <f>IF([12]NDCs!AL86="Excluding","excl","incl")</f>
        <v>excl</v>
      </c>
      <c r="N84" s="160">
        <f>[12]GHG_hist!BA74+IF($M84="incl",[12]LULUCF_hist!CR74,0)</f>
        <v>49.021616999999999</v>
      </c>
      <c r="O84" s="111">
        <f>[12]GHG_hist!BB74+IF($M84="incl",[12]LULUCF_hist!CS74,0)</f>
        <v>37.993428000000002</v>
      </c>
      <c r="P84" s="111">
        <f>[12]GHG_hist!BC74+IF($M84="incl",[12]LULUCF_hist!CT74,0)</f>
        <v>31.913941999999999</v>
      </c>
      <c r="Q84" s="111">
        <f>[12]GHG_hist!BD74+IF($M84="incl",[12]LULUCF_hist!CU74,0)</f>
        <v>26.566034999999999</v>
      </c>
      <c r="R84" s="111">
        <f>[12]GHG_hist!BE74+IF($M84="incl",[12]LULUCF_hist!CV74,0)</f>
        <v>17.254449000000001</v>
      </c>
      <c r="S84" s="111">
        <f>[12]GHG_hist!BF74+IF($M84="incl",[12]LULUCF_hist!CW74,0)</f>
        <v>14.132102000000001</v>
      </c>
      <c r="T84" s="111">
        <f>[12]GHG_hist!BG74+IF($M84="incl",[12]LULUCF_hist!CX74,0)</f>
        <v>14.654710999999999</v>
      </c>
      <c r="U84" s="111">
        <f>[12]GHG_hist!BH74+IF($M84="incl",[12]LULUCF_hist!CY74,0)</f>
        <v>13.767814000000001</v>
      </c>
      <c r="V84" s="111">
        <f>[12]GHG_hist!BI74+IF($M84="incl",[12]LULUCF_hist!CZ74,0)</f>
        <v>12.848769000000001</v>
      </c>
      <c r="W84" s="111">
        <f>[12]GHG_hist!BJ74+IF($M84="incl",[12]LULUCF_hist!DA74,0)</f>
        <v>12.060028000000001</v>
      </c>
      <c r="X84" s="111">
        <f>[12]GHG_hist!BK74+IF($M84="incl",[12]LULUCF_hist!DB74,0)</f>
        <v>12.819000000000001</v>
      </c>
      <c r="Y84" s="111">
        <f>[12]GHG_hist!BL74+IF($M84="incl",[12]LULUCF_hist!DC74,0)</f>
        <v>11.481328</v>
      </c>
      <c r="Z84" s="111">
        <f>[12]GHG_hist!BM74+IF($M84="incl",[12]LULUCF_hist!DD74,0)</f>
        <v>12.834591000000001</v>
      </c>
      <c r="AA84" s="111">
        <f>[12]GHG_hist!BN74+IF($M84="incl",[12]LULUCF_hist!DE74,0)</f>
        <v>13.771763999999999</v>
      </c>
      <c r="AB84" s="111">
        <f>[12]GHG_hist!BO74+IF($M84="incl",[12]LULUCF_hist!DF74,0)</f>
        <v>14.04299</v>
      </c>
      <c r="AC84" s="111">
        <f>[12]GHG_hist!BP74+IF($M84="incl",[12]LULUCF_hist!DG74,0)</f>
        <v>13.411483</v>
      </c>
      <c r="AD84" s="111">
        <f>[12]GHG_hist!BQ74+IF($M84="incl",[12]LULUCF_hist!DH74,0)</f>
        <v>15.649888000000001</v>
      </c>
      <c r="AE84" s="111">
        <f>[12]GHG_hist!BR74+IF($M84="incl",[12]LULUCF_hist!DI74,0)</f>
        <v>16.644805999999999</v>
      </c>
      <c r="AF84" s="111">
        <f>[12]GHG_hist!BS74+IF($M84="incl",[12]LULUCF_hist!DJ74,0)</f>
        <v>14.881930000000001</v>
      </c>
      <c r="AG84" s="111">
        <f>[12]GHG_hist!BT74+IF($M84="incl",[12]LULUCF_hist!DK74,0)</f>
        <v>14.949441999999999</v>
      </c>
      <c r="AH84" s="111">
        <f>[12]GHG_hist!BU74+IF($M84="incl",[12]LULUCF_hist!DL74,0)</f>
        <v>15.192495000000001</v>
      </c>
      <c r="AI84" s="111">
        <f>[12]GHG_hist!BV74+IF($M84="incl",[12]LULUCF_hist!DM74,0)</f>
        <v>18.405364000000002</v>
      </c>
      <c r="AJ84" s="111">
        <f>[12]GHG_hist!BW74+IF($M84="incl",[12]LULUCF_hist!DN74,0)</f>
        <v>19.665025000000004</v>
      </c>
      <c r="AK84" s="111">
        <f>[12]GHG_hist!BX74+IF($M84="incl",[12]LULUCF_hist!DO74,0)</f>
        <v>18.438880000000001</v>
      </c>
      <c r="AL84" s="111">
        <f>[12]GHG_hist!BY74+IF($M84="incl",[12]LULUCF_hist!DP74,0)</f>
        <v>18.941614000000001</v>
      </c>
      <c r="AM84" s="111">
        <f>[12]GHG_hist!BZ74+IF($M84="incl",[12]LULUCF_hist!DQ74,0)</f>
        <v>20.035706999999999</v>
      </c>
      <c r="AN84" s="111">
        <f>[12]GHG_hist!CA74+IF($M84="incl",[12]LULUCF_hist!DR74,0)</f>
        <v>20.433615000000003</v>
      </c>
      <c r="AO84" s="111">
        <f>[12]GHG_hist!CB74+IF($M84="incl",[12]LULUCF_hist!DS74,0)</f>
        <v>19.186405999999998</v>
      </c>
      <c r="AP84" s="111">
        <f>[12]GHG_hist!CC74+IF($M84="incl",[12]LULUCF_hist!DT74,0)</f>
        <v>17.518305000000002</v>
      </c>
      <c r="AQ84" s="111">
        <f>[12]GHG_hist!CD74+IF($M84="incl",[12]LULUCF_hist!DU74,0)</f>
        <v>17.666619999999998</v>
      </c>
      <c r="AR84" s="111">
        <f>[12]GHG_hist!CE74+IF($M84="incl",[12]LULUCF_hist!DV74,0)</f>
        <v>17.574257000000003</v>
      </c>
      <c r="AS84" s="111">
        <f>[12]GHG_hist!CF74+IF($M84="incl",[12]LULUCF_hist!DW74,0)</f>
        <v>17.534279999999999</v>
      </c>
      <c r="AT84" s="161">
        <f>VLOOKUP($L84,'[12]IMAGE SSP2'!$AF$3:$AK$29,4,FALSE)*$AM84</f>
        <v>20.47141847592188</v>
      </c>
      <c r="AU84" s="162">
        <f>VLOOKUP($L84,'[12]IMAGE SSP2'!$AF$3:$AK$29,5,FALSE)*$AM84</f>
        <v>21.350989141044096</v>
      </c>
      <c r="AV84" s="163">
        <f>VLOOKUP($L84,'[12]IMAGE SSP2'!$AF$3:$AK$29,6,FALSE)*$AM84</f>
        <v>22.420158129702966</v>
      </c>
      <c r="AW84" s="111">
        <f>IF(A84="B",AM84+(AX84-AM84)*0.33333,"")</f>
        <v>26.163743385690001</v>
      </c>
      <c r="AX84" s="164">
        <f>IF(A84="B",IF(M84="excl",[12]NatCom!CO74,[12]NatCom!AX74),"")</f>
        <v>38.42</v>
      </c>
      <c r="AY84" s="111" t="str">
        <f>IF('[12]Pledge 2020'!E74="","",'[12]Pledge 2020'!E74)</f>
        <v/>
      </c>
      <c r="AZ84" s="164" t="str">
        <f>IF('[12]Pledge 2020'!F74="","",'[12]Pledge 2020'!F74)</f>
        <v/>
      </c>
      <c r="BA84" s="111">
        <f t="shared" si="51"/>
        <v>28.290873750000003</v>
      </c>
      <c r="BB84" s="111">
        <f>IF(BF84="","",(BF84-AH84)*0.75+AH84)</f>
        <v>28.290873750000003</v>
      </c>
      <c r="BC84" s="111">
        <f t="shared" si="52"/>
        <v>25.40937375</v>
      </c>
      <c r="BD84" s="111">
        <f>IF(BH84="","",(BH84-AH84)*0.75+AH84)</f>
        <v>25.40937375</v>
      </c>
      <c r="BE84" s="111">
        <v>32.657000000000004</v>
      </c>
      <c r="BF84" s="111">
        <v>32.657000000000004</v>
      </c>
      <c r="BG84" s="111">
        <v>28.815000000000001</v>
      </c>
      <c r="BH84" s="164">
        <v>28.815000000000001</v>
      </c>
      <c r="BI84" s="111">
        <f>IF([12]NDCs!V86="",IF([12]NDCs!X86="","",[12]NDCs!X86),[12]NDCs!V86)</f>
        <v>32.657000000000004</v>
      </c>
      <c r="BJ84" s="111">
        <f>IF([12]NDCs!V86="",IF([12]NDCs!X86="","",[12]NDCs!X86),[12]NDCs!V86)</f>
        <v>32.657000000000004</v>
      </c>
      <c r="BK84" s="111">
        <f>IF([12]NDCs!Z86="",IF([12]NDCs!AB86="",IF('input site'!BE84="","",'input site'!BE84),[12]NDCs!AB86),[12]NDCs!Z86)</f>
        <v>28.815000000000001</v>
      </c>
      <c r="BL84" s="111">
        <f>IF([12]NDCs!AA86="",IF([12]NDCs!AC86="",IF('input site'!BF84="","",'input site'!BF84),[12]NDCs!AC86),[12]NDCs!AA86)</f>
        <v>28.815000000000001</v>
      </c>
      <c r="BM84" s="111">
        <f>IF($BI$8=2015,VLOOKUP($L84,'[12]IMAGE CurPol SSP'!$AZ$3:$BD$29,4,FALSE)*$AM84,IF($BI$8=2018,VLOOKUP($L84,'[12]IMAGE CurPol SSP'!$BJ$3:$BN$29,4,FALSE)*$AP84,$AR84))</f>
        <v>17.574257000000003</v>
      </c>
      <c r="BN84" s="111">
        <f t="shared" si="57"/>
        <v>17.574257000000003</v>
      </c>
      <c r="BO84" s="111">
        <f t="shared" si="57"/>
        <v>17.574257000000003</v>
      </c>
      <c r="BP84" s="111">
        <f>IF($BI$8=2015,VLOOKUP($L84,'[12]IMAGE CurPol SSP'!$AZ$3:$BD$29,5,FALSE)*$AM84,IF($BI$8=2018,VLOOKUP($L84,'[12]IMAGE CurPol SSP'!$BJ$3:$BN$29,5,FALSE)*$AP84,VLOOKUP($L84,'[12]IMAGE CurPol SSP'!$BU$3:$BZ$29,5,FALSE)*$AS84))</f>
        <v>17.100645943551594</v>
      </c>
      <c r="BQ84" s="111">
        <f>IF($BI$8=2015,"",IF($BI$8=2018,"",VLOOKUP($L84,'[12]IMAGE CurPol SSP'!$CQ$3:$CV$29,5,FALSE)*$AS84))</f>
        <v>16.883406476866838</v>
      </c>
      <c r="BR84" s="111">
        <f>IF($BI$8=2015,"",IF($BI$8=2018,"",VLOOKUP($L84,'[12]IMAGE CurPol SSP'!$CF$3:$CK$29,5,FALSE)*$AS84))</f>
        <v>17.333607842739298</v>
      </c>
      <c r="BS84" s="111">
        <f>IF($BI$8=2015,VLOOKUP($L84,'[12]IMAGE CurPol SSP'!$AZ$3:$BE$29,6,FALSE)*$AM84,IF($BI$8=2018,VLOOKUP($L84,'[12]IMAGE CurPol SSP'!$BJ$3:$BO$29,6,FALSE)*$AP84,VLOOKUP($L84,'[12]IMAGE CurPol SSP'!$BU$3:$BZ$29,6,FALSE)*$AS84))</f>
        <v>16.54576311988486</v>
      </c>
      <c r="BT84" s="111">
        <f>IF($BI$8=2015,"",IF($BI$8=2018,"",VLOOKUP($L84,'[12]IMAGE CurPol SSP'!$CQ$3:$CV$29,6,FALSE)*$AS84))</f>
        <v>16.162078997818629</v>
      </c>
      <c r="BU84" s="164">
        <f>IF($BI$8=2015,"",IF($BI$8=2018,"",VLOOKUP($L84,'[12]IMAGE CurPol SSP'!$CF$3:$CK$29,6,FALSE)*$AS84))</f>
        <v>16.753068767814092</v>
      </c>
      <c r="CN84" t="s">
        <v>197</v>
      </c>
      <c r="CO84" s="165">
        <f t="shared" si="69"/>
        <v>0.97373791485945427</v>
      </c>
      <c r="CP84" s="165">
        <f t="shared" si="69"/>
        <v>0.97373791485945427</v>
      </c>
      <c r="CQ84" s="165">
        <f t="shared" si="69"/>
        <v>0.74153345428775364</v>
      </c>
      <c r="CR84" s="165">
        <f t="shared" si="65"/>
        <v>0.74153345428775364</v>
      </c>
      <c r="CS84" s="159"/>
      <c r="CU84" s="159"/>
      <c r="CV84" s="125" t="s">
        <v>621</v>
      </c>
      <c r="CW84" s="125" t="s">
        <v>621</v>
      </c>
      <c r="CX84" s="159"/>
      <c r="CY84" s="167">
        <f t="shared" si="70"/>
        <v>2.8971614759218767</v>
      </c>
      <c r="CZ84" s="159"/>
      <c r="DB84" s="106"/>
      <c r="DC84" s="106"/>
      <c r="DD84" s="106"/>
      <c r="DE84" s="106"/>
      <c r="DF84" s="106"/>
      <c r="DG84" s="105" t="str">
        <f t="shared" si="71"/>
        <v>excl</v>
      </c>
      <c r="DH84" t="s">
        <v>197</v>
      </c>
      <c r="DI84" s="111">
        <f t="shared" si="58"/>
        <v>0</v>
      </c>
      <c r="DJ84" s="111">
        <f t="shared" si="58"/>
        <v>0</v>
      </c>
      <c r="DK84" s="111">
        <f t="shared" si="59"/>
        <v>11.190227806448409</v>
      </c>
      <c r="DL84" s="111">
        <f t="shared" si="60"/>
        <v>8.308727806448406</v>
      </c>
      <c r="DM84" s="111">
        <f t="shared" si="61"/>
        <v>16.111236880115143</v>
      </c>
      <c r="DN84" s="111">
        <f t="shared" si="62"/>
        <v>12.269236880115141</v>
      </c>
      <c r="DO84" s="111">
        <f t="shared" si="63"/>
        <v>16.111236880115143</v>
      </c>
      <c r="DP84" s="111">
        <f t="shared" si="64"/>
        <v>12.269236880115141</v>
      </c>
      <c r="DQ84" s="106"/>
      <c r="DR84" s="106"/>
      <c r="DS84" s="111"/>
      <c r="DT84" s="168"/>
      <c r="DW84" s="111">
        <f t="shared" si="72"/>
        <v>32.657000000000004</v>
      </c>
      <c r="DX84" s="111">
        <f t="shared" si="72"/>
        <v>32.657000000000004</v>
      </c>
      <c r="DY84" s="111">
        <f t="shared" si="72"/>
        <v>28.815000000000001</v>
      </c>
      <c r="DZ84" s="111">
        <f t="shared" si="66"/>
        <v>28.815000000000001</v>
      </c>
      <c r="EP84" t="s">
        <v>197</v>
      </c>
      <c r="EQ84">
        <v>0</v>
      </c>
      <c r="ER84" s="111">
        <f t="shared" si="73"/>
        <v>17.518305000000002</v>
      </c>
      <c r="ES84" s="111">
        <f>IF($BI$8=2015,VLOOKUP($L84,'[12]IMAGE CDLINKS CurPol'!$P$3:$Y$29,10,FALSE)*$AM84,VLOOKUP($L84,'[12]IMAGE CDLINKS CurPol'!$Z$3:$AI$29,10,FALSE)*$AP84)</f>
        <v>20.703971048167652</v>
      </c>
      <c r="ET84" s="111">
        <f t="shared" si="74"/>
        <v>20.703971048167652</v>
      </c>
      <c r="EU84" s="111">
        <f t="shared" si="76"/>
        <v>2.8557934581710156</v>
      </c>
      <c r="EV84" s="111">
        <f>IF($BI$8=2015,VLOOKUP($L84,'[12]IMAGE CDLINKS 2C'!$P$3:$Y$29,10,FALSE)*$AM84,VLOOKUP($L84,'[12]IMAGE CDLINKS 2C'!$Z$3:$AI$29,10,FALSE)*$AP84)</f>
        <v>2.8557934581710156</v>
      </c>
      <c r="EY84" s="111">
        <f t="shared" si="77"/>
        <v>2.7141977775985393</v>
      </c>
      <c r="EZ84" s="111">
        <f>IF($BI$8=2015,VLOOKUP($L84,'[12]IMAGE CDLINKS 1_5C'!$P$3:$Y$29,10,FALSE)*$AM84,VLOOKUP($L84,'[12]IMAGE CDLINKS 1_5C'!$Z$3:$AI$29,10,FALSE)*$AP84)</f>
        <v>2.7141977775985393</v>
      </c>
      <c r="FA84" s="192"/>
    </row>
    <row r="85" spans="1:157" x14ac:dyDescent="0.25">
      <c r="A85" t="str">
        <f>IF([12]NDCs!C87="","",[12]NDCs!C87)</f>
        <v>A</v>
      </c>
      <c r="B85" s="159" t="str">
        <f t="shared" si="67"/>
        <v>v</v>
      </c>
      <c r="C85">
        <v>0</v>
      </c>
      <c r="D85">
        <v>1</v>
      </c>
      <c r="E85">
        <v>0</v>
      </c>
      <c r="F85">
        <v>1</v>
      </c>
      <c r="G85" t="b">
        <f t="shared" si="68"/>
        <v>1</v>
      </c>
      <c r="H85" t="s">
        <v>2335</v>
      </c>
      <c r="I85" t="s">
        <v>199</v>
      </c>
      <c r="J85">
        <v>276</v>
      </c>
      <c r="K85">
        <v>73</v>
      </c>
      <c r="L85">
        <v>11</v>
      </c>
      <c r="M85" t="str">
        <f>IF([12]NDCs!AL87="Excluding","excl","incl")</f>
        <v>incl</v>
      </c>
      <c r="N85" s="160">
        <f>[12]GHG_hist!BA75+IF($M85="incl",[12]LULUCF_hist!CR75,0)</f>
        <v>1274.562558721595</v>
      </c>
      <c r="O85" s="111">
        <f>[12]GHG_hist!BB75+IF($M85="incl",[12]LULUCF_hist!CS75,0)</f>
        <v>1168.3123978226763</v>
      </c>
      <c r="P85" s="111">
        <f>[12]GHG_hist!BC75+IF($M85="incl",[12]LULUCF_hist!CT75,0)</f>
        <v>1111.0670968035488</v>
      </c>
      <c r="Q85" s="111">
        <f>[12]GHG_hist!BD75+IF($M85="incl",[12]LULUCF_hist!CU75,0)</f>
        <v>1100.5577642360424</v>
      </c>
      <c r="R85" s="111">
        <f>[12]GHG_hist!BE75+IF($M85="incl",[12]LULUCF_hist!CV75,0)</f>
        <v>1087.4490448040135</v>
      </c>
      <c r="S85" s="111">
        <f>[12]GHG_hist!BF75+IF($M85="incl",[12]LULUCF_hist!CW75,0)</f>
        <v>1086.3505372665711</v>
      </c>
      <c r="T85" s="111">
        <f>[12]GHG_hist!BG75+IF($M85="incl",[12]LULUCF_hist!CX75,0)</f>
        <v>1111.7168632905953</v>
      </c>
      <c r="U85" s="111">
        <f>[12]GHG_hist!BH75+IF($M85="incl",[12]LULUCF_hist!CY75,0)</f>
        <v>1077.1024511001165</v>
      </c>
      <c r="V85" s="111">
        <f>[12]GHG_hist!BI75+IF($M85="incl",[12]LULUCF_hist!CZ75,0)</f>
        <v>1051.7048783677712</v>
      </c>
      <c r="W85" s="111">
        <f>[12]GHG_hist!BJ75+IF($M85="incl",[12]LULUCF_hist!DA75,0)</f>
        <v>1013.1546225920487</v>
      </c>
      <c r="X85" s="111">
        <f>[12]GHG_hist!BK75+IF($M85="incl",[12]LULUCF_hist!DB75,0)</f>
        <v>1032.0600411811761</v>
      </c>
      <c r="Y85" s="111">
        <f>[12]GHG_hist!BL75+IF($M85="incl",[12]LULUCF_hist!DC75,0)</f>
        <v>1038.2160501252692</v>
      </c>
      <c r="Z85" s="111">
        <f>[12]GHG_hist!BM75+IF($M85="incl",[12]LULUCF_hist!DD75,0)</f>
        <v>1048.9346102987047</v>
      </c>
      <c r="AA85" s="111">
        <f>[12]GHG_hist!BN75+IF($M85="incl",[12]LULUCF_hist!DE75,0)</f>
        <v>1041.2433805326389</v>
      </c>
      <c r="AB85" s="111">
        <f>[12]GHG_hist!BO75+IF($M85="incl",[12]LULUCF_hist!DF75,0)</f>
        <v>1018.00591279461</v>
      </c>
      <c r="AC85" s="111">
        <f>[12]GHG_hist!BP75+IF($M85="incl",[12]LULUCF_hist!DG75,0)</f>
        <v>988.64129438803309</v>
      </c>
      <c r="AD85" s="111">
        <f>[12]GHG_hist!BQ75+IF($M85="incl",[12]LULUCF_hist!DH75,0)</f>
        <v>989.18063704690223</v>
      </c>
      <c r="AE85" s="111">
        <f>[12]GHG_hist!BR75+IF($M85="incl",[12]LULUCF_hist!DI75,0)</f>
        <v>965.96880421565436</v>
      </c>
      <c r="AF85" s="111">
        <f>[12]GHG_hist!BS75+IF($M85="incl",[12]LULUCF_hist!DJ75,0)</f>
        <v>960.49342761853529</v>
      </c>
      <c r="AG85" s="111">
        <f>[12]GHG_hist!BT75+IF($M85="incl",[12]LULUCF_hist!DK75,0)</f>
        <v>885.16571407889387</v>
      </c>
      <c r="AH85" s="111">
        <f>[12]GHG_hist!BU75+IF($M85="incl",[12]LULUCF_hist!DL75,0)</f>
        <v>926.63058250310439</v>
      </c>
      <c r="AI85" s="111">
        <f>[12]GHG_hist!BV75+IF($M85="incl",[12]LULUCF_hist!DM75,0)</f>
        <v>896.00142443110849</v>
      </c>
      <c r="AJ85" s="111">
        <f>[12]GHG_hist!BW75+IF($M85="incl",[12]LULUCF_hist!DN75,0)</f>
        <v>893.15856115697375</v>
      </c>
      <c r="AK85" s="111">
        <f>[12]GHG_hist!BX75+IF($M85="incl",[12]LULUCF_hist!DO75,0)</f>
        <v>914.69313953909398</v>
      </c>
      <c r="AL85" s="111">
        <f>[12]GHG_hist!BY75+IF($M85="incl",[12]LULUCF_hist!DP75,0)</f>
        <v>882.09492538082463</v>
      </c>
      <c r="AM85" s="111">
        <f>[12]GHG_hist!BZ75+IF($M85="incl",[12]LULUCF_hist!DQ75,0)</f>
        <v>883.22870869191468</v>
      </c>
      <c r="AN85" s="111">
        <f>[12]GHG_hist!CA75+IF($M85="incl",[12]LULUCF_hist!DR75,0)</f>
        <v>882.81344892959271</v>
      </c>
      <c r="AO85" s="111">
        <f>[12]GHG_hist!CB75+IF($M85="incl",[12]LULUCF_hist!DS75,0)</f>
        <v>868.84119162909633</v>
      </c>
      <c r="AP85" s="111">
        <f>[12]GHG_hist!CC75+IF($M85="incl",[12]LULUCF_hist!DT75,0)</f>
        <v>836.55037247352766</v>
      </c>
      <c r="AQ85" s="111">
        <f>[12]GHG_hist!CD75+IF($M85="incl",[12]LULUCF_hist!DU75,0)</f>
        <v>785.99638676327675</v>
      </c>
      <c r="AR85" s="111">
        <f>[12]GHG_hist!CE75+IF($M85="incl",[12]LULUCF_hist!DV75,0)</f>
        <v>733.43374917157371</v>
      </c>
      <c r="AS85" s="111">
        <f>[12]GHG_hist!CF75+IF($M85="incl",[12]LULUCF_hist!DW75,0)</f>
        <v>762.78396681144591</v>
      </c>
      <c r="AT85" s="161">
        <f>VLOOKUP($L85,'[12]IMAGE SSP2'!$AF$3:$AK$29,4,FALSE)*$AM85</f>
        <v>858.84934406322145</v>
      </c>
      <c r="AU85" s="162">
        <f>VLOOKUP($L85,'[12]IMAGE SSP2'!$AF$3:$AK$29,5,FALSE)*$AM85</f>
        <v>830.42028190253961</v>
      </c>
      <c r="AV85" s="163">
        <f>VLOOKUP($L85,'[12]IMAGE SSP2'!$AF$3:$AK$29,6,FALSE)*$AM85</f>
        <v>825.79971363112611</v>
      </c>
      <c r="AW85" s="111" t="str">
        <f t="shared" si="75"/>
        <v/>
      </c>
      <c r="AX85" s="164" t="str">
        <f>IF(A85="B",IF(M85="excl",[12]NatCom!CO75,[12]NatCom!AX75),"")</f>
        <v/>
      </c>
      <c r="AY85" s="111" t="str">
        <f>IF('[12]Pledge 2020'!E75="","",'[12]Pledge 2020'!E75)</f>
        <v/>
      </c>
      <c r="AZ85" s="164" t="str">
        <f>IF('[12]Pledge 2020'!F75="","",'[12]Pledge 2020'!F75)</f>
        <v/>
      </c>
      <c r="BA85" s="111" t="str">
        <f t="shared" si="51"/>
        <v/>
      </c>
      <c r="BB85" s="111"/>
      <c r="BC85" s="111" t="str">
        <f t="shared" si="52"/>
        <v/>
      </c>
      <c r="BD85" s="111"/>
      <c r="BE85" s="111" t="s">
        <v>2477</v>
      </c>
      <c r="BF85" s="111" t="s">
        <v>2477</v>
      </c>
      <c r="BG85" s="111" t="s">
        <v>2477</v>
      </c>
      <c r="BH85" s="164" t="s">
        <v>2477</v>
      </c>
      <c r="BI85" s="111" t="str">
        <f>IF([12]NDCs!V87="",IF([12]NDCs!X87="","",[12]NDCs!X87),[12]NDCs!V87)</f>
        <v/>
      </c>
      <c r="BJ85" s="111" t="str">
        <f>IF([12]NDCs!V87="",IF([12]NDCs!X87="","",[12]NDCs!X87),[12]NDCs!V87)</f>
        <v/>
      </c>
      <c r="BK85" s="111" t="str">
        <f>IF([12]NDCs!Z87="",IF([12]NDCs!AB87="",IF('input site'!BE85="","",'input site'!BE85),[12]NDCs!AB87),[12]NDCs!Z87)</f>
        <v/>
      </c>
      <c r="BL85" s="111" t="str">
        <f>IF([12]NDCs!AA87="",IF([12]NDCs!AC87="",IF('input site'!BF85="","",'input site'!BF85),[12]NDCs!AC87),[12]NDCs!AA87)</f>
        <v/>
      </c>
      <c r="BM85" s="111">
        <f>IF($BI$8=2015,VLOOKUP($L85,'[12]IMAGE CurPol SSP'!$AZ$3:$BD$29,4,FALSE)*$AM85,IF($BI$8=2018,VLOOKUP($L85,'[12]IMAGE CurPol SSP'!$BJ$3:$BN$29,4,FALSE)*$AP85,$AR85))</f>
        <v>733.43374917157371</v>
      </c>
      <c r="BN85" s="111">
        <f t="shared" si="57"/>
        <v>733.43374917157371</v>
      </c>
      <c r="BO85" s="111">
        <f t="shared" si="57"/>
        <v>733.43374917157371</v>
      </c>
      <c r="BP85" s="111">
        <f>IF($BI$8=2015,VLOOKUP($L85,'[12]IMAGE CurPol SSP'!$AZ$3:$BD$29,5,FALSE)*$AM85,IF($BI$8=2018,VLOOKUP($L85,'[12]IMAGE CurPol SSP'!$BJ$3:$BN$29,5,FALSE)*$AP85,VLOOKUP($L85,'[12]IMAGE CurPol SSP'!$BU$3:$BZ$29,5,FALSE)*$AS85))</f>
        <v>618.72431949408156</v>
      </c>
      <c r="BQ85" s="111">
        <f>IF($BI$8=2015,"",IF($BI$8=2018,"",VLOOKUP($L85,'[12]IMAGE CurPol SSP'!$CQ$3:$CV$29,5,FALSE)*$AS85))</f>
        <v>601.32677019270841</v>
      </c>
      <c r="BR85" s="111">
        <f>IF($BI$8=2015,"",IF($BI$8=2018,"",VLOOKUP($L85,'[12]IMAGE CurPol SSP'!$CF$3:$CK$29,5,FALSE)*$AS85))</f>
        <v>629.29038503303093</v>
      </c>
      <c r="BS85" s="111">
        <f>IF($BI$8=2015,VLOOKUP($L85,'[12]IMAGE CurPol SSP'!$AZ$3:$BE$29,6,FALSE)*$AM85,IF($BI$8=2018,VLOOKUP($L85,'[12]IMAGE CurPol SSP'!$BJ$3:$BO$29,6,FALSE)*$AP85,VLOOKUP($L85,'[12]IMAGE CurPol SSP'!$BU$3:$BZ$29,6,FALSE)*$AS85))</f>
        <v>425.59493899203005</v>
      </c>
      <c r="BT85" s="111">
        <f>IF($BI$8=2015,"",IF($BI$8=2018,"",VLOOKUP($L85,'[12]IMAGE CurPol SSP'!$CQ$3:$CV$29,6,FALSE)*$AS85))</f>
        <v>397.99845881852087</v>
      </c>
      <c r="BU85" s="164">
        <f>IF($BI$8=2015,"",IF($BI$8=2018,"",VLOOKUP($L85,'[12]IMAGE CurPol SSP'!$CF$3:$CK$29,6,FALSE)*$AS85))</f>
        <v>447.27831002466701</v>
      </c>
      <c r="CN85" t="s">
        <v>199</v>
      </c>
      <c r="CO85" s="165" t="str">
        <f t="shared" si="69"/>
        <v/>
      </c>
      <c r="CP85" s="165" t="str">
        <f t="shared" si="69"/>
        <v/>
      </c>
      <c r="CQ85" s="165" t="str">
        <f t="shared" si="69"/>
        <v/>
      </c>
      <c r="CR85" s="165" t="str">
        <f t="shared" si="65"/>
        <v/>
      </c>
      <c r="CV85" s="125" t="s">
        <v>621</v>
      </c>
      <c r="CW85" s="125" t="s">
        <v>621</v>
      </c>
      <c r="CX85"/>
      <c r="CY85" s="167">
        <f t="shared" si="70"/>
        <v>125.41559489164774</v>
      </c>
      <c r="DB85" s="106"/>
      <c r="DC85" s="106"/>
      <c r="DD85" s="106"/>
      <c r="DE85" s="106"/>
      <c r="DF85" s="106"/>
      <c r="DG85" s="105" t="str">
        <f t="shared" si="71"/>
        <v>incl</v>
      </c>
      <c r="DH85" t="s">
        <v>199</v>
      </c>
      <c r="DI85" s="111">
        <f t="shared" si="58"/>
        <v>0</v>
      </c>
      <c r="DJ85" s="111">
        <f t="shared" si="58"/>
        <v>0</v>
      </c>
      <c r="DK85" s="111">
        <f t="shared" si="59"/>
        <v>0</v>
      </c>
      <c r="DL85" s="111">
        <f t="shared" si="60"/>
        <v>0</v>
      </c>
      <c r="DM85" s="111">
        <f t="shared" si="61"/>
        <v>0</v>
      </c>
      <c r="DN85" s="111">
        <f t="shared" si="62"/>
        <v>0</v>
      </c>
      <c r="DO85" s="111">
        <f t="shared" si="63"/>
        <v>0</v>
      </c>
      <c r="DP85" s="111">
        <f t="shared" si="64"/>
        <v>0</v>
      </c>
      <c r="DQ85" s="106"/>
      <c r="DR85" s="106"/>
      <c r="DS85" s="111"/>
      <c r="DT85" s="168"/>
      <c r="DW85" s="111">
        <f t="shared" si="72"/>
        <v>425.59493899203005</v>
      </c>
      <c r="DX85" s="111">
        <f t="shared" si="72"/>
        <v>425.59493899203005</v>
      </c>
      <c r="DY85" s="111">
        <f t="shared" si="72"/>
        <v>425.59493899203005</v>
      </c>
      <c r="DZ85" s="111">
        <f t="shared" si="66"/>
        <v>425.59493899203005</v>
      </c>
      <c r="EP85" t="s">
        <v>199</v>
      </c>
      <c r="ER85" s="111">
        <f t="shared" si="73"/>
        <v>836.55037247352766</v>
      </c>
      <c r="ES85" s="111">
        <f>IF($BI$8=2015,VLOOKUP($L85,'[12]IMAGE CDLINKS CurPol'!$P$3:$Y$29,10,FALSE)*$AM85,VLOOKUP($L85,'[12]IMAGE CDLINKS CurPol'!$Z$3:$AI$29,10,FALSE)*$AP85)</f>
        <v>801.6187706770263</v>
      </c>
      <c r="ET85" s="111">
        <f t="shared" si="74"/>
        <v>801.6187706770263</v>
      </c>
      <c r="EU85" s="111">
        <f t="shared" si="76"/>
        <v>170.79232539171488</v>
      </c>
      <c r="EV85" s="111">
        <f>IF($BI$8=2015,VLOOKUP($L85,'[12]IMAGE CDLINKS 2C'!$P$3:$Y$29,10,FALSE)*$AM85,VLOOKUP($L85,'[12]IMAGE CDLINKS 2C'!$Z$3:$AI$29,10,FALSE)*$AP85)</f>
        <v>170.79232539171488</v>
      </c>
      <c r="EY85" s="111">
        <f t="shared" si="77"/>
        <v>94.469317701877998</v>
      </c>
      <c r="EZ85" s="111">
        <f>IF($BI$8=2015,VLOOKUP($L85,'[12]IMAGE CDLINKS 1_5C'!$P$3:$Y$29,10,FALSE)*$AM85,VLOOKUP($L85,'[12]IMAGE CDLINKS 1_5C'!$Z$3:$AI$29,10,FALSE)*$AP85)</f>
        <v>94.469317701877998</v>
      </c>
      <c r="FA85" s="192" t="s">
        <v>2338</v>
      </c>
    </row>
    <row r="86" spans="1:157" x14ac:dyDescent="0.25">
      <c r="A86" t="str">
        <f>IF([12]NDCs!C88="","",[12]NDCs!C88)</f>
        <v>B</v>
      </c>
      <c r="B86" s="159" t="str">
        <f t="shared" si="67"/>
        <v>v</v>
      </c>
      <c r="C86">
        <v>0</v>
      </c>
      <c r="D86">
        <v>0</v>
      </c>
      <c r="E86">
        <v>0</v>
      </c>
      <c r="F86">
        <v>1</v>
      </c>
      <c r="G86" t="b">
        <f t="shared" si="68"/>
        <v>1</v>
      </c>
      <c r="H86" t="s">
        <v>2333</v>
      </c>
      <c r="I86" t="s">
        <v>201</v>
      </c>
      <c r="J86">
        <v>288</v>
      </c>
      <c r="K86">
        <v>74</v>
      </c>
      <c r="L86">
        <v>8</v>
      </c>
      <c r="M86" t="str">
        <f>IF([12]NDCs!AL88="Excluding","excl","incl")</f>
        <v>incl</v>
      </c>
      <c r="N86" s="160">
        <f>[12]GHG_hist!BA76+IF($M86="incl",[12]LULUCF_hist!CR76,0)</f>
        <v>25.876179</v>
      </c>
      <c r="O86" s="111">
        <f>[12]GHG_hist!BB76+IF($M86="incl",[12]LULUCF_hist!CS76,0)</f>
        <v>26.306158</v>
      </c>
      <c r="P86" s="111">
        <f>[12]GHG_hist!BC76+IF($M86="incl",[12]LULUCF_hist!CT76,0)</f>
        <v>28.126800000000003</v>
      </c>
      <c r="Q86" s="111">
        <f>[12]GHG_hist!BD76+IF($M86="incl",[12]LULUCF_hist!CU76,0)</f>
        <v>28.323716000000001</v>
      </c>
      <c r="R86" s="111">
        <f>[12]GHG_hist!BE76+IF($M86="incl",[12]LULUCF_hist!CV76,0)</f>
        <v>28.310934000000003</v>
      </c>
      <c r="S86" s="111">
        <f>[12]GHG_hist!BF76+IF($M86="incl",[12]LULUCF_hist!CW76,0)</f>
        <v>26.995239000000002</v>
      </c>
      <c r="T86" s="111">
        <f>[12]GHG_hist!BG76+IF($M86="incl",[12]LULUCF_hist!CX76,0)</f>
        <v>27.039121000000002</v>
      </c>
      <c r="U86" s="111">
        <f>[12]GHG_hist!BH76+IF($M86="incl",[12]LULUCF_hist!CY76,0)</f>
        <v>28.274239000000001</v>
      </c>
      <c r="V86" s="111">
        <f>[12]GHG_hist!BI76+IF($M86="incl",[12]LULUCF_hist!CZ76,0)</f>
        <v>29.263312000000003</v>
      </c>
      <c r="W86" s="111">
        <f>[12]GHG_hist!BJ76+IF($M86="incl",[12]LULUCF_hist!DA76,0)</f>
        <v>28.749537000000004</v>
      </c>
      <c r="X86" s="111">
        <f>[12]GHG_hist!BK76+IF($M86="incl",[12]LULUCF_hist!DB76,0)</f>
        <v>27.955447999999997</v>
      </c>
      <c r="Y86" s="111">
        <f>[12]GHG_hist!BL76+IF($M86="incl",[12]LULUCF_hist!DC76,0)</f>
        <v>28.198664333333333</v>
      </c>
      <c r="Z86" s="111">
        <f>[12]GHG_hist!BM76+IF($M86="incl",[12]LULUCF_hist!DD76,0)</f>
        <v>29.536581666666667</v>
      </c>
      <c r="AA86" s="111">
        <f>[12]GHG_hist!BN76+IF($M86="incl",[12]LULUCF_hist!DE76,0)</f>
        <v>29.523909999999997</v>
      </c>
      <c r="AB86" s="111">
        <f>[12]GHG_hist!BO76+IF($M86="incl",[12]LULUCF_hist!DF76,0)</f>
        <v>28.225023333333333</v>
      </c>
      <c r="AC86" s="111">
        <f>[12]GHG_hist!BP76+IF($M86="incl",[12]LULUCF_hist!DG76,0)</f>
        <v>30.59560566666666</v>
      </c>
      <c r="AD86" s="111">
        <f>[12]GHG_hist!BQ76+IF($M86="incl",[12]LULUCF_hist!DH76,0)</f>
        <v>32.365737999999993</v>
      </c>
      <c r="AE86" s="111">
        <f>[12]GHG_hist!BR76+IF($M86="incl",[12]LULUCF_hist!DI76,0)</f>
        <v>34.531713333333329</v>
      </c>
      <c r="AF86" s="111">
        <f>[12]GHG_hist!BS76+IF($M86="incl",[12]LULUCF_hist!DJ76,0)</f>
        <v>34.151180666666662</v>
      </c>
      <c r="AG86" s="111">
        <f>[12]GHG_hist!BT76+IF($M86="incl",[12]LULUCF_hist!DK76,0)</f>
        <v>35.844663999999995</v>
      </c>
      <c r="AH86" s="111">
        <f>[12]GHG_hist!BU76+IF($M86="incl",[12]LULUCF_hist!DL76,0)</f>
        <v>41.089211333333324</v>
      </c>
      <c r="AI86" s="111">
        <f>[12]GHG_hist!BV76+IF($M86="incl",[12]LULUCF_hist!DM76,0)</f>
        <v>59.571390666666666</v>
      </c>
      <c r="AJ86" s="111">
        <f>[12]GHG_hist!BW76+IF($M86="incl",[12]LULUCF_hist!DN76,0)</f>
        <v>45.512712999999998</v>
      </c>
      <c r="AK86" s="111">
        <f>[12]GHG_hist!BX76+IF($M86="incl",[12]LULUCF_hist!DO76,0)</f>
        <v>49.065455999999998</v>
      </c>
      <c r="AL86" s="111">
        <f>[12]GHG_hist!BY76+IF($M86="incl",[12]LULUCF_hist!DP76,0)</f>
        <v>51.488585</v>
      </c>
      <c r="AM86" s="111">
        <f>[12]GHG_hist!BZ76+IF($M86="incl",[12]LULUCF_hist!DQ76,0)</f>
        <v>51.950387999999997</v>
      </c>
      <c r="AN86" s="111">
        <f>[12]GHG_hist!CA76+IF($M86="incl",[12]LULUCF_hist!DR76,0)</f>
        <v>54.903275000000001</v>
      </c>
      <c r="AO86" s="111">
        <f>[12]GHG_hist!CB76+IF($M86="incl",[12]LULUCF_hist!DS76,0)</f>
        <v>72.977226666666667</v>
      </c>
      <c r="AP86" s="111">
        <f>[12]GHG_hist!CC76+IF($M86="incl",[12]LULUCF_hist!DT76,0)</f>
        <v>62.203616333333336</v>
      </c>
      <c r="AQ86" s="111">
        <f>[12]GHG_hist!CD76+IF($M86="incl",[12]LULUCF_hist!DU76,0)</f>
        <v>64.13953699999999</v>
      </c>
      <c r="AR86" s="111">
        <f>[12]GHG_hist!CE76+IF($M86="incl",[12]LULUCF_hist!DV76,0)</f>
        <v>67.109431517241376</v>
      </c>
      <c r="AS86" s="111">
        <f>[12]GHG_hist!CF76+IF($M86="incl",[12]LULUCF_hist!DW76,0)</f>
        <v>70.094359776418244</v>
      </c>
      <c r="AT86" s="171">
        <f>VLOOKUP($L86,'[12]IMAGE SSP2'!$AF$3:$AK$29,4,FALSE)*($AM86-'[12]IIASA Proj'!$EQ76)+('[12]IIASA Proj'!$EQ76+'[12]IIASA Proj'!$ER76)</f>
        <v>76.153471103194022</v>
      </c>
      <c r="AU86" s="172">
        <f>VLOOKUP($L86,'[12]IMAGE SSP2'!$AF$3:$AK$29,5,FALSE)*($AM86-'[12]IIASA Proj'!$EQ76)+('[12]IIASA Proj'!$EQ76+'[12]IIASA Proj'!$ES76)</f>
        <v>88.987705777466402</v>
      </c>
      <c r="AV86" s="173">
        <f>VLOOKUP($L86,'[12]IMAGE SSP2'!$AF$3:$AK$29,6,FALSE)*($AM86-'[12]IIASA Proj'!$EQ76)+('[12]IIASA Proj'!$EQ76+'[12]IIASA Proj'!$ET76)</f>
        <v>110.8549631881486</v>
      </c>
      <c r="AW86" s="111">
        <f>IF(A86="B",AM86+(AX86-AM86)*0.33333,"")</f>
        <v>59.283518667959996</v>
      </c>
      <c r="AX86" s="164">
        <f>IF(A86="B",IF(M86="excl",[12]NatCom!CO76,[12]NatCom!AX76),"")</f>
        <v>73.95</v>
      </c>
      <c r="AY86" s="111" t="str">
        <f>IF('[12]Pledge 2020'!E76="","",'[12]Pledge 2020'!E76)</f>
        <v/>
      </c>
      <c r="AZ86" s="164" t="str">
        <f>IF('[12]Pledge 2020'!F76="","",'[12]Pledge 2020'!F76)</f>
        <v/>
      </c>
      <c r="BA86" s="111">
        <f t="shared" si="51"/>
        <v>57.415427833333332</v>
      </c>
      <c r="BB86" s="111">
        <f>IF(BF86="","",(BF86-AH86)*0.75+AH86)</f>
        <v>57.415427833333332</v>
      </c>
      <c r="BC86" s="111">
        <f t="shared" si="52"/>
        <v>40.776677833333338</v>
      </c>
      <c r="BD86" s="111">
        <f>IF(BH86="","",(BH86-AH86)*0.75+AH86)</f>
        <v>40.776677833333338</v>
      </c>
      <c r="BE86" s="111">
        <v>62.857500000000002</v>
      </c>
      <c r="BF86" s="111">
        <v>62.857500000000002</v>
      </c>
      <c r="BG86" s="111">
        <v>40.672500000000007</v>
      </c>
      <c r="BH86" s="164">
        <v>40.672500000000007</v>
      </c>
      <c r="BI86" s="111">
        <f>IF([12]NDCs!V88="",IF([12]NDCs!X88="","",[12]NDCs!X88),[12]NDCs!V88)</f>
        <v>62.857500000000002</v>
      </c>
      <c r="BJ86" s="111">
        <f>IF([12]NDCs!V88="",IF([12]NDCs!X88="","",[12]NDCs!X88),[12]NDCs!V88)</f>
        <v>62.857500000000002</v>
      </c>
      <c r="BK86" s="111">
        <f>IF([12]NDCs!Z88="",IF([12]NDCs!AB88="",IF('input site'!BE86="","",'input site'!BE86),[12]NDCs!AB88),[12]NDCs!Z88)</f>
        <v>40.672500000000007</v>
      </c>
      <c r="BL86" s="111">
        <f>IF([12]NDCs!AA88="",IF([12]NDCs!AC88="",IF('input site'!BF86="","",'input site'!BF86),[12]NDCs!AC88),[12]NDCs!AA88)</f>
        <v>40.672500000000007</v>
      </c>
      <c r="BM86" s="174">
        <f>IF($BI$8=2015,VLOOKUP($L86,'[12]IMAGE CurPol SSP'!$AZ$3:$BD$29,4,FALSE)*($AM86-'[12]IIASA Proj'!$EQ76)+('[12]IIASA Proj'!$EQ76+'[12]IIASA Proj'!$ER76),AR86)</f>
        <v>67.109431517241376</v>
      </c>
      <c r="BN86" s="175">
        <f t="shared" si="57"/>
        <v>67.109431517241376</v>
      </c>
      <c r="BO86" s="175">
        <f t="shared" si="57"/>
        <v>67.109431517241376</v>
      </c>
      <c r="BP86" s="174">
        <f>IF($BI$8=2015,VLOOKUP($L86,'[12]IMAGE CurPol SSP'!$AZ$3:$BD$29,5,FALSE)*($AM86-'[12]IIASA Proj'!$EQ76)+('[12]IIASA Proj'!$EQ76+'[12]IIASA Proj'!$ES76),VLOOKUP($L86,'[12]IMAGE CurPol SSP'!$BU$3:$BZ$29,5,FALSE)*($AS86-'[12]IIASA Proj'!$DV76)+('[12]IIASA Proj'!$EA76))</f>
        <v>75.051740375443913</v>
      </c>
      <c r="BQ86" s="174">
        <f>IF($BI$8=2015,"",IF($BI$8=2018,"",MIN(BP86,VLOOKUP($L86,'[12]IMAGE CurPol SSP'!$CQ$3:$CV$29,5,FALSE)*$AS86)))</f>
        <v>71.793418978178693</v>
      </c>
      <c r="BR86" s="174">
        <f>IF($BI$8=2015,"",IF($BI$8=2018,"",MAX(BP86,VLOOKUP($L86,'[12]IMAGE CurPol SSP'!$CF$3:$CK$29,5,FALSE)*$AS86)))</f>
        <v>75.051740375443913</v>
      </c>
      <c r="BS86" s="174">
        <f>IF($BI$8=2015,VLOOKUP($L86,'[12]IMAGE CurPol SSP'!$AZ$3:$BE$29,6,FALSE)*($AM86-'[12]IIASA Proj'!$EQ76)+('[12]IIASA Proj'!$EQ76+'[12]IIASA Proj'!$ET76),VLOOKUP($L86,'[12]IMAGE CurPol SSP'!$BU$3:$BZ$29,6,FALSE)*($AS86-'[12]IIASA Proj'!$DV76)+('[12]IIASA Proj'!$EF76))</f>
        <v>91.3390744141076</v>
      </c>
      <c r="BT86" s="174">
        <f>IF($BI$8=2015,"",IF($BI$8=2018,"",MIN($BS86,VLOOKUP($L86,'[12]IMAGE CurPol SSP'!$CQ$3:$CV$29,6,FALSE)*$AS86)))</f>
        <v>81.319062035651029</v>
      </c>
      <c r="BU86" s="176">
        <f>IF($BI$8=2015,"",IF($BI$8=2018,"",MAX($BS86,VLOOKUP($L86,'[12]IMAGE CurPol SSP'!$CF$3:$CK$29,6,FALSE)*$AS86)))</f>
        <v>91.3390744141076</v>
      </c>
      <c r="CN86" t="s">
        <v>201</v>
      </c>
      <c r="CO86" s="165">
        <f t="shared" si="69"/>
        <v>-0.31182245492197069</v>
      </c>
      <c r="CP86" s="165">
        <f t="shared" si="69"/>
        <v>-0.31182245492197069</v>
      </c>
      <c r="CQ86" s="165">
        <f t="shared" si="69"/>
        <v>-0.55470864730245162</v>
      </c>
      <c r="CR86" s="165">
        <f t="shared" si="65"/>
        <v>-0.55470864730245162</v>
      </c>
      <c r="CS86" s="159"/>
      <c r="CU86" s="159"/>
      <c r="CV86" s="125" t="s">
        <v>621</v>
      </c>
      <c r="CW86" s="125" t="s">
        <v>621</v>
      </c>
      <c r="CX86" s="159"/>
      <c r="CY86" s="167">
        <f t="shared" si="70"/>
        <v>9.0440395859526461</v>
      </c>
      <c r="CZ86" s="159"/>
      <c r="DB86" s="106"/>
      <c r="DC86" s="106"/>
      <c r="DD86" s="106"/>
      <c r="DE86" s="106"/>
      <c r="DF86" s="106"/>
      <c r="DG86" s="105" t="str">
        <f t="shared" si="71"/>
        <v>incl</v>
      </c>
      <c r="DH86" t="s">
        <v>201</v>
      </c>
      <c r="DI86" s="111">
        <f t="shared" si="58"/>
        <v>0</v>
      </c>
      <c r="DJ86" s="111">
        <f t="shared" si="58"/>
        <v>0</v>
      </c>
      <c r="DK86" s="111">
        <f t="shared" si="59"/>
        <v>-17.636312542110581</v>
      </c>
      <c r="DL86" s="111">
        <f t="shared" si="60"/>
        <v>-34.275062542110575</v>
      </c>
      <c r="DM86" s="111">
        <f t="shared" si="61"/>
        <v>-28.481574414107598</v>
      </c>
      <c r="DN86" s="111">
        <f t="shared" si="62"/>
        <v>-50.666574414107593</v>
      </c>
      <c r="DO86" s="111">
        <f t="shared" si="63"/>
        <v>-28.481574414107598</v>
      </c>
      <c r="DP86" s="111">
        <f t="shared" si="64"/>
        <v>-50.666574414107593</v>
      </c>
      <c r="DQ86" s="106"/>
      <c r="DR86" s="106"/>
      <c r="DS86" s="177">
        <f>[12]GHG_hist!BZ76+IF($M86="incl",[12]LULUCF_hist!DQ76,0)</f>
        <v>51.950387999999997</v>
      </c>
      <c r="DT86" s="178">
        <f>IF($M86="incl",'[12]IIASA Proj'!EQ76,0)</f>
        <v>5.2975791999999995</v>
      </c>
      <c r="DW86" s="111">
        <f t="shared" si="72"/>
        <v>62.857500000000002</v>
      </c>
      <c r="DX86" s="111">
        <f t="shared" si="72"/>
        <v>62.857500000000002</v>
      </c>
      <c r="DY86" s="111">
        <f t="shared" si="72"/>
        <v>40.672500000000007</v>
      </c>
      <c r="DZ86" s="111">
        <f t="shared" si="66"/>
        <v>40.672500000000007</v>
      </c>
      <c r="EP86" t="s">
        <v>201</v>
      </c>
      <c r="EQ86">
        <v>0</v>
      </c>
      <c r="ER86" s="111">
        <f t="shared" si="73"/>
        <v>62.203616333333336</v>
      </c>
      <c r="ES86" s="111">
        <f>IF($BI$8=2015,VLOOKUP($L86,'[12]IMAGE CDLINKS CurPol'!$P$3:$Y$29,10,FALSE)*$AM86,VLOOKUP($L86,'[12]IMAGE CDLINKS CurPol'!$Z$3:$AI$29,10,FALSE)*$AP86)</f>
        <v>129.87337792922773</v>
      </c>
      <c r="ET86" s="111">
        <f t="shared" si="74"/>
        <v>129.87337792922773</v>
      </c>
      <c r="EU86" s="111">
        <f t="shared" si="76"/>
        <v>59.273585709020089</v>
      </c>
      <c r="EV86" s="111">
        <f>IF($BI$8=2015,VLOOKUP($L86,'[12]IMAGE CDLINKS 2C'!$P$3:$Y$29,10,FALSE)*$AM86,VLOOKUP($L86,'[12]IMAGE CDLINKS 2C'!$Z$3:$AI$29,10,FALSE)*$AP86)</f>
        <v>59.273585709020089</v>
      </c>
      <c r="EY86" s="111">
        <f t="shared" si="77"/>
        <v>33.762251309721428</v>
      </c>
      <c r="EZ86" s="111">
        <f>IF($BI$8=2015,VLOOKUP($L86,'[12]IMAGE CDLINKS 1_5C'!$P$3:$Y$29,10,FALSE)*$AM86,VLOOKUP($L86,'[12]IMAGE CDLINKS 1_5C'!$Z$3:$AI$29,10,FALSE)*$AP86)</f>
        <v>33.762251309721428</v>
      </c>
      <c r="FA86" s="192"/>
    </row>
    <row r="87" spans="1:157" x14ac:dyDescent="0.25">
      <c r="A87" t="str">
        <f>IF([12]NDCs!C89="","",[12]NDCs!C89)</f>
        <v/>
      </c>
      <c r="B87" s="159" t="str">
        <f t="shared" si="67"/>
        <v>v</v>
      </c>
      <c r="C87">
        <v>0</v>
      </c>
      <c r="D87">
        <v>0</v>
      </c>
      <c r="E87">
        <v>0</v>
      </c>
      <c r="F87">
        <v>0</v>
      </c>
      <c r="G87" t="b">
        <f t="shared" si="68"/>
        <v>0</v>
      </c>
      <c r="H87" t="s">
        <v>2328</v>
      </c>
      <c r="I87" t="s">
        <v>203</v>
      </c>
      <c r="J87">
        <v>292</v>
      </c>
      <c r="K87">
        <v>75</v>
      </c>
      <c r="L87">
        <v>11</v>
      </c>
      <c r="M87" t="str">
        <f>IF([12]NDCs!AL89="Excluding","excl","incl")</f>
        <v>excl</v>
      </c>
      <c r="N87" s="160">
        <f>[12]GHG_hist!BA77+IF($M87="incl",[12]LULUCF_hist!CR77,0)</f>
        <v>0</v>
      </c>
      <c r="O87" s="111">
        <f>[12]GHG_hist!BB77+IF($M87="incl",[12]LULUCF_hist!CS77,0)</f>
        <v>0</v>
      </c>
      <c r="P87" s="111">
        <f>[12]GHG_hist!BC77+IF($M87="incl",[12]LULUCF_hist!CT77,0)</f>
        <v>0</v>
      </c>
      <c r="Q87" s="111">
        <f>[12]GHG_hist!BD77+IF($M87="incl",[12]LULUCF_hist!CU77,0)</f>
        <v>0</v>
      </c>
      <c r="R87" s="111">
        <f>[12]GHG_hist!BE77+IF($M87="incl",[12]LULUCF_hist!CV77,0)</f>
        <v>0</v>
      </c>
      <c r="S87" s="111">
        <f>[12]GHG_hist!BF77+IF($M87="incl",[12]LULUCF_hist!CW77,0)</f>
        <v>0</v>
      </c>
      <c r="T87" s="111">
        <f>[12]GHG_hist!BG77+IF($M87="incl",[12]LULUCF_hist!CX77,0)</f>
        <v>0</v>
      </c>
      <c r="U87" s="111">
        <f>[12]GHG_hist!BH77+IF($M87="incl",[12]LULUCF_hist!CY77,0)</f>
        <v>0</v>
      </c>
      <c r="V87" s="111">
        <f>[12]GHG_hist!BI77+IF($M87="incl",[12]LULUCF_hist!CZ77,0)</f>
        <v>0</v>
      </c>
      <c r="W87" s="111">
        <f>[12]GHG_hist!BJ77+IF($M87="incl",[12]LULUCF_hist!DA77,0)</f>
        <v>0</v>
      </c>
      <c r="X87" s="111">
        <f>[12]GHG_hist!BK77+IF($M87="incl",[12]LULUCF_hist!DB77,0)</f>
        <v>0</v>
      </c>
      <c r="Y87" s="111">
        <f>[12]GHG_hist!BL77+IF($M87="incl",[12]LULUCF_hist!DC77,0)</f>
        <v>0</v>
      </c>
      <c r="Z87" s="111">
        <f>[12]GHG_hist!BM77+IF($M87="incl",[12]LULUCF_hist!DD77,0)</f>
        <v>0</v>
      </c>
      <c r="AA87" s="111">
        <f>[12]GHG_hist!BN77+IF($M87="incl",[12]LULUCF_hist!DE77,0)</f>
        <v>0</v>
      </c>
      <c r="AB87" s="111">
        <f>[12]GHG_hist!BO77+IF($M87="incl",[12]LULUCF_hist!DF77,0)</f>
        <v>0</v>
      </c>
      <c r="AC87" s="111">
        <f>[12]GHG_hist!BP77+IF($M87="incl",[12]LULUCF_hist!DG77,0)</f>
        <v>0</v>
      </c>
      <c r="AD87" s="111">
        <f>[12]GHG_hist!BQ77+IF($M87="incl",[12]LULUCF_hist!DH77,0)</f>
        <v>0</v>
      </c>
      <c r="AE87" s="111">
        <f>[12]GHG_hist!BR77+IF($M87="incl",[12]LULUCF_hist!DI77,0)</f>
        <v>0</v>
      </c>
      <c r="AF87" s="111">
        <f>[12]GHG_hist!BS77+IF($M87="incl",[12]LULUCF_hist!DJ77,0)</f>
        <v>0</v>
      </c>
      <c r="AG87" s="111">
        <f>[12]GHG_hist!BT77+IF($M87="incl",[12]LULUCF_hist!DK77,0)</f>
        <v>0</v>
      </c>
      <c r="AH87" s="111">
        <f>[12]GHG_hist!BU77+IF($M87="incl",[12]LULUCF_hist!DL77,0)</f>
        <v>0</v>
      </c>
      <c r="AI87" s="111">
        <f>[12]GHG_hist!BV77+IF($M87="incl",[12]LULUCF_hist!DM77,0)</f>
        <v>0</v>
      </c>
      <c r="AJ87" s="111">
        <f>[12]GHG_hist!BW77+IF($M87="incl",[12]LULUCF_hist!DN77,0)</f>
        <v>0</v>
      </c>
      <c r="AK87" s="111">
        <f>[12]GHG_hist!BX77+IF($M87="incl",[12]LULUCF_hist!DO77,0)</f>
        <v>0</v>
      </c>
      <c r="AL87" s="111">
        <f>[12]GHG_hist!BY77+IF($M87="incl",[12]LULUCF_hist!DP77,0)</f>
        <v>0</v>
      </c>
      <c r="AM87" s="111">
        <f>[12]GHG_hist!BZ77+IF($M87="incl",[12]LULUCF_hist!DQ77,0)</f>
        <v>0</v>
      </c>
      <c r="AN87" s="111">
        <f>[12]GHG_hist!CA77+IF($M87="incl",[12]LULUCF_hist!DR77,0)</f>
        <v>0</v>
      </c>
      <c r="AO87" s="111">
        <f>[12]GHG_hist!CB77+IF($M87="incl",[12]LULUCF_hist!DS77,0)</f>
        <v>0</v>
      </c>
      <c r="AP87" s="111">
        <f>[12]GHG_hist!CC77+IF($M87="incl",[12]LULUCF_hist!DT77,0)</f>
        <v>0</v>
      </c>
      <c r="AQ87" s="111">
        <f>[12]GHG_hist!CD77+IF($M87="incl",[12]LULUCF_hist!DU77,0)</f>
        <v>0</v>
      </c>
      <c r="AR87" s="111">
        <f>[12]GHG_hist!CE77+IF($M87="incl",[12]LULUCF_hist!DV77,0)</f>
        <v>0</v>
      </c>
      <c r="AS87" s="111">
        <f>[12]GHG_hist!CF77+IF($M87="incl",[12]LULUCF_hist!DW77,0)</f>
        <v>0</v>
      </c>
      <c r="AT87" s="161">
        <f>VLOOKUP($L87,'[12]IMAGE SSP2'!$AF$3:$AK$29,4,FALSE)*$AM87</f>
        <v>0</v>
      </c>
      <c r="AU87" s="162">
        <f>VLOOKUP($L87,'[12]IMAGE SSP2'!$AF$3:$AK$29,5,FALSE)*$AM87</f>
        <v>0</v>
      </c>
      <c r="AV87" s="163">
        <f>VLOOKUP($L87,'[12]IMAGE SSP2'!$AF$3:$AK$29,6,FALSE)*$AM87</f>
        <v>0</v>
      </c>
      <c r="AW87" s="111" t="str">
        <f t="shared" si="75"/>
        <v/>
      </c>
      <c r="AX87" s="164" t="str">
        <f>IF(A87="B",IF(M87="excl",[12]NatCom!CO77,[12]NatCom!AX77),"")</f>
        <v/>
      </c>
      <c r="AY87" s="111" t="str">
        <f>IF('[12]Pledge 2020'!E77="","",'[12]Pledge 2020'!E77)</f>
        <v/>
      </c>
      <c r="AZ87" s="164" t="str">
        <f>IF('[12]Pledge 2020'!F77="","",'[12]Pledge 2020'!F77)</f>
        <v/>
      </c>
      <c r="BA87" s="111" t="str">
        <f t="shared" si="51"/>
        <v/>
      </c>
      <c r="BB87" s="111"/>
      <c r="BC87" s="111" t="str">
        <f t="shared" si="52"/>
        <v/>
      </c>
      <c r="BD87" s="111"/>
      <c r="BE87" s="111" t="s">
        <v>2477</v>
      </c>
      <c r="BF87" s="111"/>
      <c r="BG87" s="111" t="s">
        <v>2477</v>
      </c>
      <c r="BH87" s="164"/>
      <c r="BI87" s="111" t="str">
        <f>IF([12]NDCs!V89="",IF([12]NDCs!X89="","",[12]NDCs!X89),[12]NDCs!V89)</f>
        <v/>
      </c>
      <c r="BJ87" s="111" t="str">
        <f>IF([12]NDCs!V89="",IF([12]NDCs!X89="","",[12]NDCs!X89),[12]NDCs!V89)</f>
        <v/>
      </c>
      <c r="BK87" s="111" t="str">
        <f>IF([12]NDCs!Z89="",IF([12]NDCs!AB89="",IF('input site'!BE87="","",'input site'!BE87),[12]NDCs!AB89),[12]NDCs!Z89)</f>
        <v/>
      </c>
      <c r="BL87" s="111" t="str">
        <f>IF([12]NDCs!AA89="",IF([12]NDCs!AC89="",IF('input site'!BF87="","",'input site'!BF87),[12]NDCs!AC89),[12]NDCs!AA89)</f>
        <v/>
      </c>
      <c r="BM87" s="111">
        <f>IF($BI$8=2015,VLOOKUP($L87,'[12]IMAGE CurPol SSP'!$AZ$3:$BD$29,4,FALSE)*$AM87,IF($BI$8=2018,VLOOKUP($L87,'[12]IMAGE CurPol SSP'!$BJ$3:$BN$29,4,FALSE)*$AP87,$AR87))</f>
        <v>0</v>
      </c>
      <c r="BN87" s="111">
        <f t="shared" si="57"/>
        <v>0</v>
      </c>
      <c r="BO87" s="111">
        <f t="shared" si="57"/>
        <v>0</v>
      </c>
      <c r="BP87" s="111">
        <f>IF($BI$8=2015,VLOOKUP($L87,'[12]IMAGE CurPol SSP'!$AZ$3:$BD$29,5,FALSE)*$AM87,IF($BI$8=2018,VLOOKUP($L87,'[12]IMAGE CurPol SSP'!$BJ$3:$BN$29,5,FALSE)*$AP87,VLOOKUP($L87,'[12]IMAGE CurPol SSP'!$BU$3:$BZ$29,5,FALSE)*$AS87))</f>
        <v>0</v>
      </c>
      <c r="BQ87" s="111">
        <f>IF($BI$8=2015,"",IF($BI$8=2018,"",VLOOKUP($L87,'[12]IMAGE CurPol SSP'!$CQ$3:$CV$29,5,FALSE)*$AS87))</f>
        <v>0</v>
      </c>
      <c r="BR87" s="111">
        <f>IF($BI$8=2015,"",IF($BI$8=2018,"",VLOOKUP($L87,'[12]IMAGE CurPol SSP'!$CF$3:$CK$29,5,FALSE)*$AS87))</f>
        <v>0</v>
      </c>
      <c r="BS87" s="111">
        <f>IF($BI$8=2015,VLOOKUP($L87,'[12]IMAGE CurPol SSP'!$AZ$3:$BE$29,6,FALSE)*$AM87,IF($BI$8=2018,VLOOKUP($L87,'[12]IMAGE CurPol SSP'!$BJ$3:$BO$29,6,FALSE)*$AP87,VLOOKUP($L87,'[12]IMAGE CurPol SSP'!$BU$3:$BZ$29,6,FALSE)*$AS87))</f>
        <v>0</v>
      </c>
      <c r="BT87" s="111">
        <f>IF($BI$8=2015,"",IF($BI$8=2018,"",VLOOKUP($L87,'[12]IMAGE CurPol SSP'!$CQ$3:$CV$29,6,FALSE)*$AS87))</f>
        <v>0</v>
      </c>
      <c r="BU87" s="164">
        <f>IF($BI$8=2015,"",IF($BI$8=2018,"",VLOOKUP($L87,'[12]IMAGE CurPol SSP'!$CF$3:$CK$29,6,FALSE)*$AS87))</f>
        <v>0</v>
      </c>
      <c r="CN87" t="s">
        <v>203</v>
      </c>
      <c r="CO87" s="165" t="str">
        <f t="shared" si="69"/>
        <v/>
      </c>
      <c r="CP87" s="165" t="str">
        <f t="shared" si="69"/>
        <v/>
      </c>
      <c r="CQ87" s="165" t="str">
        <f t="shared" si="69"/>
        <v/>
      </c>
      <c r="CR87" s="165" t="str">
        <f t="shared" si="65"/>
        <v/>
      </c>
      <c r="CV87" s="125" t="s">
        <v>621</v>
      </c>
      <c r="CW87" s="125" t="s">
        <v>621</v>
      </c>
      <c r="CX87" s="165">
        <f>AP87/$AP$255</f>
        <v>0</v>
      </c>
      <c r="CY87" s="167">
        <f t="shared" si="70"/>
        <v>0</v>
      </c>
      <c r="DB87" s="106"/>
      <c r="DC87" s="106"/>
      <c r="DD87" s="106"/>
      <c r="DE87" s="106"/>
      <c r="DF87" s="106"/>
      <c r="DG87" s="105" t="str">
        <f t="shared" si="71"/>
        <v>excl</v>
      </c>
      <c r="DH87" t="s">
        <v>203</v>
      </c>
      <c r="DI87" s="111">
        <f t="shared" si="58"/>
        <v>0</v>
      </c>
      <c r="DJ87" s="111">
        <f t="shared" si="58"/>
        <v>0</v>
      </c>
      <c r="DK87" s="111">
        <f t="shared" si="59"/>
        <v>0</v>
      </c>
      <c r="DL87" s="111">
        <f t="shared" si="60"/>
        <v>0</v>
      </c>
      <c r="DM87" s="111">
        <f t="shared" si="61"/>
        <v>0</v>
      </c>
      <c r="DN87" s="111">
        <f t="shared" si="62"/>
        <v>0</v>
      </c>
      <c r="DO87" s="111">
        <f t="shared" si="63"/>
        <v>0</v>
      </c>
      <c r="DP87" s="111">
        <f t="shared" si="64"/>
        <v>0</v>
      </c>
      <c r="DQ87" s="106"/>
      <c r="DR87" s="106"/>
      <c r="DS87" s="111"/>
      <c r="DT87" s="168"/>
      <c r="DW87" s="111">
        <f t="shared" si="72"/>
        <v>0</v>
      </c>
      <c r="DX87" s="111">
        <f t="shared" si="72"/>
        <v>0</v>
      </c>
      <c r="DY87" s="111">
        <f t="shared" si="72"/>
        <v>0</v>
      </c>
      <c r="DZ87" s="111">
        <f t="shared" si="66"/>
        <v>0</v>
      </c>
      <c r="EP87" t="s">
        <v>203</v>
      </c>
      <c r="EQ87">
        <v>0</v>
      </c>
      <c r="ER87" s="111">
        <f t="shared" si="73"/>
        <v>0</v>
      </c>
      <c r="ES87" s="111">
        <f>IF($BI$8=2015,VLOOKUP($L87,'[12]IMAGE CDLINKS CurPol'!$P$3:$Y$29,10,FALSE)*$AM87,VLOOKUP($L87,'[12]IMAGE CDLINKS CurPol'!$Z$3:$AI$29,10,FALSE)*$AP87)</f>
        <v>0</v>
      </c>
      <c r="ET87" s="111">
        <f t="shared" si="74"/>
        <v>0</v>
      </c>
      <c r="EU87" s="111">
        <f t="shared" si="76"/>
        <v>0</v>
      </c>
      <c r="EV87" s="111">
        <f>IF($BI$8=2015,VLOOKUP($L87,'[12]IMAGE CDLINKS 2C'!$P$3:$Y$29,10,FALSE)*$AM87,VLOOKUP($L87,'[12]IMAGE CDLINKS 2C'!$Z$3:$AI$29,10,FALSE)*$AP87)</f>
        <v>0</v>
      </c>
      <c r="EY87" s="111">
        <f t="shared" si="77"/>
        <v>0</v>
      </c>
      <c r="EZ87" s="111">
        <f>IF($BI$8=2015,VLOOKUP($L87,'[12]IMAGE CDLINKS 1_5C'!$P$3:$Y$29,10,FALSE)*$AM87,VLOOKUP($L87,'[12]IMAGE CDLINKS 1_5C'!$Z$3:$AI$29,10,FALSE)*$AP87)</f>
        <v>0</v>
      </c>
      <c r="FA87" s="192"/>
    </row>
    <row r="88" spans="1:157" x14ac:dyDescent="0.25">
      <c r="A88" t="str">
        <f>IF([12]NDCs!C90="","",[12]NDCs!C90)</f>
        <v>A</v>
      </c>
      <c r="B88" s="159" t="str">
        <f t="shared" si="67"/>
        <v>v</v>
      </c>
      <c r="C88">
        <v>0</v>
      </c>
      <c r="D88">
        <v>1</v>
      </c>
      <c r="E88">
        <v>0</v>
      </c>
      <c r="F88">
        <v>1</v>
      </c>
      <c r="G88" t="b">
        <f t="shared" si="68"/>
        <v>1</v>
      </c>
      <c r="H88" t="s">
        <v>2335</v>
      </c>
      <c r="I88" t="s">
        <v>205</v>
      </c>
      <c r="J88">
        <v>300</v>
      </c>
      <c r="K88">
        <v>77</v>
      </c>
      <c r="L88">
        <v>11</v>
      </c>
      <c r="M88" t="str">
        <f>IF([12]NDCs!AL90="Excluding","excl","incl")</f>
        <v>incl</v>
      </c>
      <c r="N88" s="160">
        <f>[12]GHG_hist!BA78+IF($M88="incl",[12]LULUCF_hist!CR78,0)</f>
        <v>101.4605590646911</v>
      </c>
      <c r="O88" s="111">
        <f>[12]GHG_hist!BB78+IF($M88="incl",[12]LULUCF_hist!CS78,0)</f>
        <v>101.37790311011682</v>
      </c>
      <c r="P88" s="111">
        <f>[12]GHG_hist!BC78+IF($M88="incl",[12]LULUCF_hist!CT78,0)</f>
        <v>102.39410321097819</v>
      </c>
      <c r="Q88" s="111">
        <f>[12]GHG_hist!BD78+IF($M88="incl",[12]LULUCF_hist!CU78,0)</f>
        <v>101.52006717593234</v>
      </c>
      <c r="R88" s="111">
        <f>[12]GHG_hist!BE78+IF($M88="incl",[12]LULUCF_hist!CV78,0)</f>
        <v>104.49975661212208</v>
      </c>
      <c r="S88" s="111">
        <f>[12]GHG_hist!BF78+IF($M88="incl",[12]LULUCF_hist!CW78,0)</f>
        <v>106.59933820029204</v>
      </c>
      <c r="T88" s="111">
        <f>[12]GHG_hist!BG78+IF($M88="incl",[12]LULUCF_hist!CX78,0)</f>
        <v>110.35258073104933</v>
      </c>
      <c r="U88" s="111">
        <f>[12]GHG_hist!BH78+IF($M88="incl",[12]LULUCF_hist!CY78,0)</f>
        <v>115.51170202528428</v>
      </c>
      <c r="V88" s="111">
        <f>[12]GHG_hist!BI78+IF($M88="incl",[12]LULUCF_hist!CZ78,0)</f>
        <v>121.02801491528307</v>
      </c>
      <c r="W88" s="111">
        <f>[12]GHG_hist!BJ78+IF($M88="incl",[12]LULUCF_hist!DA78,0)</f>
        <v>120.68537203310709</v>
      </c>
      <c r="X88" s="111">
        <f>[12]GHG_hist!BK78+IF($M88="incl",[12]LULUCF_hist!DB78,0)</f>
        <v>124.26448045647321</v>
      </c>
      <c r="Y88" s="111">
        <f>[12]GHG_hist!BL78+IF($M88="incl",[12]LULUCF_hist!DC78,0)</f>
        <v>125.1935930795137</v>
      </c>
      <c r="Z88" s="111">
        <f>[12]GHG_hist!BM78+IF($M88="incl",[12]LULUCF_hist!DD78,0)</f>
        <v>124.84415329325742</v>
      </c>
      <c r="AA88" s="111">
        <f>[12]GHG_hist!BN78+IF($M88="incl",[12]LULUCF_hist!DE78,0)</f>
        <v>128.8287816681881</v>
      </c>
      <c r="AB88" s="111">
        <f>[12]GHG_hist!BO78+IF($M88="incl",[12]LULUCF_hist!DF78,0)</f>
        <v>129.48770085628965</v>
      </c>
      <c r="AC88" s="111">
        <f>[12]GHG_hist!BP78+IF($M88="incl",[12]LULUCF_hist!DG78,0)</f>
        <v>133.11255386808352</v>
      </c>
      <c r="AD88" s="111">
        <f>[12]GHG_hist!BQ78+IF($M88="incl",[12]LULUCF_hist!DH78,0)</f>
        <v>129.12406628740916</v>
      </c>
      <c r="AE88" s="111">
        <f>[12]GHG_hist!BR78+IF($M88="incl",[12]LULUCF_hist!DI78,0)</f>
        <v>133.0831768748719</v>
      </c>
      <c r="AF88" s="111">
        <f>[12]GHG_hist!BS78+IF($M88="incl",[12]LULUCF_hist!DJ78,0)</f>
        <v>128.68562943953856</v>
      </c>
      <c r="AG88" s="111">
        <f>[12]GHG_hist!BT78+IF($M88="incl",[12]LULUCF_hist!DK78,0)</f>
        <v>121.37498677881213</v>
      </c>
      <c r="AH88" s="111">
        <f>[12]GHG_hist!BU78+IF($M88="incl",[12]LULUCF_hist!DL78,0)</f>
        <v>115.32692488170646</v>
      </c>
      <c r="AI88" s="111">
        <f>[12]GHG_hist!BV78+IF($M88="incl",[12]LULUCF_hist!DM78,0)</f>
        <v>112.24374272333085</v>
      </c>
      <c r="AJ88" s="111">
        <f>[12]GHG_hist!BW78+IF($M88="incl",[12]LULUCF_hist!DN78,0)</f>
        <v>108.9433673532117</v>
      </c>
      <c r="AK88" s="111">
        <f>[12]GHG_hist!BX78+IF($M88="incl",[12]LULUCF_hist!DO78,0)</f>
        <v>100.84819891637677</v>
      </c>
      <c r="AL88" s="111">
        <f>[12]GHG_hist!BY78+IF($M88="incl",[12]LULUCF_hist!DP78,0)</f>
        <v>98.832254848609267</v>
      </c>
      <c r="AM88" s="111">
        <f>[12]GHG_hist!BZ78+IF($M88="incl",[12]LULUCF_hist!DQ78,0)</f>
        <v>91.34881282262927</v>
      </c>
      <c r="AN88" s="111">
        <f>[12]GHG_hist!CA78+IF($M88="incl",[12]LULUCF_hist!DR78,0)</f>
        <v>87.909761124682319</v>
      </c>
      <c r="AO88" s="111">
        <f>[12]GHG_hist!CB78+IF($M88="incl",[12]LULUCF_hist!DS78,0)</f>
        <v>91.670559839697589</v>
      </c>
      <c r="AP88" s="111">
        <f>[12]GHG_hist!CC78+IF($M88="incl",[12]LULUCF_hist!DT78,0)</f>
        <v>87.5436818605817</v>
      </c>
      <c r="AQ88" s="111">
        <f>[12]GHG_hist!CD78+IF($M88="incl",[12]LULUCF_hist!DU78,0)</f>
        <v>80.380541781162961</v>
      </c>
      <c r="AR88" s="111">
        <f>[12]GHG_hist!CE78+IF($M88="incl",[12]LULUCF_hist!DV78,0)</f>
        <v>69.68206413939177</v>
      </c>
      <c r="AS88" s="111">
        <f>[12]GHG_hist!CF78+IF($M88="incl",[12]LULUCF_hist!DW78,0)</f>
        <v>71.583384718583304</v>
      </c>
      <c r="AT88" s="161">
        <f>VLOOKUP($L88,'[12]IMAGE SSP2'!$AF$3:$AK$29,4,FALSE)*$AM88</f>
        <v>88.827352645571153</v>
      </c>
      <c r="AU88" s="162">
        <f>VLOOKUP($L88,'[12]IMAGE SSP2'!$AF$3:$AK$29,5,FALSE)*$AM88</f>
        <v>85.887048449747198</v>
      </c>
      <c r="AV88" s="163">
        <f>VLOOKUP($L88,'[12]IMAGE SSP2'!$AF$3:$AK$29,6,FALSE)*$AM88</f>
        <v>85.409161553628692</v>
      </c>
      <c r="AW88" s="111" t="str">
        <f t="shared" si="75"/>
        <v/>
      </c>
      <c r="AX88" s="164" t="str">
        <f>IF(A88="B",IF(M88="excl",[12]NatCom!CO78,[12]NatCom!AX78),"")</f>
        <v/>
      </c>
      <c r="AY88" s="111" t="str">
        <f>IF('[12]Pledge 2020'!E78="","",'[12]Pledge 2020'!E78)</f>
        <v/>
      </c>
      <c r="AZ88" s="164" t="str">
        <f>IF('[12]Pledge 2020'!F78="","",'[12]Pledge 2020'!F78)</f>
        <v/>
      </c>
      <c r="BA88" s="111" t="str">
        <f t="shared" si="51"/>
        <v/>
      </c>
      <c r="BB88" s="111"/>
      <c r="BC88" s="111" t="str">
        <f t="shared" si="52"/>
        <v/>
      </c>
      <c r="BD88" s="111"/>
      <c r="BE88" s="111" t="s">
        <v>2477</v>
      </c>
      <c r="BF88" s="111"/>
      <c r="BG88" s="111" t="s">
        <v>2477</v>
      </c>
      <c r="BH88" s="164"/>
      <c r="BI88" s="111" t="str">
        <f>IF([12]NDCs!V90="",IF([12]NDCs!X90="","",[12]NDCs!X90),[12]NDCs!V90)</f>
        <v/>
      </c>
      <c r="BJ88" s="111" t="str">
        <f>IF([12]NDCs!V90="",IF([12]NDCs!X90="","",[12]NDCs!X90),[12]NDCs!V90)</f>
        <v/>
      </c>
      <c r="BK88" s="111" t="str">
        <f>IF([12]NDCs!Z90="",IF([12]NDCs!AB90="",IF('input site'!BE88="","",'input site'!BE88),[12]NDCs!AB90),[12]NDCs!Z90)</f>
        <v/>
      </c>
      <c r="BL88" s="111" t="str">
        <f>IF([12]NDCs!AA90="",IF([12]NDCs!AC90="",IF('input site'!BF88="","",'input site'!BF88),[12]NDCs!AC90),[12]NDCs!AA90)</f>
        <v/>
      </c>
      <c r="BM88" s="111">
        <f>IF($BI$8=2015,VLOOKUP($L88,'[12]IMAGE CurPol SSP'!$AZ$3:$BD$29,4,FALSE)*$AM88,IF($BI$8=2018,VLOOKUP($L88,'[12]IMAGE CurPol SSP'!$BJ$3:$BN$29,4,FALSE)*$AP88,$AR88))</f>
        <v>69.68206413939177</v>
      </c>
      <c r="BN88" s="111">
        <f t="shared" si="57"/>
        <v>69.68206413939177</v>
      </c>
      <c r="BO88" s="111">
        <f t="shared" si="57"/>
        <v>69.68206413939177</v>
      </c>
      <c r="BP88" s="111">
        <f>IF($BI$8=2015,VLOOKUP($L88,'[12]IMAGE CurPol SSP'!$AZ$3:$BD$29,5,FALSE)*$AM88,IF($BI$8=2018,VLOOKUP($L88,'[12]IMAGE CurPol SSP'!$BJ$3:$BN$29,5,FALSE)*$AP88,VLOOKUP($L88,'[12]IMAGE CurPol SSP'!$BU$3:$BZ$29,5,FALSE)*$AS88))</f>
        <v>58.064121591633722</v>
      </c>
      <c r="BQ88" s="111">
        <f>IF($BI$8=2015,"",IF($BI$8=2018,"",VLOOKUP($L88,'[12]IMAGE CurPol SSP'!$CQ$3:$CV$29,5,FALSE)*$AS88))</f>
        <v>56.431450325604644</v>
      </c>
      <c r="BR88" s="111">
        <f>IF($BI$8=2015,"",IF($BI$8=2018,"",VLOOKUP($L88,'[12]IMAGE CurPol SSP'!$CF$3:$CK$29,5,FALSE)*$AS88))</f>
        <v>59.055692950426241</v>
      </c>
      <c r="BS88" s="111">
        <f>IF($BI$8=2015,VLOOKUP($L88,'[12]IMAGE CurPol SSP'!$AZ$3:$BE$29,6,FALSE)*$AM88,IF($BI$8=2018,VLOOKUP($L88,'[12]IMAGE CurPol SSP'!$BJ$3:$BO$29,6,FALSE)*$AP88,VLOOKUP($L88,'[12]IMAGE CurPol SSP'!$BU$3:$BZ$29,6,FALSE)*$AS88))</f>
        <v>39.939914284642157</v>
      </c>
      <c r="BT88" s="111">
        <f>IF($BI$8=2015,"",IF($BI$8=2018,"",VLOOKUP($L88,'[12]IMAGE CurPol SSP'!$CQ$3:$CV$29,6,FALSE)*$AS88))</f>
        <v>37.350125375736866</v>
      </c>
      <c r="BU88" s="164">
        <f>IF($BI$8=2015,"",IF($BI$8=2018,"",VLOOKUP($L88,'[12]IMAGE CurPol SSP'!$CF$3:$CK$29,6,FALSE)*$AS88))</f>
        <v>41.974788060389365</v>
      </c>
      <c r="CN88" t="s">
        <v>205</v>
      </c>
      <c r="CO88" s="165" t="str">
        <f t="shared" si="69"/>
        <v/>
      </c>
      <c r="CP88" s="165" t="str">
        <f t="shared" si="69"/>
        <v/>
      </c>
      <c r="CQ88" s="165" t="str">
        <f t="shared" si="69"/>
        <v/>
      </c>
      <c r="CR88" s="165" t="str">
        <f t="shared" si="65"/>
        <v/>
      </c>
      <c r="CV88" s="125" t="s">
        <v>621</v>
      </c>
      <c r="CW88" s="125" t="s">
        <v>621</v>
      </c>
      <c r="CX88"/>
      <c r="CY88" s="167">
        <f t="shared" si="70"/>
        <v>19.145288506179384</v>
      </c>
      <c r="DB88" s="106"/>
      <c r="DC88" s="106"/>
      <c r="DD88" s="106"/>
      <c r="DE88" s="106"/>
      <c r="DF88" s="106"/>
      <c r="DG88" s="105" t="str">
        <f t="shared" si="71"/>
        <v>incl</v>
      </c>
      <c r="DH88" t="s">
        <v>205</v>
      </c>
      <c r="DI88" s="111">
        <f t="shared" si="58"/>
        <v>0</v>
      </c>
      <c r="DJ88" s="111">
        <f t="shared" si="58"/>
        <v>0</v>
      </c>
      <c r="DK88" s="111">
        <f t="shared" si="59"/>
        <v>0</v>
      </c>
      <c r="DL88" s="111">
        <f t="shared" si="60"/>
        <v>0</v>
      </c>
      <c r="DM88" s="111">
        <f t="shared" si="61"/>
        <v>0</v>
      </c>
      <c r="DN88" s="111">
        <f t="shared" si="62"/>
        <v>0</v>
      </c>
      <c r="DO88" s="111">
        <f t="shared" si="63"/>
        <v>0</v>
      </c>
      <c r="DP88" s="111">
        <f t="shared" si="64"/>
        <v>0</v>
      </c>
      <c r="DQ88" s="106"/>
      <c r="DR88" s="106"/>
      <c r="DS88" s="111"/>
      <c r="DT88" s="168"/>
      <c r="DW88" s="111">
        <f t="shared" si="72"/>
        <v>39.939914284642157</v>
      </c>
      <c r="DX88" s="111">
        <f t="shared" si="72"/>
        <v>39.939914284642157</v>
      </c>
      <c r="DY88" s="111">
        <f t="shared" si="72"/>
        <v>39.939914284642157</v>
      </c>
      <c r="DZ88" s="111">
        <f t="shared" si="66"/>
        <v>39.939914284642157</v>
      </c>
      <c r="EP88" t="s">
        <v>205</v>
      </c>
      <c r="ER88" s="111">
        <f t="shared" si="73"/>
        <v>87.5436818605817</v>
      </c>
      <c r="ES88" s="111">
        <f>IF($BI$8=2015,VLOOKUP($L88,'[12]IMAGE CDLINKS CurPol'!$P$3:$Y$29,10,FALSE)*$AM88,VLOOKUP($L88,'[12]IMAGE CDLINKS CurPol'!$Z$3:$AI$29,10,FALSE)*$AP88)</f>
        <v>83.888144626749181</v>
      </c>
      <c r="ET88" s="111">
        <f t="shared" si="74"/>
        <v>83.888144626749181</v>
      </c>
      <c r="EU88" s="111">
        <f t="shared" si="76"/>
        <v>17.87314845621491</v>
      </c>
      <c r="EV88" s="111">
        <f>IF($BI$8=2015,VLOOKUP($L88,'[12]IMAGE CDLINKS 2C'!$P$3:$Y$29,10,FALSE)*$AM88,VLOOKUP($L88,'[12]IMAGE CDLINKS 2C'!$Z$3:$AI$29,10,FALSE)*$AP88)</f>
        <v>17.87314845621491</v>
      </c>
      <c r="EY88" s="111">
        <f t="shared" si="77"/>
        <v>9.8860656412428227</v>
      </c>
      <c r="EZ88" s="111">
        <f>IF($BI$8=2015,VLOOKUP($L88,'[12]IMAGE CDLINKS 1_5C'!$P$3:$Y$29,10,FALSE)*$AM88,VLOOKUP($L88,'[12]IMAGE CDLINKS 1_5C'!$Z$3:$AI$29,10,FALSE)*$AP88)</f>
        <v>9.8860656412428227</v>
      </c>
      <c r="FA88" s="192" t="s">
        <v>2338</v>
      </c>
    </row>
    <row r="89" spans="1:157" x14ac:dyDescent="0.25">
      <c r="A89" t="str">
        <f>IF([12]NDCs!C91="","",[12]NDCs!C91)</f>
        <v/>
      </c>
      <c r="B89" s="159" t="str">
        <f t="shared" si="67"/>
        <v>v</v>
      </c>
      <c r="C89">
        <v>0</v>
      </c>
      <c r="D89">
        <v>0</v>
      </c>
      <c r="E89">
        <v>0</v>
      </c>
      <c r="F89">
        <v>0</v>
      </c>
      <c r="G89" t="b">
        <f t="shared" si="68"/>
        <v>0</v>
      </c>
      <c r="H89" t="s">
        <v>2328</v>
      </c>
      <c r="I89" t="s">
        <v>207</v>
      </c>
      <c r="J89">
        <v>304</v>
      </c>
      <c r="K89">
        <v>78</v>
      </c>
      <c r="L89">
        <v>25</v>
      </c>
      <c r="M89" t="str">
        <f>IF([12]NDCs!AL91="Excluding","excl","incl")</f>
        <v>excl</v>
      </c>
      <c r="N89" s="160">
        <f>[12]GHG_hist!BA79+IF($M89="incl",[12]LULUCF_hist!CR79,0)</f>
        <v>0</v>
      </c>
      <c r="O89" s="111">
        <f>[12]GHG_hist!BB79+IF($M89="incl",[12]LULUCF_hist!CS79,0)</f>
        <v>0</v>
      </c>
      <c r="P89" s="111">
        <f>[12]GHG_hist!BC79+IF($M89="incl",[12]LULUCF_hist!CT79,0)</f>
        <v>0</v>
      </c>
      <c r="Q89" s="111">
        <f>[12]GHG_hist!BD79+IF($M89="incl",[12]LULUCF_hist!CU79,0)</f>
        <v>0</v>
      </c>
      <c r="R89" s="111">
        <f>[12]GHG_hist!BE79+IF($M89="incl",[12]LULUCF_hist!CV79,0)</f>
        <v>0</v>
      </c>
      <c r="S89" s="111">
        <f>[12]GHG_hist!BF79+IF($M89="incl",[12]LULUCF_hist!CW79,0)</f>
        <v>0</v>
      </c>
      <c r="T89" s="111">
        <f>[12]GHG_hist!BG79+IF($M89="incl",[12]LULUCF_hist!CX79,0)</f>
        <v>0</v>
      </c>
      <c r="U89" s="111">
        <f>[12]GHG_hist!BH79+IF($M89="incl",[12]LULUCF_hist!CY79,0)</f>
        <v>0</v>
      </c>
      <c r="V89" s="111">
        <f>[12]GHG_hist!BI79+IF($M89="incl",[12]LULUCF_hist!CZ79,0)</f>
        <v>0</v>
      </c>
      <c r="W89" s="111">
        <f>[12]GHG_hist!BJ79+IF($M89="incl",[12]LULUCF_hist!DA79,0)</f>
        <v>0</v>
      </c>
      <c r="X89" s="111">
        <f>[12]GHG_hist!BK79+IF($M89="incl",[12]LULUCF_hist!DB79,0)</f>
        <v>0</v>
      </c>
      <c r="Y89" s="111">
        <f>[12]GHG_hist!BL79+IF($M89="incl",[12]LULUCF_hist!DC79,0)</f>
        <v>0</v>
      </c>
      <c r="Z89" s="111">
        <f>[12]GHG_hist!BM79+IF($M89="incl",[12]LULUCF_hist!DD79,0)</f>
        <v>0</v>
      </c>
      <c r="AA89" s="111">
        <f>[12]GHG_hist!BN79+IF($M89="incl",[12]LULUCF_hist!DE79,0)</f>
        <v>0</v>
      </c>
      <c r="AB89" s="111">
        <f>[12]GHG_hist!BO79+IF($M89="incl",[12]LULUCF_hist!DF79,0)</f>
        <v>0</v>
      </c>
      <c r="AC89" s="111">
        <f>[12]GHG_hist!BP79+IF($M89="incl",[12]LULUCF_hist!DG79,0)</f>
        <v>0</v>
      </c>
      <c r="AD89" s="111">
        <f>[12]GHG_hist!BQ79+IF($M89="incl",[12]LULUCF_hist!DH79,0)</f>
        <v>0</v>
      </c>
      <c r="AE89" s="111">
        <f>[12]GHG_hist!BR79+IF($M89="incl",[12]LULUCF_hist!DI79,0)</f>
        <v>0</v>
      </c>
      <c r="AF89" s="111">
        <f>[12]GHG_hist!BS79+IF($M89="incl",[12]LULUCF_hist!DJ79,0)</f>
        <v>0</v>
      </c>
      <c r="AG89" s="111">
        <f>[12]GHG_hist!BT79+IF($M89="incl",[12]LULUCF_hist!DK79,0)</f>
        <v>0</v>
      </c>
      <c r="AH89" s="111">
        <f>[12]GHG_hist!BU79+IF($M89="incl",[12]LULUCF_hist!DL79,0)</f>
        <v>0</v>
      </c>
      <c r="AI89" s="111">
        <f>[12]GHG_hist!BV79+IF($M89="incl",[12]LULUCF_hist!DM79,0)</f>
        <v>0</v>
      </c>
      <c r="AJ89" s="111">
        <f>[12]GHG_hist!BW79+IF($M89="incl",[12]LULUCF_hist!DN79,0)</f>
        <v>0</v>
      </c>
      <c r="AK89" s="111">
        <f>[12]GHG_hist!BX79+IF($M89="incl",[12]LULUCF_hist!DO79,0)</f>
        <v>0</v>
      </c>
      <c r="AL89" s="111">
        <f>[12]GHG_hist!BY79+IF($M89="incl",[12]LULUCF_hist!DP79,0)</f>
        <v>0</v>
      </c>
      <c r="AM89" s="111">
        <f>[12]GHG_hist!BZ79+IF($M89="incl",[12]LULUCF_hist!DQ79,0)</f>
        <v>0</v>
      </c>
      <c r="AN89" s="111">
        <f>[12]GHG_hist!CA79+IF($M89="incl",[12]LULUCF_hist!DR79,0)</f>
        <v>0</v>
      </c>
      <c r="AO89" s="111">
        <f>[12]GHG_hist!CB79+IF($M89="incl",[12]LULUCF_hist!DS79,0)</f>
        <v>0</v>
      </c>
      <c r="AP89" s="111">
        <f>[12]GHG_hist!CC79+IF($M89="incl",[12]LULUCF_hist!DT79,0)</f>
        <v>0</v>
      </c>
      <c r="AQ89" s="111">
        <f>[12]GHG_hist!CD79+IF($M89="incl",[12]LULUCF_hist!DU79,0)</f>
        <v>0</v>
      </c>
      <c r="AR89" s="111">
        <f>[12]GHG_hist!CE79+IF($M89="incl",[12]LULUCF_hist!DV79,0)</f>
        <v>0</v>
      </c>
      <c r="AS89" s="111">
        <f>[12]GHG_hist!CF79+IF($M89="incl",[12]LULUCF_hist!DW79,0)</f>
        <v>0</v>
      </c>
      <c r="AT89" s="161">
        <f>VLOOKUP($L89,'[12]IMAGE SSP2'!$AF$3:$AK$29,4,FALSE)*$AM89</f>
        <v>0</v>
      </c>
      <c r="AU89" s="162">
        <f>VLOOKUP($L89,'[12]IMAGE SSP2'!$AF$3:$AK$29,5,FALSE)*$AM89</f>
        <v>0</v>
      </c>
      <c r="AV89" s="163">
        <f>VLOOKUP($L89,'[12]IMAGE SSP2'!$AF$3:$AK$29,6,FALSE)*$AM89</f>
        <v>0</v>
      </c>
      <c r="AW89" s="111" t="str">
        <f t="shared" si="75"/>
        <v/>
      </c>
      <c r="AX89" s="164" t="str">
        <f>IF(A89="B",IF(M89="excl",[12]NatCom!CO79,[12]NatCom!AX79),"")</f>
        <v/>
      </c>
      <c r="AY89" s="111" t="str">
        <f>IF('[12]Pledge 2020'!E79="","",'[12]Pledge 2020'!E79)</f>
        <v/>
      </c>
      <c r="AZ89" s="164" t="str">
        <f>IF('[12]Pledge 2020'!F79="","",'[12]Pledge 2020'!F79)</f>
        <v/>
      </c>
      <c r="BA89" s="111" t="str">
        <f t="shared" si="51"/>
        <v/>
      </c>
      <c r="BB89" s="111"/>
      <c r="BC89" s="111" t="str">
        <f t="shared" si="52"/>
        <v/>
      </c>
      <c r="BD89" s="111"/>
      <c r="BE89" s="111" t="s">
        <v>2477</v>
      </c>
      <c r="BF89" s="111"/>
      <c r="BG89" s="111" t="s">
        <v>2477</v>
      </c>
      <c r="BH89" s="164"/>
      <c r="BI89" s="111" t="str">
        <f>IF([12]NDCs!V91="",IF([12]NDCs!X91="","",[12]NDCs!X91),[12]NDCs!V91)</f>
        <v/>
      </c>
      <c r="BJ89" s="111" t="str">
        <f>IF([12]NDCs!V91="",IF([12]NDCs!X91="","",[12]NDCs!X91),[12]NDCs!V91)</f>
        <v/>
      </c>
      <c r="BK89" s="111" t="str">
        <f>IF([12]NDCs!Z91="",IF([12]NDCs!AB91="",IF('input site'!BE89="","",'input site'!BE89),[12]NDCs!AB91),[12]NDCs!Z91)</f>
        <v/>
      </c>
      <c r="BL89" s="111" t="str">
        <f>IF([12]NDCs!AA91="",IF([12]NDCs!AC91="",IF('input site'!BF89="","",'input site'!BF89),[12]NDCs!AC91),[12]NDCs!AA91)</f>
        <v/>
      </c>
      <c r="BM89" s="111">
        <f>IF($BI$8=2015,VLOOKUP($L89,'[12]IMAGE CurPol SSP'!$AZ$3:$BD$29,4,FALSE)*$AM89,IF($BI$8=2018,VLOOKUP($L89,'[12]IMAGE CurPol SSP'!$BJ$3:$BN$29,4,FALSE)*$AP89,$AR89))</f>
        <v>0</v>
      </c>
      <c r="BN89" s="111">
        <f t="shared" si="57"/>
        <v>0</v>
      </c>
      <c r="BO89" s="111">
        <f t="shared" si="57"/>
        <v>0</v>
      </c>
      <c r="BP89" s="111">
        <f>IF($BI$8=2015,VLOOKUP($L89,'[12]IMAGE CurPol SSP'!$AZ$3:$BD$29,5,FALSE)*$AM89,IF($BI$8=2018,VLOOKUP($L89,'[12]IMAGE CurPol SSP'!$BJ$3:$BN$29,5,FALSE)*$AP89,VLOOKUP($L89,'[12]IMAGE CurPol SSP'!$BU$3:$BZ$29,5,FALSE)*$AS89))</f>
        <v>0</v>
      </c>
      <c r="BQ89" s="111">
        <f>IF($BI$8=2015,"",IF($BI$8=2018,"",VLOOKUP($L89,'[12]IMAGE CurPol SSP'!$CQ$3:$CV$29,5,FALSE)*$AS89))</f>
        <v>0</v>
      </c>
      <c r="BR89" s="111">
        <f>IF($BI$8=2015,"",IF($BI$8=2018,"",VLOOKUP($L89,'[12]IMAGE CurPol SSP'!$CF$3:$CK$29,5,FALSE)*$AS89))</f>
        <v>0</v>
      </c>
      <c r="BS89" s="111">
        <f>IF($BI$8=2015,VLOOKUP($L89,'[12]IMAGE CurPol SSP'!$AZ$3:$BE$29,6,FALSE)*$AM89,IF($BI$8=2018,VLOOKUP($L89,'[12]IMAGE CurPol SSP'!$BJ$3:$BO$29,6,FALSE)*$AP89,VLOOKUP($L89,'[12]IMAGE CurPol SSP'!$BU$3:$BZ$29,6,FALSE)*$AS89))</f>
        <v>0</v>
      </c>
      <c r="BT89" s="111">
        <f>IF($BI$8=2015,"",IF($BI$8=2018,"",VLOOKUP($L89,'[12]IMAGE CurPol SSP'!$CQ$3:$CV$29,6,FALSE)*$AS89))</f>
        <v>0</v>
      </c>
      <c r="BU89" s="164">
        <f>IF($BI$8=2015,"",IF($BI$8=2018,"",VLOOKUP($L89,'[12]IMAGE CurPol SSP'!$CF$3:$CK$29,6,FALSE)*$AS89))</f>
        <v>0</v>
      </c>
      <c r="CN89" t="s">
        <v>207</v>
      </c>
      <c r="CO89" s="165" t="str">
        <f t="shared" si="69"/>
        <v/>
      </c>
      <c r="CP89" s="165" t="str">
        <f t="shared" si="69"/>
        <v/>
      </c>
      <c r="CQ89" s="165" t="str">
        <f t="shared" si="69"/>
        <v/>
      </c>
      <c r="CR89" s="165" t="str">
        <f t="shared" si="65"/>
        <v/>
      </c>
      <c r="CV89" s="125" t="s">
        <v>621</v>
      </c>
      <c r="CW89" s="125" t="s">
        <v>621</v>
      </c>
      <c r="CX89" s="165">
        <f>AP89/$AP$255</f>
        <v>0</v>
      </c>
      <c r="CY89" s="167">
        <f t="shared" si="70"/>
        <v>0</v>
      </c>
      <c r="DB89" s="106"/>
      <c r="DC89" s="106"/>
      <c r="DD89" s="106"/>
      <c r="DE89" s="106"/>
      <c r="DF89" s="106"/>
      <c r="DG89" s="105" t="str">
        <f t="shared" si="71"/>
        <v>excl</v>
      </c>
      <c r="DH89" t="s">
        <v>207</v>
      </c>
      <c r="DI89" s="111">
        <f t="shared" si="58"/>
        <v>0</v>
      </c>
      <c r="DJ89" s="111">
        <f t="shared" si="58"/>
        <v>0</v>
      </c>
      <c r="DK89" s="111">
        <f t="shared" si="59"/>
        <v>0</v>
      </c>
      <c r="DL89" s="111">
        <f t="shared" si="60"/>
        <v>0</v>
      </c>
      <c r="DM89" s="111">
        <f t="shared" si="61"/>
        <v>0</v>
      </c>
      <c r="DN89" s="111">
        <f t="shared" si="62"/>
        <v>0</v>
      </c>
      <c r="DO89" s="111">
        <f t="shared" si="63"/>
        <v>0</v>
      </c>
      <c r="DP89" s="111">
        <f t="shared" si="64"/>
        <v>0</v>
      </c>
      <c r="DQ89" s="106"/>
      <c r="DR89" s="106"/>
      <c r="DS89" s="111"/>
      <c r="DT89" s="168"/>
      <c r="DW89" s="111">
        <f t="shared" si="72"/>
        <v>0</v>
      </c>
      <c r="DX89" s="111">
        <f t="shared" si="72"/>
        <v>0</v>
      </c>
      <c r="DY89" s="111">
        <f t="shared" si="72"/>
        <v>0</v>
      </c>
      <c r="DZ89" s="111">
        <f t="shared" si="66"/>
        <v>0</v>
      </c>
      <c r="EP89" t="s">
        <v>207</v>
      </c>
      <c r="EQ89">
        <v>0</v>
      </c>
      <c r="ER89" s="111">
        <f t="shared" si="73"/>
        <v>0</v>
      </c>
      <c r="ES89" s="111">
        <f>IF($BI$8=2015,VLOOKUP($L89,'[12]IMAGE CDLINKS CurPol'!$P$3:$Y$29,10,FALSE)*$AM89,VLOOKUP($L89,'[12]IMAGE CDLINKS CurPol'!$Z$3:$AI$29,10,FALSE)*$AP89)</f>
        <v>0</v>
      </c>
      <c r="ET89" s="111">
        <f t="shared" si="74"/>
        <v>0</v>
      </c>
      <c r="EU89" s="111">
        <f t="shared" si="76"/>
        <v>0</v>
      </c>
      <c r="EV89" s="111">
        <f>IF($BI$8=2015,VLOOKUP($L89,'[12]IMAGE CDLINKS 2C'!$P$3:$Y$29,10,FALSE)*$AM89,VLOOKUP($L89,'[12]IMAGE CDLINKS 2C'!$Z$3:$AI$29,10,FALSE)*$AP89)</f>
        <v>0</v>
      </c>
      <c r="EY89" s="111">
        <f t="shared" si="77"/>
        <v>0</v>
      </c>
      <c r="EZ89" s="111">
        <f>IF($BI$8=2015,VLOOKUP($L89,'[12]IMAGE CDLINKS 1_5C'!$P$3:$Y$29,10,FALSE)*$AM89,VLOOKUP($L89,'[12]IMAGE CDLINKS 1_5C'!$Z$3:$AI$29,10,FALSE)*$AP89)</f>
        <v>0</v>
      </c>
      <c r="FA89" s="192"/>
    </row>
    <row r="90" spans="1:157" x14ac:dyDescent="0.25">
      <c r="A90" t="str">
        <f>IF([12]NDCs!C92="","",[12]NDCs!C92)</f>
        <v>A</v>
      </c>
      <c r="B90" s="159" t="str">
        <f t="shared" si="67"/>
        <v>v</v>
      </c>
      <c r="C90">
        <v>0</v>
      </c>
      <c r="D90">
        <v>0</v>
      </c>
      <c r="E90">
        <v>0</v>
      </c>
      <c r="F90">
        <v>1</v>
      </c>
      <c r="G90" t="b">
        <f t="shared" si="68"/>
        <v>1</v>
      </c>
      <c r="H90" t="s">
        <v>2328</v>
      </c>
      <c r="I90" t="s">
        <v>209</v>
      </c>
      <c r="J90">
        <v>308</v>
      </c>
      <c r="K90">
        <v>79</v>
      </c>
      <c r="L90">
        <v>4</v>
      </c>
      <c r="M90" t="str">
        <f>IF([12]NDCs!AL92="Excluding","excl","incl")</f>
        <v>excl</v>
      </c>
      <c r="N90" s="160">
        <f>[12]GHG_hist!BA80+IF($M90="incl",[12]LULUCF_hist!CR80,0)</f>
        <v>0.15468773</v>
      </c>
      <c r="O90" s="111">
        <f>[12]GHG_hist!BB80+IF($M90="incl",[12]LULUCF_hist!CS80,0)</f>
        <v>0.15856919</v>
      </c>
      <c r="P90" s="111">
        <f>[12]GHG_hist!BC80+IF($M90="incl",[12]LULUCF_hist!CT80,0)</f>
        <v>0.16589640999999999</v>
      </c>
      <c r="Q90" s="111">
        <f>[12]GHG_hist!BD80+IF($M90="incl",[12]LULUCF_hist!CU80,0)</f>
        <v>0.16985697</v>
      </c>
      <c r="R90" s="111">
        <f>[12]GHG_hist!BE80+IF($M90="incl",[12]LULUCF_hist!CV80,0)</f>
        <v>0.19178742000000001</v>
      </c>
      <c r="S90" s="111">
        <f>[12]GHG_hist!BF80+IF($M90="incl",[12]LULUCF_hist!CW80,0)</f>
        <v>0.20484532</v>
      </c>
      <c r="T90" s="111">
        <f>[12]GHG_hist!BG80+IF($M90="incl",[12]LULUCF_hist!CX80,0)</f>
        <v>0.21388007000000001</v>
      </c>
      <c r="U90" s="111">
        <f>[12]GHG_hist!BH80+IF($M90="incl",[12]LULUCF_hist!CY80,0)</f>
        <v>0.23447549000000001</v>
      </c>
      <c r="V90" s="111">
        <f>[12]GHG_hist!BI80+IF($M90="incl",[12]LULUCF_hist!CZ80,0)</f>
        <v>0.24729720000000002</v>
      </c>
      <c r="W90" s="111">
        <f>[12]GHG_hist!BJ80+IF($M90="incl",[12]LULUCF_hist!DA80,0)</f>
        <v>0.27420424000000004</v>
      </c>
      <c r="X90" s="111">
        <f>[12]GHG_hist!BK80+IF($M90="incl",[12]LULUCF_hist!DB80,0)</f>
        <v>0.27223950000000002</v>
      </c>
      <c r="Y90" s="111">
        <f>[12]GHG_hist!BL80+IF($M90="incl",[12]LULUCF_hist!DC80,0)</f>
        <v>0.28270000000000001</v>
      </c>
      <c r="Z90" s="111">
        <f>[12]GHG_hist!BM80+IF($M90="incl",[12]LULUCF_hist!DD80,0)</f>
        <v>0.29460000000000003</v>
      </c>
      <c r="AA90" s="111">
        <f>[12]GHG_hist!BN80+IF($M90="incl",[12]LULUCF_hist!DE80,0)</f>
        <v>0.30869999999999997</v>
      </c>
      <c r="AB90" s="111">
        <f>[12]GHG_hist!BO80+IF($M90="incl",[12]LULUCF_hist!DF80,0)</f>
        <v>0.30469999999999997</v>
      </c>
      <c r="AC90" s="111">
        <f>[12]GHG_hist!BP80+IF($M90="incl",[12]LULUCF_hist!DG80,0)</f>
        <v>0.32037927000000005</v>
      </c>
      <c r="AD90" s="111">
        <f>[12]GHG_hist!BQ80+IF($M90="incl",[12]LULUCF_hist!DH80,0)</f>
        <v>0.33900000000000002</v>
      </c>
      <c r="AE90" s="111">
        <f>[12]GHG_hist!BR80+IF($M90="incl",[12]LULUCF_hist!DI80,0)</f>
        <v>0.35392899</v>
      </c>
      <c r="AF90" s="111">
        <f>[12]GHG_hist!BS80+IF($M90="incl",[12]LULUCF_hist!DJ80,0)</f>
        <v>0.37690000000000001</v>
      </c>
      <c r="AG90" s="111">
        <f>[12]GHG_hist!BT80+IF($M90="incl",[12]LULUCF_hist!DK80,0)</f>
        <v>0.38039999999999996</v>
      </c>
      <c r="AH90" s="111">
        <f>[12]GHG_hist!BU80+IF($M90="incl",[12]LULUCF_hist!DL80,0)</f>
        <v>0.39931479000000003</v>
      </c>
      <c r="AI90" s="111">
        <f>[12]GHG_hist!BV80+IF($M90="incl",[12]LULUCF_hist!DM80,0)</f>
        <v>0.38619999999999999</v>
      </c>
      <c r="AJ90" s="111">
        <f>[12]GHG_hist!BW80+IF($M90="incl",[12]LULUCF_hist!DN80,0)</f>
        <v>0.41520000000000001</v>
      </c>
      <c r="AK90" s="111">
        <f>[12]GHG_hist!BX80+IF($M90="incl",[12]LULUCF_hist!DO80,0)</f>
        <v>0.4592</v>
      </c>
      <c r="AL90" s="111">
        <f>[12]GHG_hist!BY80+IF($M90="incl",[12]LULUCF_hist!DP80,0)</f>
        <v>0.41747241000000002</v>
      </c>
      <c r="AM90" s="111">
        <f>[12]GHG_hist!BZ80+IF($M90="incl",[12]LULUCF_hist!DQ80,0)</f>
        <v>0.46002609</v>
      </c>
      <c r="AN90" s="111">
        <f>[12]GHG_hist!CA80+IF($M90="incl",[12]LULUCF_hist!DR80,0)</f>
        <v>0.47644355000000005</v>
      </c>
      <c r="AO90" s="111">
        <f>[12]GHG_hist!CB80+IF($M90="incl",[12]LULUCF_hist!DS80,0)</f>
        <v>0.49615419999999999</v>
      </c>
      <c r="AP90" s="111">
        <f>[12]GHG_hist!CC80+IF($M90="incl",[12]LULUCF_hist!DT80,0)</f>
        <v>0.51234270000000004</v>
      </c>
      <c r="AQ90" s="111">
        <f>[12]GHG_hist!CD80+IF($M90="incl",[12]LULUCF_hist!DU80,0)</f>
        <v>0.52613958999999999</v>
      </c>
      <c r="AR90" s="111">
        <f>[12]GHG_hist!CE80+IF($M90="incl",[12]LULUCF_hist!DV80,0)</f>
        <v>0.50257372</v>
      </c>
      <c r="AS90" s="111">
        <f>[12]GHG_hist!CF80+IF($M90="incl",[12]LULUCF_hist!DW80,0)</f>
        <v>0.50727529000000005</v>
      </c>
      <c r="AT90" s="161">
        <f>VLOOKUP($L90,'[12]IMAGE SSP2'!$AF$3:$AK$29,4,FALSE)*$AM90</f>
        <v>0.52305467330673749</v>
      </c>
      <c r="AU90" s="162">
        <f>VLOOKUP($L90,'[12]IMAGE SSP2'!$AF$3:$AK$29,5,FALSE)*$AM90</f>
        <v>0.58517187124582004</v>
      </c>
      <c r="AV90" s="163">
        <f>VLOOKUP($L90,'[12]IMAGE SSP2'!$AF$3:$AK$29,6,FALSE)*$AM90</f>
        <v>0.61771697801768088</v>
      </c>
      <c r="AW90" s="111" t="str">
        <f t="shared" si="75"/>
        <v/>
      </c>
      <c r="AX90" s="164" t="str">
        <f>IF(A90="B",IF(M90="excl",[12]NatCom!CO80,[12]NatCom!AX80),"")</f>
        <v/>
      </c>
      <c r="AY90" s="111" t="str">
        <f>IF('[12]Pledge 2020'!E80="","",'[12]Pledge 2020'!E80)</f>
        <v/>
      </c>
      <c r="AZ90" s="164" t="str">
        <f>IF('[12]Pledge 2020'!F80="","",'[12]Pledge 2020'!F80)</f>
        <v/>
      </c>
      <c r="BA90" s="111">
        <f t="shared" si="51"/>
        <v>0.21307074749999999</v>
      </c>
      <c r="BB90" s="111">
        <f>IF(BF90="","",(BF90-AH90)*0.75+AH90)</f>
        <v>0.21307074749999999</v>
      </c>
      <c r="BC90" s="111">
        <f t="shared" si="52"/>
        <v>0.21307074749999999</v>
      </c>
      <c r="BD90" s="111">
        <f>IF(BH90="","",(BH90-AH90)*0.75+AH90)</f>
        <v>0.21307074749999999</v>
      </c>
      <c r="BE90" s="169">
        <v>0.1509894</v>
      </c>
      <c r="BF90" s="169">
        <v>0.1509894</v>
      </c>
      <c r="BG90" s="169">
        <v>0.1509894</v>
      </c>
      <c r="BH90" s="170">
        <v>0.1509894</v>
      </c>
      <c r="BI90" s="111">
        <f>IF([12]NDCs!V92="",IF([12]NDCs!X92="","",[12]NDCs!X92),[12]NDCs!V92)</f>
        <v>0.1509894</v>
      </c>
      <c r="BJ90" s="111">
        <f>IF([12]NDCs!V92="",IF([12]NDCs!X92="","",[12]NDCs!X92),[12]NDCs!V92)</f>
        <v>0.1509894</v>
      </c>
      <c r="BK90" s="111">
        <f>IF([12]NDCs!Z92="",IF([12]NDCs!AB92="",IF('input site'!BE90="","",'input site'!BE90),[12]NDCs!AB92),[12]NDCs!Z92)</f>
        <v>0.1509894</v>
      </c>
      <c r="BL90" s="111">
        <f>IF([12]NDCs!AA92="",IF([12]NDCs!AC92="",IF('input site'!BF90="","",'input site'!BF90),[12]NDCs!AC92),[12]NDCs!AA92)</f>
        <v>0.1509894</v>
      </c>
      <c r="BM90" s="111">
        <f>IF($BI$8=2015,VLOOKUP($L90,'[12]IMAGE CurPol SSP'!$AZ$3:$BD$29,4,FALSE)*$AM90,IF($BI$8=2018,VLOOKUP($L90,'[12]IMAGE CurPol SSP'!$BJ$3:$BN$29,4,FALSE)*$AP90,$AR90))</f>
        <v>0.50257372</v>
      </c>
      <c r="BN90" s="111">
        <f t="shared" si="57"/>
        <v>0.50257372</v>
      </c>
      <c r="BO90" s="111">
        <f t="shared" si="57"/>
        <v>0.50257372</v>
      </c>
      <c r="BP90" s="111">
        <f>IF($BI$8=2015,VLOOKUP($L90,'[12]IMAGE CurPol SSP'!$AZ$3:$BD$29,5,FALSE)*$AM90,IF($BI$8=2018,VLOOKUP($L90,'[12]IMAGE CurPol SSP'!$BJ$3:$BN$29,5,FALSE)*$AP90,VLOOKUP($L90,'[12]IMAGE CurPol SSP'!$BU$3:$BZ$29,5,FALSE)*$AS90))</f>
        <v>0.55587470974863273</v>
      </c>
      <c r="BQ90" s="111">
        <f>IF($BI$8=2015,"",IF($BI$8=2018,"",VLOOKUP($L90,'[12]IMAGE CurPol SSP'!$CQ$3:$CV$29,5,FALSE)*$AS90))</f>
        <v>0.54641540222419738</v>
      </c>
      <c r="BR90" s="111">
        <f>IF($BI$8=2015,"",IF($BI$8=2018,"",VLOOKUP($L90,'[12]IMAGE CurPol SSP'!$CF$3:$CK$29,5,FALSE)*$AS90))</f>
        <v>0.57773924924074693</v>
      </c>
      <c r="BS90" s="111">
        <f>IF($BI$8=2015,VLOOKUP($L90,'[12]IMAGE CurPol SSP'!$AZ$3:$BE$29,6,FALSE)*$AM90,IF($BI$8=2018,VLOOKUP($L90,'[12]IMAGE CurPol SSP'!$BJ$3:$BO$29,6,FALSE)*$AP90,VLOOKUP($L90,'[12]IMAGE CurPol SSP'!$BU$3:$BZ$29,6,FALSE)*$AS90))</f>
        <v>0.62550553037282408</v>
      </c>
      <c r="BT90" s="111">
        <f>IF($BI$8=2015,"",IF($BI$8=2018,"",VLOOKUP($L90,'[12]IMAGE CurPol SSP'!$CQ$3:$CV$29,6,FALSE)*$AS90))</f>
        <v>0.61113113822204856</v>
      </c>
      <c r="BU90" s="164">
        <f>IF($BI$8=2015,"",IF($BI$8=2018,"",VLOOKUP($L90,'[12]IMAGE CurPol SSP'!$CF$3:$CK$29,6,FALSE)*$AS90))</f>
        <v>0.66923737775337799</v>
      </c>
      <c r="CN90" t="s">
        <v>209</v>
      </c>
      <c r="CO90" s="165">
        <f t="shared" si="69"/>
        <v>-0.75861220617824943</v>
      </c>
      <c r="CP90" s="165">
        <f t="shared" si="69"/>
        <v>-0.75861220617824943</v>
      </c>
      <c r="CQ90" s="165">
        <f t="shared" si="69"/>
        <v>-0.75861220617824943</v>
      </c>
      <c r="CR90" s="165">
        <f t="shared" si="65"/>
        <v>-0.75861220617824943</v>
      </c>
      <c r="CV90" s="125" t="s">
        <v>621</v>
      </c>
      <c r="CW90" s="125" t="s">
        <v>621</v>
      </c>
      <c r="CX90"/>
      <c r="CY90" s="167">
        <f t="shared" si="70"/>
        <v>2.0480953306737493E-2</v>
      </c>
      <c r="DB90" s="106"/>
      <c r="DC90" s="106"/>
      <c r="DD90" s="106"/>
      <c r="DE90" s="106"/>
      <c r="DF90" s="106"/>
      <c r="DG90" s="105" t="str">
        <f t="shared" si="71"/>
        <v>excl</v>
      </c>
      <c r="DH90" t="s">
        <v>209</v>
      </c>
      <c r="DI90" s="111">
        <f t="shared" si="58"/>
        <v>0</v>
      </c>
      <c r="DJ90" s="111">
        <f t="shared" si="58"/>
        <v>0</v>
      </c>
      <c r="DK90" s="111">
        <f t="shared" si="59"/>
        <v>-0.34280396224863274</v>
      </c>
      <c r="DL90" s="111">
        <f t="shared" si="60"/>
        <v>-0.34280396224863274</v>
      </c>
      <c r="DM90" s="111">
        <f t="shared" si="61"/>
        <v>-0.47451613037282409</v>
      </c>
      <c r="DN90" s="111">
        <f t="shared" si="62"/>
        <v>-0.47451613037282409</v>
      </c>
      <c r="DO90" s="111">
        <f t="shared" si="63"/>
        <v>-0.47451613037282409</v>
      </c>
      <c r="DP90" s="111">
        <f t="shared" si="64"/>
        <v>-0.47451613037282409</v>
      </c>
      <c r="DQ90" s="106"/>
      <c r="DR90" s="106"/>
      <c r="DS90" s="111"/>
      <c r="DT90" s="168"/>
      <c r="DW90" s="111">
        <f t="shared" si="72"/>
        <v>0.1509894</v>
      </c>
      <c r="DX90" s="111">
        <f t="shared" si="72"/>
        <v>0.1509894</v>
      </c>
      <c r="DY90" s="111">
        <f t="shared" si="72"/>
        <v>0.1509894</v>
      </c>
      <c r="DZ90" s="111">
        <f t="shared" si="66"/>
        <v>0.1509894</v>
      </c>
      <c r="EP90" t="s">
        <v>209</v>
      </c>
      <c r="EQ90">
        <v>0</v>
      </c>
      <c r="ER90" s="111">
        <f t="shared" si="73"/>
        <v>0.51234270000000004</v>
      </c>
      <c r="ES90" s="111">
        <f>IF($BI$8=2015,VLOOKUP($L90,'[12]IMAGE CDLINKS CurPol'!$P$3:$Y$29,10,FALSE)*$AM90,VLOOKUP($L90,'[12]IMAGE CDLINKS CurPol'!$Z$3:$AI$29,10,FALSE)*$AP90)</f>
        <v>0.97036579839985837</v>
      </c>
      <c r="ET90" s="111">
        <f t="shared" si="74"/>
        <v>0.97036579839985837</v>
      </c>
      <c r="EU90" s="111">
        <f t="shared" si="76"/>
        <v>0.2692282695655509</v>
      </c>
      <c r="EV90" s="111">
        <f>IF($BI$8=2015,VLOOKUP($L90,'[12]IMAGE CDLINKS 2C'!$P$3:$Y$29,10,FALSE)*$AM90,VLOOKUP($L90,'[12]IMAGE CDLINKS 2C'!$Z$3:$AI$29,10,FALSE)*$AP90)</f>
        <v>0.2692282695655509</v>
      </c>
      <c r="EY90" s="111">
        <f t="shared" si="77"/>
        <v>5.4755753966316413E-2</v>
      </c>
      <c r="EZ90" s="111">
        <f>IF($BI$8=2015,VLOOKUP($L90,'[12]IMAGE CDLINKS 1_5C'!$P$3:$Y$29,10,FALSE)*$AM90,VLOOKUP($L90,'[12]IMAGE CDLINKS 1_5C'!$Z$3:$AI$29,10,FALSE)*$AP90)</f>
        <v>5.4755753966316413E-2</v>
      </c>
      <c r="FA90" s="192"/>
    </row>
    <row r="91" spans="1:157" x14ac:dyDescent="0.25">
      <c r="A91" t="str">
        <f>IF([12]NDCs!C93="","",[12]NDCs!C93)</f>
        <v/>
      </c>
      <c r="B91" s="159" t="str">
        <f t="shared" si="67"/>
        <v>v</v>
      </c>
      <c r="C91">
        <v>0</v>
      </c>
      <c r="D91">
        <v>0</v>
      </c>
      <c r="E91">
        <v>0</v>
      </c>
      <c r="F91">
        <v>0</v>
      </c>
      <c r="G91" t="b">
        <f t="shared" si="68"/>
        <v>0</v>
      </c>
      <c r="H91" t="s">
        <v>2328</v>
      </c>
      <c r="I91" t="s">
        <v>211</v>
      </c>
      <c r="J91">
        <v>312</v>
      </c>
      <c r="K91">
        <v>80</v>
      </c>
      <c r="L91">
        <v>4</v>
      </c>
      <c r="M91" t="str">
        <f>IF([12]NDCs!AL93="Excluding","excl","incl")</f>
        <v>excl</v>
      </c>
      <c r="N91" s="160">
        <f>[12]GHG_hist!BA81+IF($M91="incl",[12]LULUCF_hist!CR81,0)</f>
        <v>0</v>
      </c>
      <c r="O91" s="111">
        <f>[12]GHG_hist!BB81+IF($M91="incl",[12]LULUCF_hist!CS81,0)</f>
        <v>0</v>
      </c>
      <c r="P91" s="111">
        <f>[12]GHG_hist!BC81+IF($M91="incl",[12]LULUCF_hist!CT81,0)</f>
        <v>0</v>
      </c>
      <c r="Q91" s="111">
        <f>[12]GHG_hist!BD81+IF($M91="incl",[12]LULUCF_hist!CU81,0)</f>
        <v>0</v>
      </c>
      <c r="R91" s="111">
        <f>[12]GHG_hist!BE81+IF($M91="incl",[12]LULUCF_hist!CV81,0)</f>
        <v>0</v>
      </c>
      <c r="S91" s="111">
        <f>[12]GHG_hist!BF81+IF($M91="incl",[12]LULUCF_hist!CW81,0)</f>
        <v>0</v>
      </c>
      <c r="T91" s="111">
        <f>[12]GHG_hist!BG81+IF($M91="incl",[12]LULUCF_hist!CX81,0)</f>
        <v>0</v>
      </c>
      <c r="U91" s="111">
        <f>[12]GHG_hist!BH81+IF($M91="incl",[12]LULUCF_hist!CY81,0)</f>
        <v>0</v>
      </c>
      <c r="V91" s="111">
        <f>[12]GHG_hist!BI81+IF($M91="incl",[12]LULUCF_hist!CZ81,0)</f>
        <v>0</v>
      </c>
      <c r="W91" s="111">
        <f>[12]GHG_hist!BJ81+IF($M91="incl",[12]LULUCF_hist!DA81,0)</f>
        <v>0</v>
      </c>
      <c r="X91" s="111">
        <f>[12]GHG_hist!BK81+IF($M91="incl",[12]LULUCF_hist!DB81,0)</f>
        <v>0</v>
      </c>
      <c r="Y91" s="111">
        <f>[12]GHG_hist!BL81+IF($M91="incl",[12]LULUCF_hist!DC81,0)</f>
        <v>0</v>
      </c>
      <c r="Z91" s="111">
        <f>[12]GHG_hist!BM81+IF($M91="incl",[12]LULUCF_hist!DD81,0)</f>
        <v>0</v>
      </c>
      <c r="AA91" s="111">
        <f>[12]GHG_hist!BN81+IF($M91="incl",[12]LULUCF_hist!DE81,0)</f>
        <v>0</v>
      </c>
      <c r="AB91" s="111">
        <f>[12]GHG_hist!BO81+IF($M91="incl",[12]LULUCF_hist!DF81,0)</f>
        <v>0</v>
      </c>
      <c r="AC91" s="111">
        <f>[12]GHG_hist!BP81+IF($M91="incl",[12]LULUCF_hist!DG81,0)</f>
        <v>0</v>
      </c>
      <c r="AD91" s="111">
        <f>[12]GHG_hist!BQ81+IF($M91="incl",[12]LULUCF_hist!DH81,0)</f>
        <v>0</v>
      </c>
      <c r="AE91" s="111">
        <f>[12]GHG_hist!BR81+IF($M91="incl",[12]LULUCF_hist!DI81,0)</f>
        <v>0</v>
      </c>
      <c r="AF91" s="111">
        <f>[12]GHG_hist!BS81+IF($M91="incl",[12]LULUCF_hist!DJ81,0)</f>
        <v>0</v>
      </c>
      <c r="AG91" s="111">
        <f>[12]GHG_hist!BT81+IF($M91="incl",[12]LULUCF_hist!DK81,0)</f>
        <v>0</v>
      </c>
      <c r="AH91" s="111">
        <f>[12]GHG_hist!BU81+IF($M91="incl",[12]LULUCF_hist!DL81,0)</f>
        <v>0</v>
      </c>
      <c r="AI91" s="111">
        <f>[12]GHG_hist!BV81+IF($M91="incl",[12]LULUCF_hist!DM81,0)</f>
        <v>0</v>
      </c>
      <c r="AJ91" s="111">
        <f>[12]GHG_hist!BW81+IF($M91="incl",[12]LULUCF_hist!DN81,0)</f>
        <v>0</v>
      </c>
      <c r="AK91" s="111">
        <f>[12]GHG_hist!BX81+IF($M91="incl",[12]LULUCF_hist!DO81,0)</f>
        <v>0</v>
      </c>
      <c r="AL91" s="111">
        <f>[12]GHG_hist!BY81+IF($M91="incl",[12]LULUCF_hist!DP81,0)</f>
        <v>0</v>
      </c>
      <c r="AM91" s="111">
        <f>[12]GHG_hist!BZ81+IF($M91="incl",[12]LULUCF_hist!DQ81,0)</f>
        <v>0</v>
      </c>
      <c r="AN91" s="111">
        <f>[12]GHG_hist!CA81+IF($M91="incl",[12]LULUCF_hist!DR81,0)</f>
        <v>0</v>
      </c>
      <c r="AO91" s="111">
        <f>[12]GHG_hist!CB81+IF($M91="incl",[12]LULUCF_hist!DS81,0)</f>
        <v>0</v>
      </c>
      <c r="AP91" s="111">
        <f>[12]GHG_hist!CC81+IF($M91="incl",[12]LULUCF_hist!DT81,0)</f>
        <v>0</v>
      </c>
      <c r="AQ91" s="111">
        <f>[12]GHG_hist!CD81+IF($M91="incl",[12]LULUCF_hist!DU81,0)</f>
        <v>0</v>
      </c>
      <c r="AR91" s="111">
        <f>[12]GHG_hist!CE81+IF($M91="incl",[12]LULUCF_hist!DV81,0)</f>
        <v>0</v>
      </c>
      <c r="AS91" s="111">
        <f>[12]GHG_hist!CF81+IF($M91="incl",[12]LULUCF_hist!DW81,0)</f>
        <v>0</v>
      </c>
      <c r="AT91" s="161">
        <f>VLOOKUP($L91,'[12]IMAGE SSP2'!$AF$3:$AK$29,4,FALSE)*$AM91</f>
        <v>0</v>
      </c>
      <c r="AU91" s="162">
        <f>VLOOKUP($L91,'[12]IMAGE SSP2'!$AF$3:$AK$29,5,FALSE)*$AM91</f>
        <v>0</v>
      </c>
      <c r="AV91" s="163">
        <f>VLOOKUP($L91,'[12]IMAGE SSP2'!$AF$3:$AK$29,6,FALSE)*$AM91</f>
        <v>0</v>
      </c>
      <c r="AW91" s="111" t="str">
        <f t="shared" si="75"/>
        <v/>
      </c>
      <c r="AX91" s="164" t="str">
        <f>IF(A91="B",IF(M91="excl",[12]NatCom!CO81,[12]NatCom!AX81),"")</f>
        <v/>
      </c>
      <c r="AY91" s="111" t="str">
        <f>IF('[12]Pledge 2020'!E81="","",'[12]Pledge 2020'!E81)</f>
        <v/>
      </c>
      <c r="AZ91" s="164" t="str">
        <f>IF('[12]Pledge 2020'!F81="","",'[12]Pledge 2020'!F81)</f>
        <v/>
      </c>
      <c r="BA91" s="111" t="str">
        <f t="shared" si="51"/>
        <v/>
      </c>
      <c r="BB91" s="111"/>
      <c r="BC91" s="111" t="str">
        <f t="shared" si="52"/>
        <v/>
      </c>
      <c r="BD91" s="111" t="str">
        <f>IF(BH91="","",(BH91-AI91)*0.75+AI91)</f>
        <v/>
      </c>
      <c r="BE91" s="111" t="s">
        <v>2477</v>
      </c>
      <c r="BF91" s="111"/>
      <c r="BG91" s="111" t="s">
        <v>2477</v>
      </c>
      <c r="BH91" s="164"/>
      <c r="BI91" s="111" t="str">
        <f>IF([12]NDCs!V93="",IF([12]NDCs!X93="","",[12]NDCs!X93),[12]NDCs!V93)</f>
        <v/>
      </c>
      <c r="BJ91" s="111" t="str">
        <f>IF([12]NDCs!V93="",IF([12]NDCs!X93="","",[12]NDCs!X93),[12]NDCs!V93)</f>
        <v/>
      </c>
      <c r="BK91" s="111" t="str">
        <f>IF([12]NDCs!Z93="",IF([12]NDCs!AB93="",IF('input site'!BE91="","",'input site'!BE91),[12]NDCs!AB93),[12]NDCs!Z93)</f>
        <v/>
      </c>
      <c r="BL91" s="111" t="str">
        <f>IF([12]NDCs!AA93="",IF([12]NDCs!AC93="",IF('input site'!BF91="","",'input site'!BF91),[12]NDCs!AC93),[12]NDCs!AA93)</f>
        <v/>
      </c>
      <c r="BM91" s="111">
        <f>IF($BI$8=2015,VLOOKUP($L91,'[12]IMAGE CurPol SSP'!$AZ$3:$BD$29,4,FALSE)*$AM91,IF($BI$8=2018,VLOOKUP($L91,'[12]IMAGE CurPol SSP'!$BJ$3:$BN$29,4,FALSE)*$AP91,$AR91))</f>
        <v>0</v>
      </c>
      <c r="BN91" s="111">
        <f t="shared" ref="BN91:BO100" si="78">IF($BI$8=2015,"",IF($BI$8=2018,"",$AR91))</f>
        <v>0</v>
      </c>
      <c r="BO91" s="111">
        <f t="shared" si="78"/>
        <v>0</v>
      </c>
      <c r="BP91" s="111">
        <f>IF($BI$8=2015,VLOOKUP($L91,'[12]IMAGE CurPol SSP'!$AZ$3:$BD$29,5,FALSE)*$AM91,IF($BI$8=2018,VLOOKUP($L91,'[12]IMAGE CurPol SSP'!$BJ$3:$BN$29,5,FALSE)*$AP91,VLOOKUP($L91,'[12]IMAGE CurPol SSP'!$BU$3:$BZ$29,5,FALSE)*$AS91))</f>
        <v>0</v>
      </c>
      <c r="BQ91" s="111">
        <f>IF($BI$8=2015,"",IF($BI$8=2018,"",VLOOKUP($L91,'[12]IMAGE CurPol SSP'!$CQ$3:$CV$29,5,FALSE)*$AS91))</f>
        <v>0</v>
      </c>
      <c r="BR91" s="111">
        <f>IF($BI$8=2015,"",IF($BI$8=2018,"",VLOOKUP($L91,'[12]IMAGE CurPol SSP'!$CF$3:$CK$29,5,FALSE)*$AS91))</f>
        <v>0</v>
      </c>
      <c r="BS91" s="111">
        <f>IF($BI$8=2015,VLOOKUP($L91,'[12]IMAGE CurPol SSP'!$AZ$3:$BE$29,6,FALSE)*$AM91,IF($BI$8=2018,VLOOKUP($L91,'[12]IMAGE CurPol SSP'!$BJ$3:$BO$29,6,FALSE)*$AP91,VLOOKUP($L91,'[12]IMAGE CurPol SSP'!$BU$3:$BZ$29,6,FALSE)*$AS91))</f>
        <v>0</v>
      </c>
      <c r="BT91" s="111">
        <f>IF($BI$8=2015,"",IF($BI$8=2018,"",VLOOKUP($L91,'[12]IMAGE CurPol SSP'!$CQ$3:$CV$29,6,FALSE)*$AS91))</f>
        <v>0</v>
      </c>
      <c r="BU91" s="164">
        <f>IF($BI$8=2015,"",IF($BI$8=2018,"",VLOOKUP($L91,'[12]IMAGE CurPol SSP'!$CF$3:$CK$29,6,FALSE)*$AS91))</f>
        <v>0</v>
      </c>
      <c r="CN91" t="s">
        <v>211</v>
      </c>
      <c r="CO91" s="165" t="str">
        <f t="shared" si="69"/>
        <v/>
      </c>
      <c r="CP91" s="165" t="str">
        <f t="shared" si="69"/>
        <v/>
      </c>
      <c r="CQ91" s="165" t="str">
        <f t="shared" si="69"/>
        <v/>
      </c>
      <c r="CR91" s="165" t="str">
        <f t="shared" si="65"/>
        <v/>
      </c>
      <c r="CV91" s="125" t="s">
        <v>621</v>
      </c>
      <c r="CW91" s="125" t="s">
        <v>621</v>
      </c>
      <c r="CX91" s="208">
        <f>AP91/$AP$255</f>
        <v>0</v>
      </c>
      <c r="CY91" s="167">
        <f t="shared" si="70"/>
        <v>0</v>
      </c>
      <c r="DB91" s="106"/>
      <c r="DC91" s="106"/>
      <c r="DD91" s="106"/>
      <c r="DE91" s="106"/>
      <c r="DF91" s="106"/>
      <c r="DG91" s="105" t="str">
        <f t="shared" si="71"/>
        <v>excl</v>
      </c>
      <c r="DH91" t="s">
        <v>211</v>
      </c>
      <c r="DI91" s="111">
        <f t="shared" si="58"/>
        <v>0</v>
      </c>
      <c r="DJ91" s="111">
        <f t="shared" si="58"/>
        <v>0</v>
      </c>
      <c r="DK91" s="111">
        <f t="shared" si="59"/>
        <v>0</v>
      </c>
      <c r="DL91" s="111">
        <f t="shared" si="60"/>
        <v>0</v>
      </c>
      <c r="DM91" s="111">
        <f t="shared" si="61"/>
        <v>0</v>
      </c>
      <c r="DN91" s="111">
        <f t="shared" si="62"/>
        <v>0</v>
      </c>
      <c r="DO91" s="111">
        <f t="shared" si="63"/>
        <v>0</v>
      </c>
      <c r="DP91" s="111">
        <f t="shared" si="64"/>
        <v>0</v>
      </c>
      <c r="DQ91" s="106"/>
      <c r="DR91" s="106"/>
      <c r="DS91" s="111"/>
      <c r="DT91" s="168"/>
      <c r="DW91" s="111">
        <f t="shared" si="72"/>
        <v>0</v>
      </c>
      <c r="DX91" s="111">
        <f t="shared" si="72"/>
        <v>0</v>
      </c>
      <c r="DY91" s="111">
        <f t="shared" si="72"/>
        <v>0</v>
      </c>
      <c r="DZ91" s="111">
        <f t="shared" si="66"/>
        <v>0</v>
      </c>
      <c r="EP91" t="s">
        <v>211</v>
      </c>
      <c r="EQ91">
        <v>0</v>
      </c>
      <c r="ER91" s="111">
        <f t="shared" si="73"/>
        <v>0</v>
      </c>
      <c r="ES91" s="111">
        <f>IF($BI$8=2015,VLOOKUP($L91,'[12]IMAGE CDLINKS CurPol'!$P$3:$Y$29,10,FALSE)*$AM91,VLOOKUP($L91,'[12]IMAGE CDLINKS CurPol'!$Z$3:$AI$29,10,FALSE)*$AP91)</f>
        <v>0</v>
      </c>
      <c r="ET91" s="111">
        <f t="shared" si="74"/>
        <v>0</v>
      </c>
      <c r="EU91" s="111">
        <f t="shared" si="76"/>
        <v>0</v>
      </c>
      <c r="EV91" s="111">
        <f>IF($BI$8=2015,VLOOKUP($L91,'[12]IMAGE CDLINKS 2C'!$P$3:$Y$29,10,FALSE)*$AM91,VLOOKUP($L91,'[12]IMAGE CDLINKS 2C'!$Z$3:$AI$29,10,FALSE)*$AP91)</f>
        <v>0</v>
      </c>
      <c r="EY91" s="111">
        <f t="shared" si="77"/>
        <v>0</v>
      </c>
      <c r="EZ91" s="111">
        <f>IF($BI$8=2015,VLOOKUP($L91,'[12]IMAGE CDLINKS 1_5C'!$P$3:$Y$29,10,FALSE)*$AM91,VLOOKUP($L91,'[12]IMAGE CDLINKS 1_5C'!$Z$3:$AI$29,10,FALSE)*$AP91)</f>
        <v>0</v>
      </c>
      <c r="FA91" s="192"/>
    </row>
    <row r="92" spans="1:157" x14ac:dyDescent="0.25">
      <c r="A92" t="str">
        <f>IF([12]NDCs!C94="","",[12]NDCs!C94)</f>
        <v>B</v>
      </c>
      <c r="B92" s="159" t="str">
        <f t="shared" si="67"/>
        <v>v</v>
      </c>
      <c r="C92">
        <v>0</v>
      </c>
      <c r="D92">
        <v>0</v>
      </c>
      <c r="E92">
        <v>0</v>
      </c>
      <c r="F92">
        <v>1</v>
      </c>
      <c r="G92" t="b">
        <f t="shared" si="68"/>
        <v>1</v>
      </c>
      <c r="H92" t="s">
        <v>2328</v>
      </c>
      <c r="I92" t="s">
        <v>213</v>
      </c>
      <c r="J92">
        <v>320</v>
      </c>
      <c r="K92">
        <v>81</v>
      </c>
      <c r="L92">
        <v>4</v>
      </c>
      <c r="M92" t="str">
        <f>IF([12]NDCs!AL94="Excluding","excl","incl")</f>
        <v>incl</v>
      </c>
      <c r="N92" s="160">
        <f>[12]GHG_hist!BA82+IF($M92="incl",[12]LULUCF_hist!CR82,0)</f>
        <v>47.116099000000006</v>
      </c>
      <c r="O92" s="111">
        <f>[12]GHG_hist!BB82+IF($M92="incl",[12]LULUCF_hist!CS82,0)</f>
        <v>47.722504000000001</v>
      </c>
      <c r="P92" s="111">
        <f>[12]GHG_hist!BC82+IF($M92="incl",[12]LULUCF_hist!CT82,0)</f>
        <v>49.193936999999991</v>
      </c>
      <c r="Q92" s="111">
        <f>[12]GHG_hist!BD82+IF($M92="incl",[12]LULUCF_hist!CU82,0)</f>
        <v>49.091069999999995</v>
      </c>
      <c r="R92" s="111">
        <f>[12]GHG_hist!BE82+IF($M92="incl",[12]LULUCF_hist!CV82,0)</f>
        <v>50.569892999999993</v>
      </c>
      <c r="S92" s="111">
        <f>[12]GHG_hist!BF82+IF($M92="incl",[12]LULUCF_hist!CW82,0)</f>
        <v>50.802869000000001</v>
      </c>
      <c r="T92" s="111">
        <f>[12]GHG_hist!BG82+IF($M92="incl",[12]LULUCF_hist!CX82,0)</f>
        <v>49.164543999999992</v>
      </c>
      <c r="U92" s="111">
        <f>[12]GHG_hist!BH82+IF($M92="incl",[12]LULUCF_hist!CY82,0)</f>
        <v>49.808541999999996</v>
      </c>
      <c r="V92" s="111">
        <f>[12]GHG_hist!BI82+IF($M92="incl",[12]LULUCF_hist!CZ82,0)</f>
        <v>50.491099999999989</v>
      </c>
      <c r="W92" s="111">
        <f>[12]GHG_hist!BJ82+IF($M92="incl",[12]LULUCF_hist!DA82,0)</f>
        <v>50.554228999999992</v>
      </c>
      <c r="X92" s="111">
        <f>[12]GHG_hist!BK82+IF($M92="incl",[12]LULUCF_hist!DB82,0)</f>
        <v>50.937989000000002</v>
      </c>
      <c r="Y92" s="111">
        <f>[12]GHG_hist!BL82+IF($M92="incl",[12]LULUCF_hist!DC82,0)</f>
        <v>52.044557999999995</v>
      </c>
      <c r="Z92" s="111">
        <f>[12]GHG_hist!BM82+IF($M92="incl",[12]LULUCF_hist!DD82,0)</f>
        <v>53.342679000000004</v>
      </c>
      <c r="AA92" s="111">
        <f>[12]GHG_hist!BN82+IF($M92="incl",[12]LULUCF_hist!DE82,0)</f>
        <v>53.688549999999999</v>
      </c>
      <c r="AB92" s="111">
        <f>[12]GHG_hist!BO82+IF($M92="incl",[12]LULUCF_hist!DF82,0)</f>
        <v>55.257491999999999</v>
      </c>
      <c r="AC92" s="111">
        <f>[12]GHG_hist!BP82+IF($M92="incl",[12]LULUCF_hist!DG82,0)</f>
        <v>57.098663000000002</v>
      </c>
      <c r="AD92" s="111">
        <f>[12]GHG_hist!BQ82+IF($M92="incl",[12]LULUCF_hist!DH82,0)</f>
        <v>56.012404000000004</v>
      </c>
      <c r="AE92" s="111">
        <f>[12]GHG_hist!BR82+IF($M92="incl",[12]LULUCF_hist!DI82,0)</f>
        <v>55.40415800000001</v>
      </c>
      <c r="AF92" s="111">
        <f>[12]GHG_hist!BS82+IF($M92="incl",[12]LULUCF_hist!DJ82,0)</f>
        <v>53.120097000000001</v>
      </c>
      <c r="AG92" s="111">
        <f>[12]GHG_hist!BT82+IF($M92="incl",[12]LULUCF_hist!DK82,0)</f>
        <v>53.13982</v>
      </c>
      <c r="AH92" s="111">
        <f>[12]GHG_hist!BU82+IF($M92="incl",[12]LULUCF_hist!DL82,0)</f>
        <v>51.903039999999997</v>
      </c>
      <c r="AI92" s="111">
        <f>[12]GHG_hist!BV82+IF($M92="incl",[12]LULUCF_hist!DM82,0)</f>
        <v>52.563379999999995</v>
      </c>
      <c r="AJ92" s="111">
        <f>[12]GHG_hist!BW82+IF($M92="incl",[12]LULUCF_hist!DN82,0)</f>
        <v>53.337739999999997</v>
      </c>
      <c r="AK92" s="111">
        <f>[12]GHG_hist!BX82+IF($M92="incl",[12]LULUCF_hist!DO82,0)</f>
        <v>55.020669999999996</v>
      </c>
      <c r="AL92" s="111">
        <f>[12]GHG_hist!BY82+IF($M92="incl",[12]LULUCF_hist!DP82,0)</f>
        <v>56.519399</v>
      </c>
      <c r="AM92" s="111">
        <f>[12]GHG_hist!BZ82+IF($M92="incl",[12]LULUCF_hist!DQ82,0)</f>
        <v>59.297487000000004</v>
      </c>
      <c r="AN92" s="111">
        <f>[12]GHG_hist!CA82+IF($M92="incl",[12]LULUCF_hist!DR82,0)</f>
        <v>61.519767999999999</v>
      </c>
      <c r="AO92" s="111">
        <f>[12]GHG_hist!CB82+IF($M92="incl",[12]LULUCF_hist!DS82,0)</f>
        <v>62.868825000000001</v>
      </c>
      <c r="AP92" s="111">
        <f>[12]GHG_hist!CC82+IF($M92="incl",[12]LULUCF_hist!DT82,0)</f>
        <v>59.857576000000002</v>
      </c>
      <c r="AQ92" s="111">
        <f>[12]GHG_hist!CD82+IF($M92="incl",[12]LULUCF_hist!DU82,0)</f>
        <v>55.056868999999999</v>
      </c>
      <c r="AR92" s="111">
        <f>[12]GHG_hist!CE82+IF($M92="incl",[12]LULUCF_hist!DV82,0)</f>
        <v>46.055999999999997</v>
      </c>
      <c r="AS92" s="111">
        <f>[12]GHG_hist!CF82+IF($M92="incl",[12]LULUCF_hist!DW82,0)</f>
        <v>59.300728006451607</v>
      </c>
      <c r="AT92" s="171">
        <f>VLOOKUP($L92,'[12]IMAGE SSP2'!$AF$3:$AK$29,4,FALSE)*($AM92-'[12]IIASA Proj'!$EQ82)+('[12]IIASA Proj'!$EQ82+'[12]IIASA Proj'!$ER82)</f>
        <v>56.342732578184645</v>
      </c>
      <c r="AU92" s="172">
        <f>VLOOKUP($L92,'[12]IMAGE SSP2'!$AF$3:$AK$29,5,FALSE)*($AM92-'[12]IIASA Proj'!$EQ82)+('[12]IIASA Proj'!$EQ82+'[12]IIASA Proj'!$ES82)</f>
        <v>54.263926932921493</v>
      </c>
      <c r="AV92" s="173">
        <f>VLOOKUP($L92,'[12]IMAGE SSP2'!$AF$3:$AK$29,6,FALSE)*($AM92-'[12]IIASA Proj'!$EQ82)+('[12]IIASA Proj'!$EQ82+'[12]IIASA Proj'!$ET82)</f>
        <v>53.279060626988695</v>
      </c>
      <c r="AW92" s="111">
        <f>IF(A92="B",AM92+(AX92-AM92)*0.33333,"")</f>
        <v>57.48167615829</v>
      </c>
      <c r="AX92" s="164">
        <f>IF(A92="B",IF(M92="excl",[12]NatCom!CO82,[12]NatCom!AX82),"")</f>
        <v>53.85</v>
      </c>
      <c r="AY92" s="111" t="str">
        <f>IF('[12]Pledge 2020'!E82="","",'[12]Pledge 2020'!E82)</f>
        <v/>
      </c>
      <c r="AZ92" s="164" t="str">
        <f>IF('[12]Pledge 2020'!F82="","",'[12]Pledge 2020'!F82)</f>
        <v/>
      </c>
      <c r="BA92" s="111">
        <f t="shared" si="51"/>
        <v>48.839860000000002</v>
      </c>
      <c r="BB92" s="111">
        <f>IF(BF92="","",(BF92-AH92)*0.75+AH92)</f>
        <v>48.839860000000002</v>
      </c>
      <c r="BC92" s="111">
        <f t="shared" si="52"/>
        <v>44.235685000000004</v>
      </c>
      <c r="BD92" s="111">
        <f>IF(BH92="","",(BH92-AH92)*0.75+AH92)</f>
        <v>44.235685000000004</v>
      </c>
      <c r="BE92" s="111">
        <v>47.818800000000003</v>
      </c>
      <c r="BF92" s="111">
        <v>47.818800000000003</v>
      </c>
      <c r="BG92" s="111">
        <v>41.679900000000004</v>
      </c>
      <c r="BH92" s="164">
        <v>41.679900000000004</v>
      </c>
      <c r="BI92" s="111">
        <f>IF([12]NDCs!V94="",IF([12]NDCs!X94="","",[12]NDCs!X94),[12]NDCs!V94)</f>
        <v>47.818800000000003</v>
      </c>
      <c r="BJ92" s="111">
        <f>IF([12]NDCs!V94="",IF([12]NDCs!X94="","",[12]NDCs!X94),[12]NDCs!V94)</f>
        <v>47.818800000000003</v>
      </c>
      <c r="BK92" s="111">
        <f>IF([12]NDCs!Z94="",IF([12]NDCs!AB94="",IF('input site'!BE92="","",'input site'!BE92),[12]NDCs!AB94),[12]NDCs!Z94)</f>
        <v>41.679900000000004</v>
      </c>
      <c r="BL92" s="111">
        <f>IF([12]NDCs!AA94="",IF([12]NDCs!AC94="",IF('input site'!BF92="","",'input site'!BF92),[12]NDCs!AC94),[12]NDCs!AA94)</f>
        <v>41.679900000000004</v>
      </c>
      <c r="BM92" s="174">
        <f>IF($BI$8=2015,VLOOKUP($L92,'[12]IMAGE CurPol SSP'!$AZ$3:$BD$29,4,FALSE)*($AM92-'[12]IIASA Proj'!$EQ82)+('[12]IIASA Proj'!$EQ82+'[12]IIASA Proj'!$ER82),AR92)</f>
        <v>46.055999999999997</v>
      </c>
      <c r="BN92" s="175">
        <f t="shared" si="78"/>
        <v>46.055999999999997</v>
      </c>
      <c r="BO92" s="175">
        <f t="shared" si="78"/>
        <v>46.055999999999997</v>
      </c>
      <c r="BP92" s="174">
        <f>IF($BI$8=2015,VLOOKUP($L92,'[12]IMAGE CurPol SSP'!$AZ$3:$BD$29,5,FALSE)*($AM92-'[12]IIASA Proj'!$EQ82)+('[12]IIASA Proj'!$EQ82+'[12]IIASA Proj'!$ES82),VLOOKUP($L92,'[12]IMAGE CurPol SSP'!$BU$3:$BZ$29,5,FALSE)*($AS92-'[12]IIASA Proj'!$DV82)+('[12]IIASA Proj'!$EA82))</f>
        <v>56.893128926058424</v>
      </c>
      <c r="BQ92" s="174">
        <f>IF($BI$8=2015,"",IF($BI$8=2018,"",MIN(BP92,VLOOKUP($L92,'[12]IMAGE CurPol SSP'!$CQ$3:$CV$29,5,FALSE)*$AS92)))</f>
        <v>56.893128926058424</v>
      </c>
      <c r="BR92" s="174">
        <f>IF($BI$8=2015,"",IF($BI$8=2018,"",MAX(BP92,VLOOKUP($L92,'[12]IMAGE CurPol SSP'!$CF$3:$CK$29,5,FALSE)*$AS92)))</f>
        <v>67.537999096855444</v>
      </c>
      <c r="BS92" s="174">
        <f>IF($BI$8=2015,VLOOKUP($L92,'[12]IMAGE CurPol SSP'!$AZ$3:$BE$29,6,FALSE)*($AM92-'[12]IIASA Proj'!$EQ82)+('[12]IIASA Proj'!$EQ82+'[12]IIASA Proj'!$ET82),VLOOKUP($L92,'[12]IMAGE CurPol SSP'!$BU$3:$BZ$29,6,FALSE)*($AS92-'[12]IIASA Proj'!$DV82)+('[12]IIASA Proj'!$EF82))</f>
        <v>58.315718544232048</v>
      </c>
      <c r="BT92" s="174">
        <f>IF($BI$8=2015,"",IF($BI$8=2018,"",MIN($BS92,VLOOKUP($L92,'[12]IMAGE CurPol SSP'!$CQ$3:$CV$29,6,FALSE)*$AS92)))</f>
        <v>58.315718544232048</v>
      </c>
      <c r="BU92" s="176">
        <f>IF($BI$8=2015,"",IF($BI$8=2018,"",MAX($BS92,VLOOKUP($L92,'[12]IMAGE CurPol SSP'!$CF$3:$CK$29,6,FALSE)*$AS92)))</f>
        <v>78.234174800637277</v>
      </c>
      <c r="CN92" t="s">
        <v>213</v>
      </c>
      <c r="CO92" s="165">
        <f t="shared" si="69"/>
        <v>-0.18000152971227146</v>
      </c>
      <c r="CP92" s="165">
        <f t="shared" si="69"/>
        <v>-0.18000152971227146</v>
      </c>
      <c r="CQ92" s="165">
        <f t="shared" si="69"/>
        <v>-0.28527160360056092</v>
      </c>
      <c r="CR92" s="165">
        <f t="shared" si="65"/>
        <v>-0.28527160360056092</v>
      </c>
      <c r="CS92" s="159"/>
      <c r="CU92" s="159"/>
      <c r="CV92" s="125" t="s">
        <v>621</v>
      </c>
      <c r="CW92" s="125" t="s">
        <v>621</v>
      </c>
      <c r="CX92" s="159"/>
      <c r="CY92" s="167">
        <f t="shared" si="70"/>
        <v>10.286732578184647</v>
      </c>
      <c r="CZ92" s="159"/>
      <c r="DB92" s="106"/>
      <c r="DC92" s="106"/>
      <c r="DD92" s="106"/>
      <c r="DE92" s="106"/>
      <c r="DF92" s="106"/>
      <c r="DG92" s="105" t="str">
        <f t="shared" si="71"/>
        <v>incl</v>
      </c>
      <c r="DH92" t="s">
        <v>213</v>
      </c>
      <c r="DI92" s="111">
        <f t="shared" si="58"/>
        <v>0</v>
      </c>
      <c r="DJ92" s="111">
        <f t="shared" si="58"/>
        <v>0</v>
      </c>
      <c r="DK92" s="111">
        <f t="shared" si="59"/>
        <v>-8.053268926058422</v>
      </c>
      <c r="DL92" s="111">
        <f t="shared" si="60"/>
        <v>-12.65744392605842</v>
      </c>
      <c r="DM92" s="111">
        <f t="shared" si="61"/>
        <v>-10.496918544232045</v>
      </c>
      <c r="DN92" s="111">
        <f t="shared" si="62"/>
        <v>-16.635818544232045</v>
      </c>
      <c r="DO92" s="111">
        <f t="shared" si="63"/>
        <v>-10.496918544232045</v>
      </c>
      <c r="DP92" s="111">
        <f t="shared" si="64"/>
        <v>-16.635818544232045</v>
      </c>
      <c r="DQ92" s="106"/>
      <c r="DR92" s="106"/>
      <c r="DS92" s="177">
        <f>[12]GHG_hist!BZ82+IF($M92="incl",[12]LULUCF_hist!DQ82,0)</f>
        <v>59.297487000000004</v>
      </c>
      <c r="DT92" s="178">
        <f>IF($M92="incl",'[12]IIASA Proj'!EQ82,0)</f>
        <v>35.840916399999998</v>
      </c>
      <c r="DW92" s="111">
        <f t="shared" si="72"/>
        <v>47.818800000000003</v>
      </c>
      <c r="DX92" s="111">
        <f t="shared" si="72"/>
        <v>47.818800000000003</v>
      </c>
      <c r="DY92" s="111">
        <f t="shared" si="72"/>
        <v>41.679900000000004</v>
      </c>
      <c r="DZ92" s="111">
        <f t="shared" si="66"/>
        <v>41.679900000000004</v>
      </c>
      <c r="EP92" t="s">
        <v>213</v>
      </c>
      <c r="EQ92">
        <v>0</v>
      </c>
      <c r="ER92" s="111">
        <f t="shared" si="73"/>
        <v>59.857576000000002</v>
      </c>
      <c r="ES92" s="111">
        <f>IF($BI$8=2015,VLOOKUP($L92,'[12]IMAGE CDLINKS CurPol'!$P$3:$Y$29,10,FALSE)*$AM92,VLOOKUP($L92,'[12]IMAGE CDLINKS CurPol'!$Z$3:$AI$29,10,FALSE)*$AP92)</f>
        <v>113.36893162627319</v>
      </c>
      <c r="ET92" s="111">
        <f t="shared" si="74"/>
        <v>113.36893162627319</v>
      </c>
      <c r="EU92" s="111">
        <f t="shared" si="76"/>
        <v>31.454242652170997</v>
      </c>
      <c r="EV92" s="111">
        <f>IF($BI$8=2015,VLOOKUP($L92,'[12]IMAGE CDLINKS 2C'!$P$3:$Y$29,10,FALSE)*$AM92,VLOOKUP($L92,'[12]IMAGE CDLINKS 2C'!$Z$3:$AI$29,10,FALSE)*$AP92)</f>
        <v>31.454242652170997</v>
      </c>
      <c r="EY92" s="111">
        <f t="shared" si="77"/>
        <v>6.3971765470184039</v>
      </c>
      <c r="EZ92" s="111">
        <f>IF($BI$8=2015,VLOOKUP($L92,'[12]IMAGE CDLINKS 1_5C'!$P$3:$Y$29,10,FALSE)*$AM92,VLOOKUP($L92,'[12]IMAGE CDLINKS 1_5C'!$Z$3:$AI$29,10,FALSE)*$AP92)</f>
        <v>6.3971765470184039</v>
      </c>
      <c r="FA92" s="192"/>
    </row>
    <row r="93" spans="1:157" x14ac:dyDescent="0.25">
      <c r="A93" t="str">
        <f>IF([12]NDCs!C95="","",[12]NDCs!C95)</f>
        <v>B</v>
      </c>
      <c r="B93" s="159" t="str">
        <f t="shared" si="67"/>
        <v>v</v>
      </c>
      <c r="C93">
        <v>0</v>
      </c>
      <c r="D93">
        <v>0</v>
      </c>
      <c r="E93">
        <v>0</v>
      </c>
      <c r="F93">
        <v>1</v>
      </c>
      <c r="G93" t="b">
        <f t="shared" si="68"/>
        <v>1</v>
      </c>
      <c r="H93" t="s">
        <v>2333</v>
      </c>
      <c r="I93" t="s">
        <v>215</v>
      </c>
      <c r="J93">
        <v>324</v>
      </c>
      <c r="K93">
        <v>82</v>
      </c>
      <c r="L93">
        <v>8</v>
      </c>
      <c r="M93" t="str">
        <f>IF([12]NDCs!AL95="Excluding","excl","incl")</f>
        <v>excl</v>
      </c>
      <c r="N93" s="160">
        <f>[12]GHG_hist!BA83+IF($M93="incl",[12]LULUCF_hist!CR83,0)</f>
        <v>9.7962827000000008</v>
      </c>
      <c r="O93" s="111">
        <f>[12]GHG_hist!BB83+IF($M93="incl",[12]LULUCF_hist!CS83,0)</f>
        <v>10.163183999999999</v>
      </c>
      <c r="P93" s="111">
        <f>[12]GHG_hist!BC83+IF($M93="incl",[12]LULUCF_hist!CT83,0)</f>
        <v>10.058394</v>
      </c>
      <c r="Q93" s="111">
        <f>[12]GHG_hist!BD83+IF($M93="incl",[12]LULUCF_hist!CU83,0)</f>
        <v>10.457855</v>
      </c>
      <c r="R93" s="111">
        <f>[12]GHG_hist!BE83+IF($M93="incl",[12]LULUCF_hist!CV83,0)</f>
        <v>10.905492000000001</v>
      </c>
      <c r="S93" s="111">
        <f>[12]GHG_hist!BF83+IF($M93="incl",[12]LULUCF_hist!CW83,0)</f>
        <v>11.734275</v>
      </c>
      <c r="T93" s="111">
        <f>[12]GHG_hist!BG83+IF($M93="incl",[12]LULUCF_hist!CX83,0)</f>
        <v>11.434870000000002</v>
      </c>
      <c r="U93" s="111">
        <f>[12]GHG_hist!BH83+IF($M93="incl",[12]LULUCF_hist!CY83,0)</f>
        <v>11.056154000000001</v>
      </c>
      <c r="V93" s="111">
        <f>[12]GHG_hist!BI83+IF($M93="incl",[12]LULUCF_hist!CZ83,0)</f>
        <v>12.053391</v>
      </c>
      <c r="W93" s="111">
        <f>[12]GHG_hist!BJ83+IF($M93="incl",[12]LULUCF_hist!DA83,0)</f>
        <v>12.498271000000001</v>
      </c>
      <c r="X93" s="111">
        <f>[12]GHG_hist!BK83+IF($M93="incl",[12]LULUCF_hist!DB83,0)</f>
        <v>13.202562</v>
      </c>
      <c r="Y93" s="111">
        <f>[12]GHG_hist!BL83+IF($M93="incl",[12]LULUCF_hist!DC83,0)</f>
        <v>14.151028</v>
      </c>
      <c r="Z93" s="111">
        <f>[12]GHG_hist!BM83+IF($M93="incl",[12]LULUCF_hist!DD83,0)</f>
        <v>15.354144</v>
      </c>
      <c r="AA93" s="111">
        <f>[12]GHG_hist!BN83+IF($M93="incl",[12]LULUCF_hist!DE83,0)</f>
        <v>15.603194999999999</v>
      </c>
      <c r="AB93" s="111">
        <f>[12]GHG_hist!BO83+IF($M93="incl",[12]LULUCF_hist!DF83,0)</f>
        <v>15.697911</v>
      </c>
      <c r="AC93" s="111">
        <f>[12]GHG_hist!BP83+IF($M93="incl",[12]LULUCF_hist!DG83,0)</f>
        <v>17.217554</v>
      </c>
      <c r="AD93" s="111">
        <f>[12]GHG_hist!BQ83+IF($M93="incl",[12]LULUCF_hist!DH83,0)</f>
        <v>17.525521000000001</v>
      </c>
      <c r="AE93" s="111">
        <f>[12]GHG_hist!BR83+IF($M93="incl",[12]LULUCF_hist!DI83,0)</f>
        <v>17.931978000000001</v>
      </c>
      <c r="AF93" s="111">
        <f>[12]GHG_hist!BS83+IF($M93="incl",[12]LULUCF_hist!DJ83,0)</f>
        <v>18.500216000000002</v>
      </c>
      <c r="AG93" s="111">
        <f>[12]GHG_hist!BT83+IF($M93="incl",[12]LULUCF_hist!DK83,0)</f>
        <v>19.075409000000001</v>
      </c>
      <c r="AH93" s="111">
        <f>[12]GHG_hist!BU83+IF($M93="incl",[12]LULUCF_hist!DL83,0)</f>
        <v>21.350819000000001</v>
      </c>
      <c r="AI93" s="111">
        <f>[12]GHG_hist!BV83+IF($M93="incl",[12]LULUCF_hist!DM83,0)</f>
        <v>22.571854999999999</v>
      </c>
      <c r="AJ93" s="111">
        <f>[12]GHG_hist!BW83+IF($M93="incl",[12]LULUCF_hist!DN83,0)</f>
        <v>23.792157</v>
      </c>
      <c r="AK93" s="111">
        <f>[12]GHG_hist!BX83+IF($M93="incl",[12]LULUCF_hist!DO83,0)</f>
        <v>23.781036</v>
      </c>
      <c r="AL93" s="111">
        <f>[12]GHG_hist!BY83+IF($M93="incl",[12]LULUCF_hist!DP83,0)</f>
        <v>24.281409</v>
      </c>
      <c r="AM93" s="111">
        <f>[12]GHG_hist!BZ83+IF($M93="incl",[12]LULUCF_hist!DQ83,0)</f>
        <v>24.755936000000002</v>
      </c>
      <c r="AN93" s="111">
        <f>[12]GHG_hist!CA83+IF($M93="incl",[12]LULUCF_hist!DR83,0)</f>
        <v>27.671367999999998</v>
      </c>
      <c r="AO93" s="111">
        <f>[12]GHG_hist!CB83+IF($M93="incl",[12]LULUCF_hist!DS83,0)</f>
        <v>27.841673</v>
      </c>
      <c r="AP93" s="111">
        <f>[12]GHG_hist!CC83+IF($M93="incl",[12]LULUCF_hist!DT83,0)</f>
        <v>28.279063999999998</v>
      </c>
      <c r="AQ93" s="111">
        <f>[12]GHG_hist!CD83+IF($M93="incl",[12]LULUCF_hist!DU83,0)</f>
        <v>29.793672000000001</v>
      </c>
      <c r="AR93" s="111">
        <f>[12]GHG_hist!CE83+IF($M93="incl",[12]LULUCF_hist!DV83,0)</f>
        <v>30.82564</v>
      </c>
      <c r="AS93" s="111">
        <f>[12]GHG_hist!CF83+IF($M93="incl",[12]LULUCF_hist!DW83,0)</f>
        <v>32.034460000000003</v>
      </c>
      <c r="AT93" s="161">
        <f>VLOOKUP($L93,'[12]IMAGE SSP2'!$AF$3:$AK$29,4,FALSE)*$AM93</f>
        <v>32.660178031892258</v>
      </c>
      <c r="AU93" s="162">
        <f>VLOOKUP($L93,'[12]IMAGE SSP2'!$AF$3:$AK$29,5,FALSE)*$AM93</f>
        <v>37.892538012079946</v>
      </c>
      <c r="AV93" s="163">
        <f>VLOOKUP($L93,'[12]IMAGE SSP2'!$AF$3:$AK$29,6,FALSE)*$AM93</f>
        <v>45.424499878418295</v>
      </c>
      <c r="AW93" s="111">
        <f t="shared" si="75"/>
        <v>22.262909499999999</v>
      </c>
      <c r="AX93" s="164">
        <f>[12]NDCs!$U$95</f>
        <v>23.175000000000001</v>
      </c>
      <c r="AY93" s="111" t="str">
        <f>IF('[12]Pledge 2020'!E83="","",'[12]Pledge 2020'!E83)</f>
        <v/>
      </c>
      <c r="AZ93" s="164" t="str">
        <f>IF('[12]Pledge 2020'!F83="","",'[12]Pledge 2020'!F83)</f>
        <v/>
      </c>
      <c r="BA93" s="111">
        <f>IF(BE93="","",(BE93-AH93)*0.75+AH93)</f>
        <v>21.032973500000001</v>
      </c>
      <c r="BB93" s="111">
        <f>IF(BF93="","",(BF93-AH93)*0.75+AH93)</f>
        <v>21.032973500000001</v>
      </c>
      <c r="BC93" s="111">
        <f>IF(BG93="","",(BG93-AH93)*0.75+AH93)</f>
        <v>19.764142249999999</v>
      </c>
      <c r="BD93" s="111">
        <f>IF(BH93="","",(BH93-AH93)*0.75+AH93)</f>
        <v>19.764142249999999</v>
      </c>
      <c r="BE93" s="169">
        <v>20.927025</v>
      </c>
      <c r="BF93" s="169">
        <v>20.927025</v>
      </c>
      <c r="BG93" s="169">
        <v>19.235250000000001</v>
      </c>
      <c r="BH93" s="170">
        <v>19.235250000000001</v>
      </c>
      <c r="BI93" s="111" t="str">
        <f>IF([12]NDCs!V95="",IF([12]NDCs!X95="","",[12]NDCs!X95),[12]NDCs!V95)</f>
        <v/>
      </c>
      <c r="BJ93" s="111" t="str">
        <f>IF([12]NDCs!V95="",IF([12]NDCs!X95="","",[12]NDCs!X95),[12]NDCs!V95)</f>
        <v/>
      </c>
      <c r="BK93" s="111">
        <f>IF([12]NDCs!Z95="",IF([12]NDCs!AB95="",IF('input site'!BE93="","",'input site'!BE93),[12]NDCs!AB95),[12]NDCs!Z95)</f>
        <v>44.64</v>
      </c>
      <c r="BL93" s="111">
        <f>IF([12]NDCs!AA95="",IF([12]NDCs!AC95="",IF('input site'!BF93="","",'input site'!BF93),[12]NDCs!AC95),[12]NDCs!AA95)</f>
        <v>44.64</v>
      </c>
      <c r="BM93" s="111">
        <f>IF($BI$8=2015,VLOOKUP($L93,'[12]IMAGE CurPol SSP'!$AZ$3:$BD$29,4,FALSE)*$AM93,IF($BI$8=2018,VLOOKUP($L93,'[12]IMAGE CurPol SSP'!$BJ$3:$BN$29,4,FALSE)*$AP93,$AR93))</f>
        <v>30.82564</v>
      </c>
      <c r="BN93" s="111">
        <f t="shared" si="78"/>
        <v>30.82564</v>
      </c>
      <c r="BO93" s="111">
        <f t="shared" si="78"/>
        <v>30.82564</v>
      </c>
      <c r="BP93" s="111">
        <f>IF($BI$8=2015,VLOOKUP($L93,'[12]IMAGE CurPol SSP'!$AZ$3:$BD$29,5,FALSE)*$AM93,IF($BI$8=2018,VLOOKUP($L93,'[12]IMAGE CurPol SSP'!$BJ$3:$BN$29,5,FALSE)*$AP93,VLOOKUP($L93,'[12]IMAGE CurPol SSP'!$BU$3:$BZ$29,5,FALSE)*$AS93))</f>
        <v>33.179598067941463</v>
      </c>
      <c r="BQ93" s="111">
        <f>IF($BI$8=2015,"",IF($BI$8=2018,"",VLOOKUP($L93,'[12]IMAGE CurPol SSP'!$CQ$3:$CV$29,5,FALSE)*$AS93))</f>
        <v>32.810962477660674</v>
      </c>
      <c r="BR93" s="111">
        <f>IF($BI$8=2015,"",IF($BI$8=2018,"",VLOOKUP($L93,'[12]IMAGE CurPol SSP'!$CF$3:$CK$29,5,FALSE)*$AS93))</f>
        <v>33.489759344706094</v>
      </c>
      <c r="BS93" s="111">
        <f>IF($BI$8=2015,VLOOKUP($L93,'[12]IMAGE CurPol SSP'!$AZ$3:$BE$29,6,FALSE)*$AM93,IF($BI$8=2018,VLOOKUP($L93,'[12]IMAGE CurPol SSP'!$BJ$3:$BO$29,6,FALSE)*$AP93,VLOOKUP($L93,'[12]IMAGE CurPol SSP'!$BU$3:$BZ$29,6,FALSE)*$AS93))</f>
        <v>38.152611423118188</v>
      </c>
      <c r="BT93" s="111">
        <f>IF($BI$8=2015,"",IF($BI$8=2018,"",VLOOKUP($L93,'[12]IMAGE CurPol SSP'!$CQ$3:$CV$29,6,FALSE)*$AS93))</f>
        <v>37.16436312890017</v>
      </c>
      <c r="BU93" s="164">
        <f>IF($BI$8=2015,"",IF($BI$8=2018,"",VLOOKUP($L93,'[12]IMAGE CurPol SSP'!$CF$3:$CK$29,6,FALSE)*$AS93))</f>
        <v>38.152611423118188</v>
      </c>
      <c r="CN93" t="s">
        <v>215</v>
      </c>
      <c r="CO93" s="165">
        <f t="shared" si="69"/>
        <v>-0.45149167463489848</v>
      </c>
      <c r="CP93" s="165">
        <f t="shared" si="69"/>
        <v>-0.45149167463489848</v>
      </c>
      <c r="CQ93" s="165">
        <f t="shared" si="69"/>
        <v>-0.49583398665223222</v>
      </c>
      <c r="CR93" s="165">
        <f t="shared" si="65"/>
        <v>-0.49583398665223222</v>
      </c>
      <c r="CV93" s="125" t="s">
        <v>621</v>
      </c>
      <c r="CW93" s="125" t="s">
        <v>621</v>
      </c>
      <c r="CX93"/>
      <c r="CY93" s="167">
        <f t="shared" si="70"/>
        <v>1.8345380318922579</v>
      </c>
      <c r="DB93" s="106"/>
      <c r="DC93" s="106"/>
      <c r="DD93" s="106"/>
      <c r="DE93" s="106"/>
      <c r="DF93" s="106"/>
      <c r="DG93" s="105" t="str">
        <f t="shared" si="71"/>
        <v>excl</v>
      </c>
      <c r="DH93" t="s">
        <v>215</v>
      </c>
      <c r="DI93" s="111">
        <f t="shared" si="58"/>
        <v>0</v>
      </c>
      <c r="DJ93" s="111">
        <f t="shared" si="58"/>
        <v>0</v>
      </c>
      <c r="DK93" s="111">
        <f t="shared" si="59"/>
        <v>-12.146624567941462</v>
      </c>
      <c r="DL93" s="111">
        <f t="shared" si="60"/>
        <v>-13.415455817941464</v>
      </c>
      <c r="DM93" s="111">
        <f t="shared" si="61"/>
        <v>-17.225586423118187</v>
      </c>
      <c r="DN93" s="111">
        <f t="shared" si="62"/>
        <v>-18.917361423118187</v>
      </c>
      <c r="DO93" s="111">
        <f t="shared" si="63"/>
        <v>0</v>
      </c>
      <c r="DP93" s="111">
        <f t="shared" si="64"/>
        <v>6.4873885768818127</v>
      </c>
      <c r="DQ93" s="106"/>
      <c r="DR93" s="106"/>
      <c r="DS93" s="111"/>
      <c r="DT93" s="168"/>
      <c r="DW93" s="111">
        <f t="shared" si="72"/>
        <v>20.927025</v>
      </c>
      <c r="DX93" s="111">
        <f t="shared" si="72"/>
        <v>20.927025</v>
      </c>
      <c r="DY93" s="111">
        <f t="shared" si="72"/>
        <v>19.235250000000001</v>
      </c>
      <c r="DZ93" s="111">
        <f t="shared" si="66"/>
        <v>19.235250000000001</v>
      </c>
      <c r="EP93" t="s">
        <v>215</v>
      </c>
      <c r="EQ93">
        <v>-1</v>
      </c>
      <c r="ER93" s="111">
        <f t="shared" si="73"/>
        <v>28.279063999999998</v>
      </c>
      <c r="ES93" s="111">
        <f>IF($BI$8=2015,VLOOKUP($L93,'[12]IMAGE CDLINKS CurPol'!$P$3:$Y$29,10,FALSE)*$AM93,VLOOKUP($L93,'[12]IMAGE CDLINKS CurPol'!$Z$3:$AI$29,10,FALSE)*$AP93)</f>
        <v>59.043151875218435</v>
      </c>
      <c r="ET93" s="111">
        <f t="shared" si="74"/>
        <v>59.043151875218435</v>
      </c>
      <c r="EU93" s="111">
        <f t="shared" si="76"/>
        <v>26.947010842464966</v>
      </c>
      <c r="EV93" s="111">
        <f>IF($BI$8=2015,VLOOKUP($L93,'[12]IMAGE CDLINKS 2C'!$P$3:$Y$29,10,FALSE)*$AM93,VLOOKUP($L93,'[12]IMAGE CDLINKS 2C'!$Z$3:$AI$29,10,FALSE)*$AP93)</f>
        <v>26.947010842464966</v>
      </c>
      <c r="EX93" s="111"/>
      <c r="EY93" s="111">
        <f t="shared" si="77"/>
        <v>15.349025054353019</v>
      </c>
      <c r="EZ93" s="111">
        <f>IF($BI$8=2015,VLOOKUP($L93,'[12]IMAGE CDLINKS 1_5C'!$P$3:$Y$29,10,FALSE)*$AM93,VLOOKUP($L93,'[12]IMAGE CDLINKS 1_5C'!$Z$3:$AI$29,10,FALSE)*$AP93)</f>
        <v>15.349025054353019</v>
      </c>
      <c r="FA93" s="192">
        <v>2050</v>
      </c>
    </row>
    <row r="94" spans="1:157" x14ac:dyDescent="0.25">
      <c r="A94" t="str">
        <f>IF([12]NDCs!C96="","",[12]NDCs!C96)</f>
        <v>G</v>
      </c>
      <c r="B94" s="159" t="str">
        <f t="shared" si="67"/>
        <v>v</v>
      </c>
      <c r="C94">
        <v>0</v>
      </c>
      <c r="D94">
        <v>0</v>
      </c>
      <c r="E94">
        <v>0</v>
      </c>
      <c r="F94">
        <v>1</v>
      </c>
      <c r="G94" t="b">
        <f t="shared" si="68"/>
        <v>0</v>
      </c>
      <c r="H94" t="s">
        <v>2328</v>
      </c>
      <c r="I94" t="s">
        <v>217</v>
      </c>
      <c r="J94">
        <v>624</v>
      </c>
      <c r="K94">
        <v>161</v>
      </c>
      <c r="L94">
        <v>8</v>
      </c>
      <c r="M94" t="str">
        <f>IF([12]NDCs!AL96="Excluding","excl","incl")</f>
        <v>excl</v>
      </c>
      <c r="N94" s="160">
        <f>[12]GHG_hist!BA84+IF($M94="incl",[12]LULUCF_hist!CR84,0)</f>
        <v>1.7715166</v>
      </c>
      <c r="O94" s="111">
        <f>[12]GHG_hist!BB84+IF($M94="incl",[12]LULUCF_hist!CS84,0)</f>
        <v>1.7906559</v>
      </c>
      <c r="P94" s="111">
        <f>[12]GHG_hist!BC84+IF($M94="incl",[12]LULUCF_hist!CT84,0)</f>
        <v>1.8332092</v>
      </c>
      <c r="Q94" s="111">
        <f>[12]GHG_hist!BD84+IF($M94="incl",[12]LULUCF_hist!CU84,0)</f>
        <v>1.8659989000000001</v>
      </c>
      <c r="R94" s="111">
        <f>[12]GHG_hist!BE84+IF($M94="incl",[12]LULUCF_hist!CV84,0)</f>
        <v>1.8929684</v>
      </c>
      <c r="S94" s="111">
        <f>[12]GHG_hist!BF84+IF($M94="incl",[12]LULUCF_hist!CW84,0)</f>
        <v>1.9356724000000001</v>
      </c>
      <c r="T94" s="111">
        <f>[12]GHG_hist!BG84+IF($M94="incl",[12]LULUCF_hist!CX84,0)</f>
        <v>1.8761808000000002</v>
      </c>
      <c r="U94" s="111">
        <f>[12]GHG_hist!BH84+IF($M94="incl",[12]LULUCF_hist!CY84,0)</f>
        <v>1.8653069</v>
      </c>
      <c r="V94" s="111">
        <f>[12]GHG_hist!BI84+IF($M94="incl",[12]LULUCF_hist!CZ84,0)</f>
        <v>1.8418526</v>
      </c>
      <c r="W94" s="111">
        <f>[12]GHG_hist!BJ84+IF($M94="incl",[12]LULUCF_hist!DA84,0)</f>
        <v>1.9976998000000001</v>
      </c>
      <c r="X94" s="111">
        <f>[12]GHG_hist!BK84+IF($M94="incl",[12]LULUCF_hist!DB84,0)</f>
        <v>1.9754441</v>
      </c>
      <c r="Y94" s="111">
        <f>[12]GHG_hist!BL84+IF($M94="incl",[12]LULUCF_hist!DC84,0)</f>
        <v>2.2706918000000003</v>
      </c>
      <c r="Z94" s="111">
        <f>[12]GHG_hist!BM84+IF($M94="incl",[12]LULUCF_hist!DD84,0)</f>
        <v>2.3279729000000002</v>
      </c>
      <c r="AA94" s="111">
        <f>[12]GHG_hist!BN84+IF($M94="incl",[12]LULUCF_hist!DE84,0)</f>
        <v>2.3843148999999997</v>
      </c>
      <c r="AB94" s="111">
        <f>[12]GHG_hist!BO84+IF($M94="incl",[12]LULUCF_hist!DF84,0)</f>
        <v>2.3120792999999997</v>
      </c>
      <c r="AC94" s="111">
        <f>[12]GHG_hist!BP84+IF($M94="incl",[12]LULUCF_hist!DG84,0)</f>
        <v>2.2713095000000001</v>
      </c>
      <c r="AD94" s="111">
        <f>[12]GHG_hist!BQ84+IF($M94="incl",[12]LULUCF_hist!DH84,0)</f>
        <v>2.4468421</v>
      </c>
      <c r="AE94" s="111">
        <f>[12]GHG_hist!BR84+IF($M94="incl",[12]LULUCF_hist!DI84,0)</f>
        <v>2.4833537000000003</v>
      </c>
      <c r="AF94" s="111">
        <f>[12]GHG_hist!BS84+IF($M94="incl",[12]LULUCF_hist!DJ84,0)</f>
        <v>2.4070900000000002</v>
      </c>
      <c r="AG94" s="111">
        <f>[12]GHG_hist!BT84+IF($M94="incl",[12]LULUCF_hist!DK84,0)</f>
        <v>2.5434319999999997</v>
      </c>
      <c r="AH94" s="111">
        <f>[12]GHG_hist!BU84+IF($M94="incl",[12]LULUCF_hist!DL84,0)</f>
        <v>2.6406466000000002</v>
      </c>
      <c r="AI94" s="111">
        <f>[12]GHG_hist!BV84+IF($M94="incl",[12]LULUCF_hist!DM84,0)</f>
        <v>2.6502008999999997</v>
      </c>
      <c r="AJ94" s="111">
        <f>[12]GHG_hist!BW84+IF($M94="incl",[12]LULUCF_hist!DN84,0)</f>
        <v>2.8467465000000001</v>
      </c>
      <c r="AK94" s="111">
        <f>[12]GHG_hist!BX84+IF($M94="incl",[12]LULUCF_hist!DO84,0)</f>
        <v>2.8118531</v>
      </c>
      <c r="AL94" s="111">
        <f>[12]GHG_hist!BY84+IF($M94="incl",[12]LULUCF_hist!DP84,0)</f>
        <v>2.8157109</v>
      </c>
      <c r="AM94" s="111">
        <f>[12]GHG_hist!BZ84+IF($M94="incl",[12]LULUCF_hist!DQ84,0)</f>
        <v>2.9438258999999998</v>
      </c>
      <c r="AN94" s="111">
        <f>[12]GHG_hist!CA84+IF($M94="incl",[12]LULUCF_hist!DR84,0)</f>
        <v>2.9332944000000003</v>
      </c>
      <c r="AO94" s="111">
        <f>[12]GHG_hist!CB84+IF($M94="incl",[12]LULUCF_hist!DS84,0)</f>
        <v>2.9580649999999999</v>
      </c>
      <c r="AP94" s="111">
        <f>[12]GHG_hist!CC84+IF($M94="incl",[12]LULUCF_hist!DT84,0)</f>
        <v>3.1350432000000001</v>
      </c>
      <c r="AQ94" s="111">
        <f>[12]GHG_hist!CD84+IF($M94="incl",[12]LULUCF_hist!DU84,0)</f>
        <v>3.1643105</v>
      </c>
      <c r="AR94" s="111">
        <f>[12]GHG_hist!CE84+IF($M94="incl",[12]LULUCF_hist!DV84,0)</f>
        <v>3.1990704000000001</v>
      </c>
      <c r="AS94" s="111">
        <f>[12]GHG_hist!CF84+IF($M94="incl",[12]LULUCF_hist!DW84,0)</f>
        <v>3.2672108</v>
      </c>
      <c r="AT94" s="161">
        <f>VLOOKUP($L94,'[12]IMAGE SSP2'!$AF$3:$AK$29,4,FALSE)*$AM94</f>
        <v>3.883750466510151</v>
      </c>
      <c r="AU94" s="162">
        <f>VLOOKUP($L94,'[12]IMAGE SSP2'!$AF$3:$AK$29,5,FALSE)*$AM94</f>
        <v>4.505951009757637</v>
      </c>
      <c r="AV94" s="163">
        <f>VLOOKUP($L94,'[12]IMAGE SSP2'!$AF$3:$AK$29,6,FALSE)*$AM94</f>
        <v>5.401606274819688</v>
      </c>
      <c r="AW94" s="111" t="str">
        <f t="shared" si="75"/>
        <v/>
      </c>
      <c r="AX94" s="164" t="str">
        <f>IF(A94="B",IF(M94="excl",[12]NatCom!CO84,[12]NatCom!AX84),"")</f>
        <v/>
      </c>
      <c r="AY94" s="111" t="str">
        <f>IF('[12]Pledge 2020'!E84="","",'[12]Pledge 2020'!E84)</f>
        <v/>
      </c>
      <c r="AZ94" s="164" t="str">
        <f>IF('[12]Pledge 2020'!F84="","",'[12]Pledge 2020'!F84)</f>
        <v/>
      </c>
      <c r="BA94" s="111" t="str">
        <f t="shared" si="51"/>
        <v/>
      </c>
      <c r="BB94" s="111"/>
      <c r="BC94" s="111" t="str">
        <f t="shared" si="52"/>
        <v/>
      </c>
      <c r="BD94" s="111"/>
      <c r="BE94" s="111" t="s">
        <v>2477</v>
      </c>
      <c r="BF94" s="111" t="s">
        <v>2477</v>
      </c>
      <c r="BG94" s="111" t="s">
        <v>2477</v>
      </c>
      <c r="BH94" s="164" t="s">
        <v>2477</v>
      </c>
      <c r="BI94" s="111" t="str">
        <f>IF([12]NDCs!V96="",IF([12]NDCs!X96="","",[12]NDCs!X96),[12]NDCs!V96)</f>
        <v/>
      </c>
      <c r="BJ94" s="111" t="str">
        <f>IF([12]NDCs!V96="",IF([12]NDCs!X96="","",[12]NDCs!X96),[12]NDCs!V96)</f>
        <v/>
      </c>
      <c r="BK94" s="111" t="str">
        <f>IF([12]NDCs!Z96="",IF([12]NDCs!AB96="",IF('input site'!BE94="","",'input site'!BE94),[12]NDCs!AB96),[12]NDCs!Z96)</f>
        <v/>
      </c>
      <c r="BL94" s="111" t="str">
        <f>IF([12]NDCs!AA96="",IF([12]NDCs!AC96="",IF('input site'!BF94="","",'input site'!BF94),[12]NDCs!AC96),[12]NDCs!AA96)</f>
        <v/>
      </c>
      <c r="BM94" s="111">
        <f>IF($BI$8=2015,VLOOKUP($L94,'[12]IMAGE CurPol SSP'!$AZ$3:$BD$29,4,FALSE)*$AM94,IF($BI$8=2018,VLOOKUP($L94,'[12]IMAGE CurPol SSP'!$BJ$3:$BN$29,4,FALSE)*$AP94,$AR94))</f>
        <v>3.1990704000000001</v>
      </c>
      <c r="BN94" s="111">
        <f t="shared" si="78"/>
        <v>3.1990704000000001</v>
      </c>
      <c r="BO94" s="111">
        <f t="shared" si="78"/>
        <v>3.1990704000000001</v>
      </c>
      <c r="BP94" s="111">
        <f>IF($BI$8=2015,VLOOKUP($L94,'[12]IMAGE CurPol SSP'!$AZ$3:$BD$29,5,FALSE)*$AM94,IF($BI$8=2018,VLOOKUP($L94,'[12]IMAGE CurPol SSP'!$BJ$3:$BN$29,5,FALSE)*$AP94,VLOOKUP($L94,'[12]IMAGE CurPol SSP'!$BU$3:$BZ$29,5,FALSE)*$AS94))</f>
        <v>3.3840040115312533</v>
      </c>
      <c r="BQ94" s="111">
        <f>IF($BI$8=2015,"",IF($BI$8=2018,"",VLOOKUP($L94,'[12]IMAGE CurPol SSP'!$CQ$3:$CV$29,5,FALSE)*$AS94))</f>
        <v>3.3464066809744164</v>
      </c>
      <c r="BR94" s="111">
        <f>IF($BI$8=2015,"",IF($BI$8=2018,"",VLOOKUP($L94,'[12]IMAGE CurPol SSP'!$CF$3:$CK$29,5,FALSE)*$AS94))</f>
        <v>3.4156375172368967</v>
      </c>
      <c r="BS94" s="111">
        <f>IF($BI$8=2015,VLOOKUP($L94,'[12]IMAGE CurPol SSP'!$AZ$3:$BE$29,6,FALSE)*$AM94,IF($BI$8=2018,VLOOKUP($L94,'[12]IMAGE CurPol SSP'!$BJ$3:$BO$29,6,FALSE)*$AP94,VLOOKUP($L94,'[12]IMAGE CurPol SSP'!$BU$3:$BZ$29,6,FALSE)*$AS94))</f>
        <v>3.8912041623244185</v>
      </c>
      <c r="BT94" s="111">
        <f>IF($BI$8=2015,"",IF($BI$8=2018,"",VLOOKUP($L94,'[12]IMAGE CurPol SSP'!$CQ$3:$CV$29,6,FALSE)*$AS94))</f>
        <v>3.7904122182757076</v>
      </c>
      <c r="BU94" s="164">
        <f>IF($BI$8=2015,"",IF($BI$8=2018,"",VLOOKUP($L94,'[12]IMAGE CurPol SSP'!$CF$3:$CK$29,6,FALSE)*$AS94))</f>
        <v>3.8912041623244185</v>
      </c>
      <c r="CN94" t="s">
        <v>217</v>
      </c>
      <c r="CO94" s="165" t="str">
        <f t="shared" si="69"/>
        <v/>
      </c>
      <c r="CP94" s="165" t="str">
        <f t="shared" si="69"/>
        <v/>
      </c>
      <c r="CQ94" s="165" t="str">
        <f t="shared" si="69"/>
        <v/>
      </c>
      <c r="CR94" s="165" t="str">
        <f t="shared" si="65"/>
        <v/>
      </c>
      <c r="CV94" s="125" t="s">
        <v>621</v>
      </c>
      <c r="CW94" s="125" t="s">
        <v>621</v>
      </c>
      <c r="CX94"/>
      <c r="CY94" s="167">
        <f t="shared" si="70"/>
        <v>0.6846800665101509</v>
      </c>
      <c r="DB94" s="106"/>
      <c r="DC94" s="106"/>
      <c r="DD94" s="106"/>
      <c r="DE94" s="106"/>
      <c r="DF94" s="106"/>
      <c r="DG94" s="105" t="str">
        <f t="shared" si="71"/>
        <v>excl</v>
      </c>
      <c r="DH94" t="s">
        <v>217</v>
      </c>
      <c r="DI94" s="111">
        <f t="shared" si="58"/>
        <v>0</v>
      </c>
      <c r="DJ94" s="111">
        <f t="shared" si="58"/>
        <v>0</v>
      </c>
      <c r="DK94" s="111">
        <f t="shared" si="59"/>
        <v>0</v>
      </c>
      <c r="DL94" s="111">
        <f t="shared" si="60"/>
        <v>0</v>
      </c>
      <c r="DM94" s="111">
        <f t="shared" si="61"/>
        <v>0</v>
      </c>
      <c r="DN94" s="111">
        <f t="shared" si="62"/>
        <v>0</v>
      </c>
      <c r="DO94" s="111">
        <f t="shared" si="63"/>
        <v>0</v>
      </c>
      <c r="DP94" s="111">
        <f t="shared" si="64"/>
        <v>0</v>
      </c>
      <c r="DQ94" s="106"/>
      <c r="DR94" s="106"/>
      <c r="DS94" s="111"/>
      <c r="DT94" s="168"/>
      <c r="DW94" s="111">
        <f t="shared" si="72"/>
        <v>3.8912041623244185</v>
      </c>
      <c r="DX94" s="111">
        <f t="shared" si="72"/>
        <v>3.8912041623244185</v>
      </c>
      <c r="DY94" s="111">
        <f t="shared" si="72"/>
        <v>3.8912041623244185</v>
      </c>
      <c r="DZ94" s="111">
        <f t="shared" si="66"/>
        <v>3.8912041623244185</v>
      </c>
      <c r="EP94" t="s">
        <v>217</v>
      </c>
      <c r="EQ94">
        <v>-1</v>
      </c>
      <c r="ER94" s="111">
        <f t="shared" si="73"/>
        <v>3.1350432000000001</v>
      </c>
      <c r="ES94" s="111">
        <f>IF($BI$8=2015,VLOOKUP($L94,'[12]IMAGE CDLINKS CurPol'!$P$3:$Y$29,10,FALSE)*$AM94,VLOOKUP($L94,'[12]IMAGE CDLINKS CurPol'!$Z$3:$AI$29,10,FALSE)*$AP94)</f>
        <v>6.5455784460536179</v>
      </c>
      <c r="ET94" s="111">
        <f t="shared" si="74"/>
        <v>6.5455784460536179</v>
      </c>
      <c r="EU94" s="111">
        <f t="shared" si="76"/>
        <v>2.9873705544849742</v>
      </c>
      <c r="EV94" s="111">
        <f>IF($BI$8=2015,VLOOKUP($L94,'[12]IMAGE CDLINKS 2C'!$P$3:$Y$29,10,FALSE)*$AM94,VLOOKUP($L94,'[12]IMAGE CDLINKS 2C'!$Z$3:$AI$29,10,FALSE)*$AP94)</f>
        <v>2.9873705544849742</v>
      </c>
      <c r="EX94" s="111"/>
      <c r="EY94" s="111">
        <f t="shared" si="77"/>
        <v>1.70160711907859</v>
      </c>
      <c r="EZ94" s="111">
        <f>IF($BI$8=2015,VLOOKUP($L94,'[12]IMAGE CDLINKS 1_5C'!$P$3:$Y$29,10,FALSE)*$AM94,VLOOKUP($L94,'[12]IMAGE CDLINKS 1_5C'!$Z$3:$AI$29,10,FALSE)*$AP94)</f>
        <v>1.70160711907859</v>
      </c>
      <c r="FA94" s="192">
        <v>2050</v>
      </c>
    </row>
    <row r="95" spans="1:157" x14ac:dyDescent="0.25">
      <c r="A95" t="str">
        <f>IF([12]NDCs!C97="","",[12]NDCs!C97)</f>
        <v>G</v>
      </c>
      <c r="B95" s="159" t="str">
        <f t="shared" si="67"/>
        <v>v</v>
      </c>
      <c r="C95">
        <v>0</v>
      </c>
      <c r="D95">
        <v>0</v>
      </c>
      <c r="E95">
        <v>0</v>
      </c>
      <c r="F95">
        <v>1</v>
      </c>
      <c r="G95" t="b">
        <f t="shared" si="68"/>
        <v>0</v>
      </c>
      <c r="H95" t="s">
        <v>2328</v>
      </c>
      <c r="I95" t="s">
        <v>219</v>
      </c>
      <c r="J95">
        <v>328</v>
      </c>
      <c r="K95">
        <v>83</v>
      </c>
      <c r="L95">
        <v>6</v>
      </c>
      <c r="M95" t="str">
        <f>IF([12]NDCs!AL97="Excluding","excl","incl")</f>
        <v>excl</v>
      </c>
      <c r="N95" s="160">
        <f>[12]GHG_hist!BA85+IF($M95="incl",[12]LULUCF_hist!CR85,0)</f>
        <v>2.8342280999999998</v>
      </c>
      <c r="O95" s="111">
        <f>[12]GHG_hist!BB85+IF($M95="incl",[12]LULUCF_hist!CS85,0)</f>
        <v>2.7954986000000002</v>
      </c>
      <c r="P95" s="111">
        <f>[12]GHG_hist!BC85+IF($M95="incl",[12]LULUCF_hist!CT85,0)</f>
        <v>2.8047419000000002</v>
      </c>
      <c r="Q95" s="111">
        <f>[12]GHG_hist!BD85+IF($M95="incl",[12]LULUCF_hist!CU85,0)</f>
        <v>2.8222332000000003</v>
      </c>
      <c r="R95" s="111">
        <f>[12]GHG_hist!BE85+IF($M95="incl",[12]LULUCF_hist!CV85,0)</f>
        <v>2.8359378000000004</v>
      </c>
      <c r="S95" s="111">
        <f>[12]GHG_hist!BF85+IF($M95="incl",[12]LULUCF_hist!CW85,0)</f>
        <v>2.8827069999999999</v>
      </c>
      <c r="T95" s="111">
        <f>[12]GHG_hist!BG85+IF($M95="incl",[12]LULUCF_hist!CX85,0)</f>
        <v>3.0035241999999998</v>
      </c>
      <c r="U95" s="111">
        <f>[12]GHG_hist!BH85+IF($M95="incl",[12]LULUCF_hist!CY85,0)</f>
        <v>3.2007167000000001</v>
      </c>
      <c r="V95" s="111">
        <f>[12]GHG_hist!BI85+IF($M95="incl",[12]LULUCF_hist!CZ85,0)</f>
        <v>3.2413171000000003</v>
      </c>
      <c r="W95" s="111">
        <f>[12]GHG_hist!BJ85+IF($M95="incl",[12]LULUCF_hist!DA85,0)</f>
        <v>3.3131370000000002</v>
      </c>
      <c r="X95" s="111">
        <f>[12]GHG_hist!BK85+IF($M95="incl",[12]LULUCF_hist!DB85,0)</f>
        <v>3.1260205000000001</v>
      </c>
      <c r="Y95" s="111">
        <f>[12]GHG_hist!BL85+IF($M95="incl",[12]LULUCF_hist!DC85,0)</f>
        <v>3.5987413999999998</v>
      </c>
      <c r="Z95" s="111">
        <f>[12]GHG_hist!BM85+IF($M95="incl",[12]LULUCF_hist!DD85,0)</f>
        <v>2.9268027999999999</v>
      </c>
      <c r="AA95" s="111">
        <f>[12]GHG_hist!BN85+IF($M95="incl",[12]LULUCF_hist!DE85,0)</f>
        <v>3.2177639</v>
      </c>
      <c r="AB95" s="111">
        <f>[12]GHG_hist!BO85+IF($M95="incl",[12]LULUCF_hist!DF85,0)</f>
        <v>3.1864053000000001</v>
      </c>
      <c r="AC95" s="111">
        <f>[12]GHG_hist!BP85+IF($M95="incl",[12]LULUCF_hist!DG85,0)</f>
        <v>2.8228735999999999</v>
      </c>
      <c r="AD95" s="111">
        <f>[12]GHG_hist!BQ85+IF($M95="incl",[12]LULUCF_hist!DH85,0)</f>
        <v>2.6836826999999999</v>
      </c>
      <c r="AE95" s="111">
        <f>[12]GHG_hist!BR85+IF($M95="incl",[12]LULUCF_hist!DI85,0)</f>
        <v>2.9525617000000004</v>
      </c>
      <c r="AF95" s="111">
        <f>[12]GHG_hist!BS85+IF($M95="incl",[12]LULUCF_hist!DJ85,0)</f>
        <v>2.9744838000000002</v>
      </c>
      <c r="AG95" s="111">
        <f>[12]GHG_hist!BT85+IF($M95="incl",[12]LULUCF_hist!DK85,0)</f>
        <v>3.1682060000000001</v>
      </c>
      <c r="AH95" s="111">
        <f>[12]GHG_hist!BU85+IF($M95="incl",[12]LULUCF_hist!DL85,0)</f>
        <v>3.2188220000000003</v>
      </c>
      <c r="AI95" s="111">
        <f>[12]GHG_hist!BV85+IF($M95="incl",[12]LULUCF_hist!DM85,0)</f>
        <v>3.3401798</v>
      </c>
      <c r="AJ95" s="111">
        <f>[12]GHG_hist!BW85+IF($M95="incl",[12]LULUCF_hist!DN85,0)</f>
        <v>3.3877473</v>
      </c>
      <c r="AK95" s="111">
        <f>[12]GHG_hist!BX85+IF($M95="incl",[12]LULUCF_hist!DO85,0)</f>
        <v>3.4678822</v>
      </c>
      <c r="AL95" s="111">
        <f>[12]GHG_hist!BY85+IF($M95="incl",[12]LULUCF_hist!DP85,0)</f>
        <v>3.6450862000000002</v>
      </c>
      <c r="AM95" s="111">
        <f>[12]GHG_hist!BZ85+IF($M95="incl",[12]LULUCF_hist!DQ85,0)</f>
        <v>3.7409461999999998</v>
      </c>
      <c r="AN95" s="111">
        <f>[12]GHG_hist!CA85+IF($M95="incl",[12]LULUCF_hist!DR85,0)</f>
        <v>3.7744328999999999</v>
      </c>
      <c r="AO95" s="111">
        <f>[12]GHG_hist!CB85+IF($M95="incl",[12]LULUCF_hist!DS85,0)</f>
        <v>3.8654261999999999</v>
      </c>
      <c r="AP95" s="111">
        <f>[12]GHG_hist!CC85+IF($M95="incl",[12]LULUCF_hist!DT85,0)</f>
        <v>4.0124713999999999</v>
      </c>
      <c r="AQ95" s="111">
        <f>[12]GHG_hist!CD85+IF($M95="incl",[12]LULUCF_hist!DU85,0)</f>
        <v>4.1040165000000002</v>
      </c>
      <c r="AR95" s="111">
        <f>[12]GHG_hist!CE85+IF($M95="incl",[12]LULUCF_hist!DV85,0)</f>
        <v>3.8080544000000001</v>
      </c>
      <c r="AS95" s="111">
        <f>[12]GHG_hist!CF85+IF($M95="incl",[12]LULUCF_hist!DW85,0)</f>
        <v>4.0392345999999995</v>
      </c>
      <c r="AT95" s="161">
        <f>VLOOKUP($L95,'[12]IMAGE SSP2'!$AF$3:$AK$29,4,FALSE)*$AM95</f>
        <v>4.2081944657391404</v>
      </c>
      <c r="AU95" s="162">
        <f>VLOOKUP($L95,'[12]IMAGE SSP2'!$AF$3:$AK$29,5,FALSE)*$AM95</f>
        <v>4.6448365179404361</v>
      </c>
      <c r="AV95" s="163">
        <f>VLOOKUP($L95,'[12]IMAGE SSP2'!$AF$3:$AK$29,6,FALSE)*$AM95</f>
        <v>5.0386642368228829</v>
      </c>
      <c r="AW95" s="111" t="str">
        <f t="shared" si="75"/>
        <v/>
      </c>
      <c r="AX95" s="164" t="str">
        <f>IF(A95="B",IF(M95="excl",[12]NatCom!CO85,[12]NatCom!AX85),"")</f>
        <v/>
      </c>
      <c r="AY95" s="111" t="str">
        <f>IF('[12]Pledge 2020'!E85="","",'[12]Pledge 2020'!E85)</f>
        <v/>
      </c>
      <c r="AZ95" s="164" t="str">
        <f>IF('[12]Pledge 2020'!F85="","",'[12]Pledge 2020'!F85)</f>
        <v/>
      </c>
      <c r="BA95" s="111" t="str">
        <f t="shared" si="51"/>
        <v/>
      </c>
      <c r="BB95" s="111"/>
      <c r="BC95" s="111" t="str">
        <f t="shared" si="52"/>
        <v/>
      </c>
      <c r="BD95" s="111"/>
      <c r="BE95" s="111" t="s">
        <v>2477</v>
      </c>
      <c r="BF95" s="111" t="s">
        <v>2477</v>
      </c>
      <c r="BG95" s="111" t="s">
        <v>2477</v>
      </c>
      <c r="BH95" s="164" t="s">
        <v>2477</v>
      </c>
      <c r="BI95" s="111" t="str">
        <f>IF([12]NDCs!V97="",IF([12]NDCs!X97="","",[12]NDCs!X97),[12]NDCs!V97)</f>
        <v/>
      </c>
      <c r="BJ95" s="111" t="str">
        <f>IF([12]NDCs!V97="",IF([12]NDCs!X97="","",[12]NDCs!X97),[12]NDCs!V97)</f>
        <v/>
      </c>
      <c r="BK95" s="111" t="str">
        <f>IF([12]NDCs!Z97="",IF([12]NDCs!AB97="",IF('input site'!BE95="","",'input site'!BE95),[12]NDCs!AB97),[12]NDCs!Z97)</f>
        <v/>
      </c>
      <c r="BL95" s="111" t="str">
        <f>IF([12]NDCs!AA97="",IF([12]NDCs!AC97="",IF('input site'!BF95="","",'input site'!BF95),[12]NDCs!AC97),[12]NDCs!AA97)</f>
        <v/>
      </c>
      <c r="BM95" s="111">
        <f>IF($BI$8=2015,VLOOKUP($L95,'[12]IMAGE CurPol SSP'!$AZ$3:$BD$29,4,FALSE)*$AM95,IF($BI$8=2018,VLOOKUP($L95,'[12]IMAGE CurPol SSP'!$BJ$3:$BN$29,4,FALSE)*$AP95,$AR95))</f>
        <v>3.8080544000000001</v>
      </c>
      <c r="BN95" s="111">
        <f t="shared" si="78"/>
        <v>3.8080544000000001</v>
      </c>
      <c r="BO95" s="111">
        <f t="shared" si="78"/>
        <v>3.8080544000000001</v>
      </c>
      <c r="BP95" s="111">
        <f>IF($BI$8=2015,VLOOKUP($L95,'[12]IMAGE CurPol SSP'!$AZ$3:$BD$29,5,FALSE)*$AM95,IF($BI$8=2018,VLOOKUP($L95,'[12]IMAGE CurPol SSP'!$BJ$3:$BN$29,5,FALSE)*$AP95,VLOOKUP($L95,'[12]IMAGE CurPol SSP'!$BU$3:$BZ$29,5,FALSE)*$AS95))</f>
        <v>4.2094995126507948</v>
      </c>
      <c r="BQ95" s="111">
        <f>IF($BI$8=2015,"",IF($BI$8=2018,"",VLOOKUP($L95,'[12]IMAGE CurPol SSP'!$CQ$3:$CV$29,5,FALSE)*$AS95))</f>
        <v>4.1413030197620371</v>
      </c>
      <c r="BR95" s="111">
        <f>IF($BI$8=2015,"",IF($BI$8=2018,"",VLOOKUP($L95,'[12]IMAGE CurPol SSP'!$CF$3:$CK$29,5,FALSE)*$AS95))</f>
        <v>4.2783304652728376</v>
      </c>
      <c r="BS95" s="111">
        <f>IF($BI$8=2015,VLOOKUP($L95,'[12]IMAGE CurPol SSP'!$AZ$3:$BE$29,6,FALSE)*$AM95,IF($BI$8=2018,VLOOKUP($L95,'[12]IMAGE CurPol SSP'!$BJ$3:$BO$29,6,FALSE)*$AP95,VLOOKUP($L95,'[12]IMAGE CurPol SSP'!$BU$3:$BZ$29,6,FALSE)*$AS95))</f>
        <v>4.4893950594792624</v>
      </c>
      <c r="BT95" s="111">
        <f>IF($BI$8=2015,"",IF($BI$8=2018,"",VLOOKUP($L95,'[12]IMAGE CurPol SSP'!$CQ$3:$CV$29,6,FALSE)*$AS95))</f>
        <v>4.4104375698237615</v>
      </c>
      <c r="BU95" s="164">
        <f>IF($BI$8=2015,"",IF($BI$8=2018,"",VLOOKUP($L95,'[12]IMAGE CurPol SSP'!$CF$3:$CK$29,6,FALSE)*$AS95))</f>
        <v>4.5146261991198067</v>
      </c>
      <c r="CN95" t="s">
        <v>219</v>
      </c>
      <c r="CO95" s="165" t="str">
        <f t="shared" si="69"/>
        <v/>
      </c>
      <c r="CP95" s="165" t="str">
        <f t="shared" si="69"/>
        <v/>
      </c>
      <c r="CQ95" s="165" t="str">
        <f t="shared" si="69"/>
        <v/>
      </c>
      <c r="CR95" s="165" t="str">
        <f t="shared" si="65"/>
        <v/>
      </c>
      <c r="CV95" s="125" t="s">
        <v>621</v>
      </c>
      <c r="CW95" s="125" t="s">
        <v>621</v>
      </c>
      <c r="CX95"/>
      <c r="CY95" s="167">
        <f t="shared" si="70"/>
        <v>0.40014006573914029</v>
      </c>
      <c r="DB95" s="106"/>
      <c r="DC95" s="106"/>
      <c r="DD95" s="106"/>
      <c r="DE95" s="106"/>
      <c r="DF95" s="106"/>
      <c r="DG95" s="105" t="str">
        <f t="shared" si="71"/>
        <v>excl</v>
      </c>
      <c r="DH95" t="s">
        <v>219</v>
      </c>
      <c r="DI95" s="111">
        <f t="shared" si="58"/>
        <v>0</v>
      </c>
      <c r="DJ95" s="111">
        <f t="shared" si="58"/>
        <v>0</v>
      </c>
      <c r="DK95" s="111">
        <f t="shared" si="59"/>
        <v>0</v>
      </c>
      <c r="DL95" s="111">
        <f t="shared" si="60"/>
        <v>0</v>
      </c>
      <c r="DM95" s="111">
        <f t="shared" si="61"/>
        <v>0</v>
      </c>
      <c r="DN95" s="111">
        <f t="shared" si="62"/>
        <v>0</v>
      </c>
      <c r="DO95" s="111">
        <f t="shared" si="63"/>
        <v>0</v>
      </c>
      <c r="DP95" s="111">
        <f t="shared" si="64"/>
        <v>0</v>
      </c>
      <c r="DQ95" s="106"/>
      <c r="DR95" s="106"/>
      <c r="DS95" s="111"/>
      <c r="DT95" s="168"/>
      <c r="DW95" s="111">
        <f t="shared" si="72"/>
        <v>4.4893950594792624</v>
      </c>
      <c r="DX95" s="111">
        <f t="shared" si="72"/>
        <v>4.4893950594792624</v>
      </c>
      <c r="DY95" s="111">
        <f t="shared" si="72"/>
        <v>4.4893950594792624</v>
      </c>
      <c r="DZ95" s="111">
        <f t="shared" si="66"/>
        <v>4.4893950594792624</v>
      </c>
      <c r="EP95" t="s">
        <v>219</v>
      </c>
      <c r="EQ95">
        <v>1</v>
      </c>
      <c r="ER95" s="111">
        <f t="shared" si="73"/>
        <v>4.0124713999999999</v>
      </c>
      <c r="ES95" s="111">
        <f>IF($BI$8=2015,VLOOKUP($L95,'[12]IMAGE CDLINKS CurPol'!$P$3:$Y$29,10,FALSE)*$AM95,VLOOKUP($L95,'[12]IMAGE CDLINKS CurPol'!$Z$3:$AI$29,10,FALSE)*$AP95)</f>
        <v>6.5497833814612099</v>
      </c>
      <c r="ET95" s="111">
        <f t="shared" si="74"/>
        <v>0</v>
      </c>
      <c r="EU95" s="111">
        <f t="shared" si="76"/>
        <v>2.5719591542318407</v>
      </c>
      <c r="EV95" s="111">
        <f>IF($BI$8=2015,VLOOKUP($L95,'[12]IMAGE CDLINKS 2C'!$P$3:$Y$29,10,FALSE)*$AM95,VLOOKUP($L95,'[12]IMAGE CDLINKS 2C'!$Z$3:$AI$29,10,FALSE)*$AP95)</f>
        <v>2.5719591542318407</v>
      </c>
      <c r="EW95">
        <v>0</v>
      </c>
      <c r="EX95" s="111">
        <f>EW95-EV95</f>
        <v>-2.5719591542318407</v>
      </c>
      <c r="EY95" s="111">
        <f t="shared" si="77"/>
        <v>0</v>
      </c>
      <c r="EZ95" s="111">
        <f>IF($BI$8=2015,VLOOKUP($L95,'[12]IMAGE CDLINKS 1_5C'!$P$3:$Y$29,10,FALSE)*$AM95,VLOOKUP($L95,'[12]IMAGE CDLINKS 1_5C'!$Z$3:$AI$29,10,FALSE)*$AP95)</f>
        <v>1.5216386113759581</v>
      </c>
      <c r="FA95" s="192">
        <v>2050</v>
      </c>
    </row>
    <row r="96" spans="1:157" x14ac:dyDescent="0.25">
      <c r="A96" t="str">
        <f>IF([12]NDCs!C98="","",[12]NDCs!C98)</f>
        <v>C</v>
      </c>
      <c r="B96" s="159" t="str">
        <f t="shared" si="67"/>
        <v>v</v>
      </c>
      <c r="C96">
        <v>0</v>
      </c>
      <c r="D96">
        <v>0</v>
      </c>
      <c r="E96">
        <v>0</v>
      </c>
      <c r="F96">
        <v>1</v>
      </c>
      <c r="G96" t="b">
        <f t="shared" si="68"/>
        <v>1</v>
      </c>
      <c r="H96" t="s">
        <v>2328</v>
      </c>
      <c r="I96" t="s">
        <v>221</v>
      </c>
      <c r="J96">
        <v>332</v>
      </c>
      <c r="K96">
        <v>84</v>
      </c>
      <c r="L96">
        <v>4</v>
      </c>
      <c r="M96" t="str">
        <f>IF([12]NDCs!AL98="Excluding","excl","incl")</f>
        <v>incl</v>
      </c>
      <c r="N96" s="160">
        <f>[12]GHG_hist!BA86+IF($M96="incl",[12]LULUCF_hist!CR86,0)</f>
        <v>7.4318463000000001</v>
      </c>
      <c r="O96" s="111">
        <f>[12]GHG_hist!BB86+IF($M96="incl",[12]LULUCF_hist!CS86,0)</f>
        <v>7.6734011000000004</v>
      </c>
      <c r="P96" s="111">
        <f>[12]GHG_hist!BC86+IF($M96="incl",[12]LULUCF_hist!CT86,0)</f>
        <v>8.1471503999999992</v>
      </c>
      <c r="Q96" s="111">
        <f>[12]GHG_hist!BD86+IF($M96="incl",[12]LULUCF_hist!CU86,0)</f>
        <v>7.8372621000000002</v>
      </c>
      <c r="R96" s="111">
        <f>[12]GHG_hist!BE86+IF($M96="incl",[12]LULUCF_hist!CV86,0)</f>
        <v>7.7297158000000001</v>
      </c>
      <c r="S96" s="111">
        <f>[12]GHG_hist!BF86+IF($M96="incl",[12]LULUCF_hist!CW86,0)</f>
        <v>9.0319277000000007</v>
      </c>
      <c r="T96" s="111">
        <f>[12]GHG_hist!BG86+IF($M96="incl",[12]LULUCF_hist!CX86,0)</f>
        <v>9.9216438999999994</v>
      </c>
      <c r="U96" s="111">
        <f>[12]GHG_hist!BH86+IF($M96="incl",[12]LULUCF_hist!CY86,0)</f>
        <v>10.297323600000002</v>
      </c>
      <c r="V96" s="111">
        <f>[12]GHG_hist!BI86+IF($M96="incl",[12]LULUCF_hist!CZ86,0)</f>
        <v>10.2872062</v>
      </c>
      <c r="W96" s="111">
        <f>[12]GHG_hist!BJ86+IF($M96="incl",[12]LULUCF_hist!DA86,0)</f>
        <v>10.6010206</v>
      </c>
      <c r="X96" s="111">
        <f>[12]GHG_hist!BK86+IF($M96="incl",[12]LULUCF_hist!DB86,0)</f>
        <v>10.6571926</v>
      </c>
      <c r="Y96" s="111">
        <f>[12]GHG_hist!BL86+IF($M96="incl",[12]LULUCF_hist!DC86,0)</f>
        <v>10.856447645454542</v>
      </c>
      <c r="Z96" s="111">
        <f>[12]GHG_hist!BM86+IF($M96="incl",[12]LULUCF_hist!DD86,0)</f>
        <v>11.208860545454542</v>
      </c>
      <c r="AA96" s="111">
        <f>[12]GHG_hist!BN86+IF($M96="incl",[12]LULUCF_hist!DE86,0)</f>
        <v>11.169018545454547</v>
      </c>
      <c r="AB96" s="111">
        <f>[12]GHG_hist!BO86+IF($M96="incl",[12]LULUCF_hist!DF86,0)</f>
        <v>11.471743545454544</v>
      </c>
      <c r="AC96" s="111">
        <f>[12]GHG_hist!BP86+IF($M96="incl",[12]LULUCF_hist!DG86,0)</f>
        <v>11.736264545454542</v>
      </c>
      <c r="AD96" s="111">
        <f>[12]GHG_hist!BQ86+IF($M96="incl",[12]LULUCF_hist!DH86,0)</f>
        <v>11.861852545454546</v>
      </c>
      <c r="AE96" s="111">
        <f>[12]GHG_hist!BR86+IF($M96="incl",[12]LULUCF_hist!DI86,0)</f>
        <v>12.351631545454543</v>
      </c>
      <c r="AF96" s="111">
        <f>[12]GHG_hist!BS86+IF($M96="incl",[12]LULUCF_hist!DJ86,0)</f>
        <v>12.388539545454549</v>
      </c>
      <c r="AG96" s="111">
        <f>[12]GHG_hist!BT86+IF($M96="incl",[12]LULUCF_hist!DK86,0)</f>
        <v>12.444130545454547</v>
      </c>
      <c r="AH96" s="111">
        <f>[12]GHG_hist!BU86+IF($M96="incl",[12]LULUCF_hist!DL86,0)</f>
        <v>12.443298545454544</v>
      </c>
      <c r="AI96" s="111">
        <f>[12]GHG_hist!BV86+IF($M96="incl",[12]LULUCF_hist!DM86,0)</f>
        <v>12.592567545454541</v>
      </c>
      <c r="AJ96" s="111">
        <f>[12]GHG_hist!BW86+IF($M96="incl",[12]LULUCF_hist!DN86,0)</f>
        <v>12.796947545454545</v>
      </c>
      <c r="AK96" s="111">
        <f>[12]GHG_hist!BX86+IF($M96="incl",[12]LULUCF_hist!DO86,0)</f>
        <v>12.954370545454545</v>
      </c>
      <c r="AL96" s="111">
        <f>[12]GHG_hist!BY86+IF($M96="incl",[12]LULUCF_hist!DP86,0)</f>
        <v>13.499158545454542</v>
      </c>
      <c r="AM96" s="111">
        <f>[12]GHG_hist!BZ86+IF($M96="incl",[12]LULUCF_hist!DQ86,0)</f>
        <v>13.988108545454548</v>
      </c>
      <c r="AN96" s="111">
        <f>[12]GHG_hist!CA86+IF($M96="incl",[12]LULUCF_hist!DR86,0)</f>
        <v>14.233112545454544</v>
      </c>
      <c r="AO96" s="111">
        <f>[12]GHG_hist!CB86+IF($M96="incl",[12]LULUCF_hist!DS86,0)</f>
        <v>14.350346545454542</v>
      </c>
      <c r="AP96" s="111">
        <f>[12]GHG_hist!CC86+IF($M96="incl",[12]LULUCF_hist!DT86,0)</f>
        <v>14.297165545454547</v>
      </c>
      <c r="AQ96" s="111">
        <f>[12]GHG_hist!CD86+IF($M96="incl",[12]LULUCF_hist!DU86,0)</f>
        <v>14.473461545454544</v>
      </c>
      <c r="AR96" s="111">
        <f>[12]GHG_hist!CE86+IF($M96="incl",[12]LULUCF_hist!DV86,0)</f>
        <v>14.265662545454541</v>
      </c>
      <c r="AS96" s="111">
        <f>[12]GHG_hist!CF86+IF($M96="incl",[12]LULUCF_hist!DW86,0)</f>
        <v>14.27295954545454</v>
      </c>
      <c r="AT96" s="161">
        <f>VLOOKUP($L96,'[12]IMAGE SSP2'!$AF$3:$AK$29,4,FALSE)*$AM96</f>
        <v>15.904631725174351</v>
      </c>
      <c r="AU96" s="162">
        <f>VLOOKUP($L96,'[12]IMAGE SSP2'!$AF$3:$AK$29,5,FALSE)*$AM96</f>
        <v>17.79344222136028</v>
      </c>
      <c r="AV96" s="163">
        <f>VLOOKUP($L96,'[12]IMAGE SSP2'!$AF$3:$AK$29,6,FALSE)*$AM96</f>
        <v>18.78304801991009</v>
      </c>
      <c r="AW96" s="111" t="str">
        <f t="shared" si="75"/>
        <v/>
      </c>
      <c r="AX96" s="164" t="str">
        <f>IF(A96="B",IF(M96="excl",[12]NatCom!CO86,[12]NatCom!AX86),"")</f>
        <v/>
      </c>
      <c r="AY96" s="111" t="str">
        <f>IF('[12]Pledge 2020'!E86="","",'[12]Pledge 2020'!E86)</f>
        <v/>
      </c>
      <c r="AZ96" s="164" t="str">
        <f>IF('[12]Pledge 2020'!F86="","",'[12]Pledge 2020'!F86)</f>
        <v/>
      </c>
      <c r="BA96" s="111">
        <f t="shared" si="51"/>
        <v>12.718844386363635</v>
      </c>
      <c r="BB96" s="111">
        <f>IF(BF96="","",(BF96-AH96)*0.75+AH96)</f>
        <v>12.718844386363635</v>
      </c>
      <c r="BC96" s="111">
        <f t="shared" si="52"/>
        <v>10.594966336363635</v>
      </c>
      <c r="BD96" s="111">
        <f>IF(BH96="","",(BH96-AH96)*0.75+AH96)</f>
        <v>10.594966336363635</v>
      </c>
      <c r="BE96" s="111">
        <v>12.810692999999999</v>
      </c>
      <c r="BF96" s="111">
        <v>12.810692999999999</v>
      </c>
      <c r="BG96" s="111">
        <v>9.9788555999999993</v>
      </c>
      <c r="BH96" s="164">
        <v>9.9788555999999993</v>
      </c>
      <c r="BI96" s="111">
        <f>IF([12]NDCs!V98="",IF([12]NDCs!X98="","",[12]NDCs!X98),[12]NDCs!V98)</f>
        <v>12.810692999999999</v>
      </c>
      <c r="BJ96" s="111">
        <f>IF([12]NDCs!V98="",IF([12]NDCs!X98="","",[12]NDCs!X98),[12]NDCs!V98)</f>
        <v>12.810692999999999</v>
      </c>
      <c r="BK96" s="111">
        <f>IF([12]NDCs!Z98="",IF([12]NDCs!AB98="",IF('input site'!BE96="","",'input site'!BE96),[12]NDCs!AB98),[12]NDCs!Z98)</f>
        <v>9.9788555999999993</v>
      </c>
      <c r="BL96" s="111">
        <f>IF([12]NDCs!AA98="",IF([12]NDCs!AC98="",IF('input site'!BF96="","",'input site'!BF96),[12]NDCs!AC98),[12]NDCs!AA98)</f>
        <v>9.9788555999999993</v>
      </c>
      <c r="BM96" s="111">
        <f>IF($BI$8=2015,VLOOKUP($L96,'[12]IMAGE CurPol SSP'!$AZ$3:$BD$29,4,FALSE)*$AM96,IF($BI$8=2018,VLOOKUP($L96,'[12]IMAGE CurPol SSP'!$BJ$3:$BN$29,4,FALSE)*$AP96,$AR96))</f>
        <v>14.265662545454541</v>
      </c>
      <c r="BN96" s="111">
        <f t="shared" si="78"/>
        <v>14.265662545454541</v>
      </c>
      <c r="BO96" s="111">
        <f t="shared" si="78"/>
        <v>14.265662545454541</v>
      </c>
      <c r="BP96" s="111">
        <f>IF($BI$8=2015,VLOOKUP($L96,'[12]IMAGE CurPol SSP'!$AZ$3:$BD$29,5,FALSE)*$AM96,IF($BI$8=2018,VLOOKUP($L96,'[12]IMAGE CurPol SSP'!$BJ$3:$BN$29,5,FALSE)*$AP96,VLOOKUP($L96,'[12]IMAGE CurPol SSP'!$BU$3:$BZ$29,5,FALSE)*$AS96))</f>
        <v>15.640377919026017</v>
      </c>
      <c r="BQ96" s="111">
        <f>IF($BI$8=2015,"",IF($BI$8=2018,"",VLOOKUP($L96,'[12]IMAGE CurPol SSP'!$CQ$3:$CV$29,5,FALSE)*$AS96))</f>
        <v>15.374225957190307</v>
      </c>
      <c r="BR96" s="111">
        <f>IF($BI$8=2015,"",IF($BI$8=2018,"",VLOOKUP($L96,'[12]IMAGE CurPol SSP'!$CF$3:$CK$29,5,FALSE)*$AS96))</f>
        <v>16.25556989427665</v>
      </c>
      <c r="BS96" s="111">
        <f>IF($BI$8=2015,VLOOKUP($L96,'[12]IMAGE CurPol SSP'!$AZ$3:$BE$29,6,FALSE)*$AM96,IF($BI$8=2018,VLOOKUP($L96,'[12]IMAGE CurPol SSP'!$BJ$3:$BO$29,6,FALSE)*$AP96,VLOOKUP($L96,'[12]IMAGE CurPol SSP'!$BU$3:$BZ$29,6,FALSE)*$AS96))</f>
        <v>17.599546649452222</v>
      </c>
      <c r="BT96" s="111">
        <f>IF($BI$8=2015,"",IF($BI$8=2018,"",VLOOKUP($L96,'[12]IMAGE CurPol SSP'!$CQ$3:$CV$29,6,FALSE)*$AS96))</f>
        <v>17.195101328138584</v>
      </c>
      <c r="BU96" s="164">
        <f>IF($BI$8=2015,"",IF($BI$8=2018,"",VLOOKUP($L96,'[12]IMAGE CurPol SSP'!$CF$3:$CK$29,6,FALSE)*$AS96))</f>
        <v>18.830008492982266</v>
      </c>
      <c r="CN96" t="s">
        <v>221</v>
      </c>
      <c r="CO96" s="165">
        <f t="shared" si="69"/>
        <v>-0.27210096628263281</v>
      </c>
      <c r="CP96" s="165">
        <f t="shared" si="69"/>
        <v>-0.27210096628263281</v>
      </c>
      <c r="CQ96" s="165">
        <f t="shared" si="69"/>
        <v>-0.43300496320962978</v>
      </c>
      <c r="CR96" s="165">
        <f t="shared" si="65"/>
        <v>-0.43300496320962978</v>
      </c>
      <c r="CV96" s="125" t="s">
        <v>621</v>
      </c>
      <c r="CW96" s="125" t="s">
        <v>621</v>
      </c>
      <c r="CX96"/>
      <c r="CY96" s="167">
        <f t="shared" si="70"/>
        <v>1.63896917971981</v>
      </c>
      <c r="DB96" s="106"/>
      <c r="DC96" s="106"/>
      <c r="DD96" s="106"/>
      <c r="DE96" s="106"/>
      <c r="DF96" s="106"/>
      <c r="DG96" s="105" t="str">
        <f t="shared" si="71"/>
        <v>incl</v>
      </c>
      <c r="DH96" t="s">
        <v>221</v>
      </c>
      <c r="DI96" s="111">
        <f t="shared" si="58"/>
        <v>0</v>
      </c>
      <c r="DJ96" s="111">
        <f t="shared" si="58"/>
        <v>0</v>
      </c>
      <c r="DK96" s="111">
        <f t="shared" si="59"/>
        <v>-2.9215335326623819</v>
      </c>
      <c r="DL96" s="111">
        <f t="shared" si="60"/>
        <v>-5.045411582662382</v>
      </c>
      <c r="DM96" s="111">
        <f t="shared" si="61"/>
        <v>-4.7888536494522231</v>
      </c>
      <c r="DN96" s="111">
        <f t="shared" si="62"/>
        <v>-7.6206910494522226</v>
      </c>
      <c r="DO96" s="111">
        <f t="shared" si="63"/>
        <v>-4.7888536494522231</v>
      </c>
      <c r="DP96" s="111">
        <f t="shared" si="64"/>
        <v>-7.6206910494522226</v>
      </c>
      <c r="DQ96" s="106"/>
      <c r="DR96" s="106"/>
      <c r="DS96" s="177">
        <f>[12]GHG_hist!BZ86+IF($M96="incl",[12]LULUCF_hist!DQ86,0)</f>
        <v>13.988108545454548</v>
      </c>
      <c r="DT96" s="209">
        <f>IF($M96="incl",'[12]IIASA Proj'!EQ86,0)</f>
        <v>0.59883494545454452</v>
      </c>
      <c r="DW96" s="111">
        <f t="shared" si="72"/>
        <v>12.810692999999999</v>
      </c>
      <c r="DX96" s="111">
        <f t="shared" si="72"/>
        <v>12.810692999999999</v>
      </c>
      <c r="DY96" s="111">
        <f t="shared" si="72"/>
        <v>9.9788555999999993</v>
      </c>
      <c r="DZ96" s="111">
        <f t="shared" si="66"/>
        <v>9.9788555999999993</v>
      </c>
      <c r="EP96" t="s">
        <v>221</v>
      </c>
      <c r="EQ96">
        <v>-1</v>
      </c>
      <c r="ER96" s="111">
        <f t="shared" si="73"/>
        <v>14.297165545454547</v>
      </c>
      <c r="ES96" s="111">
        <f>IF($BI$8=2015,VLOOKUP($L96,'[12]IMAGE CDLINKS CurPol'!$P$3:$Y$29,10,FALSE)*$AM96,VLOOKUP($L96,'[12]IMAGE CDLINKS CurPol'!$Z$3:$AI$29,10,FALSE)*$AP96)</f>
        <v>27.078516897713087</v>
      </c>
      <c r="ET96" s="111">
        <f t="shared" si="74"/>
        <v>27.078516897713087</v>
      </c>
      <c r="EU96" s="111">
        <f t="shared" si="76"/>
        <v>7.512942293302789</v>
      </c>
      <c r="EV96" s="111">
        <f>IF($BI$8=2015,VLOOKUP($L96,'[12]IMAGE CDLINKS 2C'!$P$3:$Y$29,10,FALSE)*$AM96,VLOOKUP($L96,'[12]IMAGE CDLINKS 2C'!$Z$3:$AI$29,10,FALSE)*$AP96)</f>
        <v>7.512942293302789</v>
      </c>
      <c r="EX96" s="111"/>
      <c r="EY96" s="111">
        <f t="shared" si="77"/>
        <v>1.5279852314136713</v>
      </c>
      <c r="EZ96" s="111">
        <f>IF($BI$8=2015,VLOOKUP($L96,'[12]IMAGE CDLINKS 1_5C'!$P$3:$Y$29,10,FALSE)*$AM96,VLOOKUP($L96,'[12]IMAGE CDLINKS 1_5C'!$Z$3:$AI$29,10,FALSE)*$AP96)</f>
        <v>1.5279852314136713</v>
      </c>
      <c r="FA96" s="192">
        <v>2050</v>
      </c>
    </row>
    <row r="97" spans="1:157" x14ac:dyDescent="0.25">
      <c r="A97" t="str">
        <f>IF([12]NDCs!C99="","",[12]NDCs!C99)</f>
        <v>B</v>
      </c>
      <c r="B97" s="159" t="str">
        <f t="shared" si="67"/>
        <v>v</v>
      </c>
      <c r="C97">
        <v>0</v>
      </c>
      <c r="D97">
        <v>0</v>
      </c>
      <c r="E97">
        <v>0</v>
      </c>
      <c r="F97">
        <v>1</v>
      </c>
      <c r="G97" t="b">
        <f t="shared" si="68"/>
        <v>1</v>
      </c>
      <c r="H97" t="s">
        <v>2328</v>
      </c>
      <c r="I97" t="s">
        <v>223</v>
      </c>
      <c r="J97">
        <v>340</v>
      </c>
      <c r="K97">
        <v>86</v>
      </c>
      <c r="L97">
        <v>4</v>
      </c>
      <c r="M97" t="str">
        <f>IF([12]NDCs!AL99="Excluding","excl","incl")</f>
        <v>excl</v>
      </c>
      <c r="N97" s="160">
        <f>[12]GHG_hist!BA87+IF($M97="incl",[12]LULUCF_hist!CR87,0)</f>
        <v>8.8843774</v>
      </c>
      <c r="O97" s="111">
        <f>[12]GHG_hist!BB87+IF($M97="incl",[12]LULUCF_hist!CS87,0)</f>
        <v>8.9430737000000011</v>
      </c>
      <c r="P97" s="111">
        <f>[12]GHG_hist!BC87+IF($M97="incl",[12]LULUCF_hist!CT87,0)</f>
        <v>9.1886504000000002</v>
      </c>
      <c r="Q97" s="111">
        <f>[12]GHG_hist!BD87+IF($M97="incl",[12]LULUCF_hist!CU87,0)</f>
        <v>9.0065483999999998</v>
      </c>
      <c r="R97" s="111">
        <f>[12]GHG_hist!BE87+IF($M97="incl",[12]LULUCF_hist!CV87,0)</f>
        <v>9.6498677000000015</v>
      </c>
      <c r="S97" s="111">
        <f>[12]GHG_hist!BF87+IF($M97="incl",[12]LULUCF_hist!CW87,0)</f>
        <v>10.277799000000002</v>
      </c>
      <c r="T97" s="111">
        <f>[12]GHG_hist!BG87+IF($M97="incl",[12]LULUCF_hist!CX87,0)</f>
        <v>10.217334000000001</v>
      </c>
      <c r="U97" s="111">
        <f>[12]GHG_hist!BH87+IF($M97="incl",[12]LULUCF_hist!CY87,0)</f>
        <v>10.258004999999999</v>
      </c>
      <c r="V97" s="111">
        <f>[12]GHG_hist!BI87+IF($M97="incl",[12]LULUCF_hist!CZ87,0)</f>
        <v>10.630823000000001</v>
      </c>
      <c r="W97" s="111">
        <f>[12]GHG_hist!BJ87+IF($M97="incl",[12]LULUCF_hist!DA87,0)</f>
        <v>9.9517872000000001</v>
      </c>
      <c r="X97" s="111">
        <f>[12]GHG_hist!BK87+IF($M97="incl",[12]LULUCF_hist!DB87,0)</f>
        <v>10.419517000000001</v>
      </c>
      <c r="Y97" s="111">
        <f>[12]GHG_hist!BL87+IF($M97="incl",[12]LULUCF_hist!DC87,0)</f>
        <v>11.441219</v>
      </c>
      <c r="Z97" s="111">
        <f>[12]GHG_hist!BM87+IF($M97="incl",[12]LULUCF_hist!DD87,0)</f>
        <v>12.157360000000001</v>
      </c>
      <c r="AA97" s="111">
        <f>[12]GHG_hist!BN87+IF($M97="incl",[12]LULUCF_hist!DE87,0)</f>
        <v>14.078899999999999</v>
      </c>
      <c r="AB97" s="111">
        <f>[12]GHG_hist!BO87+IF($M97="incl",[12]LULUCF_hist!DF87,0)</f>
        <v>14.879075</v>
      </c>
      <c r="AC97" s="111">
        <f>[12]GHG_hist!BP87+IF($M97="incl",[12]LULUCF_hist!DG87,0)</f>
        <v>16.017009000000002</v>
      </c>
      <c r="AD97" s="111">
        <f>[12]GHG_hist!BQ87+IF($M97="incl",[12]LULUCF_hist!DH87,0)</f>
        <v>15.202038</v>
      </c>
      <c r="AE97" s="111">
        <f>[12]GHG_hist!BR87+IF($M97="incl",[12]LULUCF_hist!DI87,0)</f>
        <v>16.847312000000002</v>
      </c>
      <c r="AF97" s="111">
        <f>[12]GHG_hist!BS87+IF($M97="incl",[12]LULUCF_hist!DJ87,0)</f>
        <v>16.714402</v>
      </c>
      <c r="AG97" s="111">
        <f>[12]GHG_hist!BT87+IF($M97="incl",[12]LULUCF_hist!DK87,0)</f>
        <v>16.395127000000002</v>
      </c>
      <c r="AH97" s="111">
        <f>[12]GHG_hist!BU87+IF($M97="incl",[12]LULUCF_hist!DL87,0)</f>
        <v>16.309457999999999</v>
      </c>
      <c r="AI97" s="111">
        <f>[12]GHG_hist!BV87+IF($M97="incl",[12]LULUCF_hist!DM87,0)</f>
        <v>17.16666</v>
      </c>
      <c r="AJ97" s="111">
        <f>[12]GHG_hist!BW87+IF($M97="incl",[12]LULUCF_hist!DN87,0)</f>
        <v>17.440708000000001</v>
      </c>
      <c r="AK97" s="111">
        <f>[12]GHG_hist!BX87+IF($M97="incl",[12]LULUCF_hist!DO87,0)</f>
        <v>17.637650000000001</v>
      </c>
      <c r="AL97" s="111">
        <f>[12]GHG_hist!BY87+IF($M97="incl",[12]LULUCF_hist!DP87,0)</f>
        <v>17.755893</v>
      </c>
      <c r="AM97" s="111">
        <f>[12]GHG_hist!BZ87+IF($M97="incl",[12]LULUCF_hist!DQ87,0)</f>
        <v>18.506506000000002</v>
      </c>
      <c r="AN97" s="111">
        <f>[12]GHG_hist!CA87+IF($M97="incl",[12]LULUCF_hist!DR87,0)</f>
        <v>18.308107</v>
      </c>
      <c r="AO97" s="111">
        <f>[12]GHG_hist!CB87+IF($M97="incl",[12]LULUCF_hist!DS87,0)</f>
        <v>18.737107999999999</v>
      </c>
      <c r="AP97" s="111">
        <f>[12]GHG_hist!CC87+IF($M97="incl",[12]LULUCF_hist!DT87,0)</f>
        <v>19.58503</v>
      </c>
      <c r="AQ97" s="111">
        <f>[12]GHG_hist!CD87+IF($M97="incl",[12]LULUCF_hist!DU87,0)</f>
        <v>20.409229</v>
      </c>
      <c r="AR97" s="111">
        <f>[12]GHG_hist!CE87+IF($M97="incl",[12]LULUCF_hist!DV87,0)</f>
        <v>19.016444</v>
      </c>
      <c r="AS97" s="111">
        <f>[12]GHG_hist!CF87+IF($M97="incl",[12]LULUCF_hist!DW87,0)</f>
        <v>20.537933000000002</v>
      </c>
      <c r="AT97" s="161">
        <f>VLOOKUP($L97,'[12]IMAGE SSP2'!$AF$3:$AK$29,4,FALSE)*$AM97</f>
        <v>21.042098829392867</v>
      </c>
      <c r="AU97" s="162">
        <f>VLOOKUP($L97,'[12]IMAGE SSP2'!$AF$3:$AK$29,5,FALSE)*$AM97</f>
        <v>23.541027306172996</v>
      </c>
      <c r="AV97" s="163">
        <f>VLOOKUP($L97,'[12]IMAGE SSP2'!$AF$3:$AK$29,6,FALSE)*$AM97</f>
        <v>24.850292643154393</v>
      </c>
      <c r="AW97" s="111">
        <f>IF(A97="B",AM97+(AX97-AM97)*0.33333,"")</f>
        <v>21.978302615020002</v>
      </c>
      <c r="AX97" s="164">
        <f>IF(A97="B",IF(M97="excl",[12]NatCom!CO87,[12]NatCom!AX87),"")</f>
        <v>28.922000000000001</v>
      </c>
      <c r="AY97" s="111" t="str">
        <f>IF('[12]Pledge 2020'!E87="","",'[12]Pledge 2020'!E87)</f>
        <v/>
      </c>
      <c r="AZ97" s="164" t="str">
        <f>IF('[12]Pledge 2020'!F87="","",'[12]Pledge 2020'!F87)</f>
        <v/>
      </c>
      <c r="BA97" s="111" t="str">
        <f t="shared" si="51"/>
        <v/>
      </c>
      <c r="BB97" s="111"/>
      <c r="BC97" s="111">
        <f t="shared" si="52"/>
        <v>22.5151395</v>
      </c>
      <c r="BD97" s="111">
        <f>IF(BH97="","",(BH97-AH97)*0.75+AH97)</f>
        <v>22.5151395</v>
      </c>
      <c r="BE97" s="111" t="s">
        <v>2477</v>
      </c>
      <c r="BF97" s="111"/>
      <c r="BG97" s="111">
        <v>24.5837</v>
      </c>
      <c r="BH97" s="164">
        <v>24.5837</v>
      </c>
      <c r="BI97" s="111" t="str">
        <f>IF([12]NDCs!V99="",IF([12]NDCs!X99="","",[12]NDCs!X99),[12]NDCs!V99)</f>
        <v/>
      </c>
      <c r="BJ97" s="111" t="str">
        <f>IF([12]NDCs!V99="",IF([12]NDCs!X99="","",[12]NDCs!X99),[12]NDCs!V99)</f>
        <v/>
      </c>
      <c r="BK97" s="111">
        <f>IF([12]NDCs!Z99="",IF([12]NDCs!AB99="",IF('input site'!BE97="","",'input site'!BE97),[12]NDCs!AB99),[12]NDCs!Z99)</f>
        <v>24.5837</v>
      </c>
      <c r="BL97" s="111">
        <f>IF([12]NDCs!AA99="",IF([12]NDCs!AC99="",IF('input site'!BF97="","",'input site'!BF97),[12]NDCs!AC99),[12]NDCs!AA99)</f>
        <v>24.5837</v>
      </c>
      <c r="BM97" s="111">
        <f>IF($BI$8=2015,VLOOKUP($L97,'[12]IMAGE CurPol SSP'!$AZ$3:$BD$29,4,FALSE)*$AM97,IF($BI$8=2018,VLOOKUP($L97,'[12]IMAGE CurPol SSP'!$BJ$3:$BN$29,4,FALSE)*$AP97,$AR97))</f>
        <v>19.016444</v>
      </c>
      <c r="BN97" s="111">
        <f t="shared" si="78"/>
        <v>19.016444</v>
      </c>
      <c r="BO97" s="111">
        <f t="shared" si="78"/>
        <v>19.016444</v>
      </c>
      <c r="BP97" s="111">
        <f>IF($BI$8=2015,VLOOKUP($L97,'[12]IMAGE CurPol SSP'!$AZ$3:$BD$29,5,FALSE)*$AM97,IF($BI$8=2018,VLOOKUP($L97,'[12]IMAGE CurPol SSP'!$BJ$3:$BN$29,5,FALSE)*$AP97,VLOOKUP($L97,'[12]IMAGE CurPol SSP'!$BU$3:$BZ$29,5,FALSE)*$AS97))</f>
        <v>22.505566051151174</v>
      </c>
      <c r="BQ97" s="111">
        <f>IF($BI$8=2015,"",IF($BI$8=2018,"",VLOOKUP($L97,'[12]IMAGE CurPol SSP'!$CQ$3:$CV$29,5,FALSE)*$AS97))</f>
        <v>22.122589336154373</v>
      </c>
      <c r="BR97" s="111">
        <f>IF($BI$8=2015,"",IF($BI$8=2018,"",VLOOKUP($L97,'[12]IMAGE CurPol SSP'!$CF$3:$CK$29,5,FALSE)*$AS97))</f>
        <v>23.390790417520162</v>
      </c>
      <c r="BS97" s="111">
        <f>IF($BI$8=2015,VLOOKUP($L97,'[12]IMAGE CurPol SSP'!$AZ$3:$BE$29,6,FALSE)*$AM97,IF($BI$8=2018,VLOOKUP($L97,'[12]IMAGE CurPol SSP'!$BJ$3:$BO$29,6,FALSE)*$AP97,VLOOKUP($L97,'[12]IMAGE CurPol SSP'!$BU$3:$BZ$29,6,FALSE)*$AS97))</f>
        <v>25.32469238532499</v>
      </c>
      <c r="BT97" s="111">
        <f>IF($BI$8=2015,"",IF($BI$8=2018,"",VLOOKUP($L97,'[12]IMAGE CurPol SSP'!$CQ$3:$CV$29,6,FALSE)*$AS97))</f>
        <v>24.742719817908284</v>
      </c>
      <c r="BU97" s="164">
        <f>IF($BI$8=2015,"",IF($BI$8=2018,"",VLOOKUP($L97,'[12]IMAGE CurPol SSP'!$CF$3:$CK$29,6,FALSE)*$AS97))</f>
        <v>27.09525320146102</v>
      </c>
      <c r="CN97" t="s">
        <v>223</v>
      </c>
      <c r="CO97" s="165" t="str">
        <f t="shared" si="69"/>
        <v/>
      </c>
      <c r="CP97" s="165" t="str">
        <f t="shared" si="69"/>
        <v/>
      </c>
      <c r="CQ97" s="165">
        <f t="shared" si="69"/>
        <v>-2.9259679606389866E-2</v>
      </c>
      <c r="CR97" s="165">
        <f t="shared" si="65"/>
        <v>-2.9259679606389866E-2</v>
      </c>
      <c r="CS97" s="159"/>
      <c r="CU97" s="159"/>
      <c r="CV97" s="125" t="s">
        <v>621</v>
      </c>
      <c r="CW97" s="125" t="s">
        <v>621</v>
      </c>
      <c r="CX97" s="159"/>
      <c r="CY97" s="167">
        <f t="shared" si="70"/>
        <v>2.0256548293928667</v>
      </c>
      <c r="CZ97" s="159"/>
      <c r="DB97" s="106"/>
      <c r="DC97" s="106"/>
      <c r="DD97" s="106"/>
      <c r="DE97" s="106"/>
      <c r="DF97" s="106"/>
      <c r="DG97" s="105" t="str">
        <f t="shared" si="71"/>
        <v>excl</v>
      </c>
      <c r="DH97" t="s">
        <v>223</v>
      </c>
      <c r="DI97" s="111">
        <f t="shared" si="58"/>
        <v>0</v>
      </c>
      <c r="DJ97" s="111">
        <f t="shared" si="58"/>
        <v>0</v>
      </c>
      <c r="DK97" s="111">
        <f t="shared" si="59"/>
        <v>0</v>
      </c>
      <c r="DL97" s="111">
        <f t="shared" si="60"/>
        <v>9.5734488488261604E-3</v>
      </c>
      <c r="DM97" s="111">
        <f t="shared" si="61"/>
        <v>0</v>
      </c>
      <c r="DN97" s="111">
        <f t="shared" si="62"/>
        <v>-0.74099238532499001</v>
      </c>
      <c r="DO97" s="111">
        <f t="shared" si="63"/>
        <v>0</v>
      </c>
      <c r="DP97" s="111">
        <f t="shared" si="64"/>
        <v>-0.74099238532499001</v>
      </c>
      <c r="DQ97" s="106"/>
      <c r="DR97" s="106"/>
      <c r="DS97" s="111"/>
      <c r="DT97" s="168"/>
      <c r="DW97" s="111">
        <f t="shared" si="72"/>
        <v>25.32469238532499</v>
      </c>
      <c r="DX97" s="111">
        <f t="shared" si="72"/>
        <v>25.32469238532499</v>
      </c>
      <c r="DY97" s="111">
        <f t="shared" si="72"/>
        <v>24.5837</v>
      </c>
      <c r="DZ97" s="111">
        <f t="shared" si="66"/>
        <v>24.5837</v>
      </c>
      <c r="EP97" t="s">
        <v>223</v>
      </c>
      <c r="EQ97">
        <v>0</v>
      </c>
      <c r="ER97" s="111">
        <f t="shared" si="73"/>
        <v>19.58503</v>
      </c>
      <c r="ES97" s="111">
        <f>IF($BI$8=2015,VLOOKUP($L97,'[12]IMAGE CDLINKS CurPol'!$P$3:$Y$29,10,FALSE)*$AM97,VLOOKUP($L97,'[12]IMAGE CDLINKS CurPol'!$Z$3:$AI$29,10,FALSE)*$AP97)</f>
        <v>37.093615801757643</v>
      </c>
      <c r="ET97" s="111">
        <f t="shared" si="74"/>
        <v>37.093615801757643</v>
      </c>
      <c r="EU97" s="111">
        <f t="shared" si="76"/>
        <v>10.291634361706336</v>
      </c>
      <c r="EV97" s="111">
        <f>IF($BI$8=2015,VLOOKUP($L97,'[12]IMAGE CDLINKS 2C'!$P$3:$Y$29,10,FALSE)*$AM97,VLOOKUP($L97,'[12]IMAGE CDLINKS 2C'!$Z$3:$AI$29,10,FALSE)*$AP97)</f>
        <v>10.291634361706336</v>
      </c>
      <c r="EY97" s="111">
        <f t="shared" si="77"/>
        <v>2.0931167441302976</v>
      </c>
      <c r="EZ97" s="111">
        <f>IF($BI$8=2015,VLOOKUP($L97,'[12]IMAGE CDLINKS 1_5C'!$P$3:$Y$29,10,FALSE)*$AM97,VLOOKUP($L97,'[12]IMAGE CDLINKS 1_5C'!$Z$3:$AI$29,10,FALSE)*$AP97)</f>
        <v>2.0931167441302976</v>
      </c>
      <c r="FA97" s="192"/>
    </row>
    <row r="98" spans="1:157" x14ac:dyDescent="0.25">
      <c r="A98" t="str">
        <f>IF([12]NDCs!C100="","",[12]NDCs!C100)</f>
        <v/>
      </c>
      <c r="B98" s="159" t="str">
        <f t="shared" si="67"/>
        <v>v</v>
      </c>
      <c r="C98">
        <v>0</v>
      </c>
      <c r="D98">
        <v>0</v>
      </c>
      <c r="E98">
        <v>0</v>
      </c>
      <c r="F98">
        <v>0</v>
      </c>
      <c r="G98" t="b">
        <f t="shared" si="68"/>
        <v>0</v>
      </c>
      <c r="H98" t="s">
        <v>2328</v>
      </c>
      <c r="I98" t="s">
        <v>225</v>
      </c>
      <c r="J98">
        <v>344</v>
      </c>
      <c r="K98">
        <v>87</v>
      </c>
      <c r="L98">
        <v>20</v>
      </c>
      <c r="M98" t="str">
        <f>IF([12]NDCs!AL100="Excluding","excl","incl")</f>
        <v>excl</v>
      </c>
      <c r="N98" s="160">
        <f>[12]GHG_hist!BA88+IF($M98="incl",[12]LULUCF_hist!CR88,0)</f>
        <v>31.726008000000004</v>
      </c>
      <c r="O98" s="111">
        <f>[12]GHG_hist!BB88+IF($M98="incl",[12]LULUCF_hist!CS88,0)</f>
        <v>33.213825</v>
      </c>
      <c r="P98" s="111">
        <f>[12]GHG_hist!BC88+IF($M98="incl",[12]LULUCF_hist!CT88,0)</f>
        <v>37.759250999999999</v>
      </c>
      <c r="Q98" s="111">
        <f>[12]GHG_hist!BD88+IF($M98="incl",[12]LULUCF_hist!CU88,0)</f>
        <v>39.712901000000002</v>
      </c>
      <c r="R98" s="111">
        <f>[12]GHG_hist!BE88+IF($M98="incl",[12]LULUCF_hist!CV88,0)</f>
        <v>36.008721999999999</v>
      </c>
      <c r="S98" s="111">
        <f>[12]GHG_hist!BF88+IF($M98="incl",[12]LULUCF_hist!CW88,0)</f>
        <v>36.165467</v>
      </c>
      <c r="T98" s="111">
        <f>[12]GHG_hist!BG88+IF($M98="incl",[12]LULUCF_hist!CX88,0)</f>
        <v>33.750584000000003</v>
      </c>
      <c r="U98" s="111">
        <f>[12]GHG_hist!BH88+IF($M98="incl",[12]LULUCF_hist!CY88,0)</f>
        <v>35.394256999999996</v>
      </c>
      <c r="V98" s="111">
        <f>[12]GHG_hist!BI88+IF($M98="incl",[12]LULUCF_hist!CZ88,0)</f>
        <v>44.129330000000003</v>
      </c>
      <c r="W98" s="111">
        <f>[12]GHG_hist!BJ88+IF($M98="incl",[12]LULUCF_hist!DA88,0)</f>
        <v>48.110887000000005</v>
      </c>
      <c r="X98" s="111">
        <f>[12]GHG_hist!BK88+IF($M98="incl",[12]LULUCF_hist!DB88,0)</f>
        <v>45.685046</v>
      </c>
      <c r="Y98" s="111">
        <f>[12]GHG_hist!BL88+IF($M98="incl",[12]LULUCF_hist!DC88,0)</f>
        <v>43.061345000000003</v>
      </c>
      <c r="Z98" s="111">
        <f>[12]GHG_hist!BM88+IF($M98="incl",[12]LULUCF_hist!DD88,0)</f>
        <v>44.681316000000002</v>
      </c>
      <c r="AA98" s="111">
        <f>[12]GHG_hist!BN88+IF($M98="incl",[12]LULUCF_hist!DE88,0)</f>
        <v>48.432692000000003</v>
      </c>
      <c r="AB98" s="111">
        <f>[12]GHG_hist!BO88+IF($M98="incl",[12]LULUCF_hist!DF88,0)</f>
        <v>46.777038000000005</v>
      </c>
      <c r="AC98" s="111">
        <f>[12]GHG_hist!BP88+IF($M98="incl",[12]LULUCF_hist!DG88,0)</f>
        <v>48.981747000000006</v>
      </c>
      <c r="AD98" s="111">
        <f>[12]GHG_hist!BQ88+IF($M98="incl",[12]LULUCF_hist!DH88,0)</f>
        <v>47.191900000000004</v>
      </c>
      <c r="AE98" s="111">
        <f>[12]GHG_hist!BR88+IF($M98="incl",[12]LULUCF_hist!DI88,0)</f>
        <v>48.930675000000001</v>
      </c>
      <c r="AF98" s="111">
        <f>[12]GHG_hist!BS88+IF($M98="incl",[12]LULUCF_hist!DJ88,0)</f>
        <v>48.161465</v>
      </c>
      <c r="AG98" s="111">
        <f>[12]GHG_hist!BT88+IF($M98="incl",[12]LULUCF_hist!DK88,0)</f>
        <v>47.082208000000001</v>
      </c>
      <c r="AH98" s="111">
        <f>[12]GHG_hist!BU88+IF($M98="incl",[12]LULUCF_hist!DL88,0)</f>
        <v>45.575124000000002</v>
      </c>
      <c r="AI98" s="111">
        <f>[12]GHG_hist!BV88+IF($M98="incl",[12]LULUCF_hist!DM88,0)</f>
        <v>48.746085000000001</v>
      </c>
      <c r="AJ98" s="111">
        <f>[12]GHG_hist!BW88+IF($M98="incl",[12]LULUCF_hist!DN88,0)</f>
        <v>48.358367000000001</v>
      </c>
      <c r="AK98" s="111">
        <f>[12]GHG_hist!BX88+IF($M98="incl",[12]LULUCF_hist!DO88,0)</f>
        <v>49.970401000000003</v>
      </c>
      <c r="AL98" s="111">
        <f>[12]GHG_hist!BY88+IF($M98="incl",[12]LULUCF_hist!DP88,0)</f>
        <v>51.211599</v>
      </c>
      <c r="AM98" s="111">
        <f>[12]GHG_hist!BZ88+IF($M98="incl",[12]LULUCF_hist!DQ88,0)</f>
        <v>48.123716000000002</v>
      </c>
      <c r="AN98" s="111">
        <f>[12]GHG_hist!CA88+IF($M98="incl",[12]LULUCF_hist!DR88,0)</f>
        <v>49.193982000000005</v>
      </c>
      <c r="AO98" s="111">
        <f>[12]GHG_hist!CB88+IF($M98="incl",[12]LULUCF_hist!DS88,0)</f>
        <v>48.328413999999995</v>
      </c>
      <c r="AP98" s="111">
        <f>[12]GHG_hist!CC88+IF($M98="incl",[12]LULUCF_hist!DT88,0)</f>
        <v>48.911493</v>
      </c>
      <c r="AQ98" s="111">
        <f>[12]GHG_hist!CD88+IF($M98="incl",[12]LULUCF_hist!DU88,0)</f>
        <v>46.627986</v>
      </c>
      <c r="AR98" s="111">
        <f>[12]GHG_hist!CE88+IF($M98="incl",[12]LULUCF_hist!DV88,0)</f>
        <v>35.339480999999999</v>
      </c>
      <c r="AS98" s="111">
        <f>[12]GHG_hist!CF88+IF($M98="incl",[12]LULUCF_hist!DW88,0)</f>
        <v>33.911389999999997</v>
      </c>
      <c r="AT98" s="161">
        <f>VLOOKUP($L98,'[12]IMAGE SSP2'!$AF$3:$AK$29,4,FALSE)*$AM98</f>
        <v>52.092678196480513</v>
      </c>
      <c r="AU98" s="162">
        <f>VLOOKUP($L98,'[12]IMAGE SSP2'!$AF$3:$AK$29,5,FALSE)*$AM98</f>
        <v>57.342879251202049</v>
      </c>
      <c r="AV98" s="163">
        <f>VLOOKUP($L98,'[12]IMAGE SSP2'!$AF$3:$AK$29,6,FALSE)*$AM98</f>
        <v>59.089741262102422</v>
      </c>
      <c r="AW98" s="111" t="str">
        <f t="shared" si="75"/>
        <v/>
      </c>
      <c r="AX98" s="164" t="str">
        <f>IF(A98="B",IF(M98="excl",[12]NatCom!CO88,[12]NatCom!AX88),"")</f>
        <v/>
      </c>
      <c r="AY98" s="111" t="str">
        <f>IF('[12]Pledge 2020'!E88="","",'[12]Pledge 2020'!E88)</f>
        <v/>
      </c>
      <c r="AZ98" s="164" t="str">
        <f>IF('[12]Pledge 2020'!F88="","",'[12]Pledge 2020'!F88)</f>
        <v/>
      </c>
      <c r="BA98" s="111" t="str">
        <f t="shared" si="51"/>
        <v/>
      </c>
      <c r="BB98" s="111"/>
      <c r="BC98" s="111" t="str">
        <f t="shared" si="52"/>
        <v/>
      </c>
      <c r="BD98" s="111"/>
      <c r="BE98" s="111" t="s">
        <v>2477</v>
      </c>
      <c r="BF98" s="111"/>
      <c r="BG98" s="111" t="s">
        <v>2477</v>
      </c>
      <c r="BH98" s="164"/>
      <c r="BI98" s="111" t="str">
        <f>IF([12]NDCs!V100="",IF([12]NDCs!X100="","",[12]NDCs!X100),[12]NDCs!V100)</f>
        <v/>
      </c>
      <c r="BJ98" s="111" t="str">
        <f>IF([12]NDCs!V100="",IF([12]NDCs!X100="","",[12]NDCs!X100),[12]NDCs!V100)</f>
        <v/>
      </c>
      <c r="BK98" s="111" t="str">
        <f>IF([12]NDCs!Z100="",IF([12]NDCs!AB100="",IF('input site'!BE98="","",'input site'!BE98),[12]NDCs!AB100),[12]NDCs!Z100)</f>
        <v/>
      </c>
      <c r="BL98" s="111" t="str">
        <f>IF([12]NDCs!AA100="",IF([12]NDCs!AC100="",IF('input site'!BF98="","",'input site'!BF98),[12]NDCs!AC100),[12]NDCs!AA100)</f>
        <v/>
      </c>
      <c r="BM98" s="111">
        <f>IF($BI$8=2015,VLOOKUP($L98,'[12]IMAGE CurPol SSP'!$AZ$3:$BD$29,4,FALSE)*$AM98,IF($BI$8=2018,VLOOKUP($L98,'[12]IMAGE CurPol SSP'!$BJ$3:$BN$29,4,FALSE)*$AP98,$AR98))</f>
        <v>35.339480999999999</v>
      </c>
      <c r="BN98" s="111">
        <f t="shared" si="78"/>
        <v>35.339480999999999</v>
      </c>
      <c r="BO98" s="111">
        <f t="shared" si="78"/>
        <v>35.339480999999999</v>
      </c>
      <c r="BP98" s="111">
        <f>IF($BI$8=2015,VLOOKUP($L98,'[12]IMAGE CurPol SSP'!$AZ$3:$BD$29,5,FALSE)*$AM98,IF($BI$8=2018,VLOOKUP($L98,'[12]IMAGE CurPol SSP'!$BJ$3:$BN$29,5,FALSE)*$AP98,VLOOKUP($L98,'[12]IMAGE CurPol SSP'!$BU$3:$BZ$29,5,FALSE)*$AS98))</f>
        <v>33.765130662121329</v>
      </c>
      <c r="BQ98" s="111">
        <f>IF($BI$8=2015,"",IF($BI$8=2018,"",VLOOKUP($L98,'[12]IMAGE CurPol SSP'!$CQ$3:$CV$29,5,FALSE)*$AS98))</f>
        <v>33.276839865279655</v>
      </c>
      <c r="BR98" s="111">
        <f>IF($BI$8=2015,"",IF($BI$8=2018,"",VLOOKUP($L98,'[12]IMAGE CurPol SSP'!$CF$3:$CK$29,5,FALSE)*$AS98))</f>
        <v>34.792172173654187</v>
      </c>
      <c r="BS98" s="111">
        <f>IF($BI$8=2015,VLOOKUP($L98,'[12]IMAGE CurPol SSP'!$AZ$3:$BE$29,6,FALSE)*$AM98,IF($BI$8=2018,VLOOKUP($L98,'[12]IMAGE CurPol SSP'!$BJ$3:$BO$29,6,FALSE)*$AP98,VLOOKUP($L98,'[12]IMAGE CurPol SSP'!$BU$3:$BZ$29,6,FALSE)*$AS98))</f>
        <v>34.0586722916659</v>
      </c>
      <c r="BT98" s="111">
        <f>IF($BI$8=2015,"",IF($BI$8=2018,"",VLOOKUP($L98,'[12]IMAGE CurPol SSP'!$CQ$3:$CV$29,6,FALSE)*$AS98))</f>
        <v>33.253351775365765</v>
      </c>
      <c r="BU98" s="164">
        <f>IF($BI$8=2015,"",IF($BI$8=2018,"",VLOOKUP($L98,'[12]IMAGE CurPol SSP'!$CF$3:$CK$29,6,FALSE)*$AS98))</f>
        <v>36.076490032933279</v>
      </c>
      <c r="CN98" t="s">
        <v>225</v>
      </c>
      <c r="CO98" s="165" t="str">
        <f t="shared" si="69"/>
        <v/>
      </c>
      <c r="CP98" s="165" t="str">
        <f t="shared" si="69"/>
        <v/>
      </c>
      <c r="CQ98" s="165" t="str">
        <f t="shared" si="69"/>
        <v/>
      </c>
      <c r="CR98" s="165" t="str">
        <f t="shared" si="65"/>
        <v/>
      </c>
      <c r="CV98" s="125" t="s">
        <v>621</v>
      </c>
      <c r="CW98" s="125" t="s">
        <v>621</v>
      </c>
      <c r="CX98" s="208">
        <f>AP98/$AP$255</f>
        <v>1.0704512554054353E-3</v>
      </c>
      <c r="CY98" s="167">
        <f t="shared" si="70"/>
        <v>16.753197196480514</v>
      </c>
      <c r="DB98" s="106"/>
      <c r="DC98" s="106"/>
      <c r="DD98" s="106"/>
      <c r="DE98" s="106"/>
      <c r="DF98" s="106"/>
      <c r="DG98" s="105" t="str">
        <f t="shared" si="71"/>
        <v>excl</v>
      </c>
      <c r="DH98" t="s">
        <v>225</v>
      </c>
      <c r="DI98" s="111">
        <f t="shared" si="58"/>
        <v>0</v>
      </c>
      <c r="DJ98" s="111">
        <f t="shared" si="58"/>
        <v>0</v>
      </c>
      <c r="DK98" s="111">
        <f t="shared" si="59"/>
        <v>0</v>
      </c>
      <c r="DL98" s="111">
        <f t="shared" si="60"/>
        <v>0</v>
      </c>
      <c r="DM98" s="111">
        <f t="shared" si="61"/>
        <v>0</v>
      </c>
      <c r="DN98" s="111">
        <f t="shared" si="62"/>
        <v>0</v>
      </c>
      <c r="DO98" s="111">
        <f t="shared" si="63"/>
        <v>0</v>
      </c>
      <c r="DP98" s="111">
        <f t="shared" si="64"/>
        <v>0</v>
      </c>
      <c r="DQ98" s="106"/>
      <c r="DR98" s="106"/>
      <c r="DS98" s="111"/>
      <c r="DT98" s="168"/>
      <c r="DW98" s="111">
        <f t="shared" si="72"/>
        <v>34.0586722916659</v>
      </c>
      <c r="DX98" s="111">
        <f t="shared" si="72"/>
        <v>34.0586722916659</v>
      </c>
      <c r="DY98" s="111">
        <f t="shared" si="72"/>
        <v>34.0586722916659</v>
      </c>
      <c r="DZ98" s="111">
        <f t="shared" si="66"/>
        <v>34.0586722916659</v>
      </c>
      <c r="EP98" t="s">
        <v>225</v>
      </c>
      <c r="EQ98">
        <v>0</v>
      </c>
      <c r="ER98" s="111">
        <f t="shared" si="73"/>
        <v>48.911493</v>
      </c>
      <c r="ES98" s="111">
        <f>IF($BI$8=2015,VLOOKUP($L98,'[12]IMAGE CDLINKS CurPol'!$P$3:$Y$29,10,FALSE)*$AM98,VLOOKUP($L98,'[12]IMAGE CDLINKS CurPol'!$Z$3:$AI$29,10,FALSE)*$AP98)</f>
        <v>57.058483869007176</v>
      </c>
      <c r="ET98" s="111">
        <f t="shared" si="74"/>
        <v>57.058483869007176</v>
      </c>
      <c r="EU98" s="111">
        <f t="shared" si="76"/>
        <v>8.6439102215696266</v>
      </c>
      <c r="EV98" s="111">
        <f>IF($BI$8=2015,VLOOKUP($L98,'[12]IMAGE CDLINKS 2C'!$P$3:$Y$29,10,FALSE)*$AM98,VLOOKUP($L98,'[12]IMAGE CDLINKS 2C'!$Z$3:$AI$29,10,FALSE)*$AP98)</f>
        <v>8.6439102215696266</v>
      </c>
      <c r="EY98" s="111">
        <f t="shared" si="77"/>
        <v>4.0663356050088684</v>
      </c>
      <c r="EZ98" s="111">
        <f>IF($BI$8=2015,VLOOKUP($L98,'[12]IMAGE CDLINKS 1_5C'!$P$3:$Y$29,10,FALSE)*$AM98,VLOOKUP($L98,'[12]IMAGE CDLINKS 1_5C'!$Z$3:$AI$29,10,FALSE)*$AP98)</f>
        <v>4.0663356050088684</v>
      </c>
      <c r="FA98" s="192"/>
    </row>
    <row r="99" spans="1:157" x14ac:dyDescent="0.25">
      <c r="A99" t="str">
        <f>IF([12]NDCs!C101="","",[12]NDCs!C101)</f>
        <v>A</v>
      </c>
      <c r="B99" s="159" t="str">
        <f t="shared" si="67"/>
        <v>v</v>
      </c>
      <c r="C99">
        <v>0</v>
      </c>
      <c r="D99">
        <v>1</v>
      </c>
      <c r="E99">
        <v>0</v>
      </c>
      <c r="F99">
        <v>1</v>
      </c>
      <c r="G99" t="b">
        <f t="shared" si="68"/>
        <v>1</v>
      </c>
      <c r="H99" t="s">
        <v>2335</v>
      </c>
      <c r="I99" t="s">
        <v>227</v>
      </c>
      <c r="J99">
        <v>348</v>
      </c>
      <c r="K99">
        <v>88</v>
      </c>
      <c r="L99">
        <v>12</v>
      </c>
      <c r="M99" t="str">
        <f>IF([12]NDCs!AL101="Excluding","excl","incl")</f>
        <v>incl</v>
      </c>
      <c r="N99" s="160">
        <f>[12]GHG_hist!BA89+IF($M99="incl",[12]LULUCF_hist!CR89,0)</f>
        <v>91.110342746281177</v>
      </c>
      <c r="O99" s="111">
        <f>[12]GHG_hist!BB89+IF($M99="incl",[12]LULUCF_hist!CS89,0)</f>
        <v>85.366871968864913</v>
      </c>
      <c r="P99" s="111">
        <f>[12]GHG_hist!BC89+IF($M99="incl",[12]LULUCF_hist!CT89,0)</f>
        <v>74.95424027754845</v>
      </c>
      <c r="Q99" s="111">
        <f>[12]GHG_hist!BD89+IF($M99="incl",[12]LULUCF_hist!CU89,0)</f>
        <v>73.350667031987243</v>
      </c>
      <c r="R99" s="111">
        <f>[12]GHG_hist!BE89+IF($M99="incl",[12]LULUCF_hist!CV89,0)</f>
        <v>71.732318400808566</v>
      </c>
      <c r="S99" s="111">
        <f>[12]GHG_hist!BF89+IF($M99="incl",[12]LULUCF_hist!CW89,0)</f>
        <v>70.600076215389137</v>
      </c>
      <c r="T99" s="111">
        <f>[12]GHG_hist!BG89+IF($M99="incl",[12]LULUCF_hist!CX89,0)</f>
        <v>76.486316591519397</v>
      </c>
      <c r="U99" s="111">
        <f>[12]GHG_hist!BH89+IF($M99="incl",[12]LULUCF_hist!CY89,0)</f>
        <v>74.536099073057187</v>
      </c>
      <c r="V99" s="111">
        <f>[12]GHG_hist!BI89+IF($M99="incl",[12]LULUCF_hist!CZ89,0)</f>
        <v>72.955765831170297</v>
      </c>
      <c r="W99" s="111">
        <f>[12]GHG_hist!BJ89+IF($M99="incl",[12]LULUCF_hist!DA89,0)</f>
        <v>75.617327291193178</v>
      </c>
      <c r="X99" s="111">
        <f>[12]GHG_hist!BK89+IF($M99="incl",[12]LULUCF_hist!DB89,0)</f>
        <v>73.677988463739069</v>
      </c>
      <c r="Y99" s="111">
        <f>[12]GHG_hist!BL89+IF($M99="incl",[12]LULUCF_hist!DC89,0)</f>
        <v>73.88882104178758</v>
      </c>
      <c r="Z99" s="111">
        <f>[12]GHG_hist!BM89+IF($M99="incl",[12]LULUCF_hist!DD89,0)</f>
        <v>72.828308299511917</v>
      </c>
      <c r="AA99" s="111">
        <f>[12]GHG_hist!BN89+IF($M99="incl",[12]LULUCF_hist!DE89,0)</f>
        <v>73.335576349117815</v>
      </c>
      <c r="AB99" s="111">
        <f>[12]GHG_hist!BO89+IF($M99="incl",[12]LULUCF_hist!DF89,0)</f>
        <v>73.268997786292175</v>
      </c>
      <c r="AC99" s="111">
        <f>[12]GHG_hist!BP89+IF($M99="incl",[12]LULUCF_hist!DG89,0)</f>
        <v>70.514866437350562</v>
      </c>
      <c r="AD99" s="111">
        <f>[12]GHG_hist!BQ89+IF($M99="incl",[12]LULUCF_hist!DH89,0)</f>
        <v>71.146469840670704</v>
      </c>
      <c r="AE99" s="111">
        <f>[12]GHG_hist!BR89+IF($M99="incl",[12]LULUCF_hist!DI89,0)</f>
        <v>69.114390252691067</v>
      </c>
      <c r="AF99" s="111">
        <f>[12]GHG_hist!BS89+IF($M99="incl",[12]LULUCF_hist!DJ89,0)</f>
        <v>65.333016657952342</v>
      </c>
      <c r="AG99" s="111">
        <f>[12]GHG_hist!BT89+IF($M99="incl",[12]LULUCF_hist!DK89,0)</f>
        <v>60.72501395176792</v>
      </c>
      <c r="AH99" s="111">
        <f>[12]GHG_hist!BU89+IF($M99="incl",[12]LULUCF_hist!DL89,0)</f>
        <v>61.108671692528219</v>
      </c>
      <c r="AI99" s="111">
        <f>[12]GHG_hist!BV89+IF($M99="incl",[12]LULUCF_hist!DM89,0)</f>
        <v>60.132663892935007</v>
      </c>
      <c r="AJ99" s="111">
        <f>[12]GHG_hist!BW89+IF($M99="incl",[12]LULUCF_hist!DN89,0)</f>
        <v>56.217063738583136</v>
      </c>
      <c r="AK99" s="111">
        <f>[12]GHG_hist!BX89+IF($M99="incl",[12]LULUCF_hist!DO89,0)</f>
        <v>54.070733059302121</v>
      </c>
      <c r="AL99" s="111">
        <f>[12]GHG_hist!BY89+IF($M99="incl",[12]LULUCF_hist!DP89,0)</f>
        <v>53.426850840324533</v>
      </c>
      <c r="AM99" s="111">
        <f>[12]GHG_hist!BZ89+IF($M99="incl",[12]LULUCF_hist!DQ89,0)</f>
        <v>56.06751739554511</v>
      </c>
      <c r="AN99" s="111">
        <f>[12]GHG_hist!CA89+IF($M99="incl",[12]LULUCF_hist!DR89,0)</f>
        <v>57.725784048662703</v>
      </c>
      <c r="AO99" s="111">
        <f>[12]GHG_hist!CB89+IF($M99="incl",[12]LULUCF_hist!DS89,0)</f>
        <v>59.305112551706657</v>
      </c>
      <c r="AP99" s="111">
        <f>[12]GHG_hist!CC89+IF($M99="incl",[12]LULUCF_hist!DT89,0)</f>
        <v>59.839610606152711</v>
      </c>
      <c r="AQ99" s="111">
        <f>[12]GHG_hist!CD89+IF($M99="incl",[12]LULUCF_hist!DU89,0)</f>
        <v>59.015701343422165</v>
      </c>
      <c r="AR99" s="111">
        <f>[12]GHG_hist!CE89+IF($M99="incl",[12]LULUCF_hist!DV89,0)</f>
        <v>55.513027297167149</v>
      </c>
      <c r="AS99" s="111">
        <f>[12]GHG_hist!CF89+IF($M99="incl",[12]LULUCF_hist!DW89,0)</f>
        <v>56.679017939800161</v>
      </c>
      <c r="AT99" s="161">
        <f>VLOOKUP($L99,'[12]IMAGE SSP2'!$AF$3:$AK$29,4,FALSE)*$AM99</f>
        <v>58.334849130102278</v>
      </c>
      <c r="AU99" s="162">
        <f>VLOOKUP($L99,'[12]IMAGE SSP2'!$AF$3:$AK$29,5,FALSE)*$AM99</f>
        <v>59.579491595986717</v>
      </c>
      <c r="AV99" s="163">
        <f>VLOOKUP($L99,'[12]IMAGE SSP2'!$AF$3:$AK$29,6,FALSE)*$AM99</f>
        <v>61.172219862414615</v>
      </c>
      <c r="AW99" s="111" t="str">
        <f t="shared" si="75"/>
        <v/>
      </c>
      <c r="AX99" s="164" t="str">
        <f>IF(A99="B",IF(M99="excl",[12]NatCom!CO89,[12]NatCom!AX89),"")</f>
        <v/>
      </c>
      <c r="AY99" s="111" t="str">
        <f>IF('[12]Pledge 2020'!E89="","",'[12]Pledge 2020'!E89)</f>
        <v/>
      </c>
      <c r="AZ99" s="164" t="str">
        <f>IF('[12]Pledge 2020'!F89="","",'[12]Pledge 2020'!F89)</f>
        <v/>
      </c>
      <c r="BA99" s="111" t="str">
        <f t="shared" si="51"/>
        <v/>
      </c>
      <c r="BB99" s="111"/>
      <c r="BC99" s="111" t="str">
        <f t="shared" si="52"/>
        <v/>
      </c>
      <c r="BD99" s="111"/>
      <c r="BE99" s="111" t="s">
        <v>2477</v>
      </c>
      <c r="BF99" s="111"/>
      <c r="BG99" s="111" t="s">
        <v>2477</v>
      </c>
      <c r="BH99" s="164"/>
      <c r="BI99" s="111" t="str">
        <f>IF([12]NDCs!V101="",IF([12]NDCs!X101="","",[12]NDCs!X101),[12]NDCs!V101)</f>
        <v/>
      </c>
      <c r="BJ99" s="111" t="str">
        <f>IF([12]NDCs!V101="",IF([12]NDCs!X101="","",[12]NDCs!X101),[12]NDCs!V101)</f>
        <v/>
      </c>
      <c r="BK99" s="111" t="str">
        <f>IF([12]NDCs!Z101="",IF([12]NDCs!AB101="",IF('input site'!BE99="","",'input site'!BE99),[12]NDCs!AB101),[12]NDCs!Z101)</f>
        <v/>
      </c>
      <c r="BL99" s="111" t="str">
        <f>IF([12]NDCs!AA101="",IF([12]NDCs!AC101="",IF('input site'!BF99="","",'input site'!BF99),[12]NDCs!AC101),[12]NDCs!AA101)</f>
        <v/>
      </c>
      <c r="BM99" s="111">
        <f>IF($BI$8=2015,VLOOKUP($L99,'[12]IMAGE CurPol SSP'!$AZ$3:$BD$29,4,FALSE)*$AM99,IF($BI$8=2018,VLOOKUP($L99,'[12]IMAGE CurPol SSP'!$BJ$3:$BN$29,4,FALSE)*$AP99,$AR99))</f>
        <v>55.513027297167149</v>
      </c>
      <c r="BN99" s="111">
        <f t="shared" si="78"/>
        <v>55.513027297167149</v>
      </c>
      <c r="BO99" s="111">
        <f t="shared" si="78"/>
        <v>55.513027297167149</v>
      </c>
      <c r="BP99" s="111">
        <f>IF($BI$8=2015,VLOOKUP($L99,'[12]IMAGE CurPol SSP'!$AZ$3:$BD$29,5,FALSE)*$AM99,IF($BI$8=2018,VLOOKUP($L99,'[12]IMAGE CurPol SSP'!$BJ$3:$BN$29,5,FALSE)*$AP99,VLOOKUP($L99,'[12]IMAGE CurPol SSP'!$BU$3:$BZ$29,5,FALSE)*$AS99))</f>
        <v>45.076195728160208</v>
      </c>
      <c r="BQ99" s="111">
        <f>IF($BI$8=2015,"",IF($BI$8=2018,"",VLOOKUP($L99,'[12]IMAGE CurPol SSP'!$CQ$3:$CV$29,5,FALSE)*$AS99))</f>
        <v>45.076195728160208</v>
      </c>
      <c r="BR99" s="111">
        <f>IF($BI$8=2015,"",IF($BI$8=2018,"",VLOOKUP($L99,'[12]IMAGE CurPol SSP'!$CF$3:$CK$29,5,FALSE)*$AS99))</f>
        <v>46.517271694390644</v>
      </c>
      <c r="BS99" s="111">
        <f>IF($BI$8=2015,VLOOKUP($L99,'[12]IMAGE CurPol SSP'!$AZ$3:$BE$29,6,FALSE)*$AM99,IF($BI$8=2018,VLOOKUP($L99,'[12]IMAGE CurPol SSP'!$BJ$3:$BO$29,6,FALSE)*$AP99,VLOOKUP($L99,'[12]IMAGE CurPol SSP'!$BU$3:$BZ$29,6,FALSE)*$AS99))</f>
        <v>29.041943187853512</v>
      </c>
      <c r="BT99" s="111">
        <f>IF($BI$8=2015,"",IF($BI$8=2018,"",VLOOKUP($L99,'[12]IMAGE CurPol SSP'!$CQ$3:$CV$29,6,FALSE)*$AS99))</f>
        <v>29.041943187853512</v>
      </c>
      <c r="BU99" s="164">
        <f>IF($BI$8=2015,"",IF($BI$8=2018,"",VLOOKUP($L99,'[12]IMAGE CurPol SSP'!$CF$3:$CK$29,6,FALSE)*$AS99))</f>
        <v>30.509471973150109</v>
      </c>
      <c r="CN99" t="s">
        <v>227</v>
      </c>
      <c r="CO99" s="165" t="str">
        <f t="shared" si="69"/>
        <v/>
      </c>
      <c r="CP99" s="165" t="str">
        <f t="shared" si="69"/>
        <v/>
      </c>
      <c r="CQ99" s="165" t="str">
        <f t="shared" si="69"/>
        <v/>
      </c>
      <c r="CR99" s="165" t="str">
        <f t="shared" si="65"/>
        <v/>
      </c>
      <c r="CV99" s="125" t="s">
        <v>621</v>
      </c>
      <c r="CW99" s="125" t="s">
        <v>621</v>
      </c>
      <c r="CX99"/>
      <c r="CY99" s="167">
        <f t="shared" si="70"/>
        <v>2.8218218329351288</v>
      </c>
      <c r="DB99" s="106"/>
      <c r="DC99" s="106"/>
      <c r="DD99" s="106"/>
      <c r="DE99" s="106"/>
      <c r="DF99" s="106"/>
      <c r="DG99" s="105" t="str">
        <f t="shared" si="71"/>
        <v>incl</v>
      </c>
      <c r="DH99" t="s">
        <v>227</v>
      </c>
      <c r="DI99" s="111">
        <f t="shared" si="58"/>
        <v>0</v>
      </c>
      <c r="DJ99" s="111">
        <f t="shared" si="58"/>
        <v>0</v>
      </c>
      <c r="DK99" s="111">
        <f t="shared" si="59"/>
        <v>0</v>
      </c>
      <c r="DL99" s="111">
        <f t="shared" si="60"/>
        <v>0</v>
      </c>
      <c r="DM99" s="111">
        <f t="shared" si="61"/>
        <v>0</v>
      </c>
      <c r="DN99" s="111">
        <f t="shared" si="62"/>
        <v>0</v>
      </c>
      <c r="DO99" s="111">
        <f t="shared" si="63"/>
        <v>0</v>
      </c>
      <c r="DP99" s="111">
        <f t="shared" si="64"/>
        <v>0</v>
      </c>
      <c r="DQ99" s="106"/>
      <c r="DR99" s="106"/>
      <c r="DS99" s="111"/>
      <c r="DT99" s="168"/>
      <c r="DW99" s="111">
        <f t="shared" si="72"/>
        <v>29.041943187853512</v>
      </c>
      <c r="DX99" s="111">
        <f t="shared" si="72"/>
        <v>29.041943187853512</v>
      </c>
      <c r="DY99" s="111">
        <f t="shared" si="72"/>
        <v>29.041943187853512</v>
      </c>
      <c r="DZ99" s="111">
        <f t="shared" si="66"/>
        <v>29.041943187853512</v>
      </c>
      <c r="EP99" t="s">
        <v>227</v>
      </c>
      <c r="ER99" s="111">
        <f t="shared" si="73"/>
        <v>59.839610606152711</v>
      </c>
      <c r="ES99" s="111">
        <f>IF($BI$8=2015,VLOOKUP($L99,'[12]IMAGE CDLINKS CurPol'!$P$3:$Y$29,10,FALSE)*$AM99,VLOOKUP($L99,'[12]IMAGE CDLINKS CurPol'!$Z$3:$AI$29,10,FALSE)*$AP99)</f>
        <v>62.90716254786836</v>
      </c>
      <c r="ET99" s="111">
        <f t="shared" si="74"/>
        <v>62.90716254786836</v>
      </c>
      <c r="EU99" s="111">
        <f t="shared" si="76"/>
        <v>13.619968447278895</v>
      </c>
      <c r="EV99" s="111">
        <f>IF($BI$8=2015,VLOOKUP($L99,'[12]IMAGE CDLINKS 2C'!$P$3:$Y$29,10,FALSE)*$AM99,VLOOKUP($L99,'[12]IMAGE CDLINKS 2C'!$Z$3:$AI$29,10,FALSE)*$AP99)</f>
        <v>13.619968447278895</v>
      </c>
      <c r="EY99" s="111">
        <f t="shared" si="77"/>
        <v>6.6444245033219449</v>
      </c>
      <c r="EZ99" s="111">
        <f>IF($BI$8=2015,VLOOKUP($L99,'[12]IMAGE CDLINKS 1_5C'!$P$3:$Y$29,10,FALSE)*$AM99,VLOOKUP($L99,'[12]IMAGE CDLINKS 1_5C'!$Z$3:$AI$29,10,FALSE)*$AP99)</f>
        <v>6.6444245033219449</v>
      </c>
      <c r="FA99" s="192" t="s">
        <v>2338</v>
      </c>
    </row>
    <row r="100" spans="1:157" x14ac:dyDescent="0.25">
      <c r="A100" t="str">
        <f>IF([12]NDCs!C102="","",[12]NDCs!C102)</f>
        <v>A</v>
      </c>
      <c r="B100" s="159" t="str">
        <f t="shared" si="67"/>
        <v>v</v>
      </c>
      <c r="C100">
        <v>0</v>
      </c>
      <c r="D100">
        <v>0</v>
      </c>
      <c r="E100">
        <v>0</v>
      </c>
      <c r="F100">
        <v>1</v>
      </c>
      <c r="G100" t="b">
        <f t="shared" si="68"/>
        <v>1</v>
      </c>
      <c r="H100" t="s">
        <v>2335</v>
      </c>
      <c r="I100" t="s">
        <v>229</v>
      </c>
      <c r="J100">
        <v>352</v>
      </c>
      <c r="K100">
        <v>89</v>
      </c>
      <c r="L100">
        <v>11</v>
      </c>
      <c r="M100" t="str">
        <f>IF([12]NDCs!AL102="Excluding","excl","incl")</f>
        <v>incl</v>
      </c>
      <c r="N100" s="160">
        <f>[12]GHG_hist!BA90+IF($M100="incl",[12]LULUCF_hist!CR90,0)</f>
        <v>13.301301052893349</v>
      </c>
      <c r="O100" s="111">
        <f>[12]GHG_hist!BB90+IF($M100="incl",[12]LULUCF_hist!CS90,0)</f>
        <v>13.094284873693937</v>
      </c>
      <c r="P100" s="111">
        <f>[12]GHG_hist!BC90+IF($M100="incl",[12]LULUCF_hist!CT90,0)</f>
        <v>12.995102357209511</v>
      </c>
      <c r="Q100" s="111">
        <f>[12]GHG_hist!BD90+IF($M100="incl",[12]LULUCF_hist!CU90,0)</f>
        <v>13.065595681885519</v>
      </c>
      <c r="R100" s="111">
        <f>[12]GHG_hist!BE90+IF($M100="incl",[12]LULUCF_hist!CV90,0)</f>
        <v>12.985322138429233</v>
      </c>
      <c r="S100" s="111">
        <f>[12]GHG_hist!BF90+IF($M100="incl",[12]LULUCF_hist!CW90,0)</f>
        <v>13.106428889073316</v>
      </c>
      <c r="T100" s="111">
        <f>[12]GHG_hist!BG90+IF($M100="incl",[12]LULUCF_hist!CX90,0)</f>
        <v>13.160456236257923</v>
      </c>
      <c r="U100" s="111">
        <f>[12]GHG_hist!BH90+IF($M100="incl",[12]LULUCF_hist!CY90,0)</f>
        <v>13.323227224372893</v>
      </c>
      <c r="V100" s="111">
        <f>[12]GHG_hist!BI90+IF($M100="incl",[12]LULUCF_hist!CZ90,0)</f>
        <v>13.470486003489594</v>
      </c>
      <c r="W100" s="111">
        <f>[12]GHG_hist!BJ90+IF($M100="incl",[12]LULUCF_hist!DA90,0)</f>
        <v>13.694589354374394</v>
      </c>
      <c r="X100" s="111">
        <f>[12]GHG_hist!BK90+IF($M100="incl",[12]LULUCF_hist!DB90,0)</f>
        <v>13.728848122950211</v>
      </c>
      <c r="Y100" s="111">
        <f>[12]GHG_hist!BL90+IF($M100="incl",[12]LULUCF_hist!DC90,0)</f>
        <v>13.631433012572428</v>
      </c>
      <c r="Z100" s="111">
        <f>[12]GHG_hist!BM90+IF($M100="incl",[12]LULUCF_hist!DD90,0)</f>
        <v>13.737563348033689</v>
      </c>
      <c r="AA100" s="111">
        <f>[12]GHG_hist!BN90+IF($M100="incl",[12]LULUCF_hist!DE90,0)</f>
        <v>13.699461525358956</v>
      </c>
      <c r="AB100" s="111">
        <f>[12]GHG_hist!BO90+IF($M100="incl",[12]LULUCF_hist!DF90,0)</f>
        <v>13.803687601020005</v>
      </c>
      <c r="AC100" s="111">
        <f>[12]GHG_hist!BP90+IF($M100="incl",[12]LULUCF_hist!DG90,0)</f>
        <v>13.65242447637943</v>
      </c>
      <c r="AD100" s="111">
        <f>[12]GHG_hist!BQ90+IF($M100="incl",[12]LULUCF_hist!DH90,0)</f>
        <v>14.30925138956551</v>
      </c>
      <c r="AE100" s="111">
        <f>[12]GHG_hist!BR90+IF($M100="incl",[12]LULUCF_hist!DI90,0)</f>
        <v>14.512117086650171</v>
      </c>
      <c r="AF100" s="111">
        <f>[12]GHG_hist!BS90+IF($M100="incl",[12]LULUCF_hist!DJ90,0)</f>
        <v>14.946551680134693</v>
      </c>
      <c r="AG100" s="111">
        <f>[12]GHG_hist!BT90+IF($M100="incl",[12]LULUCF_hist!DK90,0)</f>
        <v>14.605331107060508</v>
      </c>
      <c r="AH100" s="111">
        <f>[12]GHG_hist!BU90+IF($M100="incl",[12]LULUCF_hist!DL90,0)</f>
        <v>14.471875639926271</v>
      </c>
      <c r="AI100" s="111">
        <f>[12]GHG_hist!BV90+IF($M100="incl",[12]LULUCF_hist!DM90,0)</f>
        <v>14.223404360904091</v>
      </c>
      <c r="AJ100" s="111">
        <f>[12]GHG_hist!BW90+IF($M100="incl",[12]LULUCF_hist!DN90,0)</f>
        <v>14.217849796468686</v>
      </c>
      <c r="AK100" s="111">
        <f>[12]GHG_hist!BX90+IF($M100="incl",[12]LULUCF_hist!DO90,0)</f>
        <v>14.210856790871015</v>
      </c>
      <c r="AL100" s="111">
        <f>[12]GHG_hist!BY90+IF($M100="incl",[12]LULUCF_hist!DP90,0)</f>
        <v>14.186072030997705</v>
      </c>
      <c r="AM100" s="111">
        <f>[12]GHG_hist!BZ90+IF($M100="incl",[12]LULUCF_hist!DQ90,0)</f>
        <v>14.246487651752652</v>
      </c>
      <c r="AN100" s="111">
        <f>[12]GHG_hist!CA90+IF($M100="incl",[12]LULUCF_hist!DR90,0)</f>
        <v>14.160049639427324</v>
      </c>
      <c r="AO100" s="111">
        <f>[12]GHG_hist!CB90+IF($M100="incl",[12]LULUCF_hist!DS90,0)</f>
        <v>14.204670724863188</v>
      </c>
      <c r="AP100" s="111">
        <f>[12]GHG_hist!CC90+IF($M100="incl",[12]LULUCF_hist!DT90,0)</f>
        <v>14.24886723412305</v>
      </c>
      <c r="AQ100" s="111">
        <f>[12]GHG_hist!CD90+IF($M100="incl",[12]LULUCF_hist!DU90,0)</f>
        <v>14.109560483694487</v>
      </c>
      <c r="AR100" s="111">
        <f>[12]GHG_hist!CE90+IF($M100="incl",[12]LULUCF_hist!DV90,0)</f>
        <v>13.9141532043339</v>
      </c>
      <c r="AS100" s="111">
        <f>[12]GHG_hist!CF90+IF($M100="incl",[12]LULUCF_hist!DW90,0)</f>
        <v>14.032924920966096</v>
      </c>
      <c r="AT100" s="161">
        <f>VLOOKUP($L100,'[12]IMAGE SSP2'!$AF$3:$AK$29,4,FALSE)*$AM100</f>
        <v>13.853248263446712</v>
      </c>
      <c r="AU100" s="162">
        <f>VLOOKUP($L100,'[12]IMAGE SSP2'!$AF$3:$AK$29,5,FALSE)*$AM100</f>
        <v>13.394687214607053</v>
      </c>
      <c r="AV100" s="163">
        <f>VLOOKUP($L100,'[12]IMAGE SSP2'!$AF$3:$AK$29,6,FALSE)*$AM100</f>
        <v>13.32015740350041</v>
      </c>
      <c r="AW100" s="111" t="str">
        <f t="shared" si="75"/>
        <v/>
      </c>
      <c r="AX100" s="164" t="str">
        <f>IF(A100="B",IF(M100="excl",[12]NatCom!CO90,[12]NatCom!AX90),"")</f>
        <v/>
      </c>
      <c r="AY100" s="111">
        <f>IF('[12]Pledge 2020'!E90="","",'[12]Pledge 2020'!E90)</f>
        <v>11.297898598181842</v>
      </c>
      <c r="AZ100" s="164">
        <f>IF('[12]Pledge 2020'!F90="","",'[12]Pledge 2020'!F90)</f>
        <v>9.3041517867379859</v>
      </c>
      <c r="BA100" s="111">
        <f t="shared" si="51"/>
        <v>8.1038992357302391</v>
      </c>
      <c r="BB100" s="111">
        <f>IF(BF100="","",(BF100-AH100)*0.75+AH100)</f>
        <v>8.1038992357302391</v>
      </c>
      <c r="BC100" s="111">
        <f t="shared" si="52"/>
        <v>8.1038992357302391</v>
      </c>
      <c r="BD100" s="111">
        <f>IF(BH100="","",(BH100-AH100)*0.75+AH100)</f>
        <v>8.1038992357302391</v>
      </c>
      <c r="BE100" s="169">
        <v>5.9812404343315624</v>
      </c>
      <c r="BF100" s="169">
        <v>5.9812404343315624</v>
      </c>
      <c r="BG100" s="169">
        <v>5.9812404343315624</v>
      </c>
      <c r="BH100" s="170">
        <v>5.9812404343315624</v>
      </c>
      <c r="BI100" s="111">
        <f>IF([12]NDCs!V102="",IF([12]NDCs!X102="","",[12]NDCs!X102),[12]NDCs!V102)</f>
        <v>7.9749872457754174</v>
      </c>
      <c r="BJ100" s="111">
        <f>IF([12]NDCs!V102="",IF([12]NDCs!X102="","",[12]NDCs!X102),[12]NDCs!V102)</f>
        <v>7.9749872457754174</v>
      </c>
      <c r="BK100" s="111">
        <f>IF([12]NDCs!Z102="",IF([12]NDCs!AB102="",IF('input site'!BE100="","",'input site'!BE100),[12]NDCs!AB102),[12]NDCs!Z102)</f>
        <v>7.9749872457754174</v>
      </c>
      <c r="BL100" s="111">
        <f>IF([12]NDCs!AA102="",IF([12]NDCs!AC102="",IF('input site'!BF100="","",'input site'!BF100),[12]NDCs!AC102),[12]NDCs!AA102)</f>
        <v>7.9749872457754174</v>
      </c>
      <c r="BM100" s="111">
        <f>IF($BI$8=2015,VLOOKUP($L100,'[12]IMAGE CurPol SSP'!$AZ$3:$BD$29,4,FALSE)*$AM100,IF($BI$8=2018,VLOOKUP($L100,'[12]IMAGE CurPol SSP'!$BJ$3:$BN$29,4,FALSE)*$AP100,$AR100))</f>
        <v>13.9141532043339</v>
      </c>
      <c r="BN100" s="111">
        <f t="shared" si="78"/>
        <v>13.9141532043339</v>
      </c>
      <c r="BO100" s="111">
        <f t="shared" si="78"/>
        <v>13.9141532043339</v>
      </c>
      <c r="BP100" s="111">
        <f>IF($BI$8=2015,VLOOKUP($L100,'[12]IMAGE CurPol SSP'!$AZ$3:$BD$29,5,FALSE)*$AM100,IF($BI$8=2018,VLOOKUP($L100,'[12]IMAGE CurPol SSP'!$BJ$3:$BN$29,5,FALSE)*$AP100,VLOOKUP($L100,'[12]IMAGE CurPol SSP'!$BU$3:$BZ$29,5,FALSE)*$AS100))</f>
        <v>11.382661802044057</v>
      </c>
      <c r="BQ100" s="111">
        <f>IF($BI$8=2015,"",IF($BI$8=2018,"",VLOOKUP($L100,'[12]IMAGE CurPol SSP'!$CQ$3:$CV$29,5,FALSE)*$AS100))</f>
        <v>11.062599354775385</v>
      </c>
      <c r="BR100" s="111">
        <f>IF($BI$8=2015,"",IF($BI$8=2018,"",VLOOKUP($L100,'[12]IMAGE CurPol SSP'!$CF$3:$CK$29,5,FALSE)*$AS100))</f>
        <v>11.577045547467923</v>
      </c>
      <c r="BS100" s="111">
        <f>IF($BI$8=2015,VLOOKUP($L100,'[12]IMAGE CurPol SSP'!$AZ$3:$BE$29,6,FALSE)*$AM100,IF($BI$8=2018,VLOOKUP($L100,'[12]IMAGE CurPol SSP'!$BJ$3:$BO$29,6,FALSE)*$AP100,VLOOKUP($L100,'[12]IMAGE CurPol SSP'!$BU$3:$BZ$29,6,FALSE)*$AS100))</f>
        <v>7.8296635554410114</v>
      </c>
      <c r="BT100" s="111">
        <f>IF($BI$8=2015,"",IF($BI$8=2018,"",VLOOKUP($L100,'[12]IMAGE CurPol SSP'!$CQ$3:$CV$29,6,FALSE)*$AS100))</f>
        <v>7.321971533574601</v>
      </c>
      <c r="BU100" s="164">
        <f>IF($BI$8=2015,"",IF($BI$8=2018,"",VLOOKUP($L100,'[12]IMAGE CurPol SSP'!$CF$3:$CK$29,6,FALSE)*$AS100))</f>
        <v>8.228572199268946</v>
      </c>
      <c r="CN100" t="s">
        <v>229</v>
      </c>
      <c r="CO100" s="165">
        <f t="shared" si="69"/>
        <v>-0.23607950814501322</v>
      </c>
      <c r="CP100" s="165">
        <f t="shared" si="69"/>
        <v>-0.23607950814501322</v>
      </c>
      <c r="CQ100" s="165">
        <f t="shared" si="69"/>
        <v>-0.23607950814501322</v>
      </c>
      <c r="CR100" s="165">
        <f t="shared" si="65"/>
        <v>-0.23607950814501322</v>
      </c>
      <c r="CV100" s="125" t="s">
        <v>621</v>
      </c>
      <c r="CW100" s="125" t="s">
        <v>621</v>
      </c>
      <c r="CX100"/>
      <c r="CY100" s="167">
        <f t="shared" si="70"/>
        <v>-6.0904940887187564E-2</v>
      </c>
      <c r="DB100" s="106"/>
      <c r="DC100" s="106"/>
      <c r="DD100" s="106"/>
      <c r="DE100" s="106"/>
      <c r="DF100" s="106"/>
      <c r="DG100" s="105" t="str">
        <f t="shared" si="71"/>
        <v>incl</v>
      </c>
      <c r="DH100" t="s">
        <v>229</v>
      </c>
      <c r="DI100" s="111">
        <f t="shared" si="58"/>
        <v>-2.616254606152058</v>
      </c>
      <c r="DJ100" s="111">
        <f t="shared" si="58"/>
        <v>-4.6100014175959139</v>
      </c>
      <c r="DK100" s="111">
        <f t="shared" si="59"/>
        <v>-3.2787625663138176</v>
      </c>
      <c r="DL100" s="111">
        <f t="shared" si="60"/>
        <v>-3.2787625663138176</v>
      </c>
      <c r="DM100" s="111">
        <f t="shared" si="61"/>
        <v>-1.8484231211094491</v>
      </c>
      <c r="DN100" s="111">
        <f t="shared" si="62"/>
        <v>-1.8484231211094491</v>
      </c>
      <c r="DO100" s="111">
        <f t="shared" si="63"/>
        <v>0.14532369033440595</v>
      </c>
      <c r="DP100" s="111">
        <f t="shared" si="64"/>
        <v>0.14532369033440595</v>
      </c>
      <c r="DQ100" s="106"/>
      <c r="DR100" s="106"/>
      <c r="DS100" s="210">
        <f>[12]CRF!AI90</f>
        <v>14.278557484690097</v>
      </c>
      <c r="DT100" s="168">
        <f>IF($M100="incl",'[12]IIASA Proj'!EQ90,0)</f>
        <v>9.4486386267721389</v>
      </c>
      <c r="DW100" s="111">
        <f t="shared" si="72"/>
        <v>5.9812404343315624</v>
      </c>
      <c r="DX100" s="111">
        <f t="shared" si="72"/>
        <v>5.9812404343315624</v>
      </c>
      <c r="DY100" s="111">
        <f t="shared" si="72"/>
        <v>5.9812404343315624</v>
      </c>
      <c r="DZ100" s="111">
        <f t="shared" si="66"/>
        <v>5.9812404343315624</v>
      </c>
      <c r="EP100" t="s">
        <v>229</v>
      </c>
      <c r="EQ100">
        <v>4</v>
      </c>
      <c r="ER100" s="111">
        <f t="shared" si="73"/>
        <v>14.24886723412305</v>
      </c>
      <c r="ES100" s="111">
        <f>IF($BI$8=2015,VLOOKUP($L100,'[12]IMAGE CDLINKS CurPol'!$P$3:$Y$29,10,FALSE)*$AM100,VLOOKUP($L100,'[12]IMAGE CDLINKS CurPol'!$Z$3:$AI$29,10,FALSE)*$AP100)</f>
        <v>13.653881238477759</v>
      </c>
      <c r="ET100" s="111">
        <f t="shared" si="74"/>
        <v>0</v>
      </c>
      <c r="EU100" s="111">
        <f t="shared" si="76"/>
        <v>0</v>
      </c>
      <c r="EV100" s="111">
        <f>IF($BI$8=2015,VLOOKUP($L100,'[12]IMAGE CDLINKS 2C'!$P$3:$Y$29,10,FALSE)*$AM100,VLOOKUP($L100,'[12]IMAGE CDLINKS 2C'!$Z$3:$AI$29,10,FALSE)*$AP100)</f>
        <v>2.9090862298201881</v>
      </c>
      <c r="EW100">
        <v>0</v>
      </c>
      <c r="EX100" s="111">
        <f>EW100-EV100</f>
        <v>-2.9090862298201881</v>
      </c>
      <c r="EY100" s="111">
        <f t="shared" si="77"/>
        <v>0</v>
      </c>
      <c r="EZ100" s="111">
        <f>IF($BI$8=2015,VLOOKUP($L100,'[12]IMAGE CDLINKS 1_5C'!$P$3:$Y$29,10,FALSE)*$AM100,VLOOKUP($L100,'[12]IMAGE CDLINKS 1_5C'!$Z$3:$AI$29,10,FALSE)*$AP100)</f>
        <v>1.609085130943321</v>
      </c>
      <c r="FA100" s="192">
        <v>2040</v>
      </c>
    </row>
    <row r="101" spans="1:157" x14ac:dyDescent="0.25">
      <c r="A101" t="str">
        <f>IF([12]NDCs!C103="","",[12]NDCs!C103)</f>
        <v>E</v>
      </c>
      <c r="B101" s="159" t="str">
        <f t="shared" si="67"/>
        <v>ii</v>
      </c>
      <c r="C101">
        <v>1</v>
      </c>
      <c r="D101">
        <v>0</v>
      </c>
      <c r="E101">
        <v>1</v>
      </c>
      <c r="F101">
        <v>1</v>
      </c>
      <c r="G101" t="b">
        <f t="shared" si="68"/>
        <v>1</v>
      </c>
      <c r="H101" t="s">
        <v>2339</v>
      </c>
      <c r="I101" t="s">
        <v>231</v>
      </c>
      <c r="J101">
        <v>356</v>
      </c>
      <c r="K101">
        <v>90</v>
      </c>
      <c r="L101">
        <v>18</v>
      </c>
      <c r="M101" t="str">
        <f>IF([12]NDCs!AL103="Excluding","excl","incl")</f>
        <v>incl</v>
      </c>
      <c r="N101" s="195">
        <f>[12]IND!$A$24*IF($M101="incl",[12]IND!E$41,[12]IND!E$37)</f>
        <v>1170.4849999999999</v>
      </c>
      <c r="O101" s="195">
        <f>[12]IND!$A$24*IF($M101="incl",[12]IND!F$41,[12]IND!F$37)</f>
        <v>1228.6931529999999</v>
      </c>
      <c r="P101" s="195">
        <f>[12]IND!$A$24*IF($M101="incl",[12]IND!G$41,[12]IND!G$37)</f>
        <v>1271.901306</v>
      </c>
      <c r="Q101" s="195">
        <f>[12]IND!$A$24*IF($M101="incl",[12]IND!H$41,[12]IND!H$37)</f>
        <v>1299.109459</v>
      </c>
      <c r="R101" s="195">
        <f>[12]IND!$A$24*IF($M101="incl",[12]IND!I$41,[12]IND!I$37)</f>
        <v>1354.3176120000001</v>
      </c>
      <c r="S101" s="195">
        <f>[12]IND!$A$24*IF($M101="incl",[12]IND!J$41,[12]IND!J$37)</f>
        <v>1376.19144166666</v>
      </c>
      <c r="T101" s="195">
        <f>[12]IND!$A$24*IF($M101="incl",[12]IND!K$41,[12]IND!K$37)</f>
        <v>1408.06527133333</v>
      </c>
      <c r="U101" s="195">
        <f>[12]IND!$A$24*IF($M101="incl",[12]IND!L$41,[12]IND!L$37)</f>
        <v>1410.9391009999999</v>
      </c>
      <c r="V101" s="195">
        <f>[12]IND!$A$24*IF($M101="incl",[12]IND!M$41,[12]IND!M$37)</f>
        <v>1398.8129306666599</v>
      </c>
      <c r="W101" s="195">
        <f>[12]IND!$A$24*IF($M101="incl",[12]IND!N$41,[12]IND!N$37)</f>
        <v>1427.6867603333301</v>
      </c>
      <c r="X101" s="195">
        <f>[12]IND!$A$24*IF($M101="incl",[12]IND!O$41,[12]IND!O$37)</f>
        <v>1425.56059</v>
      </c>
      <c r="Y101" s="195">
        <f>[12]IND!$A$24*IF($M101="incl",[12]IND!P$41,[12]IND!P$37)</f>
        <v>1427.76218428571</v>
      </c>
      <c r="Z101" s="195">
        <f>[12]IND!$A$24*IF($M101="incl",[12]IND!Q$41,[12]IND!Q$37)</f>
        <v>1423.9637785714201</v>
      </c>
      <c r="AA101" s="195">
        <f>[12]IND!$A$24*IF($M101="incl",[12]IND!R$41,[12]IND!R$37)</f>
        <v>1482.16537285714</v>
      </c>
      <c r="AB101" s="195">
        <f>[12]IND!$A$24*IF($M101="incl",[12]IND!S$41,[12]IND!S$37)</f>
        <v>1557.3669671428499</v>
      </c>
      <c r="AC101" s="195">
        <f>[12]IND!$A$24*IF($M101="incl",[12]IND!T$41,[12]IND!T$37)</f>
        <v>1626.5685614285701</v>
      </c>
      <c r="AD101" s="195">
        <f>[12]IND!$A$24*IF($M101="incl",[12]IND!U$41,[12]IND!U$37)</f>
        <v>1712.77015571428</v>
      </c>
      <c r="AE101" s="195">
        <f>[12]IND!$A$24*IF($M101="incl",[12]IND!V$41,[12]IND!V$37)</f>
        <v>1814.9717499999999</v>
      </c>
      <c r="AF101" s="195">
        <f>[12]IND!$A$24*IF($M101="incl",[12]IND!W$41,[12]IND!W$37)</f>
        <v>1911.00039666666</v>
      </c>
      <c r="AG101" s="195">
        <f>[12]IND!$A$24*IF($M101="incl",[12]IND!X$41,[12]IND!X$37)</f>
        <v>2044.02904333333</v>
      </c>
      <c r="AH101" s="195">
        <f>[12]IND!$A$24*IF($M101="incl",[12]IND!Y$41,[12]IND!Y$37)</f>
        <v>2021.0576900000001</v>
      </c>
      <c r="AI101" s="195">
        <f>[12]IND!$A$24*IF($M101="incl",[12]IND!Z$41,[12]IND!Z$37)</f>
        <v>2143.7891974999998</v>
      </c>
      <c r="AJ101" s="195">
        <f>[12]IND!$A$24*IF($M101="incl",[12]IND!AA$41,[12]IND!AA$37)</f>
        <v>2303.5207049999999</v>
      </c>
      <c r="AK101" s="195">
        <f>[12]IND!$A$24*IF($M101="incl",[12]IND!AB$41,[12]IND!AB$37)</f>
        <v>2318.2522125</v>
      </c>
      <c r="AL101" s="195">
        <f>[12]IND!$A$24*IF($M101="incl",[12]IND!AC$41,[12]IND!AC$37)</f>
        <v>2514.9837200000002</v>
      </c>
      <c r="AM101" s="195">
        <f>[12]IND!$A$24*IF($M101="incl",[12]IND!AD$41,[12]IND!AD$37)</f>
        <v>2622.7388599999999</v>
      </c>
      <c r="AN101" s="195">
        <f>[12]IND!$A$24*IF($M101="incl",[12]IND!AE$41,[12]IND!AE$37)</f>
        <v>2690.4940000000001</v>
      </c>
      <c r="AO101" s="195">
        <f>[12]IND!$A$24*IF($M101="incl",[12]IND!AF$41,[12]IND!AF$37)</f>
        <v>2770.4940000000001</v>
      </c>
      <c r="AP101" s="195">
        <f>[12]IND!$A$24*IF($M101="incl",[12]IND!AG$41,[12]IND!AG$37)</f>
        <v>2917.4940000000001</v>
      </c>
      <c r="AQ101" s="195">
        <f>[12]IND!$A$24*IF($M101="incl",[12]IND!AH$41,[12]IND!AH$37)</f>
        <v>2933.5449201000001</v>
      </c>
      <c r="AR101" s="195">
        <f>[12]IND!$A$24*IF($M101="incl",[12]IND!AI$41,[12]IND!AI$37)</f>
        <v>2745.0218135856398</v>
      </c>
      <c r="AS101" s="195">
        <f>[12]IND!$A$24*IF($M101="incl",[12]IND!AJ$41,[12]IND!AJ$37)</f>
        <v>3024.6467601999998</v>
      </c>
      <c r="AT101" s="189">
        <f>AR101</f>
        <v>2745.0218135856398</v>
      </c>
      <c r="AU101" s="177">
        <f>[12]IND!$A$24*[12]IND!AN23</f>
        <v>3845.2402171493736</v>
      </c>
      <c r="AV101" s="180">
        <f>[12]IND!$A$24*[12]IND!AS23</f>
        <v>4518.2159229646513</v>
      </c>
      <c r="AW101" s="111" t="str">
        <f t="shared" si="75"/>
        <v/>
      </c>
      <c r="AX101" s="164" t="str">
        <f>IF(A101="B",IF(M101="excl",[12]NatCom!CO91,[12]NatCom!AX91),"")</f>
        <v/>
      </c>
      <c r="AY101" s="177">
        <f>[12]IND!$A$24*IF('[12]Pledge 2020'!E91="","",'[12]Pledge 2020'!E91)</f>
        <v>4307</v>
      </c>
      <c r="AZ101" s="180">
        <f>[12]IND!$A$24*IF('[12]Pledge 2020'!F91="","",'[12]Pledge 2020'!F91)</f>
        <v>3524</v>
      </c>
      <c r="BA101" s="127">
        <f>[12]IND!$A$24*[12]IND!X10</f>
        <v>3839.3140498859484</v>
      </c>
      <c r="BB101" s="106">
        <f>IF(BF101="","",(BF101-AH101)*0.75+AH101)</f>
        <v>3889.8554230124573</v>
      </c>
      <c r="BC101" s="127">
        <f>[12]IND!$A$24*[12]IND!Y10</f>
        <v>3632.9768138039249</v>
      </c>
      <c r="BD101" s="106">
        <f>IF(BH101="","",(BH101-AH101)*0.75+AH101)</f>
        <v>3632.9768138039249</v>
      </c>
      <c r="BE101" s="169">
        <v>4378.0110056792528</v>
      </c>
      <c r="BF101" s="169">
        <v>4512.7880006832766</v>
      </c>
      <c r="BG101" s="169">
        <v>4170.283188405233</v>
      </c>
      <c r="BH101" s="170">
        <v>4170.283188405233</v>
      </c>
      <c r="BI101" s="111">
        <f>IF([12]NDCs!V103="",IF([12]NDCs!X103="","",[12]NDCs!X103),[12]NDCs!V103)</f>
        <v>4739</v>
      </c>
      <c r="BJ101" s="111">
        <f>IF([12]NDCs!V103="",IF([12]NDCs!X103="","",[12]NDCs!X103),[12]NDCs!V103)</f>
        <v>4739</v>
      </c>
      <c r="BK101" s="111">
        <f>IF([12]NDCs!Z103="",IF([12]NDCs!AB103="",IF('input site'!BE101="","",'input site'!BE101),[12]NDCs!AB103),[12]NDCs!Z103)</f>
        <v>4168</v>
      </c>
      <c r="BL101" s="111">
        <f>IF([12]NDCs!AA103="",IF([12]NDCs!AC103="",IF('input site'!BF101="","",'input site'!BF101),[12]NDCs!AC103),[12]NDCs!AA103)</f>
        <v>4168</v>
      </c>
      <c r="BM101" s="191">
        <f>[12]IND!$A$24*[12]IND!AB$5</f>
        <v>2745.0218135856398</v>
      </c>
      <c r="BN101" s="127">
        <f>[12]IND!$A$24*[12]IND!AB7</f>
        <v>2745.0218135856398</v>
      </c>
      <c r="BO101" s="127">
        <f>[12]IND!$A$24*[12]IND!AB6</f>
        <v>2745.0218135856398</v>
      </c>
      <c r="BP101" s="127">
        <f>[12]IND!$A$24*[12]IND!AC$5</f>
        <v>3506.9657988455801</v>
      </c>
      <c r="BQ101" s="127">
        <f>[12]IND!$A$24*[12]IND!AC7</f>
        <v>3372.5017223999998</v>
      </c>
      <c r="BR101" s="127">
        <f>[12]IND!$A$24*[12]IND!AC6</f>
        <v>3506.9657988455801</v>
      </c>
      <c r="BS101" s="127">
        <f>[12]IND!$A$24*[12]IND!AD$5</f>
        <v>4140.8871007765001</v>
      </c>
      <c r="BT101" s="127">
        <f>[12]IND!$A$24*[12]IND!AD7</f>
        <v>3702.6324327000002</v>
      </c>
      <c r="BU101" s="184">
        <f>[12]IND!$A$24*[12]IND!AD6</f>
        <v>4140.8871007765001</v>
      </c>
      <c r="CN101" t="s">
        <v>231</v>
      </c>
      <c r="CO101" s="165">
        <f t="shared" si="69"/>
        <v>5.7264035249424472E-2</v>
      </c>
      <c r="CP101" s="165">
        <f t="shared" si="69"/>
        <v>8.9811890750906453E-2</v>
      </c>
      <c r="CQ101" s="165">
        <f t="shared" si="69"/>
        <v>7.098983119636415E-3</v>
      </c>
      <c r="CR101" s="165">
        <f t="shared" si="65"/>
        <v>7.098983119636415E-3</v>
      </c>
      <c r="CS101">
        <f>IF(BE101&lt;=MIN(BS101:BU101),0,1)</f>
        <v>1</v>
      </c>
      <c r="CT101">
        <f>IF(BG101&lt;=MIN(BS101:BU101),0,1)</f>
        <v>1</v>
      </c>
      <c r="CU101">
        <f>IF(BS101&lt;=MAX(AN101,AP101),1,0)</f>
        <v>0</v>
      </c>
      <c r="CV101" s="121" t="str">
        <f>IF(CS101=1,IF(CU101=1,"i","ii"),IF(CU101=1,"iii","iv"))</f>
        <v>ii</v>
      </c>
      <c r="CW101" s="126" t="str">
        <f>IF(CT101=1,IF(CU101=1,"i","ii"),IF(CU101=1,"iii","iv"))</f>
        <v>ii</v>
      </c>
      <c r="CX101"/>
      <c r="CY101" s="167">
        <f t="shared" si="70"/>
        <v>0</v>
      </c>
      <c r="DA101" s="187">
        <f>[12]IND!P18</f>
        <v>1561.9781864143602</v>
      </c>
      <c r="DB101" s="187">
        <f>[12]IND!Q18</f>
        <v>778.97818641436015</v>
      </c>
      <c r="DC101" s="187">
        <f>[12]IND!R18</f>
        <v>0</v>
      </c>
      <c r="DD101" s="187">
        <f>[12]IND!S18</f>
        <v>0</v>
      </c>
      <c r="DE101" s="187">
        <f>[12]IND!T18</f>
        <v>304.51240240476454</v>
      </c>
      <c r="DF101" s="187">
        <f>[12]IND!U18</f>
        <v>29.396087628732857</v>
      </c>
      <c r="DG101" s="105" t="str">
        <f t="shared" si="71"/>
        <v>incl</v>
      </c>
      <c r="DH101" t="s">
        <v>231</v>
      </c>
      <c r="DI101" s="127"/>
      <c r="DJ101" s="127"/>
      <c r="DK101" s="127"/>
      <c r="DL101" s="127"/>
      <c r="DM101" s="127"/>
      <c r="DN101" s="127"/>
      <c r="DO101" s="127"/>
      <c r="DP101" s="127"/>
      <c r="DQ101" s="187">
        <v>1533</v>
      </c>
      <c r="DR101" s="187">
        <v>931</v>
      </c>
      <c r="DS101" s="111"/>
      <c r="DT101" s="168"/>
      <c r="DW101" s="111">
        <f t="shared" si="72"/>
        <v>4378.0110056792528</v>
      </c>
      <c r="DX101" s="111">
        <f t="shared" si="72"/>
        <v>4512.7880006832766</v>
      </c>
      <c r="DY101" s="111">
        <f t="shared" si="72"/>
        <v>4170.283188405233</v>
      </c>
      <c r="DZ101" s="111">
        <f t="shared" si="66"/>
        <v>4170.283188405233</v>
      </c>
      <c r="EP101" t="s">
        <v>231</v>
      </c>
      <c r="EQ101">
        <v>1</v>
      </c>
      <c r="ER101" s="111">
        <f t="shared" si="73"/>
        <v>2917.4940000000001</v>
      </c>
      <c r="ES101" s="111">
        <f>IF($BI$8=2015,VLOOKUP($L101,'[12]IMAGE CDLINKS CurPol'!$P$3:$Y$29,10,FALSE)*$AM101,VLOOKUP($L101,'[12]IMAGE CDLINKS CurPol'!$Z$3:$AI$29,10,FALSE)*$AP101)</f>
        <v>6735.4739860805921</v>
      </c>
      <c r="ET101" s="111">
        <f t="shared" si="74"/>
        <v>2137.0735485211217</v>
      </c>
      <c r="EU101" s="111">
        <f>IF(EQ101&gt;=1.5,EW101,EV101)</f>
        <v>940.67819750153717</v>
      </c>
      <c r="EV101" s="111">
        <f>IF($BI$8=2015,VLOOKUP($L101,'[12]IMAGE CDLINKS 2C'!$P$3:$Y$29,10,FALSE)*$AM101,VLOOKUP($L101,'[12]IMAGE CDLINKS 2C'!$Z$3:$AI$29,10,FALSE)*$AP101)</f>
        <v>940.67819750153717</v>
      </c>
      <c r="EW101" s="211">
        <f>[12]IND!$AM$9</f>
        <v>2137.0735485211217</v>
      </c>
      <c r="EY101" s="111">
        <f t="shared" si="77"/>
        <v>2137.0735485211217</v>
      </c>
      <c r="EZ101" s="111">
        <f>IF($BI$8=2015,VLOOKUP($L101,'[12]IMAGE CDLINKS 1_5C'!$P$3:$Y$29,10,FALSE)*$AM101,VLOOKUP($L101,'[12]IMAGE CDLINKS 1_5C'!$Z$3:$AI$29,10,FALSE)*$AP101)</f>
        <v>-2.3746557187382988</v>
      </c>
      <c r="FA101" s="192">
        <v>2070</v>
      </c>
    </row>
    <row r="102" spans="1:157" x14ac:dyDescent="0.25">
      <c r="A102" t="str">
        <f>IF([12]NDCs!C104="","",[12]NDCs!C104)</f>
        <v>B</v>
      </c>
      <c r="B102" s="159" t="str">
        <f t="shared" si="67"/>
        <v>iv</v>
      </c>
      <c r="C102">
        <v>1</v>
      </c>
      <c r="D102">
        <v>0</v>
      </c>
      <c r="E102">
        <v>1</v>
      </c>
      <c r="F102">
        <v>1</v>
      </c>
      <c r="G102" t="b">
        <f t="shared" si="68"/>
        <v>1</v>
      </c>
      <c r="H102" t="s">
        <v>2339</v>
      </c>
      <c r="I102" t="s">
        <v>233</v>
      </c>
      <c r="J102">
        <v>360</v>
      </c>
      <c r="K102">
        <v>91</v>
      </c>
      <c r="L102">
        <v>22</v>
      </c>
      <c r="M102" t="str">
        <f>IF([12]NDCs!AL104="Excluding","excl","incl")</f>
        <v>incl</v>
      </c>
      <c r="N102" s="195">
        <f>[12]INDO!$A$24*IF($M102="incl",[12]INDO!E$41,[12]INDO!E$37)</f>
        <v>485.69282999999899</v>
      </c>
      <c r="O102" s="195">
        <f>[12]INDO!$A$24*IF($M102="incl",[12]INDO!F$41,[12]INDO!F$37)</f>
        <v>585.95885999999996</v>
      </c>
      <c r="P102" s="195">
        <f>[12]INDO!$A$24*IF($M102="incl",[12]INDO!G$41,[12]INDO!G$37)</f>
        <v>538.32700999999997</v>
      </c>
      <c r="Q102" s="195">
        <f>[12]INDO!$A$24*IF($M102="incl",[12]INDO!H$41,[12]INDO!H$37)</f>
        <v>401.10329000000002</v>
      </c>
      <c r="R102" s="195">
        <f>[12]INDO!$A$24*IF($M102="incl",[12]INDO!I$41,[12]INDO!I$37)</f>
        <v>523.21328999999901</v>
      </c>
      <c r="S102" s="195">
        <f>[12]INDO!$A$24*IF($M102="incl",[12]INDO!J$41,[12]INDO!J$37)</f>
        <v>615.68583188333298</v>
      </c>
      <c r="T102" s="195">
        <f>[12]INDO!$A$24*IF($M102="incl",[12]INDO!K$41,[12]INDO!K$37)</f>
        <v>708.15837376666605</v>
      </c>
      <c r="U102" s="195">
        <f>[12]INDO!$A$24*IF($M102="incl",[12]INDO!L$41,[12]INDO!L$37)</f>
        <v>800.630915649999</v>
      </c>
      <c r="V102" s="195">
        <f>[12]INDO!$A$24*IF($M102="incl",[12]INDO!M$41,[12]INDO!M$37)</f>
        <v>893.10345753333297</v>
      </c>
      <c r="W102" s="195">
        <f>[12]INDO!$A$24*IF($M102="incl",[12]INDO!N$41,[12]INDO!N$37)</f>
        <v>985.57599941666604</v>
      </c>
      <c r="X102" s="195">
        <f>[12]INDO!$A$24*IF($M102="incl",[12]INDO!O$41,[12]INDO!O$37)</f>
        <v>1078.0485412999999</v>
      </c>
      <c r="Y102" s="195">
        <f>[12]INDO!$A$24*IF($M102="incl",[12]INDO!P$41,[12]INDO!P$37)</f>
        <v>525.07906460000004</v>
      </c>
      <c r="Z102" s="195">
        <f>[12]INDO!$A$24*IF($M102="incl",[12]INDO!Q$41,[12]INDO!Q$37)</f>
        <v>747.31017649999899</v>
      </c>
      <c r="AA102" s="195">
        <f>[12]INDO!$A$24*IF($M102="incl",[12]INDO!R$41,[12]INDO!R$37)</f>
        <v>587.87730820000002</v>
      </c>
      <c r="AB102" s="195">
        <f>[12]INDO!$A$24*IF($M102="incl",[12]INDO!S$41,[12]INDO!S$37)</f>
        <v>967.46646139999996</v>
      </c>
      <c r="AC102" s="195">
        <f>[12]INDO!$A$24*IF($M102="incl",[12]INDO!T$41,[12]INDO!T$37)</f>
        <v>1018.2044986</v>
      </c>
      <c r="AD102" s="195">
        <f>[12]INDO!$A$24*IF($M102="incl",[12]INDO!U$41,[12]INDO!U$37)</f>
        <v>1773.28383339999</v>
      </c>
      <c r="AE102" s="195">
        <f>[12]INDO!$A$24*IF($M102="incl",[12]INDO!V$41,[12]INDO!V$37)</f>
        <v>942.59427959999903</v>
      </c>
      <c r="AF102" s="195">
        <f>[12]INDO!$A$24*IF($M102="incl",[12]INDO!W$41,[12]INDO!W$37)</f>
        <v>873.0544165</v>
      </c>
      <c r="AG102" s="195">
        <f>[12]INDO!$A$24*IF($M102="incl",[12]INDO!X$41,[12]INDO!X$37)</f>
        <v>1275.0743150999999</v>
      </c>
      <c r="AH102" s="195">
        <f>[12]INDO!$A$24*IF($M102="incl",[12]INDO!Y$41,[12]INDO!Y$37)</f>
        <v>864.13329839999994</v>
      </c>
      <c r="AI102" s="195">
        <f>[12]INDO!$A$24*IF($M102="incl",[12]INDO!Z$41,[12]INDO!Z$37)</f>
        <v>1018.9099346</v>
      </c>
      <c r="AJ102" s="195">
        <f>[12]INDO!$A$24*IF($M102="incl",[12]INDO!AA$41,[12]INDO!AA$37)</f>
        <v>1461.5923545000001</v>
      </c>
      <c r="AK102" s="195">
        <f>[12]INDO!$A$24*IF($M102="incl",[12]INDO!AB$41,[12]INDO!AB$37)</f>
        <v>1276.8450349</v>
      </c>
      <c r="AL102" s="195">
        <f>[12]INDO!$A$24*IF($M102="incl",[12]INDO!AC$41,[12]INDO!AC$37)</f>
        <v>1676.8325004999999</v>
      </c>
      <c r="AM102" s="195">
        <f>[12]INDO!$A$24*IF($M102="incl",[12]INDO!AD$41,[12]INDO!AD$37)</f>
        <v>2400.1963457000002</v>
      </c>
      <c r="AN102" s="195">
        <f>[12]INDO!$A$24*IF($M102="incl",[12]INDO!AE$41,[12]INDO!AE$37)</f>
        <v>1363.7431913999999</v>
      </c>
      <c r="AO102" s="195">
        <f>[12]INDO!$A$24*IF($M102="incl",[12]INDO!AF$41,[12]INDO!AF$37)</f>
        <v>1376.4339637666601</v>
      </c>
      <c r="AP102" s="195">
        <f>[12]INDO!$A$24*IF($M102="incl",[12]INDO!AG$41,[12]INDO!AG$37)</f>
        <v>1643.25273613333</v>
      </c>
      <c r="AQ102" s="195">
        <f>[12]INDO!$A$24*IF($M102="incl",[12]INDO!AH$41,[12]INDO!AH$37)</f>
        <v>1877.8106990000001</v>
      </c>
      <c r="AR102" s="195">
        <f>[12]INDO!$A$24*IF($M102="incl",[12]INDO!AI$41,[12]INDO!AI$37)</f>
        <v>1825.863139</v>
      </c>
      <c r="AS102" s="195">
        <f>[12]INDO!$A$24*IF($M102="incl",[12]INDO!AJ$41,[12]INDO!AJ$37)</f>
        <v>1836.9278589999999</v>
      </c>
      <c r="AT102" s="179">
        <f>[12]INDO!$A$24*[12]INDO!AI23</f>
        <v>1410.4286603156627</v>
      </c>
      <c r="AU102" s="177">
        <f>[12]INDO!$A$24*[12]INDO!AN23</f>
        <v>1714.1577607364848</v>
      </c>
      <c r="AV102" s="180">
        <f>[12]INDO!$A$24*[12]INDO!AS23</f>
        <v>2031.2771623044791</v>
      </c>
      <c r="AW102" s="177">
        <f>[12]INDO!$A$24*IF(A102="B",AM102+(AX102-AM102)*0.333333,"")</f>
        <v>2556.4640741987819</v>
      </c>
      <c r="AX102" s="180">
        <f>[12]INDO!$A$24*IF(A102="B",IF(M102="excl",[12]NatCom!CO92,[12]NatCom!AX92),"")</f>
        <v>2869</v>
      </c>
      <c r="AY102" s="177">
        <f>[12]INDO!$A$24*IF('[12]Pledge 2020'!E92="","",'[12]Pledge 2020'!E92)</f>
        <v>1465.2</v>
      </c>
      <c r="AZ102" s="164" t="str">
        <f>IF('[12]Pledge 2020'!F92="","",'[12]Pledge 2020'!F92)</f>
        <v/>
      </c>
      <c r="BA102" s="127">
        <f>[12]INDO!$A$24*[12]INDO!X10</f>
        <v>1681.5902496000001</v>
      </c>
      <c r="BB102" s="106">
        <f>IF(BF102="","",(BF102-AH102)*0.75+AH102)</f>
        <v>1681.5902496000001</v>
      </c>
      <c r="BC102" s="127">
        <f>[12]INDO!$A$24*[12]INDO!Y10</f>
        <v>1438.2273246</v>
      </c>
      <c r="BD102" s="106">
        <f>IF(BH102="","",(BH102-AH102)*0.75+AH102)</f>
        <v>1438.2273246</v>
      </c>
      <c r="BE102" s="212">
        <v>1954.0759</v>
      </c>
      <c r="BF102" s="212">
        <v>1954.0759</v>
      </c>
      <c r="BG102" s="212">
        <v>1629.5920000000001</v>
      </c>
      <c r="BH102" s="213">
        <v>1629.5920000000001</v>
      </c>
      <c r="BI102" s="111">
        <f>IF([12]NDCs!V104="",IF([12]NDCs!X104="","",[12]NDCs!X104),[12]NDCs!V104)</f>
        <v>2036.99</v>
      </c>
      <c r="BJ102" s="111">
        <f>IF([12]NDCs!V104="",IF([12]NDCs!X104="","",[12]NDCs!X104),[12]NDCs!V104)</f>
        <v>2036.99</v>
      </c>
      <c r="BK102" s="111">
        <f>IF([12]NDCs!Z104="",IF([12]NDCs!AB104="",IF('input site'!BE102="","",'input site'!BE102),[12]NDCs!AB104),[12]NDCs!Z104)</f>
        <v>1692.7100000000003</v>
      </c>
      <c r="BL102" s="111">
        <f>IF([12]NDCs!AA104="",IF([12]NDCs!AC104="",IF('input site'!BF102="","",'input site'!BF102),[12]NDCs!AC104),[12]NDCs!AA104)</f>
        <v>1692.7100000000003</v>
      </c>
      <c r="BM102" s="191">
        <f>[12]INDO!$A$24*[12]INDO!AB$5</f>
        <v>1896.92004113843</v>
      </c>
      <c r="BN102" s="127">
        <f>[12]INDO!$A$24*[12]INDO!AB7</f>
        <v>1825.863139</v>
      </c>
      <c r="BO102" s="127">
        <f>[12]INDO!$A$24*[12]INDO!AB6</f>
        <v>1896.92004113843</v>
      </c>
      <c r="BP102" s="127">
        <f>[12]INDO!$A$24*[12]INDO!AC$5</f>
        <v>2006.36102126743</v>
      </c>
      <c r="BQ102" s="127">
        <f>[12]INDO!$A$24*[12]INDO!AC7</f>
        <v>2006.36102126743</v>
      </c>
      <c r="BR102" s="127">
        <f>[12]INDO!$A$24*[12]INDO!AC6</f>
        <v>2159.1235019999999</v>
      </c>
      <c r="BS102" s="127">
        <f>[12]INDO!$A$24*[12]INDO!AD$5</f>
        <v>2125.2996099908401</v>
      </c>
      <c r="BT102" s="127">
        <f>[12]INDO!$A$24*[12]INDO!AD7</f>
        <v>2125.2996099908401</v>
      </c>
      <c r="BU102" s="184">
        <f>[12]INDO!$A$24*[12]INDO!AD6</f>
        <v>2445.6074250000001</v>
      </c>
      <c r="CN102" t="s">
        <v>233</v>
      </c>
      <c r="CO102" s="165">
        <f t="shared" si="69"/>
        <v>-8.0564504499004763E-2</v>
      </c>
      <c r="CP102" s="165">
        <f t="shared" si="69"/>
        <v>-8.0564504499004763E-2</v>
      </c>
      <c r="CQ102" s="165">
        <f t="shared" si="69"/>
        <v>-0.23324128403381983</v>
      </c>
      <c r="CR102" s="165">
        <f t="shared" si="65"/>
        <v>-0.23324128403381983</v>
      </c>
      <c r="CS102">
        <f>IF(BE102&lt;=MIN(BS102:BU102),0,1)</f>
        <v>0</v>
      </c>
      <c r="CT102">
        <f>IF(BG102&lt;=MIN(BS102:BU102),0,1)</f>
        <v>0</v>
      </c>
      <c r="CU102">
        <f>IF(BS102&lt;=MAX(AN102,AP102),1,0)</f>
        <v>0</v>
      </c>
      <c r="CV102" s="121" t="str">
        <f>IF(CS102=1,IF(CU102=1,"i","ii"),IF(CU102=1,"iii","iv"))</f>
        <v>iv</v>
      </c>
      <c r="CW102" s="126" t="str">
        <f>IF(CT102=1,IF(CU102=1,"i","ii"),IF(CU102=1,"iii","iv"))</f>
        <v>iv</v>
      </c>
      <c r="CX102"/>
      <c r="CY102" s="167">
        <f t="shared" si="70"/>
        <v>-486.49138082276727</v>
      </c>
      <c r="DA102" s="187">
        <f>[12]INDO!P18</f>
        <v>0</v>
      </c>
      <c r="DB102" s="187">
        <f>[12]INDO!Q18</f>
        <v>0</v>
      </c>
      <c r="DC102" s="187">
        <f>[12]INDO!R18</f>
        <v>0</v>
      </c>
      <c r="DD102" s="187">
        <f>[12]INDO!S18</f>
        <v>0</v>
      </c>
      <c r="DE102" s="187">
        <f>[12]INDO!T18</f>
        <v>0</v>
      </c>
      <c r="DF102" s="187">
        <f>[12]INDO!U18</f>
        <v>0</v>
      </c>
      <c r="DG102" s="105" t="str">
        <f t="shared" si="71"/>
        <v>incl</v>
      </c>
      <c r="DH102" t="s">
        <v>233</v>
      </c>
      <c r="DI102" s="127"/>
      <c r="DJ102" s="127"/>
      <c r="DK102" s="127"/>
      <c r="DL102" s="127"/>
      <c r="DM102" s="127"/>
      <c r="DN102" s="127"/>
      <c r="DO102" s="127"/>
      <c r="DP102" s="127"/>
      <c r="DQ102" s="187">
        <f>[12]INDO!BA$18</f>
        <v>0</v>
      </c>
      <c r="DR102" s="187">
        <f>[12]INDO!BB$18</f>
        <v>0</v>
      </c>
      <c r="DS102" s="111"/>
      <c r="DT102" s="168"/>
      <c r="DW102" s="111">
        <f t="shared" si="72"/>
        <v>1954.0759</v>
      </c>
      <c r="DX102" s="111">
        <f t="shared" si="72"/>
        <v>1954.0759</v>
      </c>
      <c r="DY102" s="111">
        <f t="shared" si="72"/>
        <v>1629.5920000000001</v>
      </c>
      <c r="DZ102" s="111">
        <f t="shared" si="66"/>
        <v>1629.5920000000001</v>
      </c>
      <c r="EP102" t="s">
        <v>233</v>
      </c>
      <c r="EQ102">
        <v>0</v>
      </c>
      <c r="ER102" s="111">
        <f t="shared" si="73"/>
        <v>1643.25273613333</v>
      </c>
      <c r="ES102" s="111">
        <f>IF($BI$8=2015,VLOOKUP($L102,'[12]IMAGE CDLINKS CurPol'!$P$3:$Y$29,10,FALSE)*$AM102,VLOOKUP($L102,'[12]IMAGE CDLINKS CurPol'!$Z$3:$AI$29,10,FALSE)*$AP102)</f>
        <v>3121.8263249440506</v>
      </c>
      <c r="ET102" s="111">
        <f>IF(EQ102&gt;=1,EW101,ES102)</f>
        <v>3121.8263249440506</v>
      </c>
      <c r="EU102" s="111">
        <f>IF(EQ102&gt;=1.5,EW101,EV102)</f>
        <v>684.92552940515816</v>
      </c>
      <c r="EV102" s="111">
        <f>IF($BI$8=2015,VLOOKUP($L102,'[12]IMAGE CDLINKS 2C'!$P$3:$Y$29,10,FALSE)*$AM102,VLOOKUP($L102,'[12]IMAGE CDLINKS 2C'!$Z$3:$AI$29,10,FALSE)*$AP102)</f>
        <v>684.92552940515816</v>
      </c>
      <c r="EY102" s="111">
        <f>IF(EQ102&gt;=1,EW101,EZ102)</f>
        <v>-177.37235410949268</v>
      </c>
      <c r="EZ102" s="111">
        <f>IF($BI$8=2015,VLOOKUP($L102,'[12]IMAGE CDLINKS 1_5C'!$P$3:$Y$29,10,FALSE)*$AM102,VLOOKUP($L102,'[12]IMAGE CDLINKS 1_5C'!$Z$3:$AI$29,10,FALSE)*$AP102)</f>
        <v>-177.37235410949268</v>
      </c>
      <c r="FA102" s="192">
        <v>2060</v>
      </c>
    </row>
    <row r="103" spans="1:157" x14ac:dyDescent="0.25">
      <c r="A103" t="str">
        <f>IF([12]NDCs!C105="","",[12]NDCs!C105)</f>
        <v>C</v>
      </c>
      <c r="B103" s="159" t="str">
        <f t="shared" si="67"/>
        <v>ii</v>
      </c>
      <c r="C103">
        <v>1</v>
      </c>
      <c r="D103">
        <v>0</v>
      </c>
      <c r="E103">
        <v>0</v>
      </c>
      <c r="F103">
        <v>1</v>
      </c>
      <c r="G103" t="b">
        <f t="shared" si="68"/>
        <v>1</v>
      </c>
      <c r="H103" t="s">
        <v>2328</v>
      </c>
      <c r="I103" t="s">
        <v>235</v>
      </c>
      <c r="J103">
        <v>364</v>
      </c>
      <c r="K103">
        <v>92</v>
      </c>
      <c r="L103">
        <v>17</v>
      </c>
      <c r="M103" t="str">
        <f>IF([12]NDCs!AL105="Excluding","excl","incl")</f>
        <v>incl</v>
      </c>
      <c r="N103" s="177">
        <f>[12]IRA!$A$24*IF($M103="incl",[12]IRA!E$41,[12]IRA!E$37)</f>
        <v>409</v>
      </c>
      <c r="O103" s="177">
        <f>[12]IRA!$A$24*IF($M103="incl",[12]IRA!F$41,[12]IRA!F$37)</f>
        <v>431</v>
      </c>
      <c r="P103" s="177">
        <f>[12]IRA!$A$24*IF($M103="incl",[12]IRA!G$41,[12]IRA!G$37)</f>
        <v>436</v>
      </c>
      <c r="Q103" s="177">
        <f>[12]IRA!$A$24*IF($M103="incl",[12]IRA!H$41,[12]IRA!H$37)</f>
        <v>429</v>
      </c>
      <c r="R103" s="177">
        <f>[12]IRA!$A$24*IF($M103="incl",[12]IRA!I$41,[12]IRA!I$37)</f>
        <v>473</v>
      </c>
      <c r="S103" s="177">
        <f>[12]IRA!$A$24*IF($M103="incl",[12]IRA!J$41,[12]IRA!J$37)</f>
        <v>466.166666666666</v>
      </c>
      <c r="T103" s="177">
        <f>[12]IRA!$A$24*IF($M103="incl",[12]IRA!K$41,[12]IRA!K$37)</f>
        <v>468.33333333333297</v>
      </c>
      <c r="U103" s="177">
        <f>[12]IRA!$A$24*IF($M103="incl",[12]IRA!L$41,[12]IRA!L$37)</f>
        <v>452.5</v>
      </c>
      <c r="V103" s="177">
        <f>[12]IRA!$A$24*IF($M103="incl",[12]IRA!M$41,[12]IRA!M$37)</f>
        <v>472.666666666666</v>
      </c>
      <c r="W103" s="177">
        <f>[12]IRA!$A$24*IF($M103="incl",[12]IRA!N$41,[12]IRA!N$37)</f>
        <v>536.83333333333303</v>
      </c>
      <c r="X103" s="177">
        <f>[12]IRA!$A$24*IF($M103="incl",[12]IRA!O$41,[12]IRA!O$37)</f>
        <v>525</v>
      </c>
      <c r="Y103" s="177">
        <f>[12]IRA!$A$24*IF($M103="incl",[12]IRA!P$41,[12]IRA!P$37)</f>
        <v>550.29999999999995</v>
      </c>
      <c r="Z103" s="177">
        <f>[12]IRA!$A$24*IF($M103="incl",[12]IRA!Q$41,[12]IRA!Q$37)</f>
        <v>556.6</v>
      </c>
      <c r="AA103" s="177">
        <f>[12]IRA!$A$24*IF($M103="incl",[12]IRA!R$41,[12]IRA!R$37)</f>
        <v>593.9</v>
      </c>
      <c r="AB103" s="177">
        <f>[12]IRA!$A$24*IF($M103="incl",[12]IRA!S$41,[12]IRA!S$37)</f>
        <v>639.20000000000005</v>
      </c>
      <c r="AC103" s="177">
        <f>[12]IRA!$A$24*IF($M103="incl",[12]IRA!T$41,[12]IRA!T$37)</f>
        <v>667.5</v>
      </c>
      <c r="AD103" s="177">
        <f>[12]IRA!$A$24*IF($M103="incl",[12]IRA!U$41,[12]IRA!U$37)</f>
        <v>717.8</v>
      </c>
      <c r="AE103" s="177">
        <f>[12]IRA!$A$24*IF($M103="incl",[12]IRA!V$41,[12]IRA!V$37)</f>
        <v>735.1</v>
      </c>
      <c r="AF103" s="177">
        <f>[12]IRA!$A$24*IF($M103="incl",[12]IRA!W$41,[12]IRA!W$37)</f>
        <v>750.4</v>
      </c>
      <c r="AG103" s="177">
        <f>[12]IRA!$A$24*IF($M103="incl",[12]IRA!X$41,[12]IRA!X$37)</f>
        <v>764.7</v>
      </c>
      <c r="AH103" s="177">
        <f>[12]IRA!$A$24*IF($M103="incl",[12]IRA!Y$41,[12]IRA!Y$37)</f>
        <v>790</v>
      </c>
      <c r="AI103" s="177">
        <f>[12]IRA!$A$24*IF($M103="incl",[12]IRA!Z$41,[12]IRA!Z$37)</f>
        <v>804.20061199999998</v>
      </c>
      <c r="AJ103" s="177">
        <f>[12]IRA!$A$24*IF($M103="incl",[12]IRA!AA$41,[12]IRA!AA$37)</f>
        <v>824.51487399999996</v>
      </c>
      <c r="AK103" s="177">
        <f>[12]IRA!$A$24*IF($M103="incl",[12]IRA!AB$41,[12]IRA!AB$37)</f>
        <v>832.82913599999995</v>
      </c>
      <c r="AL103" s="177">
        <f>[12]IRA!$A$24*IF($M103="incl",[12]IRA!AC$41,[12]IRA!AC$37)</f>
        <v>870.14339800000005</v>
      </c>
      <c r="AM103" s="177">
        <f>[12]IRA!$A$24*IF($M103="incl",[12]IRA!AD$41,[12]IRA!AD$37)</f>
        <v>861.45766000000003</v>
      </c>
      <c r="AN103" s="177">
        <f>[12]IRA!$A$24*IF($M103="incl",[12]IRA!AE$41,[12]IRA!AE$37)</f>
        <v>906.77192200000002</v>
      </c>
      <c r="AO103" s="177">
        <f>[12]IRA!$A$24*IF($M103="incl",[12]IRA!AF$41,[12]IRA!AF$37)</f>
        <v>929.086184</v>
      </c>
      <c r="AP103" s="177">
        <f>[12]IRA!$A$24*IF($M103="incl",[12]IRA!AG$41,[12]IRA!AG$37)</f>
        <v>964.40044599999999</v>
      </c>
      <c r="AQ103" s="177">
        <f>[12]IRA!$A$24*IF($M103="incl",[12]IRA!AH$41,[12]IRA!AH$37)</f>
        <v>993.71470799999997</v>
      </c>
      <c r="AR103" s="177">
        <f>[12]IRA!$A$24*IF($M103="incl",[12]IRA!AI$41,[12]IRA!AI$37)</f>
        <v>933.02896999999996</v>
      </c>
      <c r="AS103" s="177">
        <f>[12]IRA!$A$24*IF($M103="incl",[12]IRA!AJ$41,[12]IRA!AJ$37)</f>
        <v>1001.27838</v>
      </c>
      <c r="AT103" s="171">
        <f>VLOOKUP($L103,'[12]IMAGE SSP2'!$AF$3:$AK$29,4,FALSE)*($AM103-'[12]IIASA Proj'!$EQ93)+('[12]IIASA Proj'!$EQ93+'[12]IIASA Proj'!$ER93)</f>
        <v>955.52008981397159</v>
      </c>
      <c r="AU103" s="172">
        <f>VLOOKUP($L103,'[12]IMAGE SSP2'!$AF$3:$AK$29,5,FALSE)*($AM103-'[12]IIASA Proj'!$EQ93)+('[12]IIASA Proj'!$EQ93+'[12]IIASA Proj'!$ES93)</f>
        <v>1033.5739721952903</v>
      </c>
      <c r="AV103" s="173">
        <f>VLOOKUP($L103,'[12]IMAGE SSP2'!$AF$3:$AK$29,6,FALSE)*($AM103-'[12]IIASA Proj'!$EQ93)+('[12]IIASA Proj'!$EQ93+'[12]IIASA Proj'!$ET93)</f>
        <v>1092.8946729812958</v>
      </c>
      <c r="AW103" s="111" t="str">
        <f t="shared" si="75"/>
        <v/>
      </c>
      <c r="AX103" s="164" t="str">
        <f>IF(A103="B",IF(M103="excl",[12]NatCom!CO93,[12]NatCom!AX93),"")</f>
        <v/>
      </c>
      <c r="AY103" s="111" t="str">
        <f>IF('[12]Pledge 2020'!E93="","",'[12]Pledge 2020'!E93)</f>
        <v/>
      </c>
      <c r="AZ103" s="164" t="str">
        <f>IF('[12]Pledge 2020'!F93="","",'[12]Pledge 2020'!F93)</f>
        <v/>
      </c>
      <c r="BA103" s="111">
        <f t="shared" si="51"/>
        <v>1666.5038931769927</v>
      </c>
      <c r="BB103" s="111">
        <f>IF(BF103="","",(BF103-AH103)*0.75+AH103)</f>
        <v>1666.5038931769927</v>
      </c>
      <c r="BC103" s="111">
        <f t="shared" si="52"/>
        <v>1544.08690207891</v>
      </c>
      <c r="BD103" s="111">
        <f>IF(BH103="","",(BH103-AH103)*0.75+AH103)</f>
        <v>1544.08690207891</v>
      </c>
      <c r="BE103" s="111">
        <v>1958.6718575693235</v>
      </c>
      <c r="BF103" s="111">
        <v>1958.6718575693235</v>
      </c>
      <c r="BG103" s="111">
        <v>1795.44920277188</v>
      </c>
      <c r="BH103" s="164">
        <v>1795.44920277188</v>
      </c>
      <c r="BI103" s="111">
        <f>IF([12]NDCs!V105="",IF([12]NDCs!X105="","",[12]NDCs!X105),[12]NDCs!V105)</f>
        <v>1958.6718575693235</v>
      </c>
      <c r="BJ103" s="111">
        <f>IF([12]NDCs!V105="",IF([12]NDCs!X105="","",[12]NDCs!X105),[12]NDCs!V105)</f>
        <v>1958.6718575693235</v>
      </c>
      <c r="BK103" s="111">
        <f>IF([12]NDCs!Z105="",IF([12]NDCs!AB105="",IF('input site'!BE103="","",'input site'!BE103),[12]NDCs!AB105),[12]NDCs!Z105)</f>
        <v>1795.44920277188</v>
      </c>
      <c r="BL103" s="111">
        <f>IF([12]NDCs!AA105="",IF([12]NDCs!AC105="",IF('input site'!BF103="","",'input site'!BF103),[12]NDCs!AC105),[12]NDCs!AA105)</f>
        <v>1795.44920277188</v>
      </c>
      <c r="BM103" s="207">
        <f>[12]IRA!$A$24*[12]IRA!AB$5</f>
        <v>933.02896999999996</v>
      </c>
      <c r="BN103" s="177">
        <f>[12]IRA!$A$24*[12]IRA!AB$7</f>
        <v>933.02896999999996</v>
      </c>
      <c r="BO103" s="177">
        <f>[12]IRA!$A$24*[12]IRA!AB$6</f>
        <v>933.02896999999996</v>
      </c>
      <c r="BP103" s="207">
        <f>[12]IRA!$A$24*[12]IRA!AC$5</f>
        <v>1162.3235549999999</v>
      </c>
      <c r="BQ103" s="177">
        <f>[12]IRA!$A$24*[12]IRA!AC$7</f>
        <v>1145.393069</v>
      </c>
      <c r="BR103" s="177">
        <f>[12]IRA!$A$24*[12]IRA!AC$6</f>
        <v>1179.2540409999999</v>
      </c>
      <c r="BS103" s="160">
        <f>[12]IRA!$A$24*[12]IRA!AD$5</f>
        <v>1349.5548199999998</v>
      </c>
      <c r="BT103" s="177">
        <f>[12]IRA!$A$24*[12]IRA!AD$7</f>
        <v>1346.672873</v>
      </c>
      <c r="BU103" s="177">
        <f>[12]IRA!$A$24*[12]IRA!AD$6</f>
        <v>1352.4367669999999</v>
      </c>
      <c r="CN103" t="s">
        <v>235</v>
      </c>
      <c r="CO103" s="165">
        <f t="shared" si="69"/>
        <v>0.4513466430132298</v>
      </c>
      <c r="CP103" s="165">
        <f t="shared" si="69"/>
        <v>0.4513466430132298</v>
      </c>
      <c r="CQ103" s="165">
        <f t="shared" si="69"/>
        <v>0.33040108942879409</v>
      </c>
      <c r="CR103" s="165">
        <f t="shared" si="65"/>
        <v>0.33040108942879409</v>
      </c>
      <c r="CS103" s="185">
        <f>IF(BE103&lt;=MIN(BS103:BU103),0,1)</f>
        <v>1</v>
      </c>
      <c r="CT103" s="185">
        <f>IF(BG103&lt;=MIN(BS103:BU103),0,1)</f>
        <v>1</v>
      </c>
      <c r="CU103">
        <f>IF(BS103&lt;=AP103,1,0)</f>
        <v>0</v>
      </c>
      <c r="CV103" s="126" t="str">
        <f>IF(CS103=1,IF(CU103=1,"i","ii"),IF(CU103=1,"iii","iv"))</f>
        <v>ii</v>
      </c>
      <c r="CW103" s="126" t="str">
        <f>IF(CT103=1,IF(CU103=1,"i","ii"),IF(CU103=1,"iii","iv"))</f>
        <v>ii</v>
      </c>
      <c r="CX103"/>
      <c r="CY103" s="167">
        <f t="shared" si="70"/>
        <v>22.491119813971636</v>
      </c>
      <c r="DB103" s="106"/>
      <c r="DC103" s="106"/>
      <c r="DD103" s="106"/>
      <c r="DE103" s="106"/>
      <c r="DF103" s="106"/>
      <c r="DG103" s="105" t="str">
        <f t="shared" si="71"/>
        <v>incl</v>
      </c>
      <c r="DH103" t="s">
        <v>235</v>
      </c>
      <c r="DI103" s="111">
        <f t="shared" ref="DI103:DJ108" si="79">IF(AY103="",$BM103,AY103)-$BM103</f>
        <v>0</v>
      </c>
      <c r="DJ103" s="111">
        <f t="shared" si="79"/>
        <v>0</v>
      </c>
      <c r="DK103" s="111">
        <f t="shared" ref="DK103:DK108" si="80">IF(BA103="",$BP103,BA103)-$BP103</f>
        <v>504.18033817699279</v>
      </c>
      <c r="DL103" s="111">
        <f t="shared" ref="DL103:DL108" si="81">IF(BC103="",$BP103,BC103)-$BP103</f>
        <v>381.7633470789101</v>
      </c>
      <c r="DM103" s="111">
        <f t="shared" ref="DM103:DM108" si="82">IF(BE103="",$BS103,BE103)-$BS103</f>
        <v>609.11703756932366</v>
      </c>
      <c r="DN103" s="111">
        <f t="shared" ref="DN103:DN108" si="83">IF(BG103="",$BS103,BG103)-$BS103</f>
        <v>445.89438277188015</v>
      </c>
      <c r="DO103" s="111">
        <f t="shared" ref="DO103:DO108" si="84">IF(BI103="",$BS103,BI103)-$BS103</f>
        <v>609.11703756932366</v>
      </c>
      <c r="DP103" s="111">
        <f t="shared" ref="DP103:DP108" si="85">IF(BK103="",$BS103,BK103)-$BS103</f>
        <v>445.89438277188015</v>
      </c>
      <c r="DQ103" s="106"/>
      <c r="DR103" s="106"/>
      <c r="DS103" s="177">
        <f>[12]GHG_hist!BZ93+IF($M103="incl",[12]LULUCF_hist!DQ93,0)</f>
        <v>933.72262000000001</v>
      </c>
      <c r="DT103" s="178">
        <f>IF($M103="incl",'[12]IIASA Proj'!EQ93,0)</f>
        <v>21.523191999999987</v>
      </c>
      <c r="DW103" s="111">
        <f t="shared" si="72"/>
        <v>1958.6718575693235</v>
      </c>
      <c r="DX103" s="111">
        <f t="shared" si="72"/>
        <v>1958.6718575693235</v>
      </c>
      <c r="DY103" s="111">
        <f t="shared" si="72"/>
        <v>1795.44920277188</v>
      </c>
      <c r="DZ103" s="111">
        <f t="shared" si="66"/>
        <v>1795.44920277188</v>
      </c>
      <c r="EP103" t="s">
        <v>235</v>
      </c>
      <c r="EQ103">
        <v>0</v>
      </c>
      <c r="ER103" s="111">
        <f t="shared" si="73"/>
        <v>964.40044599999999</v>
      </c>
      <c r="ES103" s="111">
        <f>IF($BI$8=2015,VLOOKUP($L103,'[12]IMAGE CDLINKS CurPol'!$P$3:$Y$29,10,FALSE)*$AM103,VLOOKUP($L103,'[12]IMAGE CDLINKS CurPol'!$Z$3:$AI$29,10,FALSE)*$AP103)</f>
        <v>1443.0208588775138</v>
      </c>
      <c r="ET103" s="111">
        <f t="shared" ref="ET103:ET166" si="86">IF(EQ103&gt;=1,EW103,ES103)</f>
        <v>1443.0208588775138</v>
      </c>
      <c r="EU103" s="111">
        <f t="shared" si="76"/>
        <v>485.54877605715023</v>
      </c>
      <c r="EV103" s="111">
        <f>IF($BI$8=2015,VLOOKUP($L103,'[12]IMAGE CDLINKS 2C'!$P$3:$Y$29,10,FALSE)*$AM103,VLOOKUP($L103,'[12]IMAGE CDLINKS 2C'!$Z$3:$AI$29,10,FALSE)*$AP103)</f>
        <v>485.54877605715023</v>
      </c>
      <c r="EY103" s="111">
        <f t="shared" si="77"/>
        <v>84.577251209365798</v>
      </c>
      <c r="EZ103" s="111">
        <f>IF($BI$8=2015,VLOOKUP($L103,'[12]IMAGE CDLINKS 1_5C'!$P$3:$Y$29,10,FALSE)*$AM103,VLOOKUP($L103,'[12]IMAGE CDLINKS 1_5C'!$Z$3:$AI$29,10,FALSE)*$AP103)</f>
        <v>84.577251209365798</v>
      </c>
      <c r="FA103" s="192"/>
    </row>
    <row r="104" spans="1:157" x14ac:dyDescent="0.25">
      <c r="A104" t="str">
        <f>IF([12]NDCs!C106="","",[12]NDCs!C106)</f>
        <v>G</v>
      </c>
      <c r="B104" s="159" t="str">
        <f t="shared" si="67"/>
        <v>v</v>
      </c>
      <c r="C104">
        <v>0</v>
      </c>
      <c r="D104">
        <v>0</v>
      </c>
      <c r="E104">
        <v>0</v>
      </c>
      <c r="F104">
        <v>1</v>
      </c>
      <c r="G104" t="b">
        <f t="shared" si="68"/>
        <v>0</v>
      </c>
      <c r="H104" t="s">
        <v>2328</v>
      </c>
      <c r="I104" t="s">
        <v>237</v>
      </c>
      <c r="J104">
        <v>368</v>
      </c>
      <c r="K104">
        <v>93</v>
      </c>
      <c r="L104">
        <v>17</v>
      </c>
      <c r="M104" t="str">
        <f>IF([12]NDCs!AL106="Excluding","excl","incl")</f>
        <v>excl</v>
      </c>
      <c r="N104" s="160">
        <f>[12]GHG_hist!BA94+IF($M104="incl",[12]LULUCF_hist!CR94,0)</f>
        <v>136.55059</v>
      </c>
      <c r="O104" s="111">
        <f>[12]GHG_hist!BB94+IF($M104="incl",[12]LULUCF_hist!CS94,0)</f>
        <v>68.88263400000001</v>
      </c>
      <c r="P104" s="111">
        <f>[12]GHG_hist!BC94+IF($M104="incl",[12]LULUCF_hist!CT94,0)</f>
        <v>88.904870000000003</v>
      </c>
      <c r="Q104" s="111">
        <f>[12]GHG_hist!BD94+IF($M104="incl",[12]LULUCF_hist!CU94,0)</f>
        <v>99.072726000000003</v>
      </c>
      <c r="R104" s="111">
        <f>[12]GHG_hist!BE94+IF($M104="incl",[12]LULUCF_hist!CV94,0)</f>
        <v>108.35588000000001</v>
      </c>
      <c r="S104" s="111">
        <f>[12]GHG_hist!BF94+IF($M104="incl",[12]LULUCF_hist!CW94,0)</f>
        <v>112.24516000000001</v>
      </c>
      <c r="T104" s="111">
        <f>[12]GHG_hist!BG94+IF($M104="incl",[12]LULUCF_hist!CX94,0)</f>
        <v>105.81764</v>
      </c>
      <c r="U104" s="111">
        <f>[12]GHG_hist!BH94+IF($M104="incl",[12]LULUCF_hist!CY94,0)</f>
        <v>119.53177000000001</v>
      </c>
      <c r="V104" s="111">
        <f>[12]GHG_hist!BI94+IF($M104="incl",[12]LULUCF_hist!CZ94,0)</f>
        <v>133.14410999999998</v>
      </c>
      <c r="W104" s="111">
        <f>[12]GHG_hist!BJ94+IF($M104="incl",[12]LULUCF_hist!DA94,0)</f>
        <v>141.84989000000002</v>
      </c>
      <c r="X104" s="111">
        <f>[12]GHG_hist!BK94+IF($M104="incl",[12]LULUCF_hist!DB94,0)</f>
        <v>146.72048999999998</v>
      </c>
      <c r="Y104" s="111">
        <f>[12]GHG_hist!BL94+IF($M104="incl",[12]LULUCF_hist!DC94,0)</f>
        <v>161.98972000000001</v>
      </c>
      <c r="Z104" s="111">
        <f>[12]GHG_hist!BM94+IF($M104="incl",[12]LULUCF_hist!DD94,0)</f>
        <v>159.70060999999998</v>
      </c>
      <c r="AA104" s="111">
        <f>[12]GHG_hist!BN94+IF($M104="incl",[12]LULUCF_hist!DE94,0)</f>
        <v>164.13012000000001</v>
      </c>
      <c r="AB104" s="111">
        <f>[12]GHG_hist!BO94+IF($M104="incl",[12]LULUCF_hist!DF94,0)</f>
        <v>184.06744</v>
      </c>
      <c r="AC104" s="111">
        <f>[12]GHG_hist!BP94+IF($M104="incl",[12]LULUCF_hist!DG94,0)</f>
        <v>184.18323000000001</v>
      </c>
      <c r="AD104" s="111">
        <f>[12]GHG_hist!BQ94+IF($M104="incl",[12]LULUCF_hist!DH94,0)</f>
        <v>167.39414000000002</v>
      </c>
      <c r="AE104" s="111">
        <f>[12]GHG_hist!BR94+IF($M104="incl",[12]LULUCF_hist!DI94,0)</f>
        <v>127.98230000000001</v>
      </c>
      <c r="AF104" s="111">
        <f>[12]GHG_hist!BS94+IF($M104="incl",[12]LULUCF_hist!DJ94,0)</f>
        <v>162.99520999999999</v>
      </c>
      <c r="AG104" s="111">
        <f>[12]GHG_hist!BT94+IF($M104="incl",[12]LULUCF_hist!DK94,0)</f>
        <v>182.82923000000002</v>
      </c>
      <c r="AH104" s="111">
        <f>[12]GHG_hist!BU94+IF($M104="incl",[12]LULUCF_hist!DL94,0)</f>
        <v>198.79689999999999</v>
      </c>
      <c r="AI104" s="111">
        <f>[12]GHG_hist!BV94+IF($M104="incl",[12]LULUCF_hist!DM94,0)</f>
        <v>230.30242999999999</v>
      </c>
      <c r="AJ104" s="111">
        <f>[12]GHG_hist!BW94+IF($M104="incl",[12]LULUCF_hist!DN94,0)</f>
        <v>257.99847</v>
      </c>
      <c r="AK104" s="111">
        <f>[12]GHG_hist!BX94+IF($M104="incl",[12]LULUCF_hist!DO94,0)</f>
        <v>271.79419999999999</v>
      </c>
      <c r="AL104" s="111">
        <f>[12]GHG_hist!BY94+IF($M104="incl",[12]LULUCF_hist!DP94,0)</f>
        <v>277.42153999999999</v>
      </c>
      <c r="AM104" s="111">
        <f>[12]GHG_hist!BZ94+IF($M104="incl",[12]LULUCF_hist!DQ94,0)</f>
        <v>286.30768</v>
      </c>
      <c r="AN104" s="111">
        <f>[12]GHG_hist!CA94+IF($M104="incl",[12]LULUCF_hist!DR94,0)</f>
        <v>339.19715000000002</v>
      </c>
      <c r="AO104" s="111">
        <f>[12]GHG_hist!CB94+IF($M104="incl",[12]LULUCF_hist!DS94,0)</f>
        <v>356.47658000000001</v>
      </c>
      <c r="AP104" s="111">
        <f>[12]GHG_hist!CC94+IF($M104="incl",[12]LULUCF_hist!DT94,0)</f>
        <v>363.8109</v>
      </c>
      <c r="AQ104" s="111">
        <f>[12]GHG_hist!CD94+IF($M104="incl",[12]LULUCF_hist!DU94,0)</f>
        <v>376.01115000000004</v>
      </c>
      <c r="AR104" s="111">
        <f>[12]GHG_hist!CE94+IF($M104="incl",[12]LULUCF_hist!DV94,0)</f>
        <v>346.50778000000003</v>
      </c>
      <c r="AS104" s="111">
        <f>[12]GHG_hist!CF94+IF($M104="incl",[12]LULUCF_hist!DW94,0)</f>
        <v>360.89320000000004</v>
      </c>
      <c r="AT104" s="161">
        <f>VLOOKUP($L104,'[12]IMAGE SSP2'!$AF$3:$AK$29,4,FALSE)*$AM104</f>
        <v>318.38028241540775</v>
      </c>
      <c r="AU104" s="162">
        <f>VLOOKUP($L104,'[12]IMAGE SSP2'!$AF$3:$AK$29,5,FALSE)*$AM104</f>
        <v>345.06776798247972</v>
      </c>
      <c r="AV104" s="163">
        <f>VLOOKUP($L104,'[12]IMAGE SSP2'!$AF$3:$AK$29,6,FALSE)*$AM104</f>
        <v>365.35585550710329</v>
      </c>
      <c r="AW104" s="111" t="str">
        <f t="shared" si="75"/>
        <v/>
      </c>
      <c r="AX104" s="164" t="str">
        <f>IF(A104="B",IF(M104="excl",[12]NatCom!CO94,[12]NatCom!AX94),"")</f>
        <v/>
      </c>
      <c r="AY104" s="111" t="str">
        <f>IF('[12]Pledge 2020'!E94="","",'[12]Pledge 2020'!E94)</f>
        <v/>
      </c>
      <c r="AZ104" s="164" t="str">
        <f>IF('[12]Pledge 2020'!F94="","",'[12]Pledge 2020'!F94)</f>
        <v/>
      </c>
      <c r="BA104" s="111" t="str">
        <f t="shared" si="51"/>
        <v/>
      </c>
      <c r="BB104" s="111"/>
      <c r="BC104" s="111" t="str">
        <f t="shared" si="52"/>
        <v/>
      </c>
      <c r="BD104" s="111"/>
      <c r="BE104" s="111" t="s">
        <v>2477</v>
      </c>
      <c r="BF104" s="111" t="s">
        <v>2477</v>
      </c>
      <c r="BG104" s="111" t="s">
        <v>2477</v>
      </c>
      <c r="BH104" s="164" t="s">
        <v>2477</v>
      </c>
      <c r="BI104" s="111" t="str">
        <f>IF([12]NDCs!V106="",IF([12]NDCs!X106="","",[12]NDCs!X106),[12]NDCs!V106)</f>
        <v/>
      </c>
      <c r="BJ104" s="111" t="str">
        <f>IF([12]NDCs!V106="",IF([12]NDCs!X106="","",[12]NDCs!X106),[12]NDCs!V106)</f>
        <v/>
      </c>
      <c r="BK104" s="111" t="str">
        <f>IF([12]NDCs!Z106="",IF([12]NDCs!AB106="",IF('input site'!BE104="","",'input site'!BE104),[12]NDCs!AB106),[12]NDCs!Z106)</f>
        <v/>
      </c>
      <c r="BL104" s="111" t="str">
        <f>IF([12]NDCs!AA106="",IF([12]NDCs!AC106="",IF('input site'!BF104="","",'input site'!BF104),[12]NDCs!AC106),[12]NDCs!AA106)</f>
        <v/>
      </c>
      <c r="BM104" s="111">
        <f>IF($BI$8=2015,VLOOKUP($L104,'[12]IMAGE CurPol SSP'!$AZ$3:$BD$29,4,FALSE)*$AM104,IF($BI$8=2018,VLOOKUP($L104,'[12]IMAGE CurPol SSP'!$BJ$3:$BN$29,4,FALSE)*$AP104,$AR104))</f>
        <v>346.50778000000003</v>
      </c>
      <c r="BN104" s="111">
        <f t="shared" ref="BN104:BO108" si="87">IF($BI$8=2015,"",IF($BI$8=2018,"",$AR104))</f>
        <v>346.50778000000003</v>
      </c>
      <c r="BO104" s="111">
        <f t="shared" si="87"/>
        <v>346.50778000000003</v>
      </c>
      <c r="BP104" s="111">
        <f>IF($BI$8=2015,VLOOKUP($L104,'[12]IMAGE CurPol SSP'!$AZ$3:$BD$29,5,FALSE)*$AM104,IF($BI$8=2018,VLOOKUP($L104,'[12]IMAGE CurPol SSP'!$BJ$3:$BN$29,5,FALSE)*$AP104,VLOOKUP($L104,'[12]IMAGE CurPol SSP'!$BU$3:$BZ$29,5,FALSE)*$AS104))</f>
        <v>358.48085057642112</v>
      </c>
      <c r="BQ104" s="111">
        <f>IF($BI$8=2015,"",IF($BI$8=2018,"",VLOOKUP($L104,'[12]IMAGE CurPol SSP'!$CQ$3:$CV$29,5,FALSE)*$AS104))</f>
        <v>354.98220340654638</v>
      </c>
      <c r="BR104" s="111">
        <f>IF($BI$8=2015,"",IF($BI$8=2018,"",VLOOKUP($L104,'[12]IMAGE CurPol SSP'!$CF$3:$CK$29,5,FALSE)*$AS104))</f>
        <v>365.12442660729408</v>
      </c>
      <c r="BS104" s="111">
        <f>IF($BI$8=2015,VLOOKUP($L104,'[12]IMAGE CurPol SSP'!$AZ$3:$BE$29,6,FALSE)*$AM104,IF($BI$8=2018,VLOOKUP($L104,'[12]IMAGE CurPol SSP'!$BJ$3:$BO$29,6,FALSE)*$AP104,VLOOKUP($L104,'[12]IMAGE CurPol SSP'!$BU$3:$BZ$29,6,FALSE)*$AS104))</f>
        <v>358.35678400386075</v>
      </c>
      <c r="BT104" s="111">
        <f>IF($BI$8=2015,"",IF($BI$8=2018,"",VLOOKUP($L104,'[12]IMAGE CurPol SSP'!$CQ$3:$CV$29,6,FALSE)*$AS104))</f>
        <v>350.04881607099526</v>
      </c>
      <c r="BU104" s="164">
        <f>IF($BI$8=2015,"",IF($BI$8=2018,"",VLOOKUP($L104,'[12]IMAGE CurPol SSP'!$CF$3:$CK$29,6,FALSE)*$AS104))</f>
        <v>371.65603126944296</v>
      </c>
      <c r="CN104" t="s">
        <v>237</v>
      </c>
      <c r="CO104" s="165" t="str">
        <f t="shared" si="69"/>
        <v/>
      </c>
      <c r="CP104" s="165" t="str">
        <f t="shared" si="69"/>
        <v/>
      </c>
      <c r="CQ104" s="165" t="str">
        <f t="shared" si="69"/>
        <v/>
      </c>
      <c r="CR104" s="165" t="str">
        <f t="shared" si="65"/>
        <v/>
      </c>
      <c r="CV104" s="125" t="s">
        <v>621</v>
      </c>
      <c r="CW104" s="125" t="s">
        <v>621</v>
      </c>
      <c r="CX104"/>
      <c r="CY104" s="167">
        <f t="shared" si="70"/>
        <v>-28.127497584592277</v>
      </c>
      <c r="DB104" s="106"/>
      <c r="DC104" s="106"/>
      <c r="DD104" s="106"/>
      <c r="DE104" s="106"/>
      <c r="DF104" s="106"/>
      <c r="DG104" s="105" t="str">
        <f t="shared" si="71"/>
        <v>excl</v>
      </c>
      <c r="DH104" t="s">
        <v>237</v>
      </c>
      <c r="DI104" s="111">
        <f t="shared" si="79"/>
        <v>0</v>
      </c>
      <c r="DJ104" s="111">
        <f t="shared" si="79"/>
        <v>0</v>
      </c>
      <c r="DK104" s="111">
        <f t="shared" si="80"/>
        <v>0</v>
      </c>
      <c r="DL104" s="111">
        <f t="shared" si="81"/>
        <v>0</v>
      </c>
      <c r="DM104" s="111">
        <f t="shared" si="82"/>
        <v>0</v>
      </c>
      <c r="DN104" s="111">
        <f t="shared" si="83"/>
        <v>0</v>
      </c>
      <c r="DO104" s="111">
        <f t="shared" si="84"/>
        <v>0</v>
      </c>
      <c r="DP104" s="111">
        <f t="shared" si="85"/>
        <v>0</v>
      </c>
      <c r="DQ104" s="106"/>
      <c r="DR104" s="106"/>
      <c r="DS104" s="111"/>
      <c r="DT104" s="168"/>
      <c r="DW104" s="111">
        <f t="shared" si="72"/>
        <v>358.35678400386075</v>
      </c>
      <c r="DX104" s="111">
        <f t="shared" si="72"/>
        <v>358.35678400386075</v>
      </c>
      <c r="DY104" s="111">
        <f t="shared" si="72"/>
        <v>358.35678400386075</v>
      </c>
      <c r="DZ104" s="111">
        <f t="shared" si="66"/>
        <v>358.35678400386075</v>
      </c>
      <c r="EP104" t="s">
        <v>237</v>
      </c>
      <c r="EQ104">
        <v>0</v>
      </c>
      <c r="ER104" s="111">
        <f t="shared" si="73"/>
        <v>363.8109</v>
      </c>
      <c r="ES104" s="111">
        <f>IF($BI$8=2015,VLOOKUP($L104,'[12]IMAGE CDLINKS CurPol'!$P$3:$Y$29,10,FALSE)*$AM104,VLOOKUP($L104,'[12]IMAGE CDLINKS CurPol'!$Z$3:$AI$29,10,FALSE)*$AP104)</f>
        <v>544.36590066342762</v>
      </c>
      <c r="ET104" s="111">
        <f t="shared" si="86"/>
        <v>544.36590066342762</v>
      </c>
      <c r="EU104" s="111">
        <f t="shared" si="76"/>
        <v>183.16865980716301</v>
      </c>
      <c r="EV104" s="111">
        <f>IF($BI$8=2015,VLOOKUP($L104,'[12]IMAGE CDLINKS 2C'!$P$3:$Y$29,10,FALSE)*$AM104,VLOOKUP($L104,'[12]IMAGE CDLINKS 2C'!$Z$3:$AI$29,10,FALSE)*$AP104)</f>
        <v>183.16865980716301</v>
      </c>
      <c r="EY104" s="111">
        <f t="shared" si="77"/>
        <v>31.905963969250859</v>
      </c>
      <c r="EZ104" s="111">
        <f>IF($BI$8=2015,VLOOKUP($L104,'[12]IMAGE CDLINKS 1_5C'!$P$3:$Y$29,10,FALSE)*$AM104,VLOOKUP($L104,'[12]IMAGE CDLINKS 1_5C'!$Z$3:$AI$29,10,FALSE)*$AP104)</f>
        <v>31.905963969250859</v>
      </c>
      <c r="FA104" s="192"/>
    </row>
    <row r="105" spans="1:157" x14ac:dyDescent="0.25">
      <c r="A105" t="str">
        <f>IF([12]NDCs!C107="","",[12]NDCs!C107)</f>
        <v>A</v>
      </c>
      <c r="B105" s="159" t="str">
        <f t="shared" si="67"/>
        <v>v</v>
      </c>
      <c r="C105">
        <v>0</v>
      </c>
      <c r="D105">
        <v>1</v>
      </c>
      <c r="E105">
        <v>0</v>
      </c>
      <c r="F105">
        <v>1</v>
      </c>
      <c r="G105" t="b">
        <f t="shared" si="68"/>
        <v>1</v>
      </c>
      <c r="H105" t="s">
        <v>2335</v>
      </c>
      <c r="I105" t="s">
        <v>239</v>
      </c>
      <c r="J105">
        <v>372</v>
      </c>
      <c r="K105">
        <v>94</v>
      </c>
      <c r="L105">
        <v>11</v>
      </c>
      <c r="M105" t="str">
        <f>IF([12]NDCs!AL107="Excluding","excl","incl")</f>
        <v>incl</v>
      </c>
      <c r="N105" s="160">
        <f>[12]GHG_hist!BA95+IF($M105="incl",[12]LULUCF_hist!CR95,0)</f>
        <v>60.734798647947947</v>
      </c>
      <c r="O105" s="111">
        <f>[12]GHG_hist!BB95+IF($M105="incl",[12]LULUCF_hist!CS95,0)</f>
        <v>61.384300087197488</v>
      </c>
      <c r="P105" s="111">
        <f>[12]GHG_hist!BC95+IF($M105="incl",[12]LULUCF_hist!CT95,0)</f>
        <v>61.13963026407162</v>
      </c>
      <c r="Q105" s="111">
        <f>[12]GHG_hist!BD95+IF($M105="incl",[12]LULUCF_hist!CU95,0)</f>
        <v>61.843203265944894</v>
      </c>
      <c r="R105" s="111">
        <f>[12]GHG_hist!BE95+IF($M105="incl",[12]LULUCF_hist!CV95,0)</f>
        <v>63.346821878359471</v>
      </c>
      <c r="S105" s="111">
        <f>[12]GHG_hist!BF95+IF($M105="incl",[12]LULUCF_hist!CW95,0)</f>
        <v>65.82264269287036</v>
      </c>
      <c r="T105" s="111">
        <f>[12]GHG_hist!BG95+IF($M105="incl",[12]LULUCF_hist!CX95,0)</f>
        <v>67.620933523499602</v>
      </c>
      <c r="U105" s="111">
        <f>[12]GHG_hist!BH95+IF($M105="incl",[12]LULUCF_hist!CY95,0)</f>
        <v>68.511315769567176</v>
      </c>
      <c r="V105" s="111">
        <f>[12]GHG_hist!BI95+IF($M105="incl",[12]LULUCF_hist!CZ95,0)</f>
        <v>70.934281845836466</v>
      </c>
      <c r="W105" s="111">
        <f>[12]GHG_hist!BJ95+IF($M105="incl",[12]LULUCF_hist!DA95,0)</f>
        <v>72.300611604013369</v>
      </c>
      <c r="X105" s="111">
        <f>[12]GHG_hist!BK95+IF($M105="incl",[12]LULUCF_hist!DB95,0)</f>
        <v>76.143958280076873</v>
      </c>
      <c r="Y105" s="111">
        <f>[12]GHG_hist!BL95+IF($M105="incl",[12]LULUCF_hist!DC95,0)</f>
        <v>79.269030418627196</v>
      </c>
      <c r="Z105" s="111">
        <f>[12]GHG_hist!BM95+IF($M105="incl",[12]LULUCF_hist!DD95,0)</f>
        <v>77.2743792417469</v>
      </c>
      <c r="AA105" s="111">
        <f>[12]GHG_hist!BN95+IF($M105="incl",[12]LULUCF_hist!DE95,0)</f>
        <v>78.157394523950003</v>
      </c>
      <c r="AB105" s="111">
        <f>[12]GHG_hist!BO95+IF($M105="incl",[12]LULUCF_hist!DF95,0)</f>
        <v>75.975644959518092</v>
      </c>
      <c r="AC105" s="111">
        <f>[12]GHG_hist!BP95+IF($M105="incl",[12]LULUCF_hist!DG95,0)</f>
        <v>78.260023067232751</v>
      </c>
      <c r="AD105" s="111">
        <f>[12]GHG_hist!BQ95+IF($M105="incl",[12]LULUCF_hist!DH95,0)</f>
        <v>77.653156190775462</v>
      </c>
      <c r="AE105" s="111">
        <f>[12]GHG_hist!BR95+IF($M105="incl",[12]LULUCF_hist!DI95,0)</f>
        <v>75.528012666759977</v>
      </c>
      <c r="AF105" s="111">
        <f>[12]GHG_hist!BS95+IF($M105="incl",[12]LULUCF_hist!DJ95,0)</f>
        <v>74.541335290546343</v>
      </c>
      <c r="AG105" s="111">
        <f>[12]GHG_hist!BT95+IF($M105="incl",[12]LULUCF_hist!DK95,0)</f>
        <v>68.211235303207545</v>
      </c>
      <c r="AH105" s="111">
        <f>[12]GHG_hist!BU95+IF($M105="incl",[12]LULUCF_hist!DL95,0)</f>
        <v>69.274959757749613</v>
      </c>
      <c r="AI105" s="111">
        <f>[12]GHG_hist!BV95+IF($M105="incl",[12]LULUCF_hist!DM95,0)</f>
        <v>64.16515704499227</v>
      </c>
      <c r="AJ105" s="111">
        <f>[12]GHG_hist!BW95+IF($M105="incl",[12]LULUCF_hist!DN95,0)</f>
        <v>64.507140570391684</v>
      </c>
      <c r="AK105" s="111">
        <f>[12]GHG_hist!BX95+IF($M105="incl",[12]LULUCF_hist!DO95,0)</f>
        <v>65.095521834961133</v>
      </c>
      <c r="AL105" s="111">
        <f>[12]GHG_hist!BY95+IF($M105="incl",[12]LULUCF_hist!DP95,0)</f>
        <v>64.107265277083656</v>
      </c>
      <c r="AM105" s="111">
        <f>[12]GHG_hist!BZ95+IF($M105="incl",[12]LULUCF_hist!DQ95,0)</f>
        <v>66.988231780661252</v>
      </c>
      <c r="AN105" s="111">
        <f>[12]GHG_hist!CA95+IF($M105="incl",[12]LULUCF_hist!DR95,0)</f>
        <v>68.015381387759177</v>
      </c>
      <c r="AO105" s="111">
        <f>[12]GHG_hist!CB95+IF($M105="incl",[12]LULUCF_hist!DS95,0)</f>
        <v>69.826483661015814</v>
      </c>
      <c r="AP105" s="111">
        <f>[12]GHG_hist!CC95+IF($M105="incl",[12]LULUCF_hist!DT95,0)</f>
        <v>68.96093831556766</v>
      </c>
      <c r="AQ105" s="111">
        <f>[12]GHG_hist!CD95+IF($M105="incl",[12]LULUCF_hist!DU95,0)</f>
        <v>66.78638669993704</v>
      </c>
      <c r="AR105" s="111">
        <f>[12]GHG_hist!CE95+IF($M105="incl",[12]LULUCF_hist!DV95,0)</f>
        <v>65.029984085821226</v>
      </c>
      <c r="AS105" s="111">
        <f>[12]GHG_hist!CF95+IF($M105="incl",[12]LULUCF_hist!DW95,0)</f>
        <v>68.369680267266517</v>
      </c>
      <c r="AT105" s="161">
        <f>VLOOKUP($L105,'[12]IMAGE SSP2'!$AF$3:$AK$29,4,FALSE)*$AM105</f>
        <v>65.139185760824702</v>
      </c>
      <c r="AU105" s="162">
        <f>VLOOKUP($L105,'[12]IMAGE SSP2'!$AF$3:$AK$29,5,FALSE)*$AM105</f>
        <v>62.982991576254932</v>
      </c>
      <c r="AV105" s="163">
        <f>VLOOKUP($L105,'[12]IMAGE SSP2'!$AF$3:$AK$29,6,FALSE)*$AM105</f>
        <v>62.632545881637242</v>
      </c>
      <c r="AW105" s="111" t="str">
        <f t="shared" si="75"/>
        <v/>
      </c>
      <c r="AX105" s="164" t="str">
        <f>IF(A105="B",IF(M105="excl",[12]NatCom!CO95,[12]NatCom!AX95),"")</f>
        <v/>
      </c>
      <c r="AY105" s="111" t="str">
        <f>IF('[12]Pledge 2020'!E95="","",'[12]Pledge 2020'!E95)</f>
        <v/>
      </c>
      <c r="AZ105" s="164" t="str">
        <f>IF('[12]Pledge 2020'!F95="","",'[12]Pledge 2020'!F95)</f>
        <v/>
      </c>
      <c r="BA105" s="111" t="str">
        <f t="shared" si="51"/>
        <v/>
      </c>
      <c r="BB105" s="111"/>
      <c r="BC105" s="111" t="str">
        <f t="shared" si="52"/>
        <v/>
      </c>
      <c r="BD105" s="111"/>
      <c r="BE105" s="111" t="s">
        <v>2477</v>
      </c>
      <c r="BF105" s="111" t="s">
        <v>2477</v>
      </c>
      <c r="BG105" s="111" t="s">
        <v>2477</v>
      </c>
      <c r="BH105" s="164" t="s">
        <v>2477</v>
      </c>
      <c r="BI105" s="111" t="str">
        <f>IF([12]NDCs!V107="",IF([12]NDCs!X107="","",[12]NDCs!X107),[12]NDCs!V107)</f>
        <v/>
      </c>
      <c r="BJ105" s="111" t="str">
        <f>IF([12]NDCs!V107="",IF([12]NDCs!X107="","",[12]NDCs!X107),[12]NDCs!V107)</f>
        <v/>
      </c>
      <c r="BK105" s="111" t="str">
        <f>IF([12]NDCs!Z107="",IF([12]NDCs!AB107="",IF('input site'!BE105="","",'input site'!BE105),[12]NDCs!AB107),[12]NDCs!Z107)</f>
        <v/>
      </c>
      <c r="BL105" s="111" t="str">
        <f>IF([12]NDCs!AA107="",IF([12]NDCs!AC107="",IF('input site'!BF105="","",'input site'!BF105),[12]NDCs!AC107),[12]NDCs!AA107)</f>
        <v/>
      </c>
      <c r="BM105" s="111">
        <f>IF($BI$8=2015,VLOOKUP($L105,'[12]IMAGE CurPol SSP'!$AZ$3:$BD$29,4,FALSE)*$AM105,IF($BI$8=2018,VLOOKUP($L105,'[12]IMAGE CurPol SSP'!$BJ$3:$BN$29,4,FALSE)*$AP105,$AR105))</f>
        <v>65.029984085821226</v>
      </c>
      <c r="BN105" s="111">
        <f t="shared" si="87"/>
        <v>65.029984085821226</v>
      </c>
      <c r="BO105" s="111">
        <f t="shared" si="87"/>
        <v>65.029984085821226</v>
      </c>
      <c r="BP105" s="111">
        <f>IF($BI$8=2015,VLOOKUP($L105,'[12]IMAGE CurPol SSP'!$AZ$3:$BD$29,5,FALSE)*$AM105,IF($BI$8=2018,VLOOKUP($L105,'[12]IMAGE CurPol SSP'!$BJ$3:$BN$29,5,FALSE)*$AP105,VLOOKUP($L105,'[12]IMAGE CurPol SSP'!$BU$3:$BZ$29,5,FALSE)*$AS105))</f>
        <v>55.45735848935211</v>
      </c>
      <c r="BQ105" s="111">
        <f>IF($BI$8=2015,"",IF($BI$8=2018,"",VLOOKUP($L105,'[12]IMAGE CurPol SSP'!$CQ$3:$CV$29,5,FALSE)*$AS105))</f>
        <v>53.897985278951474</v>
      </c>
      <c r="BR105" s="111">
        <f>IF($BI$8=2015,"",IF($BI$8=2018,"",VLOOKUP($L105,'[12]IMAGE CurPol SSP'!$CF$3:$CK$29,5,FALSE)*$AS105))</f>
        <v>56.404413689791994</v>
      </c>
      <c r="BS105" s="111">
        <f>IF($BI$8=2015,VLOOKUP($L105,'[12]IMAGE CurPol SSP'!$AZ$3:$BE$29,6,FALSE)*$AM105,IF($BI$8=2018,VLOOKUP($L105,'[12]IMAGE CurPol SSP'!$BJ$3:$BO$29,6,FALSE)*$AP105,VLOOKUP($L105,'[12]IMAGE CurPol SSP'!$BU$3:$BZ$29,6,FALSE)*$AS105))</f>
        <v>38.146829467175515</v>
      </c>
      <c r="BT105" s="111">
        <f>IF($BI$8=2015,"",IF($BI$8=2018,"",VLOOKUP($L105,'[12]IMAGE CurPol SSP'!$CQ$3:$CV$29,6,FALSE)*$AS105))</f>
        <v>35.673307987887299</v>
      </c>
      <c r="BU105" s="164">
        <f>IF($BI$8=2015,"",IF($BI$8=2018,"",VLOOKUP($L105,'[12]IMAGE CurPol SSP'!$CF$3:$CK$29,6,FALSE)*$AS105))</f>
        <v>40.090348483201659</v>
      </c>
      <c r="CN105" t="s">
        <v>239</v>
      </c>
      <c r="CO105" s="165" t="str">
        <f t="shared" si="69"/>
        <v/>
      </c>
      <c r="CP105" s="165" t="str">
        <f t="shared" si="69"/>
        <v/>
      </c>
      <c r="CQ105" s="165" t="str">
        <f t="shared" si="69"/>
        <v/>
      </c>
      <c r="CR105" s="165" t="str">
        <f t="shared" si="65"/>
        <v/>
      </c>
      <c r="CV105" s="125" t="s">
        <v>621</v>
      </c>
      <c r="CW105" s="125" t="s">
        <v>621</v>
      </c>
      <c r="CX105"/>
      <c r="CY105" s="167">
        <f t="shared" si="70"/>
        <v>0.10920167500347588</v>
      </c>
      <c r="DB105" s="106"/>
      <c r="DC105" s="106"/>
      <c r="DD105" s="106"/>
      <c r="DE105" s="106"/>
      <c r="DF105" s="106"/>
      <c r="DG105" s="105" t="str">
        <f t="shared" si="71"/>
        <v>incl</v>
      </c>
      <c r="DH105" t="s">
        <v>239</v>
      </c>
      <c r="DI105" s="111">
        <f t="shared" si="79"/>
        <v>0</v>
      </c>
      <c r="DJ105" s="111">
        <f t="shared" si="79"/>
        <v>0</v>
      </c>
      <c r="DK105" s="111">
        <f t="shared" si="80"/>
        <v>0</v>
      </c>
      <c r="DL105" s="111">
        <f t="shared" si="81"/>
        <v>0</v>
      </c>
      <c r="DM105" s="111">
        <f t="shared" si="82"/>
        <v>0</v>
      </c>
      <c r="DN105" s="111">
        <f t="shared" si="83"/>
        <v>0</v>
      </c>
      <c r="DO105" s="111">
        <f t="shared" si="84"/>
        <v>0</v>
      </c>
      <c r="DP105" s="111">
        <f t="shared" si="85"/>
        <v>0</v>
      </c>
      <c r="DQ105" s="106"/>
      <c r="DR105" s="106"/>
      <c r="DS105" s="111"/>
      <c r="DT105" s="168"/>
      <c r="DW105" s="111">
        <f t="shared" si="72"/>
        <v>38.146829467175515</v>
      </c>
      <c r="DX105" s="111">
        <f t="shared" si="72"/>
        <v>38.146829467175515</v>
      </c>
      <c r="DY105" s="111">
        <f t="shared" si="72"/>
        <v>38.146829467175515</v>
      </c>
      <c r="DZ105" s="111">
        <f t="shared" si="66"/>
        <v>38.146829467175515</v>
      </c>
      <c r="EP105" t="s">
        <v>239</v>
      </c>
      <c r="ER105" s="111">
        <f t="shared" si="73"/>
        <v>68.96093831556766</v>
      </c>
      <c r="ES105" s="111">
        <f>IF($BI$8=2015,VLOOKUP($L105,'[12]IMAGE CDLINKS CurPol'!$P$3:$Y$29,10,FALSE)*$AM105,VLOOKUP($L105,'[12]IMAGE CDLINKS CurPol'!$Z$3:$AI$29,10,FALSE)*$AP105)</f>
        <v>66.081355548029379</v>
      </c>
      <c r="ET105" s="111">
        <f t="shared" si="86"/>
        <v>66.081355548029379</v>
      </c>
      <c r="EU105" s="111">
        <f t="shared" si="76"/>
        <v>14.079246634347916</v>
      </c>
      <c r="EV105" s="111">
        <f>IF($BI$8=2015,VLOOKUP($L105,'[12]IMAGE CDLINKS 2C'!$P$3:$Y$29,10,FALSE)*$AM105,VLOOKUP($L105,'[12]IMAGE CDLINKS 2C'!$Z$3:$AI$29,10,FALSE)*$AP105)</f>
        <v>14.079246634347916</v>
      </c>
      <c r="EY105" s="111">
        <f t="shared" si="77"/>
        <v>7.7875678561832551</v>
      </c>
      <c r="EZ105" s="111">
        <f>IF($BI$8=2015,VLOOKUP($L105,'[12]IMAGE CDLINKS 1_5C'!$P$3:$Y$29,10,FALSE)*$AM105,VLOOKUP($L105,'[12]IMAGE CDLINKS 1_5C'!$Z$3:$AI$29,10,FALSE)*$AP105)</f>
        <v>7.7875678561832551</v>
      </c>
      <c r="FA105" s="192" t="s">
        <v>2338</v>
      </c>
    </row>
    <row r="106" spans="1:157" x14ac:dyDescent="0.25">
      <c r="A106" t="str">
        <f>IF([12]NDCs!C108="","",[12]NDCs!C108)</f>
        <v>F</v>
      </c>
      <c r="B106" s="159" t="str">
        <f t="shared" si="67"/>
        <v>v</v>
      </c>
      <c r="C106">
        <v>0</v>
      </c>
      <c r="D106">
        <v>0</v>
      </c>
      <c r="E106">
        <v>0</v>
      </c>
      <c r="F106">
        <v>1</v>
      </c>
      <c r="G106" t="b">
        <f t="shared" si="68"/>
        <v>1</v>
      </c>
      <c r="H106" t="s">
        <v>2339</v>
      </c>
      <c r="I106" t="s">
        <v>241</v>
      </c>
      <c r="J106">
        <v>376</v>
      </c>
      <c r="K106">
        <v>95</v>
      </c>
      <c r="L106">
        <v>17</v>
      </c>
      <c r="M106" t="str">
        <f>IF([12]NDCs!AL108="Excluding","excl","incl")</f>
        <v>excl</v>
      </c>
      <c r="N106" s="160">
        <f>[12]GHG_hist!BA96+IF($M106="incl",[12]LULUCF_hist!CR96,0)</f>
        <v>42.026750999999997</v>
      </c>
      <c r="O106" s="111">
        <f>[12]GHG_hist!BB96+IF($M106="incl",[12]LULUCF_hist!CS96,0)</f>
        <v>42.508476999999999</v>
      </c>
      <c r="P106" s="111">
        <f>[12]GHG_hist!BC96+IF($M106="incl",[12]LULUCF_hist!CT96,0)</f>
        <v>48.503331000000003</v>
      </c>
      <c r="Q106" s="111">
        <f>[12]GHG_hist!BD96+IF($M106="incl",[12]LULUCF_hist!CU96,0)</f>
        <v>50.809110000000004</v>
      </c>
      <c r="R106" s="111">
        <f>[12]GHG_hist!BE96+IF($M106="incl",[12]LULUCF_hist!CV96,0)</f>
        <v>54.702638</v>
      </c>
      <c r="S106" s="111">
        <f>[12]GHG_hist!BF96+IF($M106="incl",[12]LULUCF_hist!CW96,0)</f>
        <v>57.299811999999996</v>
      </c>
      <c r="T106" s="111">
        <f>[12]GHG_hist!BG96+IF($M106="incl",[12]LULUCF_hist!CX96,0)</f>
        <v>59.667237999999998</v>
      </c>
      <c r="U106" s="111">
        <f>[12]GHG_hist!BH96+IF($M106="incl",[12]LULUCF_hist!CY96,0)</f>
        <v>62.979149</v>
      </c>
      <c r="V106" s="111">
        <f>[12]GHG_hist!BI96+IF($M106="incl",[12]LULUCF_hist!CZ96,0)</f>
        <v>65.116895</v>
      </c>
      <c r="W106" s="111">
        <f>[12]GHG_hist!BJ96+IF($M106="incl",[12]LULUCF_hist!DA96,0)</f>
        <v>64.053989000000001</v>
      </c>
      <c r="X106" s="111">
        <f>[12]GHG_hist!BK96+IF($M106="incl",[12]LULUCF_hist!DB96,0)</f>
        <v>69.394772000000003</v>
      </c>
      <c r="Y106" s="111">
        <f>[12]GHG_hist!BL96+IF($M106="incl",[12]LULUCF_hist!DC96,0)</f>
        <v>72.629960000000011</v>
      </c>
      <c r="Z106" s="111">
        <f>[12]GHG_hist!BM96+IF($M106="incl",[12]LULUCF_hist!DD96,0)</f>
        <v>68.98337699999999</v>
      </c>
      <c r="AA106" s="111">
        <f>[12]GHG_hist!BN96+IF($M106="incl",[12]LULUCF_hist!DE96,0)</f>
        <v>72.417788999999999</v>
      </c>
      <c r="AB106" s="111">
        <f>[12]GHG_hist!BO96+IF($M106="incl",[12]LULUCF_hist!DF96,0)</f>
        <v>73.291850000000011</v>
      </c>
      <c r="AC106" s="111">
        <f>[12]GHG_hist!BP96+IF($M106="incl",[12]LULUCF_hist!DG96,0)</f>
        <v>73.497384999999994</v>
      </c>
      <c r="AD106" s="111">
        <f>[12]GHG_hist!BQ96+IF($M106="incl",[12]LULUCF_hist!DH96,0)</f>
        <v>75.196375000000003</v>
      </c>
      <c r="AE106" s="111">
        <f>[12]GHG_hist!BR96+IF($M106="incl",[12]LULUCF_hist!DI96,0)</f>
        <v>78.701312000000001</v>
      </c>
      <c r="AF106" s="111">
        <f>[12]GHG_hist!BS96+IF($M106="incl",[12]LULUCF_hist!DJ96,0)</f>
        <v>80.210037999999997</v>
      </c>
      <c r="AG106" s="111">
        <f>[12]GHG_hist!BT96+IF($M106="incl",[12]LULUCF_hist!DK96,0)</f>
        <v>76.362076999999999</v>
      </c>
      <c r="AH106" s="111">
        <f>[12]GHG_hist!BU96+IF($M106="incl",[12]LULUCF_hist!DL96,0)</f>
        <v>79.487933999999996</v>
      </c>
      <c r="AI106" s="111">
        <f>[12]GHG_hist!BV96+IF($M106="incl",[12]LULUCF_hist!DM96,0)</f>
        <v>82.280776000000003</v>
      </c>
      <c r="AJ106" s="111">
        <f>[12]GHG_hist!BW96+IF($M106="incl",[12]LULUCF_hist!DN96,0)</f>
        <v>87.404626999999991</v>
      </c>
      <c r="AK106" s="111">
        <f>[12]GHG_hist!BX96+IF($M106="incl",[12]LULUCF_hist!DO96,0)</f>
        <v>82.913853000000003</v>
      </c>
      <c r="AL106" s="111">
        <f>[12]GHG_hist!BY96+IF($M106="incl",[12]LULUCF_hist!DP96,0)</f>
        <v>80.948915</v>
      </c>
      <c r="AM106" s="111">
        <f>[12]GHG_hist!BZ96+IF($M106="incl",[12]LULUCF_hist!DQ96,0)</f>
        <v>84.605749000000003</v>
      </c>
      <c r="AN106" s="111">
        <f>[12]GHG_hist!CA96+IF($M106="incl",[12]LULUCF_hist!DR96,0)</f>
        <v>84.828600999999992</v>
      </c>
      <c r="AO106" s="111">
        <f>[12]GHG_hist!CB96+IF($M106="incl",[12]LULUCF_hist!DS96,0)</f>
        <v>84.387331000000003</v>
      </c>
      <c r="AP106" s="111">
        <f>[12]GHG_hist!CC96+IF($M106="incl",[12]LULUCF_hist!DT96,0)</f>
        <v>84.787104999999997</v>
      </c>
      <c r="AQ106" s="111">
        <f>[12]GHG_hist!CD96+IF($M106="incl",[12]LULUCF_hist!DU96,0)</f>
        <v>85.636092000000005</v>
      </c>
      <c r="AR106" s="111">
        <f>[12]GHG_hist!CE96+IF($M106="incl",[12]LULUCF_hist!DV96,0)</f>
        <v>84.29886599999999</v>
      </c>
      <c r="AS106" s="111">
        <f>[12]GHG_hist!CF96+IF($M106="incl",[12]LULUCF_hist!DW96,0)</f>
        <v>84.770307000000003</v>
      </c>
      <c r="AT106" s="161">
        <f>VLOOKUP($L106,'[12]IMAGE SSP2'!$AF$3:$AK$29,4,FALSE)*$AM106</f>
        <v>94.083407963723161</v>
      </c>
      <c r="AU106" s="162">
        <f>VLOOKUP($L106,'[12]IMAGE SSP2'!$AF$3:$AK$29,5,FALSE)*$AM106</f>
        <v>101.96973048685217</v>
      </c>
      <c r="AV106" s="163">
        <f>VLOOKUP($L106,'[12]IMAGE SSP2'!$AF$3:$AK$29,6,FALSE)*$AM106</f>
        <v>107.96498999507889</v>
      </c>
      <c r="AW106" s="111">
        <v>105.5</v>
      </c>
      <c r="AX106" s="164"/>
      <c r="AY106" s="111">
        <f>IF('[12]Pledge 2020'!E96="","",'[12]Pledge 2020'!E96)</f>
        <v>87</v>
      </c>
      <c r="AZ106" s="164">
        <f>IF('[12]Pledge 2020'!F96="","",'[12]Pledge 2020'!F96)</f>
        <v>87</v>
      </c>
      <c r="BA106" s="111">
        <f t="shared" si="51"/>
        <v>63.371983499999999</v>
      </c>
      <c r="BB106" s="111">
        <f>IF(BF106="","",(BF106-AH106)*0.75+AH106)</f>
        <v>63.371983499999999</v>
      </c>
      <c r="BC106" s="111">
        <f t="shared" si="52"/>
        <v>63.371983499999999</v>
      </c>
      <c r="BD106" s="111">
        <f>IF(BH106="","",(BH106-AH106)*0.75+AH106)</f>
        <v>63.371983499999999</v>
      </c>
      <c r="BE106" s="169">
        <v>58</v>
      </c>
      <c r="BF106" s="169">
        <v>58</v>
      </c>
      <c r="BG106" s="169">
        <v>58</v>
      </c>
      <c r="BH106" s="170">
        <v>58</v>
      </c>
      <c r="BI106" s="111">
        <f>IF([12]NDCs!V108="",IF([12]NDCs!X108="","",[12]NDCs!X108),[12]NDCs!V108)</f>
        <v>81.56</v>
      </c>
      <c r="BJ106" s="111">
        <f>IF([12]NDCs!V108="",IF([12]NDCs!X108="","",[12]NDCs!X108),[12]NDCs!V108)</f>
        <v>81.56</v>
      </c>
      <c r="BK106" s="111">
        <f>IF([12]NDCs!Z108="",IF([12]NDCs!AB108="",IF('input site'!BE106="","",'input site'!BE106),[12]NDCs!AB108),[12]NDCs!Z108)</f>
        <v>81.56</v>
      </c>
      <c r="BL106" s="111">
        <f>IF([12]NDCs!AA108="",IF([12]NDCs!AC108="",IF('input site'!BF106="","",'input site'!BF106),[12]NDCs!AC108),[12]NDCs!AA108)</f>
        <v>81.56</v>
      </c>
      <c r="BM106" s="111">
        <f>IF($BI$8=2015,VLOOKUP($L106,'[12]IMAGE CurPol SSP'!$AZ$3:$BD$29,4,FALSE)*$AM106,IF($BI$8=2018,VLOOKUP($L106,'[12]IMAGE CurPol SSP'!$BJ$3:$BN$29,4,FALSE)*$AP106,$AR106))</f>
        <v>84.29886599999999</v>
      </c>
      <c r="BN106" s="111">
        <f t="shared" si="87"/>
        <v>84.29886599999999</v>
      </c>
      <c r="BO106" s="111">
        <f t="shared" si="87"/>
        <v>84.29886599999999</v>
      </c>
      <c r="BP106" s="111">
        <f>IF($BI$8=2015,VLOOKUP($L106,'[12]IMAGE CurPol SSP'!$AZ$3:$BD$29,5,FALSE)*$AM106,IF($BI$8=2018,VLOOKUP($L106,'[12]IMAGE CurPol SSP'!$BJ$3:$BN$29,5,FALSE)*$AP106,VLOOKUP($L106,'[12]IMAGE CurPol SSP'!$BU$3:$BZ$29,5,FALSE)*$AS106))</f>
        <v>84.203669553719337</v>
      </c>
      <c r="BQ106" s="111">
        <f>IF($BI$8=2015,"",IF($BI$8=2018,"",VLOOKUP($L106,'[12]IMAGE CurPol SSP'!$CQ$3:$CV$29,5,FALSE)*$AS106))</f>
        <v>83.381871319020092</v>
      </c>
      <c r="BR106" s="111">
        <f>IF($BI$8=2015,"",IF($BI$8=2018,"",VLOOKUP($L106,'[12]IMAGE CurPol SSP'!$CF$3:$CK$29,5,FALSE)*$AS106))</f>
        <v>85.76418102834657</v>
      </c>
      <c r="BS106" s="111">
        <f>IF($BI$8=2015,VLOOKUP($L106,'[12]IMAGE CurPol SSP'!$AZ$3:$BE$29,6,FALSE)*$AM106,IF($BI$8=2018,VLOOKUP($L106,'[12]IMAGE CurPol SSP'!$BJ$3:$BO$29,6,FALSE)*$AP106,VLOOKUP($L106,'[12]IMAGE CurPol SSP'!$BU$3:$BZ$29,6,FALSE)*$AS106))</f>
        <v>84.174527520995028</v>
      </c>
      <c r="BT106" s="111">
        <f>IF($BI$8=2015,"",IF($BI$8=2018,"",VLOOKUP($L106,'[12]IMAGE CurPol SSP'!$CQ$3:$CV$29,6,FALSE)*$AS106))</f>
        <v>82.223066556324142</v>
      </c>
      <c r="BU106" s="164">
        <f>IF($BI$8=2015,"",IF($BI$8=2018,"",VLOOKUP($L106,'[12]IMAGE CurPol SSP'!$CF$3:$CK$29,6,FALSE)*$AS106))</f>
        <v>87.298391516139063</v>
      </c>
      <c r="CN106" t="s">
        <v>241</v>
      </c>
      <c r="CO106" s="165">
        <f t="shared" si="69"/>
        <v>-0.31095544331349545</v>
      </c>
      <c r="CP106" s="165">
        <f t="shared" si="69"/>
        <v>-0.31095544331349545</v>
      </c>
      <c r="CQ106" s="165">
        <f t="shared" si="69"/>
        <v>-0.31095544331349545</v>
      </c>
      <c r="CR106" s="165">
        <f t="shared" si="65"/>
        <v>-0.31095544331349545</v>
      </c>
      <c r="CV106" s="125" t="s">
        <v>621</v>
      </c>
      <c r="CW106" s="125" t="s">
        <v>621</v>
      </c>
      <c r="CX106"/>
      <c r="CY106" s="167">
        <f t="shared" si="70"/>
        <v>9.7845419637231714</v>
      </c>
      <c r="DB106" s="106"/>
      <c r="DC106" s="106"/>
      <c r="DD106" s="106"/>
      <c r="DE106" s="106"/>
      <c r="DF106" s="106"/>
      <c r="DG106" s="105" t="str">
        <f t="shared" si="71"/>
        <v>excl</v>
      </c>
      <c r="DH106" t="s">
        <v>241</v>
      </c>
      <c r="DI106" s="111">
        <f t="shared" si="79"/>
        <v>2.7011340000000104</v>
      </c>
      <c r="DJ106" s="111">
        <f t="shared" si="79"/>
        <v>2.7011340000000104</v>
      </c>
      <c r="DK106" s="111">
        <f t="shared" si="80"/>
        <v>-20.831686053719338</v>
      </c>
      <c r="DL106" s="111">
        <f t="shared" si="81"/>
        <v>-20.831686053719338</v>
      </c>
      <c r="DM106" s="111">
        <f t="shared" si="82"/>
        <v>-26.174527520995028</v>
      </c>
      <c r="DN106" s="111">
        <f t="shared" si="83"/>
        <v>-26.174527520995028</v>
      </c>
      <c r="DO106" s="111">
        <f t="shared" si="84"/>
        <v>-2.6145275209950256</v>
      </c>
      <c r="DP106" s="111">
        <f t="shared" si="85"/>
        <v>-2.6145275209950256</v>
      </c>
      <c r="DQ106" s="106"/>
      <c r="DR106" s="106"/>
      <c r="DS106" s="111"/>
      <c r="DT106" s="168"/>
      <c r="DW106" s="111">
        <f t="shared" si="72"/>
        <v>58</v>
      </c>
      <c r="DX106" s="111">
        <f t="shared" si="72"/>
        <v>58</v>
      </c>
      <c r="DY106" s="111">
        <f t="shared" si="72"/>
        <v>58</v>
      </c>
      <c r="DZ106" s="111">
        <f t="shared" si="66"/>
        <v>58</v>
      </c>
      <c r="EP106" t="s">
        <v>241</v>
      </c>
      <c r="EQ106">
        <v>4</v>
      </c>
      <c r="ER106" s="111">
        <f t="shared" si="73"/>
        <v>84.787104999999997</v>
      </c>
      <c r="ES106" s="111">
        <f>IF($BI$8=2015,VLOOKUP($L106,'[12]IMAGE CDLINKS CurPol'!$P$3:$Y$29,10,FALSE)*$AM106,VLOOKUP($L106,'[12]IMAGE CDLINKS CurPol'!$Z$3:$AI$29,10,FALSE)*$AP106)</f>
        <v>126.86593166386605</v>
      </c>
      <c r="ET106" s="111">
        <f t="shared" si="86"/>
        <v>0</v>
      </c>
      <c r="EU106" s="111">
        <f t="shared" si="76"/>
        <v>0</v>
      </c>
      <c r="EV106" s="111">
        <f>IF($BI$8=2015,VLOOKUP($L106,'[12]IMAGE CDLINKS 2C'!$P$3:$Y$29,10,FALSE)*$AM106,VLOOKUP($L106,'[12]IMAGE CDLINKS 2C'!$Z$3:$AI$29,10,FALSE)*$AP106)</f>
        <v>42.687946930065067</v>
      </c>
      <c r="EY106" s="111">
        <f t="shared" si="77"/>
        <v>0</v>
      </c>
      <c r="EZ106" s="111">
        <f>IF($BI$8=2015,VLOOKUP($L106,'[12]IMAGE CDLINKS 1_5C'!$P$3:$Y$29,10,FALSE)*$AM106,VLOOKUP($L106,'[12]IMAGE CDLINKS 1_5C'!$Z$3:$AI$29,10,FALSE)*$AP106)</f>
        <v>7.4357703883723358</v>
      </c>
      <c r="FA106" s="192"/>
    </row>
    <row r="107" spans="1:157" x14ac:dyDescent="0.25">
      <c r="A107" t="str">
        <f>IF([12]NDCs!C109="","",[12]NDCs!C109)</f>
        <v>A</v>
      </c>
      <c r="B107" s="159" t="str">
        <f t="shared" si="67"/>
        <v>v</v>
      </c>
      <c r="C107">
        <v>0</v>
      </c>
      <c r="D107">
        <v>1</v>
      </c>
      <c r="E107">
        <v>0</v>
      </c>
      <c r="F107">
        <v>1</v>
      </c>
      <c r="G107" t="b">
        <f t="shared" si="68"/>
        <v>1</v>
      </c>
      <c r="H107" t="s">
        <v>2335</v>
      </c>
      <c r="I107" t="s">
        <v>243</v>
      </c>
      <c r="J107">
        <v>380</v>
      </c>
      <c r="K107">
        <v>96</v>
      </c>
      <c r="L107">
        <v>11</v>
      </c>
      <c r="M107" t="str">
        <f>IF([12]NDCs!AL109="Excluding","excl","incl")</f>
        <v>incl</v>
      </c>
      <c r="N107" s="160">
        <f>[12]GHG_hist!BA97+IF($M107="incl",[12]LULUCF_hist!CR97,0)</f>
        <v>515.45206321573994</v>
      </c>
      <c r="O107" s="111">
        <f>[12]GHG_hist!BB97+IF($M107="incl",[12]LULUCF_hist!CS97,0)</f>
        <v>501.20413731864141</v>
      </c>
      <c r="P107" s="111">
        <f>[12]GHG_hist!BC97+IF($M107="incl",[12]LULUCF_hist!CT97,0)</f>
        <v>502.40664237530564</v>
      </c>
      <c r="Q107" s="111">
        <f>[12]GHG_hist!BD97+IF($M107="incl",[12]LULUCF_hist!CU97,0)</f>
        <v>508.44025565873665</v>
      </c>
      <c r="R107" s="111">
        <f>[12]GHG_hist!BE97+IF($M107="incl",[12]LULUCF_hist!CV97,0)</f>
        <v>489.49603062031952</v>
      </c>
      <c r="S107" s="111">
        <f>[12]GHG_hist!BF97+IF($M107="incl",[12]LULUCF_hist!CW97,0)</f>
        <v>509.08862588331209</v>
      </c>
      <c r="T107" s="111">
        <f>[12]GHG_hist!BG97+IF($M107="incl",[12]LULUCF_hist!CX97,0)</f>
        <v>502.17876924091269</v>
      </c>
      <c r="U107" s="111">
        <f>[12]GHG_hist!BH97+IF($M107="incl",[12]LULUCF_hist!CY97,0)</f>
        <v>518.38751417802291</v>
      </c>
      <c r="V107" s="111">
        <f>[12]GHG_hist!BI97+IF($M107="incl",[12]LULUCF_hist!CZ97,0)</f>
        <v>533.45272375942477</v>
      </c>
      <c r="W107" s="111">
        <f>[12]GHG_hist!BJ97+IF($M107="incl",[12]LULUCF_hist!DA97,0)</f>
        <v>529.39286616471543</v>
      </c>
      <c r="X107" s="111">
        <f>[12]GHG_hist!BK97+IF($M107="incl",[12]LULUCF_hist!DB97,0)</f>
        <v>535.87953640954015</v>
      </c>
      <c r="Y107" s="111">
        <f>[12]GHG_hist!BL97+IF($M107="incl",[12]LULUCF_hist!DC97,0)</f>
        <v>527.49132383782819</v>
      </c>
      <c r="Z107" s="111">
        <f>[12]GHG_hist!BM97+IF($M107="incl",[12]LULUCF_hist!DD97,0)</f>
        <v>529.25447025873439</v>
      </c>
      <c r="AA107" s="111">
        <f>[12]GHG_hist!BN97+IF($M107="incl",[12]LULUCF_hist!DE97,0)</f>
        <v>556.75490897956001</v>
      </c>
      <c r="AB107" s="111">
        <f>[12]GHG_hist!BO97+IF($M107="incl",[12]LULUCF_hist!DF97,0)</f>
        <v>556.51330288798192</v>
      </c>
      <c r="AC107" s="111">
        <f>[12]GHG_hist!BP97+IF($M107="incl",[12]LULUCF_hist!DG97,0)</f>
        <v>556.57576392398948</v>
      </c>
      <c r="AD107" s="111">
        <f>[12]GHG_hist!BQ97+IF($M107="incl",[12]LULUCF_hist!DH97,0)</f>
        <v>545.28997255069589</v>
      </c>
      <c r="AE107" s="111">
        <f>[12]GHG_hist!BR97+IF($M107="incl",[12]LULUCF_hist!DI97,0)</f>
        <v>562.87535972381033</v>
      </c>
      <c r="AF107" s="111">
        <f>[12]GHG_hist!BS97+IF($M107="incl",[12]LULUCF_hist!DJ97,0)</f>
        <v>531.73256875449681</v>
      </c>
      <c r="AG107" s="111">
        <f>[12]GHG_hist!BT97+IF($M107="incl",[12]LULUCF_hist!DK97,0)</f>
        <v>473.60907941692153</v>
      </c>
      <c r="AH107" s="111">
        <f>[12]GHG_hist!BU97+IF($M107="incl",[12]LULUCF_hist!DL97,0)</f>
        <v>479.13208103621116</v>
      </c>
      <c r="AI107" s="111">
        <f>[12]GHG_hist!BV97+IF($M107="incl",[12]LULUCF_hist!DM97,0)</f>
        <v>473.93469386607933</v>
      </c>
      <c r="AJ107" s="111">
        <f>[12]GHG_hist!BW97+IF($M107="incl",[12]LULUCF_hist!DN97,0)</f>
        <v>464.47295290257972</v>
      </c>
      <c r="AK107" s="111">
        <f>[12]GHG_hist!BX97+IF($M107="incl",[12]LULUCF_hist!DO97,0)</f>
        <v>412.80662912305218</v>
      </c>
      <c r="AL107" s="111">
        <f>[12]GHG_hist!BY97+IF($M107="incl",[12]LULUCF_hist!DP97,0)</f>
        <v>391.11639967071983</v>
      </c>
      <c r="AM107" s="111">
        <f>[12]GHG_hist!BZ97+IF($M107="incl",[12]LULUCF_hist!DQ97,0)</f>
        <v>399.33352360918093</v>
      </c>
      <c r="AN107" s="111">
        <f>[12]GHG_hist!CA97+IF($M107="incl",[12]LULUCF_hist!DR97,0)</f>
        <v>397.47487139248835</v>
      </c>
      <c r="AO107" s="111">
        <f>[12]GHG_hist!CB97+IF($M107="incl",[12]LULUCF_hist!DS97,0)</f>
        <v>411.67388784632823</v>
      </c>
      <c r="AP107" s="111">
        <f>[12]GHG_hist!CC97+IF($M107="incl",[12]LULUCF_hist!DT97,0)</f>
        <v>386.26303332382201</v>
      </c>
      <c r="AQ107" s="111">
        <f>[12]GHG_hist!CD97+IF($M107="incl",[12]LULUCF_hist!DU97,0)</f>
        <v>378.32533683333111</v>
      </c>
      <c r="AR107" s="111">
        <f>[12]GHG_hist!CE97+IF($M107="incl",[12]LULUCF_hist!DV97,0)</f>
        <v>350.21938581704211</v>
      </c>
      <c r="AS107" s="111">
        <f>[12]GHG_hist!CF97+IF($M107="incl",[12]LULUCF_hist!DW97,0)</f>
        <v>387.90105953726152</v>
      </c>
      <c r="AT107" s="161">
        <f>VLOOKUP($L107,'[12]IMAGE SSP2'!$AF$3:$AK$29,4,FALSE)*$AM107</f>
        <v>388.31090004099138</v>
      </c>
      <c r="AU107" s="162">
        <f>VLOOKUP($L107,'[12]IMAGE SSP2'!$AF$3:$AK$29,5,FALSE)*$AM107</f>
        <v>375.4572898109264</v>
      </c>
      <c r="AV107" s="163">
        <f>VLOOKUP($L107,'[12]IMAGE SSP2'!$AF$3:$AK$29,6,FALSE)*$AM107</f>
        <v>373.3681957962707</v>
      </c>
      <c r="AW107" s="111" t="str">
        <f t="shared" si="75"/>
        <v/>
      </c>
      <c r="AX107" s="164" t="str">
        <f>IF(A107="B",IF(M107="excl",[12]NatCom!CO97,[12]NatCom!AX97),"")</f>
        <v/>
      </c>
      <c r="AY107" s="111" t="str">
        <f>IF('[12]Pledge 2020'!E97="","",'[12]Pledge 2020'!E97)</f>
        <v/>
      </c>
      <c r="AZ107" s="164" t="str">
        <f>IF('[12]Pledge 2020'!F97="","",'[12]Pledge 2020'!F97)</f>
        <v/>
      </c>
      <c r="BA107" s="111" t="str">
        <f t="shared" si="51"/>
        <v/>
      </c>
      <c r="BB107" s="111"/>
      <c r="BC107" s="111" t="str">
        <f t="shared" si="52"/>
        <v/>
      </c>
      <c r="BD107" s="111"/>
      <c r="BE107" s="111" t="s">
        <v>2477</v>
      </c>
      <c r="BF107" s="111"/>
      <c r="BG107" s="111" t="s">
        <v>2477</v>
      </c>
      <c r="BH107" s="164"/>
      <c r="BI107" s="111" t="str">
        <f>IF([12]NDCs!V109="",IF([12]NDCs!X109="","",[12]NDCs!X109),[12]NDCs!V109)</f>
        <v/>
      </c>
      <c r="BJ107" s="111" t="str">
        <f>IF([12]NDCs!V109="",IF([12]NDCs!X109="","",[12]NDCs!X109),[12]NDCs!V109)</f>
        <v/>
      </c>
      <c r="BK107" s="111" t="str">
        <f>IF([12]NDCs!Z109="",IF([12]NDCs!AB109="",IF('input site'!BE107="","",'input site'!BE107),[12]NDCs!AB109),[12]NDCs!Z109)</f>
        <v/>
      </c>
      <c r="BL107" s="111" t="str">
        <f>IF([12]NDCs!AA109="",IF([12]NDCs!AC109="",IF('input site'!BF107="","",'input site'!BF107),[12]NDCs!AC109),[12]NDCs!AA109)</f>
        <v/>
      </c>
      <c r="BM107" s="111">
        <f>IF($BI$8=2015,VLOOKUP($L107,'[12]IMAGE CurPol SSP'!$AZ$3:$BD$29,4,FALSE)*$AM107,IF($BI$8=2018,VLOOKUP($L107,'[12]IMAGE CurPol SSP'!$BJ$3:$BN$29,4,FALSE)*$AP107,$AR107))</f>
        <v>350.21938581704211</v>
      </c>
      <c r="BN107" s="111">
        <f t="shared" si="87"/>
        <v>350.21938581704211</v>
      </c>
      <c r="BO107" s="111">
        <f t="shared" si="87"/>
        <v>350.21938581704211</v>
      </c>
      <c r="BP107" s="111">
        <f>IF($BI$8=2015,VLOOKUP($L107,'[12]IMAGE CurPol SSP'!$AZ$3:$BD$29,5,FALSE)*$AM107,IF($BI$8=2018,VLOOKUP($L107,'[12]IMAGE CurPol SSP'!$BJ$3:$BN$29,5,FALSE)*$AP107,VLOOKUP($L107,'[12]IMAGE CurPol SSP'!$BU$3:$BZ$29,5,FALSE)*$AS107))</f>
        <v>314.64192947903479</v>
      </c>
      <c r="BQ107" s="111">
        <f>IF($BI$8=2015,"",IF($BI$8=2018,"",VLOOKUP($L107,'[12]IMAGE CurPol SSP'!$CQ$3:$CV$29,5,FALSE)*$AS107))</f>
        <v>305.79469605386942</v>
      </c>
      <c r="BR107" s="111">
        <f>IF($BI$8=2015,"",IF($BI$8=2018,"",VLOOKUP($L107,'[12]IMAGE CurPol SSP'!$CF$3:$CK$29,5,FALSE)*$AS107))</f>
        <v>320.01512581774563</v>
      </c>
      <c r="BS107" s="111">
        <f>IF($BI$8=2015,VLOOKUP($L107,'[12]IMAGE CurPol SSP'!$AZ$3:$BE$29,6,FALSE)*$AM107,IF($BI$8=2018,VLOOKUP($L107,'[12]IMAGE CurPol SSP'!$BJ$3:$BO$29,6,FALSE)*$AP107,VLOOKUP($L107,'[12]IMAGE CurPol SSP'!$BU$3:$BZ$29,6,FALSE)*$AS107))</f>
        <v>216.4292053211355</v>
      </c>
      <c r="BT107" s="111">
        <f>IF($BI$8=2015,"",IF($BI$8=2018,"",VLOOKUP($L107,'[12]IMAGE CurPol SSP'!$CQ$3:$CV$29,6,FALSE)*$AS107))</f>
        <v>202.39547576655329</v>
      </c>
      <c r="BU107" s="164">
        <f>IF($BI$8=2015,"",IF($BI$8=2018,"",VLOOKUP($L107,'[12]IMAGE CurPol SSP'!$CF$3:$CK$29,6,FALSE)*$AS107))</f>
        <v>227.45592188029278</v>
      </c>
      <c r="CN107" t="s">
        <v>243</v>
      </c>
      <c r="CO107" s="165" t="str">
        <f t="shared" si="69"/>
        <v/>
      </c>
      <c r="CP107" s="165" t="str">
        <f t="shared" si="69"/>
        <v/>
      </c>
      <c r="CQ107" s="165" t="str">
        <f t="shared" si="69"/>
        <v/>
      </c>
      <c r="CR107" s="165" t="str">
        <f t="shared" si="65"/>
        <v/>
      </c>
      <c r="CV107" s="125" t="s">
        <v>621</v>
      </c>
      <c r="CW107" s="125" t="s">
        <v>621</v>
      </c>
      <c r="CX107"/>
      <c r="CY107" s="167">
        <f t="shared" si="70"/>
        <v>38.091514223949275</v>
      </c>
      <c r="DB107" s="106"/>
      <c r="DC107" s="106"/>
      <c r="DD107" s="106"/>
      <c r="DE107" s="106"/>
      <c r="DF107" s="106"/>
      <c r="DG107" s="105" t="str">
        <f t="shared" si="71"/>
        <v>incl</v>
      </c>
      <c r="DH107" t="s">
        <v>243</v>
      </c>
      <c r="DI107" s="111">
        <f t="shared" si="79"/>
        <v>0</v>
      </c>
      <c r="DJ107" s="111">
        <f t="shared" si="79"/>
        <v>0</v>
      </c>
      <c r="DK107" s="111">
        <f t="shared" si="80"/>
        <v>0</v>
      </c>
      <c r="DL107" s="111">
        <f t="shared" si="81"/>
        <v>0</v>
      </c>
      <c r="DM107" s="111">
        <f t="shared" si="82"/>
        <v>0</v>
      </c>
      <c r="DN107" s="111">
        <f t="shared" si="83"/>
        <v>0</v>
      </c>
      <c r="DO107" s="111">
        <f t="shared" si="84"/>
        <v>0</v>
      </c>
      <c r="DP107" s="111">
        <f t="shared" si="85"/>
        <v>0</v>
      </c>
      <c r="DQ107" s="106"/>
      <c r="DR107" s="106"/>
      <c r="DS107" s="111"/>
      <c r="DT107" s="168"/>
      <c r="DW107" s="111">
        <f t="shared" si="72"/>
        <v>216.4292053211355</v>
      </c>
      <c r="DX107" s="111">
        <f t="shared" si="72"/>
        <v>216.4292053211355</v>
      </c>
      <c r="DY107" s="111">
        <f t="shared" si="72"/>
        <v>216.4292053211355</v>
      </c>
      <c r="DZ107" s="111">
        <f t="shared" si="66"/>
        <v>216.4292053211355</v>
      </c>
      <c r="EP107" t="s">
        <v>243</v>
      </c>
      <c r="ER107" s="111">
        <f t="shared" si="73"/>
        <v>386.26303332382201</v>
      </c>
      <c r="ES107" s="111">
        <f>IF($BI$8=2015,VLOOKUP($L107,'[12]IMAGE CDLINKS CurPol'!$P$3:$Y$29,10,FALSE)*$AM107,VLOOKUP($L107,'[12]IMAGE CDLINKS CurPol'!$Z$3:$AI$29,10,FALSE)*$AP107)</f>
        <v>370.13395501275659</v>
      </c>
      <c r="ET107" s="111">
        <f t="shared" si="86"/>
        <v>370.13395501275659</v>
      </c>
      <c r="EU107" s="111">
        <f t="shared" si="76"/>
        <v>78.860477318501992</v>
      </c>
      <c r="EV107" s="111">
        <f>IF($BI$8=2015,VLOOKUP($L107,'[12]IMAGE CDLINKS 2C'!$P$3:$Y$29,10,FALSE)*$AM107,VLOOKUP($L107,'[12]IMAGE CDLINKS 2C'!$Z$3:$AI$29,10,FALSE)*$AP107)</f>
        <v>78.860477318501992</v>
      </c>
      <c r="EY107" s="111">
        <f t="shared" si="77"/>
        <v>43.619615043221977</v>
      </c>
      <c r="EZ107" s="111">
        <f>IF($BI$8=2015,VLOOKUP($L107,'[12]IMAGE CDLINKS 1_5C'!$P$3:$Y$29,10,FALSE)*$AM107,VLOOKUP($L107,'[12]IMAGE CDLINKS 1_5C'!$Z$3:$AI$29,10,FALSE)*$AP107)</f>
        <v>43.619615043221977</v>
      </c>
      <c r="FA107" s="192" t="s">
        <v>2338</v>
      </c>
    </row>
    <row r="108" spans="1:157" x14ac:dyDescent="0.25">
      <c r="A108" t="str">
        <f>IF([12]NDCs!C110="","",[12]NDCs!C110)</f>
        <v>B</v>
      </c>
      <c r="B108" s="159" t="str">
        <f t="shared" si="67"/>
        <v>v</v>
      </c>
      <c r="C108">
        <v>0</v>
      </c>
      <c r="D108">
        <v>0</v>
      </c>
      <c r="E108">
        <v>0</v>
      </c>
      <c r="F108">
        <v>1</v>
      </c>
      <c r="G108" t="b">
        <f t="shared" si="68"/>
        <v>1</v>
      </c>
      <c r="H108" t="s">
        <v>2328</v>
      </c>
      <c r="I108" t="s">
        <v>245</v>
      </c>
      <c r="J108">
        <v>388</v>
      </c>
      <c r="K108">
        <v>98</v>
      </c>
      <c r="L108">
        <v>4</v>
      </c>
      <c r="M108" t="str">
        <f>IF([12]NDCs!AL110="Excluding","excl","incl")</f>
        <v>incl</v>
      </c>
      <c r="N108" s="160">
        <f>[12]GHG_hist!BA98+IF($M108="incl",[12]LULUCF_hist!CR98,0)</f>
        <v>13.004192999999999</v>
      </c>
      <c r="O108" s="111">
        <f>[12]GHG_hist!BB98+IF($M108="incl",[12]LULUCF_hist!CS98,0)</f>
        <v>13.103668000000001</v>
      </c>
      <c r="P108" s="111">
        <f>[12]GHG_hist!BC98+IF($M108="incl",[12]LULUCF_hist!CT98,0)</f>
        <v>13.225569</v>
      </c>
      <c r="Q108" s="111">
        <f>[12]GHG_hist!BD98+IF($M108="incl",[12]LULUCF_hist!CU98,0)</f>
        <v>13.688293</v>
      </c>
      <c r="R108" s="111">
        <f>[12]GHG_hist!BE98+IF($M108="incl",[12]LULUCF_hist!CV98,0)</f>
        <v>13.911254000000001</v>
      </c>
      <c r="S108" s="111">
        <f>[12]GHG_hist!BF98+IF($M108="incl",[12]LULUCF_hist!CW98,0)</f>
        <v>14.798540666666668</v>
      </c>
      <c r="T108" s="111">
        <f>[12]GHG_hist!BG98+IF($M108="incl",[12]LULUCF_hist!CX98,0)</f>
        <v>15.040335333333333</v>
      </c>
      <c r="U108" s="111">
        <f>[12]GHG_hist!BH98+IF($M108="incl",[12]LULUCF_hist!CY98,0)</f>
        <v>15.203615000000001</v>
      </c>
      <c r="V108" s="111">
        <f>[12]GHG_hist!BI98+IF($M108="incl",[12]LULUCF_hist!CZ98,0)</f>
        <v>14.661161666666667</v>
      </c>
      <c r="W108" s="111">
        <f>[12]GHG_hist!BJ98+IF($M108="incl",[12]LULUCF_hist!DA98,0)</f>
        <v>14.871860333333334</v>
      </c>
      <c r="X108" s="111">
        <f>[12]GHG_hist!BK98+IF($M108="incl",[12]LULUCF_hist!DB98,0)</f>
        <v>15.110123999999999</v>
      </c>
      <c r="Y108" s="111">
        <f>[12]GHG_hist!BL98+IF($M108="incl",[12]LULUCF_hist!DC98,0)</f>
        <v>15.156996666666668</v>
      </c>
      <c r="Z108" s="111">
        <f>[12]GHG_hist!BM98+IF($M108="incl",[12]LULUCF_hist!DD98,0)</f>
        <v>14.485621333333334</v>
      </c>
      <c r="AA108" s="111">
        <f>[12]GHG_hist!BN98+IF($M108="incl",[12]LULUCF_hist!DE98,0)</f>
        <v>15.079294000000003</v>
      </c>
      <c r="AB108" s="111">
        <f>[12]GHG_hist!BO98+IF($M108="incl",[12]LULUCF_hist!DF98,0)</f>
        <v>14.718912666666666</v>
      </c>
      <c r="AC108" s="111">
        <f>[12]GHG_hist!BP98+IF($M108="incl",[12]LULUCF_hist!DG98,0)</f>
        <v>14.396285333333335</v>
      </c>
      <c r="AD108" s="111">
        <f>[12]GHG_hist!BQ98+IF($M108="incl",[12]LULUCF_hist!DH98,0)</f>
        <v>14.417286000000001</v>
      </c>
      <c r="AE108" s="111">
        <f>[12]GHG_hist!BR98+IF($M108="incl",[12]LULUCF_hist!DI98,0)</f>
        <v>14.215057000000002</v>
      </c>
      <c r="AF108" s="111">
        <f>[12]GHG_hist!BS98+IF($M108="incl",[12]LULUCF_hist!DJ98,0)</f>
        <v>16.825220999999999</v>
      </c>
      <c r="AG108" s="111">
        <f>[12]GHG_hist!BT98+IF($M108="incl",[12]LULUCF_hist!DK98,0)</f>
        <v>13.900405000000001</v>
      </c>
      <c r="AH108" s="111">
        <f>[12]GHG_hist!BU98+IF($M108="incl",[12]LULUCF_hist!DL98,0)</f>
        <v>13.232014999999999</v>
      </c>
      <c r="AI108" s="111">
        <f>[12]GHG_hist!BV98+IF($M108="incl",[12]LULUCF_hist!DM98,0)</f>
        <v>13.518265</v>
      </c>
      <c r="AJ108" s="111">
        <f>[12]GHG_hist!BW98+IF($M108="incl",[12]LULUCF_hist!DN98,0)</f>
        <v>13.279743000000002</v>
      </c>
      <c r="AK108" s="111">
        <f>[12]GHG_hist!BX98+IF($M108="incl",[12]LULUCF_hist!DO98,0)</f>
        <v>13.319486545454541</v>
      </c>
      <c r="AL108" s="111">
        <f>[12]GHG_hist!BY98+IF($M108="incl",[12]LULUCF_hist!DP98,0)</f>
        <v>12.516836945981558</v>
      </c>
      <c r="AM108" s="111">
        <f>[12]GHG_hist!BZ98+IF($M108="incl",[12]LULUCF_hist!DQ98,0)</f>
        <v>12.414640346508572</v>
      </c>
      <c r="AN108" s="111">
        <f>[12]GHG_hist!CA98+IF($M108="incl",[12]LULUCF_hist!DR98,0)</f>
        <v>12.579186747035585</v>
      </c>
      <c r="AO108" s="111">
        <f>[12]GHG_hist!CB98+IF($M108="incl",[12]LULUCF_hist!DS98,0)</f>
        <v>12.286905147562571</v>
      </c>
      <c r="AP108" s="111">
        <f>[12]GHG_hist!CC98+IF($M108="incl",[12]LULUCF_hist!DT98,0)</f>
        <v>12.372271548089584</v>
      </c>
      <c r="AQ108" s="111">
        <f>[12]GHG_hist!CD98+IF($M108="incl",[12]LULUCF_hist!DU98,0)</f>
        <v>12.523735948616601</v>
      </c>
      <c r="AR108" s="111">
        <f>[12]GHG_hist!CE98+IF($M108="incl",[12]LULUCF_hist!DV98,0)</f>
        <v>11.837148349143614</v>
      </c>
      <c r="AS108" s="111">
        <f>[12]GHG_hist!CF98+IF($M108="incl",[12]LULUCF_hist!DW98,0)</f>
        <v>11.663805749670628</v>
      </c>
      <c r="AT108" s="161">
        <f>VLOOKUP($L108,'[12]IMAGE SSP2'!$AF$3:$AK$29,4,FALSE)*$AM108</f>
        <v>14.115581250323613</v>
      </c>
      <c r="AU108" s="162">
        <f>VLOOKUP($L108,'[12]IMAGE SSP2'!$AF$3:$AK$29,5,FALSE)*$AM108</f>
        <v>15.791926763132667</v>
      </c>
      <c r="AV108" s="163">
        <f>VLOOKUP($L108,'[12]IMAGE SSP2'!$AF$3:$AK$29,6,FALSE)*$AM108</f>
        <v>16.670215634990726</v>
      </c>
      <c r="AW108" s="111">
        <f>IF(A108="B",AM108+(AX108-AM108)*0.33333,"")</f>
        <v>13.107086639806869</v>
      </c>
      <c r="AX108" s="164">
        <f>[12]NDCs!$R$110</f>
        <v>14.492000000000001</v>
      </c>
      <c r="AY108" s="111" t="str">
        <f>IF('[12]Pledge 2020'!E98="","",'[12]Pledge 2020'!E98)</f>
        <v/>
      </c>
      <c r="AZ108" s="164" t="str">
        <f>IF('[12]Pledge 2020'!F98="","",'[12]Pledge 2020'!F98)</f>
        <v/>
      </c>
      <c r="BA108" s="111">
        <f t="shared" si="51"/>
        <v>13.32922175</v>
      </c>
      <c r="BB108" s="111">
        <f>IF(BF108="","",(BF108-AH108)*0.75+AH108)</f>
        <v>13.32922175</v>
      </c>
      <c r="BC108" s="111">
        <f t="shared" si="52"/>
        <v>13.090103750000001</v>
      </c>
      <c r="BD108" s="111">
        <f t="shared" ref="BD108:BD115" si="88">IF(BH108="","",(BH108-AH108)*0.75+AH108)</f>
        <v>13.090103750000001</v>
      </c>
      <c r="BE108" s="169">
        <v>13.361624000000001</v>
      </c>
      <c r="BF108" s="169">
        <v>13.361624000000001</v>
      </c>
      <c r="BG108" s="169">
        <v>13.042800000000002</v>
      </c>
      <c r="BH108" s="170">
        <v>13.042800000000002</v>
      </c>
      <c r="BI108" s="111">
        <f>IF([12]NDCs!V110="",IF([12]NDCs!X110="","",[12]NDCs!X110),[12]NDCs!V110)</f>
        <v>13.361624000000001</v>
      </c>
      <c r="BJ108" s="111">
        <f>IF([12]NDCs!V110="",IF([12]NDCs!X110="","",[12]NDCs!X110),[12]NDCs!V110)</f>
        <v>13.361624000000001</v>
      </c>
      <c r="BK108" s="111">
        <f>IF([12]NDCs!Z110="",IF([12]NDCs!AB110="",IF('input site'!BE108="","",'input site'!BE108),[12]NDCs!AB110),[12]NDCs!Z110)</f>
        <v>13.042800000000002</v>
      </c>
      <c r="BL108" s="111">
        <f>IF([12]NDCs!AA110="",IF([12]NDCs!AC110="",IF('input site'!BF108="","",'input site'!BF108),[12]NDCs!AC110),[12]NDCs!AA110)</f>
        <v>13.042800000000002</v>
      </c>
      <c r="BM108" s="111">
        <f>IF($BI$8=2015,VLOOKUP($L108,'[12]IMAGE CurPol SSP'!$AZ$3:$BD$29,4,FALSE)*$AM108,IF($BI$8=2018,VLOOKUP($L108,'[12]IMAGE CurPol SSP'!$BJ$3:$BN$29,4,FALSE)*$AP108,$AR108))</f>
        <v>11.837148349143614</v>
      </c>
      <c r="BN108" s="111">
        <f t="shared" si="87"/>
        <v>11.837148349143614</v>
      </c>
      <c r="BO108" s="111">
        <f t="shared" si="87"/>
        <v>11.837148349143614</v>
      </c>
      <c r="BP108" s="111">
        <f>IF($BI$8=2015,VLOOKUP($L108,'[12]IMAGE CurPol SSP'!$AZ$3:$BD$29,5,FALSE)*$AM108,IF($BI$8=2018,VLOOKUP($L108,'[12]IMAGE CurPol SSP'!$BJ$3:$BN$29,5,FALSE)*$AP108,VLOOKUP($L108,'[12]IMAGE CurPol SSP'!$BU$3:$BZ$29,5,FALSE)*$AS108))</f>
        <v>12.781254603713485</v>
      </c>
      <c r="BQ108" s="111">
        <f>IF($BI$8=2015,"",IF($BI$8=2018,"",VLOOKUP($L108,'[12]IMAGE CurPol SSP'!$CQ$3:$CV$29,5,FALSE)*$AS108))</f>
        <v>12.56375627949704</v>
      </c>
      <c r="BR108" s="111">
        <f>IF($BI$8=2015,"",IF($BI$8=2018,"",VLOOKUP($L108,'[12]IMAGE CurPol SSP'!$CF$3:$CK$29,5,FALSE)*$AS108))</f>
        <v>13.283987038092503</v>
      </c>
      <c r="BS108" s="111">
        <f>IF($BI$8=2015,VLOOKUP($L108,'[12]IMAGE CurPol SSP'!$AZ$3:$BE$29,6,FALSE)*$AM108,IF($BI$8=2018,VLOOKUP($L108,'[12]IMAGE CurPol SSP'!$BJ$3:$BO$29,6,FALSE)*$AP108,VLOOKUP($L108,'[12]IMAGE CurPol SSP'!$BU$3:$BZ$29,6,FALSE)*$AS108))</f>
        <v>14.382279494854403</v>
      </c>
      <c r="BT108" s="111">
        <f>IF($BI$8=2015,"",IF($BI$8=2018,"",VLOOKUP($L108,'[12]IMAGE CurPol SSP'!$CQ$3:$CV$29,6,FALSE)*$AS108))</f>
        <v>14.051768387529943</v>
      </c>
      <c r="BU108" s="164">
        <f>IF($BI$8=2015,"",IF($BI$8=2018,"",VLOOKUP($L108,'[12]IMAGE CurPol SSP'!$CF$3:$CK$29,6,FALSE)*$AS108))</f>
        <v>15.38780801748562</v>
      </c>
      <c r="CN108" t="s">
        <v>245</v>
      </c>
      <c r="CO108" s="165">
        <f t="shared" si="69"/>
        <v>-7.0966184130934584E-2</v>
      </c>
      <c r="CP108" s="165">
        <f t="shared" si="69"/>
        <v>-7.0966184130934584E-2</v>
      </c>
      <c r="CQ108" s="165">
        <f t="shared" si="69"/>
        <v>-9.3134019216747355E-2</v>
      </c>
      <c r="CR108" s="165">
        <f t="shared" si="65"/>
        <v>-9.3134019216747355E-2</v>
      </c>
      <c r="CS108" s="159"/>
      <c r="CU108" s="159"/>
      <c r="CV108" s="125" t="s">
        <v>621</v>
      </c>
      <c r="CW108" s="125" t="s">
        <v>621</v>
      </c>
      <c r="CX108" s="159"/>
      <c r="CY108" s="167">
        <f t="shared" si="70"/>
        <v>2.2784329011799986</v>
      </c>
      <c r="CZ108" s="159"/>
      <c r="DB108" s="106"/>
      <c r="DC108" s="106"/>
      <c r="DD108" s="106"/>
      <c r="DE108" s="106"/>
      <c r="DF108" s="106"/>
      <c r="DG108" s="105" t="str">
        <f t="shared" si="71"/>
        <v>incl</v>
      </c>
      <c r="DH108" t="s">
        <v>245</v>
      </c>
      <c r="DI108" s="111">
        <f t="shared" si="79"/>
        <v>0</v>
      </c>
      <c r="DJ108" s="111">
        <f t="shared" si="79"/>
        <v>0</v>
      </c>
      <c r="DK108" s="111">
        <f t="shared" si="80"/>
        <v>0.54796714628651522</v>
      </c>
      <c r="DL108" s="111">
        <f t="shared" si="81"/>
        <v>0.30884914628651572</v>
      </c>
      <c r="DM108" s="111">
        <f t="shared" si="82"/>
        <v>-1.0206554948544024</v>
      </c>
      <c r="DN108" s="111">
        <f t="shared" si="83"/>
        <v>-1.3394794948544018</v>
      </c>
      <c r="DO108" s="111">
        <f t="shared" si="84"/>
        <v>-1.0206554948544024</v>
      </c>
      <c r="DP108" s="111">
        <f t="shared" si="85"/>
        <v>-1.3394794948544018</v>
      </c>
      <c r="DQ108" s="106"/>
      <c r="DR108" s="106"/>
      <c r="DS108" s="111"/>
      <c r="DT108" s="168"/>
      <c r="DW108" s="111">
        <f t="shared" si="72"/>
        <v>13.361624000000001</v>
      </c>
      <c r="DX108" s="111">
        <f t="shared" si="72"/>
        <v>13.361624000000001</v>
      </c>
      <c r="DY108" s="111">
        <f t="shared" si="72"/>
        <v>13.042800000000002</v>
      </c>
      <c r="DZ108" s="111">
        <f t="shared" si="66"/>
        <v>13.042800000000002</v>
      </c>
      <c r="EP108" t="s">
        <v>245</v>
      </c>
      <c r="EQ108">
        <v>4</v>
      </c>
      <c r="ER108" s="111">
        <f t="shared" si="73"/>
        <v>12.372271548089584</v>
      </c>
      <c r="ES108" s="111">
        <f>IF($BI$8=2015,VLOOKUP($L108,'[12]IMAGE CDLINKS CurPol'!$P$3:$Y$29,10,FALSE)*$AM108,VLOOKUP($L108,'[12]IMAGE CDLINKS CurPol'!$Z$3:$AI$29,10,FALSE)*$AP108)</f>
        <v>23.432810028876766</v>
      </c>
      <c r="ET108" s="111">
        <f t="shared" si="86"/>
        <v>0</v>
      </c>
      <c r="EU108" s="111">
        <f t="shared" si="76"/>
        <v>0</v>
      </c>
      <c r="EV108" s="111">
        <f>IF($BI$8=2015,VLOOKUP($L108,'[12]IMAGE CDLINKS 2C'!$P$3:$Y$29,10,FALSE)*$AM108,VLOOKUP($L108,'[12]IMAGE CDLINKS 2C'!$Z$3:$AI$29,10,FALSE)*$AP108)</f>
        <v>6.5014398750821627</v>
      </c>
      <c r="EW108">
        <v>0</v>
      </c>
      <c r="EX108" s="111">
        <f>EW108-EV108</f>
        <v>-6.5014398750821627</v>
      </c>
      <c r="EY108" s="111">
        <f t="shared" si="77"/>
        <v>0</v>
      </c>
      <c r="EZ108" s="111">
        <f>IF($BI$8=2015,VLOOKUP($L108,'[12]IMAGE CDLINKS 1_5C'!$P$3:$Y$29,10,FALSE)*$AM108,VLOOKUP($L108,'[12]IMAGE CDLINKS 1_5C'!$Z$3:$AI$29,10,FALSE)*$AP108)</f>
        <v>1.3222654619489063</v>
      </c>
      <c r="FA108" s="192">
        <v>2050</v>
      </c>
    </row>
    <row r="109" spans="1:157" x14ac:dyDescent="0.25">
      <c r="A109" t="str">
        <f>IF([12]NDCs!C111="","",[12]NDCs!C111)</f>
        <v>A</v>
      </c>
      <c r="B109" s="159" t="str">
        <f t="shared" si="67"/>
        <v>iii</v>
      </c>
      <c r="C109">
        <v>1</v>
      </c>
      <c r="D109">
        <v>0</v>
      </c>
      <c r="E109">
        <v>1</v>
      </c>
      <c r="F109">
        <v>1</v>
      </c>
      <c r="G109" t="b">
        <f t="shared" si="68"/>
        <v>1</v>
      </c>
      <c r="H109" t="s">
        <v>2339</v>
      </c>
      <c r="I109" t="s">
        <v>247</v>
      </c>
      <c r="J109">
        <v>392</v>
      </c>
      <c r="K109">
        <v>99</v>
      </c>
      <c r="L109">
        <v>23</v>
      </c>
      <c r="M109" t="str">
        <f>IF([12]NDCs!AL111="Excluding","excl","incl")</f>
        <v>incl</v>
      </c>
      <c r="N109" s="188">
        <f>IF($M109="incl",[12]JAP!E$41,[12]JAP!E$37)</f>
        <v>1206.0618474800001</v>
      </c>
      <c r="O109" s="188">
        <f>IF($M109="incl",[12]JAP!F$41,[12]JAP!F$37)</f>
        <v>1211.7184594</v>
      </c>
      <c r="P109" s="188">
        <f>IF($M109="incl",[12]JAP!G$41,[12]JAP!G$37)</f>
        <v>1219.8434519299999</v>
      </c>
      <c r="Q109" s="188">
        <f>IF($M109="incl",[12]JAP!H$41,[12]JAP!H$37)</f>
        <v>1212.35570502</v>
      </c>
      <c r="R109" s="188">
        <f>IF($M109="incl",[12]JAP!I$41,[12]JAP!I$37)</f>
        <v>1273.58042291999</v>
      </c>
      <c r="S109" s="188">
        <f>IF($M109="incl",[12]JAP!J$41,[12]JAP!J$37)</f>
        <v>1295.2577695299899</v>
      </c>
      <c r="T109" s="188">
        <f>IF($M109="incl",[12]JAP!K$41,[12]JAP!K$37)</f>
        <v>1304.4849838099999</v>
      </c>
      <c r="U109" s="188">
        <f>IF($M109="incl",[12]JAP!L$41,[12]JAP!L$37)</f>
        <v>1295.5307509100001</v>
      </c>
      <c r="V109" s="188">
        <f>IF($M109="incl",[12]JAP!M$41,[12]JAP!M$37)</f>
        <v>1246.55443152</v>
      </c>
      <c r="W109" s="188">
        <f>IF($M109="incl",[12]JAP!N$41,[12]JAP!N$37)</f>
        <v>1270.6848529900001</v>
      </c>
      <c r="X109" s="188">
        <f>IF($M109="incl",[12]JAP!O$41,[12]JAP!O$37)</f>
        <v>1289.2178953999901</v>
      </c>
      <c r="Y109" s="188">
        <f>IF($M109="incl",[12]JAP!P$41,[12]JAP!P$37)</f>
        <v>1262.8273634899999</v>
      </c>
      <c r="Z109" s="188">
        <f>IF($M109="incl",[12]JAP!Q$41,[12]JAP!Q$37)</f>
        <v>1285.1078469500001</v>
      </c>
      <c r="AA109" s="188">
        <f>IF($M109="incl",[12]JAP!R$41,[12]JAP!R$37)</f>
        <v>1280.4133197399999</v>
      </c>
      <c r="AB109" s="188">
        <f>IF($M109="incl",[12]JAP!S$41,[12]JAP!S$37)</f>
        <v>1275.20821746</v>
      </c>
      <c r="AC109" s="188">
        <f>IF($M109="incl",[12]JAP!T$41,[12]JAP!T$37)</f>
        <v>1288.6226328400001</v>
      </c>
      <c r="AD109" s="188">
        <f>IF($M109="incl",[12]JAP!U$41,[12]JAP!U$37)</f>
        <v>1272.1130156300001</v>
      </c>
      <c r="AE109" s="188">
        <f>IF($M109="incl",[12]JAP!V$41,[12]JAP!V$37)</f>
        <v>1311.39924202</v>
      </c>
      <c r="AF109" s="188">
        <f>IF($M109="incl",[12]JAP!W$41,[12]JAP!W$37)</f>
        <v>1248.3955893699999</v>
      </c>
      <c r="AG109" s="188">
        <f>IF($M109="incl",[12]JAP!X$41,[12]JAP!X$37)</f>
        <v>1179.53617439</v>
      </c>
      <c r="AH109" s="188">
        <f>IF($M109="incl",[12]JAP!Y$41,[12]JAP!Y$37)</f>
        <v>1229.19280149</v>
      </c>
      <c r="AI109" s="188">
        <f>IF($M109="incl",[12]JAP!Z$41,[12]JAP!Z$37)</f>
        <v>1281.62108621999</v>
      </c>
      <c r="AJ109" s="188">
        <f>IF($M109="incl",[12]JAP!AA$41,[12]JAP!AA$37)</f>
        <v>1321.69838564</v>
      </c>
      <c r="AK109" s="188">
        <f>IF($M109="incl",[12]JAP!AB$41,[12]JAP!AB$37)</f>
        <v>1340.6966684199999</v>
      </c>
      <c r="AL109" s="188">
        <f>IF($M109="incl",[12]JAP!AC$41,[12]JAP!AC$37)</f>
        <v>1294.77655411</v>
      </c>
      <c r="AM109" s="188">
        <f>IF($M109="incl",[12]JAP!AD$41,[12]JAP!AD$37)</f>
        <v>1261.70375279</v>
      </c>
      <c r="AN109" s="188">
        <f>IF($M109="incl",[12]JAP!AE$41,[12]JAP!AE$37)</f>
        <v>1247.86093456</v>
      </c>
      <c r="AO109" s="188">
        <f>IF($M109="incl",[12]JAP!AF$41,[12]JAP!AF$37)</f>
        <v>1230.4881711200001</v>
      </c>
      <c r="AP109" s="188">
        <f>IF($M109="incl",[12]JAP!AG$41,[12]JAP!AG$37)</f>
        <v>1186.9060561700001</v>
      </c>
      <c r="AQ109" s="188">
        <f>IF($M109="incl",[12]JAP!AH$41,[12]JAP!AH$37)</f>
        <v>1157.04248392</v>
      </c>
      <c r="AR109" s="188">
        <f>IF($M109="incl",[12]JAP!AI$41,[12]JAP!AI$37)</f>
        <v>1093.33858706</v>
      </c>
      <c r="AS109" s="188">
        <f>IF($M109="incl",[12]JAP!AJ$41,[12]JAP!AJ$37)</f>
        <v>1116.3998745199999</v>
      </c>
      <c r="AT109" s="189">
        <f>AR109</f>
        <v>1093.33858706</v>
      </c>
      <c r="AU109" s="111">
        <f>[12]JAP!AN23</f>
        <v>1099.3545711200002</v>
      </c>
      <c r="AV109" s="164">
        <f>[12]JAP!AS23</f>
        <v>1088.46557112</v>
      </c>
      <c r="AW109" s="111" t="str">
        <f t="shared" si="75"/>
        <v/>
      </c>
      <c r="AX109" s="164" t="str">
        <f>IF(A109="B",IF(M109="excl",[12]NatCom!CO99,[12]NatCom!AX99),"")</f>
        <v/>
      </c>
      <c r="AY109" s="111">
        <f>IF('[12]Pledge 2020'!E99="","",'[12]Pledge 2020'!E99)</f>
        <v>1325.1202487119999</v>
      </c>
      <c r="AZ109" s="164">
        <f>IF('[12]Pledge 2020'!F99="","",'[12]Pledge 2020'!F99)</f>
        <v>1325.1202487119999</v>
      </c>
      <c r="BA109" s="106">
        <f>[12]JAP!X10</f>
        <v>913.31320037250009</v>
      </c>
      <c r="BB109" s="106">
        <f>IF(BF109="","",(BF109-AH109)*0.75+AH109)</f>
        <v>913.31320037250009</v>
      </c>
      <c r="BC109" s="106">
        <f>[12]JAP!Y10</f>
        <v>913.31320037250009</v>
      </c>
      <c r="BD109" s="106">
        <f t="shared" si="88"/>
        <v>913.31320037250009</v>
      </c>
      <c r="BE109" s="199">
        <v>808.0200000000001</v>
      </c>
      <c r="BF109" s="199">
        <v>808.0200000000001</v>
      </c>
      <c r="BG109" s="199">
        <v>808.0200000000001</v>
      </c>
      <c r="BH109" s="200">
        <v>808.0200000000001</v>
      </c>
      <c r="BI109" s="111">
        <f>IF([12]NDCs!V111="",IF([12]NDCs!X111="","",[12]NDCs!X111),[12]NDCs!V111)</f>
        <v>1078.9643999999998</v>
      </c>
      <c r="BJ109" s="111">
        <f>IF([12]NDCs!V111="",IF([12]NDCs!X111="","",[12]NDCs!X111),[12]NDCs!V111)</f>
        <v>1078.9643999999998</v>
      </c>
      <c r="BK109" s="111">
        <f>IF([12]NDCs!Z111="",IF([12]NDCs!AB111="",IF('input site'!BE109="","",'input site'!BE109),[12]NDCs!AB111),[12]NDCs!Z111)</f>
        <v>1078.9643999999998</v>
      </c>
      <c r="BL109" s="111">
        <f>IF([12]NDCs!AA111="",IF([12]NDCs!AC111="",IF('input site'!BF109="","",'input site'!BF109),[12]NDCs!AC111),[12]NDCs!AA111)</f>
        <v>1078.9643999999998</v>
      </c>
      <c r="BM109" s="190">
        <f>[12]JAP!AB$5</f>
        <v>1093.33858706</v>
      </c>
      <c r="BN109" s="127">
        <f>[12]JAP!AB7</f>
        <v>1093.33858706</v>
      </c>
      <c r="BO109" s="127">
        <f>[12]JAP!AB6</f>
        <v>1093.33858706</v>
      </c>
      <c r="BP109" s="190">
        <f>[12]JAP!AC$5</f>
        <v>984.13075486313699</v>
      </c>
      <c r="BQ109" s="127">
        <f>[12]JAP!AC$7</f>
        <v>984.13075486313699</v>
      </c>
      <c r="BR109" s="127">
        <f>[12]JAP!AC$6</f>
        <v>1042.13343652</v>
      </c>
      <c r="BS109" s="190">
        <f>[12]JAP!AD$5</f>
        <v>849.02019737703495</v>
      </c>
      <c r="BT109" s="127">
        <f>[12]JAP!AD$7</f>
        <v>849.02019737703495</v>
      </c>
      <c r="BU109" s="127">
        <f>[12]JAP!AD$6</f>
        <v>932.02437892</v>
      </c>
      <c r="CN109" t="s">
        <v>247</v>
      </c>
      <c r="CO109" s="165">
        <f t="shared" si="69"/>
        <v>-4.8291192016045037E-2</v>
      </c>
      <c r="CP109" s="165">
        <f t="shared" si="69"/>
        <v>-4.8291192016045037E-2</v>
      </c>
      <c r="CQ109" s="165">
        <f t="shared" si="69"/>
        <v>-4.8291192016045037E-2</v>
      </c>
      <c r="CR109" s="165">
        <f t="shared" si="65"/>
        <v>-4.8291192016045037E-2</v>
      </c>
      <c r="CS109" s="185">
        <f>IF(BE109&lt;=MIN(BS109:BU109),0,1)</f>
        <v>0</v>
      </c>
      <c r="CT109" s="185">
        <f>IF(BG109&lt;=MIN(BS109:BU109),0,1)</f>
        <v>0</v>
      </c>
      <c r="CU109">
        <f>IF(BS109&lt;=MAX(AN109,AP109),1,0)</f>
        <v>1</v>
      </c>
      <c r="CV109" s="116" t="str">
        <f>IF(CS109=1,IF(CU109=1,"i","ii"),IF(CU109=1,"iii","iv"))</f>
        <v>iii</v>
      </c>
      <c r="CW109" s="116" t="str">
        <f>IF(CT109=1,IF(CU109=1,"i","ii"),IF(CU109=1,"iii","iv"))</f>
        <v>iii</v>
      </c>
      <c r="CX109"/>
      <c r="CY109" s="167">
        <f t="shared" si="70"/>
        <v>0</v>
      </c>
      <c r="DA109" s="187">
        <f>[12]JAP!P18</f>
        <v>231.78166165199991</v>
      </c>
      <c r="DB109" s="187">
        <f>[12]JAP!Q18</f>
        <v>231.78166165199991</v>
      </c>
      <c r="DC109" s="187">
        <f>[12]JAP!R18</f>
        <v>0</v>
      </c>
      <c r="DD109" s="187">
        <f>[12]JAP!S18</f>
        <v>0</v>
      </c>
      <c r="DE109" s="187">
        <f>[12]JAP!T18</f>
        <v>0</v>
      </c>
      <c r="DF109" s="187">
        <f>[12]JAP!U18</f>
        <v>0</v>
      </c>
      <c r="DG109" s="105" t="str">
        <f t="shared" si="71"/>
        <v>incl</v>
      </c>
      <c r="DH109" t="s">
        <v>247</v>
      </c>
      <c r="DI109" s="127"/>
      <c r="DJ109" s="127"/>
      <c r="DK109" s="127"/>
      <c r="DL109" s="127"/>
      <c r="DM109" s="127"/>
      <c r="DN109" s="127"/>
      <c r="DO109" s="127"/>
      <c r="DP109" s="127"/>
      <c r="DQ109" s="187">
        <f>[12]JAP!BA$18</f>
        <v>68.43662566949979</v>
      </c>
      <c r="DR109" s="187">
        <f>[12]JAP!BB$18</f>
        <v>68.43662566949979</v>
      </c>
      <c r="DS109" s="111"/>
      <c r="DT109" s="168"/>
      <c r="DW109" s="111">
        <f t="shared" si="72"/>
        <v>808.0200000000001</v>
      </c>
      <c r="DX109" s="111">
        <f t="shared" si="72"/>
        <v>808.0200000000001</v>
      </c>
      <c r="DY109" s="111">
        <f t="shared" si="72"/>
        <v>808.0200000000001</v>
      </c>
      <c r="DZ109" s="111">
        <f t="shared" si="66"/>
        <v>808.0200000000001</v>
      </c>
      <c r="EP109" t="s">
        <v>247</v>
      </c>
      <c r="EQ109">
        <v>2</v>
      </c>
      <c r="ER109" s="111">
        <f t="shared" si="73"/>
        <v>1186.9060561700001</v>
      </c>
      <c r="ES109" s="111">
        <f>IF($BI$8=2015,VLOOKUP($L109,'[12]IMAGE CDLINKS CurPol'!$P$3:$Y$29,10,FALSE)*$AM109,VLOOKUP($L109,'[12]IMAGE CDLINKS CurPol'!$Z$3:$AI$29,10,FALSE)*$AP109)</f>
        <v>1077.6493657902834</v>
      </c>
      <c r="ET109" s="111">
        <f t="shared" si="86"/>
        <v>0</v>
      </c>
      <c r="EU109" s="111">
        <f t="shared" si="76"/>
        <v>0</v>
      </c>
      <c r="EV109" s="111">
        <f>IF($BI$8=2015,VLOOKUP($L109,'[12]IMAGE CDLINKS 2C'!$P$3:$Y$29,10,FALSE)*$AM109,VLOOKUP($L109,'[12]IMAGE CDLINKS 2C'!$Z$3:$AI$29,10,FALSE)*$AP109)</f>
        <v>154.8871985055959</v>
      </c>
      <c r="EW109" s="214">
        <f>[12]JAP!AM9</f>
        <v>0</v>
      </c>
      <c r="EX109" s="111">
        <f>EW109-EV109</f>
        <v>-154.8871985055959</v>
      </c>
      <c r="EY109" s="111">
        <f t="shared" si="77"/>
        <v>0</v>
      </c>
      <c r="EZ109" s="111">
        <f>IF($BI$8=2015,VLOOKUP($L109,'[12]IMAGE CDLINKS 1_5C'!$P$3:$Y$29,10,FALSE)*$AM109,VLOOKUP($L109,'[12]IMAGE CDLINKS 1_5C'!$Z$3:$AI$29,10,FALSE)*$AP109)</f>
        <v>-169.19244352719878</v>
      </c>
      <c r="FA109" s="192" t="s">
        <v>2345</v>
      </c>
    </row>
    <row r="110" spans="1:157" x14ac:dyDescent="0.25">
      <c r="A110" t="str">
        <f>IF([12]NDCs!C112="","",[12]NDCs!C112)</f>
        <v>B</v>
      </c>
      <c r="B110" s="159" t="str">
        <f t="shared" si="67"/>
        <v>v</v>
      </c>
      <c r="C110">
        <v>0</v>
      </c>
      <c r="D110">
        <v>0</v>
      </c>
      <c r="E110">
        <v>0</v>
      </c>
      <c r="F110">
        <v>1</v>
      </c>
      <c r="G110" t="b">
        <f t="shared" si="68"/>
        <v>1</v>
      </c>
      <c r="H110" t="s">
        <v>2333</v>
      </c>
      <c r="I110" t="s">
        <v>249</v>
      </c>
      <c r="J110">
        <v>400</v>
      </c>
      <c r="K110">
        <v>101</v>
      </c>
      <c r="L110">
        <v>17</v>
      </c>
      <c r="M110" t="str">
        <f>IF([12]NDCs!AL112="Excluding","excl","incl")</f>
        <v>incl</v>
      </c>
      <c r="N110" s="160">
        <f>[12]GHG_hist!BA100+IF($M110="incl",[12]LULUCF_hist!CR100,0)</f>
        <v>9.9327584750000018</v>
      </c>
      <c r="O110" s="111">
        <f>[12]GHG_hist!BB100+IF($M110="incl",[12]LULUCF_hist!CS100,0)</f>
        <v>9.6712434750000007</v>
      </c>
      <c r="P110" s="111">
        <f>[12]GHG_hist!BC100+IF($M110="incl",[12]LULUCF_hist!CT100,0)</f>
        <v>12.098756475000002</v>
      </c>
      <c r="Q110" s="111">
        <f>[12]GHG_hist!BD100+IF($M110="incl",[12]LULUCF_hist!CU100,0)</f>
        <v>12.068686475000002</v>
      </c>
      <c r="R110" s="111">
        <f>[12]GHG_hist!BE100+IF($M110="incl",[12]LULUCF_hist!CV100,0)</f>
        <v>13.676907475000002</v>
      </c>
      <c r="S110" s="111">
        <f>[12]GHG_hist!BF100+IF($M110="incl",[12]LULUCF_hist!CW100,0)</f>
        <v>14.727293362500003</v>
      </c>
      <c r="T110" s="111">
        <f>[12]GHG_hist!BG100+IF($M110="incl",[12]LULUCF_hist!CX100,0)</f>
        <v>16.311013249999998</v>
      </c>
      <c r="U110" s="111">
        <f>[12]GHG_hist!BH100+IF($M110="incl",[12]LULUCF_hist!CY100,0)</f>
        <v>17.568667137500004</v>
      </c>
      <c r="V110" s="111">
        <f>[12]GHG_hist!BI100+IF($M110="incl",[12]LULUCF_hist!CZ100,0)</f>
        <v>18.729718025</v>
      </c>
      <c r="W110" s="111">
        <f>[12]GHG_hist!BJ100+IF($M110="incl",[12]LULUCF_hist!DA100,0)</f>
        <v>19.795229912500002</v>
      </c>
      <c r="X110" s="111">
        <f>[12]GHG_hist!BK100+IF($M110="incl",[12]LULUCF_hist!DB100,0)</f>
        <v>21.542622799999997</v>
      </c>
      <c r="Y110" s="111">
        <f>[12]GHG_hist!BL100+IF($M110="incl",[12]LULUCF_hist!DC100,0)</f>
        <v>22.664052000000002</v>
      </c>
      <c r="Z110" s="111">
        <f>[12]GHG_hist!BM100+IF($M110="incl",[12]LULUCF_hist!DD100,0)</f>
        <v>24.246693199999999</v>
      </c>
      <c r="AA110" s="111">
        <f>[12]GHG_hist!BN100+IF($M110="incl",[12]LULUCF_hist!DE100,0)</f>
        <v>25.395792399999998</v>
      </c>
      <c r="AB110" s="111">
        <f>[12]GHG_hist!BO100+IF($M110="incl",[12]LULUCF_hist!DF100,0)</f>
        <v>27.866425599999999</v>
      </c>
      <c r="AC110" s="111">
        <f>[12]GHG_hist!BP100+IF($M110="incl",[12]LULUCF_hist!DG100,0)</f>
        <v>30.623096800000003</v>
      </c>
      <c r="AD110" s="111">
        <f>[12]GHG_hist!BQ100+IF($M110="incl",[12]LULUCF_hist!DH100,0)</f>
        <v>31.161348</v>
      </c>
      <c r="AE110" s="111">
        <f>[12]GHG_hist!BR100+IF($M110="incl",[12]LULUCF_hist!DI100,0)</f>
        <v>32.00258607</v>
      </c>
      <c r="AF110" s="111">
        <f>[12]GHG_hist!BS100+IF($M110="incl",[12]LULUCF_hist!DJ100,0)</f>
        <v>31.290832139999999</v>
      </c>
      <c r="AG110" s="111">
        <f>[12]GHG_hist!BT100+IF($M110="incl",[12]LULUCF_hist!DK100,0)</f>
        <v>31.141079210000001</v>
      </c>
      <c r="AH110" s="111">
        <f>[12]GHG_hist!BU100+IF($M110="incl",[12]LULUCF_hist!DL100,0)</f>
        <v>30.01635628</v>
      </c>
      <c r="AI110" s="111">
        <f>[12]GHG_hist!BV100+IF($M110="incl",[12]LULUCF_hist!DM100,0)</f>
        <v>30.436581350000004</v>
      </c>
      <c r="AJ110" s="111">
        <f>[12]GHG_hist!BW100+IF($M110="incl",[12]LULUCF_hist!DN100,0)</f>
        <v>33.024883420000002</v>
      </c>
      <c r="AK110" s="111">
        <f>[12]GHG_hist!BX100+IF($M110="incl",[12]LULUCF_hist!DO100,0)</f>
        <v>32.872365490000007</v>
      </c>
      <c r="AL110" s="111">
        <f>[12]GHG_hist!BY100+IF($M110="incl",[12]LULUCF_hist!DP100,0)</f>
        <v>34.818096560000001</v>
      </c>
      <c r="AM110" s="111">
        <f>[12]GHG_hist!BZ100+IF($M110="incl",[12]LULUCF_hist!DQ100,0)</f>
        <v>34.112624629999999</v>
      </c>
      <c r="AN110" s="111">
        <f>[12]GHG_hist!CA100+IF($M110="incl",[12]LULUCF_hist!DR100,0)</f>
        <v>32.521359699999998</v>
      </c>
      <c r="AO110" s="111">
        <f>[12]GHG_hist!CB100+IF($M110="incl",[12]LULUCF_hist!DS100,0)</f>
        <v>34.298895000000002</v>
      </c>
      <c r="AP110" s="111">
        <f>[12]GHG_hist!CC100+IF($M110="incl",[12]LULUCF_hist!DT100,0)</f>
        <v>31.260397623611144</v>
      </c>
      <c r="AQ110" s="111">
        <f>[12]GHG_hist!CD100+IF($M110="incl",[12]LULUCF_hist!DU100,0)</f>
        <v>31.055328989987014</v>
      </c>
      <c r="AR110" s="111">
        <f>[12]GHG_hist!CE100+IF($M110="incl",[12]LULUCF_hist!DV100,0)</f>
        <v>30.128522356362911</v>
      </c>
      <c r="AS110" s="111">
        <f>[12]GHG_hist!CF100+IF($M110="incl",[12]LULUCF_hist!DW100,0)</f>
        <v>31.323069722738779</v>
      </c>
      <c r="AT110" s="161">
        <f>VLOOKUP($L110,'[12]IMAGE SSP2'!$AF$3:$AK$29,4,FALSE)*$AM110</f>
        <v>37.933970418223481</v>
      </c>
      <c r="AU110" s="162">
        <f>VLOOKUP($L110,'[12]IMAGE SSP2'!$AF$3:$AK$29,5,FALSE)*$AM110</f>
        <v>41.113697128551571</v>
      </c>
      <c r="AV110" s="163">
        <f>VLOOKUP($L110,'[12]IMAGE SSP2'!$AF$3:$AK$29,6,FALSE)*$AM110</f>
        <v>43.530956470627451</v>
      </c>
      <c r="AW110" s="111">
        <f>IF(A110="B",AM110+(AX110-AM110)*0.33333,"")</f>
        <v>38.180305567345258</v>
      </c>
      <c r="AX110" s="164">
        <f>[12]NDCs!$U$112</f>
        <v>46.315789473684212</v>
      </c>
      <c r="AY110" s="111" t="str">
        <f>IF('[12]Pledge 2020'!E100="","",'[12]Pledge 2020'!E100)</f>
        <v/>
      </c>
      <c r="AZ110" s="164" t="str">
        <f>IF('[12]Pledge 2020'!F100="","",'[12]Pledge 2020'!F100)</f>
        <v/>
      </c>
      <c r="BA110" s="111">
        <f t="shared" si="51"/>
        <v>40.504089069999999</v>
      </c>
      <c r="BB110" s="111">
        <f>IF(BF110="","",(BF110-AH110)*0.75+AH110)</f>
        <v>40.504089069999999</v>
      </c>
      <c r="BC110" s="111">
        <f t="shared" si="52"/>
        <v>31.472510122631576</v>
      </c>
      <c r="BD110" s="111">
        <f t="shared" si="88"/>
        <v>31.472510122631576</v>
      </c>
      <c r="BE110" s="169">
        <v>44</v>
      </c>
      <c r="BF110" s="169">
        <v>44</v>
      </c>
      <c r="BG110" s="169">
        <v>31.957894736842103</v>
      </c>
      <c r="BH110" s="170">
        <v>31.957894736842103</v>
      </c>
      <c r="BI110" s="111">
        <f>IF([12]NDCs!V112="",IF([12]NDCs!X112="","",[12]NDCs!X112),[12]NDCs!V112)</f>
        <v>50.26258</v>
      </c>
      <c r="BJ110" s="111">
        <f>IF([12]NDCs!V112="",IF([12]NDCs!X112="","",[12]NDCs!X112),[12]NDCs!V112)</f>
        <v>50.26258</v>
      </c>
      <c r="BK110" s="111">
        <f>IF([12]NDCs!Z112="",IF([12]NDCs!AB112="",IF('input site'!BE110="","",'input site'!BE110),[12]NDCs!AB112),[12]NDCs!Z112)</f>
        <v>43.884079999999997</v>
      </c>
      <c r="BL110" s="111">
        <f>IF([12]NDCs!AA112="",IF([12]NDCs!AC112="",IF('input site'!BF110="","",'input site'!BF110),[12]NDCs!AC112),[12]NDCs!AA112)</f>
        <v>43.884079999999997</v>
      </c>
      <c r="BM110" s="111">
        <f>IF($BI$8=2015,VLOOKUP($L110,'[12]IMAGE CurPol SSP'!$AZ$3:$BD$29,4,FALSE)*$AM110,IF($BI$8=2018,VLOOKUP($L110,'[12]IMAGE CurPol SSP'!$BJ$3:$BN$29,4,FALSE)*$AP110,$AR110))</f>
        <v>30.128522356362911</v>
      </c>
      <c r="BN110" s="111">
        <f t="shared" ref="BN110:BO110" si="89">IF($BI$8=2015,"",IF($BI$8=2018,"",$AR110))</f>
        <v>30.128522356362911</v>
      </c>
      <c r="BO110" s="111">
        <f t="shared" si="89"/>
        <v>30.128522356362911</v>
      </c>
      <c r="BP110" s="111">
        <f>IF($BI$8=2015,VLOOKUP($L110,'[12]IMAGE CurPol SSP'!$AZ$3:$BD$29,5,FALSE)*$AM110,IF($BI$8=2018,VLOOKUP($L110,'[12]IMAGE CurPol SSP'!$BJ$3:$BN$29,5,FALSE)*$AP110,VLOOKUP($L110,'[12]IMAGE CurPol SSP'!$BU$3:$BZ$29,5,FALSE)*$AS110))</f>
        <v>31.113694236610552</v>
      </c>
      <c r="BQ110" s="111">
        <f>IF($BI$8=2015,"",IF($BI$8=2018,"",VLOOKUP($L110,'[12]IMAGE CurPol SSP'!$CQ$3:$CV$29,5,FALSE)*$AS110))</f>
        <v>30.810035510878816</v>
      </c>
      <c r="BR110" s="111">
        <f>IF($BI$8=2015,"",IF($BI$8=2018,"",VLOOKUP($L110,'[12]IMAGE CurPol SSP'!$CF$3:$CK$29,5,FALSE)*$AS110))</f>
        <v>31.690311349992989</v>
      </c>
      <c r="BS110" s="111">
        <f>IF($BI$8=2015,VLOOKUP($L110,'[12]IMAGE CurPol SSP'!$AZ$3:$BE$29,6,FALSE)*$AM110,IF($BI$8=2018,VLOOKUP($L110,'[12]IMAGE CurPol SSP'!$BJ$3:$BO$29,6,FALSE)*$AP110,VLOOKUP($L110,'[12]IMAGE CurPol SSP'!$BU$3:$BZ$29,6,FALSE)*$AS110))</f>
        <v>31.102926103815118</v>
      </c>
      <c r="BT110" s="111">
        <f>IF($BI$8=2015,"",IF($BI$8=2018,"",VLOOKUP($L110,'[12]IMAGE CurPol SSP'!$CQ$3:$CV$29,6,FALSE)*$AS110))</f>
        <v>30.381851118707548</v>
      </c>
      <c r="BU110" s="164">
        <f>IF($BI$8=2015,"",IF($BI$8=2018,"",VLOOKUP($L110,'[12]IMAGE CurPol SSP'!$CF$3:$CK$29,6,FALSE)*$AS110))</f>
        <v>32.257210111825728</v>
      </c>
      <c r="CN110" t="s">
        <v>249</v>
      </c>
      <c r="CO110" s="165">
        <f t="shared" si="69"/>
        <v>0.41465789595284774</v>
      </c>
      <c r="CP110" s="165">
        <f t="shared" si="69"/>
        <v>0.41465789595284774</v>
      </c>
      <c r="CQ110" s="165">
        <f t="shared" si="69"/>
        <v>2.7488366534173636E-2</v>
      </c>
      <c r="CR110" s="165">
        <f t="shared" si="65"/>
        <v>2.7488366534173636E-2</v>
      </c>
      <c r="CS110" s="159"/>
      <c r="CU110" s="159"/>
      <c r="CV110" s="125" t="s">
        <v>621</v>
      </c>
      <c r="CW110" s="125" t="s">
        <v>621</v>
      </c>
      <c r="CX110" s="159"/>
      <c r="CY110" s="167">
        <f t="shared" si="70"/>
        <v>7.8054480618605702</v>
      </c>
      <c r="CZ110" s="159"/>
      <c r="DB110" s="106"/>
      <c r="DC110" s="106"/>
      <c r="DD110" s="106"/>
      <c r="DE110" s="106"/>
      <c r="DF110" s="106"/>
      <c r="DG110" s="105" t="str">
        <f t="shared" si="71"/>
        <v>incl</v>
      </c>
      <c r="DH110" t="s">
        <v>249</v>
      </c>
      <c r="DI110" s="111">
        <f>IF(AY110="",$BM110,AY110)-$BM110</f>
        <v>0</v>
      </c>
      <c r="DJ110" s="111">
        <f>IF(AZ110="",$BM110,AZ110)-$BM110</f>
        <v>0</v>
      </c>
      <c r="DK110" s="111">
        <f>IF(BA110="",$BP110,BA110)-$BP110</f>
        <v>9.3903948333894469</v>
      </c>
      <c r="DL110" s="111">
        <f>IF(BC110="",$BP110,BC110)-$BP110</f>
        <v>0.35881588602102354</v>
      </c>
      <c r="DM110" s="111">
        <f>IF(BE110="",$BS110,BE110)-$BS110</f>
        <v>12.897073896184882</v>
      </c>
      <c r="DN110" s="111">
        <f>IF(BG110="",$BS110,BG110)-$BS110</f>
        <v>0.854968633026985</v>
      </c>
      <c r="DO110" s="111">
        <f>IF(BI110="",$BS110,BI110)-$BS110</f>
        <v>19.159653896184881</v>
      </c>
      <c r="DP110" s="111">
        <f>IF(BK110="",$BS110,BK110)-$BS110</f>
        <v>12.781153896184879</v>
      </c>
      <c r="DQ110" s="106"/>
      <c r="DR110" s="106"/>
      <c r="DS110" s="111">
        <f>[12]GHG_hist!BZ100+IF($M110="incl",[12]LULUCF_hist!DQ100,0)</f>
        <v>34.112624629999999</v>
      </c>
      <c r="DT110" s="168">
        <f>IF($M110="incl",'[12]IIASA Proj'!EQ100,0)</f>
        <v>-8.5332731280369445E-2</v>
      </c>
      <c r="DW110" s="111">
        <f t="shared" si="72"/>
        <v>44</v>
      </c>
      <c r="DX110" s="111">
        <f t="shared" si="72"/>
        <v>44</v>
      </c>
      <c r="DY110" s="111">
        <f t="shared" si="72"/>
        <v>31.957894736842103</v>
      </c>
      <c r="DZ110" s="111">
        <f t="shared" si="66"/>
        <v>31.957894736842103</v>
      </c>
      <c r="EP110" t="s">
        <v>249</v>
      </c>
      <c r="EQ110">
        <v>0</v>
      </c>
      <c r="ER110" s="111">
        <f t="shared" si="73"/>
        <v>31.260397623611144</v>
      </c>
      <c r="ES110" s="111">
        <f>IF($BI$8=2015,VLOOKUP($L110,'[12]IMAGE CDLINKS CurPol'!$P$3:$Y$29,10,FALSE)*$AM110,VLOOKUP($L110,'[12]IMAGE CDLINKS CurPol'!$Z$3:$AI$29,10,FALSE)*$AP110)</f>
        <v>46.77455927646465</v>
      </c>
      <c r="ET110" s="111">
        <f t="shared" si="86"/>
        <v>46.77455927646465</v>
      </c>
      <c r="EU110" s="111">
        <f t="shared" si="76"/>
        <v>15.738739927132135</v>
      </c>
      <c r="EV110" s="111">
        <f>IF($BI$8=2015,VLOOKUP($L110,'[12]IMAGE CDLINKS 2C'!$P$3:$Y$29,10,FALSE)*$AM110,VLOOKUP($L110,'[12]IMAGE CDLINKS 2C'!$Z$3:$AI$29,10,FALSE)*$AP110)</f>
        <v>15.738739927132135</v>
      </c>
      <c r="EY110" s="111">
        <f t="shared" si="77"/>
        <v>2.7415152219006971</v>
      </c>
      <c r="EZ110" s="111">
        <f>IF($BI$8=2015,VLOOKUP($L110,'[12]IMAGE CDLINKS 1_5C'!$P$3:$Y$29,10,FALSE)*$AM110,VLOOKUP($L110,'[12]IMAGE CDLINKS 1_5C'!$Z$3:$AI$29,10,FALSE)*$AP110)</f>
        <v>2.7415152219006971</v>
      </c>
      <c r="FA110" s="192"/>
    </row>
    <row r="111" spans="1:157" x14ac:dyDescent="0.25">
      <c r="A111" t="str">
        <f>IF([12]NDCs!C113="","",[12]NDCs!C113)</f>
        <v>A</v>
      </c>
      <c r="B111" s="159" t="str">
        <f t="shared" si="67"/>
        <v>iv</v>
      </c>
      <c r="C111">
        <v>0</v>
      </c>
      <c r="D111">
        <v>0</v>
      </c>
      <c r="E111">
        <v>0</v>
      </c>
      <c r="F111">
        <v>1</v>
      </c>
      <c r="G111" t="b">
        <f t="shared" si="68"/>
        <v>1</v>
      </c>
      <c r="H111" t="s">
        <v>2335</v>
      </c>
      <c r="I111" t="s">
        <v>251</v>
      </c>
      <c r="J111">
        <v>398</v>
      </c>
      <c r="K111">
        <v>100</v>
      </c>
      <c r="L111">
        <v>15</v>
      </c>
      <c r="M111" t="str">
        <f>IF([12]NDCs!AL113="Excluding","excl","incl")</f>
        <v>incl</v>
      </c>
      <c r="N111" s="188">
        <f>IF($M111="incl",[12]KAZ!E$41,[12]KAZ!E$37)</f>
        <v>381.69478369090035</v>
      </c>
      <c r="O111" s="188">
        <f>IF($M111="incl",[12]KAZ!F$41,[12]KAZ!F$37)</f>
        <v>371.84823339120732</v>
      </c>
      <c r="P111" s="188">
        <f>IF($M111="incl",[12]KAZ!G$41,[12]KAZ!G$37)</f>
        <v>350.63887327901699</v>
      </c>
      <c r="Q111" s="188">
        <f>IF($M111="incl",[12]KAZ!H$41,[12]KAZ!H$37)</f>
        <v>319.09032353748262</v>
      </c>
      <c r="R111" s="188">
        <f>IF($M111="incl",[12]KAZ!I$41,[12]KAZ!I$37)</f>
        <v>277.54099646345765</v>
      </c>
      <c r="S111" s="188">
        <f>IF($M111="incl",[12]KAZ!J$41,[12]KAZ!J$37)</f>
        <v>266.55342049190659</v>
      </c>
      <c r="T111" s="188">
        <f>IF($M111="incl",[12]KAZ!K$41,[12]KAZ!K$37)</f>
        <v>254.47583292030001</v>
      </c>
      <c r="U111" s="188">
        <f>IF($M111="incl",[12]KAZ!L$41,[12]KAZ!L$37)</f>
        <v>253.30821662169899</v>
      </c>
      <c r="V111" s="188">
        <f>IF($M111="incl",[12]KAZ!M$41,[12]KAZ!M$37)</f>
        <v>254.2123312047093</v>
      </c>
      <c r="W111" s="188">
        <f>IF($M111="incl",[12]KAZ!N$41,[12]KAZ!N$37)</f>
        <v>235.863268150919</v>
      </c>
      <c r="X111" s="188">
        <f>IF($M111="incl",[12]KAZ!O$41,[12]KAZ!O$37)</f>
        <v>272.7609846631637</v>
      </c>
      <c r="Y111" s="188">
        <f>IF($M111="incl",[12]KAZ!P$41,[12]KAZ!P$37)</f>
        <v>263.84220060299572</v>
      </c>
      <c r="Z111" s="188">
        <f>IF($M111="incl",[12]KAZ!Q$41,[12]KAZ!Q$37)</f>
        <v>284.7139990341193</v>
      </c>
      <c r="AA111" s="188">
        <f>IF($M111="incl",[12]KAZ!R$41,[12]KAZ!R$37)</f>
        <v>301.7509838360333</v>
      </c>
      <c r="AB111" s="188">
        <f>IF($M111="incl",[12]KAZ!S$41,[12]KAZ!S$37)</f>
        <v>303.21073703829666</v>
      </c>
      <c r="AC111" s="188">
        <f>IF($M111="incl",[12]KAZ!T$41,[12]KAZ!T$37)</f>
        <v>311.41400664862067</v>
      </c>
      <c r="AD111" s="188">
        <f>IF($M111="incl",[12]KAZ!U$41,[12]KAZ!U$37)</f>
        <v>324.46471481217475</v>
      </c>
      <c r="AE111" s="188">
        <f>IF($M111="incl",[12]KAZ!V$41,[12]KAZ!V$37)</f>
        <v>320.22333311471527</v>
      </c>
      <c r="AF111" s="188">
        <f>IF($M111="incl",[12]KAZ!W$41,[12]KAZ!W$37)</f>
        <v>312.14334873464463</v>
      </c>
      <c r="AG111" s="188">
        <f>IF($M111="incl",[12]KAZ!X$41,[12]KAZ!X$37)</f>
        <v>296.920734160503</v>
      </c>
      <c r="AH111" s="188">
        <f>IF($M111="incl",[12]KAZ!Y$41,[12]KAZ!Y$37)</f>
        <v>315.7674229757576</v>
      </c>
      <c r="AI111" s="188">
        <f>IF($M111="incl",[12]KAZ!Z$41,[12]KAZ!Z$37)</f>
        <v>302.46156729818961</v>
      </c>
      <c r="AJ111" s="188">
        <f>IF($M111="incl",[12]KAZ!AA$41,[12]KAZ!AA$37)</f>
        <v>303.4137839830783</v>
      </c>
      <c r="AK111" s="188">
        <f>IF($M111="incl",[12]KAZ!AB$41,[12]KAZ!AB$37)</f>
        <v>306.87671409359501</v>
      </c>
      <c r="AL111" s="188">
        <f>IF($M111="incl",[12]KAZ!AC$41,[12]KAZ!AC$37)</f>
        <v>355.79706481607832</v>
      </c>
      <c r="AM111" s="188">
        <f>IF($M111="incl",[12]KAZ!AD$41,[12]KAZ!AD$37)</f>
        <v>361.16926951507003</v>
      </c>
      <c r="AN111" s="188">
        <f>IF($M111="incl",[12]KAZ!AE$41,[12]KAZ!AE$37)</f>
        <v>366.78429966908203</v>
      </c>
      <c r="AO111" s="188">
        <f>IF($M111="incl",[12]KAZ!AF$41,[12]KAZ!AF$37)</f>
        <v>385.84510314909102</v>
      </c>
      <c r="AP111" s="188">
        <f>IF($M111="incl",[12]KAZ!AG$41,[12]KAZ!AG$37)</f>
        <v>401.66176123039867</v>
      </c>
      <c r="AQ111" s="188">
        <f>IF($M111="incl",[12]KAZ!AH$41,[12]KAZ!AH$37)</f>
        <v>364.68016693996935</v>
      </c>
      <c r="AR111" s="188">
        <f>IF($M111="incl",[12]KAZ!AI$41,[12]KAZ!AI$37)</f>
        <v>342.86878828092199</v>
      </c>
      <c r="AS111" s="188">
        <f>IF($M111="incl",[12]KAZ!AJ$41,[12]KAZ!AJ$37)</f>
        <v>356.68552666355902</v>
      </c>
      <c r="AT111" s="189">
        <f>AR111</f>
        <v>342.86878828092199</v>
      </c>
      <c r="AU111" s="111">
        <f>[12]KAZ!AN23</f>
        <v>433.38327314909105</v>
      </c>
      <c r="AV111" s="164">
        <f>[12]KAZ!AS23</f>
        <v>462.97107314909101</v>
      </c>
      <c r="AW111" s="111" t="str">
        <f t="shared" si="75"/>
        <v/>
      </c>
      <c r="AX111" s="164" t="str">
        <f>IF(A111="B",IF(M111="excl",[12]NatCom!CO101,[12]NatCom!AX101),"")</f>
        <v/>
      </c>
      <c r="AY111" s="111">
        <f>IF('[12]Pledge 2020'!E101="","",'[12]Pledge 2020'!E101)</f>
        <v>354.97614883253732</v>
      </c>
      <c r="AZ111" s="164">
        <f>IF('[12]Pledge 2020'!F101="","",'[12]Pledge 2020'!F101)</f>
        <v>324.44056613726531</v>
      </c>
      <c r="BA111" s="111">
        <f>[12]KAZ!X10</f>
        <v>314.93160574393943</v>
      </c>
      <c r="BB111" s="111">
        <f>IF(BF111="","",(BF111-AH111)*0.75+AH111)</f>
        <v>314.93160574393943</v>
      </c>
      <c r="BC111" s="111">
        <f>[12]KAZ!Y10</f>
        <v>287.16810574393941</v>
      </c>
      <c r="BD111" s="111">
        <f t="shared" si="88"/>
        <v>287.16810574393941</v>
      </c>
      <c r="BE111" s="111">
        <v>314.65300000000002</v>
      </c>
      <c r="BF111" s="111">
        <v>314.65300000000002</v>
      </c>
      <c r="BG111" s="111">
        <v>277.63499999999999</v>
      </c>
      <c r="BH111" s="164">
        <v>277.63499999999999</v>
      </c>
      <c r="BI111" s="111">
        <f>IF([12]NDCs!V113="",IF([12]NDCs!X113="","",[12]NDCs!X113),[12]NDCs!V113)</f>
        <v>314.65300000000002</v>
      </c>
      <c r="BJ111" s="111">
        <f>IF([12]NDCs!V113="",IF([12]NDCs!X113="","",[12]NDCs!X113),[12]NDCs!V113)</f>
        <v>314.65300000000002</v>
      </c>
      <c r="BK111" s="111">
        <f>IF([12]NDCs!Z113="",IF([12]NDCs!AB113="",IF('input site'!BE111="","",'input site'!BE111),[12]NDCs!AB113),[12]NDCs!Z113)</f>
        <v>277.63499999999999</v>
      </c>
      <c r="BL111" s="111">
        <f>IF([12]NDCs!AA113="",IF([12]NDCs!AC113="",IF('input site'!BF111="","",'input site'!BF111),[12]NDCs!AC113),[12]NDCs!AA113)</f>
        <v>277.63499999999999</v>
      </c>
      <c r="BM111" s="215">
        <f>[12]KAZ!AB$5</f>
        <v>342.86878828092199</v>
      </c>
      <c r="BN111" s="177">
        <f>[12]KAZ!AB7</f>
        <v>342.86878828092199</v>
      </c>
      <c r="BO111" s="177">
        <f>[12]KAZ!AB6</f>
        <v>342.86878828092199</v>
      </c>
      <c r="BP111" s="215">
        <f>[12]KAZ!AC$5</f>
        <v>383.60756650000002</v>
      </c>
      <c r="BQ111" s="177">
        <f>[12]KAZ!AC$7</f>
        <v>375.89905004771401</v>
      </c>
      <c r="BR111" s="177">
        <f>[12]KAZ!AC$6</f>
        <v>383.60756650000002</v>
      </c>
      <c r="BS111" s="215">
        <f>[12]KAZ!AD$5</f>
        <v>425.6865967</v>
      </c>
      <c r="BT111" s="177">
        <f>[12]KAZ!AD$7</f>
        <v>392.79152413854098</v>
      </c>
      <c r="BU111" s="177">
        <f>[12]KAZ!AD$6</f>
        <v>425.6865967</v>
      </c>
      <c r="CN111" t="s">
        <v>251</v>
      </c>
      <c r="CO111" s="165">
        <f t="shared" si="69"/>
        <v>-0.26083413845010073</v>
      </c>
      <c r="CP111" s="165">
        <f t="shared" si="69"/>
        <v>-0.26083413845010073</v>
      </c>
      <c r="CQ111" s="165">
        <f t="shared" si="69"/>
        <v>-0.34779482804420658</v>
      </c>
      <c r="CR111" s="165">
        <f t="shared" si="65"/>
        <v>-0.34779482804420658</v>
      </c>
      <c r="CS111" s="185">
        <f>IF(BE111&lt;=MIN(BS111:BU111),0,1)</f>
        <v>0</v>
      </c>
      <c r="CT111" s="185">
        <f>IF(BG111&lt;=MIN(BS111:BU111),0,1)</f>
        <v>0</v>
      </c>
      <c r="CU111">
        <f>IF(BS111&lt;=MAX(N111,AH111),1,0)</f>
        <v>0</v>
      </c>
      <c r="CV111" s="126" t="str">
        <f>IF(CS111=1,IF(CU111=1,"i","ii"),IF(CU111=1,"iii","iv"))</f>
        <v>iv</v>
      </c>
      <c r="CW111" s="126" t="str">
        <f>IF(CT111=1,IF(CU111=1,"i","ii"),IF(CU111=1,"iii","iv"))</f>
        <v>iv</v>
      </c>
      <c r="CX111"/>
      <c r="CY111" s="167">
        <f t="shared" si="70"/>
        <v>0</v>
      </c>
      <c r="DB111" s="106"/>
      <c r="DC111" s="187">
        <f>MAX(BA111-$AU111,0)</f>
        <v>0</v>
      </c>
      <c r="DD111" s="187">
        <f>MAX(BC111-$AU111,0)</f>
        <v>0</v>
      </c>
      <c r="DE111" s="187">
        <f>[12]KAZ!T18</f>
        <v>0</v>
      </c>
      <c r="DF111" s="187">
        <f>[12]KAZ!U18</f>
        <v>0</v>
      </c>
      <c r="DG111" s="105" t="str">
        <f t="shared" si="71"/>
        <v>incl</v>
      </c>
      <c r="DH111" t="s">
        <v>251</v>
      </c>
      <c r="DI111" s="127"/>
      <c r="DJ111" s="127"/>
      <c r="DK111" s="127"/>
      <c r="DL111" s="127"/>
      <c r="DM111" s="127"/>
      <c r="DN111" s="127"/>
      <c r="DO111" s="127"/>
      <c r="DP111" s="127"/>
      <c r="DQ111" s="187">
        <f>[12]KAZ!BA$18</f>
        <v>0</v>
      </c>
      <c r="DR111" s="187">
        <f>[12]KAZ!BB$18</f>
        <v>0</v>
      </c>
      <c r="DS111" s="111"/>
      <c r="DT111" s="168"/>
      <c r="DW111" s="111">
        <f t="shared" si="72"/>
        <v>314.65300000000002</v>
      </c>
      <c r="DX111" s="111">
        <f t="shared" si="72"/>
        <v>314.65300000000002</v>
      </c>
      <c r="DY111" s="111">
        <f t="shared" si="72"/>
        <v>277.63499999999999</v>
      </c>
      <c r="DZ111" s="111">
        <f t="shared" si="66"/>
        <v>277.63499999999999</v>
      </c>
      <c r="EP111" t="s">
        <v>251</v>
      </c>
      <c r="EQ111">
        <v>4</v>
      </c>
      <c r="ER111" s="111">
        <f t="shared" si="73"/>
        <v>401.66176123039867</v>
      </c>
      <c r="ES111" s="111">
        <f>IF($BI$8=2015,VLOOKUP($L111,'[12]IMAGE CDLINKS CurPol'!$P$3:$Y$29,10,FALSE)*$AM111,VLOOKUP($L111,'[12]IMAGE CDLINKS CurPol'!$Z$3:$AI$29,10,FALSE)*$AP111)</f>
        <v>539.01412287953428</v>
      </c>
      <c r="ET111" s="111">
        <f t="shared" si="86"/>
        <v>148.072</v>
      </c>
      <c r="EU111" s="111">
        <f t="shared" si="76"/>
        <v>148.072</v>
      </c>
      <c r="EV111" s="111">
        <f>IF($BI$8=2015,VLOOKUP($L111,'[12]IMAGE CDLINKS 2C'!$P$3:$Y$29,10,FALSE)*$AM111,VLOOKUP($L111,'[12]IMAGE CDLINKS 2C'!$Z$3:$AI$29,10,FALSE)*$AP111)</f>
        <v>181.58881056176881</v>
      </c>
      <c r="EW111" s="216">
        <f>[12]KAZ!$AM$9</f>
        <v>148.072</v>
      </c>
      <c r="EY111" s="111">
        <f t="shared" si="77"/>
        <v>148.072</v>
      </c>
      <c r="EZ111" s="111">
        <f>IF($BI$8=2015,VLOOKUP($L111,'[12]IMAGE CDLINKS 1_5C'!$P$3:$Y$29,10,FALSE)*$AM111,VLOOKUP($L111,'[12]IMAGE CDLINKS 1_5C'!$Z$3:$AI$29,10,FALSE)*$AP111)</f>
        <v>115.36451449480445</v>
      </c>
      <c r="FA111" s="192" t="s">
        <v>2346</v>
      </c>
    </row>
    <row r="112" spans="1:157" x14ac:dyDescent="0.25">
      <c r="A112" t="str">
        <f>IF([12]NDCs!C114="","",[12]NDCs!C114)</f>
        <v>B</v>
      </c>
      <c r="B112" s="159" t="str">
        <f t="shared" si="67"/>
        <v>v</v>
      </c>
      <c r="C112">
        <v>0</v>
      </c>
      <c r="D112">
        <v>0</v>
      </c>
      <c r="E112">
        <v>0</v>
      </c>
      <c r="F112">
        <v>1</v>
      </c>
      <c r="G112" t="b">
        <f t="shared" si="68"/>
        <v>1</v>
      </c>
      <c r="H112" t="s">
        <v>2328</v>
      </c>
      <c r="I112" t="s">
        <v>253</v>
      </c>
      <c r="J112">
        <v>404</v>
      </c>
      <c r="K112">
        <v>102</v>
      </c>
      <c r="L112">
        <v>9</v>
      </c>
      <c r="M112" t="str">
        <f>IF([12]NDCs!AL114="Excluding","excl","incl")</f>
        <v>incl</v>
      </c>
      <c r="N112" s="160">
        <f>[12]GHG_hist!BA102+IF($M112="incl",[12]LULUCF_hist!CR102,0)</f>
        <v>13.920702699999996</v>
      </c>
      <c r="O112" s="111">
        <f>[12]GHG_hist!BB102+IF($M112="incl",[12]LULUCF_hist!CS102,0)</f>
        <v>12.122993700000006</v>
      </c>
      <c r="P112" s="111">
        <f>[12]GHG_hist!BC102+IF($M112="incl",[12]LULUCF_hist!CT102,0)</f>
        <v>12.940846699999998</v>
      </c>
      <c r="Q112" s="111">
        <f>[12]GHG_hist!BD102+IF($M112="incl",[12]LULUCF_hist!CU102,0)</f>
        <v>13.652508700000002</v>
      </c>
      <c r="R112" s="111">
        <f>[12]GHG_hist!BE102+IF($M112="incl",[12]LULUCF_hist!CV102,0)</f>
        <v>14.312365699999997</v>
      </c>
      <c r="S112" s="111">
        <f>[12]GHG_hist!BF102+IF($M112="incl",[12]LULUCF_hist!CW102,0)</f>
        <v>53.006723000000001</v>
      </c>
      <c r="T112" s="111">
        <f>[12]GHG_hist!BG102+IF($M112="incl",[12]LULUCF_hist!CX102,0)</f>
        <v>55.520660000000007</v>
      </c>
      <c r="U112" s="111">
        <f>[12]GHG_hist!BH102+IF($M112="incl",[12]LULUCF_hist!CY102,0)</f>
        <v>56.360211999999997</v>
      </c>
      <c r="V112" s="111">
        <f>[12]GHG_hist!BI102+IF($M112="incl",[12]LULUCF_hist!CZ102,0)</f>
        <v>63.390440999999996</v>
      </c>
      <c r="W112" s="111">
        <f>[12]GHG_hist!BJ102+IF($M112="incl",[12]LULUCF_hist!DA102,0)</f>
        <v>64.40125900000001</v>
      </c>
      <c r="X112" s="111">
        <f>[12]GHG_hist!BK102+IF($M112="incl",[12]LULUCF_hist!DB102,0)</f>
        <v>63.977328999999997</v>
      </c>
      <c r="Y112" s="111">
        <f>[12]GHG_hist!BL102+IF($M112="incl",[12]LULUCF_hist!DC102,0)</f>
        <v>63.314948000000001</v>
      </c>
      <c r="Z112" s="111">
        <f>[12]GHG_hist!BM102+IF($M112="incl",[12]LULUCF_hist!DD102,0)</f>
        <v>63.337203000000002</v>
      </c>
      <c r="AA112" s="111">
        <f>[12]GHG_hist!BN102+IF($M112="incl",[12]LULUCF_hist!DE102,0)</f>
        <v>64.882829000000001</v>
      </c>
      <c r="AB112" s="111">
        <f>[12]GHG_hist!BO102+IF($M112="incl",[12]LULUCF_hist!DF102,0)</f>
        <v>66.526729999999986</v>
      </c>
      <c r="AC112" s="111">
        <f>[12]GHG_hist!BP102+IF($M112="incl",[12]LULUCF_hist!DG102,0)</f>
        <v>67.820627000000002</v>
      </c>
      <c r="AD112" s="111">
        <f>[12]GHG_hist!BQ102+IF($M112="incl",[12]LULUCF_hist!DH102,0)</f>
        <v>67.316721000000001</v>
      </c>
      <c r="AE112" s="111">
        <f>[12]GHG_hist!BR102+IF($M112="incl",[12]LULUCF_hist!DI102,0)</f>
        <v>83.982260999999994</v>
      </c>
      <c r="AF112" s="111">
        <f>[12]GHG_hist!BS102+IF($M112="incl",[12]LULUCF_hist!DJ102,0)</f>
        <v>82.577965000000006</v>
      </c>
      <c r="AG112" s="111">
        <f>[12]GHG_hist!BT102+IF($M112="incl",[12]LULUCF_hist!DK102,0)</f>
        <v>83.100786999999997</v>
      </c>
      <c r="AH112" s="111">
        <f>[12]GHG_hist!BU102+IF($M112="incl",[12]LULUCF_hist!DL102,0)</f>
        <v>83.557349000000002</v>
      </c>
      <c r="AI112" s="111">
        <f>[12]GHG_hist!BV102+IF($M112="incl",[12]LULUCF_hist!DM102,0)</f>
        <v>100.68737333809501</v>
      </c>
      <c r="AJ112" s="111">
        <f>[12]GHG_hist!BW102+IF($M112="incl",[12]LULUCF_hist!DN102,0)</f>
        <v>105.08517996406913</v>
      </c>
      <c r="AK112" s="111">
        <f>[12]GHG_hist!BX102+IF($M112="incl",[12]LULUCF_hist!DO102,0)</f>
        <v>106.46541859004326</v>
      </c>
      <c r="AL112" s="111">
        <f>[12]GHG_hist!BY102+IF($M112="incl",[12]LULUCF_hist!DP102,0)</f>
        <v>110.81009221601738</v>
      </c>
      <c r="AM112" s="111">
        <f>[12]GHG_hist!BZ102+IF($M112="incl",[12]LULUCF_hist!DQ102,0)</f>
        <v>117.00504484199152</v>
      </c>
      <c r="AN112" s="111">
        <f>[12]GHG_hist!CA102+IF($M112="incl",[12]LULUCF_hist!DR102,0)</f>
        <v>124.23460346796654</v>
      </c>
      <c r="AO112" s="111">
        <f>[12]GHG_hist!CB102+IF($M112="incl",[12]LULUCF_hist!DS102,0)</f>
        <v>123.35094209393976</v>
      </c>
      <c r="AP112" s="111">
        <f>[12]GHG_hist!CC102+IF($M112="incl",[12]LULUCF_hist!DT102,0)</f>
        <v>128.32383771991388</v>
      </c>
      <c r="AQ112" s="111">
        <f>[12]GHG_hist!CD102+IF($M112="incl",[12]LULUCF_hist!DU102,0)</f>
        <v>137.02493934588801</v>
      </c>
      <c r="AR112" s="111">
        <f>[12]GHG_hist!CE102+IF($M112="incl",[12]LULUCF_hist!DV102,0)</f>
        <v>140.23736097186213</v>
      </c>
      <c r="AS112" s="111">
        <f>[12]GHG_hist!CF102+IF($M112="incl",[12]LULUCF_hist!DW102,0)</f>
        <v>146.72881959783535</v>
      </c>
      <c r="AT112" s="171">
        <f>VLOOKUP($L112,'[12]IMAGE SSP2'!$AF$3:$AK$29,4,FALSE)*($AM112-'[12]IIASA Proj'!$EQ102)+('[12]IIASA Proj'!$EQ102+'[12]IIASA Proj'!$ER102)</f>
        <v>129.07968422442275</v>
      </c>
      <c r="AU112" s="172">
        <f>VLOOKUP($L112,'[12]IMAGE SSP2'!$AF$3:$AK$29,5,FALSE)*($AM112-'[12]IIASA Proj'!$EQ102)+('[12]IIASA Proj'!$EQ102+'[12]IIASA Proj'!$ES102)</f>
        <v>139.74122298106033</v>
      </c>
      <c r="AV112" s="173">
        <f>VLOOKUP($L112,'[12]IMAGE SSP2'!$AF$3:$AK$29,6,FALSE)*($AM112-'[12]IIASA Proj'!$EQ102)+('[12]IIASA Proj'!$EQ102+'[12]IIASA Proj'!$ET102)</f>
        <v>153.84643367394617</v>
      </c>
      <c r="AW112" s="111">
        <f>IF(A112="B",AM112+(AX112-AM112)*0.33333,"")</f>
        <v>125.66994324481048</v>
      </c>
      <c r="AX112" s="164">
        <f>IF(A112="B",IF(M112="excl",[12]NatCom!CO102,[12]NatCom!AX102),"")</f>
        <v>143</v>
      </c>
      <c r="AY112" s="111" t="str">
        <f>IF('[12]Pledge 2020'!E102="","",'[12]Pledge 2020'!E102)</f>
        <v/>
      </c>
      <c r="AZ112" s="164" t="str">
        <f>IF('[12]Pledge 2020'!F102="","",'[12]Pledge 2020'!F102)</f>
        <v/>
      </c>
      <c r="BA112" s="111" t="str">
        <f t="shared" si="51"/>
        <v/>
      </c>
      <c r="BB112" s="111"/>
      <c r="BC112" s="111">
        <f t="shared" si="52"/>
        <v>93.81933724999999</v>
      </c>
      <c r="BD112" s="111">
        <f t="shared" si="88"/>
        <v>93.81933724999999</v>
      </c>
      <c r="BE112" s="111" t="s">
        <v>2477</v>
      </c>
      <c r="BF112" s="111" t="s">
        <v>2477</v>
      </c>
      <c r="BG112" s="169">
        <v>97.24</v>
      </c>
      <c r="BH112" s="170">
        <v>97.24</v>
      </c>
      <c r="BI112" s="111" t="str">
        <f>IF([12]NDCs!V114="",IF([12]NDCs!X114="","",[12]NDCs!X114),[12]NDCs!V114)</f>
        <v/>
      </c>
      <c r="BJ112" s="111" t="str">
        <f>IF([12]NDCs!V114="",IF([12]NDCs!X114="","",[12]NDCs!X114),[12]NDCs!V114)</f>
        <v/>
      </c>
      <c r="BK112" s="111">
        <f>IF([12]NDCs!Z114="",IF([12]NDCs!AB114="",IF('input site'!BE112="","",'input site'!BE112),[12]NDCs!AB114),[12]NDCs!Z114)</f>
        <v>100.1</v>
      </c>
      <c r="BL112" s="111">
        <f>IF([12]NDCs!AA114="",IF([12]NDCs!AC114="",IF('input site'!BF112="","",'input site'!BF112),[12]NDCs!AC114),[12]NDCs!AA114)</f>
        <v>100.1</v>
      </c>
      <c r="BM112" s="205">
        <f>AR112</f>
        <v>140.23736097186213</v>
      </c>
      <c r="BN112" s="205">
        <f>BM112</f>
        <v>140.23736097186213</v>
      </c>
      <c r="BO112" s="205">
        <f>BN112</f>
        <v>140.23736097186213</v>
      </c>
      <c r="BP112" s="111">
        <f>IF($BI$8=2015,VLOOKUP($L112,'[12]IMAGE CurPol SSP'!$AZ$3:$BD$29,5,FALSE)*$AM112,VLOOKUP($L112,'[12]IMAGE CurPol SSP'!$BJ$3:$BN$29,5,FALSE)*$AP112)</f>
        <v>182.86675596221258</v>
      </c>
      <c r="BQ112" s="205">
        <f>[12]NatCom!$CJ102</f>
        <v>85</v>
      </c>
      <c r="BR112" s="205">
        <f>[12]NatCom!$CJ103</f>
        <v>87</v>
      </c>
      <c r="BS112" s="111">
        <f>IF($BI$8=2015,VLOOKUP($L112,'[12]IMAGE CurPol SSP'!$AZ$3:$BE$29,6,FALSE)*$AM112,VLOOKUP($L112,'[12]IMAGE CurPol SSP'!$BJ$3:$BO$29,6,FALSE)*$AP112)</f>
        <v>230.41371264824079</v>
      </c>
      <c r="BT112" s="205">
        <f>[12]NatCom!$CO102</f>
        <v>90</v>
      </c>
      <c r="BU112" s="205">
        <f>[12]NatCom!$CO103</f>
        <v>94</v>
      </c>
      <c r="CN112" t="s">
        <v>253</v>
      </c>
      <c r="CO112" s="165" t="str">
        <f t="shared" si="69"/>
        <v/>
      </c>
      <c r="CP112" s="165" t="str">
        <f t="shared" si="69"/>
        <v/>
      </c>
      <c r="CQ112" s="165">
        <f t="shared" si="69"/>
        <v>-0.57797650633558151</v>
      </c>
      <c r="CR112" s="165">
        <f t="shared" si="65"/>
        <v>-0.57797650633558151</v>
      </c>
      <c r="CS112" s="159"/>
      <c r="CU112" s="159"/>
      <c r="CV112" s="125" t="s">
        <v>621</v>
      </c>
      <c r="CW112" s="125" t="s">
        <v>621</v>
      </c>
      <c r="CX112" s="159"/>
      <c r="CY112" s="167">
        <f t="shared" si="70"/>
        <v>-11.157676747439382</v>
      </c>
      <c r="CZ112" s="159"/>
      <c r="DB112" s="106"/>
      <c r="DC112" s="106"/>
      <c r="DD112" s="106"/>
      <c r="DE112" s="106"/>
      <c r="DF112" s="106"/>
      <c r="DG112" s="105" t="str">
        <f t="shared" si="71"/>
        <v>incl</v>
      </c>
      <c r="DH112" t="s">
        <v>253</v>
      </c>
      <c r="DI112" s="111">
        <f t="shared" ref="DI112:DJ114" si="90">IF(AY112="",$BM112,AY112)-$BM112</f>
        <v>0</v>
      </c>
      <c r="DJ112" s="111">
        <f t="shared" si="90"/>
        <v>0</v>
      </c>
      <c r="DK112" s="111">
        <f>IF(BA112="",$BP112,BA112)-$BP112</f>
        <v>0</v>
      </c>
      <c r="DL112" s="111">
        <f>IF(BC112="",$BP112,BC112)-$BP112</f>
        <v>-89.04741871221259</v>
      </c>
      <c r="DM112" s="111">
        <f>IF(BE112="",$BS112,BE112)-$BS112</f>
        <v>0</v>
      </c>
      <c r="DN112" s="111">
        <f>IF(BG112="",$BS112,BG112)-$BS112</f>
        <v>-133.17371264824078</v>
      </c>
      <c r="DO112" s="111">
        <f>IF(BI112="",$BS112,BI112)-$BS112</f>
        <v>0</v>
      </c>
      <c r="DP112" s="111">
        <f>IF(BK112="",$BS112,BK112)-$BS112</f>
        <v>-130.3137126482408</v>
      </c>
      <c r="DQ112" s="106"/>
      <c r="DR112" s="106"/>
      <c r="DS112" s="217">
        <f>[12]BUR!AI102</f>
        <v>71</v>
      </c>
      <c r="DT112" s="178">
        <f>IF($M112="incl",'[12]IIASA Proj'!EQ102,0)</f>
        <v>49.105526093939936</v>
      </c>
      <c r="DW112" s="111">
        <f t="shared" si="72"/>
        <v>230.41371264824079</v>
      </c>
      <c r="DX112" s="111">
        <f t="shared" si="72"/>
        <v>230.41371264824079</v>
      </c>
      <c r="DY112" s="111">
        <f t="shared" si="72"/>
        <v>97.24</v>
      </c>
      <c r="DZ112" s="111">
        <f t="shared" si="66"/>
        <v>97.24</v>
      </c>
      <c r="EP112" t="s">
        <v>253</v>
      </c>
      <c r="EQ112">
        <v>4</v>
      </c>
      <c r="ER112" s="111">
        <f t="shared" si="73"/>
        <v>128.32383771991388</v>
      </c>
      <c r="ES112" s="111">
        <f>IF($BI$8=2015,VLOOKUP($L112,'[12]IMAGE CDLINKS CurPol'!$P$3:$Y$29,10,FALSE)*$AM112,VLOOKUP($L112,'[12]IMAGE CDLINKS CurPol'!$Z$3:$AI$29,10,FALSE)*$AP112)</f>
        <v>279.79255567867176</v>
      </c>
      <c r="ET112" s="111">
        <f t="shared" si="86"/>
        <v>0</v>
      </c>
      <c r="EU112" s="111">
        <f t="shared" si="76"/>
        <v>0</v>
      </c>
      <c r="EV112" s="111">
        <f>IF($BI$8=2015,VLOOKUP($L112,'[12]IMAGE CDLINKS 2C'!$P$3:$Y$29,10,FALSE)*$AM112,VLOOKUP($L112,'[12]IMAGE CDLINKS 2C'!$Z$3:$AI$29,10,FALSE)*$AP112)</f>
        <v>150.37560219008702</v>
      </c>
      <c r="EY112" s="111">
        <f t="shared" si="77"/>
        <v>0</v>
      </c>
      <c r="EZ112" s="111">
        <f>IF($BI$8=2015,VLOOKUP($L112,'[12]IMAGE CDLINKS 1_5C'!$P$3:$Y$29,10,FALSE)*$AM112,VLOOKUP($L112,'[12]IMAGE CDLINKS 1_5C'!$Z$3:$AI$29,10,FALSE)*$AP112)</f>
        <v>137.39414383493627</v>
      </c>
      <c r="FA112" s="192"/>
    </row>
    <row r="113" spans="1:157" x14ac:dyDescent="0.25">
      <c r="A113" t="str">
        <f>IF([12]NDCs!C115="","",[12]NDCs!C115)</f>
        <v>B</v>
      </c>
      <c r="B113" s="159" t="str">
        <f t="shared" si="67"/>
        <v>v</v>
      </c>
      <c r="C113">
        <v>0</v>
      </c>
      <c r="D113">
        <v>0</v>
      </c>
      <c r="E113">
        <v>0</v>
      </c>
      <c r="F113">
        <v>1</v>
      </c>
      <c r="G113" t="b">
        <f t="shared" si="68"/>
        <v>1</v>
      </c>
      <c r="H113" t="s">
        <v>2328</v>
      </c>
      <c r="I113" t="s">
        <v>255</v>
      </c>
      <c r="J113">
        <v>296</v>
      </c>
      <c r="K113">
        <v>76</v>
      </c>
      <c r="L113">
        <v>24</v>
      </c>
      <c r="M113" t="str">
        <f>IF([12]NDCs!AL115="Excluding","excl","incl")</f>
        <v>excl</v>
      </c>
      <c r="N113" s="160">
        <f>[12]GHG_hist!BA103+IF($M113="incl",[12]LULUCF_hist!CR103,0)</f>
        <v>2.9669029999999999E-2</v>
      </c>
      <c r="O113" s="111">
        <f>[12]GHG_hist!BB103+IF($M113="incl",[12]LULUCF_hist!CS103,0)</f>
        <v>2.9860590999999999E-2</v>
      </c>
      <c r="P113" s="111">
        <f>[12]GHG_hist!BC103+IF($M113="incl",[12]LULUCF_hist!CT103,0)</f>
        <v>3.2379125000000002E-2</v>
      </c>
      <c r="Q113" s="111">
        <f>[12]GHG_hist!BD103+IF($M113="incl",[12]LULUCF_hist!CU103,0)</f>
        <v>3.4878743000000004E-2</v>
      </c>
      <c r="R113" s="111">
        <f>[12]GHG_hist!BE103+IF($M113="incl",[12]LULUCF_hist!CV103,0)</f>
        <v>3.5014066000000003E-2</v>
      </c>
      <c r="S113" s="111">
        <f>[12]GHG_hist!BF103+IF($M113="incl",[12]LULUCF_hist!CW103,0)</f>
        <v>3.5451163000000001E-2</v>
      </c>
      <c r="T113" s="111">
        <f>[12]GHG_hist!BG103+IF($M113="incl",[12]LULUCF_hist!CX103,0)</f>
        <v>3.6047668999999997E-2</v>
      </c>
      <c r="U113" s="111">
        <f>[12]GHG_hist!BH103+IF($M113="incl",[12]LULUCF_hist!CY103,0)</f>
        <v>3.6512924000000002E-2</v>
      </c>
      <c r="V113" s="111">
        <f>[12]GHG_hist!BI103+IF($M113="incl",[12]LULUCF_hist!CZ103,0)</f>
        <v>3.7048679000000001E-2</v>
      </c>
      <c r="W113" s="111">
        <f>[12]GHG_hist!BJ103+IF($M113="incl",[12]LULUCF_hist!DA103,0)</f>
        <v>3.7474083999999998E-2</v>
      </c>
      <c r="X113" s="111">
        <f>[12]GHG_hist!BK103+IF($M113="incl",[12]LULUCF_hist!DB103,0)</f>
        <v>4.1133349000000007E-2</v>
      </c>
      <c r="Y113" s="111">
        <f>[12]GHG_hist!BL103+IF($M113="incl",[12]LULUCF_hist!DC103,0)</f>
        <v>3.9207985000000001E-2</v>
      </c>
      <c r="Z113" s="111">
        <f>[12]GHG_hist!BM103+IF($M113="incl",[12]LULUCF_hist!DD103,0)</f>
        <v>4.7354882000000008E-2</v>
      </c>
      <c r="AA113" s="111">
        <f>[12]GHG_hist!BN103+IF($M113="incl",[12]LULUCF_hist!DE103,0)</f>
        <v>5.0024192999999995E-2</v>
      </c>
      <c r="AB113" s="111">
        <f>[12]GHG_hist!BO103+IF($M113="incl",[12]LULUCF_hist!DF103,0)</f>
        <v>5.2697239999999999E-2</v>
      </c>
      <c r="AC113" s="111">
        <f>[12]GHG_hist!BP103+IF($M113="incl",[12]LULUCF_hist!DG103,0)</f>
        <v>5.5265574999999997E-2</v>
      </c>
      <c r="AD113" s="111">
        <f>[12]GHG_hist!BQ103+IF($M113="incl",[12]LULUCF_hist!DH103,0)</f>
        <v>8.7465266999999999E-2</v>
      </c>
      <c r="AE113" s="111">
        <f>[12]GHG_hist!BR103+IF($M113="incl",[12]LULUCF_hist!DI103,0)</f>
        <v>9.3145095999999997E-2</v>
      </c>
      <c r="AF113" s="111">
        <f>[12]GHG_hist!BS103+IF($M113="incl",[12]LULUCF_hist!DJ103,0)</f>
        <v>8.9324354999999994E-2</v>
      </c>
      <c r="AG113" s="111">
        <f>[12]GHG_hist!BT103+IF($M113="incl",[12]LULUCF_hist!DK103,0)</f>
        <v>7.8741778999999998E-2</v>
      </c>
      <c r="AH113" s="111">
        <f>[12]GHG_hist!BU103+IF($M113="incl",[12]LULUCF_hist!DL103,0)</f>
        <v>8.2849181000000008E-2</v>
      </c>
      <c r="AI113" s="111">
        <f>[12]GHG_hist!BV103+IF($M113="incl",[12]LULUCF_hist!DM103,0)</f>
        <v>7.9769497000000009E-2</v>
      </c>
      <c r="AJ113" s="111">
        <f>[12]GHG_hist!BW103+IF($M113="incl",[12]LULUCF_hist!DN103,0)</f>
        <v>7.6843543E-2</v>
      </c>
      <c r="AK113" s="111">
        <f>[12]GHG_hist!BX103+IF($M113="incl",[12]LULUCF_hist!DO103,0)</f>
        <v>7.7344891999999998E-2</v>
      </c>
      <c r="AL113" s="111">
        <f>[12]GHG_hist!BY103+IF($M113="incl",[12]LULUCF_hist!DP103,0)</f>
        <v>8.4915801999999999E-2</v>
      </c>
      <c r="AM113" s="111">
        <f>[12]GHG_hist!BZ103+IF($M113="incl",[12]LULUCF_hist!DQ103,0)</f>
        <v>8.9241809000000005E-2</v>
      </c>
      <c r="AN113" s="111">
        <f>[12]GHG_hist!CA103+IF($M113="incl",[12]LULUCF_hist!DR103,0)</f>
        <v>9.3594283E-2</v>
      </c>
      <c r="AO113" s="111">
        <f>[12]GHG_hist!CB103+IF($M113="incl",[12]LULUCF_hist!DS103,0)</f>
        <v>9.4280598999999993E-2</v>
      </c>
      <c r="AP113" s="111">
        <f>[12]GHG_hist!CC103+IF($M113="incl",[12]LULUCF_hist!DT103,0)</f>
        <v>9.6935557000000006E-2</v>
      </c>
      <c r="AQ113" s="111">
        <f>[12]GHG_hist!CD103+IF($M113="incl",[12]LULUCF_hist!DU103,0)</f>
        <v>0.10244048</v>
      </c>
      <c r="AR113" s="111">
        <f>[12]GHG_hist!CE103+IF($M113="incl",[12]LULUCF_hist!DV103,0)</f>
        <v>0.10325592</v>
      </c>
      <c r="AS113" s="111">
        <f>[12]GHG_hist!CF103+IF($M113="incl",[12]LULUCF_hist!DW103,0)</f>
        <v>0.10605450000000001</v>
      </c>
      <c r="AT113" s="161">
        <f>VLOOKUP($L113,'[12]IMAGE SSP2'!$AF$3:$AK$29,4,FALSE)*$AM113</f>
        <v>9.5800115577398745E-2</v>
      </c>
      <c r="AU113" s="162">
        <f>VLOOKUP($L113,'[12]IMAGE SSP2'!$AF$3:$AK$29,5,FALSE)*$AM113</f>
        <v>9.8352506941135509E-2</v>
      </c>
      <c r="AV113" s="163">
        <f>VLOOKUP($L113,'[12]IMAGE SSP2'!$AF$3:$AK$29,6,FALSE)*$AM113</f>
        <v>9.9504330778952099E-2</v>
      </c>
      <c r="AW113" s="111">
        <f>IF(A113="B",AM113+(AX113-AM113)*0.33333,"")</f>
        <v>31.392514836806033</v>
      </c>
      <c r="AX113" s="164">
        <f>IF(A113="B",IF(M113="excl",[12]NatCom!CO103,[12]NatCom!AX103),"")</f>
        <v>94</v>
      </c>
      <c r="AY113" s="111" t="str">
        <f>IF('[12]Pledge 2020'!E103="","",'[12]Pledge 2020'!E103)</f>
        <v/>
      </c>
      <c r="AZ113" s="164" t="str">
        <f>IF('[12]Pledge 2020'!F103="","",'[12]Pledge 2020'!F103)</f>
        <v/>
      </c>
      <c r="BA113" s="111">
        <f t="shared" si="51"/>
        <v>9.9192295250000007E-2</v>
      </c>
      <c r="BB113" s="111">
        <f>IF(BF113="","",(BF113-AH113)*0.75+AH113)</f>
        <v>9.9192295250000007E-2</v>
      </c>
      <c r="BC113" s="111">
        <f t="shared" si="52"/>
        <v>5.5092295249999999E-2</v>
      </c>
      <c r="BD113" s="111">
        <f t="shared" si="88"/>
        <v>5.5092295249999999E-2</v>
      </c>
      <c r="BE113" s="111">
        <v>0.10464</v>
      </c>
      <c r="BF113" s="111">
        <v>0.10464</v>
      </c>
      <c r="BG113" s="111">
        <v>4.5839999999999999E-2</v>
      </c>
      <c r="BH113" s="164">
        <v>4.5839999999999999E-2</v>
      </c>
      <c r="BI113" s="111">
        <f>IF([12]NDCs!V115="",IF([12]NDCs!X115="","",[12]NDCs!X115),[12]NDCs!V115)</f>
        <v>0.10464</v>
      </c>
      <c r="BJ113" s="111">
        <f>IF([12]NDCs!V115="",IF([12]NDCs!X115="","",[12]NDCs!X115),[12]NDCs!V115)</f>
        <v>0.10464</v>
      </c>
      <c r="BK113" s="111">
        <f>IF([12]NDCs!Z115="",IF([12]NDCs!AB115="",IF('input site'!BE113="","",'input site'!BE113),[12]NDCs!AB115),[12]NDCs!Z115)</f>
        <v>4.5839999999999999E-2</v>
      </c>
      <c r="BL113" s="111">
        <f>IF([12]NDCs!AA115="",IF([12]NDCs!AC115="",IF('input site'!BF113="","",'input site'!BF113),[12]NDCs!AC115),[12]NDCs!AA115)</f>
        <v>4.5839999999999999E-2</v>
      </c>
      <c r="BM113" s="111">
        <f>IF($BI$8=2015,VLOOKUP($L113,'[12]IMAGE CurPol SSP'!$AZ$3:$BD$29,4,FALSE)*$AM113,IF($BI$8=2018,VLOOKUP($L113,'[12]IMAGE CurPol SSP'!$BJ$3:$BN$29,4,FALSE)*$AP113,$AR113))</f>
        <v>0.10325592</v>
      </c>
      <c r="BN113" s="111">
        <f t="shared" ref="BN113:BO114" si="91">IF($BI$8=2015,"",IF($BI$8=2018,"",$AR113))</f>
        <v>0.10325592</v>
      </c>
      <c r="BO113" s="111">
        <f t="shared" si="91"/>
        <v>0.10325592</v>
      </c>
      <c r="BP113" s="111">
        <f>IF($BI$8=2015,VLOOKUP($L113,'[12]IMAGE CurPol SSP'!$AZ$3:$BD$29,5,FALSE)*$AM113,IF($BI$8=2018,VLOOKUP($L113,'[12]IMAGE CurPol SSP'!$BJ$3:$BN$29,5,FALSE)*$AP113,VLOOKUP($L113,'[12]IMAGE CurPol SSP'!$BU$3:$BZ$29,5,FALSE)*$AS113))</f>
        <v>0.10801261401305422</v>
      </c>
      <c r="BQ113" s="111">
        <f>IF($BI$8=2015,"",IF($BI$8=2018,"",VLOOKUP($L113,'[12]IMAGE CurPol SSP'!$CQ$3:$CV$29,5,FALSE)*$AS113))</f>
        <v>0.10515982492933709</v>
      </c>
      <c r="BR113" s="111">
        <f>IF($BI$8=2015,"",IF($BI$8=2018,"",VLOOKUP($L113,'[12]IMAGE CurPol SSP'!$CF$3:$CK$29,5,FALSE)*$AS113))</f>
        <v>0.10801261401305422</v>
      </c>
      <c r="BS113" s="111">
        <f>IF($BI$8=2015,VLOOKUP($L113,'[12]IMAGE CurPol SSP'!$AZ$3:$BE$29,6,FALSE)*$AM113,IF($BI$8=2018,VLOOKUP($L113,'[12]IMAGE CurPol SSP'!$BJ$3:$BO$29,6,FALSE)*$AP113,VLOOKUP($L113,'[12]IMAGE CurPol SSP'!$BU$3:$BZ$29,6,FALSE)*$AS113))</f>
        <v>0.11117996870011101</v>
      </c>
      <c r="BT113" s="111">
        <f>IF($BI$8=2015,"",IF($BI$8=2018,"",VLOOKUP($L113,'[12]IMAGE CurPol SSP'!$CQ$3:$CV$29,6,FALSE)*$AS113))</f>
        <v>0.10269008018679568</v>
      </c>
      <c r="BU113" s="164">
        <f>IF($BI$8=2015,"",IF($BI$8=2018,"",VLOOKUP($L113,'[12]IMAGE CurPol SSP'!$CF$3:$CK$29,6,FALSE)*$AS113))</f>
        <v>0.11117996870011101</v>
      </c>
      <c r="CN113" t="s">
        <v>255</v>
      </c>
      <c r="CO113" s="165">
        <f t="shared" si="69"/>
        <v>-5.8823264447496526E-2</v>
      </c>
      <c r="CP113" s="165">
        <f t="shared" si="69"/>
        <v>-5.8823264447496526E-2</v>
      </c>
      <c r="CQ113" s="165">
        <f t="shared" si="69"/>
        <v>-0.58769551263640329</v>
      </c>
      <c r="CR113" s="165">
        <f t="shared" si="65"/>
        <v>-0.58769551263640329</v>
      </c>
      <c r="CS113" s="159"/>
      <c r="CU113" s="159"/>
      <c r="CV113" s="125" t="s">
        <v>621</v>
      </c>
      <c r="CW113" s="125" t="s">
        <v>621</v>
      </c>
      <c r="CX113" s="159"/>
      <c r="CY113" s="167">
        <f t="shared" si="70"/>
        <v>-7.455804422601256E-3</v>
      </c>
      <c r="CZ113" s="159"/>
      <c r="DB113" s="106"/>
      <c r="DC113" s="106"/>
      <c r="DD113" s="106"/>
      <c r="DE113" s="106"/>
      <c r="DF113" s="106"/>
      <c r="DG113" s="105" t="str">
        <f t="shared" si="71"/>
        <v>excl</v>
      </c>
      <c r="DH113" t="s">
        <v>255</v>
      </c>
      <c r="DI113" s="111">
        <f t="shared" si="90"/>
        <v>0</v>
      </c>
      <c r="DJ113" s="111">
        <f t="shared" si="90"/>
        <v>0</v>
      </c>
      <c r="DK113" s="111">
        <f>IF(BA113="",$BP113,BA113)-$BP113</f>
        <v>-8.8203187630542107E-3</v>
      </c>
      <c r="DL113" s="111">
        <f>IF(BC113="",$BP113,BC113)-$BP113</f>
        <v>-5.2920318763054218E-2</v>
      </c>
      <c r="DM113" s="111">
        <f>IF(BE113="",$BS113,BE113)-$BS113</f>
        <v>-6.5399687001110179E-3</v>
      </c>
      <c r="DN113" s="111">
        <f>IF(BG113="",$BS113,BG113)-$BS113</f>
        <v>-6.5339968700111023E-2</v>
      </c>
      <c r="DO113" s="111">
        <f>IF(BI113="",$BS113,BI113)-$BS113</f>
        <v>-6.5399687001110179E-3</v>
      </c>
      <c r="DP113" s="111">
        <f>IF(BK113="",$BS113,BK113)-$BS113</f>
        <v>-6.5339968700111023E-2</v>
      </c>
      <c r="DQ113" s="106"/>
      <c r="DR113" s="106"/>
      <c r="DS113" s="111"/>
      <c r="DT113" s="168"/>
      <c r="DW113" s="111">
        <f t="shared" si="72"/>
        <v>0.10464</v>
      </c>
      <c r="DX113" s="111">
        <f t="shared" si="72"/>
        <v>0.10464</v>
      </c>
      <c r="DY113" s="111">
        <f t="shared" si="72"/>
        <v>4.5839999999999999E-2</v>
      </c>
      <c r="DZ113" s="111">
        <f t="shared" si="66"/>
        <v>4.5839999999999999E-2</v>
      </c>
      <c r="EP113" t="s">
        <v>255</v>
      </c>
      <c r="EQ113">
        <v>1</v>
      </c>
      <c r="ER113" s="111">
        <f t="shared" si="73"/>
        <v>9.6935557000000006E-2</v>
      </c>
      <c r="ES113" s="111">
        <f>IF($BI$8=2015,VLOOKUP($L113,'[12]IMAGE CDLINKS CurPol'!$P$3:$Y$29,10,FALSE)*$AM113,VLOOKUP($L113,'[12]IMAGE CDLINKS CurPol'!$Z$3:$AI$29,10,FALSE)*$AP113)</f>
        <v>9.9941174185160686E-2</v>
      </c>
      <c r="ET113" s="111">
        <f t="shared" si="86"/>
        <v>0</v>
      </c>
      <c r="EU113" s="111">
        <f t="shared" si="76"/>
        <v>3.8411106262530206E-2</v>
      </c>
      <c r="EV113" s="111">
        <f>IF($BI$8=2015,VLOOKUP($L113,'[12]IMAGE CDLINKS 2C'!$P$3:$Y$29,10,FALSE)*$AM113,VLOOKUP($L113,'[12]IMAGE CDLINKS 2C'!$Z$3:$AI$29,10,FALSE)*$AP113)</f>
        <v>3.8411106262530206E-2</v>
      </c>
      <c r="EW113">
        <v>0</v>
      </c>
      <c r="EX113" s="111">
        <f>EW113-EV113</f>
        <v>-3.8411106262530206E-2</v>
      </c>
      <c r="EY113" s="111">
        <f t="shared" si="77"/>
        <v>0</v>
      </c>
      <c r="EZ113" s="111">
        <f>IF($BI$8=2015,VLOOKUP($L113,'[12]IMAGE CDLINKS 1_5C'!$P$3:$Y$29,10,FALSE)*$AM113,VLOOKUP($L113,'[12]IMAGE CDLINKS 1_5C'!$Z$3:$AI$29,10,FALSE)*$AP113)</f>
        <v>1.6615249499694739E-2</v>
      </c>
      <c r="FA113" s="192">
        <v>2050</v>
      </c>
    </row>
    <row r="114" spans="1:157" x14ac:dyDescent="0.25">
      <c r="A114" t="str">
        <f>IF([12]NDCs!C116="","",[12]NDCs!C116)</f>
        <v>B</v>
      </c>
      <c r="B114" s="159" t="str">
        <f t="shared" si="67"/>
        <v>v</v>
      </c>
      <c r="C114">
        <v>0</v>
      </c>
      <c r="D114">
        <v>0</v>
      </c>
      <c r="E114">
        <v>0</v>
      </c>
      <c r="F114">
        <v>1</v>
      </c>
      <c r="G114" t="b">
        <f t="shared" si="68"/>
        <v>1</v>
      </c>
      <c r="H114" t="s">
        <v>2328</v>
      </c>
      <c r="I114" t="s">
        <v>257</v>
      </c>
      <c r="J114">
        <v>408</v>
      </c>
      <c r="K114">
        <v>103</v>
      </c>
      <c r="L114">
        <v>19</v>
      </c>
      <c r="M114" t="str">
        <f>IF([12]NDCs!AL116="Excluding","excl","incl")</f>
        <v>incl</v>
      </c>
      <c r="N114" s="160">
        <f>[12]GHG_hist!BA104+IF($M114="incl",[12]LULUCF_hist!CR104,0)</f>
        <v>209.30760999999998</v>
      </c>
      <c r="O114" s="111">
        <f>[12]GHG_hist!BB104+IF($M114="incl",[12]LULUCF_hist!CS104,0)</f>
        <v>202.10739999999998</v>
      </c>
      <c r="P114" s="111">
        <f>[12]GHG_hist!BC104+IF($M114="incl",[12]LULUCF_hist!CT104,0)</f>
        <v>178.84947000000003</v>
      </c>
      <c r="Q114" s="111">
        <f>[12]GHG_hist!BD104+IF($M114="incl",[12]LULUCF_hist!CU104,0)</f>
        <v>166.66748000000001</v>
      </c>
      <c r="R114" s="111">
        <f>[12]GHG_hist!BE104+IF($M114="incl",[12]LULUCF_hist!CV104,0)</f>
        <v>153.05045999999999</v>
      </c>
      <c r="S114" s="111">
        <f>[12]GHG_hist!BF104+IF($M114="incl",[12]LULUCF_hist!CW104,0)</f>
        <v>131.79726333333332</v>
      </c>
      <c r="T114" s="111">
        <f>[12]GHG_hist!BG104+IF($M114="incl",[12]LULUCF_hist!CX104,0)</f>
        <v>108.26185666666667</v>
      </c>
      <c r="U114" s="111">
        <f>[12]GHG_hist!BH104+IF($M114="incl",[12]LULUCF_hist!CY104,0)</f>
        <v>95.513379999999998</v>
      </c>
      <c r="V114" s="111">
        <f>[12]GHG_hist!BI104+IF($M114="incl",[12]LULUCF_hist!CZ104,0)</f>
        <v>76.758126333333337</v>
      </c>
      <c r="W114" s="111">
        <f>[12]GHG_hist!BJ104+IF($M114="incl",[12]LULUCF_hist!DA104,0)</f>
        <v>75.024498666666659</v>
      </c>
      <c r="X114" s="111">
        <f>[12]GHG_hist!BK104+IF($M114="incl",[12]LULUCF_hist!DB104,0)</f>
        <v>70.30730299999999</v>
      </c>
      <c r="Y114" s="111">
        <f>[12]GHG_hist!BL104+IF($M114="incl",[12]LULUCF_hist!DC104,0)</f>
        <v>75.99624</v>
      </c>
      <c r="Z114" s="111">
        <f>[12]GHG_hist!BM104+IF($M114="incl",[12]LULUCF_hist!DD104,0)</f>
        <v>76.192161999999996</v>
      </c>
      <c r="AA114" s="111">
        <f>[12]GHG_hist!BN104+IF($M114="incl",[12]LULUCF_hist!DE104,0)</f>
        <v>77.663224051282072</v>
      </c>
      <c r="AB114" s="111">
        <f>[12]GHG_hist!BO104+IF($M114="incl",[12]LULUCF_hist!DF104,0)</f>
        <v>79.836890223443248</v>
      </c>
      <c r="AC114" s="111">
        <f>[12]GHG_hist!BP104+IF($M114="incl",[12]LULUCF_hist!DG104,0)</f>
        <v>83.997264395604432</v>
      </c>
      <c r="AD114" s="111">
        <f>[12]GHG_hist!BQ104+IF($M114="incl",[12]LULUCF_hist!DH104,0)</f>
        <v>85.261355567765605</v>
      </c>
      <c r="AE114" s="111">
        <f>[12]GHG_hist!BR104+IF($M114="incl",[12]LULUCF_hist!DI104,0)</f>
        <v>69.777110739926769</v>
      </c>
      <c r="AF114" s="111">
        <f>[12]GHG_hist!BS104+IF($M114="incl",[12]LULUCF_hist!DJ104,0)</f>
        <v>75.779463912088076</v>
      </c>
      <c r="AG114" s="111">
        <f>[12]GHG_hist!BT104+IF($M114="incl",[12]LULUCF_hist!DK104,0)</f>
        <v>55.724223084249132</v>
      </c>
      <c r="AH114" s="111">
        <f>[12]GHG_hist!BU104+IF($M114="incl",[12]LULUCF_hist!DL104,0)</f>
        <v>52.086628256410307</v>
      </c>
      <c r="AI114" s="111">
        <f>[12]GHG_hist!BV104+IF($M114="incl",[12]LULUCF_hist!DM104,0)</f>
        <v>38.132137428571482</v>
      </c>
      <c r="AJ114" s="111">
        <f>[12]GHG_hist!BW104+IF($M114="incl",[12]LULUCF_hist!DN104,0)</f>
        <v>37.932183600732664</v>
      </c>
      <c r="AK114" s="111">
        <f>[12]GHG_hist!BX104+IF($M114="incl",[12]LULUCF_hist!DO104,0)</f>
        <v>26.822135772893837</v>
      </c>
      <c r="AL114" s="111">
        <f>[12]GHG_hist!BY104+IF($M114="incl",[12]LULUCF_hist!DP104,0)</f>
        <v>34.108564945055015</v>
      </c>
      <c r="AM114" s="111">
        <f>[12]GHG_hist!BZ104+IF($M114="incl",[12]LULUCF_hist!DQ104,0)</f>
        <v>29.415999117216188</v>
      </c>
      <c r="AN114" s="111">
        <f>[12]GHG_hist!CA104+IF($M114="incl",[12]LULUCF_hist!DR104,0)</f>
        <v>32.876230289377368</v>
      </c>
      <c r="AO114" s="111">
        <f>[12]GHG_hist!CB104+IF($M114="incl",[12]LULUCF_hist!DS104,0)</f>
        <v>24.742502461538542</v>
      </c>
      <c r="AP114" s="111">
        <f>[12]GHG_hist!CC104+IF($M114="incl",[12]LULUCF_hist!DT104,0)</f>
        <v>23.73296863369972</v>
      </c>
      <c r="AQ114" s="111">
        <f>[12]GHG_hist!CD104+IF($M114="incl",[12]LULUCF_hist!DU104,0)</f>
        <v>25.69145580586089</v>
      </c>
      <c r="AR114" s="111">
        <f>[12]GHG_hist!CE104+IF($M114="incl",[12]LULUCF_hist!DV104,0)</f>
        <v>25.389844978022069</v>
      </c>
      <c r="AS114" s="111">
        <f>[12]GHG_hist!CF104+IF($M114="incl",[12]LULUCF_hist!DW104,0)</f>
        <v>28.155086150183244</v>
      </c>
      <c r="AT114" s="161">
        <f>VLOOKUP($L114,'[12]IMAGE SSP2'!$AF$3:$AK$29,4,FALSE)*$AM114</f>
        <v>31.426435381010055</v>
      </c>
      <c r="AU114" s="162">
        <f>VLOOKUP($L114,'[12]IMAGE SSP2'!$AF$3:$AK$29,5,FALSE)*$AM114</f>
        <v>32.884258866252189</v>
      </c>
      <c r="AV114" s="163">
        <f>VLOOKUP($L114,'[12]IMAGE SSP2'!$AF$3:$AK$29,6,FALSE)*$AM114</f>
        <v>33.885129204777655</v>
      </c>
      <c r="AW114" s="111">
        <f>IF(A114="B",AM114+(AX114-AM114)*0.33333,"")</f>
        <v>82.186805031474506</v>
      </c>
      <c r="AX114" s="164">
        <f>IF(A114="B",IF(M114="excl",[12]NatCom!CO104,[12]NatCom!AX104),"")</f>
        <v>187.73</v>
      </c>
      <c r="AY114" s="111" t="str">
        <f>IF('[12]Pledge 2020'!E104="","",'[12]Pledge 2020'!E104)</f>
        <v/>
      </c>
      <c r="AZ114" s="164" t="str">
        <f>IF('[12]Pledge 2020'!F104="","",'[12]Pledge 2020'!F104)</f>
        <v/>
      </c>
      <c r="BA114" s="111">
        <f t="shared" si="51"/>
        <v>130.89765706410259</v>
      </c>
      <c r="BB114" s="111">
        <f>IF(BF114="","",(BF114-AH114)*0.75+AH114)</f>
        <v>130.89765706410259</v>
      </c>
      <c r="BC114" s="111">
        <f t="shared" si="52"/>
        <v>80.701657064102577</v>
      </c>
      <c r="BD114" s="111">
        <f t="shared" si="88"/>
        <v>80.701657064102577</v>
      </c>
      <c r="BE114" s="169">
        <v>157.16800000000001</v>
      </c>
      <c r="BF114" s="169">
        <v>157.16800000000001</v>
      </c>
      <c r="BG114" s="169">
        <v>90.24</v>
      </c>
      <c r="BH114" s="170">
        <v>90.24</v>
      </c>
      <c r="BI114" s="111">
        <f>IF([12]NDCs!V116="",IF([12]NDCs!X116="","",[12]NDCs!X116),[12]NDCs!V116)</f>
        <v>172.7116</v>
      </c>
      <c r="BJ114" s="111">
        <f>IF([12]NDCs!V116="",IF([12]NDCs!X116="","",[12]NDCs!X116),[12]NDCs!V116)</f>
        <v>172.7116</v>
      </c>
      <c r="BK114" s="111">
        <f>IF([12]NDCs!Z116="",IF([12]NDCs!AB116="",IF('input site'!BE114="","",'input site'!BE114),[12]NDCs!AB116),[12]NDCs!Z116)</f>
        <v>112.16867499999998</v>
      </c>
      <c r="BL114" s="111">
        <f>IF([12]NDCs!AA116="",IF([12]NDCs!AC116="",IF('input site'!BF114="","",'input site'!BF114),[12]NDCs!AC116),[12]NDCs!AA116)</f>
        <v>112.16867499999998</v>
      </c>
      <c r="BM114" s="111">
        <f>IF($BI$8=2015,VLOOKUP($L114,'[12]IMAGE CurPol SSP'!$AZ$3:$BD$29,4,FALSE)*$AM114,IF($BI$8=2018,VLOOKUP($L114,'[12]IMAGE CurPol SSP'!$BJ$3:$BN$29,4,FALSE)*$AP114,$AR114))</f>
        <v>25.389844978022069</v>
      </c>
      <c r="BN114" s="111">
        <f t="shared" si="91"/>
        <v>25.389844978022069</v>
      </c>
      <c r="BO114" s="111">
        <f t="shared" si="91"/>
        <v>25.389844978022069</v>
      </c>
      <c r="BP114" s="111">
        <f>IF($BI$8=2015,VLOOKUP($L114,'[12]IMAGE CurPol SSP'!$AZ$3:$BD$29,5,FALSE)*$AM114,IF($BI$8=2018,VLOOKUP($L114,'[12]IMAGE CurPol SSP'!$BJ$3:$BN$29,5,FALSE)*$AP114,VLOOKUP($L114,'[12]IMAGE CurPol SSP'!$BU$3:$BZ$29,5,FALSE)*$AS114))</f>
        <v>24.795965595458952</v>
      </c>
      <c r="BQ114" s="111">
        <f>IF($BI$8=2015,"",IF($BI$8=2018,"",VLOOKUP($L114,'[12]IMAGE CurPol SSP'!$CQ$3:$CV$29,5,FALSE)*$AS114))</f>
        <v>24.789524821260866</v>
      </c>
      <c r="BR114" s="111">
        <f>IF($BI$8=2015,"",IF($BI$8=2018,"",VLOOKUP($L114,'[12]IMAGE CurPol SSP'!$CF$3:$CK$29,5,FALSE)*$AS114))</f>
        <v>25.650115430935898</v>
      </c>
      <c r="BS114" s="111">
        <f>IF($BI$8=2015,VLOOKUP($L114,'[12]IMAGE CurPol SSP'!$AZ$3:$BE$29,6,FALSE)*$AM114,IF($BI$8=2018,VLOOKUP($L114,'[12]IMAGE CurPol SSP'!$BJ$3:$BO$29,6,FALSE)*$AP114,VLOOKUP($L114,'[12]IMAGE CurPol SSP'!$BU$3:$BZ$29,6,FALSE)*$AS114))</f>
        <v>20.019937680039099</v>
      </c>
      <c r="BT114" s="111">
        <f>IF($BI$8=2015,"",IF($BI$8=2018,"",VLOOKUP($L114,'[12]IMAGE CurPol SSP'!$CQ$3:$CV$29,6,FALSE)*$AS114))</f>
        <v>18.190270720656567</v>
      </c>
      <c r="BU114" s="164">
        <f>IF($BI$8=2015,"",IF($BI$8=2018,"",VLOOKUP($L114,'[12]IMAGE CurPol SSP'!$CF$3:$CK$29,6,FALSE)*$AS114))</f>
        <v>21.026120334776408</v>
      </c>
      <c r="CN114" t="s">
        <v>257</v>
      </c>
      <c r="CO114" s="165">
        <f t="shared" si="69"/>
        <v>6.850573888484405</v>
      </c>
      <c r="CP114" s="165">
        <f t="shared" si="69"/>
        <v>6.850573888484405</v>
      </c>
      <c r="CQ114" s="165">
        <f t="shared" si="69"/>
        <v>3.50750653884272</v>
      </c>
      <c r="CR114" s="165">
        <f t="shared" si="65"/>
        <v>3.50750653884272</v>
      </c>
      <c r="CS114" s="159"/>
      <c r="CU114" s="159"/>
      <c r="CV114" s="125" t="s">
        <v>621</v>
      </c>
      <c r="CW114" s="125" t="s">
        <v>621</v>
      </c>
      <c r="CX114" s="159"/>
      <c r="CY114" s="167">
        <f t="shared" si="70"/>
        <v>6.0365904029879864</v>
      </c>
      <c r="CZ114" s="159"/>
      <c r="DB114" s="106"/>
      <c r="DC114" s="106"/>
      <c r="DD114" s="106"/>
      <c r="DE114" s="106"/>
      <c r="DF114" s="106"/>
      <c r="DG114" s="105" t="str">
        <f t="shared" si="71"/>
        <v>incl</v>
      </c>
      <c r="DH114" t="s">
        <v>257</v>
      </c>
      <c r="DI114" s="111">
        <f t="shared" si="90"/>
        <v>0</v>
      </c>
      <c r="DJ114" s="111">
        <f t="shared" si="90"/>
        <v>0</v>
      </c>
      <c r="DK114" s="111">
        <f>IF(BA114="",$BP114,BA114)-$BP114</f>
        <v>106.10169146864364</v>
      </c>
      <c r="DL114" s="111">
        <f>IF(BC114="",$BP114,BC114)-$BP114</f>
        <v>55.905691468643624</v>
      </c>
      <c r="DM114" s="111">
        <f>IF(BE114="",$BS114,BE114)-$BS114</f>
        <v>137.1480623199609</v>
      </c>
      <c r="DN114" s="111">
        <f>IF(BG114="",$BS114,BG114)-$BS114</f>
        <v>70.220062319960903</v>
      </c>
      <c r="DO114" s="111">
        <f>IF(BI114="",$BS114,BI114)-$BS114</f>
        <v>152.6916623199609</v>
      </c>
      <c r="DP114" s="111">
        <f>IF(BK114="",$BS114,BK114)-$BS114</f>
        <v>92.148737319960873</v>
      </c>
      <c r="DQ114" s="106"/>
      <c r="DR114" s="106"/>
      <c r="DS114" s="177">
        <f>[12]GHG_hist!BZ104+IF($M114="incl",[12]LULUCF_hist!DQ104,0)</f>
        <v>29.415999117216188</v>
      </c>
      <c r="DT114" s="209">
        <f>IF($M114="incl",'[12]IIASA Proj'!EQ104,0)</f>
        <v>-17.197339538461463</v>
      </c>
      <c r="DW114" s="111">
        <f t="shared" si="72"/>
        <v>157.16800000000001</v>
      </c>
      <c r="DX114" s="111">
        <f t="shared" si="72"/>
        <v>157.16800000000001</v>
      </c>
      <c r="DY114" s="111">
        <f t="shared" si="72"/>
        <v>90.24</v>
      </c>
      <c r="DZ114" s="111">
        <f t="shared" si="66"/>
        <v>90.24</v>
      </c>
      <c r="EP114" t="s">
        <v>257</v>
      </c>
      <c r="EQ114">
        <v>0</v>
      </c>
      <c r="ER114" s="111">
        <f t="shared" si="73"/>
        <v>23.73296863369972</v>
      </c>
      <c r="ES114" s="111">
        <f>IF($BI$8=2015,VLOOKUP($L114,'[12]IMAGE CDLINKS CurPol'!$P$3:$Y$29,10,FALSE)*$AM114,VLOOKUP($L114,'[12]IMAGE CDLINKS CurPol'!$Z$3:$AI$29,10,FALSE)*$AP114)</f>
        <v>24.611041416989099</v>
      </c>
      <c r="ET114" s="111">
        <f t="shared" si="86"/>
        <v>24.611041416989099</v>
      </c>
      <c r="EU114" s="111">
        <f t="shared" si="76"/>
        <v>4.6218283875130268</v>
      </c>
      <c r="EV114" s="111">
        <f>IF($BI$8=2015,VLOOKUP($L114,'[12]IMAGE CDLINKS 2C'!$P$3:$Y$29,10,FALSE)*$AM114,VLOOKUP($L114,'[12]IMAGE CDLINKS 2C'!$Z$3:$AI$29,10,FALSE)*$AP114)</f>
        <v>4.6218283875130268</v>
      </c>
      <c r="EY114" s="111">
        <f t="shared" si="77"/>
        <v>0.60518191378076935</v>
      </c>
      <c r="EZ114" s="111">
        <f>IF($BI$8=2015,VLOOKUP($L114,'[12]IMAGE CDLINKS 1_5C'!$P$3:$Y$29,10,FALSE)*$AM114,VLOOKUP($L114,'[12]IMAGE CDLINKS 1_5C'!$Z$3:$AI$29,10,FALSE)*$AP114)</f>
        <v>0.60518191378076935</v>
      </c>
      <c r="FA114" s="192"/>
    </row>
    <row r="115" spans="1:157" x14ac:dyDescent="0.25">
      <c r="A115" t="str">
        <f>IF([12]NDCs!C117="","",[12]NDCs!C117)</f>
        <v>A</v>
      </c>
      <c r="B115" s="159" t="str">
        <f t="shared" si="67"/>
        <v>i</v>
      </c>
      <c r="C115">
        <v>1</v>
      </c>
      <c r="D115">
        <v>0</v>
      </c>
      <c r="E115">
        <v>1</v>
      </c>
      <c r="F115">
        <v>1</v>
      </c>
      <c r="G115" t="b">
        <f t="shared" si="68"/>
        <v>1</v>
      </c>
      <c r="H115" t="s">
        <v>2339</v>
      </c>
      <c r="I115" t="s">
        <v>259</v>
      </c>
      <c r="J115">
        <v>410</v>
      </c>
      <c r="K115">
        <v>104</v>
      </c>
      <c r="L115">
        <v>19</v>
      </c>
      <c r="M115" t="str">
        <f>IF([12]NDCs!AL117="Excluding","excl","incl")</f>
        <v>incl</v>
      </c>
      <c r="N115" s="195">
        <f>[12]SKOR!$A$24*IF($M115="incl",[12]SKOR!E$41,[12]SKOR!E$37)</f>
        <v>256.55006831999998</v>
      </c>
      <c r="O115" s="195">
        <f>[12]SKOR!$A$24*IF($M115="incl",[12]SKOR!F$41,[12]SKOR!F$37)</f>
        <v>284.28720047000002</v>
      </c>
      <c r="P115" s="195">
        <f>[12]SKOR!$A$24*IF($M115="incl",[12]SKOR!G$41,[12]SKOR!G$37)</f>
        <v>313.48253640000001</v>
      </c>
      <c r="Q115" s="195">
        <f>[12]SKOR!$A$24*IF($M115="incl",[12]SKOR!H$41,[12]SKOR!H$37)</f>
        <v>350.78875220999998</v>
      </c>
      <c r="R115" s="195">
        <f>[12]SKOR!$A$24*IF($M115="incl",[12]SKOR!I$41,[12]SKOR!I$37)</f>
        <v>373.90723088999999</v>
      </c>
      <c r="S115" s="195">
        <f>[12]SKOR!$A$24*IF($M115="incl",[12]SKOR!J$41,[12]SKOR!J$37)</f>
        <v>406.37091958000002</v>
      </c>
      <c r="T115" s="195">
        <f>[12]SKOR!$A$24*IF($M115="incl",[12]SKOR!K$41,[12]SKOR!K$37)</f>
        <v>439.78657530999999</v>
      </c>
      <c r="U115" s="195">
        <f>[12]SKOR!$A$24*IF($M115="incl",[12]SKOR!L$41,[12]SKOR!L$37)</f>
        <v>466.97915</v>
      </c>
      <c r="V115" s="195">
        <f>[12]SKOR!$A$24*IF($M115="incl",[12]SKOR!M$41,[12]SKOR!M$37)</f>
        <v>387.17224578999998</v>
      </c>
      <c r="W115" s="195">
        <f>[12]SKOR!$A$24*IF($M115="incl",[12]SKOR!N$41,[12]SKOR!N$37)</f>
        <v>417.64930845999999</v>
      </c>
      <c r="X115" s="195">
        <f>[12]SKOR!$A$24*IF($M115="incl",[12]SKOR!O$41,[12]SKOR!O$37)</f>
        <v>448.21511379999998</v>
      </c>
      <c r="Y115" s="195">
        <f>[12]SKOR!$A$24*IF($M115="incl",[12]SKOR!P$41,[12]SKOR!P$37)</f>
        <v>462.15679165999899</v>
      </c>
      <c r="Z115" s="195">
        <f>[12]SKOR!$A$24*IF($M115="incl",[12]SKOR!Q$41,[12]SKOR!Q$37)</f>
        <v>487.10256292999998</v>
      </c>
      <c r="AA115" s="195">
        <f>[12]SKOR!$A$24*IF($M115="incl",[12]SKOR!R$41,[12]SKOR!R$37)</f>
        <v>498.13791787000002</v>
      </c>
      <c r="AB115" s="195">
        <f>[12]SKOR!$A$24*IF($M115="incl",[12]SKOR!S$41,[12]SKOR!S$37)</f>
        <v>505.25044259999902</v>
      </c>
      <c r="AC115" s="195">
        <f>[12]SKOR!$A$24*IF($M115="incl",[12]SKOR!T$41,[12]SKOR!T$37)</f>
        <v>511.06208020000003</v>
      </c>
      <c r="AD115" s="195">
        <f>[12]SKOR!$A$24*IF($M115="incl",[12]SKOR!U$41,[12]SKOR!U$37)</f>
        <v>516.41286094999998</v>
      </c>
      <c r="AE115" s="195">
        <f>[12]SKOR!$A$24*IF($M115="incl",[12]SKOR!V$41,[12]SKOR!V$37)</f>
        <v>529.28155913000001</v>
      </c>
      <c r="AF115" s="195">
        <f>[12]SKOR!$A$24*IF($M115="incl",[12]SKOR!W$41,[12]SKOR!W$37)</f>
        <v>541.58754796999995</v>
      </c>
      <c r="AG115" s="195">
        <f>[12]SKOR!$A$24*IF($M115="incl",[12]SKOR!X$41,[12]SKOR!X$37)</f>
        <v>546.16989762999901</v>
      </c>
      <c r="AH115" s="195">
        <f>[12]SKOR!$A$24*IF($M115="incl",[12]SKOR!Y$41,[12]SKOR!Y$37)</f>
        <v>607.56067731999997</v>
      </c>
      <c r="AI115" s="195">
        <f>[12]SKOR!$A$24*IF($M115="incl",[12]SKOR!Z$41,[12]SKOR!Z$37)</f>
        <v>637.66058350999901</v>
      </c>
      <c r="AJ115" s="195">
        <f>[12]SKOR!$A$24*IF($M115="incl",[12]SKOR!AA$41,[12]SKOR!AA$37)</f>
        <v>646.72343046999902</v>
      </c>
      <c r="AK115" s="195">
        <f>[12]SKOR!$A$24*IF($M115="incl",[12]SKOR!AB$41,[12]SKOR!AB$37)</f>
        <v>660.37568627999894</v>
      </c>
      <c r="AL115" s="195">
        <f>[12]SKOR!$A$24*IF($M115="incl",[12]SKOR!AC$41,[12]SKOR!AC$37)</f>
        <v>654.12436902000002</v>
      </c>
      <c r="AM115" s="195">
        <f>[12]SKOR!$A$24*IF($M115="incl",[12]SKOR!AD$41,[12]SKOR!AD$37)</f>
        <v>653.62317450999899</v>
      </c>
      <c r="AN115" s="195">
        <f>[12]SKOR!$A$24*IF($M115="incl",[12]SKOR!AE$41,[12]SKOR!AE$37)</f>
        <v>653.44367222000005</v>
      </c>
      <c r="AO115" s="195">
        <f>[12]SKOR!$A$24*IF($M115="incl",[12]SKOR!AF$41,[12]SKOR!AF$37)</f>
        <v>674.91032676999998</v>
      </c>
      <c r="AP115" s="195">
        <f>[12]SKOR!$A$24*IF($M115="incl",[12]SKOR!AG$41,[12]SKOR!AG$37)</f>
        <v>692.14052632999994</v>
      </c>
      <c r="AQ115" s="195">
        <f>[12]SKOR!$A$24*IF($M115="incl",[12]SKOR!AH$41,[12]SKOR!AH$37)</f>
        <v>670.70029473</v>
      </c>
      <c r="AR115" s="195">
        <f>[12]SKOR!$A$24*IF($M115="incl",[12]SKOR!AI$41,[12]SKOR!AI$37)</f>
        <v>628.52400972999999</v>
      </c>
      <c r="AS115" s="195">
        <f>[12]SKOR!$A$24*IF($M115="incl",[12]SKOR!AJ$41,[12]SKOR!AJ$37)</f>
        <v>642.91492472999903</v>
      </c>
      <c r="AT115" s="189">
        <f>AR115</f>
        <v>628.52400972999999</v>
      </c>
      <c r="AU115" s="177">
        <f>[12]SKOR!$A$24*[12]SKOR!AN23</f>
        <v>760.41066902</v>
      </c>
      <c r="AV115" s="180">
        <f>[12]SKOR!$A$24*[12]SKOR!AS23</f>
        <v>792.89236902000005</v>
      </c>
      <c r="AW115" s="177">
        <f>[12]SKOR!$A$24*IF(A115="a",AM115+(AX115-AM115)*0.333333,"")</f>
        <v>435.7490008810575</v>
      </c>
      <c r="AX115" s="180">
        <f>[12]SKOR!$A$24*IF(A115="a",IF(M115="excl",[12]NatCom!CO105,[12]NatCom!AX105),"")</f>
        <v>0</v>
      </c>
      <c r="AY115" s="177">
        <f>[12]SKOR!$A$24*IF('[12]Pledge 2020'!E105="","",'[12]Pledge 2020'!E105)</f>
        <v>543.19999999999993</v>
      </c>
      <c r="AZ115" s="180">
        <f>[12]SKOR!$A$24*IF('[12]Pledge 2020'!F105="","",'[12]Pledge 2020'!F105)</f>
        <v>543.19999999999993</v>
      </c>
      <c r="BA115" s="127">
        <f>[12]SKOR!$A$24*[12]SKOR!X10</f>
        <v>479.31016933000001</v>
      </c>
      <c r="BB115" s="106">
        <f>IF(BF115="","",(BF115-AH115)*0.75+AH115)</f>
        <v>479.31016933000001</v>
      </c>
      <c r="BC115" s="127">
        <f>[12]SKOR!$A$24*[12]SKOR!Y10</f>
        <v>479.31016933000001</v>
      </c>
      <c r="BD115" s="106">
        <f t="shared" si="88"/>
        <v>479.31016933000001</v>
      </c>
      <c r="BE115" s="127">
        <v>436.56</v>
      </c>
      <c r="BF115" s="127">
        <v>436.56</v>
      </c>
      <c r="BG115" s="127">
        <v>436.56</v>
      </c>
      <c r="BH115" s="184">
        <v>436.56</v>
      </c>
      <c r="BI115" s="111">
        <f>IF([12]NDCs!V117="",IF([12]NDCs!X117="","",[12]NDCs!X117),[12]NDCs!V117)</f>
        <v>535.87800000000004</v>
      </c>
      <c r="BJ115" s="111">
        <f>IF([12]NDCs!V117="",IF([12]NDCs!X117="","",[12]NDCs!X117),[12]NDCs!V117)</f>
        <v>535.87800000000004</v>
      </c>
      <c r="BK115" s="111">
        <f>IF([12]NDCs!Z117="",IF([12]NDCs!AB117="",IF('input site'!BE115="","",'input site'!BE115),[12]NDCs!AB117),[12]NDCs!Z117)</f>
        <v>535.87800000000004</v>
      </c>
      <c r="BL115" s="111">
        <f>IF([12]NDCs!AA117="",IF([12]NDCs!AC117="",IF('input site'!BF115="","",'input site'!BF115),[12]NDCs!AC117),[12]NDCs!AA117)</f>
        <v>535.87800000000004</v>
      </c>
      <c r="BM115" s="191">
        <f>[12]SKOR!$A$24*[12]SKOR!AB$5</f>
        <v>628.52400972999999</v>
      </c>
      <c r="BN115" s="127">
        <f>[12]SKOR!$A$24*[12]SKOR!AB7</f>
        <v>628.52400972999999</v>
      </c>
      <c r="BO115" s="127">
        <f>[12]SKOR!$A$24*[12]SKOR!AB6</f>
        <v>628.52400972999999</v>
      </c>
      <c r="BP115" s="191">
        <f>[12]SKOR!$A$24*[12]SKOR!AC$5</f>
        <v>577.33487198872899</v>
      </c>
      <c r="BQ115" s="127">
        <f>[12]SKOR!$A$24*[12]SKOR!AC7</f>
        <v>577.33487198872899</v>
      </c>
      <c r="BR115" s="127">
        <f>[12]SKOR!$A$24*[12]SKOR!AC6</f>
        <v>644.28846503</v>
      </c>
      <c r="BS115" s="191">
        <f>[12]SKOR!$A$24*[12]SKOR!AD$5</f>
        <v>417.40889260295597</v>
      </c>
      <c r="BT115" s="127">
        <f>[12]SKOR!$A$24*[12]SKOR!AD7</f>
        <v>417.40889260295597</v>
      </c>
      <c r="BU115" s="184">
        <f>[12]SKOR!$A$24*[12]SKOR!AD6</f>
        <v>614.31839852999997</v>
      </c>
      <c r="CN115" t="s">
        <v>259</v>
      </c>
      <c r="CO115" s="165">
        <f t="shared" si="69"/>
        <v>4.5880928117314479E-2</v>
      </c>
      <c r="CP115" s="165">
        <f t="shared" si="69"/>
        <v>4.5880928117314479E-2</v>
      </c>
      <c r="CQ115" s="165">
        <f t="shared" si="69"/>
        <v>4.5880928117314479E-2</v>
      </c>
      <c r="CR115" s="165">
        <f t="shared" si="65"/>
        <v>4.5880928117314479E-2</v>
      </c>
      <c r="CS115" s="185">
        <f>IF(BE115&lt;=MIN(BS115:BU115),0,1)</f>
        <v>1</v>
      </c>
      <c r="CT115" s="185">
        <f>IF(BG115&lt;=MIN(BS115:BU115),0,1)</f>
        <v>1</v>
      </c>
      <c r="CU115">
        <f>IF(BS115&lt;=MAX(AN115,AP115),1,0)</f>
        <v>1</v>
      </c>
      <c r="CV115" s="126" t="str">
        <f>IF(CS115=1,IF(CU115=1,"i","ii"),IF(CU115=1,"iii","iv"))</f>
        <v>i</v>
      </c>
      <c r="CW115" s="126" t="str">
        <f>IF(CT115=1,IF(CU115=1,"i","ii"),IF(CU115=1,"iii","iv"))</f>
        <v>i</v>
      </c>
      <c r="CX115"/>
      <c r="CY115" s="167">
        <f t="shared" si="70"/>
        <v>0</v>
      </c>
      <c r="DA115" s="187">
        <f>[12]SKOR!P18</f>
        <v>0</v>
      </c>
      <c r="DB115" s="187">
        <f>[12]SKOR!Q18</f>
        <v>0</v>
      </c>
      <c r="DC115" s="187">
        <f>[12]SKOR!R18</f>
        <v>0</v>
      </c>
      <c r="DD115" s="187">
        <f>[12]SKOR!S18</f>
        <v>0</v>
      </c>
      <c r="DE115" s="187">
        <f>[12]SKOR!T18</f>
        <v>19.151107397044029</v>
      </c>
      <c r="DF115" s="187">
        <f>[12]SKOR!U18</f>
        <v>19.151107397044029</v>
      </c>
      <c r="DG115" s="105" t="str">
        <f t="shared" si="71"/>
        <v>incl</v>
      </c>
      <c r="DH115" t="s">
        <v>259</v>
      </c>
      <c r="DI115" s="127"/>
      <c r="DJ115" s="127"/>
      <c r="DK115" s="127"/>
      <c r="DL115" s="127"/>
      <c r="DM115" s="127"/>
      <c r="DN115" s="127"/>
      <c r="DO115" s="127"/>
      <c r="DP115" s="127"/>
      <c r="DQ115" s="187">
        <f>[12]SKOR!BA$18</f>
        <v>0</v>
      </c>
      <c r="DR115" s="187">
        <f>[12]SKOR!BB$18</f>
        <v>0</v>
      </c>
      <c r="DS115" s="218"/>
      <c r="DT115" s="168"/>
      <c r="DW115" s="111">
        <f t="shared" si="72"/>
        <v>436.56</v>
      </c>
      <c r="DX115" s="111">
        <f t="shared" si="72"/>
        <v>436.56</v>
      </c>
      <c r="DY115" s="111">
        <f t="shared" si="72"/>
        <v>436.56</v>
      </c>
      <c r="DZ115" s="111">
        <f t="shared" si="66"/>
        <v>436.56</v>
      </c>
      <c r="EP115" t="s">
        <v>259</v>
      </c>
      <c r="EQ115">
        <v>2</v>
      </c>
      <c r="ER115" s="111">
        <f t="shared" si="73"/>
        <v>692.14052632999994</v>
      </c>
      <c r="ES115" s="111">
        <f>IF($BI$8=2015,VLOOKUP($L115,'[12]IMAGE CDLINKS CurPol'!$P$3:$Y$29,10,FALSE)*$AM115,VLOOKUP($L115,'[12]IMAGE CDLINKS CurPol'!$Z$3:$AI$29,10,FALSE)*$AP115)</f>
        <v>717.74835347383987</v>
      </c>
      <c r="ET115" s="111">
        <f t="shared" si="86"/>
        <v>0</v>
      </c>
      <c r="EU115" s="111">
        <f t="shared" si="76"/>
        <v>0</v>
      </c>
      <c r="EV115" s="111">
        <f>IF($BI$8=2015,VLOOKUP($L115,'[12]IMAGE CDLINKS 2C'!$P$3:$Y$29,10,FALSE)*$AM115,VLOOKUP($L115,'[12]IMAGE CDLINKS 2C'!$Z$3:$AI$29,10,FALSE)*$AP115)</f>
        <v>134.78948976479214</v>
      </c>
      <c r="EW115">
        <v>0</v>
      </c>
      <c r="EX115" s="111">
        <f>EW115-EV115</f>
        <v>-134.78948976479214</v>
      </c>
      <c r="EY115" s="111">
        <f t="shared" si="77"/>
        <v>0</v>
      </c>
      <c r="EZ115" s="111">
        <f>IF($BI$8=2015,VLOOKUP($L115,'[12]IMAGE CDLINKS 1_5C'!$P$3:$Y$29,10,FALSE)*$AM115,VLOOKUP($L115,'[12]IMAGE CDLINKS 1_5C'!$Z$3:$AI$29,10,FALSE)*$AP115)</f>
        <v>17.64932717834721</v>
      </c>
      <c r="FA115" s="192">
        <v>2050</v>
      </c>
    </row>
    <row r="116" spans="1:157" x14ac:dyDescent="0.25">
      <c r="A116" t="str">
        <f>IF([12]NDCs!C118="","",[12]NDCs!C118)</f>
        <v>G</v>
      </c>
      <c r="B116" s="159" t="str">
        <f t="shared" si="67"/>
        <v>v</v>
      </c>
      <c r="C116">
        <v>0</v>
      </c>
      <c r="D116">
        <v>0</v>
      </c>
      <c r="E116">
        <v>0</v>
      </c>
      <c r="F116">
        <v>1</v>
      </c>
      <c r="G116" t="b">
        <f t="shared" si="68"/>
        <v>0</v>
      </c>
      <c r="H116" t="s">
        <v>2328</v>
      </c>
      <c r="I116" t="s">
        <v>261</v>
      </c>
      <c r="J116">
        <v>414</v>
      </c>
      <c r="K116">
        <v>105</v>
      </c>
      <c r="L116">
        <v>17</v>
      </c>
      <c r="M116" t="str">
        <f>IF([12]NDCs!AL118="Excluding","excl","incl")</f>
        <v>excl</v>
      </c>
      <c r="N116" s="160">
        <f>[12]GHG_hist!BA106+IF($M116="incl",[12]LULUCF_hist!CR106,0)</f>
        <v>27.692778999999998</v>
      </c>
      <c r="O116" s="111">
        <f>[12]GHG_hist!BB106+IF($M116="incl",[12]LULUCF_hist!CS106,0)</f>
        <v>282.95362</v>
      </c>
      <c r="P116" s="111">
        <f>[12]GHG_hist!BC106+IF($M116="incl",[12]LULUCF_hist!CT106,0)</f>
        <v>20.850106</v>
      </c>
      <c r="Q116" s="111">
        <f>[12]GHG_hist!BD106+IF($M116="incl",[12]LULUCF_hist!CU106,0)</f>
        <v>32.928021999999999</v>
      </c>
      <c r="R116" s="111">
        <f>[12]GHG_hist!BE106+IF($M116="incl",[12]LULUCF_hist!CV106,0)</f>
        <v>36.671424000000002</v>
      </c>
      <c r="S116" s="111">
        <f>[12]GHG_hist!BF106+IF($M116="incl",[12]LULUCF_hist!CW106,0)</f>
        <v>38.790334999999999</v>
      </c>
      <c r="T116" s="111">
        <f>[12]GHG_hist!BG106+IF($M116="incl",[12]LULUCF_hist!CX106,0)</f>
        <v>37.979196000000002</v>
      </c>
      <c r="U116" s="111">
        <f>[12]GHG_hist!BH106+IF($M116="incl",[12]LULUCF_hist!CY106,0)</f>
        <v>43.030245999999998</v>
      </c>
      <c r="V116" s="111">
        <f>[12]GHG_hist!BI106+IF($M116="incl",[12]LULUCF_hist!CZ106,0)</f>
        <v>42.649625999999998</v>
      </c>
      <c r="W116" s="111">
        <f>[12]GHG_hist!BJ106+IF($M116="incl",[12]LULUCF_hist!DA106,0)</f>
        <v>46.626669999999997</v>
      </c>
      <c r="X116" s="111">
        <f>[12]GHG_hist!BK106+IF($M116="incl",[12]LULUCF_hist!DB106,0)</f>
        <v>48.931222000000005</v>
      </c>
      <c r="Y116" s="111">
        <f>[12]GHG_hist!BL106+IF($M116="incl",[12]LULUCF_hist!DC106,0)</f>
        <v>52.897693000000004</v>
      </c>
      <c r="Z116" s="111">
        <f>[12]GHG_hist!BM106+IF($M116="incl",[12]LULUCF_hist!DD106,0)</f>
        <v>55.155991</v>
      </c>
      <c r="AA116" s="111">
        <f>[12]GHG_hist!BN106+IF($M116="incl",[12]LULUCF_hist!DE106,0)</f>
        <v>57.672040000000003</v>
      </c>
      <c r="AB116" s="111">
        <f>[12]GHG_hist!BO106+IF($M116="incl",[12]LULUCF_hist!DF106,0)</f>
        <v>61.056641000000006</v>
      </c>
      <c r="AC116" s="111">
        <f>[12]GHG_hist!BP106+IF($M116="incl",[12]LULUCF_hist!DG106,0)</f>
        <v>68.749014000000003</v>
      </c>
      <c r="AD116" s="111">
        <f>[12]GHG_hist!BQ106+IF($M116="incl",[12]LULUCF_hist!DH106,0)</f>
        <v>70.366517000000002</v>
      </c>
      <c r="AE116" s="111">
        <f>[12]GHG_hist!BR106+IF($M116="incl",[12]LULUCF_hist!DI106,0)</f>
        <v>71.921100999999993</v>
      </c>
      <c r="AF116" s="111">
        <f>[12]GHG_hist!BS106+IF($M116="incl",[12]LULUCF_hist!DJ106,0)</f>
        <v>77.256219999999999</v>
      </c>
      <c r="AG116" s="111">
        <f>[12]GHG_hist!BT106+IF($M116="incl",[12]LULUCF_hist!DK106,0)</f>
        <v>80.639628000000002</v>
      </c>
      <c r="AH116" s="111">
        <f>[12]GHG_hist!BU106+IF($M116="incl",[12]LULUCF_hist!DL106,0)</f>
        <v>82.211631999999994</v>
      </c>
      <c r="AI116" s="111">
        <f>[12]GHG_hist!BV106+IF($M116="incl",[12]LULUCF_hist!DM106,0)</f>
        <v>80.587986000000001</v>
      </c>
      <c r="AJ116" s="111">
        <f>[12]GHG_hist!BW106+IF($M116="incl",[12]LULUCF_hist!DN106,0)</f>
        <v>91.551552000000001</v>
      </c>
      <c r="AK116" s="111">
        <f>[12]GHG_hist!BX106+IF($M116="incl",[12]LULUCF_hist!DO106,0)</f>
        <v>89.839780000000005</v>
      </c>
      <c r="AL116" s="111">
        <f>[12]GHG_hist!BY106+IF($M116="incl",[12]LULUCF_hist!DP106,0)</f>
        <v>86.453147000000001</v>
      </c>
      <c r="AM116" s="111">
        <f>[12]GHG_hist!BZ106+IF($M116="incl",[12]LULUCF_hist!DQ106,0)</f>
        <v>90.907207999999997</v>
      </c>
      <c r="AN116" s="111">
        <f>[12]GHG_hist!CA106+IF($M116="incl",[12]LULUCF_hist!DR106,0)</f>
        <v>96.796437999999995</v>
      </c>
      <c r="AO116" s="111">
        <f>[12]GHG_hist!CB106+IF($M116="incl",[12]LULUCF_hist!DS106,0)</f>
        <v>99.725510999999997</v>
      </c>
      <c r="AP116" s="111">
        <f>[12]GHG_hist!CC106+IF($M116="incl",[12]LULUCF_hist!DT106,0)</f>
        <v>102.78371000000001</v>
      </c>
      <c r="AQ116" s="111">
        <f>[12]GHG_hist!CD106+IF($M116="incl",[12]LULUCF_hist!DU106,0)</f>
        <v>95.813557000000003</v>
      </c>
      <c r="AR116" s="111">
        <f>[12]GHG_hist!CE106+IF($M116="incl",[12]LULUCF_hist!DV106,0)</f>
        <v>91.945147000000006</v>
      </c>
      <c r="AS116" s="111">
        <f>[12]GHG_hist!CF106+IF($M116="incl",[12]LULUCF_hist!DW106,0)</f>
        <v>97.586861999999996</v>
      </c>
      <c r="AT116" s="161">
        <f>VLOOKUP($L116,'[12]IMAGE SSP2'!$AF$3:$AK$29,4,FALSE)*$AM116</f>
        <v>101.09076555905247</v>
      </c>
      <c r="AU116" s="162">
        <f>VLOOKUP($L116,'[12]IMAGE SSP2'!$AF$3:$AK$29,5,FALSE)*$AM116</f>
        <v>109.56446351030129</v>
      </c>
      <c r="AV116" s="163">
        <f>VLOOKUP($L116,'[12]IMAGE SSP2'!$AF$3:$AK$29,6,FALSE)*$AM116</f>
        <v>116.00625156336073</v>
      </c>
      <c r="AW116" s="111" t="str">
        <f t="shared" si="75"/>
        <v/>
      </c>
      <c r="AX116" s="164" t="str">
        <f>IF(A116="B",IF(M116="excl",[12]NatCom!CO106,[12]NatCom!AX106),"")</f>
        <v/>
      </c>
      <c r="AY116" s="111" t="str">
        <f>IF('[12]Pledge 2020'!E106="","",'[12]Pledge 2020'!E106)</f>
        <v/>
      </c>
      <c r="AZ116" s="164" t="str">
        <f>IF('[12]Pledge 2020'!F106="","",'[12]Pledge 2020'!F106)</f>
        <v/>
      </c>
      <c r="BA116" s="111">
        <f t="shared" si="51"/>
        <v>119.17190800000002</v>
      </c>
      <c r="BB116" s="111">
        <f>IF(BF116="","",(BF116-AH116)*0.75+AH116)</f>
        <v>119.17190800000002</v>
      </c>
      <c r="BC116" s="111">
        <f t="shared" si="52"/>
        <v>119.17190800000002</v>
      </c>
      <c r="BD116" s="111">
        <f>IF(BH116="","",(BH116-AJ116)*0.75+AJ116)</f>
        <v>121.50688800000002</v>
      </c>
      <c r="BE116" s="169">
        <v>131.49200000000002</v>
      </c>
      <c r="BF116" s="169">
        <v>131.49200000000002</v>
      </c>
      <c r="BG116" s="169">
        <v>131.49200000000002</v>
      </c>
      <c r="BH116" s="170">
        <v>131.49200000000002</v>
      </c>
      <c r="BI116" s="111" t="str">
        <f>IF([12]NDCs!V118="",IF([12]NDCs!X118="","",[12]NDCs!X118),[12]NDCs!V118)</f>
        <v/>
      </c>
      <c r="BJ116" s="111" t="str">
        <f>IF([12]NDCs!V118="",IF([12]NDCs!X118="","",[12]NDCs!X118),[12]NDCs!V118)</f>
        <v/>
      </c>
      <c r="BK116" s="111">
        <f>BS116</f>
        <v>96.901005691846123</v>
      </c>
      <c r="BL116" s="111">
        <f>BS116</f>
        <v>96.901005691846123</v>
      </c>
      <c r="BM116" s="111">
        <f>IF($BI$8=2015,VLOOKUP($L116,'[12]IMAGE CurPol SSP'!$AZ$3:$BD$29,4,FALSE)*$AM116,IF($BI$8=2018,VLOOKUP($L116,'[12]IMAGE CurPol SSP'!$BJ$3:$BN$29,4,FALSE)*$AP116,$AR116))</f>
        <v>91.945147000000006</v>
      </c>
      <c r="BN116" s="111">
        <f t="shared" ref="BN116:BO131" si="92">IF($BI$8=2015,"",IF($BI$8=2018,"",$AR116))</f>
        <v>91.945147000000006</v>
      </c>
      <c r="BO116" s="111">
        <f t="shared" si="92"/>
        <v>91.945147000000006</v>
      </c>
      <c r="BP116" s="111">
        <f>IF($BI$8=2015,VLOOKUP($L116,'[12]IMAGE CurPol SSP'!$AZ$3:$BD$29,5,FALSE)*$AM116,IF($BI$8=2018,VLOOKUP($L116,'[12]IMAGE CurPol SSP'!$BJ$3:$BN$29,5,FALSE)*$AP116,VLOOKUP($L116,'[12]IMAGE CurPol SSP'!$BU$3:$BZ$29,5,FALSE)*$AS116))</f>
        <v>96.93455375397437</v>
      </c>
      <c r="BQ116" s="111">
        <f>IF($BI$8=2015,"",IF($BI$8=2018,"",VLOOKUP($L116,'[12]IMAGE CurPol SSP'!$CQ$3:$CV$29,5,FALSE)*$AS116))</f>
        <v>95.98850656174892</v>
      </c>
      <c r="BR116" s="111">
        <f>IF($BI$8=2015,"",IF($BI$8=2018,"",VLOOKUP($L116,'[12]IMAGE CurPol SSP'!$CF$3:$CK$29,5,FALSE)*$AS116))</f>
        <v>98.731001393639815</v>
      </c>
      <c r="BS116" s="111">
        <f>IF($BI$8=2015,VLOOKUP($L116,'[12]IMAGE CurPol SSP'!$AZ$3:$BE$29,6,FALSE)*$AM116,IF($BI$8=2018,VLOOKUP($L116,'[12]IMAGE CurPol SSP'!$BJ$3:$BO$29,6,FALSE)*$AP116,VLOOKUP($L116,'[12]IMAGE CurPol SSP'!$BU$3:$BZ$29,6,FALSE)*$AS116))</f>
        <v>96.901005691846123</v>
      </c>
      <c r="BT116" s="111">
        <f>IF($BI$8=2015,"",IF($BI$8=2018,"",VLOOKUP($L116,'[12]IMAGE CurPol SSP'!$CQ$3:$CV$29,6,FALSE)*$AS116))</f>
        <v>94.654500298657865</v>
      </c>
      <c r="BU116" s="164">
        <f>IF($BI$8=2015,"",IF($BI$8=2018,"",VLOOKUP($L116,'[12]IMAGE CurPol SSP'!$CF$3:$CK$29,6,FALSE)*$AS116))</f>
        <v>100.49717155922808</v>
      </c>
      <c r="CN116" t="s">
        <v>261</v>
      </c>
      <c r="CO116" s="165">
        <f t="shared" si="69"/>
        <v>0.35697250055542629</v>
      </c>
      <c r="CP116" s="165">
        <f t="shared" si="69"/>
        <v>0.35697250055542629</v>
      </c>
      <c r="CQ116" s="165">
        <f t="shared" si="69"/>
        <v>0.35697250055542629</v>
      </c>
      <c r="CR116" s="165">
        <f t="shared" si="65"/>
        <v>0.35697250055542629</v>
      </c>
      <c r="CV116" s="125" t="s">
        <v>621</v>
      </c>
      <c r="CW116" s="125" t="s">
        <v>621</v>
      </c>
      <c r="CX116"/>
      <c r="CY116" s="167">
        <f t="shared" si="70"/>
        <v>9.1456185590524655</v>
      </c>
      <c r="DB116" s="106"/>
      <c r="DC116" s="106"/>
      <c r="DD116" s="106"/>
      <c r="DE116" s="106"/>
      <c r="DF116" s="106"/>
      <c r="DG116" s="105" t="str">
        <f t="shared" si="71"/>
        <v>excl</v>
      </c>
      <c r="DH116" t="s">
        <v>261</v>
      </c>
      <c r="DI116" s="111">
        <f t="shared" ref="DI116:DJ138" si="93">IF(AY116="",$BM116,AY116)-$BM116</f>
        <v>0</v>
      </c>
      <c r="DJ116" s="111">
        <f t="shared" si="93"/>
        <v>0</v>
      </c>
      <c r="DK116" s="111">
        <f t="shared" ref="DK116:DK138" si="94">IF(BA116="",$BP116,BA116)-$BP116</f>
        <v>22.237354246025646</v>
      </c>
      <c r="DL116" s="111">
        <f t="shared" ref="DL116:DL138" si="95">IF(BC116="",$BP116,BC116)-$BP116</f>
        <v>22.237354246025646</v>
      </c>
      <c r="DM116" s="111">
        <f t="shared" ref="DM116:DM138" si="96">IF(BE116="",$BS116,BE116)-$BS116</f>
        <v>34.590994308153896</v>
      </c>
      <c r="DN116" s="111">
        <f t="shared" ref="DN116:DN138" si="97">IF(BG116="",$BS116,BG116)-$BS116</f>
        <v>34.590994308153896</v>
      </c>
      <c r="DO116" s="111">
        <f t="shared" ref="DO116:DO138" si="98">IF(BI116="",$BS116,BI116)-$BS116</f>
        <v>0</v>
      </c>
      <c r="DP116" s="111">
        <f t="shared" ref="DP116:DP138" si="99">IF(BK116="",$BS116,BK116)-$BS116</f>
        <v>0</v>
      </c>
      <c r="DQ116" s="106"/>
      <c r="DR116" s="106"/>
      <c r="DS116" s="111"/>
      <c r="DT116" s="168"/>
      <c r="DW116" s="111">
        <f t="shared" si="72"/>
        <v>131.49200000000002</v>
      </c>
      <c r="DX116" s="111">
        <f t="shared" si="72"/>
        <v>131.49200000000002</v>
      </c>
      <c r="DY116" s="111">
        <f t="shared" si="72"/>
        <v>131.49200000000002</v>
      </c>
      <c r="DZ116" s="111">
        <f t="shared" si="66"/>
        <v>131.49200000000002</v>
      </c>
      <c r="EP116" t="s">
        <v>261</v>
      </c>
      <c r="EQ116">
        <v>0</v>
      </c>
      <c r="ER116" s="111">
        <f t="shared" si="73"/>
        <v>102.78371000000001</v>
      </c>
      <c r="ES116" s="111">
        <f>IF($BI$8=2015,VLOOKUP($L116,'[12]IMAGE CDLINKS CurPol'!$P$3:$Y$29,10,FALSE)*$AM116,VLOOKUP($L116,'[12]IMAGE CDLINKS CurPol'!$Z$3:$AI$29,10,FALSE)*$AP116)</f>
        <v>153.79403659340213</v>
      </c>
      <c r="ET116" s="111">
        <f t="shared" si="86"/>
        <v>153.79403659340213</v>
      </c>
      <c r="EU116" s="111">
        <f t="shared" si="76"/>
        <v>51.748736529631472</v>
      </c>
      <c r="EV116" s="111">
        <f>IF($BI$8=2015,VLOOKUP($L116,'[12]IMAGE CDLINKS 2C'!$P$3:$Y$29,10,FALSE)*$AM116,VLOOKUP($L116,'[12]IMAGE CDLINKS 2C'!$Z$3:$AI$29,10,FALSE)*$AP116)</f>
        <v>51.748736529631472</v>
      </c>
      <c r="EY116" s="111">
        <f t="shared" si="77"/>
        <v>9.0140601831498994</v>
      </c>
      <c r="EZ116" s="111">
        <f>IF($BI$8=2015,VLOOKUP($L116,'[12]IMAGE CDLINKS 1_5C'!$P$3:$Y$29,10,FALSE)*$AM116,VLOOKUP($L116,'[12]IMAGE CDLINKS 1_5C'!$Z$3:$AI$29,10,FALSE)*$AP116)</f>
        <v>9.0140601831498994</v>
      </c>
      <c r="FA116" s="192"/>
    </row>
    <row r="117" spans="1:157" x14ac:dyDescent="0.25">
      <c r="A117" t="str">
        <f>IF([12]NDCs!C119="","",[12]NDCs!C119)</f>
        <v>B</v>
      </c>
      <c r="B117" s="159" t="str">
        <f t="shared" si="67"/>
        <v>v</v>
      </c>
      <c r="C117">
        <v>0</v>
      </c>
      <c r="D117">
        <v>0</v>
      </c>
      <c r="E117">
        <v>0</v>
      </c>
      <c r="F117">
        <v>1</v>
      </c>
      <c r="G117" t="b">
        <f t="shared" si="68"/>
        <v>1</v>
      </c>
      <c r="H117" t="s">
        <v>2328</v>
      </c>
      <c r="I117" t="s">
        <v>263</v>
      </c>
      <c r="J117">
        <v>417</v>
      </c>
      <c r="K117">
        <v>106</v>
      </c>
      <c r="L117">
        <v>15</v>
      </c>
      <c r="M117" t="str">
        <f>IF([12]NDCs!AL119="Excluding","excl","incl")</f>
        <v>incl</v>
      </c>
      <c r="N117" s="160">
        <f>[12]GHG_hist!BA107+IF($M117="incl",[12]LULUCF_hist!CR107,0)</f>
        <v>18.785424000000003</v>
      </c>
      <c r="O117" s="111">
        <f>[12]GHG_hist!BB107+IF($M117="incl",[12]LULUCF_hist!CS107,0)</f>
        <v>16.414842</v>
      </c>
      <c r="P117" s="111">
        <f>[12]GHG_hist!BC107+IF($M117="incl",[12]LULUCF_hist!CT107,0)</f>
        <v>11.770068999999999</v>
      </c>
      <c r="Q117" s="111">
        <f>[12]GHG_hist!BD107+IF($M117="incl",[12]LULUCF_hist!CU107,0)</f>
        <v>5.7070679999999996</v>
      </c>
      <c r="R117" s="111">
        <f>[12]GHG_hist!BE107+IF($M117="incl",[12]LULUCF_hist!CV107,0)</f>
        <v>1.3247940000000007</v>
      </c>
      <c r="S117" s="111">
        <f>[12]GHG_hist!BF107+IF($M117="incl",[12]LULUCF_hist!CW107,0)</f>
        <v>-1.0932557000000003</v>
      </c>
      <c r="T117" s="111">
        <f>[12]GHG_hist!BG107+IF($M117="incl",[12]LULUCF_hist!CX107,0)</f>
        <v>-1.0960237999999993</v>
      </c>
      <c r="U117" s="111">
        <f>[12]GHG_hist!BH107+IF($M117="incl",[12]LULUCF_hist!CY107,0)</f>
        <v>-0.59972639999999977</v>
      </c>
      <c r="V117" s="111">
        <f>[12]GHG_hist!BI107+IF($M117="incl",[12]LULUCF_hist!CZ107,0)</f>
        <v>-1.2123068000000004</v>
      </c>
      <c r="W117" s="111">
        <f>[12]GHG_hist!BJ107+IF($M117="incl",[12]LULUCF_hist!DA107,0)</f>
        <v>-1.3404129999999999</v>
      </c>
      <c r="X117" s="111">
        <f>[12]GHG_hist!BK107+IF($M117="incl",[12]LULUCF_hist!DB107,0)</f>
        <v>-1.6011262999999989</v>
      </c>
      <c r="Y117" s="111">
        <f>[12]GHG_hist!BL107+IF($M117="incl",[12]LULUCF_hist!DC107,0)</f>
        <v>-1.1061838000000002</v>
      </c>
      <c r="Z117" s="111">
        <f>[12]GHG_hist!BM107+IF($M117="incl",[12]LULUCF_hist!DD107,0)</f>
        <v>-1.3928356999999991</v>
      </c>
      <c r="AA117" s="111">
        <f>[12]GHG_hist!BN107+IF($M117="incl",[12]LULUCF_hist!DE107,0)</f>
        <v>-0.83202109999999863</v>
      </c>
      <c r="AB117" s="111">
        <f>[12]GHG_hist!BO107+IF($M117="incl",[12]LULUCF_hist!DF107,0)</f>
        <v>-0.85884350000000076</v>
      </c>
      <c r="AC117" s="111">
        <f>[12]GHG_hist!BP107+IF($M117="incl",[12]LULUCF_hist!DG107,0)</f>
        <v>-0.25553569999999937</v>
      </c>
      <c r="AD117" s="111">
        <f>[12]GHG_hist!BQ107+IF($M117="incl",[12]LULUCF_hist!DH107,0)</f>
        <v>-2.0195999999998548E-2</v>
      </c>
      <c r="AE117" s="111">
        <f>[12]GHG_hist!BR107+IF($M117="incl",[12]LULUCF_hist!DI107,0)</f>
        <v>2.0493650000000017</v>
      </c>
      <c r="AF117" s="111">
        <f>[12]GHG_hist!BS107+IF($M117="incl",[12]LULUCF_hist!DJ107,0)</f>
        <v>2.1113960000000009</v>
      </c>
      <c r="AG117" s="111">
        <f>[12]GHG_hist!BT107+IF($M117="incl",[12]LULUCF_hist!DK107,0)</f>
        <v>1.8419950000000007</v>
      </c>
      <c r="AH117" s="111">
        <f>[12]GHG_hist!BU107+IF($M117="incl",[12]LULUCF_hist!DL107,0)</f>
        <v>1.4223430000000015</v>
      </c>
      <c r="AI117" s="111">
        <f>[12]GHG_hist!BV107+IF($M117="incl",[12]LULUCF_hist!DM107,0)</f>
        <v>3.1841720000000002</v>
      </c>
      <c r="AJ117" s="111">
        <f>[12]GHG_hist!BW107+IF($M117="incl",[12]LULUCF_hist!DN107,0)</f>
        <v>4.9190250000000013</v>
      </c>
      <c r="AK117" s="111">
        <f>[12]GHG_hist!BX107+IF($M117="incl",[12]LULUCF_hist!DO107,0)</f>
        <v>5.0729810000000004</v>
      </c>
      <c r="AL117" s="111">
        <f>[12]GHG_hist!BY107+IF($M117="incl",[12]LULUCF_hist!DP107,0)</f>
        <v>5.5959949999999985</v>
      </c>
      <c r="AM117" s="111">
        <f>[12]GHG_hist!BZ107+IF($M117="incl",[12]LULUCF_hist!DQ107,0)</f>
        <v>6.2366799999999998</v>
      </c>
      <c r="AN117" s="111">
        <f>[12]GHG_hist!CA107+IF($M117="incl",[12]LULUCF_hist!DR107,0)</f>
        <v>4.9572669999999999</v>
      </c>
      <c r="AO117" s="111">
        <f>[12]GHG_hist!CB107+IF($M117="incl",[12]LULUCF_hist!DS107,0)</f>
        <v>5.7933279999999989</v>
      </c>
      <c r="AP117" s="111">
        <f>[12]GHG_hist!CC107+IF($M117="incl",[12]LULUCF_hist!DT107,0)</f>
        <v>7.3965159999999983</v>
      </c>
      <c r="AQ117" s="111">
        <f>[12]GHG_hist!CD107+IF($M117="incl",[12]LULUCF_hist!DU107,0)</f>
        <v>7.4918387733990137</v>
      </c>
      <c r="AR117" s="111">
        <f>[12]GHG_hist!CE107+IF($M117="incl",[12]LULUCF_hist!DV107,0)</f>
        <v>7.6159682571428569</v>
      </c>
      <c r="AS117" s="111">
        <f>[12]GHG_hist!CF107+IF($M117="incl",[12]LULUCF_hist!DW107,0)</f>
        <v>8.6301657408867012</v>
      </c>
      <c r="AT117" s="161">
        <f>VLOOKUP($L117,'[12]IMAGE SSP2'!$AF$3:$AK$29,4,FALSE)*$AM117</f>
        <v>6.8059634984483957</v>
      </c>
      <c r="AU117" s="162">
        <f>VLOOKUP($L117,'[12]IMAGE SSP2'!$AF$3:$AK$29,5,FALSE)*$AM117</f>
        <v>7.5086940585153181</v>
      </c>
      <c r="AV117" s="163">
        <f>VLOOKUP($L117,'[12]IMAGE SSP2'!$AF$3:$AK$29,6,FALSE)*$AM117</f>
        <v>7.9550106885024867</v>
      </c>
      <c r="AW117" s="111"/>
      <c r="AX117" s="164"/>
      <c r="AY117" s="111" t="str">
        <f>IF('[12]Pledge 2020'!E107="","",'[12]Pledge 2020'!E107)</f>
        <v/>
      </c>
      <c r="AZ117" s="164" t="str">
        <f>IF('[12]Pledge 2020'!F107="","",'[12]Pledge 2020'!F107)</f>
        <v/>
      </c>
      <c r="BA117" s="111">
        <f t="shared" si="51"/>
        <v>7.0418352795952632</v>
      </c>
      <c r="BB117" s="111">
        <f>IF(BF117="","",(BF117-AH117)*0.75+AH117)</f>
        <v>7.0418352795952632</v>
      </c>
      <c r="BC117" s="111">
        <f t="shared" si="52"/>
        <v>4.8417305611219916</v>
      </c>
      <c r="BD117" s="111">
        <f>IF(BH117="","",(BH117-AH117)*0.75+AH117)</f>
        <v>4.8417305611219916</v>
      </c>
      <c r="BE117" s="196">
        <v>8.9149993727936838</v>
      </c>
      <c r="BF117" s="196">
        <v>8.9149993727936838</v>
      </c>
      <c r="BG117" s="196">
        <v>5.9815264148293217</v>
      </c>
      <c r="BH117" s="197">
        <v>5.9815264148293217</v>
      </c>
      <c r="BI117" s="111">
        <f>IF([12]NDCs!V119="",IF([12]NDCs!X119="","",[12]NDCs!X119),[12]NDCs!V119)</f>
        <v>24.83625675</v>
      </c>
      <c r="BJ117" s="111">
        <f>IF([12]NDCs!V119="",IF([12]NDCs!X119="","",[12]NDCs!X119),[12]NDCs!V119)</f>
        <v>24.83625675</v>
      </c>
      <c r="BK117" s="111">
        <f>IF([12]NDCs!Z119="",IF([12]NDCs!AB119="",IF('input site'!BE117="","",'input site'!BE117),[12]NDCs!AB119),[12]NDCs!Z119)</f>
        <v>19.900680626</v>
      </c>
      <c r="BL117" s="111">
        <f>IF([12]NDCs!AA119="",IF([12]NDCs!AC119="",IF('input site'!BF117="","",'input site'!BF117),[12]NDCs!AC119),[12]NDCs!AA119)</f>
        <v>19.900680626</v>
      </c>
      <c r="BM117" s="111">
        <f>IF($BI$8=2015,VLOOKUP($L117,'[12]IMAGE CurPol SSP'!$AZ$3:$BD$29,4,FALSE)*$AM117,IF($BI$8=2018,VLOOKUP($L117,'[12]IMAGE CurPol SSP'!$BJ$3:$BN$29,4,FALSE)*$AP117,$AR117))</f>
        <v>7.6159682571428569</v>
      </c>
      <c r="BN117" s="111">
        <f t="shared" si="92"/>
        <v>7.6159682571428569</v>
      </c>
      <c r="BO117" s="111">
        <f t="shared" si="92"/>
        <v>7.6159682571428569</v>
      </c>
      <c r="BP117" s="111">
        <f>IF($BI$8=2015,VLOOKUP($L117,'[12]IMAGE CurPol SSP'!$AZ$3:$BD$29,5,FALSE)*$AM117,IF($BI$8=2018,VLOOKUP($L117,'[12]IMAGE CurPol SSP'!$BJ$3:$BN$29,5,FALSE)*$AP117,VLOOKUP($L117,'[12]IMAGE CurPol SSP'!$BU$3:$BZ$29,5,FALSE)*$AS117))</f>
        <v>9.4036452166406974</v>
      </c>
      <c r="BQ117" s="111">
        <f>IF($BI$8=2015,"",IF($BI$8=2018,"",VLOOKUP($L117,'[12]IMAGE CurPol SSP'!$CQ$3:$CV$29,5,FALSE)*$AS117))</f>
        <v>9.1396456703917561</v>
      </c>
      <c r="BR117" s="111">
        <f>IF($BI$8=2015,"",IF($BI$8=2018,"",VLOOKUP($L117,'[12]IMAGE CurPol SSP'!$CF$3:$CK$29,5,FALSE)*$AS117))</f>
        <v>9.5906652660647698</v>
      </c>
      <c r="BS117" s="111">
        <f>IF($BI$8=2015,VLOOKUP($L117,'[12]IMAGE CurPol SSP'!$AZ$3:$BE$29,6,FALSE)*$AM117,IF($BI$8=2018,VLOOKUP($L117,'[12]IMAGE CurPol SSP'!$BJ$3:$BO$29,6,FALSE)*$AP117,VLOOKUP($L117,'[12]IMAGE CurPol SSP'!$BU$3:$BZ$29,6,FALSE)*$AS117))</f>
        <v>10.609305453758994</v>
      </c>
      <c r="BT117" s="111">
        <f>IF($BI$8=2015,"",IF($BI$8=2018,"",VLOOKUP($L117,'[12]IMAGE CurPol SSP'!$CQ$3:$CV$29,6,FALSE)*$AS117))</f>
        <v>10.097126917066797</v>
      </c>
      <c r="BU117" s="164">
        <f>IF($BI$8=2015,"",IF($BI$8=2018,"",VLOOKUP($L117,'[12]IMAGE CurPol SSP'!$CF$3:$CK$29,6,FALSE)*$AS117))</f>
        <v>11.186953650416216</v>
      </c>
      <c r="CN117" t="s">
        <v>263</v>
      </c>
      <c r="CO117" s="165">
        <f t="shared" si="69"/>
        <v>-0.15969999999999984</v>
      </c>
      <c r="CP117" s="165">
        <f t="shared" si="69"/>
        <v>-0.15969999999999984</v>
      </c>
      <c r="CQ117" s="165">
        <f t="shared" si="69"/>
        <v>-0.43619999999999992</v>
      </c>
      <c r="CR117" s="165">
        <f t="shared" si="65"/>
        <v>-0.43619999999999992</v>
      </c>
      <c r="CV117" s="125" t="s">
        <v>621</v>
      </c>
      <c r="CW117" s="125" t="s">
        <v>621</v>
      </c>
      <c r="CX117"/>
      <c r="CY117" s="167">
        <f t="shared" si="70"/>
        <v>-0.8100047586944612</v>
      </c>
      <c r="DB117" s="106"/>
      <c r="DC117" s="106"/>
      <c r="DD117" s="106"/>
      <c r="DE117" s="106"/>
      <c r="DF117" s="106"/>
      <c r="DG117" s="105" t="str">
        <f t="shared" si="71"/>
        <v>incl</v>
      </c>
      <c r="DH117" t="s">
        <v>263</v>
      </c>
      <c r="DI117" s="111">
        <f t="shared" si="93"/>
        <v>0</v>
      </c>
      <c r="DJ117" s="111">
        <f t="shared" si="93"/>
        <v>0</v>
      </c>
      <c r="DK117" s="111">
        <f t="shared" si="94"/>
        <v>-2.3618099370454342</v>
      </c>
      <c r="DL117" s="111">
        <f t="shared" si="95"/>
        <v>-4.5619146555187058</v>
      </c>
      <c r="DM117" s="111">
        <f t="shared" si="96"/>
        <v>-1.6943060809653101</v>
      </c>
      <c r="DN117" s="111">
        <f t="shared" si="97"/>
        <v>-4.6277790389296722</v>
      </c>
      <c r="DO117" s="111">
        <f t="shared" si="98"/>
        <v>14.226951296241007</v>
      </c>
      <c r="DP117" s="111">
        <f t="shared" si="99"/>
        <v>9.2913751722410058</v>
      </c>
      <c r="DQ117" s="106"/>
      <c r="DR117" s="106"/>
      <c r="DS117" s="111">
        <f>[12]GHG_hist!BZ107+IF($M117="incl",[12]LULUCF_hist!DQ107,0)</f>
        <v>6.2366799999999998</v>
      </c>
      <c r="DT117" s="168">
        <f>IF($M117="incl",'[12]IIASA Proj'!EQ107,0)</f>
        <v>-10.488497645320196</v>
      </c>
      <c r="DW117" s="111">
        <f t="shared" si="72"/>
        <v>8.9149993727936838</v>
      </c>
      <c r="DX117" s="111">
        <f t="shared" si="72"/>
        <v>8.9149993727936838</v>
      </c>
      <c r="DY117" s="111">
        <f t="shared" si="72"/>
        <v>5.9815264148293217</v>
      </c>
      <c r="DZ117" s="111">
        <f t="shared" si="66"/>
        <v>5.9815264148293217</v>
      </c>
      <c r="EP117" t="s">
        <v>263</v>
      </c>
      <c r="EQ117">
        <v>0</v>
      </c>
      <c r="ER117" s="111">
        <f t="shared" si="73"/>
        <v>7.3965159999999983</v>
      </c>
      <c r="ES117" s="111">
        <f>IF($BI$8=2015,VLOOKUP($L117,'[12]IMAGE CDLINKS CurPol'!$P$3:$Y$29,10,FALSE)*$AM117,VLOOKUP($L117,'[12]IMAGE CDLINKS CurPol'!$Z$3:$AI$29,10,FALSE)*$AP117)</f>
        <v>9.9258305592539156</v>
      </c>
      <c r="ET117" s="111">
        <f t="shared" si="86"/>
        <v>9.9258305592539156</v>
      </c>
      <c r="EU117" s="111">
        <f t="shared" si="76"/>
        <v>3.3439193679446553</v>
      </c>
      <c r="EV117" s="111">
        <f>IF($BI$8=2015,VLOOKUP($L117,'[12]IMAGE CDLINKS 2C'!$P$3:$Y$29,10,FALSE)*$AM117,VLOOKUP($L117,'[12]IMAGE CDLINKS 2C'!$Z$3:$AI$29,10,FALSE)*$AP117)</f>
        <v>3.3439193679446553</v>
      </c>
      <c r="EY117" s="111">
        <f t="shared" si="77"/>
        <v>2.1244130252259459</v>
      </c>
      <c r="EZ117" s="111">
        <f>IF($BI$8=2015,VLOOKUP($L117,'[12]IMAGE CDLINKS 1_5C'!$P$3:$Y$29,10,FALSE)*$AM117,VLOOKUP($L117,'[12]IMAGE CDLINKS 1_5C'!$Z$3:$AI$29,10,FALSE)*$AP117)</f>
        <v>2.1244130252259459</v>
      </c>
      <c r="FA117" s="192"/>
    </row>
    <row r="118" spans="1:157" x14ac:dyDescent="0.25">
      <c r="A118" t="str">
        <f>IF([12]NDCs!C120="","",[12]NDCs!C120)</f>
        <v>G</v>
      </c>
      <c r="B118" s="159" t="str">
        <f t="shared" si="67"/>
        <v>v</v>
      </c>
      <c r="C118">
        <v>0</v>
      </c>
      <c r="D118">
        <v>0</v>
      </c>
      <c r="E118">
        <v>0</v>
      </c>
      <c r="F118">
        <v>1</v>
      </c>
      <c r="G118" t="b">
        <f t="shared" si="68"/>
        <v>0</v>
      </c>
      <c r="H118" t="s">
        <v>2328</v>
      </c>
      <c r="I118" t="s">
        <v>265</v>
      </c>
      <c r="J118">
        <v>418</v>
      </c>
      <c r="K118">
        <v>107</v>
      </c>
      <c r="L118">
        <v>21</v>
      </c>
      <c r="M118" t="str">
        <f>IF([12]NDCs!AL120="Excluding","excl","incl")</f>
        <v>excl</v>
      </c>
      <c r="N118" s="160">
        <f>[12]GHG_hist!BA108+IF($M118="incl",[12]LULUCF_hist!CR108,0)</f>
        <v>9.5734629000000009</v>
      </c>
      <c r="O118" s="111">
        <f>[12]GHG_hist!BB108+IF($M118="incl",[12]LULUCF_hist!CS108,0)</f>
        <v>9.0024035999999992</v>
      </c>
      <c r="P118" s="111">
        <f>[12]GHG_hist!BC108+IF($M118="incl",[12]LULUCF_hist!CT108,0)</f>
        <v>9.1619910999999998</v>
      </c>
      <c r="Q118" s="111">
        <f>[12]GHG_hist!BD108+IF($M118="incl",[12]LULUCF_hist!CU108,0)</f>
        <v>8.9911110999999995</v>
      </c>
      <c r="R118" s="111">
        <f>[12]GHG_hist!BE108+IF($M118="incl",[12]LULUCF_hist!CV108,0)</f>
        <v>9.3751838000000003</v>
      </c>
      <c r="S118" s="111">
        <f>[12]GHG_hist!BF108+IF($M118="incl",[12]LULUCF_hist!CW108,0)</f>
        <v>9.3706126000000012</v>
      </c>
      <c r="T118" s="111">
        <f>[12]GHG_hist!BG108+IF($M118="incl",[12]LULUCF_hist!CX108,0)</f>
        <v>9.2086221000000013</v>
      </c>
      <c r="U118" s="111">
        <f>[12]GHG_hist!BH108+IF($M118="incl",[12]LULUCF_hist!CY108,0)</f>
        <v>9.3847162000000015</v>
      </c>
      <c r="V118" s="111">
        <f>[12]GHG_hist!BI108+IF($M118="incl",[12]LULUCF_hist!CZ108,0)</f>
        <v>8.8643214000000015</v>
      </c>
      <c r="W118" s="111">
        <f>[12]GHG_hist!BJ108+IF($M118="incl",[12]LULUCF_hist!DA108,0)</f>
        <v>8.8570463000000004</v>
      </c>
      <c r="X118" s="111">
        <f>[12]GHG_hist!BK108+IF($M118="incl",[12]LULUCF_hist!DB108,0)</f>
        <v>9.309515900000001</v>
      </c>
      <c r="Y118" s="111">
        <f>[12]GHG_hist!BL108+IF($M118="incl",[12]LULUCF_hist!DC108,0)</f>
        <v>9.5975542000000011</v>
      </c>
      <c r="Z118" s="111">
        <f>[12]GHG_hist!BM108+IF($M118="incl",[12]LULUCF_hist!DD108,0)</f>
        <v>9.7708279999999998</v>
      </c>
      <c r="AA118" s="111">
        <f>[12]GHG_hist!BN108+IF($M118="incl",[12]LULUCF_hist!DE108,0)</f>
        <v>9.9502783000000008</v>
      </c>
      <c r="AB118" s="111">
        <f>[12]GHG_hist!BO108+IF($M118="incl",[12]LULUCF_hist!DF108,0)</f>
        <v>10.385999</v>
      </c>
      <c r="AC118" s="111">
        <f>[12]GHG_hist!BP108+IF($M118="incl",[12]LULUCF_hist!DG108,0)</f>
        <v>10.202626</v>
      </c>
      <c r="AD118" s="111">
        <f>[12]GHG_hist!BQ108+IF($M118="incl",[12]LULUCF_hist!DH108,0)</f>
        <v>10.50342</v>
      </c>
      <c r="AE118" s="111">
        <f>[12]GHG_hist!BR108+IF($M118="incl",[12]LULUCF_hist!DI108,0)</f>
        <v>11.023378000000001</v>
      </c>
      <c r="AF118" s="111">
        <f>[12]GHG_hist!BS108+IF($M118="incl",[12]LULUCF_hist!DJ108,0)</f>
        <v>11.407954999999999</v>
      </c>
      <c r="AG118" s="111">
        <f>[12]GHG_hist!BT108+IF($M118="incl",[12]LULUCF_hist!DK108,0)</f>
        <v>12.337648999999999</v>
      </c>
      <c r="AH118" s="111">
        <f>[12]GHG_hist!BU108+IF($M118="incl",[12]LULUCF_hist!DL108,0)</f>
        <v>13.318562</v>
      </c>
      <c r="AI118" s="111">
        <f>[12]GHG_hist!BV108+IF($M118="incl",[12]LULUCF_hist!DM108,0)</f>
        <v>12.951536000000001</v>
      </c>
      <c r="AJ118" s="111">
        <f>[12]GHG_hist!BW108+IF($M118="incl",[12]LULUCF_hist!DN108,0)</f>
        <v>13.922223000000001</v>
      </c>
      <c r="AK118" s="111">
        <f>[12]GHG_hist!BX108+IF($M118="incl",[12]LULUCF_hist!DO108,0)</f>
        <v>14.769989000000001</v>
      </c>
      <c r="AL118" s="111">
        <f>[12]GHG_hist!BY108+IF($M118="incl",[12]LULUCF_hist!DP108,0)</f>
        <v>15.071505</v>
      </c>
      <c r="AM118" s="111">
        <f>[12]GHG_hist!BZ108+IF($M118="incl",[12]LULUCF_hist!DQ108,0)</f>
        <v>19.926942</v>
      </c>
      <c r="AN118" s="111">
        <f>[12]GHG_hist!CA108+IF($M118="incl",[12]LULUCF_hist!DR108,0)</f>
        <v>25.791863000000003</v>
      </c>
      <c r="AO118" s="111">
        <f>[12]GHG_hist!CB108+IF($M118="incl",[12]LULUCF_hist!DS108,0)</f>
        <v>29.304548</v>
      </c>
      <c r="AP118" s="111">
        <f>[12]GHG_hist!CC108+IF($M118="incl",[12]LULUCF_hist!DT108,0)</f>
        <v>30.034372999999999</v>
      </c>
      <c r="AQ118" s="111">
        <f>[12]GHG_hist!CD108+IF($M118="incl",[12]LULUCF_hist!DU108,0)</f>
        <v>31.764792000000003</v>
      </c>
      <c r="AR118" s="111">
        <f>[12]GHG_hist!CE108+IF($M118="incl",[12]LULUCF_hist!DV108,0)</f>
        <v>32.764018999999998</v>
      </c>
      <c r="AS118" s="111">
        <f>[12]GHG_hist!CF108+IF($M118="incl",[12]LULUCF_hist!DW108,0)</f>
        <v>36.771836999999998</v>
      </c>
      <c r="AT118" s="161">
        <f>VLOOKUP($L118,'[12]IMAGE SSP2'!$AF$3:$AK$29,4,FALSE)*$AM118</f>
        <v>23.604952085750607</v>
      </c>
      <c r="AU118" s="162">
        <f>VLOOKUP($L118,'[12]IMAGE SSP2'!$AF$3:$AK$29,5,FALSE)*$AM118</f>
        <v>27.64816828913213</v>
      </c>
      <c r="AV118" s="163">
        <f>VLOOKUP($L118,'[12]IMAGE SSP2'!$AF$3:$AK$29,6,FALSE)*$AM118</f>
        <v>30.668111010872675</v>
      </c>
      <c r="AW118" s="111" t="str">
        <f t="shared" si="75"/>
        <v/>
      </c>
      <c r="AX118" s="164" t="str">
        <f>IF(A118="B",IF(M118="excl",[12]NatCom!CO108,[12]NatCom!AX108),"")</f>
        <v/>
      </c>
      <c r="AY118" s="111" t="str">
        <f>IF('[12]Pledge 2020'!E108="","",'[12]Pledge 2020'!E108)</f>
        <v/>
      </c>
      <c r="AZ118" s="164" t="str">
        <f>IF('[12]Pledge 2020'!F108="","",'[12]Pledge 2020'!F108)</f>
        <v/>
      </c>
      <c r="BA118" s="111" t="str">
        <f t="shared" si="51"/>
        <v/>
      </c>
      <c r="BB118" s="111"/>
      <c r="BC118" s="111" t="str">
        <f t="shared" si="52"/>
        <v/>
      </c>
      <c r="BD118" s="111"/>
      <c r="BE118" s="111" t="s">
        <v>2477</v>
      </c>
      <c r="BF118" s="111"/>
      <c r="BG118" s="111" t="s">
        <v>2477</v>
      </c>
      <c r="BH118" s="164"/>
      <c r="BI118" s="111" t="str">
        <f>IF([12]NDCs!V120="",IF([12]NDCs!X120="","",[12]NDCs!X120),[12]NDCs!V120)</f>
        <v/>
      </c>
      <c r="BJ118" s="111" t="str">
        <f>IF([12]NDCs!V120="",IF([12]NDCs!X120="","",[12]NDCs!X120),[12]NDCs!V120)</f>
        <v/>
      </c>
      <c r="BK118" s="111" t="str">
        <f>IF([12]NDCs!Z120="",IF([12]NDCs!AB120="",IF('input site'!BE118="","",'input site'!BE118),[12]NDCs!AB120),[12]NDCs!Z120)</f>
        <v/>
      </c>
      <c r="BL118" s="111" t="str">
        <f>IF([12]NDCs!AA120="",IF([12]NDCs!AC120="",IF('input site'!BF118="","",'input site'!BF118),[12]NDCs!AC120),[12]NDCs!AA120)</f>
        <v/>
      </c>
      <c r="BM118" s="111">
        <f>IF($BI$8=2015,VLOOKUP($L118,'[12]IMAGE CurPol SSP'!$AZ$3:$BD$29,4,FALSE)*$AM118,IF($BI$8=2018,VLOOKUP($L118,'[12]IMAGE CurPol SSP'!$BJ$3:$BN$29,4,FALSE)*$AP118,$AR118))</f>
        <v>32.764018999999998</v>
      </c>
      <c r="BN118" s="111">
        <f t="shared" si="92"/>
        <v>32.764018999999998</v>
      </c>
      <c r="BO118" s="111">
        <f t="shared" si="92"/>
        <v>32.764018999999998</v>
      </c>
      <c r="BP118" s="111">
        <f>IF($BI$8=2015,VLOOKUP($L118,'[12]IMAGE CurPol SSP'!$AZ$3:$BD$29,5,FALSE)*$AM118,IF($BI$8=2018,VLOOKUP($L118,'[12]IMAGE CurPol SSP'!$BJ$3:$BN$29,5,FALSE)*$AP118,VLOOKUP($L118,'[12]IMAGE CurPol SSP'!$BU$3:$BZ$29,5,FALSE)*$AS118))</f>
        <v>38.502298937603157</v>
      </c>
      <c r="BQ118" s="111">
        <f>IF($BI$8=2015,"",IF($BI$8=2018,"",VLOOKUP($L118,'[12]IMAGE CurPol SSP'!$CQ$3:$CV$29,5,FALSE)*$AS118))</f>
        <v>38.163181276379326</v>
      </c>
      <c r="BR118" s="111">
        <f>IF($BI$8=2015,"",IF($BI$8=2018,"",VLOOKUP($L118,'[12]IMAGE CurPol SSP'!$CF$3:$CK$29,5,FALSE)*$AS118))</f>
        <v>38.936189234626625</v>
      </c>
      <c r="BS118" s="111">
        <f>IF($BI$8=2015,VLOOKUP($L118,'[12]IMAGE CurPol SSP'!$AZ$3:$BE$29,6,FALSE)*$AM118,IF($BI$8=2018,VLOOKUP($L118,'[12]IMAGE CurPol SSP'!$BJ$3:$BO$29,6,FALSE)*$AP118,VLOOKUP($L118,'[12]IMAGE CurPol SSP'!$BU$3:$BZ$29,6,FALSE)*$AS118))</f>
        <v>42.473641460448988</v>
      </c>
      <c r="BT118" s="111">
        <f>IF($BI$8=2015,"",IF($BI$8=2018,"",VLOOKUP($L118,'[12]IMAGE CurPol SSP'!$CQ$3:$CV$29,6,FALSE)*$AS118))</f>
        <v>41.537661040110578</v>
      </c>
      <c r="BU118" s="164">
        <f>IF($BI$8=2015,"",IF($BI$8=2018,"",VLOOKUP($L118,'[12]IMAGE CurPol SSP'!$CF$3:$CK$29,6,FALSE)*$AS118))</f>
        <v>43.017231029583087</v>
      </c>
      <c r="CN118" t="s">
        <v>265</v>
      </c>
      <c r="CO118" s="165" t="str">
        <f t="shared" si="69"/>
        <v/>
      </c>
      <c r="CP118" s="165" t="str">
        <f t="shared" si="69"/>
        <v/>
      </c>
      <c r="CQ118" s="165" t="str">
        <f t="shared" si="69"/>
        <v/>
      </c>
      <c r="CR118" s="165" t="str">
        <f t="shared" si="65"/>
        <v/>
      </c>
      <c r="CV118" s="125" t="s">
        <v>621</v>
      </c>
      <c r="CW118" s="125" t="s">
        <v>621</v>
      </c>
      <c r="CX118"/>
      <c r="CY118" s="167">
        <f t="shared" si="70"/>
        <v>-9.1590669142493901</v>
      </c>
      <c r="DB118" s="106"/>
      <c r="DC118" s="106"/>
      <c r="DD118" s="106"/>
      <c r="DE118" s="106"/>
      <c r="DF118" s="106"/>
      <c r="DG118" s="105" t="str">
        <f t="shared" si="71"/>
        <v>excl</v>
      </c>
      <c r="DH118" t="s">
        <v>265</v>
      </c>
      <c r="DI118" s="111">
        <f t="shared" si="93"/>
        <v>0</v>
      </c>
      <c r="DJ118" s="111">
        <f t="shared" si="93"/>
        <v>0</v>
      </c>
      <c r="DK118" s="111">
        <f t="shared" si="94"/>
        <v>0</v>
      </c>
      <c r="DL118" s="111">
        <f t="shared" si="95"/>
        <v>0</v>
      </c>
      <c r="DM118" s="111">
        <f t="shared" si="96"/>
        <v>0</v>
      </c>
      <c r="DN118" s="111">
        <f t="shared" si="97"/>
        <v>0</v>
      </c>
      <c r="DO118" s="111">
        <f t="shared" si="98"/>
        <v>0</v>
      </c>
      <c r="DP118" s="111">
        <f t="shared" si="99"/>
        <v>0</v>
      </c>
      <c r="DQ118" s="106"/>
      <c r="DR118" s="106"/>
      <c r="DS118" s="111"/>
      <c r="DT118" s="168"/>
      <c r="DW118" s="111">
        <f t="shared" si="72"/>
        <v>42.473641460448988</v>
      </c>
      <c r="DX118" s="111">
        <f t="shared" si="72"/>
        <v>42.473641460448988</v>
      </c>
      <c r="DY118" s="111">
        <f t="shared" si="72"/>
        <v>42.473641460448988</v>
      </c>
      <c r="DZ118" s="111">
        <f t="shared" si="66"/>
        <v>42.473641460448988</v>
      </c>
      <c r="EP118" t="s">
        <v>265</v>
      </c>
      <c r="EQ118">
        <v>4</v>
      </c>
      <c r="ER118" s="111">
        <f t="shared" si="73"/>
        <v>30.034372999999999</v>
      </c>
      <c r="ES118" s="111">
        <f>IF($BI$8=2015,VLOOKUP($L118,'[12]IMAGE CDLINKS CurPol'!$P$3:$Y$29,10,FALSE)*$AM118,VLOOKUP($L118,'[12]IMAGE CDLINKS CurPol'!$Z$3:$AI$29,10,FALSE)*$AP118)</f>
        <v>49.939168342635092</v>
      </c>
      <c r="ET118" s="111">
        <f t="shared" si="86"/>
        <v>0</v>
      </c>
      <c r="EU118" s="111">
        <f t="shared" si="76"/>
        <v>0</v>
      </c>
      <c r="EV118" s="111">
        <f>IF($BI$8=2015,VLOOKUP($L118,'[12]IMAGE CDLINKS 2C'!$P$3:$Y$29,10,FALSE)*$AM118,VLOOKUP($L118,'[12]IMAGE CDLINKS 2C'!$Z$3:$AI$29,10,FALSE)*$AP118)</f>
        <v>9.7329817285762097</v>
      </c>
      <c r="EW118">
        <v>0</v>
      </c>
      <c r="EX118" s="111">
        <f>EW118-EV118</f>
        <v>-9.7329817285762097</v>
      </c>
      <c r="EY118" s="111">
        <f t="shared" si="77"/>
        <v>0</v>
      </c>
      <c r="EZ118" s="111">
        <f>IF($BI$8=2015,VLOOKUP($L118,'[12]IMAGE CDLINKS 1_5C'!$P$3:$Y$29,10,FALSE)*$AM118,VLOOKUP($L118,'[12]IMAGE CDLINKS 1_5C'!$Z$3:$AI$29,10,FALSE)*$AP118)</f>
        <v>0.65351854089404171</v>
      </c>
      <c r="FA118" s="192">
        <v>2050</v>
      </c>
    </row>
    <row r="119" spans="1:157" x14ac:dyDescent="0.25">
      <c r="A119" t="str">
        <f>IF([12]NDCs!C121="","",[12]NDCs!C121)</f>
        <v>A</v>
      </c>
      <c r="B119" s="159" t="str">
        <f t="shared" si="67"/>
        <v>v</v>
      </c>
      <c r="C119">
        <v>0</v>
      </c>
      <c r="D119">
        <v>1</v>
      </c>
      <c r="E119">
        <v>0</v>
      </c>
      <c r="F119">
        <v>1</v>
      </c>
      <c r="G119" t="b">
        <f t="shared" si="68"/>
        <v>1</v>
      </c>
      <c r="H119" t="s">
        <v>2335</v>
      </c>
      <c r="I119" t="s">
        <v>267</v>
      </c>
      <c r="J119">
        <v>428</v>
      </c>
      <c r="K119">
        <v>110</v>
      </c>
      <c r="L119">
        <v>12</v>
      </c>
      <c r="M119" t="str">
        <f>IF([12]NDCs!AL121="Excluding","excl","incl")</f>
        <v>incl</v>
      </c>
      <c r="N119" s="160">
        <f>[12]GHG_hist!BA109+IF($M119="incl",[12]LULUCF_hist!CR109,0)</f>
        <v>13.483753061276042</v>
      </c>
      <c r="O119" s="111">
        <f>[12]GHG_hist!BB109+IF($M119="incl",[12]LULUCF_hist!CS109,0)</f>
        <v>11.166980274035316</v>
      </c>
      <c r="P119" s="111">
        <f>[12]GHG_hist!BC109+IF($M119="incl",[12]LULUCF_hist!CT109,0)</f>
        <v>6.0057962627499926</v>
      </c>
      <c r="Q119" s="111">
        <f>[12]GHG_hist!BD109+IF($M119="incl",[12]LULUCF_hist!CU109,0)</f>
        <v>2.7116684331667287</v>
      </c>
      <c r="R119" s="111">
        <f>[12]GHG_hist!BE109+IF($M119="incl",[12]LULUCF_hist!CV109,0)</f>
        <v>-2.1399764084026103</v>
      </c>
      <c r="S119" s="111">
        <f>[12]GHG_hist!BF109+IF($M119="incl",[12]LULUCF_hist!CW109,0)</f>
        <v>-2.3857482991710555</v>
      </c>
      <c r="T119" s="111">
        <f>[12]GHG_hist!BG109+IF($M119="incl",[12]LULUCF_hist!CX109,0)</f>
        <v>-2.4974784198799824</v>
      </c>
      <c r="U119" s="111">
        <f>[12]GHG_hist!BH109+IF($M119="incl",[12]LULUCF_hist!CY109,0)</f>
        <v>-1.2828136270037511</v>
      </c>
      <c r="V119" s="111">
        <f>[12]GHG_hist!BI109+IF($M119="incl",[12]LULUCF_hist!CZ109,0)</f>
        <v>-0.83169415158512372</v>
      </c>
      <c r="W119" s="111">
        <f>[12]GHG_hist!BJ109+IF($M119="incl",[12]LULUCF_hist!DA109,0)</f>
        <v>2.0690854942946224</v>
      </c>
      <c r="X119" s="111">
        <f>[12]GHG_hist!BK109+IF($M119="incl",[12]LULUCF_hist!DB109,0)</f>
        <v>-1.7930572681561667</v>
      </c>
      <c r="Y119" s="111">
        <f>[12]GHG_hist!BL109+IF($M119="incl",[12]LULUCF_hist!DC109,0)</f>
        <v>-1.7136779124033854</v>
      </c>
      <c r="Z119" s="111">
        <f>[12]GHG_hist!BM109+IF($M119="incl",[12]LULUCF_hist!DD109,0)</f>
        <v>-3.0249287728517871E-2</v>
      </c>
      <c r="AA119" s="111">
        <f>[12]GHG_hist!BN109+IF($M119="incl",[12]LULUCF_hist!DE109,0)</f>
        <v>0.58918298310187112</v>
      </c>
      <c r="AB119" s="111">
        <f>[12]GHG_hist!BO109+IF($M119="incl",[12]LULUCF_hist!DF109,0)</f>
        <v>4.2488914894536602</v>
      </c>
      <c r="AC119" s="111">
        <f>[12]GHG_hist!BP109+IF($M119="incl",[12]LULUCF_hist!DG109,0)</f>
        <v>4.9619667545944006</v>
      </c>
      <c r="AD119" s="111">
        <f>[12]GHG_hist!BQ109+IF($M119="incl",[12]LULUCF_hist!DH109,0)</f>
        <v>4.6574053218882172</v>
      </c>
      <c r="AE119" s="111">
        <f>[12]GHG_hist!BR109+IF($M119="incl",[12]LULUCF_hist!DI109,0)</f>
        <v>5.5306422883243451</v>
      </c>
      <c r="AF119" s="111">
        <f>[12]GHG_hist!BS109+IF($M119="incl",[12]LULUCF_hist!DJ109,0)</f>
        <v>4.684519796636299</v>
      </c>
      <c r="AG119" s="111">
        <f>[12]GHG_hist!BT109+IF($M119="incl",[12]LULUCF_hist!DK109,0)</f>
        <v>6.8950156525795236</v>
      </c>
      <c r="AH119" s="111">
        <f>[12]GHG_hist!BU109+IF($M119="incl",[12]LULUCF_hist!DL109,0)</f>
        <v>9.7567621714968205</v>
      </c>
      <c r="AI119" s="111">
        <f>[12]GHG_hist!BV109+IF($M119="incl",[12]LULUCF_hist!DM109,0)</f>
        <v>8.5709381256874746</v>
      </c>
      <c r="AJ119" s="111">
        <f>[12]GHG_hist!BW109+IF($M119="incl",[12]LULUCF_hist!DN109,0)</f>
        <v>7.0312095702862809</v>
      </c>
      <c r="AK119" s="111">
        <f>[12]GHG_hist!BX109+IF($M119="incl",[12]LULUCF_hist!DO109,0)</f>
        <v>8.2360989914057328</v>
      </c>
      <c r="AL119" s="111">
        <f>[12]GHG_hist!BY109+IF($M119="incl",[12]LULUCF_hist!DP109,0)</f>
        <v>12.053807458809374</v>
      </c>
      <c r="AM119" s="111">
        <f>[12]GHG_hist!BZ109+IF($M119="incl",[12]LULUCF_hist!DQ109,0)</f>
        <v>10.85944007178426</v>
      </c>
      <c r="AN119" s="111">
        <f>[12]GHG_hist!CA109+IF($M119="incl",[12]LULUCF_hist!DR109,0)</f>
        <v>9.0354444853234668</v>
      </c>
      <c r="AO119" s="111">
        <f>[12]GHG_hist!CB109+IF($M119="incl",[12]LULUCF_hist!DS109,0)</f>
        <v>7.6176910253315651</v>
      </c>
      <c r="AP119" s="111">
        <f>[12]GHG_hist!CC109+IF($M119="incl",[12]LULUCF_hist!DT109,0)</f>
        <v>10.613633885145182</v>
      </c>
      <c r="AQ119" s="111">
        <f>[12]GHG_hist!CD109+IF($M119="incl",[12]LULUCF_hist!DU109,0)</f>
        <v>8.8048541202141788</v>
      </c>
      <c r="AR119" s="111">
        <f>[12]GHG_hist!CE109+IF($M119="incl",[12]LULUCF_hist!DV109,0)</f>
        <v>11.25727149037883</v>
      </c>
      <c r="AS119" s="111">
        <f>[12]GHG_hist!CF109+IF($M119="incl",[12]LULUCF_hist!DW109,0)</f>
        <v>13.093225537572163</v>
      </c>
      <c r="AT119" s="161">
        <f>VLOOKUP($L119,'[12]IMAGE SSP2'!$AF$3:$AK$29,4,FALSE)*$AM119</f>
        <v>11.298588338695657</v>
      </c>
      <c r="AU119" s="162">
        <f>VLOOKUP($L119,'[12]IMAGE SSP2'!$AF$3:$AK$29,5,FALSE)*$AM119</f>
        <v>11.539656980521125</v>
      </c>
      <c r="AV119" s="163">
        <f>VLOOKUP($L119,'[12]IMAGE SSP2'!$AF$3:$AK$29,6,FALSE)*$AM119</f>
        <v>11.848144639032734</v>
      </c>
      <c r="AW119" s="111" t="str">
        <f t="shared" si="75"/>
        <v/>
      </c>
      <c r="AX119" s="164" t="str">
        <f>IF(A119="B",IF(M119="excl",[12]NatCom!CO109,[12]NatCom!AX109),"")</f>
        <v/>
      </c>
      <c r="AY119" s="111" t="str">
        <f>IF('[12]Pledge 2020'!E109="","",'[12]Pledge 2020'!E109)</f>
        <v/>
      </c>
      <c r="AZ119" s="164" t="str">
        <f>IF('[12]Pledge 2020'!F109="","",'[12]Pledge 2020'!F109)</f>
        <v/>
      </c>
      <c r="BA119" s="111" t="str">
        <f t="shared" si="51"/>
        <v/>
      </c>
      <c r="BB119" s="111"/>
      <c r="BC119" s="111" t="str">
        <f t="shared" si="52"/>
        <v/>
      </c>
      <c r="BD119" s="111"/>
      <c r="BE119" s="111" t="s">
        <v>2477</v>
      </c>
      <c r="BF119" s="111"/>
      <c r="BG119" s="111" t="s">
        <v>2477</v>
      </c>
      <c r="BH119" s="164"/>
      <c r="BI119" s="111" t="str">
        <f>IF([12]NDCs!V121="",IF([12]NDCs!X121="","",[12]NDCs!X121),[12]NDCs!V121)</f>
        <v/>
      </c>
      <c r="BJ119" s="111" t="str">
        <f>IF([12]NDCs!V121="",IF([12]NDCs!X121="","",[12]NDCs!X121),[12]NDCs!V121)</f>
        <v/>
      </c>
      <c r="BK119" s="111" t="str">
        <f>IF([12]NDCs!Z121="",IF([12]NDCs!AB121="",IF('input site'!BE119="","",'input site'!BE119),[12]NDCs!AB121),[12]NDCs!Z121)</f>
        <v/>
      </c>
      <c r="BL119" s="111" t="str">
        <f>IF([12]NDCs!AA121="",IF([12]NDCs!AC121="",IF('input site'!BF119="","",'input site'!BF119),[12]NDCs!AC121),[12]NDCs!AA121)</f>
        <v/>
      </c>
      <c r="BM119" s="111">
        <f>IF($BI$8=2015,VLOOKUP($L119,'[12]IMAGE CurPol SSP'!$AZ$3:$BD$29,4,FALSE)*$AM119,IF($BI$8=2018,VLOOKUP($L119,'[12]IMAGE CurPol SSP'!$BJ$3:$BN$29,4,FALSE)*$AP119,$AR119))</f>
        <v>11.25727149037883</v>
      </c>
      <c r="BN119" s="111">
        <f t="shared" si="92"/>
        <v>11.25727149037883</v>
      </c>
      <c r="BO119" s="111">
        <f t="shared" si="92"/>
        <v>11.25727149037883</v>
      </c>
      <c r="BP119" s="111">
        <f>IF($BI$8=2015,VLOOKUP($L119,'[12]IMAGE CurPol SSP'!$AZ$3:$BD$29,5,FALSE)*$AM119,IF($BI$8=2018,VLOOKUP($L119,'[12]IMAGE CurPol SSP'!$BJ$3:$BN$29,5,FALSE)*$AP119,VLOOKUP($L119,'[12]IMAGE CurPol SSP'!$BU$3:$BZ$29,5,FALSE)*$AS119))</f>
        <v>10.412897373617222</v>
      </c>
      <c r="BQ119" s="111">
        <f>IF($BI$8=2015,"",IF($BI$8=2018,"",VLOOKUP($L119,'[12]IMAGE CurPol SSP'!$CQ$3:$CV$29,5,FALSE)*$AS119))</f>
        <v>10.412897373617222</v>
      </c>
      <c r="BR119" s="111">
        <f>IF($BI$8=2015,"",IF($BI$8=2018,"",VLOOKUP($L119,'[12]IMAGE CurPol SSP'!$CF$3:$CK$29,5,FALSE)*$AS119))</f>
        <v>10.745795389999055</v>
      </c>
      <c r="BS119" s="111">
        <f>IF($BI$8=2015,VLOOKUP($L119,'[12]IMAGE CurPol SSP'!$AZ$3:$BE$29,6,FALSE)*$AM119,IF($BI$8=2018,VLOOKUP($L119,'[12]IMAGE CurPol SSP'!$BJ$3:$BO$29,6,FALSE)*$AP119,VLOOKUP($L119,'[12]IMAGE CurPol SSP'!$BU$3:$BZ$29,6,FALSE)*$AS119))</f>
        <v>6.7088796882789499</v>
      </c>
      <c r="BT119" s="111">
        <f>IF($BI$8=2015,"",IF($BI$8=2018,"",VLOOKUP($L119,'[12]IMAGE CurPol SSP'!$CQ$3:$CV$29,6,FALSE)*$AS119))</f>
        <v>6.7088796882789499</v>
      </c>
      <c r="BU119" s="164">
        <f>IF($BI$8=2015,"",IF($BI$8=2018,"",VLOOKUP($L119,'[12]IMAGE CurPol SSP'!$CF$3:$CK$29,6,FALSE)*$AS119))</f>
        <v>7.0478884796658425</v>
      </c>
      <c r="CN119" t="s">
        <v>267</v>
      </c>
      <c r="CO119" s="165" t="str">
        <f t="shared" si="69"/>
        <v/>
      </c>
      <c r="CP119" s="165" t="str">
        <f t="shared" si="69"/>
        <v/>
      </c>
      <c r="CQ119" s="165" t="str">
        <f t="shared" si="69"/>
        <v/>
      </c>
      <c r="CR119" s="165" t="str">
        <f t="shared" si="65"/>
        <v/>
      </c>
      <c r="CV119" s="125" t="s">
        <v>621</v>
      </c>
      <c r="CW119" s="125" t="s">
        <v>621</v>
      </c>
      <c r="CX119"/>
      <c r="CY119" s="167">
        <f t="shared" si="70"/>
        <v>4.1316848316826693E-2</v>
      </c>
      <c r="DB119" s="106"/>
      <c r="DC119" s="106"/>
      <c r="DD119" s="106"/>
      <c r="DE119" s="106"/>
      <c r="DF119" s="106"/>
      <c r="DG119" s="105" t="str">
        <f t="shared" si="71"/>
        <v>incl</v>
      </c>
      <c r="DH119" t="s">
        <v>267</v>
      </c>
      <c r="DI119" s="111">
        <f t="shared" si="93"/>
        <v>0</v>
      </c>
      <c r="DJ119" s="111">
        <f t="shared" si="93"/>
        <v>0</v>
      </c>
      <c r="DK119" s="111">
        <f t="shared" si="94"/>
        <v>0</v>
      </c>
      <c r="DL119" s="111">
        <f t="shared" si="95"/>
        <v>0</v>
      </c>
      <c r="DM119" s="111">
        <f t="shared" si="96"/>
        <v>0</v>
      </c>
      <c r="DN119" s="111">
        <f t="shared" si="97"/>
        <v>0</v>
      </c>
      <c r="DO119" s="111">
        <f t="shared" si="98"/>
        <v>0</v>
      </c>
      <c r="DP119" s="111">
        <f t="shared" si="99"/>
        <v>0</v>
      </c>
      <c r="DQ119" s="106"/>
      <c r="DR119" s="106"/>
      <c r="DS119" s="111"/>
      <c r="DT119" s="168"/>
      <c r="DW119" s="111">
        <f t="shared" si="72"/>
        <v>6.7088796882789499</v>
      </c>
      <c r="DX119" s="111">
        <f t="shared" si="72"/>
        <v>6.7088796882789499</v>
      </c>
      <c r="DY119" s="111">
        <f t="shared" si="72"/>
        <v>6.7088796882789499</v>
      </c>
      <c r="DZ119" s="111">
        <f t="shared" si="66"/>
        <v>6.7088796882789499</v>
      </c>
      <c r="EP119" t="s">
        <v>267</v>
      </c>
      <c r="ER119" s="111">
        <f t="shared" si="73"/>
        <v>10.613633885145182</v>
      </c>
      <c r="ES119" s="111">
        <f>IF($BI$8=2015,VLOOKUP($L119,'[12]IMAGE CDLINKS CurPol'!$P$3:$Y$29,10,FALSE)*$AM119,VLOOKUP($L119,'[12]IMAGE CDLINKS CurPol'!$Z$3:$AI$29,10,FALSE)*$AP119)</f>
        <v>11.157719531813619</v>
      </c>
      <c r="ET119" s="111">
        <f t="shared" si="86"/>
        <v>11.157719531813619</v>
      </c>
      <c r="EU119" s="111">
        <f t="shared" si="76"/>
        <v>2.4157469803418823</v>
      </c>
      <c r="EV119" s="111">
        <f>IF($BI$8=2015,VLOOKUP($L119,'[12]IMAGE CDLINKS 2C'!$P$3:$Y$29,10,FALSE)*$AM119,VLOOKUP($L119,'[12]IMAGE CDLINKS 2C'!$Z$3:$AI$29,10,FALSE)*$AP119)</f>
        <v>2.4157469803418823</v>
      </c>
      <c r="EY119" s="111">
        <f t="shared" si="77"/>
        <v>1.1785084886313701</v>
      </c>
      <c r="EZ119" s="111">
        <f>IF($BI$8=2015,VLOOKUP($L119,'[12]IMAGE CDLINKS 1_5C'!$P$3:$Y$29,10,FALSE)*$AM119,VLOOKUP($L119,'[12]IMAGE CDLINKS 1_5C'!$Z$3:$AI$29,10,FALSE)*$AP119)</f>
        <v>1.1785084886313701</v>
      </c>
      <c r="FA119" s="192" t="s">
        <v>2338</v>
      </c>
    </row>
    <row r="120" spans="1:157" x14ac:dyDescent="0.25">
      <c r="A120" t="str">
        <f>IF([12]NDCs!C122="","",[12]NDCs!C122)</f>
        <v>B</v>
      </c>
      <c r="B120" s="159" t="str">
        <f t="shared" si="67"/>
        <v>v</v>
      </c>
      <c r="C120">
        <v>0</v>
      </c>
      <c r="D120">
        <v>0</v>
      </c>
      <c r="E120">
        <v>0</v>
      </c>
      <c r="F120">
        <v>1</v>
      </c>
      <c r="G120" t="b">
        <f t="shared" si="68"/>
        <v>1</v>
      </c>
      <c r="H120" t="s">
        <v>2328</v>
      </c>
      <c r="I120" t="s">
        <v>269</v>
      </c>
      <c r="J120">
        <v>422</v>
      </c>
      <c r="K120">
        <v>108</v>
      </c>
      <c r="L120">
        <v>17</v>
      </c>
      <c r="M120" t="str">
        <f>IF([12]NDCs!AL122="Excluding","excl","incl")</f>
        <v>incl</v>
      </c>
      <c r="N120" s="160">
        <f>[12]GHG_hist!BA110+IF($M120="incl",[12]LULUCF_hist!CR110,0)</f>
        <v>11.7487738</v>
      </c>
      <c r="O120" s="111">
        <f>[12]GHG_hist!BB110+IF($M120="incl",[12]LULUCF_hist!CS110,0)</f>
        <v>12.0243108</v>
      </c>
      <c r="P120" s="111">
        <f>[12]GHG_hist!BC110+IF($M120="incl",[12]LULUCF_hist!CT110,0)</f>
        <v>14.170296800000001</v>
      </c>
      <c r="Q120" s="111">
        <f>[12]GHG_hist!BD110+IF($M120="incl",[12]LULUCF_hist!CU110,0)</f>
        <v>15.6165228</v>
      </c>
      <c r="R120" s="111">
        <f>[12]GHG_hist!BE110+IF($M120="incl",[12]LULUCF_hist!CV110,0)</f>
        <v>16.471000800000002</v>
      </c>
      <c r="S120" s="111">
        <f>[12]GHG_hist!BF110+IF($M120="incl",[12]LULUCF_hist!CW110,0)</f>
        <v>18.281004166666666</v>
      </c>
      <c r="T120" s="111">
        <f>[12]GHG_hist!BG110+IF($M120="incl",[12]LULUCF_hist!CX110,0)</f>
        <v>18.647257533333335</v>
      </c>
      <c r="U120" s="111">
        <f>[12]GHG_hist!BH110+IF($M120="incl",[12]LULUCF_hist!CY110,0)</f>
        <v>19.644441900000004</v>
      </c>
      <c r="V120" s="111">
        <f>[12]GHG_hist!BI110+IF($M120="incl",[12]LULUCF_hist!CZ110,0)</f>
        <v>21.171469266666666</v>
      </c>
      <c r="W120" s="111">
        <f>[12]GHG_hist!BJ110+IF($M120="incl",[12]LULUCF_hist!DA110,0)</f>
        <v>20.522850633333334</v>
      </c>
      <c r="X120" s="111">
        <f>[12]GHG_hist!BK110+IF($M120="incl",[12]LULUCF_hist!DB110,0)</f>
        <v>19.340021</v>
      </c>
      <c r="Y120" s="111">
        <f>[12]GHG_hist!BL110+IF($M120="incl",[12]LULUCF_hist!DC110,0)</f>
        <v>20.286932700000001</v>
      </c>
      <c r="Z120" s="111">
        <f>[12]GHG_hist!BM110+IF($M120="incl",[12]LULUCF_hist!DD110,0)</f>
        <v>19.980089400000004</v>
      </c>
      <c r="AA120" s="111">
        <f>[12]GHG_hist!BN110+IF($M120="incl",[12]LULUCF_hist!DE110,0)</f>
        <v>22.289822100000002</v>
      </c>
      <c r="AB120" s="111">
        <f>[12]GHG_hist!BO110+IF($M120="incl",[12]LULUCF_hist!DF110,0)</f>
        <v>20.9828878</v>
      </c>
      <c r="AC120" s="111">
        <f>[12]GHG_hist!BP110+IF($M120="incl",[12]LULUCF_hist!DG110,0)</f>
        <v>20.274057499999998</v>
      </c>
      <c r="AD120" s="111">
        <f>[12]GHG_hist!BQ110+IF($M120="incl",[12]LULUCF_hist!DH110,0)</f>
        <v>18.187341199999999</v>
      </c>
      <c r="AE120" s="111">
        <f>[12]GHG_hist!BR110+IF($M120="incl",[12]LULUCF_hist!DI110,0)</f>
        <v>16.935362900000001</v>
      </c>
      <c r="AF120" s="111">
        <f>[12]GHG_hist!BS110+IF($M120="incl",[12]LULUCF_hist!DJ110,0)</f>
        <v>20.506671600000001</v>
      </c>
      <c r="AG120" s="111">
        <f>[12]GHG_hist!BT110+IF($M120="incl",[12]LULUCF_hist!DK110,0)</f>
        <v>24.013273300000005</v>
      </c>
      <c r="AH120" s="111">
        <f>[12]GHG_hist!BU110+IF($M120="incl",[12]LULUCF_hist!DL110,0)</f>
        <v>22.893678000000001</v>
      </c>
      <c r="AI120" s="111">
        <f>[12]GHG_hist!BV110+IF($M120="incl",[12]LULUCF_hist!DM110,0)</f>
        <v>23.2673877</v>
      </c>
      <c r="AJ120" s="111">
        <f>[12]GHG_hist!BW110+IF($M120="incl",[12]LULUCF_hist!DN110,0)</f>
        <v>25.265611000000003</v>
      </c>
      <c r="AK120" s="111">
        <f>[12]GHG_hist!BX110+IF($M120="incl",[12]LULUCF_hist!DO110,0)</f>
        <v>24.706263</v>
      </c>
      <c r="AL120" s="111">
        <f>[12]GHG_hist!BY110+IF($M120="incl",[12]LULUCF_hist!DP110,0)</f>
        <v>26.584384000000004</v>
      </c>
      <c r="AM120" s="111">
        <f>[12]GHG_hist!BZ110+IF($M120="incl",[12]LULUCF_hist!DQ110,0)</f>
        <v>28.159372999999999</v>
      </c>
      <c r="AN120" s="111">
        <f>[12]GHG_hist!CA110+IF($M120="incl",[12]LULUCF_hist!DR110,0)</f>
        <v>29.861058</v>
      </c>
      <c r="AO120" s="111">
        <f>[12]GHG_hist!CB110+IF($M120="incl",[12]LULUCF_hist!DS110,0)</f>
        <v>31.602608</v>
      </c>
      <c r="AP120" s="111">
        <f>[12]GHG_hist!CC110+IF($M120="incl",[12]LULUCF_hist!DT110,0)</f>
        <v>33.159672</v>
      </c>
      <c r="AQ120" s="111">
        <f>[12]GHG_hist!CD110+IF($M120="incl",[12]LULUCF_hist!DU110,0)</f>
        <v>31.639393999999999</v>
      </c>
      <c r="AR120" s="111">
        <f>[12]GHG_hist!CE110+IF($M120="incl",[12]LULUCF_hist!DV110,0)</f>
        <v>26.621262868505767</v>
      </c>
      <c r="AS120" s="111">
        <f>[12]GHG_hist!CF110+IF($M120="incl",[12]LULUCF_hist!DW110,0)</f>
        <v>27.532883817656646</v>
      </c>
      <c r="AT120" s="161">
        <f>VLOOKUP($L120,'[12]IMAGE SSP2'!$AF$3:$AK$29,4,FALSE)*$AM120</f>
        <v>31.313826888544547</v>
      </c>
      <c r="AU120" s="162">
        <f>VLOOKUP($L120,'[12]IMAGE SSP2'!$AF$3:$AK$29,5,FALSE)*$AM120</f>
        <v>33.938635487864325</v>
      </c>
      <c r="AV120" s="163">
        <f>VLOOKUP($L120,'[12]IMAGE SSP2'!$AF$3:$AK$29,6,FALSE)*$AM120</f>
        <v>35.934040654999635</v>
      </c>
      <c r="AW120" s="111">
        <f>IF(A120="B",AM120+(AX120-AM120)*0.33333,"")</f>
        <v>33.439529197909998</v>
      </c>
      <c r="AX120" s="164">
        <f>IF(A120="B",IF(M120="excl",[12]NatCom!CO110,[12]NatCom!AX110),"")</f>
        <v>44</v>
      </c>
      <c r="AY120" s="111" t="str">
        <f>IF('[12]Pledge 2020'!E110="","",'[12]Pledge 2020'!E110)</f>
        <v/>
      </c>
      <c r="AZ120" s="164" t="str">
        <f>IF('[12]Pledge 2020'!F110="","",'[12]Pledge 2020'!F110)</f>
        <v/>
      </c>
      <c r="BA120" s="111">
        <f t="shared" ref="BA120:BA183" si="100">IF(BE120="","",(BE120-AH120)*0.75+AH120)</f>
        <v>29.093419500000003</v>
      </c>
      <c r="BB120" s="111">
        <f>IF(BF120="","",(BF120-AH120)*0.75+AH120)</f>
        <v>29.093419500000003</v>
      </c>
      <c r="BC120" s="111">
        <f t="shared" ref="BC120:BC183" si="101">IF(BG120="","",(BG120-AH120)*0.75+AH120)</f>
        <v>25.8800445</v>
      </c>
      <c r="BD120" s="111">
        <f>IF(BH120="","",(BH120-AH120)*0.75+AH120)</f>
        <v>25.8800445</v>
      </c>
      <c r="BE120" s="196">
        <v>31.160000000000004</v>
      </c>
      <c r="BF120" s="196">
        <v>31.160000000000004</v>
      </c>
      <c r="BG120" s="196">
        <v>26.875499999999999</v>
      </c>
      <c r="BH120" s="197">
        <v>26.875499999999999</v>
      </c>
      <c r="BI120" s="111">
        <f>IF([12]NDCs!V122="",IF([12]NDCs!X122="","",[12]NDCs!X122),[12]NDCs!V122)</f>
        <v>37.4</v>
      </c>
      <c r="BJ120" s="111">
        <f>IF([12]NDCs!V122="",IF([12]NDCs!X122="","",[12]NDCs!X122),[12]NDCs!V122)</f>
        <v>37.4</v>
      </c>
      <c r="BK120" s="111">
        <f>IF([12]NDCs!Z122="",IF([12]NDCs!AB122="",IF('input site'!BE120="","",'input site'!BE120),[12]NDCs!AB122),[12]NDCs!Z122)</f>
        <v>30.799999999999997</v>
      </c>
      <c r="BL120" s="111">
        <f>IF([12]NDCs!AA122="",IF([12]NDCs!AC122="",IF('input site'!BF120="","",'input site'!BF120),[12]NDCs!AC122),[12]NDCs!AA122)</f>
        <v>30.799999999999997</v>
      </c>
      <c r="BM120" s="111">
        <f>IF($BI$8=2015,VLOOKUP($L120,'[12]IMAGE CurPol SSP'!$AZ$3:$BD$29,4,FALSE)*$AM120,IF($BI$8=2018,VLOOKUP($L120,'[12]IMAGE CurPol SSP'!$BJ$3:$BN$29,4,FALSE)*$AP120,$AR120))</f>
        <v>26.621262868505767</v>
      </c>
      <c r="BN120" s="111">
        <f t="shared" si="92"/>
        <v>26.621262868505767</v>
      </c>
      <c r="BO120" s="111">
        <f t="shared" si="92"/>
        <v>26.621262868505767</v>
      </c>
      <c r="BP120" s="111">
        <f>IF($BI$8=2015,VLOOKUP($L120,'[12]IMAGE CurPol SSP'!$AZ$3:$BD$29,5,FALSE)*$AM120,IF($BI$8=2018,VLOOKUP($L120,'[12]IMAGE CurPol SSP'!$BJ$3:$BN$29,5,FALSE)*$AP120,VLOOKUP($L120,'[12]IMAGE CurPol SSP'!$BU$3:$BZ$29,5,FALSE)*$AS120))</f>
        <v>27.348843396814718</v>
      </c>
      <c r="BQ120" s="111">
        <f>IF($BI$8=2015,"",IF($BI$8=2018,"",VLOOKUP($L120,'[12]IMAGE CurPol SSP'!$CQ$3:$CV$29,5,FALSE)*$AS120))</f>
        <v>27.081928292714299</v>
      </c>
      <c r="BR120" s="111">
        <f>IF($BI$8=2015,"",IF($BI$8=2018,"",VLOOKUP($L120,'[12]IMAGE CurPol SSP'!$CF$3:$CK$29,5,FALSE)*$AS120))</f>
        <v>27.855688100432836</v>
      </c>
      <c r="BS120" s="111">
        <f>IF($BI$8=2015,VLOOKUP($L120,'[12]IMAGE CurPol SSP'!$AZ$3:$BE$29,6,FALSE)*$AM120,IF($BI$8=2018,VLOOKUP($L120,'[12]IMAGE CurPol SSP'!$BJ$3:$BO$29,6,FALSE)*$AP120,VLOOKUP($L120,'[12]IMAGE CurPol SSP'!$BU$3:$BZ$29,6,FALSE)*$AS120))</f>
        <v>27.339378240563619</v>
      </c>
      <c r="BT120" s="111">
        <f>IF($BI$8=2015,"",IF($BI$8=2018,"",VLOOKUP($L120,'[12]IMAGE CurPol SSP'!$CQ$3:$CV$29,6,FALSE)*$AS120))</f>
        <v>26.70555550337599</v>
      </c>
      <c r="BU120" s="164">
        <f>IF($BI$8=2015,"",IF($BI$8=2018,"",VLOOKUP($L120,'[12]IMAGE CurPol SSP'!$CF$3:$CK$29,6,FALSE)*$AS120))</f>
        <v>28.353990402348778</v>
      </c>
      <c r="CN120" t="s">
        <v>269</v>
      </c>
      <c r="CO120" s="165">
        <f t="shared" si="69"/>
        <v>0.13974793888208126</v>
      </c>
      <c r="CP120" s="165">
        <f t="shared" si="69"/>
        <v>0.13974793888208126</v>
      </c>
      <c r="CQ120" s="165">
        <f t="shared" si="69"/>
        <v>-1.696740271420516E-2</v>
      </c>
      <c r="CR120" s="165">
        <f t="shared" si="65"/>
        <v>-1.696740271420516E-2</v>
      </c>
      <c r="CS120" s="159"/>
      <c r="CU120" s="159"/>
      <c r="CV120" s="125" t="s">
        <v>621</v>
      </c>
      <c r="CW120" s="125" t="s">
        <v>621</v>
      </c>
      <c r="CX120" s="159"/>
      <c r="CY120" s="167">
        <f t="shared" si="70"/>
        <v>4.6925640200387804</v>
      </c>
      <c r="CZ120" s="159"/>
      <c r="DB120" s="106"/>
      <c r="DC120" s="106"/>
      <c r="DD120" s="106"/>
      <c r="DE120" s="106"/>
      <c r="DF120" s="106"/>
      <c r="DG120" s="105" t="str">
        <f t="shared" si="71"/>
        <v>incl</v>
      </c>
      <c r="DH120" t="s">
        <v>269</v>
      </c>
      <c r="DI120" s="111">
        <f t="shared" si="93"/>
        <v>0</v>
      </c>
      <c r="DJ120" s="111">
        <f t="shared" si="93"/>
        <v>0</v>
      </c>
      <c r="DK120" s="111">
        <f t="shared" si="94"/>
        <v>1.7445761031852847</v>
      </c>
      <c r="DL120" s="111">
        <f t="shared" si="95"/>
        <v>-1.4687988968147181</v>
      </c>
      <c r="DM120" s="111">
        <f t="shared" si="96"/>
        <v>3.8206217594363849</v>
      </c>
      <c r="DN120" s="111">
        <f t="shared" si="97"/>
        <v>-0.46387824056361993</v>
      </c>
      <c r="DO120" s="111">
        <f t="shared" si="98"/>
        <v>10.06062175943638</v>
      </c>
      <c r="DP120" s="111">
        <f t="shared" si="99"/>
        <v>3.4606217594363784</v>
      </c>
      <c r="DQ120" s="106"/>
      <c r="DR120" s="106"/>
      <c r="DS120" s="111">
        <f>[12]GHG_hist!BZ110+IF($M120="incl",[12]LULUCF_hist!DQ110,0)</f>
        <v>28.159372999999999</v>
      </c>
      <c r="DT120" s="168">
        <f>IF($M120="incl",'[12]IIASA Proj'!EQ110,0)</f>
        <v>-0.56103367999999976</v>
      </c>
      <c r="DW120" s="111">
        <f t="shared" si="72"/>
        <v>31.160000000000004</v>
      </c>
      <c r="DX120" s="111">
        <f t="shared" si="72"/>
        <v>31.160000000000004</v>
      </c>
      <c r="DY120" s="111">
        <f t="shared" si="72"/>
        <v>26.875499999999999</v>
      </c>
      <c r="DZ120" s="111">
        <f t="shared" si="66"/>
        <v>26.875499999999999</v>
      </c>
      <c r="EP120" t="s">
        <v>269</v>
      </c>
      <c r="EQ120">
        <v>1</v>
      </c>
      <c r="ER120" s="111">
        <f t="shared" si="73"/>
        <v>33.159672</v>
      </c>
      <c r="ES120" s="111">
        <f>IF($BI$8=2015,VLOOKUP($L120,'[12]IMAGE CDLINKS CurPol'!$P$3:$Y$29,10,FALSE)*$AM120,VLOOKUP($L120,'[12]IMAGE CDLINKS CurPol'!$Z$3:$AI$29,10,FALSE)*$AP120)</f>
        <v>49.616420821871593</v>
      </c>
      <c r="ET120" s="111">
        <f t="shared" si="86"/>
        <v>0</v>
      </c>
      <c r="EU120" s="111">
        <f t="shared" si="76"/>
        <v>16.694971700642032</v>
      </c>
      <c r="EV120" s="111">
        <f>IF($BI$8=2015,VLOOKUP($L120,'[12]IMAGE CDLINKS 2C'!$P$3:$Y$29,10,FALSE)*$AM120,VLOOKUP($L120,'[12]IMAGE CDLINKS 2C'!$Z$3:$AI$29,10,FALSE)*$AP120)</f>
        <v>16.694971700642032</v>
      </c>
      <c r="EW120">
        <v>0</v>
      </c>
      <c r="EX120" s="111">
        <f>EW120-EV120</f>
        <v>-16.694971700642032</v>
      </c>
      <c r="EY120" s="111">
        <f t="shared" si="77"/>
        <v>0</v>
      </c>
      <c r="EZ120" s="111">
        <f>IF($BI$8=2015,VLOOKUP($L120,'[12]IMAGE CDLINKS 1_5C'!$P$3:$Y$29,10,FALSE)*$AM120,VLOOKUP($L120,'[12]IMAGE CDLINKS 1_5C'!$Z$3:$AI$29,10,FALSE)*$AP120)</f>
        <v>2.9080802693492047</v>
      </c>
      <c r="FA120" s="192">
        <v>2050</v>
      </c>
    </row>
    <row r="121" spans="1:157" x14ac:dyDescent="0.25">
      <c r="A121" t="str">
        <f>IF([12]NDCs!C123="","",[12]NDCs!C123)</f>
        <v>B</v>
      </c>
      <c r="B121" s="159" t="str">
        <f t="shared" si="67"/>
        <v>v</v>
      </c>
      <c r="C121">
        <v>0</v>
      </c>
      <c r="D121">
        <v>0</v>
      </c>
      <c r="E121">
        <v>0</v>
      </c>
      <c r="F121">
        <v>1</v>
      </c>
      <c r="G121" t="b">
        <f t="shared" si="68"/>
        <v>1</v>
      </c>
      <c r="H121" t="s">
        <v>2328</v>
      </c>
      <c r="I121" t="s">
        <v>271</v>
      </c>
      <c r="J121">
        <v>426</v>
      </c>
      <c r="K121">
        <v>109</v>
      </c>
      <c r="L121">
        <v>26</v>
      </c>
      <c r="M121" t="str">
        <f>IF([12]NDCs!AL123="Excluding","excl","incl")</f>
        <v>excl</v>
      </c>
      <c r="N121" s="160">
        <f>[12]GHG_hist!BA111+IF($M121="incl",[12]LULUCF_hist!CR111,0)</f>
        <v>1.9369718</v>
      </c>
      <c r="O121" s="111">
        <f>[12]GHG_hist!BB111+IF($M121="incl",[12]LULUCF_hist!CS111,0)</f>
        <v>1.976108</v>
      </c>
      <c r="P121" s="111">
        <f>[12]GHG_hist!BC111+IF($M121="incl",[12]LULUCF_hist!CT111,0)</f>
        <v>2.1262831000000002</v>
      </c>
      <c r="Q121" s="111">
        <f>[12]GHG_hist!BD111+IF($M121="incl",[12]LULUCF_hist!CU111,0)</f>
        <v>2.1146435000000001</v>
      </c>
      <c r="R121" s="111">
        <f>[12]GHG_hist!BE111+IF($M121="incl",[12]LULUCF_hist!CV111,0)</f>
        <v>2.0913957999999999</v>
      </c>
      <c r="S121" s="111">
        <f>[12]GHG_hist!BF111+IF($M121="incl",[12]LULUCF_hist!CW111,0)</f>
        <v>2.3023452999999998</v>
      </c>
      <c r="T121" s="111">
        <f>[12]GHG_hist!BG111+IF($M121="incl",[12]LULUCF_hist!CX111,0)</f>
        <v>2.4771274000000001</v>
      </c>
      <c r="U121" s="111">
        <f>[12]GHG_hist!BH111+IF($M121="incl",[12]LULUCF_hist!CY111,0)</f>
        <v>2.7864524000000004</v>
      </c>
      <c r="V121" s="111">
        <f>[12]GHG_hist!BI111+IF($M121="incl",[12]LULUCF_hist!CZ111,0)</f>
        <v>2.7281060000000004</v>
      </c>
      <c r="W121" s="111">
        <f>[12]GHG_hist!BJ111+IF($M121="incl",[12]LULUCF_hist!DA111,0)</f>
        <v>3.7059684000000002</v>
      </c>
      <c r="X121" s="111">
        <f>[12]GHG_hist!BK111+IF($M121="incl",[12]LULUCF_hist!DB111,0)</f>
        <v>3.8207473000000003</v>
      </c>
      <c r="Y121" s="111">
        <f>[12]GHG_hist!BL111+IF($M121="incl",[12]LULUCF_hist!DC111,0)</f>
        <v>4.0233281000000005</v>
      </c>
      <c r="Z121" s="111">
        <f>[12]GHG_hist!BM111+IF($M121="incl",[12]LULUCF_hist!DD111,0)</f>
        <v>4.0139291999999998</v>
      </c>
      <c r="AA121" s="111">
        <f>[12]GHG_hist!BN111+IF($M121="incl",[12]LULUCF_hist!DE111,0)</f>
        <v>4.3077142999999998</v>
      </c>
      <c r="AB121" s="111">
        <f>[12]GHG_hist!BO111+IF($M121="incl",[12]LULUCF_hist!DF111,0)</f>
        <v>4.4676077999999997</v>
      </c>
      <c r="AC121" s="111">
        <f>[12]GHG_hist!BP111+IF($M121="incl",[12]LULUCF_hist!DG111,0)</f>
        <v>4.8680551999999997</v>
      </c>
      <c r="AD121" s="111">
        <f>[12]GHG_hist!BQ111+IF($M121="incl",[12]LULUCF_hist!DH111,0)</f>
        <v>4.8325189000000002</v>
      </c>
      <c r="AE121" s="111">
        <f>[12]GHG_hist!BR111+IF($M121="incl",[12]LULUCF_hist!DI111,0)</f>
        <v>5.0530863000000004</v>
      </c>
      <c r="AF121" s="111">
        <f>[12]GHG_hist!BS111+IF($M121="incl",[12]LULUCF_hist!DJ111,0)</f>
        <v>4.9288997999999999</v>
      </c>
      <c r="AG121" s="111">
        <f>[12]GHG_hist!BT111+IF($M121="incl",[12]LULUCF_hist!DK111,0)</f>
        <v>5.1376599000000001</v>
      </c>
      <c r="AH121" s="111">
        <f>[12]GHG_hist!BU111+IF($M121="incl",[12]LULUCF_hist!DL111,0)</f>
        <v>5.2911163999999999</v>
      </c>
      <c r="AI121" s="111">
        <f>[12]GHG_hist!BV111+IF($M121="incl",[12]LULUCF_hist!DM111,0)</f>
        <v>4.8286558000000008</v>
      </c>
      <c r="AJ121" s="111">
        <f>[12]GHG_hist!BW111+IF($M121="incl",[12]LULUCF_hist!DN111,0)</f>
        <v>4.6124358000000001</v>
      </c>
      <c r="AK121" s="111">
        <f>[12]GHG_hist!BX111+IF($M121="incl",[12]LULUCF_hist!DO111,0)</f>
        <v>4.5366908000000006</v>
      </c>
      <c r="AL121" s="111">
        <f>[12]GHG_hist!BY111+IF($M121="incl",[12]LULUCF_hist!DP111,0)</f>
        <v>4.6926781000000002</v>
      </c>
      <c r="AM121" s="111">
        <f>[12]GHG_hist!BZ111+IF($M121="incl",[12]LULUCF_hist!DQ111,0)</f>
        <v>4.7644656999999997</v>
      </c>
      <c r="AN121" s="111">
        <f>[12]GHG_hist!CA111+IF($M121="incl",[12]LULUCF_hist!DR111,0)</f>
        <v>4.8240289000000001</v>
      </c>
      <c r="AO121" s="111">
        <f>[12]GHG_hist!CB111+IF($M121="incl",[12]LULUCF_hist!DS111,0)</f>
        <v>4.9605310000000005</v>
      </c>
      <c r="AP121" s="111">
        <f>[12]GHG_hist!CC111+IF($M121="incl",[12]LULUCF_hist!DT111,0)</f>
        <v>4.9124159000000001</v>
      </c>
      <c r="AQ121" s="111">
        <f>[12]GHG_hist!CD111+IF($M121="incl",[12]LULUCF_hist!DU111,0)</f>
        <v>4.6764881999999997</v>
      </c>
      <c r="AR121" s="111">
        <f>[12]GHG_hist!CE111+IF($M121="incl",[12]LULUCF_hist!DV111,0)</f>
        <v>4.4745942999999997</v>
      </c>
      <c r="AS121" s="111">
        <f>[12]GHG_hist!CF111+IF($M121="incl",[12]LULUCF_hist!DW111,0)</f>
        <v>4.7360575000000003</v>
      </c>
      <c r="AT121" s="161">
        <f>VLOOKUP($L121,'[12]IMAGE SSP2'!$AF$3:$AK$29,4,FALSE)*$AM121</f>
        <v>5.2916135358719769</v>
      </c>
      <c r="AU121" s="162">
        <f>VLOOKUP($L121,'[12]IMAGE SSP2'!$AF$3:$AK$29,5,FALSE)*$AM121</f>
        <v>5.583911913552976</v>
      </c>
      <c r="AV121" s="163">
        <f>VLOOKUP($L121,'[12]IMAGE SSP2'!$AF$3:$AK$29,6,FALSE)*$AM121</f>
        <v>6.5361524033596545</v>
      </c>
      <c r="AW121" s="111">
        <f t="shared" si="75"/>
        <v>2.6455582</v>
      </c>
      <c r="AX121" s="164">
        <f>IF(A121="B",IF(M121="excl",[12]NatCom!CO111,[12]NatCom!AX111),"")</f>
        <v>0</v>
      </c>
      <c r="AY121" s="111" t="str">
        <f>IF('[12]Pledge 2020'!E111="","",'[12]Pledge 2020'!E111)</f>
        <v/>
      </c>
      <c r="AZ121" s="164" t="str">
        <f>IF('[12]Pledge 2020'!F111="","",'[12]Pledge 2020'!F111)</f>
        <v/>
      </c>
      <c r="BA121" s="111">
        <f t="shared" si="100"/>
        <v>3.3454975999999998</v>
      </c>
      <c r="BB121" s="111">
        <f>IF(BF121="","",(BF121-AH121)*0.75+AH121)</f>
        <v>3.3454975999999998</v>
      </c>
      <c r="BC121" s="111">
        <f t="shared" si="101"/>
        <v>2.7836313500000003</v>
      </c>
      <c r="BD121" s="111">
        <f>IF(BH121="","",(BH121-AH121)*0.75+AH121)</f>
        <v>2.7836313500000003</v>
      </c>
      <c r="BE121" s="111">
        <v>2.696958</v>
      </c>
      <c r="BF121" s="111">
        <v>2.696958</v>
      </c>
      <c r="BG121" s="111">
        <v>1.9478030000000002</v>
      </c>
      <c r="BH121" s="164">
        <v>1.9478030000000002</v>
      </c>
      <c r="BI121" s="111">
        <f>IF([12]NDCs!V123="",IF([12]NDCs!X123="","",[12]NDCs!X123),[12]NDCs!V123)</f>
        <v>2.696958</v>
      </c>
      <c r="BJ121" s="111">
        <f>IF([12]NDCs!V123="",IF([12]NDCs!X123="","",[12]NDCs!X123),[12]NDCs!V123)</f>
        <v>2.696958</v>
      </c>
      <c r="BK121" s="111">
        <f>IF([12]NDCs!Z123="",IF([12]NDCs!AB123="",IF('input site'!BE121="","",'input site'!BE121),[12]NDCs!AB123),[12]NDCs!Z123)</f>
        <v>1.9478030000000002</v>
      </c>
      <c r="BL121" s="111">
        <f>IF([12]NDCs!AA123="",IF([12]NDCs!AC123="",IF('input site'!BF121="","",'input site'!BF121),[12]NDCs!AC123),[12]NDCs!AA123)</f>
        <v>1.9478030000000002</v>
      </c>
      <c r="BM121" s="111">
        <f>IF($BI$8=2015,VLOOKUP($L121,'[12]IMAGE CurPol SSP'!$AZ$3:$BD$29,4,FALSE)*$AM121,IF($BI$8=2018,VLOOKUP($L121,'[12]IMAGE CurPol SSP'!$BJ$3:$BN$29,4,FALSE)*$AP121,$AR121))</f>
        <v>4.4745942999999997</v>
      </c>
      <c r="BN121" s="111">
        <f t="shared" si="92"/>
        <v>4.4745942999999997</v>
      </c>
      <c r="BO121" s="111">
        <f t="shared" si="92"/>
        <v>4.4745942999999997</v>
      </c>
      <c r="BP121" s="111">
        <f>IF($BI$8=2015,VLOOKUP($L121,'[12]IMAGE CurPol SSP'!$AZ$3:$BD$29,5,FALSE)*$AM121,IF($BI$8=2018,VLOOKUP($L121,'[12]IMAGE CurPol SSP'!$BJ$3:$BN$29,5,FALSE)*$AP121,VLOOKUP($L121,'[12]IMAGE CurPol SSP'!$BU$3:$BZ$29,5,FALSE)*$AS121))</f>
        <v>5.0667870039296794</v>
      </c>
      <c r="BQ121" s="111">
        <f>IF($BI$8=2015,"",IF($BI$8=2018,"",VLOOKUP($L121,'[12]IMAGE CurPol SSP'!$CQ$3:$CV$29,5,FALSE)*$AS121))</f>
        <v>5.0667870039296794</v>
      </c>
      <c r="BR121" s="111">
        <f>IF($BI$8=2015,"",IF($BI$8=2018,"",VLOOKUP($L121,'[12]IMAGE CurPol SSP'!$CF$3:$CK$29,5,FALSE)*$AS121))</f>
        <v>5.2161670269633715</v>
      </c>
      <c r="BS121" s="111">
        <f>IF($BI$8=2015,VLOOKUP($L121,'[12]IMAGE CurPol SSP'!$AZ$3:$BE$29,6,FALSE)*$AM121,IF($BI$8=2018,VLOOKUP($L121,'[12]IMAGE CurPol SSP'!$BJ$3:$BO$29,6,FALSE)*$AP121,VLOOKUP($L121,'[12]IMAGE CurPol SSP'!$BU$3:$BZ$29,6,FALSE)*$AS121))</f>
        <v>5.7639671430536978</v>
      </c>
      <c r="BT121" s="111">
        <f>IF($BI$8=2015,"",IF($BI$8=2018,"",VLOOKUP($L121,'[12]IMAGE CurPol SSP'!$CQ$3:$CV$29,6,FALSE)*$AS121))</f>
        <v>5.7639671430536978</v>
      </c>
      <c r="BU121" s="164">
        <f>IF($BI$8=2015,"",IF($BI$8=2018,"",VLOOKUP($L121,'[12]IMAGE CurPol SSP'!$CF$3:$CK$29,6,FALSE)*$AS121))</f>
        <v>5.9960361636109258</v>
      </c>
      <c r="CN121" t="s">
        <v>271</v>
      </c>
      <c r="CO121" s="165">
        <f t="shared" si="69"/>
        <v>-0.53210038623308731</v>
      </c>
      <c r="CP121" s="165">
        <f t="shared" si="69"/>
        <v>-0.53210038623308731</v>
      </c>
      <c r="CQ121" s="165">
        <f t="shared" si="69"/>
        <v>-0.66207250116834082</v>
      </c>
      <c r="CR121" s="165">
        <f t="shared" si="65"/>
        <v>-0.66207250116834082</v>
      </c>
      <c r="CV121" s="125" t="s">
        <v>621</v>
      </c>
      <c r="CW121" s="125" t="s">
        <v>621</v>
      </c>
      <c r="CX121"/>
      <c r="CY121" s="167">
        <f t="shared" si="70"/>
        <v>0.81701923587197722</v>
      </c>
      <c r="DB121" s="106"/>
      <c r="DC121" s="106"/>
      <c r="DD121" s="106"/>
      <c r="DE121" s="106"/>
      <c r="DF121" s="106"/>
      <c r="DG121" s="105" t="str">
        <f t="shared" si="71"/>
        <v>excl</v>
      </c>
      <c r="DH121" t="s">
        <v>271</v>
      </c>
      <c r="DI121" s="111">
        <f t="shared" si="93"/>
        <v>0</v>
      </c>
      <c r="DJ121" s="111">
        <f t="shared" si="93"/>
        <v>0</v>
      </c>
      <c r="DK121" s="111">
        <f t="shared" si="94"/>
        <v>-1.7212894039296796</v>
      </c>
      <c r="DL121" s="111">
        <f t="shared" si="95"/>
        <v>-2.2831556539296791</v>
      </c>
      <c r="DM121" s="111">
        <f t="shared" si="96"/>
        <v>-3.0670091430536979</v>
      </c>
      <c r="DN121" s="111">
        <f t="shared" si="97"/>
        <v>-3.8161641430536974</v>
      </c>
      <c r="DO121" s="111">
        <f t="shared" si="98"/>
        <v>-3.0670091430536979</v>
      </c>
      <c r="DP121" s="111">
        <f t="shared" si="99"/>
        <v>-3.8161641430536974</v>
      </c>
      <c r="DQ121" s="106"/>
      <c r="DR121" s="106"/>
      <c r="DS121" s="111"/>
      <c r="DT121" s="168"/>
      <c r="DW121" s="111">
        <f t="shared" si="72"/>
        <v>2.696958</v>
      </c>
      <c r="DX121" s="111">
        <f t="shared" si="72"/>
        <v>2.696958</v>
      </c>
      <c r="DY121" s="111">
        <f t="shared" si="72"/>
        <v>1.9478030000000002</v>
      </c>
      <c r="DZ121" s="111">
        <f t="shared" si="66"/>
        <v>1.9478030000000002</v>
      </c>
      <c r="EP121" t="s">
        <v>271</v>
      </c>
      <c r="EQ121">
        <v>-1</v>
      </c>
      <c r="ER121" s="111">
        <f t="shared" si="73"/>
        <v>4.9124159000000001</v>
      </c>
      <c r="ES121" s="111">
        <f>IF($BI$8=2015,VLOOKUP($L121,'[12]IMAGE CDLINKS CurPol'!$P$3:$Y$29,10,FALSE)*$AM121,VLOOKUP($L121,'[12]IMAGE CDLINKS CurPol'!$Z$3:$AI$29,10,FALSE)*$AP121)</f>
        <v>9.962706794806742</v>
      </c>
      <c r="ET121" s="111">
        <f t="shared" si="86"/>
        <v>9.962706794806742</v>
      </c>
      <c r="EU121" s="111">
        <f t="shared" si="76"/>
        <v>3.4925977492372566</v>
      </c>
      <c r="EV121" s="111">
        <f>IF($BI$8=2015,VLOOKUP($L121,'[12]IMAGE CDLINKS 2C'!$P$3:$Y$29,10,FALSE)*$AM121,VLOOKUP($L121,'[12]IMAGE CDLINKS 2C'!$Z$3:$AI$29,10,FALSE)*$AP121)</f>
        <v>3.4925977492372566</v>
      </c>
      <c r="EX121" s="111"/>
      <c r="EY121" s="111">
        <f t="shared" si="77"/>
        <v>3.2568111530156769</v>
      </c>
      <c r="EZ121" s="111">
        <f>IF($BI$8=2015,VLOOKUP($L121,'[12]IMAGE CDLINKS 1_5C'!$P$3:$Y$29,10,FALSE)*$AM121,VLOOKUP($L121,'[12]IMAGE CDLINKS 1_5C'!$Z$3:$AI$29,10,FALSE)*$AP121)</f>
        <v>3.2568111530156769</v>
      </c>
      <c r="FA121" s="192">
        <v>2050</v>
      </c>
    </row>
    <row r="122" spans="1:157" x14ac:dyDescent="0.25">
      <c r="A122" t="str">
        <f>IF([12]NDCs!C124="","",[12]NDCs!C124)</f>
        <v>B</v>
      </c>
      <c r="B122" s="159" t="str">
        <f t="shared" si="67"/>
        <v>v</v>
      </c>
      <c r="C122">
        <v>0</v>
      </c>
      <c r="D122">
        <v>0</v>
      </c>
      <c r="E122">
        <v>0</v>
      </c>
      <c r="F122">
        <v>1</v>
      </c>
      <c r="G122" t="b">
        <f t="shared" si="68"/>
        <v>1</v>
      </c>
      <c r="H122" t="s">
        <v>2328</v>
      </c>
      <c r="I122" t="s">
        <v>273</v>
      </c>
      <c r="J122">
        <v>430</v>
      </c>
      <c r="K122">
        <v>111</v>
      </c>
      <c r="L122">
        <v>8</v>
      </c>
      <c r="M122" t="str">
        <f>IF([12]NDCs!AL124="Excluding","excl","incl")</f>
        <v>excl</v>
      </c>
      <c r="N122" s="160">
        <f>[12]GHG_hist!BA112+IF($M122="incl",[12]LULUCF_hist!CR112,0)</f>
        <v>1.7005939000000001</v>
      </c>
      <c r="O122" s="111">
        <f>[12]GHG_hist!BB112+IF($M122="incl",[12]LULUCF_hist!CS112,0)</f>
        <v>1.5347361000000002</v>
      </c>
      <c r="P122" s="111">
        <f>[12]GHG_hist!BC112+IF($M122="incl",[12]LULUCF_hist!CT112,0)</f>
        <v>1.5116124</v>
      </c>
      <c r="Q122" s="111">
        <f>[12]GHG_hist!BD112+IF($M122="incl",[12]LULUCF_hist!CU112,0)</f>
        <v>1.4705052000000001</v>
      </c>
      <c r="R122" s="111">
        <f>[12]GHG_hist!BE112+IF($M122="incl",[12]LULUCF_hist!CV112,0)</f>
        <v>1.4338363999999999</v>
      </c>
      <c r="S122" s="111">
        <f>[12]GHG_hist!BF112+IF($M122="incl",[12]LULUCF_hist!CW112,0)</f>
        <v>1.4531765999999999</v>
      </c>
      <c r="T122" s="111">
        <f>[12]GHG_hist!BG112+IF($M122="incl",[12]LULUCF_hist!CX112,0)</f>
        <v>1.4913642</v>
      </c>
      <c r="U122" s="111">
        <f>[12]GHG_hist!BH112+IF($M122="incl",[12]LULUCF_hist!CY112,0)</f>
        <v>1.6188879</v>
      </c>
      <c r="V122" s="111">
        <f>[12]GHG_hist!BI112+IF($M122="incl",[12]LULUCF_hist!CZ112,0)</f>
        <v>1.7577944000000001</v>
      </c>
      <c r="W122" s="111">
        <f>[12]GHG_hist!BJ112+IF($M122="incl",[12]LULUCF_hist!DA112,0)</f>
        <v>1.7879540999999999</v>
      </c>
      <c r="X122" s="111">
        <f>[12]GHG_hist!BK112+IF($M122="incl",[12]LULUCF_hist!DB112,0)</f>
        <v>1.9284599</v>
      </c>
      <c r="Y122" s="111">
        <f>[12]GHG_hist!BL112+IF($M122="incl",[12]LULUCF_hist!DC112,0)</f>
        <v>1.9905993000000002</v>
      </c>
      <c r="Z122" s="111">
        <f>[12]GHG_hist!BM112+IF($M122="incl",[12]LULUCF_hist!DD112,0)</f>
        <v>2.0265727</v>
      </c>
      <c r="AA122" s="111">
        <f>[12]GHG_hist!BN112+IF($M122="incl",[12]LULUCF_hist!DE112,0)</f>
        <v>2.1100304999999997</v>
      </c>
      <c r="AB122" s="111">
        <f>[12]GHG_hist!BO112+IF($M122="incl",[12]LULUCF_hist!DF112,0)</f>
        <v>2.2310430999999999</v>
      </c>
      <c r="AC122" s="111">
        <f>[12]GHG_hist!BP112+IF($M122="incl",[12]LULUCF_hist!DG112,0)</f>
        <v>2.3982748000000003</v>
      </c>
      <c r="AD122" s="111">
        <f>[12]GHG_hist!BQ112+IF($M122="incl",[12]LULUCF_hist!DH112,0)</f>
        <v>2.5620113999999998</v>
      </c>
      <c r="AE122" s="111">
        <f>[12]GHG_hist!BR112+IF($M122="incl",[12]LULUCF_hist!DI112,0)</f>
        <v>2.5697123000000004</v>
      </c>
      <c r="AF122" s="111">
        <f>[12]GHG_hist!BS112+IF($M122="incl",[12]LULUCF_hist!DJ112,0)</f>
        <v>2.5642686000000001</v>
      </c>
      <c r="AG122" s="111">
        <f>[12]GHG_hist!BT112+IF($M122="incl",[12]LULUCF_hist!DK112,0)</f>
        <v>2.8362476999999999</v>
      </c>
      <c r="AH122" s="111">
        <f>[12]GHG_hist!BU112+IF($M122="incl",[12]LULUCF_hist!DL112,0)</f>
        <v>3.0182614000000001</v>
      </c>
      <c r="AI122" s="111">
        <f>[12]GHG_hist!BV112+IF($M122="incl",[12]LULUCF_hist!DM112,0)</f>
        <v>3.1963472999999998</v>
      </c>
      <c r="AJ122" s="111">
        <f>[12]GHG_hist!BW112+IF($M122="incl",[12]LULUCF_hist!DN112,0)</f>
        <v>3.4317858000000001</v>
      </c>
      <c r="AK122" s="111">
        <f>[12]GHG_hist!BX112+IF($M122="incl",[12]LULUCF_hist!DO112,0)</f>
        <v>3.3914965000000001</v>
      </c>
      <c r="AL122" s="111">
        <f>[12]GHG_hist!BY112+IF($M122="incl",[12]LULUCF_hist!DP112,0)</f>
        <v>3.8529218000000003</v>
      </c>
      <c r="AM122" s="111">
        <f>[12]GHG_hist!BZ112+IF($M122="incl",[12]LULUCF_hist!DQ112,0)</f>
        <v>4.0597168999999997</v>
      </c>
      <c r="AN122" s="111">
        <f>[12]GHG_hist!CA112+IF($M122="incl",[12]LULUCF_hist!DR112,0)</f>
        <v>4.175414</v>
      </c>
      <c r="AO122" s="111">
        <f>[12]GHG_hist!CB112+IF($M122="incl",[12]LULUCF_hist!DS112,0)</f>
        <v>4.1178566999999999</v>
      </c>
      <c r="AP122" s="111">
        <f>[12]GHG_hist!CC112+IF($M122="incl",[12]LULUCF_hist!DT112,0)</f>
        <v>4.3496410999999995</v>
      </c>
      <c r="AQ122" s="111">
        <f>[12]GHG_hist!CD112+IF($M122="incl",[12]LULUCF_hist!DU112,0)</f>
        <v>4.5948245999999999</v>
      </c>
      <c r="AR122" s="111">
        <f>[12]GHG_hist!CE112+IF($M122="incl",[12]LULUCF_hist!DV112,0)</f>
        <v>4.6526532999999999</v>
      </c>
      <c r="AS122" s="111">
        <f>[12]GHG_hist!CF112+IF($M122="incl",[12]LULUCF_hist!DW112,0)</f>
        <v>4.8343685000000001</v>
      </c>
      <c r="AT122" s="161">
        <f>VLOOKUP($L122,'[12]IMAGE SSP2'!$AF$3:$AK$29,4,FALSE)*$AM122</f>
        <v>5.3559306629764158</v>
      </c>
      <c r="AU122" s="162">
        <f>VLOOKUP($L122,'[12]IMAGE SSP2'!$AF$3:$AK$29,5,FALSE)*$AM122</f>
        <v>6.2139834644722516</v>
      </c>
      <c r="AV122" s="163">
        <f>VLOOKUP($L122,'[12]IMAGE SSP2'!$AF$3:$AK$29,6,FALSE)*$AM122</f>
        <v>7.4491471391129256</v>
      </c>
      <c r="AW122" s="111">
        <f>IF(A122="B",AM122+(AX122-AM122)*0.33333,"")</f>
        <v>4.4738071257229999</v>
      </c>
      <c r="AX122" s="164">
        <f>IF(A122="B",IF(M122="excl",[12]NatCom!CO112,[12]NatCom!AX112),"")</f>
        <v>5.3019999999999996</v>
      </c>
      <c r="AY122" s="111" t="str">
        <f>IF('[12]Pledge 2020'!E112="","",'[12]Pledge 2020'!E112)</f>
        <v/>
      </c>
      <c r="AZ122" s="164" t="str">
        <f>IF('[12]Pledge 2020'!F112="","",'[12]Pledge 2020'!F112)</f>
        <v/>
      </c>
      <c r="BA122" s="111" t="str">
        <f t="shared" si="100"/>
        <v/>
      </c>
      <c r="BB122" s="111"/>
      <c r="BC122" s="111">
        <f t="shared" si="101"/>
        <v>4.1345903499999999</v>
      </c>
      <c r="BD122" s="111">
        <f>IF(BH122="","",(BH122-AH122)*0.75+AH122)</f>
        <v>4.1345903499999999</v>
      </c>
      <c r="BE122" s="111" t="s">
        <v>2477</v>
      </c>
      <c r="BF122" s="111" t="s">
        <v>2477</v>
      </c>
      <c r="BG122" s="111">
        <v>4.5066999999999995</v>
      </c>
      <c r="BH122" s="164">
        <v>4.5066999999999995</v>
      </c>
      <c r="BI122" s="111" t="str">
        <f>IF([12]NDCs!V124="",IF([12]NDCs!X124="","",[12]NDCs!X124),[12]NDCs!V124)</f>
        <v/>
      </c>
      <c r="BJ122" s="111" t="str">
        <f>IF([12]NDCs!V124="",IF([12]NDCs!X124="","",[12]NDCs!X124),[12]NDCs!V124)</f>
        <v/>
      </c>
      <c r="BK122" s="111">
        <f>IF([12]NDCs!Z124="",IF([12]NDCs!AB124="",IF('input site'!BE122="","",'input site'!BE122),[12]NDCs!AB124),[12]NDCs!Z124)</f>
        <v>4.5066999999999995</v>
      </c>
      <c r="BL122" s="111">
        <f>IF([12]NDCs!AA124="",IF([12]NDCs!AC124="",IF('input site'!BF122="","",'input site'!BF122),[12]NDCs!AC124),[12]NDCs!AA124)</f>
        <v>4.5066999999999995</v>
      </c>
      <c r="BM122" s="111">
        <f>IF($BI$8=2015,VLOOKUP($L122,'[12]IMAGE CurPol SSP'!$AZ$3:$BD$29,4,FALSE)*$AM122,IF($BI$8=2018,VLOOKUP($L122,'[12]IMAGE CurPol SSP'!$BJ$3:$BN$29,4,FALSE)*$AP122,$AR122))</f>
        <v>4.6526532999999999</v>
      </c>
      <c r="BN122" s="111">
        <f t="shared" si="92"/>
        <v>4.6526532999999999</v>
      </c>
      <c r="BO122" s="111">
        <f t="shared" si="92"/>
        <v>4.6526532999999999</v>
      </c>
      <c r="BP122" s="111">
        <f>IF($BI$8=2015,VLOOKUP($L122,'[12]IMAGE CurPol SSP'!$AZ$3:$BD$29,5,FALSE)*$AM122,IF($BI$8=2018,VLOOKUP($L122,'[12]IMAGE CurPol SSP'!$BJ$3:$BN$29,5,FALSE)*$AP122,VLOOKUP($L122,'[12]IMAGE CurPol SSP'!$BU$3:$BZ$29,5,FALSE)*$AS122))</f>
        <v>5.0071830067470176</v>
      </c>
      <c r="BQ122" s="111">
        <f>IF($BI$8=2015,"",IF($BI$8=2018,"",VLOOKUP($L122,'[12]IMAGE CurPol SSP'!$CQ$3:$CV$29,5,FALSE)*$AS122))</f>
        <v>4.9515516558320227</v>
      </c>
      <c r="BR122" s="111">
        <f>IF($BI$8=2015,"",IF($BI$8=2018,"",VLOOKUP($L122,'[12]IMAGE CurPol SSP'!$CF$3:$CK$29,5,FALSE)*$AS122))</f>
        <v>5.0539899111340656</v>
      </c>
      <c r="BS122" s="111">
        <f>IF($BI$8=2015,VLOOKUP($L122,'[12]IMAGE CurPol SSP'!$AZ$3:$BE$29,6,FALSE)*$AM122,IF($BI$8=2018,VLOOKUP($L122,'[12]IMAGE CurPol SSP'!$BJ$3:$BO$29,6,FALSE)*$AP122,VLOOKUP($L122,'[12]IMAGE CurPol SSP'!$BU$3:$BZ$29,6,FALSE)*$AS122))</f>
        <v>5.7576679256233039</v>
      </c>
      <c r="BT122" s="111">
        <f>IF($BI$8=2015,"",IF($BI$8=2018,"",VLOOKUP($L122,'[12]IMAGE CurPol SSP'!$CQ$3:$CV$29,6,FALSE)*$AS122))</f>
        <v>5.6085298904029104</v>
      </c>
      <c r="BU122" s="164">
        <f>IF($BI$8=2015,"",IF($BI$8=2018,"",VLOOKUP($L122,'[12]IMAGE CurPol SSP'!$CF$3:$CK$29,6,FALSE)*$AS122))</f>
        <v>5.7576679256233039</v>
      </c>
      <c r="CN122" t="s">
        <v>273</v>
      </c>
      <c r="CO122" s="165" t="str">
        <f t="shared" si="69"/>
        <v/>
      </c>
      <c r="CP122" s="165" t="str">
        <f t="shared" si="69"/>
        <v/>
      </c>
      <c r="CQ122" s="165">
        <f t="shared" si="69"/>
        <v>-0.21726989846985301</v>
      </c>
      <c r="CR122" s="165">
        <f t="shared" si="65"/>
        <v>-0.21726989846985301</v>
      </c>
      <c r="CS122" s="159"/>
      <c r="CU122" s="159"/>
      <c r="CV122" s="125" t="s">
        <v>621</v>
      </c>
      <c r="CW122" s="125" t="s">
        <v>621</v>
      </c>
      <c r="CX122" s="159"/>
      <c r="CY122" s="167">
        <f t="shared" si="70"/>
        <v>0.70327736297641597</v>
      </c>
      <c r="CZ122" s="159"/>
      <c r="DB122" s="106"/>
      <c r="DC122" s="106"/>
      <c r="DD122" s="106"/>
      <c r="DE122" s="106"/>
      <c r="DF122" s="106"/>
      <c r="DG122" s="105" t="str">
        <f t="shared" si="71"/>
        <v>excl</v>
      </c>
      <c r="DH122" t="s">
        <v>273</v>
      </c>
      <c r="DI122" s="111">
        <f t="shared" si="93"/>
        <v>0</v>
      </c>
      <c r="DJ122" s="111">
        <f t="shared" si="93"/>
        <v>0</v>
      </c>
      <c r="DK122" s="111">
        <f t="shared" si="94"/>
        <v>0</v>
      </c>
      <c r="DL122" s="111">
        <f t="shared" si="95"/>
        <v>-0.87259265674701769</v>
      </c>
      <c r="DM122" s="111">
        <f t="shared" si="96"/>
        <v>0</v>
      </c>
      <c r="DN122" s="111">
        <f t="shared" si="97"/>
        <v>-1.2509679256233044</v>
      </c>
      <c r="DO122" s="111">
        <f t="shared" si="98"/>
        <v>0</v>
      </c>
      <c r="DP122" s="111">
        <f t="shared" si="99"/>
        <v>-1.2509679256233044</v>
      </c>
      <c r="DQ122" s="106"/>
      <c r="DR122" s="106"/>
      <c r="DS122" s="111"/>
      <c r="DT122" s="168"/>
      <c r="DW122" s="111">
        <f t="shared" si="72"/>
        <v>5.7576679256233039</v>
      </c>
      <c r="DX122" s="111">
        <f t="shared" si="72"/>
        <v>5.7576679256233039</v>
      </c>
      <c r="DY122" s="111">
        <f t="shared" si="72"/>
        <v>4.5066999999999995</v>
      </c>
      <c r="DZ122" s="111">
        <f t="shared" si="66"/>
        <v>4.5066999999999995</v>
      </c>
      <c r="EP122" t="s">
        <v>273</v>
      </c>
      <c r="EQ122">
        <v>4</v>
      </c>
      <c r="ER122" s="111">
        <f t="shared" si="73"/>
        <v>4.3496410999999995</v>
      </c>
      <c r="ES122" s="111">
        <f>IF($BI$8=2015,VLOOKUP($L122,'[12]IMAGE CDLINKS CurPol'!$P$3:$Y$29,10,FALSE)*$AM122,VLOOKUP($L122,'[12]IMAGE CDLINKS CurPol'!$Z$3:$AI$29,10,FALSE)*$AP122)</f>
        <v>9.0815070848876811</v>
      </c>
      <c r="ET122" s="111">
        <f t="shared" si="86"/>
        <v>0</v>
      </c>
      <c r="EU122" s="111">
        <f t="shared" si="76"/>
        <v>0</v>
      </c>
      <c r="EV122" s="111">
        <f>IF($BI$8=2015,VLOOKUP($L122,'[12]IMAGE CDLINKS 2C'!$P$3:$Y$29,10,FALSE)*$AM122,VLOOKUP($L122,'[12]IMAGE CDLINKS 2C'!$Z$3:$AI$29,10,FALSE)*$AP122)</f>
        <v>4.1447562013555768</v>
      </c>
      <c r="EX122" s="111"/>
      <c r="EY122" s="111">
        <f t="shared" si="77"/>
        <v>0</v>
      </c>
      <c r="EZ122" s="111">
        <f>IF($BI$8=2015,VLOOKUP($L122,'[12]IMAGE CDLINKS 1_5C'!$P$3:$Y$29,10,FALSE)*$AM122,VLOOKUP($L122,'[12]IMAGE CDLINKS 1_5C'!$Z$3:$AI$29,10,FALSE)*$AP122)</f>
        <v>2.3608543133303006</v>
      </c>
      <c r="FA122" s="192">
        <v>2050</v>
      </c>
    </row>
    <row r="123" spans="1:157" x14ac:dyDescent="0.25">
      <c r="A123" t="str">
        <f>IF([12]NDCs!C125="","",[12]NDCs!C125)</f>
        <v/>
      </c>
      <c r="B123" s="159" t="str">
        <f t="shared" si="67"/>
        <v>v</v>
      </c>
      <c r="C123">
        <v>0</v>
      </c>
      <c r="D123">
        <v>0</v>
      </c>
      <c r="E123">
        <v>0</v>
      </c>
      <c r="F123">
        <v>1</v>
      </c>
      <c r="G123" t="b">
        <f t="shared" si="68"/>
        <v>0</v>
      </c>
      <c r="H123" t="s">
        <v>2328</v>
      </c>
      <c r="I123" t="s">
        <v>275</v>
      </c>
      <c r="J123">
        <v>434</v>
      </c>
      <c r="K123">
        <v>112</v>
      </c>
      <c r="L123">
        <v>7</v>
      </c>
      <c r="M123" t="str">
        <f>IF([12]NDCs!AL125="Excluding","excl","incl")</f>
        <v>excl</v>
      </c>
      <c r="N123" s="160">
        <f>[12]GHG_hist!BA113+IF($M123="incl",[12]LULUCF_hist!CR113,0)</f>
        <v>84.458758000000003</v>
      </c>
      <c r="O123" s="111">
        <f>[12]GHG_hist!BB113+IF($M123="incl",[12]LULUCF_hist!CS113,0)</f>
        <v>88.17286</v>
      </c>
      <c r="P123" s="111">
        <f>[12]GHG_hist!BC113+IF($M123="incl",[12]LULUCF_hist!CT113,0)</f>
        <v>77.091671000000005</v>
      </c>
      <c r="Q123" s="111">
        <f>[12]GHG_hist!BD113+IF($M123="incl",[12]LULUCF_hist!CU113,0)</f>
        <v>73.770308999999997</v>
      </c>
      <c r="R123" s="111">
        <f>[12]GHG_hist!BE113+IF($M123="incl",[12]LULUCF_hist!CV113,0)</f>
        <v>87.763686000000007</v>
      </c>
      <c r="S123" s="111">
        <f>[12]GHG_hist!BF113+IF($M123="incl",[12]LULUCF_hist!CW113,0)</f>
        <v>93.666903000000005</v>
      </c>
      <c r="T123" s="111">
        <f>[12]GHG_hist!BG113+IF($M123="incl",[12]LULUCF_hist!CX113,0)</f>
        <v>93.587274999999991</v>
      </c>
      <c r="U123" s="111">
        <f>[12]GHG_hist!BH113+IF($M123="incl",[12]LULUCF_hist!CY113,0)</f>
        <v>87.091329999999999</v>
      </c>
      <c r="V123" s="111">
        <f>[12]GHG_hist!BI113+IF($M123="incl",[12]LULUCF_hist!CZ113,0)</f>
        <v>85.415880999999999</v>
      </c>
      <c r="W123" s="111">
        <f>[12]GHG_hist!BJ113+IF($M123="incl",[12]LULUCF_hist!DA113,0)</f>
        <v>81.513636000000005</v>
      </c>
      <c r="X123" s="111">
        <f>[12]GHG_hist!BK113+IF($M123="incl",[12]LULUCF_hist!DB113,0)</f>
        <v>85.807933999999989</v>
      </c>
      <c r="Y123" s="111">
        <f>[12]GHG_hist!BL113+IF($M123="incl",[12]LULUCF_hist!DC113,0)</f>
        <v>84.140647999999999</v>
      </c>
      <c r="Z123" s="111">
        <f>[12]GHG_hist!BM113+IF($M123="incl",[12]LULUCF_hist!DD113,0)</f>
        <v>82.106082999999998</v>
      </c>
      <c r="AA123" s="111">
        <f>[12]GHG_hist!BN113+IF($M123="incl",[12]LULUCF_hist!DE113,0)</f>
        <v>88.290592000000004</v>
      </c>
      <c r="AB123" s="111">
        <f>[12]GHG_hist!BO113+IF($M123="incl",[12]LULUCF_hist!DF113,0)</f>
        <v>90.47936</v>
      </c>
      <c r="AC123" s="111">
        <f>[12]GHG_hist!BP113+IF($M123="incl",[12]LULUCF_hist!DG113,0)</f>
        <v>95.890489000000002</v>
      </c>
      <c r="AD123" s="111">
        <f>[12]GHG_hist!BQ113+IF($M123="incl",[12]LULUCF_hist!DH113,0)</f>
        <v>96.118206000000001</v>
      </c>
      <c r="AE123" s="111">
        <f>[12]GHG_hist!BR113+IF($M123="incl",[12]LULUCF_hist!DI113,0)</f>
        <v>90.971587</v>
      </c>
      <c r="AF123" s="111">
        <f>[12]GHG_hist!BS113+IF($M123="incl",[12]LULUCF_hist!DJ113,0)</f>
        <v>97.81089999999999</v>
      </c>
      <c r="AG123" s="111">
        <f>[12]GHG_hist!BT113+IF($M123="incl",[12]LULUCF_hist!DK113,0)</f>
        <v>97.320126999999999</v>
      </c>
      <c r="AH123" s="111">
        <f>[12]GHG_hist!BU113+IF($M123="incl",[12]LULUCF_hist!DL113,0)</f>
        <v>103.5278</v>
      </c>
      <c r="AI123" s="111">
        <f>[12]GHG_hist!BV113+IF($M123="incl",[12]LULUCF_hist!DM113,0)</f>
        <v>60.362697999999995</v>
      </c>
      <c r="AJ123" s="111">
        <f>[12]GHG_hist!BW113+IF($M123="incl",[12]LULUCF_hist!DN113,0)</f>
        <v>88.701531000000003</v>
      </c>
      <c r="AK123" s="111">
        <f>[12]GHG_hist!BX113+IF($M123="incl",[12]LULUCF_hist!DO113,0)</f>
        <v>86.231769</v>
      </c>
      <c r="AL123" s="111">
        <f>[12]GHG_hist!BY113+IF($M123="incl",[12]LULUCF_hist!DP113,0)</f>
        <v>77.738276999999997</v>
      </c>
      <c r="AM123" s="111">
        <f>[12]GHG_hist!BZ113+IF($M123="incl",[12]LULUCF_hist!DQ113,0)</f>
        <v>69.703441999999995</v>
      </c>
      <c r="AN123" s="111">
        <f>[12]GHG_hist!CA113+IF($M123="incl",[12]LULUCF_hist!DR113,0)</f>
        <v>63.478129000000003</v>
      </c>
      <c r="AO123" s="111">
        <f>[12]GHG_hist!CB113+IF($M123="incl",[12]LULUCF_hist!DS113,0)</f>
        <v>73.02041899999999</v>
      </c>
      <c r="AP123" s="111">
        <f>[12]GHG_hist!CC113+IF($M123="incl",[12]LULUCF_hist!DT113,0)</f>
        <v>82.534486999999999</v>
      </c>
      <c r="AQ123" s="111">
        <f>[12]GHG_hist!CD113+IF($M123="incl",[12]LULUCF_hist!DU113,0)</f>
        <v>84.667656000000008</v>
      </c>
      <c r="AR123" s="111">
        <f>[12]GHG_hist!CE113+IF($M123="incl",[12]LULUCF_hist!DV113,0)</f>
        <v>64.158394999999999</v>
      </c>
      <c r="AS123" s="111">
        <f>[12]GHG_hist!CF113+IF($M123="incl",[12]LULUCF_hist!DW113,0)</f>
        <v>95.512130999999997</v>
      </c>
      <c r="AT123" s="161">
        <f>VLOOKUP($L123,'[12]IMAGE SSP2'!$AF$3:$AK$29,4,FALSE)*$AM123</f>
        <v>81.289442506038654</v>
      </c>
      <c r="AU123" s="162">
        <f>VLOOKUP($L123,'[12]IMAGE SSP2'!$AF$3:$AK$29,5,FALSE)*$AM123</f>
        <v>90.539938036759708</v>
      </c>
      <c r="AV123" s="163">
        <f>VLOOKUP($L123,'[12]IMAGE SSP2'!$AF$3:$AK$29,6,FALSE)*$AM123</f>
        <v>95.504820725952769</v>
      </c>
      <c r="AW123" s="111" t="str">
        <f t="shared" si="75"/>
        <v/>
      </c>
      <c r="AX123" s="164" t="str">
        <f>IF(A123="B",IF(M123="excl",[12]NatCom!CO113,[12]NatCom!AX113),"")</f>
        <v/>
      </c>
      <c r="AY123" s="111" t="str">
        <f>IF('[12]Pledge 2020'!E113="","",'[12]Pledge 2020'!E113)</f>
        <v/>
      </c>
      <c r="AZ123" s="164" t="str">
        <f>IF('[12]Pledge 2020'!F113="","",'[12]Pledge 2020'!F113)</f>
        <v/>
      </c>
      <c r="BA123" s="111" t="str">
        <f t="shared" si="100"/>
        <v/>
      </c>
      <c r="BB123" s="111"/>
      <c r="BC123" s="111" t="str">
        <f t="shared" si="101"/>
        <v/>
      </c>
      <c r="BD123" s="111"/>
      <c r="BE123" s="111" t="s">
        <v>2477</v>
      </c>
      <c r="BF123" s="111" t="s">
        <v>2477</v>
      </c>
      <c r="BG123" s="111" t="s">
        <v>2477</v>
      </c>
      <c r="BH123" s="164" t="s">
        <v>2477</v>
      </c>
      <c r="BI123" s="111" t="str">
        <f>IF([12]NDCs!V125="",IF([12]NDCs!X125="","",[12]NDCs!X125),[12]NDCs!V125)</f>
        <v/>
      </c>
      <c r="BJ123" s="111" t="str">
        <f>IF([12]NDCs!V125="",IF([12]NDCs!X125="","",[12]NDCs!X125),[12]NDCs!V125)</f>
        <v/>
      </c>
      <c r="BK123" s="111" t="str">
        <f>IF([12]NDCs!Z125="",IF([12]NDCs!AB125="",IF('input site'!BE123="","",'input site'!BE123),[12]NDCs!AB125),[12]NDCs!Z125)</f>
        <v/>
      </c>
      <c r="BL123" s="111" t="str">
        <f>IF([12]NDCs!AA125="",IF([12]NDCs!AC125="",IF('input site'!BF123="","",'input site'!BF123),[12]NDCs!AC125),[12]NDCs!AA125)</f>
        <v/>
      </c>
      <c r="BM123" s="111">
        <f>IF($BI$8=2015,VLOOKUP($L123,'[12]IMAGE CurPol SSP'!$AZ$3:$BD$29,4,FALSE)*$AM123,IF($BI$8=2018,VLOOKUP($L123,'[12]IMAGE CurPol SSP'!$BJ$3:$BN$29,4,FALSE)*$AP123,$AR123))</f>
        <v>64.158394999999999</v>
      </c>
      <c r="BN123" s="111">
        <f t="shared" si="92"/>
        <v>64.158394999999999</v>
      </c>
      <c r="BO123" s="111">
        <f t="shared" si="92"/>
        <v>64.158394999999999</v>
      </c>
      <c r="BP123" s="111">
        <f>IF($BI$8=2015,VLOOKUP($L123,'[12]IMAGE CurPol SSP'!$AZ$3:$BD$29,5,FALSE)*$AM123,IF($BI$8=2018,VLOOKUP($L123,'[12]IMAGE CurPol SSP'!$BJ$3:$BN$29,5,FALSE)*$AP123,VLOOKUP($L123,'[12]IMAGE CurPol SSP'!$BU$3:$BZ$29,5,FALSE)*$AS123))</f>
        <v>92.365670113352607</v>
      </c>
      <c r="BQ123" s="111">
        <f>IF($BI$8=2015,"",IF($BI$8=2018,"",VLOOKUP($L123,'[12]IMAGE CurPol SSP'!$CQ$3:$CV$29,5,FALSE)*$AS123))</f>
        <v>91.412915686362282</v>
      </c>
      <c r="BR123" s="111">
        <f>IF($BI$8=2015,"",IF($BI$8=2018,"",VLOOKUP($L123,'[12]IMAGE CurPol SSP'!$CF$3:$CK$29,5,FALSE)*$AS123))</f>
        <v>94.176410782804339</v>
      </c>
      <c r="BS123" s="111">
        <f>IF($BI$8=2015,VLOOKUP($L123,'[12]IMAGE CurPol SSP'!$AZ$3:$BE$29,6,FALSE)*$AM123,IF($BI$8=2018,VLOOKUP($L123,'[12]IMAGE CurPol SSP'!$BJ$3:$BO$29,6,FALSE)*$AP123,VLOOKUP($L123,'[12]IMAGE CurPol SSP'!$BU$3:$BZ$29,6,FALSE)*$AS123))</f>
        <v>95.239143210969232</v>
      </c>
      <c r="BT123" s="111">
        <f>IF($BI$8=2015,"",IF($BI$8=2018,"",VLOOKUP($L123,'[12]IMAGE CurPol SSP'!$CQ$3:$CV$29,6,FALSE)*$AS123))</f>
        <v>92.861625008030472</v>
      </c>
      <c r="BU123" s="164">
        <f>IF($BI$8=2015,"",IF($BI$8=2018,"",VLOOKUP($L123,'[12]IMAGE CurPol SSP'!$CF$3:$CK$29,6,FALSE)*$AS123))</f>
        <v>96.550337850056749</v>
      </c>
      <c r="CN123" t="s">
        <v>275</v>
      </c>
      <c r="CO123" s="165" t="str">
        <f t="shared" si="69"/>
        <v/>
      </c>
      <c r="CP123" s="165" t="str">
        <f t="shared" si="69"/>
        <v/>
      </c>
      <c r="CQ123" s="165" t="str">
        <f t="shared" si="69"/>
        <v/>
      </c>
      <c r="CR123" s="165" t="str">
        <f t="shared" si="65"/>
        <v/>
      </c>
      <c r="CV123" s="125" t="s">
        <v>621</v>
      </c>
      <c r="CW123" s="125" t="s">
        <v>621</v>
      </c>
      <c r="CX123" s="208">
        <f>AP123/$AP$255</f>
        <v>1.8063064487398408E-3</v>
      </c>
      <c r="CY123" s="167">
        <f t="shared" si="70"/>
        <v>17.131047506038655</v>
      </c>
      <c r="DB123" s="106"/>
      <c r="DC123" s="106"/>
      <c r="DD123" s="106"/>
      <c r="DE123" s="106"/>
      <c r="DF123" s="106"/>
      <c r="DG123" s="105" t="str">
        <f t="shared" si="71"/>
        <v>excl</v>
      </c>
      <c r="DH123" t="s">
        <v>275</v>
      </c>
      <c r="DI123" s="111">
        <f t="shared" si="93"/>
        <v>0</v>
      </c>
      <c r="DJ123" s="111">
        <f t="shared" si="93"/>
        <v>0</v>
      </c>
      <c r="DK123" s="111">
        <f t="shared" si="94"/>
        <v>0</v>
      </c>
      <c r="DL123" s="111">
        <f t="shared" si="95"/>
        <v>0</v>
      </c>
      <c r="DM123" s="111">
        <f t="shared" si="96"/>
        <v>0</v>
      </c>
      <c r="DN123" s="111">
        <f t="shared" si="97"/>
        <v>0</v>
      </c>
      <c r="DO123" s="111">
        <f t="shared" si="98"/>
        <v>0</v>
      </c>
      <c r="DP123" s="111">
        <f t="shared" si="99"/>
        <v>0</v>
      </c>
      <c r="DQ123" s="106"/>
      <c r="DR123" s="106"/>
      <c r="DS123" s="111"/>
      <c r="DT123" s="168"/>
      <c r="DW123" s="111">
        <f t="shared" si="72"/>
        <v>95.239143210969232</v>
      </c>
      <c r="DX123" s="111">
        <f t="shared" si="72"/>
        <v>95.239143210969232</v>
      </c>
      <c r="DY123" s="111">
        <f t="shared" si="72"/>
        <v>95.239143210969232</v>
      </c>
      <c r="DZ123" s="111">
        <f t="shared" si="66"/>
        <v>95.239143210969232</v>
      </c>
      <c r="EP123" t="s">
        <v>275</v>
      </c>
      <c r="EQ123">
        <v>0</v>
      </c>
      <c r="ER123" s="111">
        <f t="shared" si="73"/>
        <v>82.534486999999999</v>
      </c>
      <c r="ES123" s="111">
        <f>IF($BI$8=2015,VLOOKUP($L123,'[12]IMAGE CDLINKS CurPol'!$P$3:$Y$29,10,FALSE)*$AM123,VLOOKUP($L123,'[12]IMAGE CDLINKS CurPol'!$Z$3:$AI$29,10,FALSE)*$AP123)</f>
        <v>115.73907358793222</v>
      </c>
      <c r="ET123" s="111">
        <f t="shared" si="86"/>
        <v>115.73907358793222</v>
      </c>
      <c r="EU123" s="111">
        <f t="shared" si="76"/>
        <v>38.582277775424437</v>
      </c>
      <c r="EV123" s="111">
        <f>IF($BI$8=2015,VLOOKUP($L123,'[12]IMAGE CDLINKS 2C'!$P$3:$Y$29,10,FALSE)*$AM123,VLOOKUP($L123,'[12]IMAGE CDLINKS 2C'!$Z$3:$AI$29,10,FALSE)*$AP123)</f>
        <v>38.582277775424437</v>
      </c>
      <c r="EY123" s="111">
        <f t="shared" si="77"/>
        <v>11.489061554047442</v>
      </c>
      <c r="EZ123" s="111">
        <f>IF($BI$8=2015,VLOOKUP($L123,'[12]IMAGE CDLINKS 1_5C'!$P$3:$Y$29,10,FALSE)*$AM123,VLOOKUP($L123,'[12]IMAGE CDLINKS 1_5C'!$Z$3:$AI$29,10,FALSE)*$AP123)</f>
        <v>11.489061554047442</v>
      </c>
      <c r="FA123" s="192"/>
    </row>
    <row r="124" spans="1:157" x14ac:dyDescent="0.25">
      <c r="A124" t="str">
        <f>IF([12]NDCs!C126="","",[12]NDCs!C126)</f>
        <v>A</v>
      </c>
      <c r="B124" s="159" t="str">
        <f t="shared" si="67"/>
        <v>v</v>
      </c>
      <c r="C124">
        <v>0</v>
      </c>
      <c r="D124">
        <v>0</v>
      </c>
      <c r="E124">
        <v>0</v>
      </c>
      <c r="F124" s="38">
        <v>0</v>
      </c>
      <c r="G124" t="b">
        <f t="shared" si="68"/>
        <v>1</v>
      </c>
      <c r="H124" t="s">
        <v>2335</v>
      </c>
      <c r="I124" t="s">
        <v>277</v>
      </c>
      <c r="J124">
        <v>438</v>
      </c>
      <c r="K124">
        <v>113</v>
      </c>
      <c r="L124">
        <v>11</v>
      </c>
      <c r="M124" t="str">
        <f>IF([12]NDCs!AL126="Excluding","excl","incl")</f>
        <v>excl</v>
      </c>
      <c r="N124" s="160">
        <f>[12]GHG_hist!BA114+IF($M124="incl",[12]LULUCF_hist!CR114,0)</f>
        <v>0.22847324000000002</v>
      </c>
      <c r="O124" s="111">
        <f>[12]GHG_hist!BB114+IF($M124="incl",[12]LULUCF_hist!CS114,0)</f>
        <v>0.23604121</v>
      </c>
      <c r="P124" s="111">
        <f>[12]GHG_hist!BC114+IF($M124="incl",[12]LULUCF_hist!CT114,0)</f>
        <v>0.23624000000000001</v>
      </c>
      <c r="Q124" s="111">
        <f>[12]GHG_hist!BD114+IF($M124="incl",[12]LULUCF_hist!CU114,0)</f>
        <v>0.24335606999999998</v>
      </c>
      <c r="R124" s="111">
        <f>[12]GHG_hist!BE114+IF($M124="incl",[12]LULUCF_hist!CV114,0)</f>
        <v>0.22968430000000001</v>
      </c>
      <c r="S124" s="111">
        <f>[12]GHG_hist!BF114+IF($M124="incl",[12]LULUCF_hist!CW114,0)</f>
        <v>0.2334638</v>
      </c>
      <c r="T124" s="111">
        <f>[12]GHG_hist!BG114+IF($M124="incl",[12]LULUCF_hist!CX114,0)</f>
        <v>0.23574920000000002</v>
      </c>
      <c r="U124" s="111">
        <f>[12]GHG_hist!BH114+IF($M124="incl",[12]LULUCF_hist!CY114,0)</f>
        <v>0.24831550999999999</v>
      </c>
      <c r="V124" s="111">
        <f>[12]GHG_hist!BI114+IF($M124="incl",[12]LULUCF_hist!CZ114,0)</f>
        <v>0.25926486999999998</v>
      </c>
      <c r="W124" s="111">
        <f>[12]GHG_hist!BJ114+IF($M124="incl",[12]LULUCF_hist!DA114,0)</f>
        <v>0.25624803000000002</v>
      </c>
      <c r="X124" s="111">
        <f>[12]GHG_hist!BK114+IF($M124="incl",[12]LULUCF_hist!DB114,0)</f>
        <v>0.24684626000000001</v>
      </c>
      <c r="Y124" s="111">
        <f>[12]GHG_hist!BL114+IF($M124="incl",[12]LULUCF_hist!DC114,0)</f>
        <v>0.24640264000000001</v>
      </c>
      <c r="Z124" s="111">
        <f>[12]GHG_hist!BM114+IF($M124="incl",[12]LULUCF_hist!DD114,0)</f>
        <v>0.25275190000000003</v>
      </c>
      <c r="AA124" s="111">
        <f>[12]GHG_hist!BN114+IF($M124="incl",[12]LULUCF_hist!DE114,0)</f>
        <v>0.26285253999999997</v>
      </c>
      <c r="AB124" s="111">
        <f>[12]GHG_hist!BO114+IF($M124="incl",[12]LULUCF_hist!DF114,0)</f>
        <v>0.26304389</v>
      </c>
      <c r="AC124" s="111">
        <f>[12]GHG_hist!BP114+IF($M124="incl",[12]LULUCF_hist!DG114,0)</f>
        <v>0.26359039000000001</v>
      </c>
      <c r="AD124" s="111">
        <f>[12]GHG_hist!BQ114+IF($M124="incl",[12]LULUCF_hist!DH114,0)</f>
        <v>0.26717614000000001</v>
      </c>
      <c r="AE124" s="111">
        <f>[12]GHG_hist!BR114+IF($M124="incl",[12]LULUCF_hist!DI114,0)</f>
        <v>0.23793882</v>
      </c>
      <c r="AF124" s="111">
        <f>[12]GHG_hist!BS114+IF($M124="incl",[12]LULUCF_hist!DJ114,0)</f>
        <v>0.25761191999999999</v>
      </c>
      <c r="AG124" s="111">
        <f>[12]GHG_hist!BT114+IF($M124="incl",[12]LULUCF_hist!DK114,0)</f>
        <v>0.24284448</v>
      </c>
      <c r="AH124" s="111">
        <f>[12]GHG_hist!BU114+IF($M124="incl",[12]LULUCF_hist!DL114,0)</f>
        <v>0.22794809000000002</v>
      </c>
      <c r="AI124" s="111">
        <f>[12]GHG_hist!BV114+IF($M124="incl",[12]LULUCF_hist!DM114,0)</f>
        <v>0.21509790000000001</v>
      </c>
      <c r="AJ124" s="111">
        <f>[12]GHG_hist!BW114+IF($M124="incl",[12]LULUCF_hist!DN114,0)</f>
        <v>0.22428389999999998</v>
      </c>
      <c r="AK124" s="111">
        <f>[12]GHG_hist!BX114+IF($M124="incl",[12]LULUCF_hist!DO114,0)</f>
        <v>0.23051462</v>
      </c>
      <c r="AL124" s="111">
        <f>[12]GHG_hist!BY114+IF($M124="incl",[12]LULUCF_hist!DP114,0)</f>
        <v>0.19945083</v>
      </c>
      <c r="AM124" s="111">
        <f>[12]GHG_hist!BZ114+IF($M124="incl",[12]LULUCF_hist!DQ114,0)</f>
        <v>0.19785527999999999</v>
      </c>
      <c r="AN124" s="111">
        <f>[12]GHG_hist!CA114+IF($M124="incl",[12]LULUCF_hist!DR114,0)</f>
        <v>0.18749778</v>
      </c>
      <c r="AO124" s="111">
        <f>[12]GHG_hist!CB114+IF($M124="incl",[12]LULUCF_hist!DS114,0)</f>
        <v>0.19318259000000002</v>
      </c>
      <c r="AP124" s="111">
        <f>[12]GHG_hist!CC114+IF($M124="incl",[12]LULUCF_hist!DT114,0)</f>
        <v>0.18097676999999998</v>
      </c>
      <c r="AQ124" s="111">
        <f>[12]GHG_hist!CD114+IF($M124="incl",[12]LULUCF_hist!DU114,0)</f>
        <v>0.18750742000000001</v>
      </c>
      <c r="AR124" s="111">
        <f>[12]GHG_hist!CE114+IF($M124="incl",[12]LULUCF_hist!DV114,0)</f>
        <v>0.18000884</v>
      </c>
      <c r="AS124" s="111">
        <f>[12]GHG_hist!CF114+IF($M124="incl",[12]LULUCF_hist!DW114,0)</f>
        <v>0.18306301</v>
      </c>
      <c r="AT124" s="161">
        <f>VLOOKUP($L124,'[12]IMAGE SSP2'!$AF$3:$AK$29,4,FALSE)*$AM124</f>
        <v>0.19239396973306352</v>
      </c>
      <c r="AU124" s="162">
        <f>VLOOKUP($L124,'[12]IMAGE SSP2'!$AF$3:$AK$29,5,FALSE)*$AM124</f>
        <v>0.18602547197185551</v>
      </c>
      <c r="AV124" s="163">
        <f>VLOOKUP($L124,'[12]IMAGE SSP2'!$AF$3:$AK$29,6,FALSE)*$AM124</f>
        <v>0.18499040164397451</v>
      </c>
      <c r="AW124" s="111" t="str">
        <f t="shared" si="75"/>
        <v/>
      </c>
      <c r="AX124" s="164" t="str">
        <f>IF(A124="B",IF(M124="excl",[12]NatCom!CO114,[12]NatCom!AX114),"")</f>
        <v/>
      </c>
      <c r="AY124" s="111">
        <f>IF('[12]Pledge 2020'!E114="","",'[12]Pledge 2020'!E114)</f>
        <v>0.18974300045028547</v>
      </c>
      <c r="AZ124" s="164">
        <f>IF('[12]Pledge 2020'!F114="","",'[12]Pledge 2020'!F114)</f>
        <v>0.16602512539399975</v>
      </c>
      <c r="BA124" s="111">
        <f t="shared" si="100"/>
        <v>0.16371746025328557</v>
      </c>
      <c r="BB124" s="111">
        <f>IF(BF124="","",(BF124-AH124)*0.75+AH124)</f>
        <v>0.16371746025328557</v>
      </c>
      <c r="BC124" s="111">
        <f t="shared" si="101"/>
        <v>0.16371746025328557</v>
      </c>
      <c r="BD124" s="111">
        <f>IF(BH124="","",(BH124-AH124)*0.75+AH124)</f>
        <v>0.16371746025328557</v>
      </c>
      <c r="BE124" s="111">
        <v>0.14230725033771408</v>
      </c>
      <c r="BF124" s="111">
        <v>0.14230725033771408</v>
      </c>
      <c r="BG124" s="111">
        <v>0.14230725033771408</v>
      </c>
      <c r="BH124" s="164">
        <v>0.14230725033771408</v>
      </c>
      <c r="BI124" s="111">
        <f>IF([12]NDCs!V126="",IF([12]NDCs!X126="","",[12]NDCs!X126),[12]NDCs!V126)</f>
        <v>0.14230725033771408</v>
      </c>
      <c r="BJ124" s="111">
        <f>IF([12]NDCs!V126="",IF([12]NDCs!X126="","",[12]NDCs!X126),[12]NDCs!V126)</f>
        <v>0.14230725033771408</v>
      </c>
      <c r="BK124" s="111">
        <f>IF([12]NDCs!Z126="",IF([12]NDCs!AB126="",IF('input site'!BE124="","",'input site'!BE124),[12]NDCs!AB126),[12]NDCs!Z126)</f>
        <v>0.14230725033771408</v>
      </c>
      <c r="BL124" s="111">
        <f>IF([12]NDCs!AA126="",IF([12]NDCs!AC126="",IF('input site'!BF124="","",'input site'!BF124),[12]NDCs!AC126),[12]NDCs!AA126)</f>
        <v>0.14230725033771408</v>
      </c>
      <c r="BM124" s="111">
        <f>IF($BI$8=2015,VLOOKUP($L124,'[12]IMAGE CurPol SSP'!$AZ$3:$BD$29,4,FALSE)*$AM124,IF($BI$8=2018,VLOOKUP($L124,'[12]IMAGE CurPol SSP'!$BJ$3:$BN$29,4,FALSE)*$AP124,$AR124))</f>
        <v>0.18000884</v>
      </c>
      <c r="BN124" s="111">
        <f t="shared" si="92"/>
        <v>0.18000884</v>
      </c>
      <c r="BO124" s="111">
        <f t="shared" si="92"/>
        <v>0.18000884</v>
      </c>
      <c r="BP124" s="111">
        <f>IF($BI$8=2015,VLOOKUP($L124,'[12]IMAGE CurPol SSP'!$AZ$3:$BD$29,5,FALSE)*$AM124,IF($BI$8=2018,VLOOKUP($L124,'[12]IMAGE CurPol SSP'!$BJ$3:$BN$29,5,FALSE)*$AP124,VLOOKUP($L124,'[12]IMAGE CurPol SSP'!$BU$3:$BZ$29,5,FALSE)*$AS124))</f>
        <v>0.14848966577031711</v>
      </c>
      <c r="BQ124" s="111">
        <f>IF($BI$8=2015,"",IF($BI$8=2018,"",VLOOKUP($L124,'[12]IMAGE CurPol SSP'!$CQ$3:$CV$29,5,FALSE)*$AS124))</f>
        <v>0.14431437121733123</v>
      </c>
      <c r="BR124" s="111">
        <f>IF($BI$8=2015,"",IF($BI$8=2018,"",VLOOKUP($L124,'[12]IMAGE CurPol SSP'!$CF$3:$CK$29,5,FALSE)*$AS124))</f>
        <v>0.15102545027232075</v>
      </c>
      <c r="BS124" s="111">
        <f>IF($BI$8=2015,VLOOKUP($L124,'[12]IMAGE CurPol SSP'!$AZ$3:$BE$29,6,FALSE)*$AM124,IF($BI$8=2018,VLOOKUP($L124,'[12]IMAGE CurPol SSP'!$BJ$3:$BO$29,6,FALSE)*$AP124,VLOOKUP($L124,'[12]IMAGE CurPol SSP'!$BU$3:$BZ$29,6,FALSE)*$AS124))</f>
        <v>0.10213991636233</v>
      </c>
      <c r="BT124" s="111">
        <f>IF($BI$8=2015,"",IF($BI$8=2018,"",VLOOKUP($L124,'[12]IMAGE CurPol SSP'!$CQ$3:$CV$29,6,FALSE)*$AS124))</f>
        <v>9.5516947152468903E-2</v>
      </c>
      <c r="BU124" s="164">
        <f>IF($BI$8=2015,"",IF($BI$8=2018,"",VLOOKUP($L124,'[12]IMAGE CurPol SSP'!$CF$3:$CK$29,6,FALSE)*$AS124))</f>
        <v>0.1073437792394879</v>
      </c>
      <c r="CN124" t="s">
        <v>277</v>
      </c>
      <c r="CO124" s="165">
        <f t="shared" si="69"/>
        <v>0.39325794856630703</v>
      </c>
      <c r="CP124" s="165">
        <f t="shared" si="69"/>
        <v>0.39325794856630703</v>
      </c>
      <c r="CQ124" s="165">
        <f t="shared" si="69"/>
        <v>0.39325794856630703</v>
      </c>
      <c r="CR124" s="165">
        <f t="shared" si="65"/>
        <v>0.39325794856630703</v>
      </c>
      <c r="CV124" s="125" t="s">
        <v>621</v>
      </c>
      <c r="CW124" s="125" t="s">
        <v>621</v>
      </c>
      <c r="CX124"/>
      <c r="CY124" s="167">
        <f t="shared" si="70"/>
        <v>1.2385129733063521E-2</v>
      </c>
      <c r="DB124" s="106"/>
      <c r="DC124" s="106"/>
      <c r="DD124" s="106"/>
      <c r="DE124" s="106"/>
      <c r="DF124" s="106"/>
      <c r="DG124" s="105" t="str">
        <f t="shared" si="71"/>
        <v>excl</v>
      </c>
      <c r="DH124" t="s">
        <v>277</v>
      </c>
      <c r="DI124" s="111">
        <f t="shared" si="93"/>
        <v>9.7341604502854673E-3</v>
      </c>
      <c r="DJ124" s="111">
        <f t="shared" si="93"/>
        <v>-1.3983714606000258E-2</v>
      </c>
      <c r="DK124" s="111">
        <f t="shared" si="94"/>
        <v>1.522779448296846E-2</v>
      </c>
      <c r="DL124" s="111">
        <f t="shared" si="95"/>
        <v>1.522779448296846E-2</v>
      </c>
      <c r="DM124" s="111">
        <f t="shared" si="96"/>
        <v>4.0167333975384079E-2</v>
      </c>
      <c r="DN124" s="111">
        <f t="shared" si="97"/>
        <v>4.0167333975384079E-2</v>
      </c>
      <c r="DO124" s="111">
        <f t="shared" si="98"/>
        <v>4.0167333975384079E-2</v>
      </c>
      <c r="DP124" s="111">
        <f t="shared" si="99"/>
        <v>4.0167333975384079E-2</v>
      </c>
      <c r="DQ124" s="106"/>
      <c r="DR124" s="106"/>
      <c r="DS124" s="111"/>
      <c r="DT124" s="168"/>
      <c r="DW124" s="111">
        <f t="shared" si="72"/>
        <v>0.14230725033771408</v>
      </c>
      <c r="DX124" s="111">
        <f t="shared" si="72"/>
        <v>0.14230725033771408</v>
      </c>
      <c r="DY124" s="111">
        <f t="shared" si="72"/>
        <v>0.14230725033771408</v>
      </c>
      <c r="DZ124" s="111">
        <f t="shared" si="66"/>
        <v>0.14230725033771408</v>
      </c>
      <c r="EP124" t="s">
        <v>277</v>
      </c>
      <c r="EQ124">
        <v>0</v>
      </c>
      <c r="ER124" s="111">
        <f t="shared" si="73"/>
        <v>0.18097676999999998</v>
      </c>
      <c r="ES124" s="111">
        <f>IF($BI$8=2015,VLOOKUP($L124,'[12]IMAGE CDLINKS CurPol'!$P$3:$Y$29,10,FALSE)*$AM124,VLOOKUP($L124,'[12]IMAGE CDLINKS CurPol'!$Z$3:$AI$29,10,FALSE)*$AP124)</f>
        <v>0.1734197732284074</v>
      </c>
      <c r="ET124" s="111">
        <f t="shared" si="86"/>
        <v>0.1734197732284074</v>
      </c>
      <c r="EU124" s="111">
        <f t="shared" si="76"/>
        <v>3.6948693596044822E-2</v>
      </c>
      <c r="EV124" s="111">
        <f>IF($BI$8=2015,VLOOKUP($L124,'[12]IMAGE CDLINKS 2C'!$P$3:$Y$29,10,FALSE)*$AM124,VLOOKUP($L124,'[12]IMAGE CDLINKS 2C'!$Z$3:$AI$29,10,FALSE)*$AP124)</f>
        <v>3.6948693596044822E-2</v>
      </c>
      <c r="EY124" s="111">
        <f t="shared" si="77"/>
        <v>2.0437205629635559E-2</v>
      </c>
      <c r="EZ124" s="111">
        <f>IF($BI$8=2015,VLOOKUP($L124,'[12]IMAGE CDLINKS 1_5C'!$P$3:$Y$29,10,FALSE)*$AM124,VLOOKUP($L124,'[12]IMAGE CDLINKS 1_5C'!$Z$3:$AI$29,10,FALSE)*$AP124)</f>
        <v>2.0437205629635559E-2</v>
      </c>
      <c r="FA124" s="192"/>
    </row>
    <row r="125" spans="1:157" x14ac:dyDescent="0.25">
      <c r="A125" t="str">
        <f>IF([12]NDCs!C127="","",[12]NDCs!C127)</f>
        <v>A</v>
      </c>
      <c r="B125" s="159" t="str">
        <f t="shared" si="67"/>
        <v>v</v>
      </c>
      <c r="C125">
        <v>0</v>
      </c>
      <c r="D125">
        <v>1</v>
      </c>
      <c r="E125">
        <v>0</v>
      </c>
      <c r="F125">
        <v>1</v>
      </c>
      <c r="G125" t="b">
        <f t="shared" si="68"/>
        <v>1</v>
      </c>
      <c r="H125" t="s">
        <v>2335</v>
      </c>
      <c r="I125" t="s">
        <v>279</v>
      </c>
      <c r="J125">
        <v>440</v>
      </c>
      <c r="K125">
        <v>114</v>
      </c>
      <c r="L125">
        <v>12</v>
      </c>
      <c r="M125" t="str">
        <f>IF([12]NDCs!AL127="Excluding","excl","incl")</f>
        <v>incl</v>
      </c>
      <c r="N125" s="160">
        <f>[12]GHG_hist!BA115+IF($M125="incl",[12]LULUCF_hist!CR115,0)</f>
        <v>42.506710597006951</v>
      </c>
      <c r="O125" s="111">
        <f>[12]GHG_hist!BB115+IF($M125="incl",[12]LULUCF_hist!CS115,0)</f>
        <v>44.189579196862752</v>
      </c>
      <c r="P125" s="111">
        <f>[12]GHG_hist!BC115+IF($M125="incl",[12]LULUCF_hist!CT115,0)</f>
        <v>25.300700158930969</v>
      </c>
      <c r="Q125" s="111">
        <f>[12]GHG_hist!BD115+IF($M125="incl",[12]LULUCF_hist!CU115,0)</f>
        <v>18.255306556387438</v>
      </c>
      <c r="R125" s="111">
        <f>[12]GHG_hist!BE115+IF($M125="incl",[12]LULUCF_hist!CV115,0)</f>
        <v>17.369690313517047</v>
      </c>
      <c r="S125" s="111">
        <f>[12]GHG_hist!BF115+IF($M125="incl",[12]LULUCF_hist!CW115,0)</f>
        <v>17.640883758057932</v>
      </c>
      <c r="T125" s="111">
        <f>[12]GHG_hist!BG115+IF($M125="incl",[12]LULUCF_hist!CX115,0)</f>
        <v>24.217487441486789</v>
      </c>
      <c r="U125" s="111">
        <f>[12]GHG_hist!BH115+IF($M125="incl",[12]LULUCF_hist!CY115,0)</f>
        <v>22.55974480297753</v>
      </c>
      <c r="V125" s="111">
        <f>[12]GHG_hist!BI115+IF($M125="incl",[12]LULUCF_hist!CZ115,0)</f>
        <v>15.906682681433592</v>
      </c>
      <c r="W125" s="111">
        <f>[12]GHG_hist!BJ115+IF($M125="incl",[12]LULUCF_hist!DA115,0)</f>
        <v>13.797809701627312</v>
      </c>
      <c r="X125" s="111">
        <f>[12]GHG_hist!BK115+IF($M125="incl",[12]LULUCF_hist!DB115,0)</f>
        <v>9.9448853857299895</v>
      </c>
      <c r="Y125" s="111">
        <f>[12]GHG_hist!BL115+IF($M125="incl",[12]LULUCF_hist!DC115,0)</f>
        <v>12.913257795339383</v>
      </c>
      <c r="Z125" s="111">
        <f>[12]GHG_hist!BM115+IF($M125="incl",[12]LULUCF_hist!DD115,0)</f>
        <v>14.24478471408322</v>
      </c>
      <c r="AA125" s="111">
        <f>[12]GHG_hist!BN115+IF($M125="incl",[12]LULUCF_hist!DE115,0)</f>
        <v>15.17727917877423</v>
      </c>
      <c r="AB125" s="111">
        <f>[12]GHG_hist!BO115+IF($M125="incl",[12]LULUCF_hist!DF115,0)</f>
        <v>16.541524827510734</v>
      </c>
      <c r="AC125" s="111">
        <f>[12]GHG_hist!BP115+IF($M125="incl",[12]LULUCF_hist!DG115,0)</f>
        <v>18.315036321910352</v>
      </c>
      <c r="AD125" s="111">
        <f>[12]GHG_hist!BQ115+IF($M125="incl",[12]LULUCF_hist!DH115,0)</f>
        <v>19.050423278314508</v>
      </c>
      <c r="AE125" s="111">
        <f>[12]GHG_hist!BR115+IF($M125="incl",[12]LULUCF_hist!DI115,0)</f>
        <v>19.313796749967555</v>
      </c>
      <c r="AF125" s="111">
        <f>[12]GHG_hist!BS115+IF($M125="incl",[12]LULUCF_hist!DJ115,0)</f>
        <v>17.684966194008499</v>
      </c>
      <c r="AG125" s="111">
        <f>[12]GHG_hist!BT115+IF($M125="incl",[12]LULUCF_hist!DK115,0)</f>
        <v>12.447674106135572</v>
      </c>
      <c r="AH125" s="111">
        <f>[12]GHG_hist!BU115+IF($M125="incl",[12]LULUCF_hist!DL115,0)</f>
        <v>10.25161250666471</v>
      </c>
      <c r="AI125" s="111">
        <f>[12]GHG_hist!BV115+IF($M125="incl",[12]LULUCF_hist!DM115,0)</f>
        <v>10.473064615844889</v>
      </c>
      <c r="AJ125" s="111">
        <f>[12]GHG_hist!BW115+IF($M125="incl",[12]LULUCF_hist!DN115,0)</f>
        <v>10.806860370887069</v>
      </c>
      <c r="AK125" s="111">
        <f>[12]GHG_hist!BX115+IF($M125="incl",[12]LULUCF_hist!DO115,0)</f>
        <v>10.269700200517502</v>
      </c>
      <c r="AL125" s="111">
        <f>[12]GHG_hist!BY115+IF($M125="incl",[12]LULUCF_hist!DP115,0)</f>
        <v>10.982706957754957</v>
      </c>
      <c r="AM125" s="111">
        <f>[12]GHG_hist!BZ115+IF($M125="incl",[12]LULUCF_hist!DQ115,0)</f>
        <v>12.118798377316498</v>
      </c>
      <c r="AN125" s="111">
        <f>[12]GHG_hist!CA115+IF($M125="incl",[12]LULUCF_hist!DR115,0)</f>
        <v>13.012415391455701</v>
      </c>
      <c r="AO125" s="111">
        <f>[12]GHG_hist!CB115+IF($M125="incl",[12]LULUCF_hist!DS115,0)</f>
        <v>13.736978965458039</v>
      </c>
      <c r="AP125" s="111">
        <f>[12]GHG_hist!CC115+IF($M125="incl",[12]LULUCF_hist!DT115,0)</f>
        <v>14.376395587241113</v>
      </c>
      <c r="AQ125" s="111">
        <f>[12]GHG_hist!CD115+IF($M125="incl",[12]LULUCF_hist!DU115,0)</f>
        <v>14.32180722335794</v>
      </c>
      <c r="AR125" s="111">
        <f>[12]GHG_hist!CE115+IF($M125="incl",[12]LULUCF_hist!DV115,0)</f>
        <v>13.532636905564933</v>
      </c>
      <c r="AS125" s="111">
        <f>[12]GHG_hist!CF115+IF($M125="incl",[12]LULUCF_hist!DW115,0)</f>
        <v>14.137642817164455</v>
      </c>
      <c r="AT125" s="161">
        <f>VLOOKUP($L125,'[12]IMAGE SSP2'!$AF$3:$AK$29,4,FALSE)*$AM125</f>
        <v>12.608874225543245</v>
      </c>
      <c r="AU125" s="162">
        <f>VLOOKUP($L125,'[12]IMAGE SSP2'!$AF$3:$AK$29,5,FALSE)*$AM125</f>
        <v>12.877899354469285</v>
      </c>
      <c r="AV125" s="163">
        <f>VLOOKUP($L125,'[12]IMAGE SSP2'!$AF$3:$AK$29,6,FALSE)*$AM125</f>
        <v>13.222162015405761</v>
      </c>
      <c r="AW125" s="111" t="str">
        <f t="shared" si="75"/>
        <v/>
      </c>
      <c r="AX125" s="164" t="str">
        <f>IF(A125="B",IF(M125="excl",[12]NatCom!CO115,[12]NatCom!AX115),"")</f>
        <v/>
      </c>
      <c r="AY125" s="111" t="str">
        <f>IF('[12]Pledge 2020'!E115="","",'[12]Pledge 2020'!E115)</f>
        <v/>
      </c>
      <c r="AZ125" s="164" t="str">
        <f>IF('[12]Pledge 2020'!F115="","",'[12]Pledge 2020'!F115)</f>
        <v/>
      </c>
      <c r="BA125" s="111" t="str">
        <f t="shared" si="100"/>
        <v/>
      </c>
      <c r="BB125" s="111"/>
      <c r="BC125" s="111" t="str">
        <f t="shared" si="101"/>
        <v/>
      </c>
      <c r="BD125" s="111"/>
      <c r="BE125" s="111" t="s">
        <v>2477</v>
      </c>
      <c r="BF125" s="111" t="s">
        <v>2477</v>
      </c>
      <c r="BG125" s="111" t="s">
        <v>2477</v>
      </c>
      <c r="BH125" s="164" t="s">
        <v>2477</v>
      </c>
      <c r="BI125" s="111" t="str">
        <f>IF([12]NDCs!V127="",IF([12]NDCs!X127="","",[12]NDCs!X127),[12]NDCs!V127)</f>
        <v/>
      </c>
      <c r="BJ125" s="111" t="str">
        <f>IF([12]NDCs!V127="",IF([12]NDCs!X127="","",[12]NDCs!X127),[12]NDCs!V127)</f>
        <v/>
      </c>
      <c r="BK125" s="111" t="str">
        <f>IF([12]NDCs!Z127="",IF([12]NDCs!AB127="",IF('input site'!BE125="","",'input site'!BE125),[12]NDCs!AB127),[12]NDCs!Z127)</f>
        <v/>
      </c>
      <c r="BL125" s="111" t="str">
        <f>IF([12]NDCs!AA127="",IF([12]NDCs!AC127="",IF('input site'!BF125="","",'input site'!BF125),[12]NDCs!AC127),[12]NDCs!AA127)</f>
        <v/>
      </c>
      <c r="BM125" s="111">
        <f>IF($BI$8=2015,VLOOKUP($L125,'[12]IMAGE CurPol SSP'!$AZ$3:$BD$29,4,FALSE)*$AM125,IF($BI$8=2018,VLOOKUP($L125,'[12]IMAGE CurPol SSP'!$BJ$3:$BN$29,4,FALSE)*$AP125,$AR125))</f>
        <v>13.532636905564933</v>
      </c>
      <c r="BN125" s="111">
        <f t="shared" si="92"/>
        <v>13.532636905564933</v>
      </c>
      <c r="BO125" s="111">
        <f t="shared" si="92"/>
        <v>13.532636905564933</v>
      </c>
      <c r="BP125" s="111">
        <f>IF($BI$8=2015,VLOOKUP($L125,'[12]IMAGE CurPol SSP'!$AZ$3:$BD$29,5,FALSE)*$AM125,IF($BI$8=2018,VLOOKUP($L125,'[12]IMAGE CurPol SSP'!$BJ$3:$BN$29,5,FALSE)*$AP125,VLOOKUP($L125,'[12]IMAGE CurPol SSP'!$BU$3:$BZ$29,5,FALSE)*$AS125))</f>
        <v>11.243510878014519</v>
      </c>
      <c r="BQ125" s="111">
        <f>IF($BI$8=2015,"",IF($BI$8=2018,"",VLOOKUP($L125,'[12]IMAGE CurPol SSP'!$CQ$3:$CV$29,5,FALSE)*$AS125))</f>
        <v>11.243510878014519</v>
      </c>
      <c r="BR125" s="111">
        <f>IF($BI$8=2015,"",IF($BI$8=2018,"",VLOOKUP($L125,'[12]IMAGE CurPol SSP'!$CF$3:$CK$29,5,FALSE)*$AS125))</f>
        <v>11.602963423656808</v>
      </c>
      <c r="BS125" s="111">
        <f>IF($BI$8=2015,VLOOKUP($L125,'[12]IMAGE CurPol SSP'!$AZ$3:$BE$29,6,FALSE)*$AM125,IF($BI$8=2018,VLOOKUP($L125,'[12]IMAGE CurPol SSP'!$BJ$3:$BO$29,6,FALSE)*$AP125,VLOOKUP($L125,'[12]IMAGE CurPol SSP'!$BU$3:$BZ$29,6,FALSE)*$AS125))</f>
        <v>7.2440319968554316</v>
      </c>
      <c r="BT125" s="111">
        <f>IF($BI$8=2015,"",IF($BI$8=2018,"",VLOOKUP($L125,'[12]IMAGE CurPol SSP'!$CQ$3:$CV$29,6,FALSE)*$AS125))</f>
        <v>7.2440319968554316</v>
      </c>
      <c r="BU125" s="164">
        <f>IF($BI$8=2015,"",IF($BI$8=2018,"",VLOOKUP($L125,'[12]IMAGE CurPol SSP'!$CF$3:$CK$29,6,FALSE)*$AS125))</f>
        <v>7.6100827603401964</v>
      </c>
      <c r="CN125" t="s">
        <v>279</v>
      </c>
      <c r="CO125" s="165" t="str">
        <f t="shared" si="69"/>
        <v/>
      </c>
      <c r="CP125" s="165" t="str">
        <f t="shared" si="69"/>
        <v/>
      </c>
      <c r="CQ125" s="165" t="str">
        <f t="shared" si="69"/>
        <v/>
      </c>
      <c r="CR125" s="165" t="str">
        <f t="shared" si="65"/>
        <v/>
      </c>
      <c r="CV125" s="125" t="s">
        <v>621</v>
      </c>
      <c r="CW125" s="125" t="s">
        <v>621</v>
      </c>
      <c r="CX125"/>
      <c r="CY125" s="167">
        <f t="shared" si="70"/>
        <v>-0.92376268002168871</v>
      </c>
      <c r="DB125" s="106"/>
      <c r="DC125" s="106"/>
      <c r="DD125" s="106"/>
      <c r="DE125" s="106"/>
      <c r="DF125" s="106"/>
      <c r="DG125" s="105" t="str">
        <f t="shared" si="71"/>
        <v>incl</v>
      </c>
      <c r="DH125" t="s">
        <v>279</v>
      </c>
      <c r="DI125" s="111">
        <f t="shared" si="93"/>
        <v>0</v>
      </c>
      <c r="DJ125" s="111">
        <f t="shared" si="93"/>
        <v>0</v>
      </c>
      <c r="DK125" s="111">
        <f t="shared" si="94"/>
        <v>0</v>
      </c>
      <c r="DL125" s="111">
        <f t="shared" si="95"/>
        <v>0</v>
      </c>
      <c r="DM125" s="111">
        <f t="shared" si="96"/>
        <v>0</v>
      </c>
      <c r="DN125" s="111">
        <f t="shared" si="97"/>
        <v>0</v>
      </c>
      <c r="DO125" s="111">
        <f t="shared" si="98"/>
        <v>0</v>
      </c>
      <c r="DP125" s="111">
        <f t="shared" si="99"/>
        <v>0</v>
      </c>
      <c r="DQ125" s="106"/>
      <c r="DR125" s="106"/>
      <c r="DS125" s="111"/>
      <c r="DT125" s="168"/>
      <c r="DW125" s="111">
        <f t="shared" si="72"/>
        <v>7.2440319968554316</v>
      </c>
      <c r="DX125" s="111">
        <f t="shared" si="72"/>
        <v>7.2440319968554316</v>
      </c>
      <c r="DY125" s="111">
        <f t="shared" si="72"/>
        <v>7.2440319968554316</v>
      </c>
      <c r="DZ125" s="111">
        <f t="shared" si="66"/>
        <v>7.2440319968554316</v>
      </c>
      <c r="EP125" t="s">
        <v>279</v>
      </c>
      <c r="ER125" s="111">
        <f t="shared" si="73"/>
        <v>14.376395587241113</v>
      </c>
      <c r="ES125" s="111">
        <f>IF($BI$8=2015,VLOOKUP($L125,'[12]IMAGE CDLINKS CurPol'!$P$3:$Y$29,10,FALSE)*$AM125,VLOOKUP($L125,'[12]IMAGE CDLINKS CurPol'!$Z$3:$AI$29,10,FALSE)*$AP125)</f>
        <v>15.113371308703767</v>
      </c>
      <c r="ET125" s="111">
        <f t="shared" si="86"/>
        <v>15.113371308703767</v>
      </c>
      <c r="EU125" s="111">
        <f t="shared" si="76"/>
        <v>3.2721812909606518</v>
      </c>
      <c r="EV125" s="111">
        <f>IF($BI$8=2015,VLOOKUP($L125,'[12]IMAGE CDLINKS 2C'!$P$3:$Y$29,10,FALSE)*$AM125,VLOOKUP($L125,'[12]IMAGE CDLINKS 2C'!$Z$3:$AI$29,10,FALSE)*$AP125)</f>
        <v>3.2721812909606518</v>
      </c>
      <c r="EY125" s="111">
        <f t="shared" si="77"/>
        <v>1.5963151187266025</v>
      </c>
      <c r="EZ125" s="111">
        <f>IF($BI$8=2015,VLOOKUP($L125,'[12]IMAGE CDLINKS 1_5C'!$P$3:$Y$29,10,FALSE)*$AM125,VLOOKUP($L125,'[12]IMAGE CDLINKS 1_5C'!$Z$3:$AI$29,10,FALSE)*$AP125)</f>
        <v>1.5963151187266025</v>
      </c>
      <c r="FA125" s="192" t="s">
        <v>2338</v>
      </c>
    </row>
    <row r="126" spans="1:157" x14ac:dyDescent="0.25">
      <c r="A126" t="str">
        <f>IF([12]NDCs!C128="","",[12]NDCs!C128)</f>
        <v>A</v>
      </c>
      <c r="B126" s="159" t="str">
        <f t="shared" si="67"/>
        <v>v</v>
      </c>
      <c r="C126">
        <v>0</v>
      </c>
      <c r="D126">
        <v>1</v>
      </c>
      <c r="E126">
        <v>0</v>
      </c>
      <c r="F126">
        <v>1</v>
      </c>
      <c r="G126" t="b">
        <f t="shared" si="68"/>
        <v>1</v>
      </c>
      <c r="H126" t="s">
        <v>2335</v>
      </c>
      <c r="I126" t="s">
        <v>281</v>
      </c>
      <c r="J126">
        <v>442</v>
      </c>
      <c r="K126">
        <v>115</v>
      </c>
      <c r="L126">
        <v>11</v>
      </c>
      <c r="M126" t="str">
        <f>IF([12]NDCs!AL128="Excluding","excl","incl")</f>
        <v>incl</v>
      </c>
      <c r="N126" s="160">
        <f>[12]GHG_hist!BA116+IF($M126="incl",[12]LULUCF_hist!CR116,0)</f>
        <v>12.683223581274476</v>
      </c>
      <c r="O126" s="111">
        <f>[12]GHG_hist!BB116+IF($M126="incl",[12]LULUCF_hist!CS116,0)</f>
        <v>13.24687863052751</v>
      </c>
      <c r="P126" s="111">
        <f>[12]GHG_hist!BC116+IF($M126="incl",[12]LULUCF_hist!CT116,0)</f>
        <v>12.6086323145555</v>
      </c>
      <c r="Q126" s="111">
        <f>[12]GHG_hist!BD116+IF($M126="incl",[12]LULUCF_hist!CU116,0)</f>
        <v>12.644215223777115</v>
      </c>
      <c r="R126" s="111">
        <f>[12]GHG_hist!BE116+IF($M126="incl",[12]LULUCF_hist!CV116,0)</f>
        <v>11.960626159199084</v>
      </c>
      <c r="S126" s="111">
        <f>[12]GHG_hist!BF116+IF($M126="incl",[12]LULUCF_hist!CW116,0)</f>
        <v>9.5106488244629421</v>
      </c>
      <c r="T126" s="111">
        <f>[12]GHG_hist!BG116+IF($M126="incl",[12]LULUCF_hist!CX116,0)</f>
        <v>9.5377567961573106</v>
      </c>
      <c r="U126" s="111">
        <f>[12]GHG_hist!BH116+IF($M126="incl",[12]LULUCF_hist!CY116,0)</f>
        <v>8.8054033833963512</v>
      </c>
      <c r="V126" s="111">
        <f>[12]GHG_hist!BI116+IF($M126="incl",[12]LULUCF_hist!CZ116,0)</f>
        <v>8.007576440503426</v>
      </c>
      <c r="W126" s="111">
        <f>[12]GHG_hist!BJ116+IF($M126="incl",[12]LULUCF_hist!DA116,0)</f>
        <v>8.402393244502111</v>
      </c>
      <c r="X126" s="111">
        <f>[12]GHG_hist!BK116+IF($M126="incl",[12]LULUCF_hist!DB116,0)</f>
        <v>8.9769553175710648</v>
      </c>
      <c r="Y126" s="111">
        <f>[12]GHG_hist!BL116+IF($M126="incl",[12]LULUCF_hist!DC116,0)</f>
        <v>9.4995503101729142</v>
      </c>
      <c r="Z126" s="111">
        <f>[12]GHG_hist!BM116+IF($M126="incl",[12]LULUCF_hist!DD116,0)</f>
        <v>10.285844059315821</v>
      </c>
      <c r="AA126" s="111">
        <f>[12]GHG_hist!BN116+IF($M126="incl",[12]LULUCF_hist!DE116,0)</f>
        <v>10.756448814531765</v>
      </c>
      <c r="AB126" s="111">
        <f>[12]GHG_hist!BO116+IF($M126="incl",[12]LULUCF_hist!DF116,0)</f>
        <v>12.087643476279199</v>
      </c>
      <c r="AC126" s="111">
        <f>[12]GHG_hist!BP116+IF($M126="incl",[12]LULUCF_hist!DG116,0)</f>
        <v>12.382329297309523</v>
      </c>
      <c r="AD126" s="111">
        <f>[12]GHG_hist!BQ116+IF($M126="incl",[12]LULUCF_hist!DH116,0)</f>
        <v>12.294510560579226</v>
      </c>
      <c r="AE126" s="111">
        <f>[12]GHG_hist!BR116+IF($M126="incl",[12]LULUCF_hist!DI116,0)</f>
        <v>11.798211443926306</v>
      </c>
      <c r="AF126" s="111">
        <f>[12]GHG_hist!BS116+IF($M126="incl",[12]LULUCF_hist!DJ116,0)</f>
        <v>11.6689202920635</v>
      </c>
      <c r="AG126" s="111">
        <f>[12]GHG_hist!BT116+IF($M126="incl",[12]LULUCF_hist!DK116,0)</f>
        <v>11.114207488688237</v>
      </c>
      <c r="AH126" s="111">
        <f>[12]GHG_hist!BU116+IF($M126="incl",[12]LULUCF_hist!DL116,0)</f>
        <v>11.907655058666187</v>
      </c>
      <c r="AI126" s="111">
        <f>[12]GHG_hist!BV116+IF($M126="incl",[12]LULUCF_hist!DM116,0)</f>
        <v>11.700171039071069</v>
      </c>
      <c r="AJ126" s="111">
        <f>[12]GHG_hist!BW116+IF($M126="incl",[12]LULUCF_hist!DN116,0)</f>
        <v>11.393882217166357</v>
      </c>
      <c r="AK126" s="111">
        <f>[12]GHG_hist!BX116+IF($M126="incl",[12]LULUCF_hist!DO116,0)</f>
        <v>10.728798893576085</v>
      </c>
      <c r="AL126" s="111">
        <f>[12]GHG_hist!BY116+IF($M126="incl",[12]LULUCF_hist!DP116,0)</f>
        <v>10.323512597072867</v>
      </c>
      <c r="AM126" s="111">
        <f>[12]GHG_hist!BZ116+IF($M126="incl",[12]LULUCF_hist!DQ116,0)</f>
        <v>9.9052285785845822</v>
      </c>
      <c r="AN126" s="111">
        <f>[12]GHG_hist!CA116+IF($M126="incl",[12]LULUCF_hist!DR116,0)</f>
        <v>9.5698253627768377</v>
      </c>
      <c r="AO126" s="111">
        <f>[12]GHG_hist!CB116+IF($M126="incl",[12]LULUCF_hist!DS116,0)</f>
        <v>9.8409171752704729</v>
      </c>
      <c r="AP126" s="111">
        <f>[12]GHG_hist!CC116+IF($M126="incl",[12]LULUCF_hist!DT116,0)</f>
        <v>10.28237909852537</v>
      </c>
      <c r="AQ126" s="111">
        <f>[12]GHG_hist!CD116+IF($M126="incl",[12]LULUCF_hist!DU116,0)</f>
        <v>10.338557628840665</v>
      </c>
      <c r="AR126" s="111">
        <f>[12]GHG_hist!CE116+IF($M126="incl",[12]LULUCF_hist!DV116,0)</f>
        <v>8.5412334511484431</v>
      </c>
      <c r="AS126" s="111">
        <f>[12]GHG_hist!CF116+IF($M126="incl",[12]LULUCF_hist!DW116,0)</f>
        <v>8.7451728822077666</v>
      </c>
      <c r="AT126" s="161">
        <f>VLOOKUP($L126,'[12]IMAGE SSP2'!$AF$3:$AK$29,4,FALSE)*$AM126</f>
        <v>9.6318190110836461</v>
      </c>
      <c r="AU126" s="162">
        <f>VLOOKUP($L126,'[12]IMAGE SSP2'!$AF$3:$AK$29,5,FALSE)*$AM126</f>
        <v>9.3129929174511208</v>
      </c>
      <c r="AV126" s="163">
        <f>VLOOKUP($L126,'[12]IMAGE SSP2'!$AF$3:$AK$29,6,FALSE)*$AM126</f>
        <v>9.2611741932170659</v>
      </c>
      <c r="AW126" s="111" t="str">
        <f t="shared" si="75"/>
        <v/>
      </c>
      <c r="AX126" s="164" t="str">
        <f>IF(A126="B",IF(M126="excl",[12]NatCom!CO116,[12]NatCom!AX116),"")</f>
        <v/>
      </c>
      <c r="AY126" s="111" t="str">
        <f>IF('[12]Pledge 2020'!E116="","",'[12]Pledge 2020'!E116)</f>
        <v/>
      </c>
      <c r="AZ126" s="164" t="str">
        <f>IF('[12]Pledge 2020'!F116="","",'[12]Pledge 2020'!F116)</f>
        <v/>
      </c>
      <c r="BA126" s="111" t="str">
        <f t="shared" si="100"/>
        <v/>
      </c>
      <c r="BB126" s="111"/>
      <c r="BC126" s="111" t="str">
        <f t="shared" si="101"/>
        <v/>
      </c>
      <c r="BD126" s="111"/>
      <c r="BE126" s="111" t="s">
        <v>2477</v>
      </c>
      <c r="BF126" s="111" t="s">
        <v>2477</v>
      </c>
      <c r="BG126" s="111" t="s">
        <v>2477</v>
      </c>
      <c r="BH126" s="164" t="s">
        <v>2477</v>
      </c>
      <c r="BI126" s="111" t="str">
        <f>IF([12]NDCs!V128="",IF([12]NDCs!X128="","",[12]NDCs!X128),[12]NDCs!V128)</f>
        <v/>
      </c>
      <c r="BJ126" s="111" t="str">
        <f>IF([12]NDCs!V128="",IF([12]NDCs!X128="","",[12]NDCs!X128),[12]NDCs!V128)</f>
        <v/>
      </c>
      <c r="BK126" s="111" t="str">
        <f>IF([12]NDCs!Z128="",IF([12]NDCs!AB128="",IF('input site'!BE126="","",'input site'!BE126),[12]NDCs!AB128),[12]NDCs!Z128)</f>
        <v/>
      </c>
      <c r="BL126" s="111" t="str">
        <f>IF([12]NDCs!AA128="",IF([12]NDCs!AC128="",IF('input site'!BF126="","",'input site'!BF126),[12]NDCs!AC128),[12]NDCs!AA128)</f>
        <v/>
      </c>
      <c r="BM126" s="111">
        <f>IF($BI$8=2015,VLOOKUP($L126,'[12]IMAGE CurPol SSP'!$AZ$3:$BD$29,4,FALSE)*$AM126,IF($BI$8=2018,VLOOKUP($L126,'[12]IMAGE CurPol SSP'!$BJ$3:$BN$29,4,FALSE)*$AP126,$AR126))</f>
        <v>8.5412334511484431</v>
      </c>
      <c r="BN126" s="111">
        <f t="shared" si="92"/>
        <v>8.5412334511484431</v>
      </c>
      <c r="BO126" s="111">
        <f t="shared" si="92"/>
        <v>8.5412334511484431</v>
      </c>
      <c r="BP126" s="111">
        <f>IF($BI$8=2015,VLOOKUP($L126,'[12]IMAGE CurPol SSP'!$AZ$3:$BD$29,5,FALSE)*$AM126,IF($BI$8=2018,VLOOKUP($L126,'[12]IMAGE CurPol SSP'!$BJ$3:$BN$29,5,FALSE)*$AP126,VLOOKUP($L126,'[12]IMAGE CurPol SSP'!$BU$3:$BZ$29,5,FALSE)*$AS126))</f>
        <v>7.0935564666104414</v>
      </c>
      <c r="BQ126" s="111">
        <f>IF($BI$8=2015,"",IF($BI$8=2018,"",VLOOKUP($L126,'[12]IMAGE CurPol SSP'!$CQ$3:$CV$29,5,FALSE)*$AS126))</f>
        <v>6.8940968778054623</v>
      </c>
      <c r="BR126" s="111">
        <f>IF($BI$8=2015,"",IF($BI$8=2018,"",VLOOKUP($L126,'[12]IMAGE CurPol SSP'!$CF$3:$CK$29,5,FALSE)*$AS126))</f>
        <v>7.2146943953599205</v>
      </c>
      <c r="BS126" s="111">
        <f>IF($BI$8=2015,VLOOKUP($L126,'[12]IMAGE CurPol SSP'!$AZ$3:$BE$29,6,FALSE)*$AM126,IF($BI$8=2018,VLOOKUP($L126,'[12]IMAGE CurPol SSP'!$BJ$3:$BO$29,6,FALSE)*$AP126,VLOOKUP($L126,'[12]IMAGE CurPol SSP'!$BU$3:$BZ$29,6,FALSE)*$AS126))</f>
        <v>4.8793649069946881</v>
      </c>
      <c r="BT126" s="111">
        <f>IF($BI$8=2015,"",IF($BI$8=2018,"",VLOOKUP($L126,'[12]IMAGE CurPol SSP'!$CQ$3:$CV$29,6,FALSE)*$AS126))</f>
        <v>4.5629765184623778</v>
      </c>
      <c r="BU126" s="164">
        <f>IF($BI$8=2015,"",IF($BI$8=2018,"",VLOOKUP($L126,'[12]IMAGE CurPol SSP'!$CF$3:$CK$29,6,FALSE)*$AS126))</f>
        <v>5.1279606255729471</v>
      </c>
      <c r="CN126" t="s">
        <v>281</v>
      </c>
      <c r="CO126" s="165" t="str">
        <f t="shared" si="69"/>
        <v/>
      </c>
      <c r="CP126" s="165" t="str">
        <f t="shared" si="69"/>
        <v/>
      </c>
      <c r="CQ126" s="165" t="str">
        <f t="shared" si="69"/>
        <v/>
      </c>
      <c r="CR126" s="165" t="str">
        <f t="shared" si="65"/>
        <v/>
      </c>
      <c r="CV126" s="125" t="s">
        <v>621</v>
      </c>
      <c r="CW126" s="125" t="s">
        <v>621</v>
      </c>
      <c r="CX126"/>
      <c r="CY126" s="167">
        <f t="shared" si="70"/>
        <v>1.090585559935203</v>
      </c>
      <c r="DB126" s="106"/>
      <c r="DC126" s="106"/>
      <c r="DD126" s="106"/>
      <c r="DE126" s="106"/>
      <c r="DF126" s="106"/>
      <c r="DG126" s="105" t="str">
        <f t="shared" si="71"/>
        <v>incl</v>
      </c>
      <c r="DH126" t="s">
        <v>281</v>
      </c>
      <c r="DI126" s="111">
        <f t="shared" si="93"/>
        <v>0</v>
      </c>
      <c r="DJ126" s="111">
        <f t="shared" si="93"/>
        <v>0</v>
      </c>
      <c r="DK126" s="111">
        <f t="shared" si="94"/>
        <v>0</v>
      </c>
      <c r="DL126" s="111">
        <f t="shared" si="95"/>
        <v>0</v>
      </c>
      <c r="DM126" s="111">
        <f t="shared" si="96"/>
        <v>0</v>
      </c>
      <c r="DN126" s="111">
        <f t="shared" si="97"/>
        <v>0</v>
      </c>
      <c r="DO126" s="111">
        <f t="shared" si="98"/>
        <v>0</v>
      </c>
      <c r="DP126" s="111">
        <f t="shared" si="99"/>
        <v>0</v>
      </c>
      <c r="DQ126" s="106"/>
      <c r="DR126" s="106"/>
      <c r="DS126" s="111"/>
      <c r="DT126" s="168"/>
      <c r="DW126" s="111">
        <f t="shared" si="72"/>
        <v>4.8793649069946881</v>
      </c>
      <c r="DX126" s="111">
        <f t="shared" si="72"/>
        <v>4.8793649069946881</v>
      </c>
      <c r="DY126" s="111">
        <f t="shared" si="72"/>
        <v>4.8793649069946881</v>
      </c>
      <c r="DZ126" s="111">
        <f t="shared" si="66"/>
        <v>4.8793649069946881</v>
      </c>
      <c r="EP126" t="s">
        <v>281</v>
      </c>
      <c r="ER126" s="111">
        <f t="shared" si="73"/>
        <v>10.28237909852537</v>
      </c>
      <c r="ES126" s="111">
        <f>IF($BI$8=2015,VLOOKUP($L126,'[12]IMAGE CDLINKS CurPol'!$P$3:$Y$29,10,FALSE)*$AM126,VLOOKUP($L126,'[12]IMAGE CDLINKS CurPol'!$Z$3:$AI$29,10,FALSE)*$AP126)</f>
        <v>9.8530206474277673</v>
      </c>
      <c r="ET126" s="111">
        <f t="shared" si="86"/>
        <v>9.8530206474277673</v>
      </c>
      <c r="EU126" s="111">
        <f t="shared" si="76"/>
        <v>2.0992775744079721</v>
      </c>
      <c r="EV126" s="111">
        <f>IF($BI$8=2015,VLOOKUP($L126,'[12]IMAGE CDLINKS 2C'!$P$3:$Y$29,10,FALSE)*$AM126,VLOOKUP($L126,'[12]IMAGE CDLINKS 2C'!$Z$3:$AI$29,10,FALSE)*$AP126)</f>
        <v>2.0992775744079721</v>
      </c>
      <c r="EY126" s="111">
        <f t="shared" si="77"/>
        <v>1.1611606064050635</v>
      </c>
      <c r="EZ126" s="111">
        <f>IF($BI$8=2015,VLOOKUP($L126,'[12]IMAGE CDLINKS 1_5C'!$P$3:$Y$29,10,FALSE)*$AM126,VLOOKUP($L126,'[12]IMAGE CDLINKS 1_5C'!$Z$3:$AI$29,10,FALSE)*$AP126)</f>
        <v>1.1611606064050635</v>
      </c>
      <c r="FA126" s="192" t="s">
        <v>2338</v>
      </c>
    </row>
    <row r="127" spans="1:157" x14ac:dyDescent="0.25">
      <c r="A127" t="str">
        <f>IF([12]NDCs!C129="","",[12]NDCs!C129)</f>
        <v/>
      </c>
      <c r="B127" s="159" t="str">
        <f t="shared" si="67"/>
        <v>v</v>
      </c>
      <c r="C127">
        <v>0</v>
      </c>
      <c r="D127">
        <v>0</v>
      </c>
      <c r="E127">
        <v>0</v>
      </c>
      <c r="F127">
        <v>1</v>
      </c>
      <c r="G127" t="b">
        <f t="shared" si="68"/>
        <v>0</v>
      </c>
      <c r="H127" t="s">
        <v>2328</v>
      </c>
      <c r="I127" t="s">
        <v>283</v>
      </c>
      <c r="J127">
        <v>446</v>
      </c>
      <c r="K127">
        <v>116</v>
      </c>
      <c r="L127">
        <v>20</v>
      </c>
      <c r="M127" t="str">
        <f>IF([12]NDCs!AL129="Excluding","excl","incl")</f>
        <v>excl</v>
      </c>
      <c r="N127" s="160">
        <f>[12]GHG_hist!BA117+IF($M127="incl",[12]LULUCF_hist!CR117,0)</f>
        <v>1.1205134000000001</v>
      </c>
      <c r="O127" s="111">
        <f>[12]GHG_hist!BB117+IF($M127="incl",[12]LULUCF_hist!CS117,0)</f>
        <v>1.1835531000000001</v>
      </c>
      <c r="P127" s="111">
        <f>[12]GHG_hist!BC117+IF($M127="incl",[12]LULUCF_hist!CT117,0)</f>
        <v>1.1789472000000001</v>
      </c>
      <c r="Q127" s="111">
        <f>[12]GHG_hist!BD117+IF($M127="incl",[12]LULUCF_hist!CU117,0)</f>
        <v>1.2778436</v>
      </c>
      <c r="R127" s="111">
        <f>[12]GHG_hist!BE117+IF($M127="incl",[12]LULUCF_hist!CV117,0)</f>
        <v>1.3734431999999999</v>
      </c>
      <c r="S127" s="111">
        <f>[12]GHG_hist!BF117+IF($M127="incl",[12]LULUCF_hist!CW117,0)</f>
        <v>1.3276555000000001</v>
      </c>
      <c r="T127" s="111">
        <f>[12]GHG_hist!BG117+IF($M127="incl",[12]LULUCF_hist!CX117,0)</f>
        <v>1.5060644999999999</v>
      </c>
      <c r="U127" s="111">
        <f>[12]GHG_hist!BH117+IF($M127="incl",[12]LULUCF_hist!CY117,0)</f>
        <v>1.5886374000000001</v>
      </c>
      <c r="V127" s="111">
        <f>[12]GHG_hist!BI117+IF($M127="incl",[12]LULUCF_hist!CZ117,0)</f>
        <v>1.6597298</v>
      </c>
      <c r="W127" s="111">
        <f>[12]GHG_hist!BJ117+IF($M127="incl",[12]LULUCF_hist!DA117,0)</f>
        <v>1.6206092000000001</v>
      </c>
      <c r="X127" s="111">
        <f>[12]GHG_hist!BK117+IF($M127="incl",[12]LULUCF_hist!DB117,0)</f>
        <v>1.7311561</v>
      </c>
      <c r="Y127" s="111">
        <f>[12]GHG_hist!BL117+IF($M127="incl",[12]LULUCF_hist!DC117,0)</f>
        <v>1.7869531000000001</v>
      </c>
      <c r="Z127" s="111">
        <f>[12]GHG_hist!BM117+IF($M127="incl",[12]LULUCF_hist!DD117,0)</f>
        <v>1.6200444000000001</v>
      </c>
      <c r="AA127" s="111">
        <f>[12]GHG_hist!BN117+IF($M127="incl",[12]LULUCF_hist!DE117,0)</f>
        <v>1.6380366</v>
      </c>
      <c r="AB127" s="111">
        <f>[12]GHG_hist!BO117+IF($M127="incl",[12]LULUCF_hist!DF117,0)</f>
        <v>1.8270794000000001</v>
      </c>
      <c r="AC127" s="111">
        <f>[12]GHG_hist!BP117+IF($M127="incl",[12]LULUCF_hist!DG117,0)</f>
        <v>1.9416549000000001</v>
      </c>
      <c r="AD127" s="111">
        <f>[12]GHG_hist!BQ117+IF($M127="incl",[12]LULUCF_hist!DH117,0)</f>
        <v>1.7358972000000001</v>
      </c>
      <c r="AE127" s="111">
        <f>[12]GHG_hist!BR117+IF($M127="incl",[12]LULUCF_hist!DI117,0)</f>
        <v>1.4817117000000002</v>
      </c>
      <c r="AF127" s="111">
        <f>[12]GHG_hist!BS117+IF($M127="incl",[12]LULUCF_hist!DJ117,0)</f>
        <v>1.245776</v>
      </c>
      <c r="AG127" s="111">
        <f>[12]GHG_hist!BT117+IF($M127="incl",[12]LULUCF_hist!DK117,0)</f>
        <v>2.0128138</v>
      </c>
      <c r="AH127" s="111">
        <f>[12]GHG_hist!BU117+IF($M127="incl",[12]LULUCF_hist!DL117,0)</f>
        <v>1.3492634999999999</v>
      </c>
      <c r="AI127" s="111">
        <f>[12]GHG_hist!BV117+IF($M127="incl",[12]LULUCF_hist!DM117,0)</f>
        <v>1.4124028000000002</v>
      </c>
      <c r="AJ127" s="111">
        <f>[12]GHG_hist!BW117+IF($M127="incl",[12]LULUCF_hist!DN117,0)</f>
        <v>1.2543474000000001</v>
      </c>
      <c r="AK127" s="111">
        <f>[12]GHG_hist!BX117+IF($M127="incl",[12]LULUCF_hist!DO117,0)</f>
        <v>1.1082211</v>
      </c>
      <c r="AL127" s="111">
        <f>[12]GHG_hist!BY117+IF($M127="incl",[12]LULUCF_hist!DP117,0)</f>
        <v>1.4156031</v>
      </c>
      <c r="AM127" s="111">
        <f>[12]GHG_hist!BZ117+IF($M127="incl",[12]LULUCF_hist!DQ117,0)</f>
        <v>1.9427202000000001</v>
      </c>
      <c r="AN127" s="111">
        <f>[12]GHG_hist!CA117+IF($M127="incl",[12]LULUCF_hist!DR117,0)</f>
        <v>1.9139576</v>
      </c>
      <c r="AO127" s="111">
        <f>[12]GHG_hist!CB117+IF($M127="incl",[12]LULUCF_hist!DS117,0)</f>
        <v>2.0689665000000002</v>
      </c>
      <c r="AP127" s="111">
        <f>[12]GHG_hist!CC117+IF($M127="incl",[12]LULUCF_hist!DT117,0)</f>
        <v>2.1324519</v>
      </c>
      <c r="AQ127" s="111">
        <f>[12]GHG_hist!CD117+IF($M127="incl",[12]LULUCF_hist!DU117,0)</f>
        <v>2.2948132999999999</v>
      </c>
      <c r="AR127" s="111">
        <f>[12]GHG_hist!CE117+IF($M127="incl",[12]LULUCF_hist!DV117,0)</f>
        <v>2.3056943000000003</v>
      </c>
      <c r="AS127" s="111">
        <f>[12]GHG_hist!CF117+IF($M127="incl",[12]LULUCF_hist!DW117,0)</f>
        <v>2.3732487</v>
      </c>
      <c r="AT127" s="161">
        <f>VLOOKUP($L127,'[12]IMAGE SSP2'!$AF$3:$AK$29,4,FALSE)*$AM127</f>
        <v>2.1029443820257407</v>
      </c>
      <c r="AU127" s="162">
        <f>VLOOKUP($L127,'[12]IMAGE SSP2'!$AF$3:$AK$29,5,FALSE)*$AM127</f>
        <v>2.314891265825588</v>
      </c>
      <c r="AV127" s="163">
        <f>VLOOKUP($L127,'[12]IMAGE SSP2'!$AF$3:$AK$29,6,FALSE)*$AM127</f>
        <v>2.3854108432245731</v>
      </c>
      <c r="AW127" s="111" t="str">
        <f t="shared" si="75"/>
        <v/>
      </c>
      <c r="AX127" s="164" t="str">
        <f>IF(A127="B",IF(M127="excl",[12]NatCom!CO117,[12]NatCom!AX117),"")</f>
        <v/>
      </c>
      <c r="AY127" s="111" t="str">
        <f>IF('[12]Pledge 2020'!E117="","",'[12]Pledge 2020'!E117)</f>
        <v/>
      </c>
      <c r="AZ127" s="164" t="str">
        <f>IF('[12]Pledge 2020'!F117="","",'[12]Pledge 2020'!F117)</f>
        <v/>
      </c>
      <c r="BA127" s="111" t="str">
        <f t="shared" si="100"/>
        <v/>
      </c>
      <c r="BB127" s="111"/>
      <c r="BC127" s="111" t="str">
        <f t="shared" si="101"/>
        <v/>
      </c>
      <c r="BD127" s="111"/>
      <c r="BE127" s="111" t="s">
        <v>2477</v>
      </c>
      <c r="BF127" s="111" t="s">
        <v>2477</v>
      </c>
      <c r="BG127" s="111" t="s">
        <v>2477</v>
      </c>
      <c r="BH127" s="164" t="s">
        <v>2477</v>
      </c>
      <c r="BI127" s="111" t="str">
        <f>IF([12]NDCs!V129="",IF([12]NDCs!X129="","",[12]NDCs!X129),[12]NDCs!V129)</f>
        <v/>
      </c>
      <c r="BJ127" s="111" t="str">
        <f>IF([12]NDCs!V129="",IF([12]NDCs!X129="","",[12]NDCs!X129),[12]NDCs!V129)</f>
        <v/>
      </c>
      <c r="BK127" s="111" t="str">
        <f>IF([12]NDCs!Z129="",IF([12]NDCs!AB129="",IF('input site'!BE127="","",'input site'!BE127),[12]NDCs!AB129),[12]NDCs!Z129)</f>
        <v/>
      </c>
      <c r="BL127" s="111" t="str">
        <f>IF([12]NDCs!AA129="",IF([12]NDCs!AC129="",IF('input site'!BF127="","",'input site'!BF127),[12]NDCs!AC129),[12]NDCs!AA129)</f>
        <v/>
      </c>
      <c r="BM127" s="111">
        <f>IF($BI$8=2015,VLOOKUP($L127,'[12]IMAGE CurPol SSP'!$AZ$3:$BD$29,4,FALSE)*$AM127,IF($BI$8=2018,VLOOKUP($L127,'[12]IMAGE CurPol SSP'!$BJ$3:$BN$29,4,FALSE)*$AP127,$AR127))</f>
        <v>2.3056943000000003</v>
      </c>
      <c r="BN127" s="111">
        <f t="shared" si="92"/>
        <v>2.3056943000000003</v>
      </c>
      <c r="BO127" s="111">
        <f t="shared" si="92"/>
        <v>2.3056943000000003</v>
      </c>
      <c r="BP127" s="111">
        <f>IF($BI$8=2015,VLOOKUP($L127,'[12]IMAGE CurPol SSP'!$AZ$3:$BD$29,5,FALSE)*$AM127,IF($BI$8=2018,VLOOKUP($L127,'[12]IMAGE CurPol SSP'!$BJ$3:$BN$29,5,FALSE)*$AP127,VLOOKUP($L127,'[12]IMAGE CurPol SSP'!$BU$3:$BZ$29,5,FALSE)*$AS127))</f>
        <v>2.3630129124524117</v>
      </c>
      <c r="BQ127" s="111">
        <f>IF($BI$8=2015,"",IF($BI$8=2018,"",VLOOKUP($L127,'[12]IMAGE CurPol SSP'!$CQ$3:$CV$29,5,FALSE)*$AS127))</f>
        <v>2.3288404559760933</v>
      </c>
      <c r="BR127" s="111">
        <f>IF($BI$8=2015,"",IF($BI$8=2018,"",VLOOKUP($L127,'[12]IMAGE CurPol SSP'!$CF$3:$CK$29,5,FALSE)*$AS127))</f>
        <v>2.4348892033414429</v>
      </c>
      <c r="BS127" s="111">
        <f>IF($BI$8=2015,VLOOKUP($L127,'[12]IMAGE CurPol SSP'!$AZ$3:$BE$29,6,FALSE)*$AM127,IF($BI$8=2018,VLOOKUP($L127,'[12]IMAGE CurPol SSP'!$BJ$3:$BO$29,6,FALSE)*$AP127,VLOOKUP($L127,'[12]IMAGE CurPol SSP'!$BU$3:$BZ$29,6,FALSE)*$AS127))</f>
        <v>2.3835560777639051</v>
      </c>
      <c r="BT127" s="111">
        <f>IF($BI$8=2015,"",IF($BI$8=2018,"",VLOOKUP($L127,'[12]IMAGE CurPol SSP'!$CQ$3:$CV$29,6,FALSE)*$AS127))</f>
        <v>2.3271966696596484</v>
      </c>
      <c r="BU127" s="164">
        <f>IF($BI$8=2015,"",IF($BI$8=2018,"",VLOOKUP($L127,'[12]IMAGE CurPol SSP'!$CF$3:$CK$29,6,FALSE)*$AS127))</f>
        <v>2.5247706764960642</v>
      </c>
      <c r="CN127" t="s">
        <v>283</v>
      </c>
      <c r="CO127" s="165" t="str">
        <f t="shared" si="69"/>
        <v/>
      </c>
      <c r="CP127" s="165" t="str">
        <f t="shared" si="69"/>
        <v/>
      </c>
      <c r="CQ127" s="165" t="str">
        <f t="shared" si="69"/>
        <v/>
      </c>
      <c r="CR127" s="165" t="str">
        <f t="shared" si="65"/>
        <v/>
      </c>
      <c r="CV127" s="125" t="s">
        <v>621</v>
      </c>
      <c r="CW127" s="125" t="s">
        <v>621</v>
      </c>
      <c r="CX127" s="208">
        <f>AP127/$AP$255</f>
        <v>4.6669722665114839E-5</v>
      </c>
      <c r="CY127" s="167">
        <f t="shared" si="70"/>
        <v>-0.20274991797425956</v>
      </c>
      <c r="DB127" s="106"/>
      <c r="DC127" s="106"/>
      <c r="DD127" s="106"/>
      <c r="DE127" s="106"/>
      <c r="DF127" s="106"/>
      <c r="DG127" s="105" t="str">
        <f t="shared" si="71"/>
        <v>excl</v>
      </c>
      <c r="DH127" t="s">
        <v>283</v>
      </c>
      <c r="DI127" s="111">
        <f t="shared" si="93"/>
        <v>0</v>
      </c>
      <c r="DJ127" s="111">
        <f t="shared" si="93"/>
        <v>0</v>
      </c>
      <c r="DK127" s="111">
        <f t="shared" si="94"/>
        <v>0</v>
      </c>
      <c r="DL127" s="111">
        <f t="shared" si="95"/>
        <v>0</v>
      </c>
      <c r="DM127" s="111">
        <f t="shared" si="96"/>
        <v>0</v>
      </c>
      <c r="DN127" s="111">
        <f t="shared" si="97"/>
        <v>0</v>
      </c>
      <c r="DO127" s="111">
        <f t="shared" si="98"/>
        <v>0</v>
      </c>
      <c r="DP127" s="111">
        <f t="shared" si="99"/>
        <v>0</v>
      </c>
      <c r="DQ127" s="106"/>
      <c r="DR127" s="106"/>
      <c r="DS127" s="111"/>
      <c r="DT127" s="168"/>
      <c r="DW127" s="111">
        <f t="shared" si="72"/>
        <v>2.3835560777639051</v>
      </c>
      <c r="DX127" s="111">
        <f t="shared" si="72"/>
        <v>2.3835560777639051</v>
      </c>
      <c r="DY127" s="111">
        <f t="shared" si="72"/>
        <v>2.3835560777639051</v>
      </c>
      <c r="DZ127" s="111">
        <f t="shared" si="66"/>
        <v>2.3835560777639051</v>
      </c>
      <c r="EP127" t="s">
        <v>283</v>
      </c>
      <c r="EQ127">
        <v>0</v>
      </c>
      <c r="ER127" s="111">
        <f t="shared" si="73"/>
        <v>2.1324519</v>
      </c>
      <c r="ES127" s="111">
        <f>IF($BI$8=2015,VLOOKUP($L127,'[12]IMAGE CDLINKS CurPol'!$P$3:$Y$29,10,FALSE)*$AM127,VLOOKUP($L127,'[12]IMAGE CDLINKS CurPol'!$Z$3:$AI$29,10,FALSE)*$AP127)</f>
        <v>2.4876458450692498</v>
      </c>
      <c r="ET127" s="111">
        <f t="shared" si="86"/>
        <v>2.4876458450692498</v>
      </c>
      <c r="EU127" s="111">
        <f t="shared" si="76"/>
        <v>0.37685872266085946</v>
      </c>
      <c r="EV127" s="111">
        <f>IF($BI$8=2015,VLOOKUP($L127,'[12]IMAGE CDLINKS 2C'!$P$3:$Y$29,10,FALSE)*$AM127,VLOOKUP($L127,'[12]IMAGE CDLINKS 2C'!$Z$3:$AI$29,10,FALSE)*$AP127)</f>
        <v>0.37685872266085946</v>
      </c>
      <c r="EY127" s="111">
        <f t="shared" si="77"/>
        <v>0.17728481702529117</v>
      </c>
      <c r="EZ127" s="111">
        <f>IF($BI$8=2015,VLOOKUP($L127,'[12]IMAGE CDLINKS 1_5C'!$P$3:$Y$29,10,FALSE)*$AM127,VLOOKUP($L127,'[12]IMAGE CDLINKS 1_5C'!$Z$3:$AI$29,10,FALSE)*$AP127)</f>
        <v>0.17728481702529117</v>
      </c>
      <c r="FA127" s="192"/>
    </row>
    <row r="128" spans="1:157" x14ac:dyDescent="0.25">
      <c r="A128" t="str">
        <f>IF([12]NDCs!C130="","",[12]NDCs!C130)</f>
        <v>B</v>
      </c>
      <c r="B128" s="159" t="str">
        <f t="shared" si="67"/>
        <v>v</v>
      </c>
      <c r="C128">
        <v>0</v>
      </c>
      <c r="D128">
        <v>0</v>
      </c>
      <c r="E128">
        <v>0</v>
      </c>
      <c r="F128">
        <v>1</v>
      </c>
      <c r="G128" t="b">
        <f t="shared" si="68"/>
        <v>1</v>
      </c>
      <c r="H128" t="s">
        <v>2333</v>
      </c>
      <c r="I128" t="s">
        <v>285</v>
      </c>
      <c r="J128">
        <v>807</v>
      </c>
      <c r="K128">
        <v>210</v>
      </c>
      <c r="L128">
        <v>12</v>
      </c>
      <c r="M128" t="str">
        <f>IF([12]NDCs!AL130="Excluding","excl","incl")</f>
        <v>excl</v>
      </c>
      <c r="N128" s="160">
        <f>[12]GHG_hist!BA118+IF($M128="incl",[12]LULUCF_hist!CR118,0)</f>
        <v>12.420577</v>
      </c>
      <c r="O128" s="111">
        <f>[12]GHG_hist!BB118+IF($M128="incl",[12]LULUCF_hist!CS118,0)</f>
        <v>11.830797</v>
      </c>
      <c r="P128" s="111">
        <f>[12]GHG_hist!BC118+IF($M128="incl",[12]LULUCF_hist!CT118,0)</f>
        <v>10.942515</v>
      </c>
      <c r="Q128" s="111">
        <f>[12]GHG_hist!BD118+IF($M128="incl",[12]LULUCF_hist!CU118,0)</f>
        <v>11.399370000000001</v>
      </c>
      <c r="R128" s="111">
        <f>[12]GHG_hist!BE118+IF($M128="incl",[12]LULUCF_hist!CV118,0)</f>
        <v>11.205457000000001</v>
      </c>
      <c r="S128" s="111">
        <f>[12]GHG_hist!BF118+IF($M128="incl",[12]LULUCF_hist!CW118,0)</f>
        <v>11.352465</v>
      </c>
      <c r="T128" s="111">
        <f>[12]GHG_hist!BG118+IF($M128="incl",[12]LULUCF_hist!CX118,0)</f>
        <v>11.077147000000002</v>
      </c>
      <c r="U128" s="111">
        <f>[12]GHG_hist!BH118+IF($M128="incl",[12]LULUCF_hist!CY118,0)</f>
        <v>11.743055</v>
      </c>
      <c r="V128" s="111">
        <f>[12]GHG_hist!BI118+IF($M128="incl",[12]LULUCF_hist!CZ118,0)</f>
        <v>13.254852999999999</v>
      </c>
      <c r="W128" s="111">
        <f>[12]GHG_hist!BJ118+IF($M128="incl",[12]LULUCF_hist!DA118,0)</f>
        <v>11.982965</v>
      </c>
      <c r="X128" s="111">
        <f>[12]GHG_hist!BK118+IF($M128="incl",[12]LULUCF_hist!DB118,0)</f>
        <v>12.290780000000002</v>
      </c>
      <c r="Y128" s="111">
        <f>[12]GHG_hist!BL118+IF($M128="incl",[12]LULUCF_hist!DC118,0)</f>
        <v>11.681486999999999</v>
      </c>
      <c r="Z128" s="111">
        <f>[12]GHG_hist!BM118+IF($M128="incl",[12]LULUCF_hist!DD118,0)</f>
        <v>12.008158999999999</v>
      </c>
      <c r="AA128" s="111">
        <f>[12]GHG_hist!BN118+IF($M128="incl",[12]LULUCF_hist!DE118,0)</f>
        <v>11.421725</v>
      </c>
      <c r="AB128" s="111">
        <f>[12]GHG_hist!BO118+IF($M128="incl",[12]LULUCF_hist!DF118,0)</f>
        <v>11.497183000000001</v>
      </c>
      <c r="AC128" s="111">
        <f>[12]GHG_hist!BP118+IF($M128="incl",[12]LULUCF_hist!DG118,0)</f>
        <v>11.748469999999999</v>
      </c>
      <c r="AD128" s="111">
        <f>[12]GHG_hist!BQ118+IF($M128="incl",[12]LULUCF_hist!DH118,0)</f>
        <v>11.055183000000001</v>
      </c>
      <c r="AE128" s="111">
        <f>[12]GHG_hist!BR118+IF($M128="incl",[12]LULUCF_hist!DI118,0)</f>
        <v>11.701028000000001</v>
      </c>
      <c r="AF128" s="111">
        <f>[12]GHG_hist!BS118+IF($M128="incl",[12]LULUCF_hist!DJ118,0)</f>
        <v>11.900138999999999</v>
      </c>
      <c r="AG128" s="111">
        <f>[12]GHG_hist!BT118+IF($M128="incl",[12]LULUCF_hist!DK118,0)</f>
        <v>11.211240999999999</v>
      </c>
      <c r="AH128" s="111">
        <f>[12]GHG_hist!BU118+IF($M128="incl",[12]LULUCF_hist!DL118,0)</f>
        <v>11.508573</v>
      </c>
      <c r="AI128" s="111">
        <f>[12]GHG_hist!BV118+IF($M128="incl",[12]LULUCF_hist!DM118,0)</f>
        <v>12.596437</v>
      </c>
      <c r="AJ128" s="111">
        <f>[12]GHG_hist!BW118+IF($M128="incl",[12]LULUCF_hist!DN118,0)</f>
        <v>11.982696000000001</v>
      </c>
      <c r="AK128" s="111">
        <f>[12]GHG_hist!BX118+IF($M128="incl",[12]LULUCF_hist!DO118,0)</f>
        <v>11.070695000000001</v>
      </c>
      <c r="AL128" s="111">
        <f>[12]GHG_hist!BY118+IF($M128="incl",[12]LULUCF_hist!DP118,0)</f>
        <v>10.630448000000001</v>
      </c>
      <c r="AM128" s="111">
        <f>[12]GHG_hist!BZ118+IF($M128="incl",[12]LULUCF_hist!DQ118,0)</f>
        <v>10.242610000000001</v>
      </c>
      <c r="AN128" s="111">
        <f>[12]GHG_hist!CA118+IF($M128="incl",[12]LULUCF_hist!DR118,0)</f>
        <v>10.101270000000001</v>
      </c>
      <c r="AO128" s="111">
        <f>[12]GHG_hist!CB118+IF($M128="incl",[12]LULUCF_hist!DS118,0)</f>
        <v>11.123753000000001</v>
      </c>
      <c r="AP128" s="111">
        <f>[12]GHG_hist!CC118+IF($M128="incl",[12]LULUCF_hist!DT118,0)</f>
        <v>10.57389</v>
      </c>
      <c r="AQ128" s="111">
        <f>[12]GHG_hist!CD118+IF($M128="incl",[12]LULUCF_hist!DU118,0)</f>
        <v>11.375325</v>
      </c>
      <c r="AR128" s="111">
        <f>[12]GHG_hist!CE118+IF($M128="incl",[12]LULUCF_hist!DV118,0)</f>
        <v>9.901780500000001</v>
      </c>
      <c r="AS128" s="111">
        <f>[12]GHG_hist!CF118+IF($M128="incl",[12]LULUCF_hist!DW118,0)</f>
        <v>10.147200000000002</v>
      </c>
      <c r="AT128" s="161">
        <f>VLOOKUP($L128,'[12]IMAGE SSP2'!$AF$3:$AK$29,4,FALSE)*$AM128</f>
        <v>10.656814084226813</v>
      </c>
      <c r="AU128" s="162">
        <f>VLOOKUP($L128,'[12]IMAGE SSP2'!$AF$3:$AK$29,5,FALSE)*$AM128</f>
        <v>10.884189719169862</v>
      </c>
      <c r="AV128" s="163">
        <f>VLOOKUP($L128,'[12]IMAGE SSP2'!$AF$3:$AK$29,6,FALSE)*$AM128</f>
        <v>11.175154884506277</v>
      </c>
      <c r="AW128" s="111">
        <f t="shared" si="75"/>
        <v>14.585786500000001</v>
      </c>
      <c r="AX128" s="164">
        <f>IF(A128="B",IF(M128="excl",[12]NatCom!CO118,[12]NatCom!AX118),"")</f>
        <v>17.663</v>
      </c>
      <c r="AY128" s="111" t="str">
        <f>IF('[12]Pledge 2020'!E118="","",'[12]Pledge 2020'!E118)</f>
        <v/>
      </c>
      <c r="AZ128" s="164" t="str">
        <f>IF('[12]Pledge 2020'!F118="","",'[12]Pledge 2020'!F118)</f>
        <v/>
      </c>
      <c r="BA128" s="111">
        <f t="shared" si="100"/>
        <v>9.2919397499999992</v>
      </c>
      <c r="BB128" s="111">
        <f>IF(BF128="","",(BF128-AH128)*0.75+AH128)</f>
        <v>9.2919397499999992</v>
      </c>
      <c r="BC128" s="111">
        <f t="shared" si="101"/>
        <v>8.7421000500000012</v>
      </c>
      <c r="BD128" s="111">
        <f>IF(BH128="","",(BH128-AH128)*0.75+AH128)</f>
        <v>8.7421000500000012</v>
      </c>
      <c r="BE128" s="111">
        <v>8.5530619999999988</v>
      </c>
      <c r="BF128" s="111">
        <v>8.5530619999999988</v>
      </c>
      <c r="BG128" s="111">
        <v>7.8199424000000004</v>
      </c>
      <c r="BH128" s="164">
        <v>7.8199424000000004</v>
      </c>
      <c r="BI128" s="111">
        <f>IF([12]NDCs!V130="",IF([12]NDCs!X130="","",[12]NDCs!X130),[12]NDCs!V130)</f>
        <v>8.5530619999999988</v>
      </c>
      <c r="BJ128" s="111">
        <f>IF([12]NDCs!V130="",IF([12]NDCs!X130="","",[12]NDCs!X130),[12]NDCs!V130)</f>
        <v>8.5530619999999988</v>
      </c>
      <c r="BK128" s="111">
        <f>IF([12]NDCs!Z130="",IF([12]NDCs!AB130="",IF('input site'!BE128="","",'input site'!BE128),[12]NDCs!AB130),[12]NDCs!Z130)</f>
        <v>7.8199424000000004</v>
      </c>
      <c r="BL128" s="111">
        <f>IF([12]NDCs!AA130="",IF([12]NDCs!AC130="",IF('input site'!BF128="","",'input site'!BF128),[12]NDCs!AC130),[12]NDCs!AA130)</f>
        <v>7.8199424000000004</v>
      </c>
      <c r="BM128" s="111">
        <f>IF($BI$8=2015,VLOOKUP($L128,'[12]IMAGE CurPol SSP'!$AZ$3:$BD$29,4,FALSE)*$AM128,IF($BI$8=2018,VLOOKUP($L128,'[12]IMAGE CurPol SSP'!$BJ$3:$BN$29,4,FALSE)*$AP128,$AR128))</f>
        <v>9.901780500000001</v>
      </c>
      <c r="BN128" s="111">
        <f t="shared" si="92"/>
        <v>9.901780500000001</v>
      </c>
      <c r="BO128" s="111">
        <f t="shared" si="92"/>
        <v>9.901780500000001</v>
      </c>
      <c r="BP128" s="111">
        <f>IF($BI$8=2015,VLOOKUP($L128,'[12]IMAGE CurPol SSP'!$AZ$3:$BD$29,5,FALSE)*$AM128,IF($BI$8=2018,VLOOKUP($L128,'[12]IMAGE CurPol SSP'!$BJ$3:$BN$29,5,FALSE)*$AP128,VLOOKUP($L128,'[12]IMAGE CurPol SSP'!$BU$3:$BZ$29,5,FALSE)*$AS128))</f>
        <v>8.0699558658302326</v>
      </c>
      <c r="BQ128" s="111">
        <f>IF($BI$8=2015,"",IF($BI$8=2018,"",VLOOKUP($L128,'[12]IMAGE CurPol SSP'!$CQ$3:$CV$29,5,FALSE)*$AS128))</f>
        <v>8.0699558658302326</v>
      </c>
      <c r="BR128" s="111">
        <f>IF($BI$8=2015,"",IF($BI$8=2018,"",VLOOKUP($L128,'[12]IMAGE CurPol SSP'!$CF$3:$CK$29,5,FALSE)*$AS128))</f>
        <v>8.3279505625637711</v>
      </c>
      <c r="BS128" s="111">
        <f>IF($BI$8=2015,VLOOKUP($L128,'[12]IMAGE CurPol SSP'!$AZ$3:$BE$29,6,FALSE)*$AM128,IF($BI$8=2018,VLOOKUP($L128,'[12]IMAGE CurPol SSP'!$BJ$3:$BO$29,6,FALSE)*$AP128,VLOOKUP($L128,'[12]IMAGE CurPol SSP'!$BU$3:$BZ$29,6,FALSE)*$AS128))</f>
        <v>5.1993562455296525</v>
      </c>
      <c r="BT128" s="111">
        <f>IF($BI$8=2015,"",IF($BI$8=2018,"",VLOOKUP($L128,'[12]IMAGE CurPol SSP'!$CQ$3:$CV$29,6,FALSE)*$AS128))</f>
        <v>5.1993562455296525</v>
      </c>
      <c r="BU128" s="164">
        <f>IF($BI$8=2015,"",IF($BI$8=2018,"",VLOOKUP($L128,'[12]IMAGE CurPol SSP'!$CF$3:$CK$29,6,FALSE)*$AS128))</f>
        <v>5.4620867696537294</v>
      </c>
      <c r="CN128" t="s">
        <v>285</v>
      </c>
      <c r="CO128" s="165">
        <f t="shared" si="69"/>
        <v>0.64502326751582451</v>
      </c>
      <c r="CP128" s="165">
        <f t="shared" si="69"/>
        <v>0.64502326751582451</v>
      </c>
      <c r="CQ128" s="165">
        <f t="shared" si="69"/>
        <v>0.5040212731573257</v>
      </c>
      <c r="CR128" s="165">
        <f t="shared" si="65"/>
        <v>0.5040212731573257</v>
      </c>
      <c r="CV128" s="125" t="s">
        <v>621</v>
      </c>
      <c r="CW128" s="125" t="s">
        <v>621</v>
      </c>
      <c r="CX128"/>
      <c r="CY128" s="167">
        <f t="shared" si="70"/>
        <v>0.75503358422681188</v>
      </c>
      <c r="DB128" s="106"/>
      <c r="DC128" s="106"/>
      <c r="DD128" s="106"/>
      <c r="DE128" s="106"/>
      <c r="DF128" s="106"/>
      <c r="DG128" s="105" t="str">
        <f t="shared" si="71"/>
        <v>excl</v>
      </c>
      <c r="DH128" t="s">
        <v>285</v>
      </c>
      <c r="DI128" s="111">
        <f t="shared" si="93"/>
        <v>0</v>
      </c>
      <c r="DJ128" s="111">
        <f t="shared" si="93"/>
        <v>0</v>
      </c>
      <c r="DK128" s="111">
        <f t="shared" si="94"/>
        <v>1.2219838841697666</v>
      </c>
      <c r="DL128" s="111">
        <f t="shared" si="95"/>
        <v>0.67214418416976862</v>
      </c>
      <c r="DM128" s="111">
        <f t="shared" si="96"/>
        <v>3.3537057544703464</v>
      </c>
      <c r="DN128" s="111">
        <f t="shared" si="97"/>
        <v>2.6205861544703479</v>
      </c>
      <c r="DO128" s="111">
        <f t="shared" si="98"/>
        <v>3.3537057544703464</v>
      </c>
      <c r="DP128" s="111">
        <f t="shared" si="99"/>
        <v>2.6205861544703479</v>
      </c>
      <c r="DQ128" s="106"/>
      <c r="DR128" s="106"/>
      <c r="DS128" s="111"/>
      <c r="DT128" s="168"/>
      <c r="DW128" s="111">
        <f t="shared" si="72"/>
        <v>8.5530619999999988</v>
      </c>
      <c r="DX128" s="111">
        <f t="shared" si="72"/>
        <v>8.5530619999999988</v>
      </c>
      <c r="DY128" s="111">
        <f t="shared" si="72"/>
        <v>7.8199424000000004</v>
      </c>
      <c r="DZ128" s="111">
        <f t="shared" si="66"/>
        <v>7.8199424000000004</v>
      </c>
      <c r="EP128" t="s">
        <v>285</v>
      </c>
      <c r="EQ128">
        <v>0</v>
      </c>
      <c r="ER128" s="111">
        <f t="shared" si="73"/>
        <v>10.57389</v>
      </c>
      <c r="ES128" s="111">
        <f>IF($BI$8=2015,VLOOKUP($L128,'[12]IMAGE CDLINKS CurPol'!$P$3:$Y$29,10,FALSE)*$AM128,VLOOKUP($L128,'[12]IMAGE CDLINKS CurPol'!$Z$3:$AI$29,10,FALSE)*$AP128)</f>
        <v>11.115938259880432</v>
      </c>
      <c r="ET128" s="111">
        <f t="shared" si="86"/>
        <v>11.115938259880432</v>
      </c>
      <c r="EU128" s="111">
        <f t="shared" si="76"/>
        <v>2.4067009578800653</v>
      </c>
      <c r="EV128" s="111">
        <f>IF($BI$8=2015,VLOOKUP($L128,'[12]IMAGE CDLINKS 2C'!$P$3:$Y$29,10,FALSE)*$AM128,VLOOKUP($L128,'[12]IMAGE CDLINKS 2C'!$Z$3:$AI$29,10,FALSE)*$AP128)</f>
        <v>2.4067009578800653</v>
      </c>
      <c r="EY128" s="111">
        <f t="shared" si="77"/>
        <v>1.1740954377835977</v>
      </c>
      <c r="EZ128" s="111">
        <f>IF($BI$8=2015,VLOOKUP($L128,'[12]IMAGE CDLINKS 1_5C'!$P$3:$Y$29,10,FALSE)*$AM128,VLOOKUP($L128,'[12]IMAGE CDLINKS 1_5C'!$Z$3:$AI$29,10,FALSE)*$AP128)</f>
        <v>1.1740954377835977</v>
      </c>
      <c r="FA128" s="192"/>
    </row>
    <row r="129" spans="1:157" x14ac:dyDescent="0.25">
      <c r="A129" t="str">
        <f>IF([12]NDCs!C131="","",[12]NDCs!C131)</f>
        <v>B</v>
      </c>
      <c r="B129" s="159" t="str">
        <f t="shared" si="67"/>
        <v>v</v>
      </c>
      <c r="C129">
        <v>0</v>
      </c>
      <c r="D129">
        <v>0</v>
      </c>
      <c r="E129">
        <v>0</v>
      </c>
      <c r="F129">
        <v>1</v>
      </c>
      <c r="G129" t="b">
        <f t="shared" si="68"/>
        <v>1</v>
      </c>
      <c r="H129" t="s">
        <v>2333</v>
      </c>
      <c r="I129" t="s">
        <v>287</v>
      </c>
      <c r="J129">
        <v>450</v>
      </c>
      <c r="K129">
        <v>117</v>
      </c>
      <c r="L129">
        <v>9</v>
      </c>
      <c r="M129" t="str">
        <f>IF([12]NDCs!AL131="Excluding","excl","incl")</f>
        <v>excl</v>
      </c>
      <c r="N129" s="160">
        <f>[12]GHG_hist!BA119+IF($M129="incl",[12]LULUCF_hist!CR119,0)</f>
        <v>24.320975999999998</v>
      </c>
      <c r="O129" s="111">
        <f>[12]GHG_hist!BB119+IF($M129="incl",[12]LULUCF_hist!CS119,0)</f>
        <v>24.523040000000002</v>
      </c>
      <c r="P129" s="111">
        <f>[12]GHG_hist!BC119+IF($M129="incl",[12]LULUCF_hist!CT119,0)</f>
        <v>24.762784</v>
      </c>
      <c r="Q129" s="111">
        <f>[12]GHG_hist!BD119+IF($M129="incl",[12]LULUCF_hist!CU119,0)</f>
        <v>25.101942999999999</v>
      </c>
      <c r="R129" s="111">
        <f>[12]GHG_hist!BE119+IF($M129="incl",[12]LULUCF_hist!CV119,0)</f>
        <v>25.342933000000002</v>
      </c>
      <c r="S129" s="111">
        <f>[12]GHG_hist!BF119+IF($M129="incl",[12]LULUCF_hist!CW119,0)</f>
        <v>27.112009</v>
      </c>
      <c r="T129" s="111">
        <f>[12]GHG_hist!BG119+IF($M129="incl",[12]LULUCF_hist!CX119,0)</f>
        <v>29.069376000000002</v>
      </c>
      <c r="U129" s="111">
        <f>[12]GHG_hist!BH119+IF($M129="incl",[12]LULUCF_hist!CY119,0)</f>
        <v>30.739799999999999</v>
      </c>
      <c r="V129" s="111">
        <f>[12]GHG_hist!BI119+IF($M129="incl",[12]LULUCF_hist!CZ119,0)</f>
        <v>32.48124</v>
      </c>
      <c r="W129" s="111">
        <f>[12]GHG_hist!BJ119+IF($M129="incl",[12]LULUCF_hist!DA119,0)</f>
        <v>33.070400999999997</v>
      </c>
      <c r="X129" s="111">
        <f>[12]GHG_hist!BK119+IF($M129="incl",[12]LULUCF_hist!DB119,0)</f>
        <v>32.641103999999999</v>
      </c>
      <c r="Y129" s="111">
        <f>[12]GHG_hist!BL119+IF($M129="incl",[12]LULUCF_hist!DC119,0)</f>
        <v>30.007757000000002</v>
      </c>
      <c r="Z129" s="111">
        <f>[12]GHG_hist!BM119+IF($M129="incl",[12]LULUCF_hist!DD119,0)</f>
        <v>27.938321000000002</v>
      </c>
      <c r="AA129" s="111">
        <f>[12]GHG_hist!BN119+IF($M129="incl",[12]LULUCF_hist!DE119,0)</f>
        <v>27.824258000000004</v>
      </c>
      <c r="AB129" s="111">
        <f>[12]GHG_hist!BO119+IF($M129="incl",[12]LULUCF_hist!DF119,0)</f>
        <v>26.892032</v>
      </c>
      <c r="AC129" s="111">
        <f>[12]GHG_hist!BP119+IF($M129="incl",[12]LULUCF_hist!DG119,0)</f>
        <v>28.898727999999998</v>
      </c>
      <c r="AD129" s="111">
        <f>[12]GHG_hist!BQ119+IF($M129="incl",[12]LULUCF_hist!DH119,0)</f>
        <v>30.921560000000003</v>
      </c>
      <c r="AE129" s="111">
        <f>[12]GHG_hist!BR119+IF($M129="incl",[12]LULUCF_hist!DI119,0)</f>
        <v>31.038709999999998</v>
      </c>
      <c r="AF129" s="111">
        <f>[12]GHG_hist!BS119+IF($M129="incl",[12]LULUCF_hist!DJ119,0)</f>
        <v>30.465989</v>
      </c>
      <c r="AG129" s="111">
        <f>[12]GHG_hist!BT119+IF($M129="incl",[12]LULUCF_hist!DK119,0)</f>
        <v>30.732898000000002</v>
      </c>
      <c r="AH129" s="111">
        <f>[12]GHG_hist!BU119+IF($M129="incl",[12]LULUCF_hist!DL119,0)</f>
        <v>31.284132000000003</v>
      </c>
      <c r="AI129" s="111">
        <f>[12]GHG_hist!BV119+IF($M129="incl",[12]LULUCF_hist!DM119,0)</f>
        <v>31.715903999999998</v>
      </c>
      <c r="AJ129" s="111">
        <f>[12]GHG_hist!BW119+IF($M129="incl",[12]LULUCF_hist!DN119,0)</f>
        <v>32.771767999999994</v>
      </c>
      <c r="AK129" s="111">
        <f>[12]GHG_hist!BX119+IF($M129="incl",[12]LULUCF_hist!DO119,0)</f>
        <v>32.693869999999997</v>
      </c>
      <c r="AL129" s="111">
        <f>[12]GHG_hist!BY119+IF($M129="incl",[12]LULUCF_hist!DP119,0)</f>
        <v>32.977881000000004</v>
      </c>
      <c r="AM129" s="111">
        <f>[12]GHG_hist!BZ119+IF($M129="incl",[12]LULUCF_hist!DQ119,0)</f>
        <v>33.555621000000002</v>
      </c>
      <c r="AN129" s="111">
        <f>[12]GHG_hist!CA119+IF($M129="incl",[12]LULUCF_hist!DR119,0)</f>
        <v>34.518059000000001</v>
      </c>
      <c r="AO129" s="111">
        <f>[12]GHG_hist!CB119+IF($M129="incl",[12]LULUCF_hist!DS119,0)</f>
        <v>34.334516000000001</v>
      </c>
      <c r="AP129" s="111">
        <f>[12]GHG_hist!CC119+IF($M129="incl",[12]LULUCF_hist!DT119,0)</f>
        <v>33.718512000000004</v>
      </c>
      <c r="AQ129" s="111">
        <f>[12]GHG_hist!CD119+IF($M129="incl",[12]LULUCF_hist!DU119,0)</f>
        <v>34.398180000000004</v>
      </c>
      <c r="AR129" s="111">
        <f>[12]GHG_hist!CE119+IF($M129="incl",[12]LULUCF_hist!DV119,0)</f>
        <v>34.933053000000001</v>
      </c>
      <c r="AS129" s="111">
        <f>[12]GHG_hist!CF119+IF($M129="incl",[12]LULUCF_hist!DW119,0)</f>
        <v>34.974571000000005</v>
      </c>
      <c r="AT129" s="161">
        <f>VLOOKUP($L129,'[12]IMAGE SSP2'!$AF$3:$AK$29,4,FALSE)*$AM129</f>
        <v>38.380963078810211</v>
      </c>
      <c r="AU129" s="162">
        <f>VLOOKUP($L129,'[12]IMAGE SSP2'!$AF$3:$AK$29,5,FALSE)*$AM129</f>
        <v>43.968156276575378</v>
      </c>
      <c r="AV129" s="163">
        <f>VLOOKUP($L129,'[12]IMAGE SSP2'!$AF$3:$AK$29,6,FALSE)*$AM129</f>
        <v>50.981385476455237</v>
      </c>
      <c r="AW129" s="111">
        <f>IF(A129="B",AM129+(AX129-AM129)*0.33333,"")</f>
        <v>93.77181183207</v>
      </c>
      <c r="AX129" s="164">
        <f>IF(A129="B",IF(M129="excl",[12]NatCom!CO119,[12]NatCom!AX119),"")</f>
        <v>214.20599999999999</v>
      </c>
      <c r="AY129" s="111" t="str">
        <f>IF('[12]Pledge 2020'!E119="","",'[12]Pledge 2020'!E119)</f>
        <v/>
      </c>
      <c r="AZ129" s="164" t="str">
        <f>IF('[12]Pledge 2020'!F119="","",'[12]Pledge 2020'!F119)</f>
        <v/>
      </c>
      <c r="BA129" s="111" t="str">
        <f t="shared" si="100"/>
        <v/>
      </c>
      <c r="BB129" s="111"/>
      <c r="BC129" s="198"/>
      <c r="BD129" s="198"/>
      <c r="BE129" s="198"/>
      <c r="BF129" s="198"/>
      <c r="BG129" s="198"/>
      <c r="BH129" s="219"/>
      <c r="BI129" s="111" t="str">
        <f>IF([12]NDCs!V131="",IF([12]NDCs!X131="","",[12]NDCs!X131),[12]NDCs!V131)</f>
        <v/>
      </c>
      <c r="BJ129" s="111"/>
      <c r="BK129" s="198"/>
      <c r="BL129" s="111"/>
      <c r="BM129" s="111">
        <f>IF($BI$8=2015,VLOOKUP($L129,'[12]IMAGE CurPol SSP'!$AZ$3:$BD$29,4,FALSE)*$AM129,IF($BI$8=2018,VLOOKUP($L129,'[12]IMAGE CurPol SSP'!$BJ$3:$BN$29,4,FALSE)*$AP129,$AR129))</f>
        <v>34.933053000000001</v>
      </c>
      <c r="BN129" s="111">
        <f t="shared" si="92"/>
        <v>34.933053000000001</v>
      </c>
      <c r="BO129" s="111">
        <f t="shared" si="92"/>
        <v>34.933053000000001</v>
      </c>
      <c r="BP129" s="111">
        <f>IF($BI$8=2015,VLOOKUP($L129,'[12]IMAGE CurPol SSP'!$AZ$3:$BD$29,5,FALSE)*$AM129,IF($BI$8=2018,VLOOKUP($L129,'[12]IMAGE CurPol SSP'!$BJ$3:$BN$29,5,FALSE)*$AP129,VLOOKUP($L129,'[12]IMAGE CurPol SSP'!$BU$3:$BZ$29,5,FALSE)*$AS129))</f>
        <v>43.687270486813674</v>
      </c>
      <c r="BQ129" s="111">
        <f>IF($BI$8=2015,"",IF($BI$8=2018,"",VLOOKUP($L129,'[12]IMAGE CurPol SSP'!$CQ$3:$CV$29,5,FALSE)*$AS129))</f>
        <v>43.378994816759509</v>
      </c>
      <c r="BR129" s="111">
        <f>IF($BI$8=2015,"",IF($BI$8=2018,"",VLOOKUP($L129,'[12]IMAGE CurPol SSP'!$CF$3:$CK$29,5,FALSE)*$AS129))</f>
        <v>44.331560457635717</v>
      </c>
      <c r="BS129" s="111">
        <f>IF($BI$8=2015,VLOOKUP($L129,'[12]IMAGE CurPol SSP'!$AZ$3:$BE$29,6,FALSE)*$AM129,IF($BI$8=2018,VLOOKUP($L129,'[12]IMAGE CurPol SSP'!$BJ$3:$BO$29,6,FALSE)*$AP129,VLOOKUP($L129,'[12]IMAGE CurPol SSP'!$BU$3:$BZ$29,6,FALSE)*$AS129))</f>
        <v>55.046343089362374</v>
      </c>
      <c r="BT129" s="111">
        <f>IF($BI$8=2015,"",IF($BI$8=2018,"",VLOOKUP($L129,'[12]IMAGE CurPol SSP'!$CQ$3:$CV$29,6,FALSE)*$AS129))</f>
        <v>54.27417542156644</v>
      </c>
      <c r="BU129" s="164">
        <f>IF($BI$8=2015,"",IF($BI$8=2018,"",VLOOKUP($L129,'[12]IMAGE CurPol SSP'!$CF$3:$CK$29,6,FALSE)*$AS129))</f>
        <v>56.620431660188224</v>
      </c>
      <c r="CN129" t="s">
        <v>287</v>
      </c>
      <c r="CO129" s="165" t="str">
        <f t="shared" si="69"/>
        <v/>
      </c>
      <c r="CP129" s="165" t="str">
        <f t="shared" si="69"/>
        <v/>
      </c>
      <c r="CQ129" s="165" t="str">
        <f t="shared" si="69"/>
        <v/>
      </c>
      <c r="CR129" s="165" t="str">
        <f t="shared" si="65"/>
        <v/>
      </c>
      <c r="CS129" s="159"/>
      <c r="CU129" s="159"/>
      <c r="CV129" s="125" t="s">
        <v>621</v>
      </c>
      <c r="CW129" s="125" t="s">
        <v>621</v>
      </c>
      <c r="CX129" s="159"/>
      <c r="CY129" s="167">
        <f t="shared" si="70"/>
        <v>3.4479100788102102</v>
      </c>
      <c r="CZ129" s="159"/>
      <c r="DB129" s="106"/>
      <c r="DC129" s="106"/>
      <c r="DD129" s="106"/>
      <c r="DE129" s="106"/>
      <c r="DF129" s="106"/>
      <c r="DG129" s="105" t="str">
        <f t="shared" si="71"/>
        <v>excl</v>
      </c>
      <c r="DH129" t="s">
        <v>287</v>
      </c>
      <c r="DI129" s="111">
        <f t="shared" si="93"/>
        <v>0</v>
      </c>
      <c r="DJ129" s="111">
        <f t="shared" si="93"/>
        <v>0</v>
      </c>
      <c r="DK129" s="111">
        <f t="shared" si="94"/>
        <v>0</v>
      </c>
      <c r="DL129" s="111">
        <f t="shared" si="95"/>
        <v>0</v>
      </c>
      <c r="DM129" s="111">
        <f t="shared" si="96"/>
        <v>0</v>
      </c>
      <c r="DN129" s="111">
        <f t="shared" si="97"/>
        <v>0</v>
      </c>
      <c r="DO129" s="111">
        <f t="shared" si="98"/>
        <v>0</v>
      </c>
      <c r="DP129" s="111">
        <f t="shared" si="99"/>
        <v>0</v>
      </c>
      <c r="DQ129" s="106"/>
      <c r="DR129" s="106"/>
      <c r="DS129" s="111"/>
      <c r="DT129" s="168"/>
      <c r="DW129" s="111">
        <f t="shared" si="72"/>
        <v>55.046343089362374</v>
      </c>
      <c r="DX129" s="111">
        <f t="shared" si="72"/>
        <v>55.046343089362374</v>
      </c>
      <c r="DY129" s="111">
        <f t="shared" si="72"/>
        <v>55.046343089362374</v>
      </c>
      <c r="DZ129" s="111">
        <f t="shared" si="66"/>
        <v>55.046343089362374</v>
      </c>
      <c r="EP129" t="s">
        <v>287</v>
      </c>
      <c r="EQ129">
        <v>-1</v>
      </c>
      <c r="ER129" s="111">
        <f t="shared" si="73"/>
        <v>33.718512000000004</v>
      </c>
      <c r="ES129" s="111">
        <f>IF($BI$8=2015,VLOOKUP($L129,'[12]IMAGE CDLINKS CurPol'!$P$3:$Y$29,10,FALSE)*$AM129,VLOOKUP($L129,'[12]IMAGE CDLINKS CurPol'!$Z$3:$AI$29,10,FALSE)*$AP129)</f>
        <v>73.518598054661524</v>
      </c>
      <c r="ET129" s="111">
        <f t="shared" si="86"/>
        <v>73.518598054661524</v>
      </c>
      <c r="EU129" s="111">
        <f t="shared" si="76"/>
        <v>39.512857759293944</v>
      </c>
      <c r="EV129" s="111">
        <f>IF($BI$8=2015,VLOOKUP($L129,'[12]IMAGE CDLINKS 2C'!$P$3:$Y$29,10,FALSE)*$AM129,VLOOKUP($L129,'[12]IMAGE CDLINKS 2C'!$Z$3:$AI$29,10,FALSE)*$AP129)</f>
        <v>39.512857759293944</v>
      </c>
      <c r="EX129" s="111"/>
      <c r="EY129" s="111">
        <f t="shared" si="77"/>
        <v>36.101835558718619</v>
      </c>
      <c r="EZ129" s="111">
        <f>IF($BI$8=2015,VLOOKUP($L129,'[12]IMAGE CDLINKS 1_5C'!$P$3:$Y$29,10,FALSE)*$AM129,VLOOKUP($L129,'[12]IMAGE CDLINKS 1_5C'!$Z$3:$AI$29,10,FALSE)*$AP129)</f>
        <v>36.101835558718619</v>
      </c>
      <c r="FA129" s="192">
        <v>2050</v>
      </c>
    </row>
    <row r="130" spans="1:157" x14ac:dyDescent="0.25">
      <c r="A130" t="str">
        <f>IF([12]NDCs!C132="","",[12]NDCs!C132)</f>
        <v>G</v>
      </c>
      <c r="B130" s="159" t="str">
        <f t="shared" si="67"/>
        <v>v</v>
      </c>
      <c r="C130">
        <v>0</v>
      </c>
      <c r="D130">
        <v>0</v>
      </c>
      <c r="E130">
        <v>0</v>
      </c>
      <c r="F130">
        <v>1</v>
      </c>
      <c r="G130" t="b">
        <f t="shared" si="68"/>
        <v>0</v>
      </c>
      <c r="H130" t="s">
        <v>2333</v>
      </c>
      <c r="I130" t="s">
        <v>289</v>
      </c>
      <c r="J130">
        <v>454</v>
      </c>
      <c r="K130">
        <v>118</v>
      </c>
      <c r="L130">
        <v>26</v>
      </c>
      <c r="M130" t="str">
        <f>IF([12]NDCs!AL132="Excluding","excl","incl")</f>
        <v>excl</v>
      </c>
      <c r="N130" s="160">
        <f>[12]GHG_hist!BA120+IF($M130="incl",[12]LULUCF_hist!CR120,0)</f>
        <v>5.3771841999999994</v>
      </c>
      <c r="O130" s="111">
        <f>[12]GHG_hist!BB120+IF($M130="incl",[12]LULUCF_hist!CS120,0)</f>
        <v>5.5789187</v>
      </c>
      <c r="P130" s="111">
        <f>[12]GHG_hist!BC120+IF($M130="incl",[12]LULUCF_hist!CT120,0)</f>
        <v>5.6127091</v>
      </c>
      <c r="Q130" s="111">
        <f>[12]GHG_hist!BD120+IF($M130="incl",[12]LULUCF_hist!CU120,0)</f>
        <v>5.7166160000000001</v>
      </c>
      <c r="R130" s="111">
        <f>[12]GHG_hist!BE120+IF($M130="incl",[12]LULUCF_hist!CV120,0)</f>
        <v>5.3407976000000001</v>
      </c>
      <c r="S130" s="111">
        <f>[12]GHG_hist!BF120+IF($M130="incl",[12]LULUCF_hist!CW120,0)</f>
        <v>5.5539795999999999</v>
      </c>
      <c r="T130" s="111">
        <f>[12]GHG_hist!BG120+IF($M130="incl",[12]LULUCF_hist!CX120,0)</f>
        <v>5.7470463000000001</v>
      </c>
      <c r="U130" s="111">
        <f>[12]GHG_hist!BH120+IF($M130="incl",[12]LULUCF_hist!CY120,0)</f>
        <v>5.7933952</v>
      </c>
      <c r="V130" s="111">
        <f>[12]GHG_hist!BI120+IF($M130="incl",[12]LULUCF_hist!CZ120,0)</f>
        <v>6.0213602000000002</v>
      </c>
      <c r="W130" s="111">
        <f>[12]GHG_hist!BJ120+IF($M130="incl",[12]LULUCF_hist!DA120,0)</f>
        <v>6.0793534000000005</v>
      </c>
      <c r="X130" s="111">
        <f>[12]GHG_hist!BK120+IF($M130="incl",[12]LULUCF_hist!DB120,0)</f>
        <v>6.3005561999999999</v>
      </c>
      <c r="Y130" s="111">
        <f>[12]GHG_hist!BL120+IF($M130="incl",[12]LULUCF_hist!DC120,0)</f>
        <v>6.0863997000000003</v>
      </c>
      <c r="Z130" s="111">
        <f>[12]GHG_hist!BM120+IF($M130="incl",[12]LULUCF_hist!DD120,0)</f>
        <v>6.6251871000000007</v>
      </c>
      <c r="AA130" s="111">
        <f>[12]GHG_hist!BN120+IF($M130="incl",[12]LULUCF_hist!DE120,0)</f>
        <v>6.9583683000000001</v>
      </c>
      <c r="AB130" s="111">
        <f>[12]GHG_hist!BO120+IF($M130="incl",[12]LULUCF_hist!DF120,0)</f>
        <v>7.0120217</v>
      </c>
      <c r="AC130" s="111">
        <f>[12]GHG_hist!BP120+IF($M130="incl",[12]LULUCF_hist!DG120,0)</f>
        <v>7.1868480000000003</v>
      </c>
      <c r="AD130" s="111">
        <f>[12]GHG_hist!BQ120+IF($M130="incl",[12]LULUCF_hist!DH120,0)</f>
        <v>7.4929949999999996</v>
      </c>
      <c r="AE130" s="111">
        <f>[12]GHG_hist!BR120+IF($M130="incl",[12]LULUCF_hist!DI120,0)</f>
        <v>7.9516172999999997</v>
      </c>
      <c r="AF130" s="111">
        <f>[12]GHG_hist!BS120+IF($M130="incl",[12]LULUCF_hist!DJ120,0)</f>
        <v>8.5332644000000002</v>
      </c>
      <c r="AG130" s="111">
        <f>[12]GHG_hist!BT120+IF($M130="incl",[12]LULUCF_hist!DK120,0)</f>
        <v>8.6730460000000011</v>
      </c>
      <c r="AH130" s="111">
        <f>[12]GHG_hist!BU120+IF($M130="incl",[12]LULUCF_hist!DL120,0)</f>
        <v>9.3499469000000008</v>
      </c>
      <c r="AI130" s="111">
        <f>[12]GHG_hist!BV120+IF($M130="incl",[12]LULUCF_hist!DM120,0)</f>
        <v>9.7074917999999997</v>
      </c>
      <c r="AJ130" s="111">
        <f>[12]GHG_hist!BW120+IF($M130="incl",[12]LULUCF_hist!DN120,0)</f>
        <v>10.038053</v>
      </c>
      <c r="AK130" s="111">
        <f>[12]GHG_hist!BX120+IF($M130="incl",[12]LULUCF_hist!DO120,0)</f>
        <v>10.414491</v>
      </c>
      <c r="AL130" s="111">
        <f>[12]GHG_hist!BY120+IF($M130="incl",[12]LULUCF_hist!DP120,0)</f>
        <v>10.976806</v>
      </c>
      <c r="AM130" s="111">
        <f>[12]GHG_hist!BZ120+IF($M130="incl",[12]LULUCF_hist!DQ120,0)</f>
        <v>11.450616</v>
      </c>
      <c r="AN130" s="111">
        <f>[12]GHG_hist!CA120+IF($M130="incl",[12]LULUCF_hist!DR120,0)</f>
        <v>11.77735</v>
      </c>
      <c r="AO130" s="111">
        <f>[12]GHG_hist!CB120+IF($M130="incl",[12]LULUCF_hist!DS120,0)</f>
        <v>12.543495999999999</v>
      </c>
      <c r="AP130" s="111">
        <f>[12]GHG_hist!CC120+IF($M130="incl",[12]LULUCF_hist!DT120,0)</f>
        <v>13.865635000000001</v>
      </c>
      <c r="AQ130" s="111">
        <f>[12]GHG_hist!CD120+IF($M130="incl",[12]LULUCF_hist!DU120,0)</f>
        <v>15.132531999999999</v>
      </c>
      <c r="AR130" s="111">
        <f>[12]GHG_hist!CE120+IF($M130="incl",[12]LULUCF_hist!DV120,0)</f>
        <v>15.440297000000001</v>
      </c>
      <c r="AS130" s="111">
        <f>[12]GHG_hist!CF120+IF($M130="incl",[12]LULUCF_hist!DW120,0)</f>
        <v>16.402851999999999</v>
      </c>
      <c r="AT130" s="161">
        <f>VLOOKUP($L130,'[12]IMAGE SSP2'!$AF$3:$AK$29,4,FALSE)*$AM130</f>
        <v>12.717529820746162</v>
      </c>
      <c r="AU130" s="162">
        <f>VLOOKUP($L130,'[12]IMAGE SSP2'!$AF$3:$AK$29,5,FALSE)*$AM130</f>
        <v>13.420021283796908</v>
      </c>
      <c r="AV130" s="163">
        <f>VLOOKUP($L130,'[12]IMAGE SSP2'!$AF$3:$AK$29,6,FALSE)*$AM130</f>
        <v>15.70857594553541</v>
      </c>
      <c r="AW130" s="111" t="str">
        <f t="shared" si="75"/>
        <v/>
      </c>
      <c r="AX130" s="164" t="str">
        <f>IF(A130="B",IF(M130="excl",[12]NatCom!CO120,[12]NatCom!AX120),"")</f>
        <v/>
      </c>
      <c r="AY130" s="111" t="str">
        <f>IF('[12]Pledge 2020'!E120="","",'[12]Pledge 2020'!E120)</f>
        <v/>
      </c>
      <c r="AZ130" s="164" t="str">
        <f>IF('[12]Pledge 2020'!F120="","",'[12]Pledge 2020'!F120)</f>
        <v/>
      </c>
      <c r="BA130" s="111" t="str">
        <f t="shared" si="100"/>
        <v/>
      </c>
      <c r="BB130" s="111"/>
      <c r="BC130" s="111" t="str">
        <f t="shared" si="101"/>
        <v/>
      </c>
      <c r="BD130" s="111"/>
      <c r="BE130" s="111" t="s">
        <v>2477</v>
      </c>
      <c r="BF130" s="111" t="s">
        <v>2477</v>
      </c>
      <c r="BG130" s="111" t="s">
        <v>2477</v>
      </c>
      <c r="BH130" s="164" t="s">
        <v>2477</v>
      </c>
      <c r="BI130" s="111" t="str">
        <f>IF([12]NDCs!V132="",IF([12]NDCs!X132="","",[12]NDCs!X132),[12]NDCs!V132)</f>
        <v/>
      </c>
      <c r="BJ130" s="111" t="str">
        <f>IF([12]NDCs!V132="",IF([12]NDCs!X132="","",[12]NDCs!X132),[12]NDCs!V132)</f>
        <v/>
      </c>
      <c r="BK130" s="111" t="str">
        <f>IF([12]NDCs!Z132="",IF([12]NDCs!AB132="",IF('input site'!BE130="","",'input site'!BE130),[12]NDCs!AB132),[12]NDCs!Z132)</f>
        <v/>
      </c>
      <c r="BL130" s="111" t="str">
        <f>IF([12]NDCs!AA132="",IF([12]NDCs!AC132="",IF('input site'!BF130="","",'input site'!BF130),[12]NDCs!AC132),[12]NDCs!AA132)</f>
        <v/>
      </c>
      <c r="BM130" s="111">
        <f>IF($BI$8=2015,VLOOKUP($L130,'[12]IMAGE CurPol SSP'!$AZ$3:$BD$29,4,FALSE)*$AM130,IF($BI$8=2018,VLOOKUP($L130,'[12]IMAGE CurPol SSP'!$BJ$3:$BN$29,4,FALSE)*$AP130,$AR130))</f>
        <v>15.440297000000001</v>
      </c>
      <c r="BN130" s="111">
        <f t="shared" si="92"/>
        <v>15.440297000000001</v>
      </c>
      <c r="BO130" s="111">
        <f t="shared" si="92"/>
        <v>15.440297000000001</v>
      </c>
      <c r="BP130" s="111">
        <f>IF($BI$8=2015,VLOOKUP($L130,'[12]IMAGE CurPol SSP'!$AZ$3:$BD$29,5,FALSE)*$AM130,IF($BI$8=2018,VLOOKUP($L130,'[12]IMAGE CurPol SSP'!$BJ$3:$BN$29,5,FALSE)*$AP130,VLOOKUP($L130,'[12]IMAGE CurPol SSP'!$BU$3:$BZ$29,5,FALSE)*$AS130))</f>
        <v>17.548299897326402</v>
      </c>
      <c r="BQ130" s="111">
        <f>IF($BI$8=2015,"",IF($BI$8=2018,"",VLOOKUP($L130,'[12]IMAGE CurPol SSP'!$CQ$3:$CV$29,5,FALSE)*$AS130))</f>
        <v>17.548299897326402</v>
      </c>
      <c r="BR130" s="111">
        <f>IF($BI$8=2015,"",IF($BI$8=2018,"",VLOOKUP($L130,'[12]IMAGE CurPol SSP'!$CF$3:$CK$29,5,FALSE)*$AS130))</f>
        <v>18.065662368026612</v>
      </c>
      <c r="BS130" s="111">
        <f>IF($BI$8=2015,VLOOKUP($L130,'[12]IMAGE CurPol SSP'!$AZ$3:$BE$29,6,FALSE)*$AM130,IF($BI$8=2018,VLOOKUP($L130,'[12]IMAGE CurPol SSP'!$BJ$3:$BO$29,6,FALSE)*$AP130,VLOOKUP($L130,'[12]IMAGE CurPol SSP'!$BU$3:$BZ$29,6,FALSE)*$AS130))</f>
        <v>19.962912186005475</v>
      </c>
      <c r="BT130" s="111">
        <f>IF($BI$8=2015,"",IF($BI$8=2018,"",VLOOKUP($L130,'[12]IMAGE CurPol SSP'!$CQ$3:$CV$29,6,FALSE)*$AS130))</f>
        <v>19.962912186005475</v>
      </c>
      <c r="BU130" s="164">
        <f>IF($BI$8=2015,"",IF($BI$8=2018,"",VLOOKUP($L130,'[12]IMAGE CurPol SSP'!$CF$3:$CK$29,6,FALSE)*$AS130))</f>
        <v>20.766659564069439</v>
      </c>
      <c r="CN130" t="s">
        <v>289</v>
      </c>
      <c r="CO130" s="165" t="str">
        <f t="shared" si="69"/>
        <v/>
      </c>
      <c r="CP130" s="165" t="str">
        <f t="shared" si="69"/>
        <v/>
      </c>
      <c r="CQ130" s="165" t="str">
        <f t="shared" si="69"/>
        <v/>
      </c>
      <c r="CR130" s="165" t="str">
        <f t="shared" si="65"/>
        <v/>
      </c>
      <c r="CV130" s="125" t="s">
        <v>621</v>
      </c>
      <c r="CW130" s="125" t="s">
        <v>621</v>
      </c>
      <c r="CX130"/>
      <c r="CY130" s="167">
        <f t="shared" si="70"/>
        <v>-2.7227671792538395</v>
      </c>
      <c r="DB130" s="106"/>
      <c r="DC130" s="106"/>
      <c r="DD130" s="106"/>
      <c r="DE130" s="106"/>
      <c r="DF130" s="106"/>
      <c r="DG130" s="105" t="str">
        <f t="shared" si="71"/>
        <v>excl</v>
      </c>
      <c r="DH130" t="s">
        <v>289</v>
      </c>
      <c r="DI130" s="111">
        <f t="shared" si="93"/>
        <v>0</v>
      </c>
      <c r="DJ130" s="111">
        <f t="shared" si="93"/>
        <v>0</v>
      </c>
      <c r="DK130" s="111">
        <f t="shared" si="94"/>
        <v>0</v>
      </c>
      <c r="DL130" s="111">
        <f t="shared" si="95"/>
        <v>0</v>
      </c>
      <c r="DM130" s="111">
        <f t="shared" si="96"/>
        <v>0</v>
      </c>
      <c r="DN130" s="111">
        <f t="shared" si="97"/>
        <v>0</v>
      </c>
      <c r="DO130" s="111">
        <f t="shared" si="98"/>
        <v>0</v>
      </c>
      <c r="DP130" s="111">
        <f t="shared" si="99"/>
        <v>0</v>
      </c>
      <c r="DQ130" s="106"/>
      <c r="DR130" s="106"/>
      <c r="DS130" s="111"/>
      <c r="DT130" s="168"/>
      <c r="DW130" s="111">
        <f t="shared" si="72"/>
        <v>19.962912186005475</v>
      </c>
      <c r="DX130" s="111">
        <f t="shared" si="72"/>
        <v>19.962912186005475</v>
      </c>
      <c r="DY130" s="111">
        <f t="shared" si="72"/>
        <v>19.962912186005475</v>
      </c>
      <c r="DZ130" s="111">
        <f t="shared" si="66"/>
        <v>19.962912186005475</v>
      </c>
      <c r="EP130" t="s">
        <v>289</v>
      </c>
      <c r="EQ130">
        <v>4</v>
      </c>
      <c r="ER130" s="111">
        <f t="shared" si="73"/>
        <v>13.865635000000001</v>
      </c>
      <c r="ES130" s="111">
        <f>IF($BI$8=2015,VLOOKUP($L130,'[12]IMAGE CDLINKS CurPol'!$P$3:$Y$29,10,FALSE)*$AM130,VLOOKUP($L130,'[12]IMAGE CDLINKS CurPol'!$Z$3:$AI$29,10,FALSE)*$AP130)</f>
        <v>28.120431746996459</v>
      </c>
      <c r="ET130" s="111">
        <f t="shared" si="86"/>
        <v>0</v>
      </c>
      <c r="EU130" s="111">
        <f t="shared" si="76"/>
        <v>0</v>
      </c>
      <c r="EV130" s="111">
        <f>IF($BI$8=2015,VLOOKUP($L130,'[12]IMAGE CDLINKS 2C'!$P$3:$Y$29,10,FALSE)*$AM130,VLOOKUP($L130,'[12]IMAGE CDLINKS 2C'!$Z$3:$AI$29,10,FALSE)*$AP130)</f>
        <v>9.8580996761176785</v>
      </c>
      <c r="EX130" s="111"/>
      <c r="EY130" s="111">
        <f t="shared" si="77"/>
        <v>0</v>
      </c>
      <c r="EZ130" s="111">
        <f>IF($BI$8=2015,VLOOKUP($L130,'[12]IMAGE CDLINKS 1_5C'!$P$3:$Y$29,10,FALSE)*$AM130,VLOOKUP($L130,'[12]IMAGE CDLINKS 1_5C'!$Z$3:$AI$29,10,FALSE)*$AP130)</f>
        <v>9.1925756350647205</v>
      </c>
      <c r="FA130" s="192">
        <v>2050</v>
      </c>
    </row>
    <row r="131" spans="1:157" x14ac:dyDescent="0.25">
      <c r="A131" t="str">
        <f>IF([12]NDCs!C133="","",[12]NDCs!C133)</f>
        <v>D</v>
      </c>
      <c r="B131" s="159" t="str">
        <f t="shared" si="67"/>
        <v>v</v>
      </c>
      <c r="C131">
        <v>0</v>
      </c>
      <c r="D131">
        <v>0</v>
      </c>
      <c r="E131">
        <v>0</v>
      </c>
      <c r="F131">
        <v>1</v>
      </c>
      <c r="G131" t="b">
        <f t="shared" si="68"/>
        <v>1</v>
      </c>
      <c r="H131" t="s">
        <v>2328</v>
      </c>
      <c r="I131" t="s">
        <v>291</v>
      </c>
      <c r="J131">
        <v>458</v>
      </c>
      <c r="K131">
        <v>119</v>
      </c>
      <c r="L131">
        <v>21</v>
      </c>
      <c r="M131" t="str">
        <f>IF([12]NDCs!AL133="Excluding","excl","incl")</f>
        <v>incl</v>
      </c>
      <c r="N131" s="160">
        <f>[12]GHG_hist!BA121+IF($M131="incl",[12]LULUCF_hist!CR121,0)</f>
        <v>-6.3559470000000005</v>
      </c>
      <c r="O131" s="111">
        <f>[12]GHG_hist!BB121+IF($M131="incl",[12]LULUCF_hist!CS121,0)</f>
        <v>-87.613820000000004</v>
      </c>
      <c r="P131" s="111">
        <f>[12]GHG_hist!BC121+IF($M131="incl",[12]LULUCF_hist!CT121,0)</f>
        <v>-57.786420000000007</v>
      </c>
      <c r="Q131" s="111">
        <f>[12]GHG_hist!BD121+IF($M131="incl",[12]LULUCF_hist!CU121,0)</f>
        <v>-92.659119999999973</v>
      </c>
      <c r="R131" s="111">
        <f>[12]GHG_hist!BE121+IF($M131="incl",[12]LULUCF_hist!CV121,0)</f>
        <v>-68.611090000000019</v>
      </c>
      <c r="S131" s="111">
        <f>[12]GHG_hist!BF121+IF($M131="incl",[12]LULUCF_hist!CW121,0)</f>
        <v>-76.224659999999986</v>
      </c>
      <c r="T131" s="111">
        <f>[12]GHG_hist!BG121+IF($M131="incl",[12]LULUCF_hist!CX121,0)</f>
        <v>-66.282790000000006</v>
      </c>
      <c r="U131" s="111">
        <f>[12]GHG_hist!BH121+IF($M131="incl",[12]LULUCF_hist!CY121,0)</f>
        <v>-59.351969999999994</v>
      </c>
      <c r="V131" s="111">
        <f>[12]GHG_hist!BI121+IF($M131="incl",[12]LULUCF_hist!CZ121,0)</f>
        <v>-63.991950000000031</v>
      </c>
      <c r="W131" s="111">
        <f>[12]GHG_hist!BJ121+IF($M131="incl",[12]LULUCF_hist!DA121,0)</f>
        <v>-69.619820000000004</v>
      </c>
      <c r="X131" s="111">
        <f>[12]GHG_hist!BK121+IF($M131="incl",[12]LULUCF_hist!DB121,0)</f>
        <v>15.275610000000029</v>
      </c>
      <c r="Y131" s="111">
        <f>[12]GHG_hist!BL121+IF($M131="incl",[12]LULUCF_hist!DC121,0)</f>
        <v>-19.067030000000017</v>
      </c>
      <c r="Z131" s="111">
        <f>[12]GHG_hist!BM121+IF($M131="incl",[12]LULUCF_hist!DD121,0)</f>
        <v>-37.705559999999991</v>
      </c>
      <c r="AA131" s="111">
        <f>[12]GHG_hist!BN121+IF($M131="incl",[12]LULUCF_hist!DE121,0)</f>
        <v>-23.662649999999985</v>
      </c>
      <c r="AB131" s="111">
        <f>[12]GHG_hist!BO121+IF($M131="incl",[12]LULUCF_hist!DF121,0)</f>
        <v>9.7183899999999994</v>
      </c>
      <c r="AC131" s="111">
        <f>[12]GHG_hist!BP121+IF($M131="incl",[12]LULUCF_hist!DG121,0)</f>
        <v>53.766639999999995</v>
      </c>
      <c r="AD131" s="111">
        <f>[12]GHG_hist!BQ121+IF($M131="incl",[12]LULUCF_hist!DH121,0)</f>
        <v>16.793550000000039</v>
      </c>
      <c r="AE131" s="111">
        <f>[12]GHG_hist!BR121+IF($M131="incl",[12]LULUCF_hist!DI121,0)</f>
        <v>61.327240000000018</v>
      </c>
      <c r="AF131" s="111">
        <f>[12]GHG_hist!BS121+IF($M131="incl",[12]LULUCF_hist!DJ121,0)</f>
        <v>51.789390000000054</v>
      </c>
      <c r="AG131" s="111">
        <f>[12]GHG_hist!BT121+IF($M131="incl",[12]LULUCF_hist!DK121,0)</f>
        <v>28.056099999999986</v>
      </c>
      <c r="AH131" s="111">
        <f>[12]GHG_hist!BU121+IF($M131="incl",[12]LULUCF_hist!DL121,0)</f>
        <v>47.974529999999987</v>
      </c>
      <c r="AI131" s="111">
        <f>[12]GHG_hist!BV121+IF($M131="incl",[12]LULUCF_hist!DM121,0)</f>
        <v>44.299800000000033</v>
      </c>
      <c r="AJ131" s="111">
        <f>[12]GHG_hist!BW121+IF($M131="incl",[12]LULUCF_hist!DN121,0)</f>
        <v>58.446049999999985</v>
      </c>
      <c r="AK131" s="111">
        <f>[12]GHG_hist!BX121+IF($M131="incl",[12]LULUCF_hist!DO121,0)</f>
        <v>61.847479999999962</v>
      </c>
      <c r="AL131" s="111">
        <f>[12]GHG_hist!BY121+IF($M131="incl",[12]LULUCF_hist!DP121,0)</f>
        <v>65.885379999999998</v>
      </c>
      <c r="AM131" s="111">
        <f>[12]GHG_hist!BZ121+IF($M131="incl",[12]LULUCF_hist!DQ121,0)</f>
        <v>75.511989999999997</v>
      </c>
      <c r="AN131" s="111">
        <f>[12]GHG_hist!CA121+IF($M131="incl",[12]LULUCF_hist!DR121,0)</f>
        <v>99.787080000000003</v>
      </c>
      <c r="AO131" s="111">
        <f>[12]GHG_hist!CB121+IF($M131="incl",[12]LULUCF_hist!DS121,0)</f>
        <v>74.195059999999955</v>
      </c>
      <c r="AP131" s="111">
        <f>[12]GHG_hist!CC121+IF($M131="incl",[12]LULUCF_hist!DT121,0)</f>
        <v>80.652680000000032</v>
      </c>
      <c r="AQ131" s="111">
        <f>[12]GHG_hist!CD121+IF($M131="incl",[12]LULUCF_hist!DU121,0)</f>
        <v>116.70996000000002</v>
      </c>
      <c r="AR131" s="111">
        <f>[12]GHG_hist!CE121+IF($M131="incl",[12]LULUCF_hist!DV121,0)</f>
        <v>72.589340712643548</v>
      </c>
      <c r="AS131" s="111">
        <f>[12]GHG_hist!CF121+IF($M131="incl",[12]LULUCF_hist!DW121,0)</f>
        <v>76.377223769373757</v>
      </c>
      <c r="AT131" s="171">
        <f>VLOOKUP($L131,'[12]IMAGE SSP2'!$AF$3:$AK$29,4,FALSE)*($AM131-'[12]IIASA Proj'!$EQ121)+('[12]IIASA Proj'!$EQ121+'[12]IIASA Proj'!$ER121)</f>
        <v>205.50836089373496</v>
      </c>
      <c r="AU131" s="172">
        <f>VLOOKUP($L131,'[12]IMAGE SSP2'!$AF$3:$AK$29,5,FALSE)*($AM131-'[12]IIASA Proj'!$EQ121)+('[12]IIASA Proj'!$EQ121+'[12]IIASA Proj'!$ES121)</f>
        <v>240.25097426776216</v>
      </c>
      <c r="AV131" s="173">
        <f>VLOOKUP($L131,'[12]IMAGE SSP2'!$AF$3:$AK$29,6,FALSE)*($AM131-'[12]IIASA Proj'!$EQ121)+('[12]IIASA Proj'!$EQ121+'[12]IIASA Proj'!$ET121)</f>
        <v>368.62462990882744</v>
      </c>
      <c r="AW131" s="111" t="str">
        <f t="shared" si="75"/>
        <v/>
      </c>
      <c r="AX131" s="164" t="str">
        <f>IF(A131="B",IF(M131="excl",[12]NatCom!CO121,[12]NatCom!AX121),"")</f>
        <v/>
      </c>
      <c r="AY131" s="111" t="str">
        <f>IF('[12]Pledge 2020'!E121="","",'[12]Pledge 2020'!E121)</f>
        <v/>
      </c>
      <c r="AZ131" s="164" t="str">
        <f>IF('[12]Pledge 2020'!F121="","",'[12]Pledge 2020'!F121)</f>
        <v/>
      </c>
      <c r="BA131" s="111">
        <f t="shared" si="100"/>
        <v>455.26401110813617</v>
      </c>
      <c r="BB131" s="111">
        <f>IF(BF131="","",(BF131-AH131)*0.75+AH131)</f>
        <v>455.26401110813617</v>
      </c>
      <c r="BC131" s="111">
        <f t="shared" si="101"/>
        <v>387.06856824534611</v>
      </c>
      <c r="BD131" s="111">
        <f>IF(BH131="","",(BH131-AH131)*0.75+AH131)</f>
        <v>387.06856824534611</v>
      </c>
      <c r="BE131" s="111">
        <v>591.02717147751491</v>
      </c>
      <c r="BF131" s="111">
        <v>591.02717147751491</v>
      </c>
      <c r="BG131" s="111">
        <v>500.09991432712815</v>
      </c>
      <c r="BH131" s="164">
        <v>500.09991432712815</v>
      </c>
      <c r="BI131" s="111">
        <f>IF([12]NDCs!V133="",IF([12]NDCs!X133="","",[12]NDCs!X133),[12]NDCs!V133)</f>
        <v>591.02717147751491</v>
      </c>
      <c r="BJ131" s="111">
        <f>IF([12]NDCs!V133="",IF([12]NDCs!X133="","",[12]NDCs!X133),[12]NDCs!V133)</f>
        <v>591.02717147751491</v>
      </c>
      <c r="BK131" s="111">
        <f>IF([12]NDCs!Z133="",IF([12]NDCs!AB133="",IF('input site'!BE131="","",'input site'!BE131),[12]NDCs!AB133),[12]NDCs!Z133)</f>
        <v>500.09991432712815</v>
      </c>
      <c r="BL131" s="111">
        <f>IF([12]NDCs!AA133="",IF([12]NDCs!AC133="",IF('input site'!BF131="","",'input site'!BF131),[12]NDCs!AC133),[12]NDCs!AA133)</f>
        <v>500.09991432712815</v>
      </c>
      <c r="BM131" s="174">
        <f>IF($BI$8=2015,VLOOKUP($L131,'[12]IMAGE CurPol SSP'!$AZ$3:$BD$29,4,FALSE)*($AM131-'[12]IIASA Proj'!$EQ121)+('[12]IIASA Proj'!$EQ121+'[12]IIASA Proj'!$ER121),AR131)</f>
        <v>72.589340712643548</v>
      </c>
      <c r="BN131" s="175">
        <f t="shared" si="92"/>
        <v>72.589340712643548</v>
      </c>
      <c r="BO131" s="175">
        <f t="shared" si="92"/>
        <v>72.589340712643548</v>
      </c>
      <c r="BP131" s="174">
        <f>IF($BI$8=2015,VLOOKUP($L131,'[12]IMAGE CurPol SSP'!$AZ$3:$BD$29,5,FALSE)*($AM131-'[12]IIASA Proj'!$EQ121)+('[12]IIASA Proj'!$EQ121+'[12]IIASA Proj'!$ES121),VLOOKUP($L131,'[12]IMAGE CurPol SSP'!$BU$3:$BZ$29,5,FALSE)*($AS131-'[12]IIASA Proj'!$DV121)+('[12]IIASA Proj'!$EA121))</f>
        <v>52.241422958004478</v>
      </c>
      <c r="BQ131" s="174">
        <f>IF($BI$8=2015,"",IF($BI$8=2018,"",MIN(BP131,VLOOKUP($L131,'[12]IMAGE CurPol SSP'!$CQ$3:$CV$29,5,FALSE)*$AS131)))</f>
        <v>52.241422958004478</v>
      </c>
      <c r="BR131" s="174">
        <f>IF($BI$8=2015,"",IF($BI$8=2018,"",MAX(BP131,VLOOKUP($L131,'[12]IMAGE CurPol SSP'!$CF$3:$CK$29,5,FALSE)*$AS131)))</f>
        <v>80.872708042836123</v>
      </c>
      <c r="BS131" s="174">
        <f>IF($BI$8=2015,VLOOKUP($L131,'[12]IMAGE CurPol SSP'!$AZ$3:$BE$29,6,FALSE)*($AM131-'[12]IIASA Proj'!$EQ121)+('[12]IIASA Proj'!$EQ121+'[12]IIASA Proj'!$ET121),VLOOKUP($L131,'[12]IMAGE CurPol SSP'!$BU$3:$BZ$29,6,FALSE)*($AS131-'[12]IIASA Proj'!$DV121)+('[12]IIASA Proj'!$EF121))</f>
        <v>158.19484041533053</v>
      </c>
      <c r="BT131" s="174">
        <f>IF($BI$8=2015,"",IF($BI$8=2018,"",MIN($BS131,VLOOKUP($L131,'[12]IMAGE CurPol SSP'!$CQ$3:$CV$29,6,FALSE)*$AS131)))</f>
        <v>86.276114846177634</v>
      </c>
      <c r="BU131" s="176">
        <f>IF($BI$8=2015,"",IF($BI$8=2018,"",MAX($BS131,VLOOKUP($L131,'[12]IMAGE CurPol SSP'!$CF$3:$CK$29,6,FALSE)*$AS131)))</f>
        <v>158.19484041533053</v>
      </c>
      <c r="CN131" t="s">
        <v>291</v>
      </c>
      <c r="CO131" s="165">
        <f t="shared" si="69"/>
        <v>2.736071100206622</v>
      </c>
      <c r="CP131" s="165">
        <f t="shared" si="69"/>
        <v>2.736071100206622</v>
      </c>
      <c r="CQ131" s="165">
        <f t="shared" si="69"/>
        <v>2.1612909309440655</v>
      </c>
      <c r="CR131" s="165">
        <f t="shared" si="65"/>
        <v>2.1612909309440655</v>
      </c>
      <c r="CV131" s="125" t="s">
        <v>621</v>
      </c>
      <c r="CW131" s="125" t="s">
        <v>621</v>
      </c>
      <c r="CX131"/>
      <c r="CY131" s="167">
        <f t="shared" si="70"/>
        <v>132.91902018109141</v>
      </c>
      <c r="DB131" s="106"/>
      <c r="DC131" s="106"/>
      <c r="DD131" s="106"/>
      <c r="DE131" s="106"/>
      <c r="DF131" s="106"/>
      <c r="DG131" s="105" t="str">
        <f t="shared" si="71"/>
        <v>incl</v>
      </c>
      <c r="DH131" t="s">
        <v>291</v>
      </c>
      <c r="DI131" s="111">
        <f t="shared" si="93"/>
        <v>0</v>
      </c>
      <c r="DJ131" s="111">
        <f t="shared" si="93"/>
        <v>0</v>
      </c>
      <c r="DK131" s="111">
        <f t="shared" si="94"/>
        <v>403.0225881501317</v>
      </c>
      <c r="DL131" s="111">
        <f t="shared" si="95"/>
        <v>334.82714528734164</v>
      </c>
      <c r="DM131" s="111">
        <f t="shared" si="96"/>
        <v>432.83233106218438</v>
      </c>
      <c r="DN131" s="111">
        <f t="shared" si="97"/>
        <v>341.90507391179761</v>
      </c>
      <c r="DO131" s="111">
        <f t="shared" si="98"/>
        <v>432.83233106218438</v>
      </c>
      <c r="DP131" s="111">
        <f t="shared" si="99"/>
        <v>341.90507391179761</v>
      </c>
      <c r="DQ131" s="106"/>
      <c r="DR131" s="106"/>
      <c r="DS131" s="111">
        <f>[12]GHG_hist!BZ121+IF($M131="incl",[12]LULUCF_hist!DQ121,0)</f>
        <v>75.511989999999997</v>
      </c>
      <c r="DT131" s="178">
        <f>IF($M131="incl",'[12]IIASA Proj'!EQ121,0)</f>
        <v>-283.300228</v>
      </c>
      <c r="DW131" s="111">
        <f t="shared" si="72"/>
        <v>591.02717147751491</v>
      </c>
      <c r="DX131" s="111">
        <f t="shared" si="72"/>
        <v>591.02717147751491</v>
      </c>
      <c r="DY131" s="111">
        <f t="shared" si="72"/>
        <v>500.09991432712815</v>
      </c>
      <c r="DZ131" s="111">
        <f t="shared" si="66"/>
        <v>500.09991432712815</v>
      </c>
      <c r="EP131" t="s">
        <v>291</v>
      </c>
      <c r="EQ131">
        <v>4</v>
      </c>
      <c r="ER131" s="111">
        <f t="shared" si="73"/>
        <v>80.652680000000032</v>
      </c>
      <c r="ES131" s="111">
        <f>IF($BI$8=2015,VLOOKUP($L131,'[12]IMAGE CDLINKS CurPol'!$P$3:$Y$29,10,FALSE)*$AM131,VLOOKUP($L131,'[12]IMAGE CDLINKS CurPol'!$Z$3:$AI$29,10,FALSE)*$AP131)</f>
        <v>134.10394030215579</v>
      </c>
      <c r="ET131" s="111">
        <f t="shared" si="86"/>
        <v>0</v>
      </c>
      <c r="EU131" s="111">
        <f t="shared" si="76"/>
        <v>0</v>
      </c>
      <c r="EV131" s="111">
        <f>IF($BI$8=2015,VLOOKUP($L131,'[12]IMAGE CDLINKS 2C'!$P$3:$Y$29,10,FALSE)*$AM131,VLOOKUP($L131,'[12]IMAGE CDLINKS 2C'!$Z$3:$AI$29,10,FALSE)*$AP131)</f>
        <v>26.1364224517257</v>
      </c>
      <c r="EY131" s="111">
        <f t="shared" si="77"/>
        <v>0</v>
      </c>
      <c r="EZ131" s="111">
        <f>IF($BI$8=2015,VLOOKUP($L131,'[12]IMAGE CDLINKS 1_5C'!$P$3:$Y$29,10,FALSE)*$AM131,VLOOKUP($L131,'[12]IMAGE CDLINKS 1_5C'!$Z$3:$AI$29,10,FALSE)*$AP131)</f>
        <v>1.7549233257772381</v>
      </c>
      <c r="FA131" s="192"/>
    </row>
    <row r="132" spans="1:157" x14ac:dyDescent="0.25">
      <c r="A132" t="str">
        <f>IF([12]NDCs!C134="","",[12]NDCs!C134)</f>
        <v>B</v>
      </c>
      <c r="B132" s="159" t="str">
        <f t="shared" si="67"/>
        <v>v</v>
      </c>
      <c r="C132">
        <v>0</v>
      </c>
      <c r="D132">
        <v>0</v>
      </c>
      <c r="E132">
        <v>0</v>
      </c>
      <c r="F132">
        <v>1</v>
      </c>
      <c r="G132" t="b">
        <f t="shared" si="68"/>
        <v>1</v>
      </c>
      <c r="H132" t="s">
        <v>2339</v>
      </c>
      <c r="I132" t="s">
        <v>293</v>
      </c>
      <c r="J132">
        <v>462</v>
      </c>
      <c r="K132">
        <v>120</v>
      </c>
      <c r="L132">
        <v>25</v>
      </c>
      <c r="M132" t="str">
        <f>IF([12]NDCs!AL134="Excluding","excl","incl")</f>
        <v>excl</v>
      </c>
      <c r="N132" s="160">
        <f>[12]GHG_hist!BA122+IF($M132="incl",[12]LULUCF_hist!CR122,0)</f>
        <v>0.14636774999999999</v>
      </c>
      <c r="O132" s="111">
        <f>[12]GHG_hist!BB122+IF($M132="incl",[12]LULUCF_hist!CS122,0)</f>
        <v>0.13570586000000001</v>
      </c>
      <c r="P132" s="111">
        <f>[12]GHG_hist!BC122+IF($M132="incl",[12]LULUCF_hist!CT122,0)</f>
        <v>0.18727877000000001</v>
      </c>
      <c r="Q132" s="111">
        <f>[12]GHG_hist!BD122+IF($M132="incl",[12]LULUCF_hist!CU122,0)</f>
        <v>0.16715737999999999</v>
      </c>
      <c r="R132" s="111">
        <f>[12]GHG_hist!BE122+IF($M132="incl",[12]LULUCF_hist!CV122,0)</f>
        <v>0.17128461</v>
      </c>
      <c r="S132" s="111">
        <f>[12]GHG_hist!BF122+IF($M132="incl",[12]LULUCF_hist!CW122,0)</f>
        <v>0.24123368000000001</v>
      </c>
      <c r="T132" s="111">
        <f>[12]GHG_hist!BG122+IF($M132="incl",[12]LULUCF_hist!CX122,0)</f>
        <v>0.30232778000000005</v>
      </c>
      <c r="U132" s="111">
        <f>[12]GHG_hist!BH122+IF($M132="incl",[12]LULUCF_hist!CY122,0)</f>
        <v>0.36179415000000004</v>
      </c>
      <c r="V132" s="111">
        <f>[12]GHG_hist!BI122+IF($M132="incl",[12]LULUCF_hist!CZ122,0)</f>
        <v>0.36882145999999999</v>
      </c>
      <c r="W132" s="111">
        <f>[12]GHG_hist!BJ122+IF($M132="incl",[12]LULUCF_hist!DA122,0)</f>
        <v>0.49025856000000001</v>
      </c>
      <c r="X132" s="111">
        <f>[12]GHG_hist!BK122+IF($M132="incl",[12]LULUCF_hist!DB122,0)</f>
        <v>0.54983059000000001</v>
      </c>
      <c r="Y132" s="111">
        <f>[12]GHG_hist!BL122+IF($M132="incl",[12]LULUCF_hist!DC122,0)</f>
        <v>0.57940088000000001</v>
      </c>
      <c r="Z132" s="111">
        <f>[12]GHG_hist!BM122+IF($M132="incl",[12]LULUCF_hist!DD122,0)</f>
        <v>0.72541335000000007</v>
      </c>
      <c r="AA132" s="111">
        <f>[12]GHG_hist!BN122+IF($M132="incl",[12]LULUCF_hist!DE122,0)</f>
        <v>0.65964407000000003</v>
      </c>
      <c r="AB132" s="111">
        <f>[12]GHG_hist!BO122+IF($M132="incl",[12]LULUCF_hist!DF122,0)</f>
        <v>0.84133303999999998</v>
      </c>
      <c r="AC132" s="111">
        <f>[12]GHG_hist!BP122+IF($M132="incl",[12]LULUCF_hist!DG122,0)</f>
        <v>0.78816359000000002</v>
      </c>
      <c r="AD132" s="111">
        <f>[12]GHG_hist!BQ122+IF($M132="incl",[12]LULUCF_hist!DH122,0)</f>
        <v>0.97542939000000006</v>
      </c>
      <c r="AE132" s="111">
        <f>[12]GHG_hist!BR122+IF($M132="incl",[12]LULUCF_hist!DI122,0)</f>
        <v>1.0158463</v>
      </c>
      <c r="AF132" s="111">
        <f>[12]GHG_hist!BS122+IF($M132="incl",[12]LULUCF_hist!DJ122,0)</f>
        <v>1.1024597</v>
      </c>
      <c r="AG132" s="111">
        <f>[12]GHG_hist!BT122+IF($M132="incl",[12]LULUCF_hist!DK122,0)</f>
        <v>1.1635551</v>
      </c>
      <c r="AH132" s="111">
        <f>[12]GHG_hist!BU122+IF($M132="incl",[12]LULUCF_hist!DL122,0)</f>
        <v>1.2387844000000001</v>
      </c>
      <c r="AI132" s="111">
        <f>[12]GHG_hist!BV122+IF($M132="incl",[12]LULUCF_hist!DM122,0)</f>
        <v>1.3171744000000001</v>
      </c>
      <c r="AJ132" s="111">
        <f>[12]GHG_hist!BW122+IF($M132="incl",[12]LULUCF_hist!DN122,0)</f>
        <v>1.3976189999999999</v>
      </c>
      <c r="AK132" s="111">
        <f>[12]GHG_hist!BX122+IF($M132="incl",[12]LULUCF_hist!DO122,0)</f>
        <v>1.4917977</v>
      </c>
      <c r="AL132" s="111">
        <f>[12]GHG_hist!BY122+IF($M132="incl",[12]LULUCF_hist!DP122,0)</f>
        <v>1.5649837</v>
      </c>
      <c r="AM132" s="111">
        <f>[12]GHG_hist!BZ122+IF($M132="incl",[12]LULUCF_hist!DQ122,0)</f>
        <v>1.5758245</v>
      </c>
      <c r="AN132" s="111">
        <f>[12]GHG_hist!CA122+IF($M132="incl",[12]LULUCF_hist!DR122,0)</f>
        <v>1.7396165000000001</v>
      </c>
      <c r="AO132" s="111">
        <f>[12]GHG_hist!CB122+IF($M132="incl",[12]LULUCF_hist!DS122,0)</f>
        <v>1.8058867000000001</v>
      </c>
      <c r="AP132" s="111">
        <f>[12]GHG_hist!CC122+IF($M132="incl",[12]LULUCF_hist!DT122,0)</f>
        <v>2.0445713000000003</v>
      </c>
      <c r="AQ132" s="111">
        <f>[12]GHG_hist!CD122+IF($M132="incl",[12]LULUCF_hist!DU122,0)</f>
        <v>2.3512518</v>
      </c>
      <c r="AR132" s="111">
        <f>[12]GHG_hist!CE122+IF($M132="incl",[12]LULUCF_hist!DV122,0)</f>
        <v>2.3653786000000001</v>
      </c>
      <c r="AS132" s="111">
        <f>[12]GHG_hist!CF122+IF($M132="incl",[12]LULUCF_hist!DW122,0)</f>
        <v>2.4517085999999999</v>
      </c>
      <c r="AT132" s="161">
        <f>VLOOKUP($L132,'[12]IMAGE SSP2'!$AF$3:$AK$29,4,FALSE)*$AM132</f>
        <v>1.848649843417193</v>
      </c>
      <c r="AU132" s="162">
        <f>VLOOKUP($L132,'[12]IMAGE SSP2'!$AF$3:$AK$29,5,FALSE)*$AM132</f>
        <v>2.147409202678725</v>
      </c>
      <c r="AV132" s="163">
        <f>VLOOKUP($L132,'[12]IMAGE SSP2'!$AF$3:$AK$29,6,FALSE)*$AM132</f>
        <v>2.4139326573442998</v>
      </c>
      <c r="AW132" s="111">
        <f>IF(A132="B",AM132+(AX132-AM132)*0.33333,"")</f>
        <v>2.150543919415</v>
      </c>
      <c r="AX132" s="164">
        <f>IF(A132="B",IF(M132="excl",[12]NatCom!CO122,[12]NatCom!AX122),"")</f>
        <v>3.3</v>
      </c>
      <c r="AY132" s="111" t="str">
        <f>IF('[12]Pledge 2020'!E122="","",'[12]Pledge 2020'!E122)</f>
        <v/>
      </c>
      <c r="AZ132" s="164" t="str">
        <f>IF('[12]Pledge 2020'!F122="","",'[12]Pledge 2020'!F122)</f>
        <v/>
      </c>
      <c r="BA132" s="111">
        <f t="shared" si="100"/>
        <v>2.1411960999999997</v>
      </c>
      <c r="BB132" s="111">
        <f>IF(BF132="","",(BF132-AH132)*0.75+AH132)</f>
        <v>2.1411960999999997</v>
      </c>
      <c r="BC132" s="111">
        <f t="shared" si="101"/>
        <v>2.1411960999999997</v>
      </c>
      <c r="BD132" s="111">
        <f>IF(BH132="","",(BH132-AH132)*0.75+AH132)</f>
        <v>2.1411960999999997</v>
      </c>
      <c r="BE132" s="169">
        <v>2.4419999999999997</v>
      </c>
      <c r="BF132" s="169">
        <v>2.4419999999999997</v>
      </c>
      <c r="BG132" s="169">
        <v>2.4419999999999997</v>
      </c>
      <c r="BH132" s="170">
        <v>2.4419999999999997</v>
      </c>
      <c r="BI132" s="111">
        <f>IF([12]NDCs!V134="",IF([12]NDCs!X134="","",[12]NDCs!X134),[12]NDCs!V134)</f>
        <v>2.9699999999999998</v>
      </c>
      <c r="BJ132" s="111">
        <f>IF([12]NDCs!V134="",IF([12]NDCs!X134="","",[12]NDCs!X134),[12]NDCs!V134)</f>
        <v>2.9699999999999998</v>
      </c>
      <c r="BK132" s="111">
        <f>IF([12]NDCs!Z134="",IF([12]NDCs!AB134="",IF('input site'!BE132="","",'input site'!BE132),[12]NDCs!AB134),[12]NDCs!Z134)</f>
        <v>2.508</v>
      </c>
      <c r="BL132" s="111">
        <f>IF([12]NDCs!AA134="",IF([12]NDCs!AC134="",IF('input site'!BF132="","",'input site'!BF132),[12]NDCs!AC134),[12]NDCs!AA134)</f>
        <v>2.508</v>
      </c>
      <c r="BM132" s="111">
        <f>IF($BI$8=2015,VLOOKUP($L132,'[12]IMAGE CurPol SSP'!$AZ$3:$BD$29,4,FALSE)*$AM132,IF($BI$8=2018,VLOOKUP($L132,'[12]IMAGE CurPol SSP'!$BJ$3:$BN$29,4,FALSE)*$AP132,$AR132))</f>
        <v>2.3653786000000001</v>
      </c>
      <c r="BN132" s="111">
        <f t="shared" ref="BN132:BO138" si="102">IF($BI$8=2015,"",IF($BI$8=2018,"",$AR132))</f>
        <v>2.3653786000000001</v>
      </c>
      <c r="BO132" s="111">
        <f t="shared" si="102"/>
        <v>2.3653786000000001</v>
      </c>
      <c r="BP132" s="111">
        <f>IF($BI$8=2015,VLOOKUP($L132,'[12]IMAGE CurPol SSP'!$AZ$3:$BD$29,5,FALSE)*$AM132,IF($BI$8=2018,VLOOKUP($L132,'[12]IMAGE CurPol SSP'!$BJ$3:$BN$29,5,FALSE)*$AP132,VLOOKUP($L132,'[12]IMAGE CurPol SSP'!$BU$3:$BZ$29,5,FALSE)*$AS132))</f>
        <v>2.6262562721030567</v>
      </c>
      <c r="BQ132" s="111">
        <f>IF($BI$8=2015,"",IF($BI$8=2018,"",VLOOKUP($L132,'[12]IMAGE CurPol SSP'!$CQ$3:$CV$29,5,FALSE)*$AS132))</f>
        <v>2.6024464839901214</v>
      </c>
      <c r="BR132" s="111">
        <f>IF($BI$8=2015,"",IF($BI$8=2018,"",VLOOKUP($L132,'[12]IMAGE CurPol SSP'!$CF$3:$CK$29,5,FALSE)*$AS132))</f>
        <v>2.6453276930849339</v>
      </c>
      <c r="BS132" s="111">
        <f>IF($BI$8=2015,VLOOKUP($L132,'[12]IMAGE CurPol SSP'!$AZ$3:$BE$29,6,FALSE)*$AM132,IF($BI$8=2018,VLOOKUP($L132,'[12]IMAGE CurPol SSP'!$BJ$3:$BO$29,6,FALSE)*$AP132,VLOOKUP($L132,'[12]IMAGE CurPol SSP'!$BU$3:$BZ$29,6,FALSE)*$AS132))</f>
        <v>2.9823302211901419</v>
      </c>
      <c r="BT132" s="111">
        <f>IF($BI$8=2015,"",IF($BI$8=2018,"",VLOOKUP($L132,'[12]IMAGE CurPol SSP'!$CQ$3:$CV$29,6,FALSE)*$AS132))</f>
        <v>2.9271357153828328</v>
      </c>
      <c r="BU132" s="164">
        <f>IF($BI$8=2015,"",IF($BI$8=2018,"",VLOOKUP($L132,'[12]IMAGE CurPol SSP'!$CF$3:$CK$29,6,FALSE)*$AS132))</f>
        <v>2.9823302211901419</v>
      </c>
      <c r="CN132" t="s">
        <v>293</v>
      </c>
      <c r="CO132" s="165">
        <f t="shared" si="69"/>
        <v>-0.18117719404476795</v>
      </c>
      <c r="CP132" s="165">
        <f t="shared" si="69"/>
        <v>-0.18117719404476795</v>
      </c>
      <c r="CQ132" s="165">
        <f t="shared" si="69"/>
        <v>-0.18117719404476795</v>
      </c>
      <c r="CR132" s="165">
        <f t="shared" si="65"/>
        <v>-0.18117719404476795</v>
      </c>
      <c r="CS132" s="159"/>
      <c r="CU132" s="159"/>
      <c r="CV132" s="125" t="s">
        <v>621</v>
      </c>
      <c r="CW132" s="125" t="s">
        <v>621</v>
      </c>
      <c r="CX132" s="159"/>
      <c r="CY132" s="167">
        <f t="shared" si="70"/>
        <v>-0.51672875658280715</v>
      </c>
      <c r="CZ132" s="159"/>
      <c r="DB132" s="106"/>
      <c r="DC132" s="106"/>
      <c r="DD132" s="106"/>
      <c r="DE132" s="106"/>
      <c r="DF132" s="106"/>
      <c r="DG132" s="105" t="str">
        <f t="shared" si="71"/>
        <v>excl</v>
      </c>
      <c r="DH132" t="s">
        <v>293</v>
      </c>
      <c r="DI132" s="111">
        <f t="shared" si="93"/>
        <v>0</v>
      </c>
      <c r="DJ132" s="111">
        <f t="shared" si="93"/>
        <v>0</v>
      </c>
      <c r="DK132" s="111">
        <f t="shared" si="94"/>
        <v>-0.48506017210305696</v>
      </c>
      <c r="DL132" s="111">
        <f t="shared" si="95"/>
        <v>-0.48506017210305696</v>
      </c>
      <c r="DM132" s="111">
        <f t="shared" si="96"/>
        <v>-0.54033022119014218</v>
      </c>
      <c r="DN132" s="111">
        <f t="shared" si="97"/>
        <v>-0.54033022119014218</v>
      </c>
      <c r="DO132" s="111">
        <f t="shared" si="98"/>
        <v>-1.2330221190142154E-2</v>
      </c>
      <c r="DP132" s="111">
        <f t="shared" si="99"/>
        <v>-0.4743302211901419</v>
      </c>
      <c r="DQ132" s="106"/>
      <c r="DR132" s="106"/>
      <c r="DS132" s="111"/>
      <c r="DT132" s="168"/>
      <c r="DW132" s="111">
        <f t="shared" si="72"/>
        <v>2.4419999999999997</v>
      </c>
      <c r="DX132" s="111">
        <f t="shared" si="72"/>
        <v>2.4419999999999997</v>
      </c>
      <c r="DY132" s="111">
        <f t="shared" si="72"/>
        <v>2.4419999999999997</v>
      </c>
      <c r="DZ132" s="111">
        <f t="shared" si="66"/>
        <v>2.4419999999999997</v>
      </c>
      <c r="EP132" t="s">
        <v>293</v>
      </c>
      <c r="EQ132">
        <v>4</v>
      </c>
      <c r="ER132" s="111">
        <f t="shared" si="73"/>
        <v>2.0445713000000003</v>
      </c>
      <c r="ES132" s="111">
        <f>IF($BI$8=2015,VLOOKUP($L132,'[12]IMAGE CDLINKS CurPol'!$P$3:$Y$29,10,FALSE)*$AM132,VLOOKUP($L132,'[12]IMAGE CDLINKS CurPol'!$Z$3:$AI$29,10,FALSE)*$AP132)</f>
        <v>4.677902070483265</v>
      </c>
      <c r="ET132" s="111">
        <f t="shared" si="86"/>
        <v>0</v>
      </c>
      <c r="EU132" s="111">
        <f t="shared" si="76"/>
        <v>0</v>
      </c>
      <c r="EV132" s="111">
        <f>IF($BI$8=2015,VLOOKUP($L132,'[12]IMAGE CDLINKS 2C'!$P$3:$Y$29,10,FALSE)*$AM132,VLOOKUP($L132,'[12]IMAGE CDLINKS 2C'!$Z$3:$AI$29,10,FALSE)*$AP132)</f>
        <v>1.3301993117285718</v>
      </c>
      <c r="EW132">
        <v>0</v>
      </c>
      <c r="EX132" s="111">
        <f>EW132-EV132</f>
        <v>-1.3301993117285718</v>
      </c>
      <c r="EY132" s="111">
        <f t="shared" si="77"/>
        <v>0</v>
      </c>
      <c r="EZ132" s="111">
        <f>IF($BI$8=2015,VLOOKUP($L132,'[12]IMAGE CDLINKS 1_5C'!$P$3:$Y$29,10,FALSE)*$AM132,VLOOKUP($L132,'[12]IMAGE CDLINKS 1_5C'!$Z$3:$AI$29,10,FALSE)*$AP132)</f>
        <v>0.55747515765957767</v>
      </c>
      <c r="FA132" s="192">
        <v>2050</v>
      </c>
    </row>
    <row r="133" spans="1:157" x14ac:dyDescent="0.25">
      <c r="A133" t="str">
        <f>IF([12]NDCs!C135="","",[12]NDCs!C135)</f>
        <v>G</v>
      </c>
      <c r="B133" s="159" t="str">
        <f t="shared" si="67"/>
        <v>v</v>
      </c>
      <c r="C133">
        <v>0</v>
      </c>
      <c r="D133">
        <v>0</v>
      </c>
      <c r="E133">
        <v>0</v>
      </c>
      <c r="F133">
        <v>1</v>
      </c>
      <c r="G133" t="b">
        <f t="shared" si="68"/>
        <v>0</v>
      </c>
      <c r="H133" t="s">
        <v>2328</v>
      </c>
      <c r="I133" t="s">
        <v>295</v>
      </c>
      <c r="J133">
        <v>466</v>
      </c>
      <c r="K133">
        <v>121</v>
      </c>
      <c r="L133">
        <v>8</v>
      </c>
      <c r="M133" t="str">
        <f>IF([12]NDCs!AL135="Excluding","excl","incl")</f>
        <v>excl</v>
      </c>
      <c r="N133" s="160">
        <f>[12]GHG_hist!BA123+IF($M133="incl",[12]LULUCF_hist!CR123,0)</f>
        <v>9.7432256000000006</v>
      </c>
      <c r="O133" s="111">
        <f>[12]GHG_hist!BB123+IF($M133="incl",[12]LULUCF_hist!CS123,0)</f>
        <v>9.6761991999999992</v>
      </c>
      <c r="P133" s="111">
        <f>[12]GHG_hist!BC123+IF($M133="incl",[12]LULUCF_hist!CT123,0)</f>
        <v>9.7489632000000004</v>
      </c>
      <c r="Q133" s="111">
        <f>[12]GHG_hist!BD123+IF($M133="incl",[12]LULUCF_hist!CU123,0)</f>
        <v>9.8908632000000001</v>
      </c>
      <c r="R133" s="111">
        <f>[12]GHG_hist!BE123+IF($M133="incl",[12]LULUCF_hist!CV123,0)</f>
        <v>10.079113</v>
      </c>
      <c r="S133" s="111">
        <f>[12]GHG_hist!BF123+IF($M133="incl",[12]LULUCF_hist!CW123,0)</f>
        <v>10.336744000000001</v>
      </c>
      <c r="T133" s="111">
        <f>[12]GHG_hist!BG123+IF($M133="incl",[12]LULUCF_hist!CX123,0)</f>
        <v>10.965001000000001</v>
      </c>
      <c r="U133" s="111">
        <f>[12]GHG_hist!BH123+IF($M133="incl",[12]LULUCF_hist!CY123,0)</f>
        <v>11.422938</v>
      </c>
      <c r="V133" s="111">
        <f>[12]GHG_hist!BI123+IF($M133="incl",[12]LULUCF_hist!CZ123,0)</f>
        <v>12.602653</v>
      </c>
      <c r="W133" s="111">
        <f>[12]GHG_hist!BJ123+IF($M133="incl",[12]LULUCF_hist!DA123,0)</f>
        <v>13.510404000000001</v>
      </c>
      <c r="X133" s="111">
        <f>[12]GHG_hist!BK123+IF($M133="incl",[12]LULUCF_hist!DB123,0)</f>
        <v>14.134224</v>
      </c>
      <c r="Y133" s="111">
        <f>[12]GHG_hist!BL123+IF($M133="incl",[12]LULUCF_hist!DC123,0)</f>
        <v>17.326923000000001</v>
      </c>
      <c r="Z133" s="111">
        <f>[12]GHG_hist!BM123+IF($M133="incl",[12]LULUCF_hist!DD123,0)</f>
        <v>20.665741999999998</v>
      </c>
      <c r="AA133" s="111">
        <f>[12]GHG_hist!BN123+IF($M133="incl",[12]LULUCF_hist!DE123,0)</f>
        <v>24.258458000000001</v>
      </c>
      <c r="AB133" s="111">
        <f>[12]GHG_hist!BO123+IF($M133="incl",[12]LULUCF_hist!DF123,0)</f>
        <v>29.559506000000003</v>
      </c>
      <c r="AC133" s="111">
        <f>[12]GHG_hist!BP123+IF($M133="incl",[12]LULUCF_hist!DG123,0)</f>
        <v>33.485658000000001</v>
      </c>
      <c r="AD133" s="111">
        <f>[12]GHG_hist!BQ123+IF($M133="incl",[12]LULUCF_hist!DH123,0)</f>
        <v>36.845452999999999</v>
      </c>
      <c r="AE133" s="111">
        <f>[12]GHG_hist!BR123+IF($M133="incl",[12]LULUCF_hist!DI123,0)</f>
        <v>40.839852</v>
      </c>
      <c r="AF133" s="111">
        <f>[12]GHG_hist!BS123+IF($M133="incl",[12]LULUCF_hist!DJ123,0)</f>
        <v>46.393391000000001</v>
      </c>
      <c r="AG133" s="111">
        <f>[12]GHG_hist!BT123+IF($M133="incl",[12]LULUCF_hist!DK123,0)</f>
        <v>48.716266000000005</v>
      </c>
      <c r="AH133" s="111">
        <f>[12]GHG_hist!BU123+IF($M133="incl",[12]LULUCF_hist!DL123,0)</f>
        <v>54.281203000000005</v>
      </c>
      <c r="AI133" s="111">
        <f>[12]GHG_hist!BV123+IF($M133="incl",[12]LULUCF_hist!DM123,0)</f>
        <v>55.428548999999997</v>
      </c>
      <c r="AJ133" s="111">
        <f>[12]GHG_hist!BW123+IF($M133="incl",[12]LULUCF_hist!DN123,0)</f>
        <v>56.978794000000001</v>
      </c>
      <c r="AK133" s="111">
        <f>[12]GHG_hist!BX123+IF($M133="incl",[12]LULUCF_hist!DO123,0)</f>
        <v>59.306299000000003</v>
      </c>
      <c r="AL133" s="111">
        <f>[12]GHG_hist!BY123+IF($M133="incl",[12]LULUCF_hist!DP123,0)</f>
        <v>61.017779000000004</v>
      </c>
      <c r="AM133" s="111">
        <f>[12]GHG_hist!BZ123+IF($M133="incl",[12]LULUCF_hist!DQ123,0)</f>
        <v>63.478894000000004</v>
      </c>
      <c r="AN133" s="111">
        <f>[12]GHG_hist!CA123+IF($M133="incl",[12]LULUCF_hist!DR123,0)</f>
        <v>70.289932000000007</v>
      </c>
      <c r="AO133" s="111">
        <f>[12]GHG_hist!CB123+IF($M133="incl",[12]LULUCF_hist!DS123,0)</f>
        <v>70.867016000000007</v>
      </c>
      <c r="AP133" s="111">
        <f>[12]GHG_hist!CC123+IF($M133="incl",[12]LULUCF_hist!DT123,0)</f>
        <v>72.967691000000002</v>
      </c>
      <c r="AQ133" s="111">
        <f>[12]GHG_hist!CD123+IF($M133="incl",[12]LULUCF_hist!DU123,0)</f>
        <v>76.069676999999999</v>
      </c>
      <c r="AR133" s="111">
        <f>[12]GHG_hist!CE123+IF($M133="incl",[12]LULUCF_hist!DV123,0)</f>
        <v>80.691480999999996</v>
      </c>
      <c r="AS133" s="111">
        <f>[12]GHG_hist!CF123+IF($M133="incl",[12]LULUCF_hist!DW123,0)</f>
        <v>83.895925000000005</v>
      </c>
      <c r="AT133" s="161">
        <f>VLOOKUP($L133,'[12]IMAGE SSP2'!$AF$3:$AK$29,4,FALSE)*$AM133</f>
        <v>83.746862946632973</v>
      </c>
      <c r="AU133" s="162">
        <f>VLOOKUP($L133,'[12]IMAGE SSP2'!$AF$3:$AK$29,5,FALSE)*$AM133</f>
        <v>97.163621842445934</v>
      </c>
      <c r="AV133" s="163">
        <f>VLOOKUP($L133,'[12]IMAGE SSP2'!$AF$3:$AK$29,6,FALSE)*$AM133</f>
        <v>116.47699415546752</v>
      </c>
      <c r="AW133" s="111" t="str">
        <f t="shared" si="75"/>
        <v/>
      </c>
      <c r="AX133" s="164" t="str">
        <f>IF(A133="B",IF(M133="excl",[12]NatCom!CO123,[12]NatCom!AX123),"")</f>
        <v/>
      </c>
      <c r="AY133" s="111" t="str">
        <f>IF('[12]Pledge 2020'!E123="","",'[12]Pledge 2020'!E123)</f>
        <v/>
      </c>
      <c r="AZ133" s="164" t="str">
        <f>IF('[12]Pledge 2020'!F123="","",'[12]Pledge 2020'!F123)</f>
        <v/>
      </c>
      <c r="BA133" s="111" t="str">
        <f t="shared" si="100"/>
        <v/>
      </c>
      <c r="BB133" s="111"/>
      <c r="BC133" s="111" t="str">
        <f t="shared" si="101"/>
        <v/>
      </c>
      <c r="BD133" s="111"/>
      <c r="BE133" s="111" t="s">
        <v>2477</v>
      </c>
      <c r="BF133" s="111"/>
      <c r="BG133" s="111" t="s">
        <v>2477</v>
      </c>
      <c r="BH133" s="164"/>
      <c r="BI133" s="111" t="str">
        <f>IF([12]NDCs!V135="",IF([12]NDCs!X135="","",[12]NDCs!X135),[12]NDCs!V135)</f>
        <v/>
      </c>
      <c r="BJ133" s="111" t="str">
        <f>IF([12]NDCs!V135="",IF([12]NDCs!X135="","",[12]NDCs!X135),[12]NDCs!V135)</f>
        <v/>
      </c>
      <c r="BK133" s="111" t="str">
        <f>IF([12]NDCs!Z135="",IF([12]NDCs!AB135="",IF('input site'!BE133="","",'input site'!BE133),[12]NDCs!AB135),[12]NDCs!Z135)</f>
        <v/>
      </c>
      <c r="BL133" s="111" t="str">
        <f>IF([12]NDCs!AA135="",IF([12]NDCs!AC135="",IF('input site'!BF133="","",'input site'!BF133),[12]NDCs!AC135),[12]NDCs!AA135)</f>
        <v/>
      </c>
      <c r="BM133" s="111">
        <f>IF($BI$8=2015,VLOOKUP($L133,'[12]IMAGE CurPol SSP'!$AZ$3:$BD$29,4,FALSE)*$AM133,IF($BI$8=2018,VLOOKUP($L133,'[12]IMAGE CurPol SSP'!$BJ$3:$BN$29,4,FALSE)*$AP133,$AR133))</f>
        <v>80.691480999999996</v>
      </c>
      <c r="BN133" s="111">
        <f t="shared" si="102"/>
        <v>80.691480999999996</v>
      </c>
      <c r="BO133" s="111">
        <f t="shared" si="102"/>
        <v>80.691480999999996</v>
      </c>
      <c r="BP133" s="111">
        <f>IF($BI$8=2015,VLOOKUP($L133,'[12]IMAGE CurPol SSP'!$AZ$3:$BD$29,5,FALSE)*$AM133,IF($BI$8=2018,VLOOKUP($L133,'[12]IMAGE CurPol SSP'!$BJ$3:$BN$29,5,FALSE)*$AP133,VLOOKUP($L133,'[12]IMAGE CurPol SSP'!$BU$3:$BZ$29,5,FALSE)*$AS133))</f>
        <v>86.89495846154928</v>
      </c>
      <c r="BQ133" s="111">
        <f>IF($BI$8=2015,"",IF($BI$8=2018,"",VLOOKUP($L133,'[12]IMAGE CurPol SSP'!$CQ$3:$CV$29,5,FALSE)*$AS133))</f>
        <v>85.929528613987372</v>
      </c>
      <c r="BR133" s="111">
        <f>IF($BI$8=2015,"",IF($BI$8=2018,"",VLOOKUP($L133,'[12]IMAGE CurPol SSP'!$CF$3:$CK$29,5,FALSE)*$AS133))</f>
        <v>87.707248327317259</v>
      </c>
      <c r="BS133" s="111">
        <f>IF($BI$8=2015,VLOOKUP($L133,'[12]IMAGE CurPol SSP'!$AZ$3:$BE$29,6,FALSE)*$AM133,IF($BI$8=2018,VLOOKUP($L133,'[12]IMAGE CurPol SSP'!$BJ$3:$BO$29,6,FALSE)*$AP133,VLOOKUP($L133,'[12]IMAGE CurPol SSP'!$BU$3:$BZ$29,6,FALSE)*$AS133))</f>
        <v>99.91891939205675</v>
      </c>
      <c r="BT133" s="111">
        <f>IF($BI$8=2015,"",IF($BI$8=2018,"",VLOOKUP($L133,'[12]IMAGE CurPol SSP'!$CQ$3:$CV$29,6,FALSE)*$AS133))</f>
        <v>97.330768857504509</v>
      </c>
      <c r="BU133" s="164">
        <f>IF($BI$8=2015,"",IF($BI$8=2018,"",VLOOKUP($L133,'[12]IMAGE CurPol SSP'!$CF$3:$CK$29,6,FALSE)*$AS133))</f>
        <v>99.91891939205675</v>
      </c>
      <c r="CN133" t="s">
        <v>295</v>
      </c>
      <c r="CO133" s="165" t="str">
        <f t="shared" si="69"/>
        <v/>
      </c>
      <c r="CP133" s="165" t="str">
        <f t="shared" si="69"/>
        <v/>
      </c>
      <c r="CQ133" s="165" t="str">
        <f t="shared" si="69"/>
        <v/>
      </c>
      <c r="CR133" s="165" t="str">
        <f t="shared" si="65"/>
        <v/>
      </c>
      <c r="CV133" s="125" t="s">
        <v>621</v>
      </c>
      <c r="CW133" s="125" t="s">
        <v>621</v>
      </c>
      <c r="CX133"/>
      <c r="CY133" s="167">
        <f t="shared" si="70"/>
        <v>3.055381946632977</v>
      </c>
      <c r="DB133" s="106"/>
      <c r="DC133" s="106"/>
      <c r="DD133" s="106"/>
      <c r="DE133" s="106"/>
      <c r="DF133" s="106"/>
      <c r="DG133" s="105" t="str">
        <f t="shared" si="71"/>
        <v>excl</v>
      </c>
      <c r="DH133" t="s">
        <v>295</v>
      </c>
      <c r="DI133" s="111">
        <f t="shared" si="93"/>
        <v>0</v>
      </c>
      <c r="DJ133" s="111">
        <f t="shared" si="93"/>
        <v>0</v>
      </c>
      <c r="DK133" s="111">
        <f t="shared" si="94"/>
        <v>0</v>
      </c>
      <c r="DL133" s="111">
        <f t="shared" si="95"/>
        <v>0</v>
      </c>
      <c r="DM133" s="111">
        <f t="shared" si="96"/>
        <v>0</v>
      </c>
      <c r="DN133" s="111">
        <f t="shared" si="97"/>
        <v>0</v>
      </c>
      <c r="DO133" s="111">
        <f t="shared" si="98"/>
        <v>0</v>
      </c>
      <c r="DP133" s="111">
        <f t="shared" si="99"/>
        <v>0</v>
      </c>
      <c r="DQ133" s="106"/>
      <c r="DR133" s="106"/>
      <c r="DS133" s="111"/>
      <c r="DT133" s="168"/>
      <c r="DW133" s="111">
        <f t="shared" si="72"/>
        <v>99.91891939205675</v>
      </c>
      <c r="DX133" s="111">
        <f t="shared" si="72"/>
        <v>99.91891939205675</v>
      </c>
      <c r="DY133" s="111">
        <f t="shared" si="72"/>
        <v>99.91891939205675</v>
      </c>
      <c r="DZ133" s="111">
        <f t="shared" si="66"/>
        <v>99.91891939205675</v>
      </c>
      <c r="EP133" t="s">
        <v>295</v>
      </c>
      <c r="EQ133">
        <v>-1</v>
      </c>
      <c r="ER133" s="111">
        <f t="shared" si="73"/>
        <v>72.967691000000002</v>
      </c>
      <c r="ES133" s="111">
        <f>IF($BI$8=2015,VLOOKUP($L133,'[12]IMAGE CDLINKS CurPol'!$P$3:$Y$29,10,FALSE)*$AM133,VLOOKUP($L133,'[12]IMAGE CDLINKS CurPol'!$Z$3:$AI$29,10,FALSE)*$AP133)</f>
        <v>152.34742075257546</v>
      </c>
      <c r="ET133" s="111">
        <f t="shared" si="86"/>
        <v>152.34742075257546</v>
      </c>
      <c r="EU133" s="111">
        <f t="shared" si="76"/>
        <v>69.530630876843503</v>
      </c>
      <c r="EV133" s="111">
        <f>IF($BI$8=2015,VLOOKUP($L133,'[12]IMAGE CDLINKS 2C'!$P$3:$Y$29,10,FALSE)*$AM133,VLOOKUP($L133,'[12]IMAGE CDLINKS 2C'!$Z$3:$AI$29,10,FALSE)*$AP133)</f>
        <v>69.530630876843503</v>
      </c>
      <c r="EX133" s="111"/>
      <c r="EY133" s="111">
        <f t="shared" si="77"/>
        <v>39.604667160033635</v>
      </c>
      <c r="EZ133" s="111">
        <f>IF($BI$8=2015,VLOOKUP($L133,'[12]IMAGE CDLINKS 1_5C'!$P$3:$Y$29,10,FALSE)*$AM133,VLOOKUP($L133,'[12]IMAGE CDLINKS 1_5C'!$Z$3:$AI$29,10,FALSE)*$AP133)</f>
        <v>39.604667160033635</v>
      </c>
      <c r="FA133" s="192">
        <v>2050</v>
      </c>
    </row>
    <row r="134" spans="1:157" x14ac:dyDescent="0.25">
      <c r="A134" t="str">
        <f>IF([12]NDCs!C136="","",[12]NDCs!C136)</f>
        <v>A</v>
      </c>
      <c r="B134" s="159" t="str">
        <f t="shared" si="67"/>
        <v>v</v>
      </c>
      <c r="C134">
        <v>0</v>
      </c>
      <c r="D134">
        <v>1</v>
      </c>
      <c r="E134">
        <v>0</v>
      </c>
      <c r="F134">
        <v>1</v>
      </c>
      <c r="G134" t="b">
        <f t="shared" si="68"/>
        <v>1</v>
      </c>
      <c r="H134" t="s">
        <v>2335</v>
      </c>
      <c r="I134" t="s">
        <v>297</v>
      </c>
      <c r="J134">
        <v>470</v>
      </c>
      <c r="K134">
        <v>122</v>
      </c>
      <c r="L134">
        <v>11</v>
      </c>
      <c r="M134" t="str">
        <f>IF([12]NDCs!AL136="Excluding","excl","incl")</f>
        <v>incl</v>
      </c>
      <c r="N134" s="160">
        <f>[12]GHG_hist!BA124+IF($M134="incl",[12]LULUCF_hist!CR124,0)</f>
        <v>2.624848609517465</v>
      </c>
      <c r="O134" s="111">
        <f>[12]GHG_hist!BB124+IF($M134="incl",[12]LULUCF_hist!CS124,0)</f>
        <v>2.4770351273286675</v>
      </c>
      <c r="P134" s="111">
        <f>[12]GHG_hist!BC124+IF($M134="incl",[12]LULUCF_hist!CT124,0)</f>
        <v>2.5127553848442505</v>
      </c>
      <c r="Q134" s="111">
        <f>[12]GHG_hist!BD124+IF($M134="incl",[12]LULUCF_hist!CU124,0)</f>
        <v>3.1185829965146357</v>
      </c>
      <c r="R134" s="111">
        <f>[12]GHG_hist!BE124+IF($M134="incl",[12]LULUCF_hist!CV124,0)</f>
        <v>2.8954109737633402</v>
      </c>
      <c r="S134" s="111">
        <f>[12]GHG_hist!BF124+IF($M134="incl",[12]LULUCF_hist!CW124,0)</f>
        <v>2.6942468961402164</v>
      </c>
      <c r="T134" s="111">
        <f>[12]GHG_hist!BG124+IF($M134="incl",[12]LULUCF_hist!CX124,0)</f>
        <v>2.7822844536972533</v>
      </c>
      <c r="U134" s="111">
        <f>[12]GHG_hist!BH124+IF($M134="incl",[12]LULUCF_hist!CY124,0)</f>
        <v>2.8153726430190522</v>
      </c>
      <c r="V134" s="111">
        <f>[12]GHG_hist!BI124+IF($M134="incl",[12]LULUCF_hist!CZ124,0)</f>
        <v>2.7884662664792641</v>
      </c>
      <c r="W134" s="111">
        <f>[12]GHG_hist!BJ124+IF($M134="incl",[12]LULUCF_hist!DA124,0)</f>
        <v>2.8438345739285529</v>
      </c>
      <c r="X134" s="111">
        <f>[12]GHG_hist!BK124+IF($M134="incl",[12]LULUCF_hist!DB124,0)</f>
        <v>2.7455127226214509</v>
      </c>
      <c r="Y134" s="111">
        <f>[12]GHG_hist!BL124+IF($M134="incl",[12]LULUCF_hist!DC124,0)</f>
        <v>3.0262694727355242</v>
      </c>
      <c r="Z134" s="111">
        <f>[12]GHG_hist!BM124+IF($M134="incl",[12]LULUCF_hist!DD124,0)</f>
        <v>3.0684533411971686</v>
      </c>
      <c r="AA134" s="111">
        <f>[12]GHG_hist!BN124+IF($M134="incl",[12]LULUCF_hist!DE124,0)</f>
        <v>3.2917901322650769</v>
      </c>
      <c r="AB134" s="111">
        <f>[12]GHG_hist!BO124+IF($M134="incl",[12]LULUCF_hist!DF124,0)</f>
        <v>3.1771969574697647</v>
      </c>
      <c r="AC134" s="111">
        <f>[12]GHG_hist!BP124+IF($M134="incl",[12]LULUCF_hist!DG124,0)</f>
        <v>2.9989109789174004</v>
      </c>
      <c r="AD134" s="111">
        <f>[12]GHG_hist!BQ124+IF($M134="incl",[12]LULUCF_hist!DH124,0)</f>
        <v>3.0516669547014441</v>
      </c>
      <c r="AE134" s="111">
        <f>[12]GHG_hist!BR124+IF($M134="incl",[12]LULUCF_hist!DI124,0)</f>
        <v>3.1389389520749602</v>
      </c>
      <c r="AF134" s="111">
        <f>[12]GHG_hist!BS124+IF($M134="incl",[12]LULUCF_hist!DJ124,0)</f>
        <v>3.0422525822427562</v>
      </c>
      <c r="AG134" s="111">
        <f>[12]GHG_hist!BT124+IF($M134="incl",[12]LULUCF_hist!DK124,0)</f>
        <v>2.9039278758108318</v>
      </c>
      <c r="AH134" s="111">
        <f>[12]GHG_hist!BU124+IF($M134="incl",[12]LULUCF_hist!DL124,0)</f>
        <v>2.9841175230941901</v>
      </c>
      <c r="AI134" s="111">
        <f>[12]GHG_hist!BV124+IF($M134="incl",[12]LULUCF_hist!DM124,0)</f>
        <v>2.9695895647569119</v>
      </c>
      <c r="AJ134" s="111">
        <f>[12]GHG_hist!BW124+IF($M134="incl",[12]LULUCF_hist!DN124,0)</f>
        <v>3.1360052888813033</v>
      </c>
      <c r="AK134" s="111">
        <f>[12]GHG_hist!BX124+IF($M134="incl",[12]LULUCF_hist!DO124,0)</f>
        <v>2.8080017300693929</v>
      </c>
      <c r="AL134" s="111">
        <f>[12]GHG_hist!BY124+IF($M134="incl",[12]LULUCF_hist!DP124,0)</f>
        <v>2.811686888545478</v>
      </c>
      <c r="AM134" s="111">
        <f>[12]GHG_hist!BZ124+IF($M134="incl",[12]LULUCF_hist!DQ124,0)</f>
        <v>2.1295224245886155</v>
      </c>
      <c r="AN134" s="111">
        <f>[12]GHG_hist!CA124+IF($M134="incl",[12]LULUCF_hist!DR124,0)</f>
        <v>1.845118153358176</v>
      </c>
      <c r="AO134" s="111">
        <f>[12]GHG_hist!CB124+IF($M134="incl",[12]LULUCF_hist!DS124,0)</f>
        <v>2.0307531207083129</v>
      </c>
      <c r="AP134" s="111">
        <f>[12]GHG_hist!CC124+IF($M134="incl",[12]LULUCF_hist!DT124,0)</f>
        <v>2.0377495759763606</v>
      </c>
      <c r="AQ134" s="111">
        <f>[12]GHG_hist!CD124+IF($M134="incl",[12]LULUCF_hist!DU124,0)</f>
        <v>2.1559982551974084</v>
      </c>
      <c r="AR134" s="111">
        <f>[12]GHG_hist!CE124+IF($M134="incl",[12]LULUCF_hist!DV124,0)</f>
        <v>2.1197193090524831</v>
      </c>
      <c r="AS134" s="111">
        <f>[12]GHG_hist!CF124+IF($M134="incl",[12]LULUCF_hist!DW124,0)</f>
        <v>2.1329758069526554</v>
      </c>
      <c r="AT134" s="161">
        <f>VLOOKUP($L134,'[12]IMAGE SSP2'!$AF$3:$AK$29,4,FALSE)*$AM134</f>
        <v>2.0707421753019792</v>
      </c>
      <c r="AU134" s="162">
        <f>VLOOKUP($L134,'[12]IMAGE SSP2'!$AF$3:$AK$29,5,FALSE)*$AM134</f>
        <v>2.002197839293181</v>
      </c>
      <c r="AV134" s="163">
        <f>VLOOKUP($L134,'[12]IMAGE SSP2'!$AF$3:$AK$29,6,FALSE)*$AM134</f>
        <v>1.99105734572511</v>
      </c>
      <c r="AW134" s="111" t="str">
        <f t="shared" si="75"/>
        <v/>
      </c>
      <c r="AX134" s="164" t="str">
        <f>IF(A134="B",IF(M134="excl",[12]NatCom!CO124,[12]NatCom!AX124),"")</f>
        <v/>
      </c>
      <c r="AY134" s="111" t="str">
        <f>IF('[12]Pledge 2020'!E124="","",'[12]Pledge 2020'!E124)</f>
        <v/>
      </c>
      <c r="AZ134" s="164" t="str">
        <f>IF('[12]Pledge 2020'!F124="","",'[12]Pledge 2020'!F124)</f>
        <v/>
      </c>
      <c r="BA134" s="111" t="str">
        <f t="shared" si="100"/>
        <v/>
      </c>
      <c r="BB134" s="111"/>
      <c r="BC134" s="111" t="str">
        <f t="shared" si="101"/>
        <v/>
      </c>
      <c r="BD134" s="111"/>
      <c r="BE134" s="111" t="s">
        <v>2477</v>
      </c>
      <c r="BF134" s="111"/>
      <c r="BG134" s="111" t="s">
        <v>2477</v>
      </c>
      <c r="BH134" s="164"/>
      <c r="BI134" s="111" t="str">
        <f>IF([12]NDCs!V136="",IF([12]NDCs!X136="","",[12]NDCs!X136),[12]NDCs!V136)</f>
        <v/>
      </c>
      <c r="BJ134" s="111" t="str">
        <f>IF([12]NDCs!V136="",IF([12]NDCs!X136="","",[12]NDCs!X136),[12]NDCs!V136)</f>
        <v/>
      </c>
      <c r="BK134" s="111" t="str">
        <f>IF([12]NDCs!Z136="",IF([12]NDCs!AB136="",IF('input site'!BE134="","",'input site'!BE134),[12]NDCs!AB136),[12]NDCs!Z136)</f>
        <v/>
      </c>
      <c r="BL134" s="111" t="str">
        <f>IF([12]NDCs!AA136="",IF([12]NDCs!AC136="",IF('input site'!BF134="","",'input site'!BF134),[12]NDCs!AC136),[12]NDCs!AA136)</f>
        <v/>
      </c>
      <c r="BM134" s="111">
        <f>IF($BI$8=2015,VLOOKUP($L134,'[12]IMAGE CurPol SSP'!$AZ$3:$BD$29,4,FALSE)*$AM134,IF($BI$8=2018,VLOOKUP($L134,'[12]IMAGE CurPol SSP'!$BJ$3:$BN$29,4,FALSE)*$AP134,$AR134))</f>
        <v>2.1197193090524831</v>
      </c>
      <c r="BN134" s="111">
        <f t="shared" si="102"/>
        <v>2.1197193090524831</v>
      </c>
      <c r="BO134" s="111">
        <f t="shared" si="102"/>
        <v>2.1197193090524831</v>
      </c>
      <c r="BP134" s="111">
        <f>IF($BI$8=2015,VLOOKUP($L134,'[12]IMAGE CurPol SSP'!$AZ$3:$BD$29,5,FALSE)*$AM134,IF($BI$8=2018,VLOOKUP($L134,'[12]IMAGE CurPol SSP'!$BJ$3:$BN$29,5,FALSE)*$AP134,VLOOKUP($L134,'[12]IMAGE CurPol SSP'!$BU$3:$BZ$29,5,FALSE)*$AS134))</f>
        <v>1.7301412484727101</v>
      </c>
      <c r="BQ134" s="111">
        <f>IF($BI$8=2015,"",IF($BI$8=2018,"",VLOOKUP($L134,'[12]IMAGE CurPol SSP'!$CQ$3:$CV$29,5,FALSE)*$AS134))</f>
        <v>1.6814924129246653</v>
      </c>
      <c r="BR134" s="111">
        <f>IF($BI$8=2015,"",IF($BI$8=2018,"",VLOOKUP($L134,'[12]IMAGE CurPol SSP'!$CF$3:$CK$29,5,FALSE)*$AS134))</f>
        <v>1.7596871791029303</v>
      </c>
      <c r="BS134" s="111">
        <f>IF($BI$8=2015,VLOOKUP($L134,'[12]IMAGE CurPol SSP'!$AZ$3:$BE$29,6,FALSE)*$AM134,IF($BI$8=2018,VLOOKUP($L134,'[12]IMAGE CurPol SSP'!$BJ$3:$BO$29,6,FALSE)*$AP134,VLOOKUP($L134,'[12]IMAGE CurPol SSP'!$BU$3:$BZ$29,6,FALSE)*$AS134))</f>
        <v>1.1900928020631671</v>
      </c>
      <c r="BT134" s="111">
        <f>IF($BI$8=2015,"",IF($BI$8=2018,"",VLOOKUP($L134,'[12]IMAGE CurPol SSP'!$CQ$3:$CV$29,6,FALSE)*$AS134))</f>
        <v>1.1129246559979076</v>
      </c>
      <c r="BU134" s="164">
        <f>IF($BI$8=2015,"",IF($BI$8=2018,"",VLOOKUP($L134,'[12]IMAGE CurPol SSP'!$CF$3:$CK$29,6,FALSE)*$AS134))</f>
        <v>1.2507260977774506</v>
      </c>
      <c r="CN134" t="s">
        <v>297</v>
      </c>
      <c r="CO134" s="165" t="str">
        <f t="shared" si="69"/>
        <v/>
      </c>
      <c r="CP134" s="165" t="str">
        <f t="shared" si="69"/>
        <v/>
      </c>
      <c r="CQ134" s="165" t="str">
        <f t="shared" si="69"/>
        <v/>
      </c>
      <c r="CR134" s="165" t="str">
        <f t="shared" si="65"/>
        <v/>
      </c>
      <c r="CV134" s="125" t="s">
        <v>621</v>
      </c>
      <c r="CW134" s="125" t="s">
        <v>621</v>
      </c>
      <c r="CX134"/>
      <c r="CY134" s="167">
        <f t="shared" si="70"/>
        <v>-4.8977133750503832E-2</v>
      </c>
      <c r="DB134" s="106"/>
      <c r="DC134" s="106"/>
      <c r="DD134" s="106"/>
      <c r="DE134" s="106"/>
      <c r="DF134" s="106"/>
      <c r="DG134" s="105" t="str">
        <f t="shared" si="71"/>
        <v>incl</v>
      </c>
      <c r="DH134" t="s">
        <v>297</v>
      </c>
      <c r="DI134" s="111">
        <f t="shared" si="93"/>
        <v>0</v>
      </c>
      <c r="DJ134" s="111">
        <f t="shared" si="93"/>
        <v>0</v>
      </c>
      <c r="DK134" s="111">
        <f t="shared" si="94"/>
        <v>0</v>
      </c>
      <c r="DL134" s="111">
        <f t="shared" si="95"/>
        <v>0</v>
      </c>
      <c r="DM134" s="111">
        <f t="shared" si="96"/>
        <v>0</v>
      </c>
      <c r="DN134" s="111">
        <f t="shared" si="97"/>
        <v>0</v>
      </c>
      <c r="DO134" s="111">
        <f t="shared" si="98"/>
        <v>0</v>
      </c>
      <c r="DP134" s="111">
        <f t="shared" si="99"/>
        <v>0</v>
      </c>
      <c r="DQ134" s="106"/>
      <c r="DR134" s="106"/>
      <c r="DS134" s="111"/>
      <c r="DT134" s="168"/>
      <c r="DW134" s="111">
        <f t="shared" si="72"/>
        <v>1.1900928020631671</v>
      </c>
      <c r="DX134" s="111">
        <f t="shared" si="72"/>
        <v>1.1900928020631671</v>
      </c>
      <c r="DY134" s="111">
        <f t="shared" si="72"/>
        <v>1.1900928020631671</v>
      </c>
      <c r="DZ134" s="111">
        <f t="shared" si="66"/>
        <v>1.1900928020631671</v>
      </c>
      <c r="EP134" t="s">
        <v>297</v>
      </c>
      <c r="ER134" s="111">
        <f t="shared" si="73"/>
        <v>2.0377495759763606</v>
      </c>
      <c r="ES134" s="111">
        <f>IF($BI$8=2015,VLOOKUP($L134,'[12]IMAGE CDLINKS CurPol'!$P$3:$Y$29,10,FALSE)*$AM134,VLOOKUP($L134,'[12]IMAGE CDLINKS CurPol'!$Z$3:$AI$29,10,FALSE)*$AP134)</f>
        <v>1.9526598323204898</v>
      </c>
      <c r="ET134" s="111">
        <f t="shared" si="86"/>
        <v>1.9526598323204898</v>
      </c>
      <c r="EU134" s="111">
        <f t="shared" si="76"/>
        <v>0.41603231568460869</v>
      </c>
      <c r="EV134" s="111">
        <f>IF($BI$8=2015,VLOOKUP($L134,'[12]IMAGE CDLINKS 2C'!$P$3:$Y$29,10,FALSE)*$AM134,VLOOKUP($L134,'[12]IMAGE CDLINKS 2C'!$Z$3:$AI$29,10,FALSE)*$AP134)</f>
        <v>0.41603231568460869</v>
      </c>
      <c r="EY134" s="111">
        <f t="shared" si="77"/>
        <v>0.23011741841746625</v>
      </c>
      <c r="EZ134" s="111">
        <f>IF($BI$8=2015,VLOOKUP($L134,'[12]IMAGE CDLINKS 1_5C'!$P$3:$Y$29,10,FALSE)*$AM134,VLOOKUP($L134,'[12]IMAGE CDLINKS 1_5C'!$Z$3:$AI$29,10,FALSE)*$AP134)</f>
        <v>0.23011741841746625</v>
      </c>
      <c r="FA134" s="192" t="s">
        <v>2338</v>
      </c>
    </row>
    <row r="135" spans="1:157" x14ac:dyDescent="0.25">
      <c r="A135" t="str">
        <f>IF([12]NDCs!C137="","",[12]NDCs!C137)</f>
        <v>A</v>
      </c>
      <c r="B135" s="159" t="str">
        <f t="shared" si="67"/>
        <v>v</v>
      </c>
      <c r="C135">
        <v>0</v>
      </c>
      <c r="D135">
        <v>0</v>
      </c>
      <c r="E135">
        <v>0</v>
      </c>
      <c r="F135">
        <v>1</v>
      </c>
      <c r="G135" t="b">
        <f t="shared" si="68"/>
        <v>1</v>
      </c>
      <c r="H135" t="s">
        <v>2333</v>
      </c>
      <c r="I135" t="s">
        <v>299</v>
      </c>
      <c r="J135">
        <v>584</v>
      </c>
      <c r="K135">
        <v>150</v>
      </c>
      <c r="L135">
        <v>24</v>
      </c>
      <c r="M135" t="str">
        <f>IF([12]NDCs!AL137="Excluding","excl","incl")</f>
        <v>excl</v>
      </c>
      <c r="N135" s="160">
        <f>[12]GHG_hist!BA125+IF($M135="incl",[12]LULUCF_hist!CR125,0)</f>
        <v>0.10327828999999999</v>
      </c>
      <c r="O135" s="111">
        <f>[12]GHG_hist!BB125+IF($M135="incl",[12]LULUCF_hist!CS125,0)</f>
        <v>0.10758452</v>
      </c>
      <c r="P135" s="111">
        <f>[12]GHG_hist!BC125+IF($M135="incl",[12]LULUCF_hist!CT125,0)</f>
        <v>0.10749714</v>
      </c>
      <c r="Q135" s="111">
        <f>[12]GHG_hist!BD125+IF($M135="incl",[12]LULUCF_hist!CU125,0)</f>
        <v>0.11407489</v>
      </c>
      <c r="R135" s="111">
        <f>[12]GHG_hist!BE125+IF($M135="incl",[12]LULUCF_hist!CV125,0)</f>
        <v>0.11460374000000001</v>
      </c>
      <c r="S135" s="111">
        <f>[12]GHG_hist!BF125+IF($M135="incl",[12]LULUCF_hist!CW125,0)</f>
        <v>0.11797814</v>
      </c>
      <c r="T135" s="111">
        <f>[12]GHG_hist!BG125+IF($M135="incl",[12]LULUCF_hist!CX125,0)</f>
        <v>0.11862465</v>
      </c>
      <c r="U135" s="111">
        <f>[12]GHG_hist!BH125+IF($M135="incl",[12]LULUCF_hist!CY125,0)</f>
        <v>0.11889319999999999</v>
      </c>
      <c r="V135" s="111">
        <f>[12]GHG_hist!BI125+IF($M135="incl",[12]LULUCF_hist!CZ125,0)</f>
        <v>0.12213187</v>
      </c>
      <c r="W135" s="111">
        <f>[12]GHG_hist!BJ125+IF($M135="incl",[12]LULUCF_hist!DA125,0)</f>
        <v>0.11931739000000001</v>
      </c>
      <c r="X135" s="111">
        <f>[12]GHG_hist!BK125+IF($M135="incl",[12]LULUCF_hist!DB125,0)</f>
        <v>0.12999110999999999</v>
      </c>
      <c r="Y135" s="111">
        <f>[12]GHG_hist!BL125+IF($M135="incl",[12]LULUCF_hist!DC125,0)</f>
        <v>0.13280811000000001</v>
      </c>
      <c r="Z135" s="111">
        <f>[12]GHG_hist!BM125+IF($M135="incl",[12]LULUCF_hist!DD125,0)</f>
        <v>0.13875293999999999</v>
      </c>
      <c r="AA135" s="111">
        <f>[12]GHG_hist!BN125+IF($M135="incl",[12]LULUCF_hist!DE125,0)</f>
        <v>0.13564549000000001</v>
      </c>
      <c r="AB135" s="111">
        <f>[12]GHG_hist!BO125+IF($M135="incl",[12]LULUCF_hist!DF125,0)</f>
        <v>0.144957</v>
      </c>
      <c r="AC135" s="111">
        <f>[12]GHG_hist!BP125+IF($M135="incl",[12]LULUCF_hist!DG125,0)</f>
        <v>0.14175661000000001</v>
      </c>
      <c r="AD135" s="111">
        <f>[12]GHG_hist!BQ125+IF($M135="incl",[12]LULUCF_hist!DH125,0)</f>
        <v>0.15099747999999999</v>
      </c>
      <c r="AE135" s="111">
        <f>[12]GHG_hist!BR125+IF($M135="incl",[12]LULUCF_hist!DI125,0)</f>
        <v>0.15743186000000001</v>
      </c>
      <c r="AF135" s="111">
        <f>[12]GHG_hist!BS125+IF($M135="incl",[12]LULUCF_hist!DJ125,0)</f>
        <v>0.16406607000000001</v>
      </c>
      <c r="AG135" s="111">
        <f>[12]GHG_hist!BT125+IF($M135="incl",[12]LULUCF_hist!DK125,0)</f>
        <v>0.17081979999999999</v>
      </c>
      <c r="AH135" s="111">
        <f>[12]GHG_hist!BU125+IF($M135="incl",[12]LULUCF_hist!DL125,0)</f>
        <v>0.17772654000000002</v>
      </c>
      <c r="AI135" s="111">
        <f>[12]GHG_hist!BV125+IF($M135="incl",[12]LULUCF_hist!DM125,0)</f>
        <v>0.18024538000000001</v>
      </c>
      <c r="AJ135" s="111">
        <f>[12]GHG_hist!BW125+IF($M135="incl",[12]LULUCF_hist!DN125,0)</f>
        <v>0.17741628000000001</v>
      </c>
      <c r="AK135" s="111">
        <f>[12]GHG_hist!BX125+IF($M135="incl",[12]LULUCF_hist!DO125,0)</f>
        <v>0.18139394</v>
      </c>
      <c r="AL135" s="111">
        <f>[12]GHG_hist!BY125+IF($M135="incl",[12]LULUCF_hist!DP125,0)</f>
        <v>0.18531823</v>
      </c>
      <c r="AM135" s="111">
        <f>[12]GHG_hist!BZ125+IF($M135="incl",[12]LULUCF_hist!DQ125,0)</f>
        <v>0.18586582000000001</v>
      </c>
      <c r="AN135" s="111">
        <f>[12]GHG_hist!CA125+IF($M135="incl",[12]LULUCF_hist!DR125,0)</f>
        <v>0.18633063000000002</v>
      </c>
      <c r="AO135" s="111">
        <f>[12]GHG_hist!CB125+IF($M135="incl",[12]LULUCF_hist!DS125,0)</f>
        <v>0.19025491999999999</v>
      </c>
      <c r="AP135" s="111">
        <f>[12]GHG_hist!CC125+IF($M135="incl",[12]LULUCF_hist!DT125,0)</f>
        <v>0.19551091000000001</v>
      </c>
      <c r="AQ135" s="111">
        <f>[12]GHG_hist!CD125+IF($M135="incl",[12]LULUCF_hist!DU125,0)</f>
        <v>0.20737384</v>
      </c>
      <c r="AR135" s="111">
        <f>[12]GHG_hist!CE125+IF($M135="incl",[12]LULUCF_hist!DV125,0)</f>
        <v>0.20852610000000002</v>
      </c>
      <c r="AS135" s="111">
        <f>[12]GHG_hist!CF125+IF($M135="incl",[12]LULUCF_hist!DW125,0)</f>
        <v>0.21442496</v>
      </c>
      <c r="AT135" s="161">
        <f>VLOOKUP($L135,'[12]IMAGE SSP2'!$AF$3:$AK$29,4,FALSE)*$AM135</f>
        <v>0.19952494506120994</v>
      </c>
      <c r="AU135" s="162">
        <f>VLOOKUP($L135,'[12]IMAGE SSP2'!$AF$3:$AK$29,5,FALSE)*$AM135</f>
        <v>0.20484086502179538</v>
      </c>
      <c r="AV135" s="163">
        <f>VLOOKUP($L135,'[12]IMAGE SSP2'!$AF$3:$AK$29,6,FALSE)*$AM135</f>
        <v>0.20723979310842042</v>
      </c>
      <c r="AW135" s="111" t="str">
        <f t="shared" si="75"/>
        <v/>
      </c>
      <c r="AX135" s="164" t="str">
        <f>IF(A135="B",IF(M135="excl",[12]NatCom!CO125,[12]NatCom!AX125),"")</f>
        <v/>
      </c>
      <c r="AY135" s="111" t="str">
        <f>IF('[12]Pledge 2020'!E125="","",'[12]Pledge 2020'!E125)</f>
        <v/>
      </c>
      <c r="AZ135" s="164" t="str">
        <f>IF('[12]Pledge 2020'!F125="","",'[12]Pledge 2020'!F125)</f>
        <v/>
      </c>
      <c r="BA135" s="111">
        <f t="shared" si="100"/>
        <v>0.11448238500000002</v>
      </c>
      <c r="BB135" s="111">
        <f>IF(BF135="","",(BF135-AH135)*0.75+AH135)</f>
        <v>0.11448238500000002</v>
      </c>
      <c r="BC135" s="111">
        <f t="shared" si="101"/>
        <v>0.11448238500000002</v>
      </c>
      <c r="BD135" s="111">
        <f>IF(BH135="","",(BH135-AH135)*0.75+AH135)</f>
        <v>0.11448238500000002</v>
      </c>
      <c r="BE135" s="169">
        <v>9.3401000000000012E-2</v>
      </c>
      <c r="BF135" s="169">
        <v>9.3401000000000012E-2</v>
      </c>
      <c r="BG135" s="169">
        <v>9.3401000000000012E-2</v>
      </c>
      <c r="BH135" s="170">
        <v>9.3401000000000012E-2</v>
      </c>
      <c r="BI135" s="111">
        <f>IF([12]NDCs!V137="",IF([12]NDCs!X137="","",[12]NDCs!X137),[12]NDCs!V137)</f>
        <v>9.3401000000000012E-2</v>
      </c>
      <c r="BJ135" s="111">
        <f>IF([12]NDCs!V137="",IF([12]NDCs!X137="","",[12]NDCs!X137),[12]NDCs!V137)</f>
        <v>9.3401000000000012E-2</v>
      </c>
      <c r="BK135" s="111">
        <f>IF([12]NDCs!Z137="",IF([12]NDCs!AB137="",IF('input site'!BE135="","",'input site'!BE135),[12]NDCs!AB137),[12]NDCs!Z137)</f>
        <v>9.3401000000000012E-2</v>
      </c>
      <c r="BL135" s="111">
        <f>IF([12]NDCs!AA137="",IF([12]NDCs!AC137="",IF('input site'!BF135="","",'input site'!BF135),[12]NDCs!AC137),[12]NDCs!AA137)</f>
        <v>9.3401000000000012E-2</v>
      </c>
      <c r="BM135" s="111">
        <f>IF($BI$8=2015,VLOOKUP($L135,'[12]IMAGE CurPol SSP'!$AZ$3:$BD$29,4,FALSE)*$AM135,IF($BI$8=2018,VLOOKUP($L135,'[12]IMAGE CurPol SSP'!$BJ$3:$BN$29,4,FALSE)*$AP135,$AR135))</f>
        <v>0.20852610000000002</v>
      </c>
      <c r="BN135" s="111">
        <f t="shared" si="102"/>
        <v>0.20852610000000002</v>
      </c>
      <c r="BO135" s="111">
        <f t="shared" si="102"/>
        <v>0.20852610000000002</v>
      </c>
      <c r="BP135" s="111">
        <f>IF($BI$8=2015,VLOOKUP($L135,'[12]IMAGE CurPol SSP'!$AZ$3:$BD$29,5,FALSE)*$AM135,IF($BI$8=2018,VLOOKUP($L135,'[12]IMAGE CurPol SSP'!$BJ$3:$BN$29,5,FALSE)*$AP135,VLOOKUP($L135,'[12]IMAGE CurPol SSP'!$BU$3:$BZ$29,5,FALSE)*$AS135))</f>
        <v>0.21838394824589799</v>
      </c>
      <c r="BQ135" s="111">
        <f>IF($BI$8=2015,"",IF($BI$8=2018,"",VLOOKUP($L135,'[12]IMAGE CurPol SSP'!$CQ$3:$CV$29,5,FALSE)*$AS135))</f>
        <v>0.21261607243521122</v>
      </c>
      <c r="BR135" s="111">
        <f>IF($BI$8=2015,"",IF($BI$8=2018,"",VLOOKUP($L135,'[12]IMAGE CurPol SSP'!$CF$3:$CK$29,5,FALSE)*$AS135))</f>
        <v>0.21838394824589799</v>
      </c>
      <c r="BS135" s="111">
        <f>IF($BI$8=2015,VLOOKUP($L135,'[12]IMAGE CurPol SSP'!$AZ$3:$BE$29,6,FALSE)*$AM135,IF($BI$8=2018,VLOOKUP($L135,'[12]IMAGE CurPol SSP'!$BJ$3:$BO$29,6,FALSE)*$AP135,VLOOKUP($L135,'[12]IMAGE CurPol SSP'!$BU$3:$BZ$29,6,FALSE)*$AS135))</f>
        <v>0.22478782457437027</v>
      </c>
      <c r="BT135" s="111">
        <f>IF($BI$8=2015,"",IF($BI$8=2018,"",VLOOKUP($L135,'[12]IMAGE CurPol SSP'!$CQ$3:$CV$29,6,FALSE)*$AS135))</f>
        <v>0.20762265001909821</v>
      </c>
      <c r="BU135" s="164">
        <f>IF($BI$8=2015,"",IF($BI$8=2018,"",VLOOKUP($L135,'[12]IMAGE CurPol SSP'!$CF$3:$CK$29,6,FALSE)*$AS135))</f>
        <v>0.22478782457437027</v>
      </c>
      <c r="CN135" t="s">
        <v>299</v>
      </c>
      <c r="CO135" s="165">
        <f t="shared" si="69"/>
        <v>-0.58449262019928216</v>
      </c>
      <c r="CP135" s="165">
        <f t="shared" si="69"/>
        <v>-0.58449262019928216</v>
      </c>
      <c r="CQ135" s="165">
        <f t="shared" si="69"/>
        <v>-0.58449262019928216</v>
      </c>
      <c r="CR135" s="165">
        <f t="shared" si="65"/>
        <v>-0.58449262019928216</v>
      </c>
      <c r="CV135" s="125" t="s">
        <v>621</v>
      </c>
      <c r="CW135" s="125" t="s">
        <v>621</v>
      </c>
      <c r="CX135"/>
      <c r="CY135" s="167">
        <f t="shared" si="70"/>
        <v>-9.0011549387900847E-3</v>
      </c>
      <c r="DB135" s="106"/>
      <c r="DC135" s="106"/>
      <c r="DD135" s="106"/>
      <c r="DE135" s="106"/>
      <c r="DF135" s="106"/>
      <c r="DG135" s="105" t="str">
        <f t="shared" si="71"/>
        <v>excl</v>
      </c>
      <c r="DH135" t="s">
        <v>299</v>
      </c>
      <c r="DI135" s="111">
        <f t="shared" si="93"/>
        <v>0</v>
      </c>
      <c r="DJ135" s="111">
        <f t="shared" si="93"/>
        <v>0</v>
      </c>
      <c r="DK135" s="111">
        <f t="shared" si="94"/>
        <v>-0.10390156324589797</v>
      </c>
      <c r="DL135" s="111">
        <f t="shared" si="95"/>
        <v>-0.10390156324589797</v>
      </c>
      <c r="DM135" s="111">
        <f t="shared" si="96"/>
        <v>-0.13138682457437026</v>
      </c>
      <c r="DN135" s="111">
        <f t="shared" si="97"/>
        <v>-0.13138682457437026</v>
      </c>
      <c r="DO135" s="111">
        <f t="shared" si="98"/>
        <v>-0.13138682457437026</v>
      </c>
      <c r="DP135" s="111">
        <f t="shared" si="99"/>
        <v>-0.13138682457437026</v>
      </c>
      <c r="DQ135" s="106"/>
      <c r="DR135" s="106"/>
      <c r="DS135" s="111"/>
      <c r="DT135" s="168"/>
      <c r="DW135" s="111">
        <f t="shared" si="72"/>
        <v>9.3401000000000012E-2</v>
      </c>
      <c r="DX135" s="111">
        <f t="shared" si="72"/>
        <v>9.3401000000000012E-2</v>
      </c>
      <c r="DY135" s="111">
        <f t="shared" si="72"/>
        <v>9.3401000000000012E-2</v>
      </c>
      <c r="DZ135" s="111">
        <f t="shared" si="66"/>
        <v>9.3401000000000012E-2</v>
      </c>
      <c r="EP135" t="s">
        <v>299</v>
      </c>
      <c r="EQ135">
        <v>4</v>
      </c>
      <c r="ER135" s="111">
        <f t="shared" si="73"/>
        <v>0.19551091000000001</v>
      </c>
      <c r="ES135" s="111">
        <f>IF($BI$8=2015,VLOOKUP($L135,'[12]IMAGE CDLINKS CurPol'!$P$3:$Y$29,10,FALSE)*$AM135,VLOOKUP($L135,'[12]IMAGE CDLINKS CurPol'!$Z$3:$AI$29,10,FALSE)*$AP135)</f>
        <v>0.20157298844849342</v>
      </c>
      <c r="ET135" s="111">
        <f t="shared" si="86"/>
        <v>0</v>
      </c>
      <c r="EU135" s="111">
        <f t="shared" si="76"/>
        <v>0</v>
      </c>
      <c r="EV135" s="111">
        <f>IF($BI$8=2015,VLOOKUP($L135,'[12]IMAGE CDLINKS 2C'!$P$3:$Y$29,10,FALSE)*$AM135,VLOOKUP($L135,'[12]IMAGE CDLINKS 2C'!$Z$3:$AI$29,10,FALSE)*$AP135)</f>
        <v>7.747198831790876E-2</v>
      </c>
      <c r="EW135">
        <v>0</v>
      </c>
      <c r="EX135" s="111">
        <f>EW135-EV135</f>
        <v>-7.747198831790876E-2</v>
      </c>
      <c r="EY135" s="111">
        <f t="shared" si="77"/>
        <v>0</v>
      </c>
      <c r="EZ135" s="111">
        <f>IF($BI$8=2015,VLOOKUP($L135,'[12]IMAGE CDLINKS 1_5C'!$P$3:$Y$29,10,FALSE)*$AM135,VLOOKUP($L135,'[12]IMAGE CDLINKS 1_5C'!$Z$3:$AI$29,10,FALSE)*$AP135)</f>
        <v>3.3511568407889408E-2</v>
      </c>
      <c r="FA135" s="192">
        <v>2050</v>
      </c>
    </row>
    <row r="136" spans="1:157" x14ac:dyDescent="0.25">
      <c r="A136" t="str">
        <f>IF([12]NDCs!C138="","",[12]NDCs!C138)</f>
        <v/>
      </c>
      <c r="B136" s="159" t="str">
        <f t="shared" si="67"/>
        <v>v</v>
      </c>
      <c r="C136">
        <v>0</v>
      </c>
      <c r="D136">
        <v>0</v>
      </c>
      <c r="E136">
        <v>0</v>
      </c>
      <c r="F136">
        <v>0</v>
      </c>
      <c r="G136" t="b">
        <f t="shared" si="68"/>
        <v>0</v>
      </c>
      <c r="H136" t="s">
        <v>2328</v>
      </c>
      <c r="I136" t="s">
        <v>301</v>
      </c>
      <c r="J136">
        <v>474</v>
      </c>
      <c r="K136">
        <v>123</v>
      </c>
      <c r="L136">
        <v>4</v>
      </c>
      <c r="M136" t="str">
        <f>IF([12]NDCs!AL138="Excluding","excl","incl")</f>
        <v>excl</v>
      </c>
      <c r="N136" s="160">
        <f>[12]GHG_hist!BA126+IF($M136="incl",[12]LULUCF_hist!CR126,0)</f>
        <v>0</v>
      </c>
      <c r="O136" s="111">
        <f>[12]GHG_hist!BB126+IF($M136="incl",[12]LULUCF_hist!CS126,0)</f>
        <v>0</v>
      </c>
      <c r="P136" s="111">
        <f>[12]GHG_hist!BC126+IF($M136="incl",[12]LULUCF_hist!CT126,0)</f>
        <v>0</v>
      </c>
      <c r="Q136" s="111">
        <f>[12]GHG_hist!BD126+IF($M136="incl",[12]LULUCF_hist!CU126,0)</f>
        <v>0</v>
      </c>
      <c r="R136" s="111">
        <f>[12]GHG_hist!BE126+IF($M136="incl",[12]LULUCF_hist!CV126,0)</f>
        <v>0</v>
      </c>
      <c r="S136" s="111">
        <f>[12]GHG_hist!BF126+IF($M136="incl",[12]LULUCF_hist!CW126,0)</f>
        <v>0</v>
      </c>
      <c r="T136" s="111">
        <f>[12]GHG_hist!BG126+IF($M136="incl",[12]LULUCF_hist!CX126,0)</f>
        <v>0</v>
      </c>
      <c r="U136" s="111">
        <f>[12]GHG_hist!BH126+IF($M136="incl",[12]LULUCF_hist!CY126,0)</f>
        <v>0</v>
      </c>
      <c r="V136" s="111">
        <f>[12]GHG_hist!BI126+IF($M136="incl",[12]LULUCF_hist!CZ126,0)</f>
        <v>0</v>
      </c>
      <c r="W136" s="111">
        <f>[12]GHG_hist!BJ126+IF($M136="incl",[12]LULUCF_hist!DA126,0)</f>
        <v>0</v>
      </c>
      <c r="X136" s="111">
        <f>[12]GHG_hist!BK126+IF($M136="incl",[12]LULUCF_hist!DB126,0)</f>
        <v>0</v>
      </c>
      <c r="Y136" s="111">
        <f>[12]GHG_hist!BL126+IF($M136="incl",[12]LULUCF_hist!DC126,0)</f>
        <v>0</v>
      </c>
      <c r="Z136" s="111">
        <f>[12]GHG_hist!BM126+IF($M136="incl",[12]LULUCF_hist!DD126,0)</f>
        <v>0</v>
      </c>
      <c r="AA136" s="111">
        <f>[12]GHG_hist!BN126+IF($M136="incl",[12]LULUCF_hist!DE126,0)</f>
        <v>0</v>
      </c>
      <c r="AB136" s="111">
        <f>[12]GHG_hist!BO126+IF($M136="incl",[12]LULUCF_hist!DF126,0)</f>
        <v>0</v>
      </c>
      <c r="AC136" s="111">
        <f>[12]GHG_hist!BP126+IF($M136="incl",[12]LULUCF_hist!DG126,0)</f>
        <v>0</v>
      </c>
      <c r="AD136" s="111">
        <f>[12]GHG_hist!BQ126+IF($M136="incl",[12]LULUCF_hist!DH126,0)</f>
        <v>0</v>
      </c>
      <c r="AE136" s="111">
        <f>[12]GHG_hist!BR126+IF($M136="incl",[12]LULUCF_hist!DI126,0)</f>
        <v>0</v>
      </c>
      <c r="AF136" s="111">
        <f>[12]GHG_hist!BS126+IF($M136="incl",[12]LULUCF_hist!DJ126,0)</f>
        <v>0</v>
      </c>
      <c r="AG136" s="111">
        <f>[12]GHG_hist!BT126+IF($M136="incl",[12]LULUCF_hist!DK126,0)</f>
        <v>0</v>
      </c>
      <c r="AH136" s="111">
        <f>[12]GHG_hist!BU126+IF($M136="incl",[12]LULUCF_hist!DL126,0)</f>
        <v>0</v>
      </c>
      <c r="AI136" s="111">
        <f>[12]GHG_hist!BV126+IF($M136="incl",[12]LULUCF_hist!DM126,0)</f>
        <v>0</v>
      </c>
      <c r="AJ136" s="111">
        <f>[12]GHG_hist!BW126+IF($M136="incl",[12]LULUCF_hist!DN126,0)</f>
        <v>0</v>
      </c>
      <c r="AK136" s="111">
        <f>[12]GHG_hist!BX126+IF($M136="incl",[12]LULUCF_hist!DO126,0)</f>
        <v>0</v>
      </c>
      <c r="AL136" s="111">
        <f>[12]GHG_hist!BY126+IF($M136="incl",[12]LULUCF_hist!DP126,0)</f>
        <v>0</v>
      </c>
      <c r="AM136" s="111">
        <f>[12]GHG_hist!BZ126+IF($M136="incl",[12]LULUCF_hist!DQ126,0)</f>
        <v>0</v>
      </c>
      <c r="AN136" s="111">
        <f>[12]GHG_hist!CA126+IF($M136="incl",[12]LULUCF_hist!DR126,0)</f>
        <v>0</v>
      </c>
      <c r="AO136" s="111">
        <f>[12]GHG_hist!CB126+IF($M136="incl",[12]LULUCF_hist!DS126,0)</f>
        <v>0</v>
      </c>
      <c r="AP136" s="111">
        <f>[12]GHG_hist!CC126+IF($M136="incl",[12]LULUCF_hist!DT126,0)</f>
        <v>0</v>
      </c>
      <c r="AQ136" s="111">
        <f>[12]GHG_hist!CD126+IF($M136="incl",[12]LULUCF_hist!DU126,0)</f>
        <v>0</v>
      </c>
      <c r="AR136" s="111">
        <f>[12]GHG_hist!CE126+IF($M136="incl",[12]LULUCF_hist!DV126,0)</f>
        <v>0</v>
      </c>
      <c r="AS136" s="111">
        <f>[12]GHG_hist!CF126+IF($M136="incl",[12]LULUCF_hist!DW126,0)</f>
        <v>0</v>
      </c>
      <c r="AT136" s="161">
        <f>VLOOKUP($L136,'[12]IMAGE SSP2'!$AF$3:$AK$29,4,FALSE)*$AM136</f>
        <v>0</v>
      </c>
      <c r="AU136" s="162">
        <f>VLOOKUP($L136,'[12]IMAGE SSP2'!$AF$3:$AK$29,5,FALSE)*$AM136</f>
        <v>0</v>
      </c>
      <c r="AV136" s="163">
        <f>VLOOKUP($L136,'[12]IMAGE SSP2'!$AF$3:$AK$29,6,FALSE)*$AM136</f>
        <v>0</v>
      </c>
      <c r="AW136" s="111" t="str">
        <f t="shared" si="75"/>
        <v/>
      </c>
      <c r="AX136" s="164" t="str">
        <f>IF(A136="B",IF(M136="excl",[12]NatCom!CO126,[12]NatCom!AX126),"")</f>
        <v/>
      </c>
      <c r="AY136" s="111" t="str">
        <f>IF('[12]Pledge 2020'!E126="","",'[12]Pledge 2020'!E126)</f>
        <v/>
      </c>
      <c r="AZ136" s="164" t="str">
        <f>IF('[12]Pledge 2020'!F126="","",'[12]Pledge 2020'!F126)</f>
        <v/>
      </c>
      <c r="BA136" s="111" t="str">
        <f t="shared" si="100"/>
        <v/>
      </c>
      <c r="BB136" s="111"/>
      <c r="BC136" s="111" t="str">
        <f t="shared" si="101"/>
        <v/>
      </c>
      <c r="BD136" s="111"/>
      <c r="BE136" s="111" t="s">
        <v>2477</v>
      </c>
      <c r="BF136" s="111"/>
      <c r="BG136" s="111" t="s">
        <v>2477</v>
      </c>
      <c r="BH136" s="164"/>
      <c r="BI136" s="111" t="str">
        <f>IF([12]NDCs!V138="",IF([12]NDCs!X138="","",[12]NDCs!X138),[12]NDCs!V138)</f>
        <v/>
      </c>
      <c r="BJ136" s="111" t="str">
        <f>IF([12]NDCs!V138="",IF([12]NDCs!X138="","",[12]NDCs!X138),[12]NDCs!V138)</f>
        <v/>
      </c>
      <c r="BK136" s="111" t="str">
        <f>IF([12]NDCs!Z138="",IF([12]NDCs!AB138="",IF('input site'!BE136="","",'input site'!BE136),[12]NDCs!AB138),[12]NDCs!Z138)</f>
        <v/>
      </c>
      <c r="BL136" s="111" t="str">
        <f>IF([12]NDCs!AA138="",IF([12]NDCs!AC138="",IF('input site'!BF136="","",'input site'!BF136),[12]NDCs!AC138),[12]NDCs!AA138)</f>
        <v/>
      </c>
      <c r="BM136" s="111">
        <f>IF($BI$8=2015,VLOOKUP($L136,'[12]IMAGE CurPol SSP'!$AZ$3:$BD$29,4,FALSE)*$AM136,IF($BI$8=2018,VLOOKUP($L136,'[12]IMAGE CurPol SSP'!$BJ$3:$BN$29,4,FALSE)*$AP136,$AR136))</f>
        <v>0</v>
      </c>
      <c r="BN136" s="111">
        <f t="shared" si="102"/>
        <v>0</v>
      </c>
      <c r="BO136" s="111">
        <f t="shared" si="102"/>
        <v>0</v>
      </c>
      <c r="BP136" s="111">
        <f>IF($BI$8=2015,VLOOKUP($L136,'[12]IMAGE CurPol SSP'!$AZ$3:$BD$29,5,FALSE)*$AM136,IF($BI$8=2018,VLOOKUP($L136,'[12]IMAGE CurPol SSP'!$BJ$3:$BN$29,5,FALSE)*$AP136,VLOOKUP($L136,'[12]IMAGE CurPol SSP'!$BU$3:$BZ$29,5,FALSE)*$AS136))</f>
        <v>0</v>
      </c>
      <c r="BQ136" s="111">
        <f>IF($BI$8=2015,"",IF($BI$8=2018,"",VLOOKUP($L136,'[12]IMAGE CurPol SSP'!$CQ$3:$CV$29,5,FALSE)*$AS136))</f>
        <v>0</v>
      </c>
      <c r="BR136" s="111">
        <f>IF($BI$8=2015,"",IF($BI$8=2018,"",VLOOKUP($L136,'[12]IMAGE CurPol SSP'!$CF$3:$CK$29,5,FALSE)*$AS136))</f>
        <v>0</v>
      </c>
      <c r="BS136" s="111">
        <f>IF($BI$8=2015,VLOOKUP($L136,'[12]IMAGE CurPol SSP'!$AZ$3:$BE$29,6,FALSE)*$AM136,IF($BI$8=2018,VLOOKUP($L136,'[12]IMAGE CurPol SSP'!$BJ$3:$BO$29,6,FALSE)*$AP136,VLOOKUP($L136,'[12]IMAGE CurPol SSP'!$BU$3:$BZ$29,6,FALSE)*$AS136))</f>
        <v>0</v>
      </c>
      <c r="BT136" s="111">
        <f>IF($BI$8=2015,"",IF($BI$8=2018,"",VLOOKUP($L136,'[12]IMAGE CurPol SSP'!$CQ$3:$CV$29,6,FALSE)*$AS136))</f>
        <v>0</v>
      </c>
      <c r="BU136" s="164">
        <f>IF($BI$8=2015,"",IF($BI$8=2018,"",VLOOKUP($L136,'[12]IMAGE CurPol SSP'!$CF$3:$CK$29,6,FALSE)*$AS136))</f>
        <v>0</v>
      </c>
      <c r="CN136" t="s">
        <v>301</v>
      </c>
      <c r="CO136" s="165" t="str">
        <f t="shared" si="69"/>
        <v/>
      </c>
      <c r="CP136" s="165" t="str">
        <f t="shared" si="69"/>
        <v/>
      </c>
      <c r="CQ136" s="165" t="str">
        <f t="shared" si="69"/>
        <v/>
      </c>
      <c r="CR136" s="165" t="str">
        <f t="shared" si="65"/>
        <v/>
      </c>
      <c r="CV136" s="125" t="s">
        <v>621</v>
      </c>
      <c r="CW136" s="125" t="s">
        <v>621</v>
      </c>
      <c r="CX136" s="208">
        <f>AP136/$AP$255</f>
        <v>0</v>
      </c>
      <c r="CY136" s="167">
        <f t="shared" si="70"/>
        <v>0</v>
      </c>
      <c r="DB136" s="106"/>
      <c r="DC136" s="106"/>
      <c r="DD136" s="106"/>
      <c r="DE136" s="106"/>
      <c r="DF136" s="106"/>
      <c r="DG136" s="105" t="str">
        <f t="shared" si="71"/>
        <v>excl</v>
      </c>
      <c r="DH136" t="s">
        <v>301</v>
      </c>
      <c r="DI136" s="111">
        <f t="shared" si="93"/>
        <v>0</v>
      </c>
      <c r="DJ136" s="111">
        <f t="shared" si="93"/>
        <v>0</v>
      </c>
      <c r="DK136" s="111">
        <f t="shared" si="94"/>
        <v>0</v>
      </c>
      <c r="DL136" s="111">
        <f t="shared" si="95"/>
        <v>0</v>
      </c>
      <c r="DM136" s="111">
        <f t="shared" si="96"/>
        <v>0</v>
      </c>
      <c r="DN136" s="111">
        <f t="shared" si="97"/>
        <v>0</v>
      </c>
      <c r="DO136" s="111">
        <f t="shared" si="98"/>
        <v>0</v>
      </c>
      <c r="DP136" s="111">
        <f t="shared" si="99"/>
        <v>0</v>
      </c>
      <c r="DQ136" s="106"/>
      <c r="DR136" s="106"/>
      <c r="DS136" s="111"/>
      <c r="DT136" s="168"/>
      <c r="DW136" s="111">
        <f t="shared" si="72"/>
        <v>0</v>
      </c>
      <c r="DX136" s="111">
        <f t="shared" si="72"/>
        <v>0</v>
      </c>
      <c r="DY136" s="111">
        <f t="shared" si="72"/>
        <v>0</v>
      </c>
      <c r="DZ136" s="111">
        <f t="shared" si="66"/>
        <v>0</v>
      </c>
      <c r="EP136" t="s">
        <v>301</v>
      </c>
      <c r="EQ136">
        <v>0</v>
      </c>
      <c r="ER136" s="111">
        <f t="shared" si="73"/>
        <v>0</v>
      </c>
      <c r="ES136" s="111">
        <f>IF($BI$8=2015,VLOOKUP($L136,'[12]IMAGE CDLINKS CurPol'!$P$3:$Y$29,10,FALSE)*$AM136,VLOOKUP($L136,'[12]IMAGE CDLINKS CurPol'!$Z$3:$AI$29,10,FALSE)*$AP136)</f>
        <v>0</v>
      </c>
      <c r="ET136" s="111">
        <f t="shared" si="86"/>
        <v>0</v>
      </c>
      <c r="EU136" s="111">
        <f t="shared" si="76"/>
        <v>0</v>
      </c>
      <c r="EV136" s="111">
        <f>IF($BI$8=2015,VLOOKUP($L136,'[12]IMAGE CDLINKS 2C'!$P$3:$Y$29,10,FALSE)*$AM136,VLOOKUP($L136,'[12]IMAGE CDLINKS 2C'!$Z$3:$AI$29,10,FALSE)*$AP136)</f>
        <v>0</v>
      </c>
      <c r="EY136" s="111">
        <f t="shared" si="77"/>
        <v>0</v>
      </c>
      <c r="EZ136" s="111">
        <f>IF($BI$8=2015,VLOOKUP($L136,'[12]IMAGE CDLINKS 1_5C'!$P$3:$Y$29,10,FALSE)*$AM136,VLOOKUP($L136,'[12]IMAGE CDLINKS 1_5C'!$Z$3:$AI$29,10,FALSE)*$AP136)</f>
        <v>0</v>
      </c>
      <c r="FA136" s="192"/>
    </row>
    <row r="137" spans="1:157" x14ac:dyDescent="0.25">
      <c r="A137" t="str">
        <f>IF([12]NDCs!C139="","",[12]NDCs!C139)</f>
        <v>B</v>
      </c>
      <c r="B137" s="159" t="str">
        <f t="shared" si="67"/>
        <v>v</v>
      </c>
      <c r="C137">
        <v>0</v>
      </c>
      <c r="D137">
        <v>0</v>
      </c>
      <c r="E137">
        <v>0</v>
      </c>
      <c r="F137">
        <v>1</v>
      </c>
      <c r="G137" t="b">
        <f t="shared" si="68"/>
        <v>1</v>
      </c>
      <c r="H137" t="s">
        <v>2333</v>
      </c>
      <c r="I137" t="s">
        <v>303</v>
      </c>
      <c r="J137">
        <v>478</v>
      </c>
      <c r="K137">
        <v>124</v>
      </c>
      <c r="L137">
        <v>8</v>
      </c>
      <c r="M137" t="str">
        <f>IF([12]NDCs!AL139="Excluding","excl","incl")</f>
        <v>incl</v>
      </c>
      <c r="N137" s="160">
        <f>[12]GHG_hist!BA127+IF($M137="incl",[12]LULUCF_hist!CR127,0)</f>
        <v>3.4990842999999998</v>
      </c>
      <c r="O137" s="111">
        <f>[12]GHG_hist!BB127+IF($M137="incl",[12]LULUCF_hist!CS127,0)</f>
        <v>6.8302471000000002</v>
      </c>
      <c r="P137" s="111">
        <f>[12]GHG_hist!BC127+IF($M137="incl",[12]LULUCF_hist!CT127,0)</f>
        <v>3.6990070000000004</v>
      </c>
      <c r="Q137" s="111">
        <f>[12]GHG_hist!BD127+IF($M137="incl",[12]LULUCF_hist!CU127,0)</f>
        <v>10.645590599999998</v>
      </c>
      <c r="R137" s="111">
        <f>[12]GHG_hist!BE127+IF($M137="incl",[12]LULUCF_hist!CV127,0)</f>
        <v>7.4232808000000006</v>
      </c>
      <c r="S137" s="111">
        <f>[12]GHG_hist!BF127+IF($M137="incl",[12]LULUCF_hist!CW127,0)</f>
        <v>4.573321</v>
      </c>
      <c r="T137" s="111">
        <f>[12]GHG_hist!BG127+IF($M137="incl",[12]LULUCF_hist!CX127,0)</f>
        <v>4.2706436000000005</v>
      </c>
      <c r="U137" s="111">
        <f>[12]GHG_hist!BH127+IF($M137="incl",[12]LULUCF_hist!CY127,0)</f>
        <v>4.8979822000000004</v>
      </c>
      <c r="V137" s="111">
        <f>[12]GHG_hist!BI127+IF($M137="incl",[12]LULUCF_hist!CZ127,0)</f>
        <v>5.2468069000000002</v>
      </c>
      <c r="W137" s="111">
        <f>[12]GHG_hist!BJ127+IF($M137="incl",[12]LULUCF_hist!DA127,0)</f>
        <v>5.2913724999999996</v>
      </c>
      <c r="X137" s="111">
        <f>[12]GHG_hist!BK127+IF($M137="incl",[12]LULUCF_hist!DB127,0)</f>
        <v>4.8356751000000004</v>
      </c>
      <c r="Y137" s="111">
        <f>[12]GHG_hist!BL127+IF($M137="incl",[12]LULUCF_hist!DC127,0)</f>
        <v>5.0369966000000002</v>
      </c>
      <c r="Z137" s="111">
        <f>[12]GHG_hist!BM127+IF($M137="incl",[12]LULUCF_hist!DD127,0)</f>
        <v>5.2975209999999997</v>
      </c>
      <c r="AA137" s="111">
        <f>[12]GHG_hist!BN127+IF($M137="incl",[12]LULUCF_hist!DE127,0)</f>
        <v>11.0496854</v>
      </c>
      <c r="AB137" s="111">
        <f>[12]GHG_hist!BO127+IF($M137="incl",[12]LULUCF_hist!DF127,0)</f>
        <v>5.5888791000000007</v>
      </c>
      <c r="AC137" s="111">
        <f>[12]GHG_hist!BP127+IF($M137="incl",[12]LULUCF_hist!DG127,0)</f>
        <v>6.4385179000000008</v>
      </c>
      <c r="AD137" s="111">
        <f>[12]GHG_hist!BQ127+IF($M137="incl",[12]LULUCF_hist!DH127,0)</f>
        <v>6.0625094000000006</v>
      </c>
      <c r="AE137" s="111">
        <f>[12]GHG_hist!BR127+IF($M137="incl",[12]LULUCF_hist!DI127,0)</f>
        <v>6.2998220000000007</v>
      </c>
      <c r="AF137" s="111">
        <f>[12]GHG_hist!BS127+IF($M137="incl",[12]LULUCF_hist!DJ127,0)</f>
        <v>9.0686035</v>
      </c>
      <c r="AG137" s="111">
        <f>[12]GHG_hist!BT127+IF($M137="incl",[12]LULUCF_hist!DK127,0)</f>
        <v>8.9185960000000009</v>
      </c>
      <c r="AH137" s="111">
        <f>[12]GHG_hist!BU127+IF($M137="incl",[12]LULUCF_hist!DL127,0)</f>
        <v>7.5016341999999998</v>
      </c>
      <c r="AI137" s="111">
        <f>[12]GHG_hist!BV127+IF($M137="incl",[12]LULUCF_hist!DM127,0)</f>
        <v>7.2799866999999994</v>
      </c>
      <c r="AJ137" s="111">
        <f>[12]GHG_hist!BW127+IF($M137="incl",[12]LULUCF_hist!DN127,0)</f>
        <v>7.7356303000000004</v>
      </c>
      <c r="AK137" s="111">
        <f>[12]GHG_hist!BX127+IF($M137="incl",[12]LULUCF_hist!DO127,0)</f>
        <v>7.2692734999999997</v>
      </c>
      <c r="AL137" s="111">
        <f>[12]GHG_hist!BY127+IF($M137="incl",[12]LULUCF_hist!DP127,0)</f>
        <v>7.8192363999999994</v>
      </c>
      <c r="AM137" s="111">
        <f>[12]GHG_hist!BZ127+IF($M137="incl",[12]LULUCF_hist!DQ127,0)</f>
        <v>8.3256676999999986</v>
      </c>
      <c r="AN137" s="111">
        <f>[12]GHG_hist!CA127+IF($M137="incl",[12]LULUCF_hist!DR127,0)</f>
        <v>8.8040772</v>
      </c>
      <c r="AO137" s="111">
        <f>[12]GHG_hist!CB127+IF($M137="incl",[12]LULUCF_hist!DS127,0)</f>
        <v>9.1327020000000019</v>
      </c>
      <c r="AP137" s="111">
        <f>[12]GHG_hist!CC127+IF($M137="incl",[12]LULUCF_hist!DT127,0)</f>
        <v>10.005689000000002</v>
      </c>
      <c r="AQ137" s="111">
        <f>[12]GHG_hist!CD127+IF($M137="incl",[12]LULUCF_hist!DU127,0)</f>
        <v>9.8043378226601199</v>
      </c>
      <c r="AR137" s="111">
        <f>[12]GHG_hist!CE127+IF($M137="incl",[12]LULUCF_hist!DV127,0)</f>
        <v>9.776777921182255</v>
      </c>
      <c r="AS137" s="111">
        <f>[12]GHG_hist!CF127+IF($M137="incl",[12]LULUCF_hist!DW127,0)</f>
        <v>10.057451019704448</v>
      </c>
      <c r="AT137" s="161">
        <f>VLOOKUP($L137,'[12]IMAGE SSP2'!$AF$3:$AK$29,4,FALSE)*$AM137</f>
        <v>10.983942974984863</v>
      </c>
      <c r="AU137" s="162">
        <f>VLOOKUP($L137,'[12]IMAGE SSP2'!$AF$3:$AK$29,5,FALSE)*$AM137</f>
        <v>12.743637719785514</v>
      </c>
      <c r="AV137" s="163">
        <f>VLOOKUP($L137,'[12]IMAGE SSP2'!$AF$3:$AK$29,6,FALSE)*$AM137</f>
        <v>15.276711469378538</v>
      </c>
      <c r="AW137" s="111">
        <f>IF(A137="B",AM137+(AX137-AM137)*0.33333,"")</f>
        <v>11.828443438558999</v>
      </c>
      <c r="AX137" s="164">
        <f>IF(A137="B",IF(M137="excl",[12]NatCom!CO127,[12]NatCom!AX127),"")</f>
        <v>18.834099999999999</v>
      </c>
      <c r="AY137" s="111" t="str">
        <f>IF('[12]Pledge 2020'!E127="","",'[12]Pledge 2020'!E127)</f>
        <v/>
      </c>
      <c r="AZ137" s="164" t="str">
        <f>IF('[12]Pledge 2020'!F127="","",'[12]Pledge 2020'!F127)</f>
        <v/>
      </c>
      <c r="BA137" s="111">
        <f t="shared" si="100"/>
        <v>15.622983162999999</v>
      </c>
      <c r="BB137" s="111">
        <f>IF(BF137="","",(BF137-AH137)*0.75+AH137)</f>
        <v>15.622983162999999</v>
      </c>
      <c r="BC137" s="111">
        <f t="shared" si="101"/>
        <v>12.850980325</v>
      </c>
      <c r="BD137" s="111">
        <f t="shared" ref="BD137:BD143" si="103">IF(BH137="","",(BH137-AH137)*0.75+AH137)</f>
        <v>12.850980325</v>
      </c>
      <c r="BE137" s="111">
        <v>18.330099483999998</v>
      </c>
      <c r="BF137" s="111">
        <v>18.330099483999998</v>
      </c>
      <c r="BG137" s="111">
        <v>14.6340957</v>
      </c>
      <c r="BH137" s="164">
        <v>14.6340957</v>
      </c>
      <c r="BI137" s="111">
        <f>IF([12]NDCs!V139="",IF([12]NDCs!X139="","",[12]NDCs!X139),[12]NDCs!V139)</f>
        <v>18.330099483999998</v>
      </c>
      <c r="BJ137" s="111">
        <f>IF([12]NDCs!V139="",IF([12]NDCs!X139="","",[12]NDCs!X139),[12]NDCs!V139)</f>
        <v>18.330099483999998</v>
      </c>
      <c r="BK137" s="111">
        <f>IF([12]NDCs!Z139="",IF([12]NDCs!AB139="",IF('input site'!BE137="","",'input site'!BE137),[12]NDCs!AB139),[12]NDCs!Z139)</f>
        <v>14.6340957</v>
      </c>
      <c r="BL137" s="111">
        <f>IF([12]NDCs!AA139="",IF([12]NDCs!AC139="",IF('input site'!BF137="","",'input site'!BF137),[12]NDCs!AC139),[12]NDCs!AA139)</f>
        <v>14.6340957</v>
      </c>
      <c r="BM137" s="111">
        <f>IF($BI$8=2015,VLOOKUP($L137,'[12]IMAGE CurPol SSP'!$AZ$3:$BD$29,4,FALSE)*$AM137,IF($BI$8=2018,VLOOKUP($L137,'[12]IMAGE CurPol SSP'!$BJ$3:$BN$29,4,FALSE)*$AP137,$AR137))</f>
        <v>9.776777921182255</v>
      </c>
      <c r="BN137" s="111">
        <f t="shared" si="102"/>
        <v>9.776777921182255</v>
      </c>
      <c r="BO137" s="111">
        <f t="shared" si="102"/>
        <v>9.776777921182255</v>
      </c>
      <c r="BP137" s="111">
        <f>IF($BI$8=2015,VLOOKUP($L137,'[12]IMAGE CurPol SSP'!$AZ$3:$BD$29,5,FALSE)*$AM137,IF($BI$8=2018,VLOOKUP($L137,'[12]IMAGE CurPol SSP'!$BJ$3:$BN$29,5,FALSE)*$AP137,VLOOKUP($L137,'[12]IMAGE CurPol SSP'!$BU$3:$BZ$29,5,FALSE)*$AS137))</f>
        <v>10.416975420275591</v>
      </c>
      <c r="BQ137" s="111">
        <f>IF($BI$8=2015,"",IF($BI$8=2018,"",VLOOKUP($L137,'[12]IMAGE CurPol SSP'!$CQ$3:$CV$29,5,FALSE)*$AS137))</f>
        <v>10.301239603490513</v>
      </c>
      <c r="BR137" s="111">
        <f>IF($BI$8=2015,"",IF($BI$8=2018,"",VLOOKUP($L137,'[12]IMAGE CurPol SSP'!$CF$3:$CK$29,5,FALSE)*$AS137))</f>
        <v>10.514352802296992</v>
      </c>
      <c r="BS137" s="111">
        <f>IF($BI$8=2015,VLOOKUP($L137,'[12]IMAGE CurPol SSP'!$AZ$3:$BE$29,6,FALSE)*$AM137,IF($BI$8=2018,VLOOKUP($L137,'[12]IMAGE CurPol SSP'!$BJ$3:$BO$29,6,FALSE)*$AP137,VLOOKUP($L137,'[12]IMAGE CurPol SSP'!$BU$3:$BZ$29,6,FALSE)*$AS137))</f>
        <v>11.978289025687573</v>
      </c>
      <c r="BT137" s="111">
        <f>IF($BI$8=2015,"",IF($BI$8=2018,"",VLOOKUP($L137,'[12]IMAGE CurPol SSP'!$CQ$3:$CV$29,6,FALSE)*$AS137))</f>
        <v>11.668021307286697</v>
      </c>
      <c r="BU137" s="164">
        <f>IF($BI$8=2015,"",IF($BI$8=2018,"",VLOOKUP($L137,'[12]IMAGE CurPol SSP'!$CF$3:$CK$29,6,FALSE)*$AS137))</f>
        <v>11.978289025687573</v>
      </c>
      <c r="CN137" t="s">
        <v>303</v>
      </c>
      <c r="CO137" s="165">
        <f t="shared" si="69"/>
        <v>0.53027694061237773</v>
      </c>
      <c r="CP137" s="165">
        <f t="shared" si="69"/>
        <v>0.53027694061237773</v>
      </c>
      <c r="CQ137" s="165">
        <f t="shared" si="69"/>
        <v>0.22171836633905051</v>
      </c>
      <c r="CR137" s="165">
        <f t="shared" si="65"/>
        <v>0.22171836633905051</v>
      </c>
      <c r="CS137" s="159"/>
      <c r="CU137" s="159"/>
      <c r="CV137" s="125" t="s">
        <v>621</v>
      </c>
      <c r="CW137" s="125" t="s">
        <v>621</v>
      </c>
      <c r="CX137" s="159"/>
      <c r="CY137" s="167">
        <f t="shared" si="70"/>
        <v>1.2071650538026084</v>
      </c>
      <c r="CZ137" s="159"/>
      <c r="DB137" s="106"/>
      <c r="DC137" s="106"/>
      <c r="DD137" s="106"/>
      <c r="DE137" s="106"/>
      <c r="DF137" s="106"/>
      <c r="DG137" s="105" t="str">
        <f t="shared" si="71"/>
        <v>incl</v>
      </c>
      <c r="DH137" t="s">
        <v>303</v>
      </c>
      <c r="DI137" s="111">
        <f t="shared" si="93"/>
        <v>0</v>
      </c>
      <c r="DJ137" s="111">
        <f t="shared" si="93"/>
        <v>0</v>
      </c>
      <c r="DK137" s="111">
        <f t="shared" si="94"/>
        <v>5.2060077427244078</v>
      </c>
      <c r="DL137" s="111">
        <f t="shared" si="95"/>
        <v>2.434004904724409</v>
      </c>
      <c r="DM137" s="111">
        <f t="shared" si="96"/>
        <v>6.3518104583124249</v>
      </c>
      <c r="DN137" s="111">
        <f t="shared" si="97"/>
        <v>2.6558066743124265</v>
      </c>
      <c r="DO137" s="111">
        <f t="shared" si="98"/>
        <v>6.3518104583124249</v>
      </c>
      <c r="DP137" s="111">
        <f t="shared" si="99"/>
        <v>2.6558066743124265</v>
      </c>
      <c r="DQ137" s="106"/>
      <c r="DR137" s="106"/>
      <c r="DS137" s="177">
        <f>[12]GHG_hist!BZ127+IF($M137="incl",[12]LULUCF_hist!DQ127,0)</f>
        <v>8.3256676999999986</v>
      </c>
      <c r="DT137" s="209">
        <f>IF($M137="incl",'[12]IIASA Proj'!EQ127,0)</f>
        <v>-0.75450663546797625</v>
      </c>
      <c r="DW137" s="111">
        <f t="shared" si="72"/>
        <v>18.330099483999998</v>
      </c>
      <c r="DX137" s="111">
        <f t="shared" si="72"/>
        <v>18.330099483999998</v>
      </c>
      <c r="DY137" s="111">
        <f t="shared" si="72"/>
        <v>14.6340957</v>
      </c>
      <c r="DZ137" s="111">
        <f t="shared" si="66"/>
        <v>14.6340957</v>
      </c>
      <c r="EP137" t="s">
        <v>303</v>
      </c>
      <c r="EQ137">
        <v>4</v>
      </c>
      <c r="ER137" s="111">
        <f t="shared" si="73"/>
        <v>10.005689000000002</v>
      </c>
      <c r="ES137" s="111">
        <f>IF($BI$8=2015,VLOOKUP($L137,'[12]IMAGE CDLINKS CurPol'!$P$3:$Y$29,10,FALSE)*$AM137,VLOOKUP($L137,'[12]IMAGE CDLINKS CurPol'!$Z$3:$AI$29,10,FALSE)*$AP137)</f>
        <v>20.890628319353237</v>
      </c>
      <c r="ET137" s="111">
        <f t="shared" si="86"/>
        <v>0</v>
      </c>
      <c r="EU137" s="111">
        <f t="shared" si="76"/>
        <v>0</v>
      </c>
      <c r="EV137" s="111">
        <f>IF($BI$8=2015,VLOOKUP($L137,'[12]IMAGE CDLINKS 2C'!$P$3:$Y$29,10,FALSE)*$AM137,VLOOKUP($L137,'[12]IMAGE CDLINKS 2C'!$Z$3:$AI$29,10,FALSE)*$AP137)</f>
        <v>9.5343823957303719</v>
      </c>
      <c r="EX137" s="111"/>
      <c r="EY137" s="111">
        <f t="shared" si="77"/>
        <v>0</v>
      </c>
      <c r="EZ137" s="111">
        <f>IF($BI$8=2015,VLOOKUP($L137,'[12]IMAGE CDLINKS 1_5C'!$P$3:$Y$29,10,FALSE)*$AM137,VLOOKUP($L137,'[12]IMAGE CDLINKS 1_5C'!$Z$3:$AI$29,10,FALSE)*$AP137)</f>
        <v>5.4307869294070148</v>
      </c>
      <c r="FA137" s="192">
        <v>2050</v>
      </c>
    </row>
    <row r="138" spans="1:157" x14ac:dyDescent="0.25">
      <c r="A138" t="str">
        <f>IF([12]NDCs!C140="","",[12]NDCs!C140)</f>
        <v>B</v>
      </c>
      <c r="B138" s="159" t="str">
        <f t="shared" si="67"/>
        <v>v</v>
      </c>
      <c r="C138">
        <v>0</v>
      </c>
      <c r="D138">
        <v>0</v>
      </c>
      <c r="E138">
        <v>0</v>
      </c>
      <c r="F138">
        <v>1</v>
      </c>
      <c r="G138" t="b">
        <f t="shared" si="68"/>
        <v>1</v>
      </c>
      <c r="H138" t="s">
        <v>2333</v>
      </c>
      <c r="I138" t="s">
        <v>305</v>
      </c>
      <c r="J138">
        <v>480</v>
      </c>
      <c r="K138">
        <v>125</v>
      </c>
      <c r="L138">
        <v>9</v>
      </c>
      <c r="M138" t="str">
        <f>IF([12]NDCs!AL140="Excluding","excl","incl")</f>
        <v>incl</v>
      </c>
      <c r="N138" s="160">
        <f>[12]GHG_hist!BA128+IF($M138="incl",[12]LULUCF_hist!CR128,0)</f>
        <v>1.7400932</v>
      </c>
      <c r="O138" s="111">
        <f>[12]GHG_hist!BB128+IF($M138="incl",[12]LULUCF_hist!CS128,0)</f>
        <v>1.7938430999999999</v>
      </c>
      <c r="P138" s="111">
        <f>[12]GHG_hist!BC128+IF($M138="incl",[12]LULUCF_hist!CT128,0)</f>
        <v>1.9612175000000003</v>
      </c>
      <c r="Q138" s="111">
        <f>[12]GHG_hist!BD128+IF($M138="incl",[12]LULUCF_hist!CU128,0)</f>
        <v>2.0238347999999999</v>
      </c>
      <c r="R138" s="111">
        <f>[12]GHG_hist!BE128+IF($M138="incl",[12]LULUCF_hist!CV128,0)</f>
        <v>1.9035039000000002</v>
      </c>
      <c r="S138" s="111">
        <f>[12]GHG_hist!BF128+IF($M138="incl",[12]LULUCF_hist!CW128,0)</f>
        <v>2.1320180999999998</v>
      </c>
      <c r="T138" s="111">
        <f>[12]GHG_hist!BG128+IF($M138="incl",[12]LULUCF_hist!CX128,0)</f>
        <v>2.1621446</v>
      </c>
      <c r="U138" s="111">
        <f>[12]GHG_hist!BH128+IF($M138="incl",[12]LULUCF_hist!CY128,0)</f>
        <v>2.1608754000000001</v>
      </c>
      <c r="V138" s="111">
        <f>[12]GHG_hist!BI128+IF($M138="incl",[12]LULUCF_hist!CZ128,0)</f>
        <v>2.2791638999999999</v>
      </c>
      <c r="W138" s="111">
        <f>[12]GHG_hist!BJ128+IF($M138="incl",[12]LULUCF_hist!DA128,0)</f>
        <v>2.4592570000000005</v>
      </c>
      <c r="X138" s="111">
        <f>[12]GHG_hist!BK128+IF($M138="incl",[12]LULUCF_hist!DB128,0)</f>
        <v>2.6839385</v>
      </c>
      <c r="Y138" s="111">
        <f>[12]GHG_hist!BL128+IF($M138="incl",[12]LULUCF_hist!DC128,0)</f>
        <v>2.7858977999999999</v>
      </c>
      <c r="Z138" s="111">
        <f>[12]GHG_hist!BM128+IF($M138="incl",[12]LULUCF_hist!DD128,0)</f>
        <v>2.8972386999999999</v>
      </c>
      <c r="AA138" s="111">
        <f>[12]GHG_hist!BN128+IF($M138="incl",[12]LULUCF_hist!DE128,0)</f>
        <v>3.0196395999999996</v>
      </c>
      <c r="AB138" s="111">
        <f>[12]GHG_hist!BO128+IF($M138="incl",[12]LULUCF_hist!DF128,0)</f>
        <v>5.0835413000000003</v>
      </c>
      <c r="AC138" s="111">
        <f>[12]GHG_hist!BP128+IF($M138="incl",[12]LULUCF_hist!DG128,0)</f>
        <v>3.5713083000000001</v>
      </c>
      <c r="AD138" s="111">
        <f>[12]GHG_hist!BQ128+IF($M138="incl",[12]LULUCF_hist!DH128,0)</f>
        <v>3.8448348999999999</v>
      </c>
      <c r="AE138" s="111">
        <f>[12]GHG_hist!BR128+IF($M138="incl",[12]LULUCF_hist!DI128,0)</f>
        <v>4.1214893999999997</v>
      </c>
      <c r="AF138" s="111">
        <f>[12]GHG_hist!BS128+IF($M138="incl",[12]LULUCF_hist!DJ128,0)</f>
        <v>4.1340612999999999</v>
      </c>
      <c r="AG138" s="111">
        <f>[12]GHG_hist!BT128+IF($M138="incl",[12]LULUCF_hist!DK128,0)</f>
        <v>4.0533927999999992</v>
      </c>
      <c r="AH138" s="111">
        <f>[12]GHG_hist!BU128+IF($M138="incl",[12]LULUCF_hist!DL128,0)</f>
        <v>4.5224460999999998</v>
      </c>
      <c r="AI138" s="111">
        <f>[12]GHG_hist!BV128+IF($M138="incl",[12]LULUCF_hist!DM128,0)</f>
        <v>4.4473687999999996</v>
      </c>
      <c r="AJ138" s="111">
        <f>[12]GHG_hist!BW128+IF($M138="incl",[12]LULUCF_hist!DN128,0)</f>
        <v>4.5636340000000004</v>
      </c>
      <c r="AK138" s="111">
        <f>[12]GHG_hist!BX128+IF($M138="incl",[12]LULUCF_hist!DO128,0)</f>
        <v>4.7341926999999995</v>
      </c>
      <c r="AL138" s="111">
        <f>[12]GHG_hist!BY128+IF($M138="incl",[12]LULUCF_hist!DP128,0)</f>
        <v>4.9342478999999999</v>
      </c>
      <c r="AM138" s="111">
        <f>[12]GHG_hist!BZ128+IF($M138="incl",[12]LULUCF_hist!DQ128,0)</f>
        <v>4.9624436000000003</v>
      </c>
      <c r="AN138" s="111">
        <f>[12]GHG_hist!CA128+IF($M138="incl",[12]LULUCF_hist!DR128,0)</f>
        <v>5.0907178000000002</v>
      </c>
      <c r="AO138" s="111">
        <f>[12]GHG_hist!CB128+IF($M138="incl",[12]LULUCF_hist!DS128,0)</f>
        <v>5.3847555886039897</v>
      </c>
      <c r="AP138" s="111">
        <f>[12]GHG_hist!CC128+IF($M138="incl",[12]LULUCF_hist!DT128,0)</f>
        <v>5.3525055459910469</v>
      </c>
      <c r="AQ138" s="111">
        <f>[12]GHG_hist!CD128+IF($M138="incl",[12]LULUCF_hist!DU128,0)</f>
        <v>5.4206487033781023</v>
      </c>
      <c r="AR138" s="111">
        <f>[12]GHG_hist!CE128+IF($M138="incl",[12]LULUCF_hist!DV128,0)</f>
        <v>5.0643560607651601</v>
      </c>
      <c r="AS138" s="111">
        <f>[12]GHG_hist!CF128+IF($M138="incl",[12]LULUCF_hist!DW128,0)</f>
        <v>5.3837297181522175</v>
      </c>
      <c r="AT138" s="161">
        <f>VLOOKUP($L138,'[12]IMAGE SSP2'!$AF$3:$AK$29,4,FALSE)*$AM138</f>
        <v>5.6760494640310197</v>
      </c>
      <c r="AU138" s="162">
        <f>VLOOKUP($L138,'[12]IMAGE SSP2'!$AF$3:$AK$29,5,FALSE)*$AM138</f>
        <v>6.5023232834371125</v>
      </c>
      <c r="AV138" s="163">
        <f>VLOOKUP($L138,'[12]IMAGE SSP2'!$AF$3:$AK$29,6,FALSE)*$AM138</f>
        <v>7.5394894368597214</v>
      </c>
      <c r="AW138" s="111">
        <f>IF(A138="B",AM138+(AX138-AM138)*0.33333,"")</f>
        <v>5.6416222748120006</v>
      </c>
      <c r="AX138" s="164">
        <f>IF(A138="B",IF(M138="excl",[12]NatCom!CO128,[12]NatCom!AX128),"")</f>
        <v>7</v>
      </c>
      <c r="AY138" s="111" t="str">
        <f>IF('[12]Pledge 2020'!E128="","",'[12]Pledge 2020'!E128)</f>
        <v/>
      </c>
      <c r="AZ138" s="164" t="str">
        <f>IF('[12]Pledge 2020'!F128="","",'[12]Pledge 2020'!F128)</f>
        <v/>
      </c>
      <c r="BA138" s="111" t="str">
        <f t="shared" si="100"/>
        <v/>
      </c>
      <c r="BB138" s="111"/>
      <c r="BC138" s="111">
        <f t="shared" si="101"/>
        <v>4.8056115249999998</v>
      </c>
      <c r="BD138" s="111">
        <f t="shared" si="103"/>
        <v>4.8056115249999998</v>
      </c>
      <c r="BE138" s="111" t="s">
        <v>2477</v>
      </c>
      <c r="BF138" s="111"/>
      <c r="BG138" s="111">
        <v>4.8999999999999995</v>
      </c>
      <c r="BH138" s="164">
        <v>4.8999999999999995</v>
      </c>
      <c r="BI138" s="111" t="str">
        <f>IF([12]NDCs!V140="",IF([12]NDCs!X140="","",[12]NDCs!X140),[12]NDCs!V140)</f>
        <v/>
      </c>
      <c r="BJ138" s="111" t="str">
        <f>IF([12]NDCs!V140="",IF([12]NDCs!X140="","",[12]NDCs!X140),[12]NDCs!V140)</f>
        <v/>
      </c>
      <c r="BK138" s="111">
        <f>IF([12]NDCs!Z140="",IF([12]NDCs!AB140="",IF('input site'!BE138="","",'input site'!BE138),[12]NDCs!AB140),[12]NDCs!Z140)</f>
        <v>4.8999999999999995</v>
      </c>
      <c r="BL138" s="111">
        <f>IF([12]NDCs!AA140="",IF([12]NDCs!AC140="",IF('input site'!BF138="","",'input site'!BF138),[12]NDCs!AC140),[12]NDCs!AA140)</f>
        <v>4.8999999999999995</v>
      </c>
      <c r="BM138" s="111">
        <f>IF($BI$8=2015,VLOOKUP($L138,'[12]IMAGE CurPol SSP'!$AZ$3:$BD$29,4,FALSE)*$AM138,IF($BI$8=2018,VLOOKUP($L138,'[12]IMAGE CurPol SSP'!$BJ$3:$BN$29,4,FALSE)*$AP138,$AR138))</f>
        <v>5.0643560607651601</v>
      </c>
      <c r="BN138" s="111">
        <f t="shared" si="102"/>
        <v>5.0643560607651601</v>
      </c>
      <c r="BO138" s="111">
        <f t="shared" si="102"/>
        <v>5.0643560607651601</v>
      </c>
      <c r="BP138" s="111">
        <f>IF($BI$8=2015,VLOOKUP($L138,'[12]IMAGE CurPol SSP'!$AZ$3:$BD$29,5,FALSE)*$AM138,IF($BI$8=2018,VLOOKUP($L138,'[12]IMAGE CurPol SSP'!$BJ$3:$BN$29,5,FALSE)*$AP138,VLOOKUP($L138,'[12]IMAGE CurPol SSP'!$BU$3:$BZ$29,5,FALSE)*$AS138))</f>
        <v>6.7248989680191658</v>
      </c>
      <c r="BQ138" s="111">
        <f>IF($BI$8=2015,"",IF($BI$8=2018,"",VLOOKUP($L138,'[12]IMAGE CurPol SSP'!$CQ$3:$CV$29,5,FALSE)*$AS138))</f>
        <v>6.6774452655490517</v>
      </c>
      <c r="BR138" s="111">
        <f>IF($BI$8=2015,"",IF($BI$8=2018,"",VLOOKUP($L138,'[12]IMAGE CurPol SSP'!$CF$3:$CK$29,5,FALSE)*$AS138))</f>
        <v>6.8240762549406284</v>
      </c>
      <c r="BS138" s="111">
        <f>IF($BI$8=2015,VLOOKUP($L138,'[12]IMAGE CurPol SSP'!$AZ$3:$BE$29,6,FALSE)*$AM138,IF($BI$8=2018,VLOOKUP($L138,'[12]IMAGE CurPol SSP'!$BJ$3:$BO$29,6,FALSE)*$AP138,VLOOKUP($L138,'[12]IMAGE CurPol SSP'!$BU$3:$BZ$29,6,FALSE)*$AS138))</f>
        <v>8.4734315444727866</v>
      </c>
      <c r="BT138" s="111">
        <f>IF($BI$8=2015,"",IF($BI$8=2018,"",VLOOKUP($L138,'[12]IMAGE CurPol SSP'!$CQ$3:$CV$29,6,FALSE)*$AS138))</f>
        <v>8.3545696999483958</v>
      </c>
      <c r="BU138" s="164">
        <f>IF($BI$8=2015,"",IF($BI$8=2018,"",VLOOKUP($L138,'[12]IMAGE CurPol SSP'!$CF$3:$CK$29,6,FALSE)*$AS138))</f>
        <v>8.7157352289914289</v>
      </c>
      <c r="CN138" t="s">
        <v>305</v>
      </c>
      <c r="CO138" s="165" t="str">
        <f t="shared" si="69"/>
        <v/>
      </c>
      <c r="CP138" s="165" t="str">
        <f t="shared" si="69"/>
        <v/>
      </c>
      <c r="CQ138" s="165">
        <f t="shared" si="69"/>
        <v>-0.42172188749240958</v>
      </c>
      <c r="CR138" s="165">
        <f t="shared" si="65"/>
        <v>-0.42172188749240958</v>
      </c>
      <c r="CS138" s="159"/>
      <c r="CU138" s="159"/>
      <c r="CV138" s="125" t="s">
        <v>621</v>
      </c>
      <c r="CW138" s="125" t="s">
        <v>621</v>
      </c>
      <c r="CX138" s="159"/>
      <c r="CY138" s="167">
        <f t="shared" si="70"/>
        <v>0.61169340326585964</v>
      </c>
      <c r="CZ138" s="159"/>
      <c r="DB138" s="106"/>
      <c r="DC138" s="106"/>
      <c r="DD138" s="106"/>
      <c r="DE138" s="106"/>
      <c r="DF138" s="106"/>
      <c r="DG138" s="105" t="str">
        <f t="shared" si="71"/>
        <v>incl</v>
      </c>
      <c r="DH138" t="s">
        <v>305</v>
      </c>
      <c r="DI138" s="111">
        <f t="shared" si="93"/>
        <v>0</v>
      </c>
      <c r="DJ138" s="111">
        <f t="shared" si="93"/>
        <v>0</v>
      </c>
      <c r="DK138" s="111">
        <f t="shared" si="94"/>
        <v>0</v>
      </c>
      <c r="DL138" s="111">
        <f t="shared" si="95"/>
        <v>-1.919287443019166</v>
      </c>
      <c r="DM138" s="111">
        <f t="shared" si="96"/>
        <v>0</v>
      </c>
      <c r="DN138" s="111">
        <f t="shared" si="97"/>
        <v>-3.5734315444727871</v>
      </c>
      <c r="DO138" s="111">
        <f t="shared" si="98"/>
        <v>0</v>
      </c>
      <c r="DP138" s="111">
        <f t="shared" si="99"/>
        <v>-3.5734315444727871</v>
      </c>
      <c r="DQ138" s="106"/>
      <c r="DR138" s="106"/>
      <c r="DS138" s="111">
        <f>[12]GHG_hist!BZ128+IF($M138="incl",[12]LULUCF_hist!DQ128,0)</f>
        <v>4.9624436000000003</v>
      </c>
      <c r="DT138" s="168">
        <f>IF($M138="incl",'[12]IIASA Proj'!EQ128,0)</f>
        <v>-0.29133749240537227</v>
      </c>
      <c r="DW138" s="111">
        <f t="shared" si="72"/>
        <v>8.4734315444727866</v>
      </c>
      <c r="DX138" s="111">
        <f t="shared" si="72"/>
        <v>8.4734315444727866</v>
      </c>
      <c r="DY138" s="111">
        <f t="shared" si="72"/>
        <v>4.8999999999999995</v>
      </c>
      <c r="DZ138" s="111">
        <f t="shared" si="66"/>
        <v>4.8999999999999995</v>
      </c>
      <c r="EP138" t="s">
        <v>305</v>
      </c>
      <c r="EQ138">
        <v>4</v>
      </c>
      <c r="ER138" s="111">
        <f t="shared" si="73"/>
        <v>5.3525055459910469</v>
      </c>
      <c r="ES138" s="111">
        <f>IF($BI$8=2015,VLOOKUP($L138,'[12]IMAGE CDLINKS CurPol'!$P$3:$Y$29,10,FALSE)*$AM138,VLOOKUP($L138,'[12]IMAGE CDLINKS CurPol'!$Z$3:$AI$29,10,FALSE)*$AP138)</f>
        <v>11.670405379130086</v>
      </c>
      <c r="ET138" s="111">
        <f t="shared" si="86"/>
        <v>0</v>
      </c>
      <c r="EU138" s="111">
        <f t="shared" si="76"/>
        <v>0</v>
      </c>
      <c r="EV138" s="111">
        <f>IF($BI$8=2015,VLOOKUP($L138,'[12]IMAGE CDLINKS 2C'!$P$3:$Y$29,10,FALSE)*$AM138,VLOOKUP($L138,'[12]IMAGE CDLINKS 2C'!$Z$3:$AI$29,10,FALSE)*$AP138)</f>
        <v>6.2723049669147963</v>
      </c>
      <c r="EW138">
        <v>0</v>
      </c>
      <c r="EX138" s="111">
        <f>EW138-EV138</f>
        <v>-6.2723049669147963</v>
      </c>
      <c r="EY138" s="111">
        <f t="shared" si="77"/>
        <v>0</v>
      </c>
      <c r="EZ138" s="111">
        <f>IF($BI$8=2015,VLOOKUP($L138,'[12]IMAGE CDLINKS 1_5C'!$P$3:$Y$29,10,FALSE)*$AM138,VLOOKUP($L138,'[12]IMAGE CDLINKS 1_5C'!$Z$3:$AI$29,10,FALSE)*$AP138)</f>
        <v>5.7308363740516839</v>
      </c>
      <c r="FA138" s="192">
        <v>2050</v>
      </c>
    </row>
    <row r="139" spans="1:157" x14ac:dyDescent="0.25">
      <c r="A139" t="str">
        <f>IF([12]NDCs!C141="","",[12]NDCs!C141)</f>
        <v>B</v>
      </c>
      <c r="B139" s="159" t="str">
        <f t="shared" si="67"/>
        <v>i</v>
      </c>
      <c r="C139">
        <v>1</v>
      </c>
      <c r="D139">
        <v>0</v>
      </c>
      <c r="E139">
        <v>1</v>
      </c>
      <c r="F139">
        <v>1</v>
      </c>
      <c r="G139" t="b">
        <f t="shared" si="68"/>
        <v>1</v>
      </c>
      <c r="H139" t="s">
        <v>2339</v>
      </c>
      <c r="I139" t="s">
        <v>307</v>
      </c>
      <c r="J139">
        <v>484</v>
      </c>
      <c r="K139">
        <v>126</v>
      </c>
      <c r="L139">
        <v>3</v>
      </c>
      <c r="M139" t="str">
        <f>IF([12]NDCs!AL141="Excluding","excl","incl")</f>
        <v>incl</v>
      </c>
      <c r="N139" s="195">
        <f>[12]MEX!$A$24*IF($M139="incl",[12]MEX!E$41,[12]MEX!E$37)</f>
        <v>245.844449032</v>
      </c>
      <c r="O139" s="195">
        <f>[12]MEX!$A$24*IF($M139="incl",[12]MEX!F$41,[12]MEX!F$37)</f>
        <v>255.48942764280002</v>
      </c>
      <c r="P139" s="195">
        <f>[12]MEX!$A$24*IF($M139="incl",[12]MEX!G$41,[12]MEX!G$37)</f>
        <v>257.67008660639902</v>
      </c>
      <c r="Q139" s="195">
        <f>[12]MEX!$A$24*IF($M139="incl",[12]MEX!H$41,[12]MEX!H$37)</f>
        <v>258.31759058559999</v>
      </c>
      <c r="R139" s="195">
        <f>[12]MEX!$A$24*IF($M139="incl",[12]MEX!I$41,[12]MEX!I$37)</f>
        <v>288.6908527672</v>
      </c>
      <c r="S139" s="195">
        <f>[12]MEX!$A$24*IF($M139="incl",[12]MEX!J$41,[12]MEX!J$37)</f>
        <v>279.07839526319901</v>
      </c>
      <c r="T139" s="195">
        <f>[12]MEX!$A$24*IF($M139="incl",[12]MEX!K$41,[12]MEX!K$37)</f>
        <v>300.15425338079899</v>
      </c>
      <c r="U139" s="195">
        <f>[12]MEX!$A$24*IF($M139="incl",[12]MEX!L$41,[12]MEX!L$37)</f>
        <v>330.08563839159899</v>
      </c>
      <c r="V139" s="195">
        <f>[12]MEX!$A$24*IF($M139="incl",[12]MEX!M$41,[12]MEX!M$37)</f>
        <v>355.62025682559999</v>
      </c>
      <c r="W139" s="195">
        <f>[12]MEX!$A$24*IF($M139="incl",[12]MEX!N$41,[12]MEX!N$37)</f>
        <v>347.037678665599</v>
      </c>
      <c r="X139" s="195">
        <f>[12]MEX!$A$24*IF($M139="incl",[12]MEX!O$41,[12]MEX!O$37)</f>
        <v>365.48571761519997</v>
      </c>
      <c r="Y139" s="195">
        <f>[12]MEX!$A$24*IF($M139="incl",[12]MEX!P$41,[12]MEX!P$37)</f>
        <v>366.78650132279898</v>
      </c>
      <c r="Z139" s="195">
        <f>[12]MEX!$A$24*IF($M139="incl",[12]MEX!Q$41,[12]MEX!Q$37)</f>
        <v>403.06916717080003</v>
      </c>
      <c r="AA139" s="195">
        <f>[12]MEX!$A$24*IF($M139="incl",[12]MEX!R$41,[12]MEX!R$37)</f>
        <v>400.84639441079901</v>
      </c>
      <c r="AB139" s="195">
        <f>[12]MEX!$A$24*IF($M139="incl",[12]MEX!S$41,[12]MEX!S$37)</f>
        <v>415.58027193279997</v>
      </c>
      <c r="AC139" s="195">
        <f>[12]MEX!$A$24*IF($M139="incl",[12]MEX!T$41,[12]MEX!T$37)</f>
        <v>431.77113280079999</v>
      </c>
      <c r="AD139" s="195">
        <f>[12]MEX!$A$24*IF($M139="incl",[12]MEX!U$41,[12]MEX!U$37)</f>
        <v>443.79752584959999</v>
      </c>
      <c r="AE139" s="195">
        <f>[12]MEX!$A$24*IF($M139="incl",[12]MEX!V$41,[12]MEX!V$37)</f>
        <v>485.9623187588</v>
      </c>
      <c r="AF139" s="195">
        <f>[12]MEX!$A$24*IF($M139="incl",[12]MEX!W$41,[12]MEX!W$37)</f>
        <v>532.02886287719991</v>
      </c>
      <c r="AG139" s="195">
        <f>[12]MEX!$A$24*IF($M139="incl",[12]MEX!X$41,[12]MEX!X$37)</f>
        <v>535.72689648920004</v>
      </c>
      <c r="AH139" s="195">
        <f>[12]MEX!$A$24*IF($M139="incl",[12]MEX!Y$41,[12]MEX!Y$37)</f>
        <v>524.72732047839997</v>
      </c>
      <c r="AI139" s="195">
        <f>[12]MEX!$A$24*IF($M139="incl",[12]MEX!Z$41,[12]MEX!Z$37)</f>
        <v>547.36919643639999</v>
      </c>
      <c r="AJ139" s="195">
        <f>[12]MEX!$A$24*IF($M139="incl",[12]MEX!AA$41,[12]MEX!AA$37)</f>
        <v>530.19226365039992</v>
      </c>
      <c r="AK139" s="195">
        <f>[12]MEX!$A$24*IF($M139="incl",[12]MEX!AB$41,[12]MEX!AB$37)</f>
        <v>542.07171175559995</v>
      </c>
      <c r="AL139" s="195">
        <f>[12]MEX!$A$24*IF($M139="incl",[12]MEX!AC$41,[12]MEX!AC$37)</f>
        <v>546.8892546884</v>
      </c>
      <c r="AM139" s="220">
        <f>[12]MEX!$A$24*IF($M139="incl",[12]MEX!AD$42,[12]MEX!AD$38)</f>
        <v>545.77690757719995</v>
      </c>
      <c r="AN139" s="220">
        <f>[12]MEX!$A$24*IF($M139="incl",[12]MEX!AE$42,[12]MEX!AE$38)</f>
        <v>593.19659219080006</v>
      </c>
      <c r="AO139" s="220">
        <f>[12]MEX!$A$24*IF($M139="incl",[12]MEX!AF$42,[12]MEX!AF$38)</f>
        <v>545.75004968639996</v>
      </c>
      <c r="AP139" s="220">
        <f>[12]MEX!$A$24*IF($M139="incl",[12]MEX!AG$42,[12]MEX!AG$38)</f>
        <v>563.03522567760001</v>
      </c>
      <c r="AQ139" s="220">
        <f>[12]MEX!$A$24*IF($M139="incl",[12]MEX!AH$42,[12]MEX!AH$38)</f>
        <v>528.27233689880006</v>
      </c>
      <c r="AR139" s="220">
        <f>[12]MEX!$A$24*IF($M139="incl",[12]MEX!AI$42,[12]MEX!AI$38)</f>
        <v>501.060011868</v>
      </c>
      <c r="AS139" s="220">
        <f>[12]MEX!$A$24*IF($M139="incl",[12]MEX!AJ$42,[12]MEX!AJ$38)</f>
        <v>491.96987281520001</v>
      </c>
      <c r="AT139" s="179">
        <f>[12]MEX!$A$24*[12]MEX!AI23</f>
        <v>577.63435091655515</v>
      </c>
      <c r="AU139" s="177">
        <f>[12]MEX!$A$24*[12]MEX!AN23</f>
        <v>620.89333379277036</v>
      </c>
      <c r="AV139" s="180">
        <f>[12]MEX!$A$24*[12]MEX!AS23</f>
        <v>655.80134546898569</v>
      </c>
      <c r="AW139" s="177">
        <f>[12]SKOR!$A$24*IF(A139="B",AM139+(AX139-AM139)*0.333333,"")</f>
        <v>694.18445664376918</v>
      </c>
      <c r="AX139" s="180">
        <f>[12]NDCs!$U$141</f>
        <v>991</v>
      </c>
      <c r="AY139" s="111" t="str">
        <f>IF('[12]Pledge 2020'!E129="","",'[12]Pledge 2020'!E129)</f>
        <v/>
      </c>
      <c r="AZ139" s="180">
        <f>[12]MEX!$A$24*IF('[12]Pledge 2020'!F129="","",'[12]Pledge 2020'!F129)</f>
        <v>663.93600000000004</v>
      </c>
      <c r="BA139" s="127">
        <f>[12]MEX!$A$24*[12]MEX!X10</f>
        <v>627.37030493555631</v>
      </c>
      <c r="BB139" s="106">
        <f>IF(BF139="","",(BF139-AH139)*0.75+AH139)</f>
        <v>627.37030493555631</v>
      </c>
      <c r="BC139" s="127">
        <f>[12]MEX!$A$24*[12]MEX!Y10</f>
        <v>556.48623710470542</v>
      </c>
      <c r="BD139" s="106">
        <f t="shared" si="103"/>
        <v>556.48623710470542</v>
      </c>
      <c r="BE139" s="212">
        <v>661.58463308794182</v>
      </c>
      <c r="BF139" s="212">
        <v>661.58463308794182</v>
      </c>
      <c r="BG139" s="212">
        <v>567.07254264680728</v>
      </c>
      <c r="BH139" s="213">
        <v>567.07254264680728</v>
      </c>
      <c r="BI139" s="111">
        <f>IF([12]NDCs!V141="",IF([12]NDCs!X141="","",[12]NDCs!X141),[12]NDCs!V141)</f>
        <v>758.94</v>
      </c>
      <c r="BJ139" s="111">
        <f>IF([12]NDCs!V141="",IF([12]NDCs!X141="","",[12]NDCs!X141),[12]NDCs!V141)</f>
        <v>758.94</v>
      </c>
      <c r="BK139" s="111">
        <f>IF([12]NDCs!Z141="",IF([12]NDCs!AB141="",IF('input site'!BE139="","",'input site'!BE139),[12]NDCs!AB141),[12]NDCs!Z141)</f>
        <v>622.72</v>
      </c>
      <c r="BL139" s="111">
        <f>IF([12]NDCs!AA141="",IF([12]NDCs!AC141="",IF('input site'!BF139="","",'input site'!BF139),[12]NDCs!AC141),[12]NDCs!AA141)</f>
        <v>622.72</v>
      </c>
      <c r="BM139" s="190">
        <f>[12]MEX!$A$24*[12]MEX!AB$5</f>
        <v>483.62152963286212</v>
      </c>
      <c r="BN139" s="127">
        <f>[12]MEX!$A$24*[12]MEX!AB$7</f>
        <v>483.62152963286212</v>
      </c>
      <c r="BO139" s="127">
        <f>[12]MEX!$A$24*[12]MEX!AB$6</f>
        <v>501.060011868</v>
      </c>
      <c r="BP139" s="190">
        <f>[12]MEX!$A$24*[12]MEX!AC$5</f>
        <v>428.77762735966974</v>
      </c>
      <c r="BQ139" s="127">
        <f>[12]MEX!$A$24*[12]MEX!AC$7</f>
        <v>428.77762735966974</v>
      </c>
      <c r="BR139" s="127">
        <f>[12]MEX!$A$24*[12]MEX!AC$6</f>
        <v>528.43842888719996</v>
      </c>
      <c r="BS139" s="190">
        <f>[12]MEX!$A$24*[12]MEX!AD$5</f>
        <v>423.42324717699211</v>
      </c>
      <c r="BT139" s="127">
        <f>[12]MEX!$A$24*[12]MEX!AD$7</f>
        <v>423.42324717699211</v>
      </c>
      <c r="BU139" s="127">
        <f>[12]MEX!$A$24*[12]MEX!AD$6</f>
        <v>568.03741355919999</v>
      </c>
      <c r="CN139" t="s">
        <v>307</v>
      </c>
      <c r="CO139" s="165">
        <f t="shared" si="69"/>
        <v>0.56246648595417725</v>
      </c>
      <c r="CP139" s="165">
        <f t="shared" si="69"/>
        <v>0.56246648595417725</v>
      </c>
      <c r="CQ139" s="165">
        <f t="shared" si="69"/>
        <v>0.33925698796072323</v>
      </c>
      <c r="CR139" s="165">
        <f t="shared" si="65"/>
        <v>0.33925698796072323</v>
      </c>
      <c r="CS139" s="185">
        <f>IF(BE139&lt;=MIN(BS139:BU139),0,1)</f>
        <v>1</v>
      </c>
      <c r="CT139" s="185">
        <f>IF(BG139&lt;=MIN(BS139:BU139),0,1)</f>
        <v>1</v>
      </c>
      <c r="CU139">
        <f>IF(BS139&lt;=MAX(AN139,AP139),1,0)</f>
        <v>1</v>
      </c>
      <c r="CV139" s="126" t="str">
        <f>IF(CS139=1,IF(CU139=1,"i","ii"),IF(CU139=1,"iii","iv"))</f>
        <v>i</v>
      </c>
      <c r="CW139" s="126" t="str">
        <f>IF(CT139=1,IF(CU139=1,"i","ii"),IF(CU139=1,"iii","iv"))</f>
        <v>i</v>
      </c>
      <c r="CX139"/>
      <c r="CY139" s="167">
        <f t="shared" si="70"/>
        <v>94.012821283693029</v>
      </c>
      <c r="DA139" s="187">
        <f>[12]MEX!P18</f>
        <v>0</v>
      </c>
      <c r="DB139" s="187">
        <f>[12]MEX!Q18</f>
        <v>182.50452466309503</v>
      </c>
      <c r="DC139" s="187">
        <f>[12]MEX!R18</f>
        <v>0</v>
      </c>
      <c r="DD139" s="187">
        <f>[12]MEX!S18</f>
        <v>0</v>
      </c>
      <c r="DE139" s="187">
        <f>[12]MEX!T18</f>
        <v>241.05403432282355</v>
      </c>
      <c r="DF139" s="187">
        <f>[12]MEX!U18</f>
        <v>145.39402375487361</v>
      </c>
      <c r="DG139" s="105" t="str">
        <f t="shared" si="71"/>
        <v>incl</v>
      </c>
      <c r="DH139" t="s">
        <v>307</v>
      </c>
      <c r="DI139" s="127"/>
      <c r="DJ139" s="127"/>
      <c r="DK139" s="127"/>
      <c r="DL139" s="127"/>
      <c r="DM139" s="127"/>
      <c r="DN139" s="127"/>
      <c r="DO139" s="127"/>
      <c r="DP139" s="127"/>
      <c r="DQ139" s="187">
        <f>[12]MEX!BA$18</f>
        <v>63.841460301374013</v>
      </c>
      <c r="DR139" s="187">
        <f>[12]MEX!BB$18</f>
        <v>0</v>
      </c>
      <c r="DS139" s="111"/>
      <c r="DT139" s="168"/>
      <c r="DW139" s="111">
        <f t="shared" si="72"/>
        <v>661.58463308794182</v>
      </c>
      <c r="DX139" s="111">
        <f t="shared" si="72"/>
        <v>661.58463308794182</v>
      </c>
      <c r="DY139" s="111">
        <f t="shared" si="72"/>
        <v>567.07254264680728</v>
      </c>
      <c r="DZ139" s="111">
        <f t="shared" si="66"/>
        <v>567.07254264680728</v>
      </c>
      <c r="EP139" t="s">
        <v>307</v>
      </c>
      <c r="EQ139">
        <v>-1</v>
      </c>
      <c r="ER139" s="111">
        <f t="shared" si="73"/>
        <v>563.03522567760001</v>
      </c>
      <c r="ES139" s="111">
        <f>IF($BI$8=2015,VLOOKUP($L139,'[12]IMAGE CDLINKS CurPol'!$P$3:$Y$29,10,FALSE)*$AM139,VLOOKUP($L139,'[12]IMAGE CDLINKS CurPol'!$Z$3:$AI$29,10,FALSE)*$AP139)</f>
        <v>803.11767197632719</v>
      </c>
      <c r="ET139" s="111">
        <f t="shared" si="86"/>
        <v>803.11767197632719</v>
      </c>
      <c r="EU139" s="111">
        <f t="shared" si="76"/>
        <v>248.56440983378144</v>
      </c>
      <c r="EV139" s="111">
        <f>IF($BI$8=2015,VLOOKUP($L139,'[12]IMAGE CDLINKS 2C'!$P$3:$Y$29,10,FALSE)*$AM139,VLOOKUP($L139,'[12]IMAGE CDLINKS 2C'!$Z$3:$AI$29,10,FALSE)*$AP139)</f>
        <v>248.56440983378144</v>
      </c>
      <c r="EW139">
        <v>0</v>
      </c>
      <c r="EX139" s="111">
        <f>EW139-EV139</f>
        <v>-248.56440983378144</v>
      </c>
      <c r="EY139" s="111">
        <f t="shared" si="77"/>
        <v>93.357481944430972</v>
      </c>
      <c r="EZ139" s="111">
        <f>IF($BI$8=2015,VLOOKUP($L139,'[12]IMAGE CDLINKS 1_5C'!$P$3:$Y$29,10,FALSE)*$AM139,VLOOKUP($L139,'[12]IMAGE CDLINKS 1_5C'!$Z$3:$AI$29,10,FALSE)*$AP139)</f>
        <v>93.357481944430972</v>
      </c>
      <c r="FA139" s="192">
        <v>2050</v>
      </c>
    </row>
    <row r="140" spans="1:157" x14ac:dyDescent="0.25">
      <c r="A140" t="str">
        <f>IF([12]NDCs!C142="","",[12]NDCs!C142)</f>
        <v>A</v>
      </c>
      <c r="B140" s="159" t="str">
        <f t="shared" si="67"/>
        <v>v</v>
      </c>
      <c r="C140">
        <v>0</v>
      </c>
      <c r="D140">
        <v>0</v>
      </c>
      <c r="E140">
        <v>0</v>
      </c>
      <c r="F140">
        <v>1</v>
      </c>
      <c r="G140" t="b">
        <f t="shared" si="68"/>
        <v>1</v>
      </c>
      <c r="H140" t="s">
        <v>2328</v>
      </c>
      <c r="I140" t="s">
        <v>309</v>
      </c>
      <c r="J140">
        <v>583</v>
      </c>
      <c r="K140">
        <v>149</v>
      </c>
      <c r="L140">
        <v>24</v>
      </c>
      <c r="M140" t="str">
        <f>IF([12]NDCs!AL142="Excluding","excl","incl")</f>
        <v>excl</v>
      </c>
      <c r="N140" s="160">
        <f>[12]GHG_hist!BA130+IF($M140="incl",[12]LULUCF_hist!CR130,0)</f>
        <v>9.9749978000000003E-2</v>
      </c>
      <c r="O140" s="111">
        <f>[12]GHG_hist!BB130+IF($M140="incl",[12]LULUCF_hist!CS130,0)</f>
        <v>0.10385514999999999</v>
      </c>
      <c r="P140" s="111">
        <f>[12]GHG_hist!BC130+IF($M140="incl",[12]LULUCF_hist!CT130,0)</f>
        <v>0.10872787</v>
      </c>
      <c r="Q140" s="111">
        <f>[12]GHG_hist!BD130+IF($M140="incl",[12]LULUCF_hist!CU130,0)</f>
        <v>0.10876183</v>
      </c>
      <c r="R140" s="111">
        <f>[12]GHG_hist!BE130+IF($M140="incl",[12]LULUCF_hist!CV130,0)</f>
        <v>0.11350033999999999</v>
      </c>
      <c r="S140" s="111">
        <f>[12]GHG_hist!BF130+IF($M140="incl",[12]LULUCF_hist!CW130,0)</f>
        <v>0.168904</v>
      </c>
      <c r="T140" s="111">
        <f>[12]GHG_hist!BG130+IF($M140="incl",[12]LULUCF_hist!CX130,0)</f>
        <v>0.16891900000000001</v>
      </c>
      <c r="U140" s="111">
        <f>[12]GHG_hist!BH130+IF($M140="incl",[12]LULUCF_hist!CY130,0)</f>
        <v>0.17627219999999999</v>
      </c>
      <c r="V140" s="111">
        <f>[12]GHG_hist!BI130+IF($M140="incl",[12]LULUCF_hist!CZ130,0)</f>
        <v>0.17616990000000002</v>
      </c>
      <c r="W140" s="111">
        <f>[12]GHG_hist!BJ130+IF($M140="incl",[12]LULUCF_hist!DA130,0)</f>
        <v>0.17981659999999999</v>
      </c>
      <c r="X140" s="111">
        <f>[12]GHG_hist!BK130+IF($M140="incl",[12]LULUCF_hist!DB130,0)</f>
        <v>0.18343329999999999</v>
      </c>
      <c r="Y140" s="111">
        <f>[12]GHG_hist!BL130+IF($M140="incl",[12]LULUCF_hist!DC130,0)</f>
        <v>0.1981774</v>
      </c>
      <c r="Z140" s="111">
        <f>[12]GHG_hist!BM130+IF($M140="incl",[12]LULUCF_hist!DD130,0)</f>
        <v>0.19084899999999999</v>
      </c>
      <c r="AA140" s="111">
        <f>[12]GHG_hist!BN130+IF($M140="incl",[12]LULUCF_hist!DE130,0)</f>
        <v>0.20196410000000001</v>
      </c>
      <c r="AB140" s="111">
        <f>[12]GHG_hist!BO130+IF($M140="incl",[12]LULUCF_hist!DF130,0)</f>
        <v>0.1982749</v>
      </c>
      <c r="AC140" s="111">
        <f>[12]GHG_hist!BP130+IF($M140="incl",[12]LULUCF_hist!DG130,0)</f>
        <v>0.17631970000000002</v>
      </c>
      <c r="AD140" s="111">
        <f>[12]GHG_hist!BQ130+IF($M140="incl",[12]LULUCF_hist!DH130,0)</f>
        <v>0.1762947</v>
      </c>
      <c r="AE140" s="111">
        <f>[12]GHG_hist!BR130+IF($M140="incl",[12]LULUCF_hist!DI130,0)</f>
        <v>0.18797360000000002</v>
      </c>
      <c r="AF140" s="111">
        <f>[12]GHG_hist!BS130+IF($M140="incl",[12]LULUCF_hist!DJ130,0)</f>
        <v>0.1660334</v>
      </c>
      <c r="AG140" s="111">
        <f>[12]GHG_hist!BT130+IF($M140="incl",[12]LULUCF_hist!DK130,0)</f>
        <v>0.20523810000000001</v>
      </c>
      <c r="AH140" s="111">
        <f>[12]GHG_hist!BU130+IF($M140="incl",[12]LULUCF_hist!DL130,0)</f>
        <v>0.1612102</v>
      </c>
      <c r="AI140" s="111">
        <f>[12]GHG_hist!BV130+IF($M140="incl",[12]LULUCF_hist!DM130,0)</f>
        <v>0.17926620000000001</v>
      </c>
      <c r="AJ140" s="111">
        <f>[12]GHG_hist!BW130+IF($M140="incl",[12]LULUCF_hist!DN130,0)</f>
        <v>0.1866469</v>
      </c>
      <c r="AK140" s="111">
        <f>[12]GHG_hist!BX130+IF($M140="incl",[12]LULUCF_hist!DO130,0)</f>
        <v>0.199429</v>
      </c>
      <c r="AL140" s="111">
        <f>[12]GHG_hist!BY130+IF($M140="incl",[12]LULUCF_hist!DP130,0)</f>
        <v>0.1996415</v>
      </c>
      <c r="AM140" s="111">
        <f>[12]GHG_hist!BZ130+IF($M140="incl",[12]LULUCF_hist!DQ130,0)</f>
        <v>0.20807040000000002</v>
      </c>
      <c r="AN140" s="111">
        <f>[12]GHG_hist!CA130+IF($M140="incl",[12]LULUCF_hist!DR130,0)</f>
        <v>0.20920859999999999</v>
      </c>
      <c r="AO140" s="111">
        <f>[12]GHG_hist!CB130+IF($M140="incl",[12]LULUCF_hist!DS130,0)</f>
        <v>0.2090515</v>
      </c>
      <c r="AP140" s="111">
        <f>[12]GHG_hist!CC130+IF($M140="incl",[12]LULUCF_hist!DT130,0)</f>
        <v>0.21509175999999999</v>
      </c>
      <c r="AQ140" s="111">
        <f>[12]GHG_hist!CD130+IF($M140="incl",[12]LULUCF_hist!DU130,0)</f>
        <v>0.22852260000000002</v>
      </c>
      <c r="AR140" s="111">
        <f>[12]GHG_hist!CE130+IF($M140="incl",[12]LULUCF_hist!DV130,0)</f>
        <v>0.23027808</v>
      </c>
      <c r="AS140" s="111">
        <f>[12]GHG_hist!CF130+IF($M140="incl",[12]LULUCF_hist!DW130,0)</f>
        <v>0.23633991000000001</v>
      </c>
      <c r="AT140" s="161">
        <f>VLOOKUP($L140,'[12]IMAGE SSP2'!$AF$3:$AK$29,4,FALSE)*$AM140</f>
        <v>0.22336132124165689</v>
      </c>
      <c r="AU140" s="162">
        <f>VLOOKUP($L140,'[12]IMAGE SSP2'!$AF$3:$AK$29,5,FALSE)*$AM140</f>
        <v>0.22931231100710703</v>
      </c>
      <c r="AV140" s="163">
        <f>VLOOKUP($L140,'[12]IMAGE SSP2'!$AF$3:$AK$29,6,FALSE)*$AM140</f>
        <v>0.23199782858400905</v>
      </c>
      <c r="AW140" s="111" t="str">
        <f t="shared" si="75"/>
        <v/>
      </c>
      <c r="AX140" s="164" t="str">
        <f>IF(A140="B",IF(M140="excl",[12]NatCom!CO130,[12]NatCom!AX130),"")</f>
        <v/>
      </c>
      <c r="AY140" s="111" t="str">
        <f>IF('[12]Pledge 2020'!E130="","",'[12]Pledge 2020'!E130)</f>
        <v/>
      </c>
      <c r="AZ140" s="164" t="str">
        <f>IF('[12]Pledge 2020'!F130="","",'[12]Pledge 2020'!F130)</f>
        <v/>
      </c>
      <c r="BA140" s="111">
        <f t="shared" si="100"/>
        <v>0.12130255</v>
      </c>
      <c r="BB140" s="111">
        <f>IF(BF140="","",(BF140-AH140)*0.75+AH140)</f>
        <v>0.12130255</v>
      </c>
      <c r="BC140" s="111">
        <f t="shared" si="101"/>
        <v>0.11342755</v>
      </c>
      <c r="BD140" s="111">
        <f t="shared" si="103"/>
        <v>0.11342755</v>
      </c>
      <c r="BE140" s="111">
        <v>0.108</v>
      </c>
      <c r="BF140" s="111">
        <v>0.108</v>
      </c>
      <c r="BG140" s="111">
        <v>9.7500000000000003E-2</v>
      </c>
      <c r="BH140" s="164">
        <v>9.7500000000000003E-2</v>
      </c>
      <c r="BI140" s="111">
        <f>IF([12]NDCs!V142="",IF([12]NDCs!X142="","",[12]NDCs!X142),[12]NDCs!V142)</f>
        <v>0.108</v>
      </c>
      <c r="BJ140" s="111">
        <f>IF([12]NDCs!V142="",IF([12]NDCs!X142="","",[12]NDCs!X142),[12]NDCs!V142)</f>
        <v>0.108</v>
      </c>
      <c r="BK140" s="111">
        <f>IF([12]NDCs!Z142="",IF([12]NDCs!AB142="",IF('input site'!BE140="","",'input site'!BE140),[12]NDCs!AB142),[12]NDCs!Z142)</f>
        <v>9.7500000000000003E-2</v>
      </c>
      <c r="BL140" s="111">
        <f>IF([12]NDCs!AA142="",IF([12]NDCs!AC142="",IF('input site'!BF140="","",'input site'!BF140),[12]NDCs!AC142),[12]NDCs!AA142)</f>
        <v>9.7500000000000003E-2</v>
      </c>
      <c r="BM140" s="111">
        <f>IF($BI$8=2015,VLOOKUP($L140,'[12]IMAGE CurPol SSP'!$AZ$3:$BD$29,4,FALSE)*$AM140,IF($BI$8=2018,VLOOKUP($L140,'[12]IMAGE CurPol SSP'!$BJ$3:$BN$29,4,FALSE)*$AP140,$AR140))</f>
        <v>0.23027808</v>
      </c>
      <c r="BN140" s="111">
        <f t="shared" ref="BN140:BO144" si="104">IF($BI$8=2015,"",IF($BI$8=2018,"",$AR140))</f>
        <v>0.23027808</v>
      </c>
      <c r="BO140" s="111">
        <f t="shared" si="104"/>
        <v>0.23027808</v>
      </c>
      <c r="BP140" s="111">
        <f>IF($BI$8=2015,VLOOKUP($L140,'[12]IMAGE CurPol SSP'!$AZ$3:$BD$29,5,FALSE)*$AM140,IF($BI$8=2018,VLOOKUP($L140,'[12]IMAGE CurPol SSP'!$BJ$3:$BN$29,5,FALSE)*$AP140,VLOOKUP($L140,'[12]IMAGE CurPol SSP'!$BU$3:$BZ$29,5,FALSE)*$AS140))</f>
        <v>0.24070352012135243</v>
      </c>
      <c r="BQ140" s="111">
        <f>IF($BI$8=2015,"",IF($BI$8=2018,"",VLOOKUP($L140,'[12]IMAGE CurPol SSP'!$CQ$3:$CV$29,5,FALSE)*$AS140))</f>
        <v>0.23434614805986811</v>
      </c>
      <c r="BR140" s="111">
        <f>IF($BI$8=2015,"",IF($BI$8=2018,"",VLOOKUP($L140,'[12]IMAGE CurPol SSP'!$CF$3:$CK$29,5,FALSE)*$AS140))</f>
        <v>0.24070352012135243</v>
      </c>
      <c r="BS140" s="111">
        <f>IF($BI$8=2015,VLOOKUP($L140,'[12]IMAGE CurPol SSP'!$AZ$3:$BE$29,6,FALSE)*$AM140,IF($BI$8=2018,VLOOKUP($L140,'[12]IMAGE CurPol SSP'!$BJ$3:$BO$29,6,FALSE)*$AP140,VLOOKUP($L140,'[12]IMAGE CurPol SSP'!$BU$3:$BZ$29,6,FALSE)*$AS140))</f>
        <v>0.24776189408640889</v>
      </c>
      <c r="BT140" s="111">
        <f>IF($BI$8=2015,"",IF($BI$8=2018,"",VLOOKUP($L140,'[12]IMAGE CurPol SSP'!$CQ$3:$CV$29,6,FALSE)*$AS140))</f>
        <v>0.22884238112706271</v>
      </c>
      <c r="BU140" s="164">
        <f>IF($BI$8=2015,"",IF($BI$8=2018,"",VLOOKUP($L140,'[12]IMAGE CurPol SSP'!$CF$3:$CK$29,6,FALSE)*$AS140))</f>
        <v>0.24776189408640889</v>
      </c>
      <c r="CN140" t="s">
        <v>309</v>
      </c>
      <c r="CO140" s="165">
        <f t="shared" si="69"/>
        <v>-0.56409761719720242</v>
      </c>
      <c r="CP140" s="165">
        <f t="shared" si="69"/>
        <v>-0.56409761719720242</v>
      </c>
      <c r="CQ140" s="165">
        <f t="shared" si="69"/>
        <v>-0.60647701552525213</v>
      </c>
      <c r="CR140" s="165">
        <f t="shared" si="69"/>
        <v>-0.60647701552525213</v>
      </c>
      <c r="CV140" s="125" t="s">
        <v>621</v>
      </c>
      <c r="CW140" s="125" t="s">
        <v>621</v>
      </c>
      <c r="CX140"/>
      <c r="CY140" s="167">
        <f t="shared" si="70"/>
        <v>-6.9167587583431056E-3</v>
      </c>
      <c r="DB140" s="106"/>
      <c r="DC140" s="106"/>
      <c r="DD140" s="106"/>
      <c r="DE140" s="106"/>
      <c r="DF140" s="106"/>
      <c r="DG140" s="105" t="str">
        <f t="shared" si="71"/>
        <v>excl</v>
      </c>
      <c r="DH140" t="s">
        <v>309</v>
      </c>
      <c r="DI140" s="111">
        <f t="shared" ref="DI140:DJ167" si="105">IF(AY140="",$BM140,AY140)-$BM140</f>
        <v>0</v>
      </c>
      <c r="DJ140" s="111">
        <f t="shared" si="105"/>
        <v>0</v>
      </c>
      <c r="DK140" s="111">
        <f t="shared" ref="DK140:DK167" si="106">IF(BA140="",$BP140,BA140)-$BP140</f>
        <v>-0.11940097012135244</v>
      </c>
      <c r="DL140" s="111">
        <f t="shared" ref="DL140:DL167" si="107">IF(BC140="",$BP140,BC140)-$BP140</f>
        <v>-0.12727597012135244</v>
      </c>
      <c r="DM140" s="111">
        <f t="shared" ref="DM140:DM167" si="108">IF(BE140="",$BS140,BE140)-$BS140</f>
        <v>-0.13976189408640888</v>
      </c>
      <c r="DN140" s="111">
        <f t="shared" ref="DN140:DN167" si="109">IF(BG140="",$BS140,BG140)-$BS140</f>
        <v>-0.15026189408640889</v>
      </c>
      <c r="DO140" s="111">
        <f t="shared" ref="DO140:DO167" si="110">IF(BI140="",$BS140,BI140)-$BS140</f>
        <v>-0.13976189408640888</v>
      </c>
      <c r="DP140" s="111">
        <f t="shared" ref="DP140:DP167" si="111">IF(BK140="",$BS140,BK140)-$BS140</f>
        <v>-0.15026189408640889</v>
      </c>
      <c r="DQ140" s="106"/>
      <c r="DR140" s="106"/>
      <c r="DS140" s="111"/>
      <c r="DT140" s="168"/>
      <c r="DW140" s="111">
        <f t="shared" si="72"/>
        <v>0.108</v>
      </c>
      <c r="DX140" s="111">
        <f t="shared" si="72"/>
        <v>0.108</v>
      </c>
      <c r="DY140" s="111">
        <f t="shared" si="72"/>
        <v>9.7500000000000003E-2</v>
      </c>
      <c r="DZ140" s="111">
        <f t="shared" si="72"/>
        <v>9.7500000000000003E-2</v>
      </c>
      <c r="EP140" t="s">
        <v>309</v>
      </c>
      <c r="EQ140">
        <v>-1</v>
      </c>
      <c r="ER140" s="111">
        <f t="shared" si="73"/>
        <v>0.21509175999999999</v>
      </c>
      <c r="ES140" s="111">
        <f>IF($BI$8=2015,VLOOKUP($L140,'[12]IMAGE CDLINKS CurPol'!$P$3:$Y$29,10,FALSE)*$AM140,VLOOKUP($L140,'[12]IMAGE CDLINKS CurPol'!$Z$3:$AI$29,10,FALSE)*$AP140)</f>
        <v>0.22176096901112125</v>
      </c>
      <c r="ET140" s="111">
        <f t="shared" si="86"/>
        <v>0.22176096901112125</v>
      </c>
      <c r="EU140" s="111">
        <f t="shared" si="76"/>
        <v>8.5230979273731758E-2</v>
      </c>
      <c r="EV140" s="111">
        <f>IF($BI$8=2015,VLOOKUP($L140,'[12]IMAGE CDLINKS 2C'!$P$3:$Y$29,10,FALSE)*$AM140,VLOOKUP($L140,'[12]IMAGE CDLINKS 2C'!$Z$3:$AI$29,10,FALSE)*$AP140)</f>
        <v>8.5230979273731758E-2</v>
      </c>
      <c r="EX140" s="111"/>
      <c r="EY140" s="111">
        <f t="shared" si="77"/>
        <v>3.686782609325142E-2</v>
      </c>
      <c r="EZ140" s="111">
        <f>IF($BI$8=2015,VLOOKUP($L140,'[12]IMAGE CDLINKS 1_5C'!$P$3:$Y$29,10,FALSE)*$AM140,VLOOKUP($L140,'[12]IMAGE CDLINKS 1_5C'!$Z$3:$AI$29,10,FALSE)*$AP140)</f>
        <v>3.686782609325142E-2</v>
      </c>
      <c r="FA140" s="192">
        <v>2050</v>
      </c>
    </row>
    <row r="141" spans="1:157" x14ac:dyDescent="0.25">
      <c r="A141" t="str">
        <f>IF([12]NDCs!C143="","",[12]NDCs!C143)</f>
        <v>A</v>
      </c>
      <c r="B141" s="159" t="str">
        <f t="shared" ref="B141:B204" si="112">CV141</f>
        <v>v</v>
      </c>
      <c r="C141">
        <v>0</v>
      </c>
      <c r="D141">
        <v>0</v>
      </c>
      <c r="E141">
        <v>0</v>
      </c>
      <c r="F141">
        <v>1</v>
      </c>
      <c r="G141" t="b">
        <f t="shared" ref="G141:G204" si="113">IF(OR(A141="",A141="G"),FALSE,TRUE)</f>
        <v>1</v>
      </c>
      <c r="H141" t="s">
        <v>2339</v>
      </c>
      <c r="I141" t="s">
        <v>311</v>
      </c>
      <c r="J141">
        <v>498</v>
      </c>
      <c r="K141">
        <v>129</v>
      </c>
      <c r="L141">
        <v>14</v>
      </c>
      <c r="M141" t="str">
        <f>IF([12]NDCs!AL143="Excluding","excl","incl")</f>
        <v>incl</v>
      </c>
      <c r="N141" s="160">
        <f>[12]GHG_hist!BA131+IF($M141="incl",[12]LULUCF_hist!CR131,0)</f>
        <v>43.590943000000003</v>
      </c>
      <c r="O141" s="111">
        <f>[12]GHG_hist!BB131+IF($M141="incl",[12]LULUCF_hist!CS131,0)</f>
        <v>36.248137</v>
      </c>
      <c r="P141" s="111">
        <f>[12]GHG_hist!BC131+IF($M141="incl",[12]LULUCF_hist!CT131,0)</f>
        <v>29.022975000000002</v>
      </c>
      <c r="Q141" s="111">
        <f>[12]GHG_hist!BD131+IF($M141="incl",[12]LULUCF_hist!CU131,0)</f>
        <v>22.269108000000003</v>
      </c>
      <c r="R141" s="111">
        <f>[12]GHG_hist!BE131+IF($M141="incl",[12]LULUCF_hist!CV131,0)</f>
        <v>18.986681000000001</v>
      </c>
      <c r="S141" s="111">
        <f>[12]GHG_hist!BF131+IF($M141="incl",[12]LULUCF_hist!CW131,0)</f>
        <v>15.627606999999999</v>
      </c>
      <c r="T141" s="111">
        <f>[12]GHG_hist!BG131+IF($M141="incl",[12]LULUCF_hist!CX131,0)</f>
        <v>14.966076999999999</v>
      </c>
      <c r="U141" s="111">
        <f>[12]GHG_hist!BH131+IF($M141="incl",[12]LULUCF_hist!CY131,0)</f>
        <v>13.714744</v>
      </c>
      <c r="V141" s="111">
        <f>[12]GHG_hist!BI131+IF($M141="incl",[12]LULUCF_hist!CZ131,0)</f>
        <v>12.018991</v>
      </c>
      <c r="W141" s="111">
        <f>[12]GHG_hist!BJ131+IF($M141="incl",[12]LULUCF_hist!DA131,0)</f>
        <v>10.044011999999999</v>
      </c>
      <c r="X141" s="111">
        <f>[12]GHG_hist!BK131+IF($M141="incl",[12]LULUCF_hist!DB131,0)</f>
        <v>8.8434500000000007</v>
      </c>
      <c r="Y141" s="111">
        <f>[12]GHG_hist!BL131+IF($M141="incl",[12]LULUCF_hist!DC131,0)</f>
        <v>9.8970130000000012</v>
      </c>
      <c r="Z141" s="111">
        <f>[12]GHG_hist!BM131+IF($M141="incl",[12]LULUCF_hist!DD131,0)</f>
        <v>9.7030200000000004</v>
      </c>
      <c r="AA141" s="111">
        <f>[12]GHG_hist!BN131+IF($M141="incl",[12]LULUCF_hist!DE131,0)</f>
        <v>10.219047</v>
      </c>
      <c r="AB141" s="111">
        <f>[12]GHG_hist!BO131+IF($M141="incl",[12]LULUCF_hist!DF131,0)</f>
        <v>10.605148</v>
      </c>
      <c r="AC141" s="111">
        <f>[12]GHG_hist!BP131+IF($M141="incl",[12]LULUCF_hist!DG131,0)</f>
        <v>11.283704</v>
      </c>
      <c r="AD141" s="111">
        <f>[12]GHG_hist!BQ131+IF($M141="incl",[12]LULUCF_hist!DH131,0)</f>
        <v>10.33778</v>
      </c>
      <c r="AE141" s="111">
        <f>[12]GHG_hist!BR131+IF($M141="incl",[12]LULUCF_hist!DI131,0)</f>
        <v>10.178974999999999</v>
      </c>
      <c r="AF141" s="111">
        <f>[12]GHG_hist!BS131+IF($M141="incl",[12]LULUCF_hist!DJ131,0)</f>
        <v>10.955903000000001</v>
      </c>
      <c r="AG141" s="111">
        <f>[12]GHG_hist!BT131+IF($M141="incl",[12]LULUCF_hist!DK131,0)</f>
        <v>11.31418</v>
      </c>
      <c r="AH141" s="111">
        <f>[12]GHG_hist!BU131+IF($M141="incl",[12]LULUCF_hist!DL131,0)</f>
        <v>12.133970000000001</v>
      </c>
      <c r="AI141" s="111">
        <f>[12]GHG_hist!BV131+IF($M141="incl",[12]LULUCF_hist!DM131,0)</f>
        <v>12.532525999999999</v>
      </c>
      <c r="AJ141" s="111">
        <f>[12]GHG_hist!BW131+IF($M141="incl",[12]LULUCF_hist!DN131,0)</f>
        <v>12.087868000000002</v>
      </c>
      <c r="AK141" s="111">
        <f>[12]GHG_hist!BX131+IF($M141="incl",[12]LULUCF_hist!DO131,0)</f>
        <v>11.907207000000001</v>
      </c>
      <c r="AL141" s="111">
        <f>[12]GHG_hist!BY131+IF($M141="incl",[12]LULUCF_hist!DP131,0)</f>
        <v>12.501885</v>
      </c>
      <c r="AM141" s="111">
        <f>[12]GHG_hist!BZ131+IF($M141="incl",[12]LULUCF_hist!DQ131,0)</f>
        <v>11.826281</v>
      </c>
      <c r="AN141" s="111">
        <f>[12]GHG_hist!CA131+IF($M141="incl",[12]LULUCF_hist!DR131,0)</f>
        <v>12.341476</v>
      </c>
      <c r="AO141" s="111">
        <f>[12]GHG_hist!CB131+IF($M141="incl",[12]LULUCF_hist!DS131,0)</f>
        <v>12.131429000000001</v>
      </c>
      <c r="AP141" s="111">
        <f>[12]GHG_hist!CC131+IF($M141="incl",[12]LULUCF_hist!DT131,0)</f>
        <v>12.921580000000002</v>
      </c>
      <c r="AQ141" s="111">
        <f>[12]GHG_hist!CD131+IF($M141="incl",[12]LULUCF_hist!DU131,0)</f>
        <v>13.765955</v>
      </c>
      <c r="AR141" s="111">
        <f>[12]GHG_hist!CE131+IF($M141="incl",[12]LULUCF_hist!DV131,0)</f>
        <v>13.65898</v>
      </c>
      <c r="AS141" s="111">
        <f>[12]GHG_hist!CF131+IF($M141="incl",[12]LULUCF_hist!DW131,0)</f>
        <v>13.833572838709664</v>
      </c>
      <c r="AT141" s="161">
        <f>VLOOKUP($L141,'[12]IMAGE SSP2'!$AF$3:$AK$29,4,FALSE)*$AM141</f>
        <v>12.337302524527056</v>
      </c>
      <c r="AU141" s="162">
        <f>VLOOKUP($L141,'[12]IMAGE SSP2'!$AF$3:$AK$29,5,FALSE)*$AM141</f>
        <v>13.195577400780262</v>
      </c>
      <c r="AV141" s="163">
        <f>VLOOKUP($L141,'[12]IMAGE SSP2'!$AF$3:$AK$29,6,FALSE)*$AM141</f>
        <v>14.179900707655875</v>
      </c>
      <c r="AW141" s="111" t="str">
        <f t="shared" si="75"/>
        <v/>
      </c>
      <c r="AX141" s="164" t="str">
        <f>IF(A141="B",IF(M141="excl",[12]NatCom!CO131,[12]NatCom!AX131),"")</f>
        <v/>
      </c>
      <c r="AY141" s="111">
        <f>IF('[12]Pledge 2020'!E131="","",'[12]Pledge 2020'!E131)</f>
        <v>33.93633225</v>
      </c>
      <c r="AZ141" s="164">
        <f>IF('[12]Pledge 2020'!F131="","",'[12]Pledge 2020'!F131)</f>
        <v>33.93633225</v>
      </c>
      <c r="BA141" s="111">
        <f t="shared" si="100"/>
        <v>11.470992500000001</v>
      </c>
      <c r="BB141" s="111">
        <f>IF(BF141="","",(BF141-AH141)*0.75+AH141)</f>
        <v>11.470992500000001</v>
      </c>
      <c r="BC141" s="111">
        <f t="shared" si="101"/>
        <v>6.4084925000000004</v>
      </c>
      <c r="BD141" s="111">
        <f t="shared" si="103"/>
        <v>6.4084925000000004</v>
      </c>
      <c r="BE141" s="169">
        <v>11.250000000000002</v>
      </c>
      <c r="BF141" s="169">
        <v>11.250000000000002</v>
      </c>
      <c r="BG141" s="169">
        <v>4.5</v>
      </c>
      <c r="BH141" s="170">
        <v>4.5</v>
      </c>
      <c r="BI141" s="111">
        <f>IF([12]NDCs!V143="",IF([12]NDCs!X143="","",[12]NDCs!X143),[12]NDCs!V143)</f>
        <v>12.374999999999998</v>
      </c>
      <c r="BJ141" s="111">
        <f>IF([12]NDCs!V143="",IF([12]NDCs!X143="","",[12]NDCs!X143),[12]NDCs!V143)</f>
        <v>12.374999999999998</v>
      </c>
      <c r="BK141" s="111">
        <f>IF([12]NDCs!Z143="",IF([12]NDCs!AB143="",IF('input site'!BE141="","",'input site'!BE141),[12]NDCs!AB143),[12]NDCs!Z143)</f>
        <v>8.2499999999999982</v>
      </c>
      <c r="BL141" s="111">
        <f>IF([12]NDCs!AA143="",IF([12]NDCs!AC143="",IF('input site'!BF141="","",'input site'!BF141),[12]NDCs!AC143),[12]NDCs!AA143)</f>
        <v>8.2499999999999982</v>
      </c>
      <c r="BM141" s="111">
        <f>IF($BI$8=2015,VLOOKUP($L141,'[12]IMAGE CurPol SSP'!$AZ$3:$BD$29,4,FALSE)*$AM141,IF($BI$8=2018,VLOOKUP($L141,'[12]IMAGE CurPol SSP'!$BJ$3:$BN$29,4,FALSE)*$AP141,$AR141))</f>
        <v>13.65898</v>
      </c>
      <c r="BN141" s="111">
        <f t="shared" si="104"/>
        <v>13.65898</v>
      </c>
      <c r="BO141" s="111">
        <f t="shared" si="104"/>
        <v>13.65898</v>
      </c>
      <c r="BP141" s="111">
        <f>IF($BI$8=2015,VLOOKUP($L141,'[12]IMAGE CurPol SSP'!$AZ$3:$BD$29,5,FALSE)*$AM141,IF($BI$8=2018,VLOOKUP($L141,'[12]IMAGE CurPol SSP'!$BJ$3:$BN$29,5,FALSE)*$AP141,VLOOKUP($L141,'[12]IMAGE CurPol SSP'!$BU$3:$BZ$29,5,FALSE)*$AS141))</f>
        <v>14.298982691104703</v>
      </c>
      <c r="BQ141" s="111">
        <f>IF($BI$8=2015,"",IF($BI$8=2018,"",VLOOKUP($L141,'[12]IMAGE CurPol SSP'!$CQ$3:$CV$29,5,FALSE)*$AS141))</f>
        <v>14.109456837698565</v>
      </c>
      <c r="BR141" s="111">
        <f>IF($BI$8=2015,"",IF($BI$8=2018,"",VLOOKUP($L141,'[12]IMAGE CurPol SSP'!$CF$3:$CK$29,5,FALSE)*$AS141))</f>
        <v>14.298982691104703</v>
      </c>
      <c r="BS141" s="111">
        <f>IF($BI$8=2015,VLOOKUP($L141,'[12]IMAGE CurPol SSP'!$AZ$3:$BE$29,6,FALSE)*$AM141,IF($BI$8=2018,VLOOKUP($L141,'[12]IMAGE CurPol SSP'!$BJ$3:$BO$29,6,FALSE)*$AP141,VLOOKUP($L141,'[12]IMAGE CurPol SSP'!$BU$3:$BZ$29,6,FALSE)*$AS141))</f>
        <v>15.94975002530029</v>
      </c>
      <c r="BT141" s="111">
        <f>IF($BI$8=2015,"",IF($BI$8=2018,"",VLOOKUP($L141,'[12]IMAGE CurPol SSP'!$CQ$3:$CV$29,6,FALSE)*$AS141))</f>
        <v>14.772718290115641</v>
      </c>
      <c r="BU141" s="164">
        <f>IF($BI$8=2015,"",IF($BI$8=2018,"",VLOOKUP($L141,'[12]IMAGE CurPol SSP'!$CF$3:$CK$29,6,FALSE)*$AS141))</f>
        <v>15.94975002530029</v>
      </c>
      <c r="CN141" t="s">
        <v>311</v>
      </c>
      <c r="CO141" s="165">
        <f t="shared" ref="CO141:CR204" si="114">IF(BE141="","",BE141/$BS141-1)</f>
        <v>-0.29465979202465931</v>
      </c>
      <c r="CP141" s="165">
        <f t="shared" si="114"/>
        <v>-0.29465979202465931</v>
      </c>
      <c r="CQ141" s="165">
        <f t="shared" si="114"/>
        <v>-0.71786391680986372</v>
      </c>
      <c r="CR141" s="165">
        <f t="shared" si="114"/>
        <v>-0.71786391680986372</v>
      </c>
      <c r="CV141" s="125" t="s">
        <v>621</v>
      </c>
      <c r="CW141" s="125" t="s">
        <v>621</v>
      </c>
      <c r="CX141"/>
      <c r="CY141" s="167">
        <f t="shared" ref="CY141:CY204" si="115">AT141-BM141</f>
        <v>-1.3216774754729439</v>
      </c>
      <c r="DA141" s="106"/>
      <c r="DB141" s="106"/>
      <c r="DC141" s="106"/>
      <c r="DD141" s="106"/>
      <c r="DE141" s="106"/>
      <c r="DF141" s="106"/>
      <c r="DG141" s="105" t="str">
        <f t="shared" ref="DG141:DG204" si="116">M141</f>
        <v>incl</v>
      </c>
      <c r="DH141" t="s">
        <v>311</v>
      </c>
      <c r="DI141" s="111">
        <f t="shared" si="105"/>
        <v>20.27735225</v>
      </c>
      <c r="DJ141" s="111">
        <f t="shared" si="105"/>
        <v>20.27735225</v>
      </c>
      <c r="DK141" s="111">
        <f t="shared" si="106"/>
        <v>-2.8279901911047016</v>
      </c>
      <c r="DL141" s="111">
        <f t="shared" si="107"/>
        <v>-7.8904901911047025</v>
      </c>
      <c r="DM141" s="111">
        <f t="shared" si="108"/>
        <v>-4.699750025300288</v>
      </c>
      <c r="DN141" s="111">
        <f t="shared" si="109"/>
        <v>-11.44975002530029</v>
      </c>
      <c r="DO141" s="111">
        <f t="shared" si="110"/>
        <v>-3.5747500253002915</v>
      </c>
      <c r="DP141" s="111">
        <f t="shared" si="111"/>
        <v>-7.6997500253002915</v>
      </c>
      <c r="DQ141" s="106"/>
      <c r="DR141" s="106"/>
      <c r="DS141" s="194">
        <f>([12]GHG_hist!BZ131+IF($M141="incl",[12]LULUCF_hist!DQ131,0))/([12]GHG_hist!$BX131+IF($M141="incl",[12]LULUCF_hist!$DO131,0))*$AK141</f>
        <v>11.826281</v>
      </c>
      <c r="DT141" s="168">
        <f>IF($M141="incl",'[12]IIASA Proj'!EQ131,0)</f>
        <v>-0.70808543999999984</v>
      </c>
      <c r="DW141" s="111">
        <f t="shared" ref="DW141:DZ204" si="117">IF(BE141="",$BS141,BE141)</f>
        <v>11.250000000000002</v>
      </c>
      <c r="DX141" s="111">
        <f t="shared" si="117"/>
        <v>11.250000000000002</v>
      </c>
      <c r="DY141" s="111">
        <f t="shared" si="117"/>
        <v>4.5</v>
      </c>
      <c r="DZ141" s="111">
        <f t="shared" si="117"/>
        <v>4.5</v>
      </c>
      <c r="EP141" t="s">
        <v>311</v>
      </c>
      <c r="EQ141">
        <v>0</v>
      </c>
      <c r="ER141" s="111">
        <f t="shared" ref="ER141:ER204" si="118">AP141</f>
        <v>12.921580000000002</v>
      </c>
      <c r="ES141" s="111">
        <f>IF($BI$8=2015,VLOOKUP($L141,'[12]IMAGE CDLINKS CurPol'!$P$3:$Y$29,10,FALSE)*$AM141,VLOOKUP($L141,'[12]IMAGE CDLINKS CurPol'!$Z$3:$AI$29,10,FALSE)*$AP141)</f>
        <v>17.937637116291718</v>
      </c>
      <c r="ET141" s="111">
        <f t="shared" si="86"/>
        <v>17.937637116291718</v>
      </c>
      <c r="EU141" s="111">
        <f t="shared" si="76"/>
        <v>1.9011328921833346</v>
      </c>
      <c r="EV141" s="111">
        <f>IF($BI$8=2015,VLOOKUP($L141,'[12]IMAGE CDLINKS 2C'!$P$3:$Y$29,10,FALSE)*$AM141,VLOOKUP($L141,'[12]IMAGE CDLINKS 2C'!$Z$3:$AI$29,10,FALSE)*$AP141)</f>
        <v>1.9011328921833346</v>
      </c>
      <c r="EY141" s="111">
        <f t="shared" si="77"/>
        <v>-2.2790721370525353</v>
      </c>
      <c r="EZ141" s="111">
        <f>IF($BI$8=2015,VLOOKUP($L141,'[12]IMAGE CDLINKS 1_5C'!$P$3:$Y$29,10,FALSE)*$AM141,VLOOKUP($L141,'[12]IMAGE CDLINKS 1_5C'!$Z$3:$AI$29,10,FALSE)*$AP141)</f>
        <v>-2.2790721370525353</v>
      </c>
      <c r="FA141" s="192"/>
    </row>
    <row r="142" spans="1:157" x14ac:dyDescent="0.25">
      <c r="A142" t="str">
        <f>IF([12]NDCs!C144="","",[12]NDCs!C144)</f>
        <v>A</v>
      </c>
      <c r="B142" s="159" t="str">
        <f t="shared" si="112"/>
        <v>v</v>
      </c>
      <c r="C142">
        <v>0</v>
      </c>
      <c r="D142">
        <v>0</v>
      </c>
      <c r="E142">
        <v>0</v>
      </c>
      <c r="F142" s="38">
        <v>0</v>
      </c>
      <c r="G142" t="b">
        <f t="shared" si="113"/>
        <v>1</v>
      </c>
      <c r="H142" t="s">
        <v>2335</v>
      </c>
      <c r="I142" t="s">
        <v>313</v>
      </c>
      <c r="J142">
        <v>492</v>
      </c>
      <c r="K142">
        <v>127</v>
      </c>
      <c r="L142">
        <v>11</v>
      </c>
      <c r="M142" t="str">
        <f>IF([12]NDCs!AL144="Excluding","excl","incl")</f>
        <v>excl</v>
      </c>
      <c r="N142" s="160">
        <f>[12]GHG_hist!BA132+IF($M142="incl",[12]LULUCF_hist!CR132,0)</f>
        <v>0.10245956000000001</v>
      </c>
      <c r="O142" s="111">
        <f>[12]GHG_hist!BB132+IF($M142="incl",[12]LULUCF_hist!CS132,0)</f>
        <v>0.10331195999999999</v>
      </c>
      <c r="P142" s="111">
        <f>[12]GHG_hist!BC132+IF($M142="incl",[12]LULUCF_hist!CT132,0)</f>
        <v>0.10895653000000001</v>
      </c>
      <c r="Q142" s="111">
        <f>[12]GHG_hist!BD132+IF($M142="incl",[12]LULUCF_hist!CU132,0)</f>
        <v>0.10810796</v>
      </c>
      <c r="R142" s="111">
        <f>[12]GHG_hist!BE132+IF($M142="incl",[12]LULUCF_hist!CV132,0)</f>
        <v>0.1088027</v>
      </c>
      <c r="S142" s="111">
        <f>[12]GHG_hist!BF132+IF($M142="incl",[12]LULUCF_hist!CW132,0)</f>
        <v>0.10543664</v>
      </c>
      <c r="T142" s="111">
        <f>[12]GHG_hist!BG132+IF($M142="incl",[12]LULUCF_hist!CX132,0)</f>
        <v>0.10922933000000001</v>
      </c>
      <c r="U142" s="111">
        <f>[12]GHG_hist!BH132+IF($M142="incl",[12]LULUCF_hist!CY132,0)</f>
        <v>0.10785288</v>
      </c>
      <c r="V142" s="111">
        <f>[12]GHG_hist!BI132+IF($M142="incl",[12]LULUCF_hist!CZ132,0)</f>
        <v>0.10694753</v>
      </c>
      <c r="W142" s="111">
        <f>[12]GHG_hist!BJ132+IF($M142="incl",[12]LULUCF_hist!DA132,0)</f>
        <v>0.10815662000000001</v>
      </c>
      <c r="X142" s="111">
        <f>[12]GHG_hist!BK132+IF($M142="incl",[12]LULUCF_hist!DB132,0)</f>
        <v>0.10628890000000001</v>
      </c>
      <c r="Y142" s="111">
        <f>[12]GHG_hist!BL132+IF($M142="incl",[12]LULUCF_hist!DC132,0)</f>
        <v>0.10673046999999999</v>
      </c>
      <c r="Z142" s="111">
        <f>[12]GHG_hist!BM132+IF($M142="incl",[12]LULUCF_hist!DD132,0)</f>
        <v>0.10710509</v>
      </c>
      <c r="AA142" s="111">
        <f>[12]GHG_hist!BN132+IF($M142="incl",[12]LULUCF_hist!DE132,0)</f>
        <v>0.10408770000000001</v>
      </c>
      <c r="AB142" s="111">
        <f>[12]GHG_hist!BO132+IF($M142="incl",[12]LULUCF_hist!DF132,0)</f>
        <v>9.8856233000000002E-2</v>
      </c>
      <c r="AC142" s="111">
        <f>[12]GHG_hist!BP132+IF($M142="incl",[12]LULUCF_hist!DG132,0)</f>
        <v>9.7740100999999996E-2</v>
      </c>
      <c r="AD142" s="111">
        <f>[12]GHG_hist!BQ132+IF($M142="incl",[12]LULUCF_hist!DH132,0)</f>
        <v>9.3301334E-2</v>
      </c>
      <c r="AE142" s="111">
        <f>[12]GHG_hist!BR132+IF($M142="incl",[12]LULUCF_hist!DI132,0)</f>
        <v>9.3122240000000009E-2</v>
      </c>
      <c r="AF142" s="111">
        <f>[12]GHG_hist!BS132+IF($M142="incl",[12]LULUCF_hist!DJ132,0)</f>
        <v>9.3801131999999995E-2</v>
      </c>
      <c r="AG142" s="111">
        <f>[12]GHG_hist!BT132+IF($M142="incl",[12]LULUCF_hist!DK132,0)</f>
        <v>9.0145975000000003E-2</v>
      </c>
      <c r="AH142" s="111">
        <f>[12]GHG_hist!BU132+IF($M142="incl",[12]LULUCF_hist!DL132,0)</f>
        <v>8.7758921000000004E-2</v>
      </c>
      <c r="AI142" s="111">
        <f>[12]GHG_hist!BV132+IF($M142="incl",[12]LULUCF_hist!DM132,0)</f>
        <v>8.6296970000000001E-2</v>
      </c>
      <c r="AJ142" s="111">
        <f>[12]GHG_hist!BW132+IF($M142="incl",[12]LULUCF_hist!DN132,0)</f>
        <v>8.9134138000000002E-2</v>
      </c>
      <c r="AK142" s="111">
        <f>[12]GHG_hist!BX132+IF($M142="incl",[12]LULUCF_hist!DO132,0)</f>
        <v>9.1126657E-2</v>
      </c>
      <c r="AL142" s="111">
        <f>[12]GHG_hist!BY132+IF($M142="incl",[12]LULUCF_hist!DP132,0)</f>
        <v>8.5197604999999996E-2</v>
      </c>
      <c r="AM142" s="111">
        <f>[12]GHG_hist!BZ132+IF($M142="incl",[12]LULUCF_hist!DQ132,0)</f>
        <v>8.8213310000000003E-2</v>
      </c>
      <c r="AN142" s="111">
        <f>[12]GHG_hist!CA132+IF($M142="incl",[12]LULUCF_hist!DR132,0)</f>
        <v>8.6428909999999998E-2</v>
      </c>
      <c r="AO142" s="111">
        <f>[12]GHG_hist!CB132+IF($M142="incl",[12]LULUCF_hist!DS132,0)</f>
        <v>8.3332840000000005E-2</v>
      </c>
      <c r="AP142" s="111">
        <f>[12]GHG_hist!CC132+IF($M142="incl",[12]LULUCF_hist!DT132,0)</f>
        <v>8.6667591000000002E-2</v>
      </c>
      <c r="AQ142" s="111">
        <f>[12]GHG_hist!CD132+IF($M142="incl",[12]LULUCF_hist!DU132,0)</f>
        <v>8.3009313000000001E-2</v>
      </c>
      <c r="AR142" s="111">
        <f>[12]GHG_hist!CE132+IF($M142="incl",[12]LULUCF_hist!DV132,0)</f>
        <v>6.9761570000000009E-2</v>
      </c>
      <c r="AS142" s="111">
        <f>[12]GHG_hist!CF132+IF($M142="incl",[12]LULUCF_hist!DW132,0)</f>
        <v>7.3632762000000004E-2</v>
      </c>
      <c r="AT142" s="161">
        <f>VLOOKUP($L142,'[12]IMAGE SSP2'!$AF$3:$AK$29,4,FALSE)*$AM142</f>
        <v>8.5778397696504999E-2</v>
      </c>
      <c r="AU142" s="162">
        <f>VLOOKUP($L142,'[12]IMAGE SSP2'!$AF$3:$AK$29,5,FALSE)*$AM142</f>
        <v>8.2939017988044608E-2</v>
      </c>
      <c r="AV142" s="163">
        <f>VLOOKUP($L142,'[12]IMAGE SSP2'!$AF$3:$AK$29,6,FALSE)*$AM142</f>
        <v>8.2477534323291427E-2</v>
      </c>
      <c r="AW142" s="111" t="str">
        <f t="shared" ref="AW142:AW204" si="119">IF(A142="B",AH142+(AX142-AH142)*0.5,"")</f>
        <v/>
      </c>
      <c r="AX142" s="164" t="str">
        <f>IF(A142="B",IF(M142="excl",[12]NatCom!CO132,[12]NatCom!AX132),"")</f>
        <v/>
      </c>
      <c r="AY142" s="111" t="str">
        <f>IF('[12]Pledge 2020'!E132="","",'[12]Pledge 2020'!E132)</f>
        <v/>
      </c>
      <c r="AZ142" s="164" t="str">
        <f>IF('[12]Pledge 2020'!F132="","",'[12]Pledge 2020'!F132)</f>
        <v/>
      </c>
      <c r="BA142" s="111">
        <f t="shared" si="100"/>
        <v>6.0362065249999999E-2</v>
      </c>
      <c r="BB142" s="111">
        <f>IF(BF142="","",(BF142-AH142)*0.75+AH142)</f>
        <v>6.0362065249999999E-2</v>
      </c>
      <c r="BC142" s="111">
        <f t="shared" si="101"/>
        <v>6.0362065249999999E-2</v>
      </c>
      <c r="BD142" s="111">
        <f t="shared" si="103"/>
        <v>6.0362065249999999E-2</v>
      </c>
      <c r="BE142" s="111">
        <v>5.1229780000000003E-2</v>
      </c>
      <c r="BF142" s="111">
        <v>5.1229780000000003E-2</v>
      </c>
      <c r="BG142" s="111">
        <v>5.1229780000000003E-2</v>
      </c>
      <c r="BH142" s="164">
        <v>5.1229780000000003E-2</v>
      </c>
      <c r="BI142" s="111">
        <f>IF([12]NDCs!V144="",IF([12]NDCs!X144="","",[12]NDCs!X144),[12]NDCs!V144)</f>
        <v>5.1229780000000003E-2</v>
      </c>
      <c r="BJ142" s="111">
        <f>IF([12]NDCs!V144="",IF([12]NDCs!X144="","",[12]NDCs!X144),[12]NDCs!V144)</f>
        <v>5.1229780000000003E-2</v>
      </c>
      <c r="BK142" s="111">
        <f>IF([12]NDCs!Z144="",IF([12]NDCs!AB144="",IF('input site'!BE142="","",'input site'!BE142),[12]NDCs!AB144),[12]NDCs!Z144)</f>
        <v>5.1229780000000003E-2</v>
      </c>
      <c r="BL142" s="111">
        <f>IF([12]NDCs!AA144="",IF([12]NDCs!AC144="",IF('input site'!BF142="","",'input site'!BF142),[12]NDCs!AC144),[12]NDCs!AA144)</f>
        <v>5.1229780000000003E-2</v>
      </c>
      <c r="BM142" s="111">
        <f>IF($BI$8=2015,VLOOKUP($L142,'[12]IMAGE CurPol SSP'!$AZ$3:$BD$29,4,FALSE)*$AM142,IF($BI$8=2018,VLOOKUP($L142,'[12]IMAGE CurPol SSP'!$BJ$3:$BN$29,4,FALSE)*$AP142,$AR142))</f>
        <v>6.9761570000000009E-2</v>
      </c>
      <c r="BN142" s="111">
        <f t="shared" si="104"/>
        <v>6.9761570000000009E-2</v>
      </c>
      <c r="BO142" s="111">
        <f t="shared" si="104"/>
        <v>6.9761570000000009E-2</v>
      </c>
      <c r="BP142" s="111">
        <f>IF($BI$8=2015,VLOOKUP($L142,'[12]IMAGE CurPol SSP'!$AZ$3:$BD$29,5,FALSE)*$AM142,IF($BI$8=2018,VLOOKUP($L142,'[12]IMAGE CurPol SSP'!$BJ$3:$BN$29,5,FALSE)*$AP142,VLOOKUP($L142,'[12]IMAGE CurPol SSP'!$BU$3:$BZ$29,5,FALSE)*$AS142))</f>
        <v>5.9726452761403336E-2</v>
      </c>
      <c r="BQ142" s="111">
        <f>IF($BI$8=2015,"",IF($BI$8=2018,"",VLOOKUP($L142,'[12]IMAGE CurPol SSP'!$CQ$3:$CV$29,5,FALSE)*$AS142))</f>
        <v>5.8047039371992196E-2</v>
      </c>
      <c r="BR142" s="111">
        <f>IF($BI$8=2015,"",IF($BI$8=2018,"",VLOOKUP($L142,'[12]IMAGE CurPol SSP'!$CF$3:$CK$29,5,FALSE)*$AS142))</f>
        <v>6.0746412046019729E-2</v>
      </c>
      <c r="BS142" s="111">
        <f>IF($BI$8=2015,VLOOKUP($L142,'[12]IMAGE CurPol SSP'!$AZ$3:$BE$29,6,FALSE)*$AM142,IF($BI$8=2018,VLOOKUP($L142,'[12]IMAGE CurPol SSP'!$BJ$3:$BO$29,6,FALSE)*$AP142,VLOOKUP($L142,'[12]IMAGE CurPol SSP'!$BU$3:$BZ$29,6,FALSE)*$AS142))</f>
        <v>4.1083363330513094E-2</v>
      </c>
      <c r="BT142" s="111">
        <f>IF($BI$8=2015,"",IF($BI$8=2018,"",VLOOKUP($L142,'[12]IMAGE CurPol SSP'!$CQ$3:$CV$29,6,FALSE)*$AS142))</f>
        <v>3.841943075580545E-2</v>
      </c>
      <c r="BU142" s="164">
        <f>IF($BI$8=2015,"",IF($BI$8=2018,"",VLOOKUP($L142,'[12]IMAGE CurPol SSP'!$CF$3:$CK$29,6,FALSE)*$AS142))</f>
        <v>4.3176493978339781E-2</v>
      </c>
      <c r="CN142" t="s">
        <v>313</v>
      </c>
      <c r="CO142" s="165">
        <f t="shared" si="114"/>
        <v>0.24697142217543444</v>
      </c>
      <c r="CP142" s="165">
        <f t="shared" si="114"/>
        <v>0.24697142217543444</v>
      </c>
      <c r="CQ142" s="165">
        <f t="shared" si="114"/>
        <v>0.24697142217543444</v>
      </c>
      <c r="CR142" s="165">
        <f t="shared" si="114"/>
        <v>0.24697142217543444</v>
      </c>
      <c r="CV142" s="125" t="s">
        <v>621</v>
      </c>
      <c r="CW142" s="125" t="s">
        <v>621</v>
      </c>
      <c r="CX142"/>
      <c r="CY142" s="167">
        <f t="shared" si="115"/>
        <v>1.601682769650499E-2</v>
      </c>
      <c r="DB142" s="106"/>
      <c r="DC142" s="106"/>
      <c r="DD142" s="106"/>
      <c r="DE142" s="106"/>
      <c r="DF142" s="106"/>
      <c r="DG142" s="105" t="str">
        <f t="shared" si="116"/>
        <v>excl</v>
      </c>
      <c r="DH142" t="s">
        <v>313</v>
      </c>
      <c r="DI142" s="111">
        <f t="shared" si="105"/>
        <v>0</v>
      </c>
      <c r="DJ142" s="111">
        <f t="shared" si="105"/>
        <v>0</v>
      </c>
      <c r="DK142" s="111">
        <f t="shared" si="106"/>
        <v>6.356124885966638E-4</v>
      </c>
      <c r="DL142" s="111">
        <f t="shared" si="107"/>
        <v>6.356124885966638E-4</v>
      </c>
      <c r="DM142" s="111">
        <f t="shared" si="108"/>
        <v>1.0146416669486909E-2</v>
      </c>
      <c r="DN142" s="111">
        <f t="shared" si="109"/>
        <v>1.0146416669486909E-2</v>
      </c>
      <c r="DO142" s="111">
        <f t="shared" si="110"/>
        <v>1.0146416669486909E-2</v>
      </c>
      <c r="DP142" s="111">
        <f t="shared" si="111"/>
        <v>1.0146416669486909E-2</v>
      </c>
      <c r="DQ142" s="106"/>
      <c r="DR142" s="106"/>
      <c r="DS142" s="111"/>
      <c r="DT142" s="168"/>
      <c r="DW142" s="111">
        <f t="shared" si="117"/>
        <v>5.1229780000000003E-2</v>
      </c>
      <c r="DX142" s="111">
        <f t="shared" si="117"/>
        <v>5.1229780000000003E-2</v>
      </c>
      <c r="DY142" s="111">
        <f t="shared" si="117"/>
        <v>5.1229780000000003E-2</v>
      </c>
      <c r="DZ142" s="111">
        <f t="shared" si="117"/>
        <v>5.1229780000000003E-2</v>
      </c>
      <c r="EP142" t="s">
        <v>313</v>
      </c>
      <c r="EQ142">
        <v>1</v>
      </c>
      <c r="ER142" s="111">
        <f t="shared" si="118"/>
        <v>8.6667591000000002E-2</v>
      </c>
      <c r="ES142" s="111">
        <f>IF($BI$8=2015,VLOOKUP($L142,'[12]IMAGE CDLINKS CurPol'!$P$3:$Y$29,10,FALSE)*$AM142,VLOOKUP($L142,'[12]IMAGE CDLINKS CurPol'!$Z$3:$AI$29,10,FALSE)*$AP142)</f>
        <v>8.3048636449155139E-2</v>
      </c>
      <c r="ET142" s="111">
        <f t="shared" si="86"/>
        <v>0</v>
      </c>
      <c r="EU142" s="111">
        <f t="shared" ref="EU142:EU205" si="120">IF(EQ142&gt;=1.5,EW142,EV142)</f>
        <v>1.7694283440721881E-2</v>
      </c>
      <c r="EV142" s="111">
        <f>IF($BI$8=2015,VLOOKUP($L142,'[12]IMAGE CDLINKS 2C'!$P$3:$Y$29,10,FALSE)*$AM142,VLOOKUP($L142,'[12]IMAGE CDLINKS 2C'!$Z$3:$AI$29,10,FALSE)*$AP142)</f>
        <v>1.7694283440721881E-2</v>
      </c>
      <c r="EW142">
        <v>0</v>
      </c>
      <c r="EX142" s="111">
        <f>EW142-EV142</f>
        <v>-1.7694283440721881E-2</v>
      </c>
      <c r="EY142" s="111">
        <f t="shared" ref="EY142:EY205" si="121">IF(EQ142&gt;=1,EW142,EZ142)</f>
        <v>0</v>
      </c>
      <c r="EZ142" s="111">
        <f>IF($BI$8=2015,VLOOKUP($L142,'[12]IMAGE CDLINKS 1_5C'!$P$3:$Y$29,10,FALSE)*$AM142,VLOOKUP($L142,'[12]IMAGE CDLINKS 1_5C'!$Z$3:$AI$29,10,FALSE)*$AP142)</f>
        <v>9.7871311256806735E-3</v>
      </c>
      <c r="FA142" s="192">
        <v>2050</v>
      </c>
    </row>
    <row r="143" spans="1:157" x14ac:dyDescent="0.25">
      <c r="A143" t="str">
        <f>IF([12]NDCs!C145="","",[12]NDCs!C145)</f>
        <v>B</v>
      </c>
      <c r="B143" s="159" t="str">
        <f t="shared" si="112"/>
        <v>v</v>
      </c>
      <c r="C143">
        <v>0</v>
      </c>
      <c r="D143">
        <v>0</v>
      </c>
      <c r="E143">
        <v>0</v>
      </c>
      <c r="F143">
        <v>1</v>
      </c>
      <c r="G143" t="b">
        <f t="shared" si="113"/>
        <v>1</v>
      </c>
      <c r="H143" t="s">
        <v>2333</v>
      </c>
      <c r="I143" t="s">
        <v>315</v>
      </c>
      <c r="J143">
        <v>496</v>
      </c>
      <c r="K143">
        <v>128</v>
      </c>
      <c r="L143">
        <v>20</v>
      </c>
      <c r="M143" t="str">
        <f>IF([12]NDCs!AL145="Excluding","excl","incl")</f>
        <v>excl</v>
      </c>
      <c r="N143" s="160">
        <f>[12]GHG_hist!BA133+IF($M143="incl",[12]LULUCF_hist!CR133,0)</f>
        <v>23.734454000000003</v>
      </c>
      <c r="O143" s="111">
        <f>[12]GHG_hist!BB133+IF($M143="incl",[12]LULUCF_hist!CS133,0)</f>
        <v>25.309918000000003</v>
      </c>
      <c r="P143" s="111">
        <f>[12]GHG_hist!BC133+IF($M143="incl",[12]LULUCF_hist!CT133,0)</f>
        <v>23.526040000000002</v>
      </c>
      <c r="Q143" s="111">
        <f>[12]GHG_hist!BD133+IF($M143="incl",[12]LULUCF_hist!CU133,0)</f>
        <v>22.304683000000001</v>
      </c>
      <c r="R143" s="111">
        <f>[12]GHG_hist!BE133+IF($M143="incl",[12]LULUCF_hist!CV133,0)</f>
        <v>21.815034000000001</v>
      </c>
      <c r="S143" s="111">
        <f>[12]GHG_hist!BF133+IF($M143="incl",[12]LULUCF_hist!CW133,0)</f>
        <v>22.697945000000001</v>
      </c>
      <c r="T143" s="111">
        <f>[12]GHG_hist!BG133+IF($M143="incl",[12]LULUCF_hist!CX133,0)</f>
        <v>21.494332</v>
      </c>
      <c r="U143" s="111">
        <f>[12]GHG_hist!BH133+IF($M143="incl",[12]LULUCF_hist!CY133,0)</f>
        <v>22.452083999999999</v>
      </c>
      <c r="V143" s="111">
        <f>[12]GHG_hist!BI133+IF($M143="incl",[12]LULUCF_hist!CZ133,0)</f>
        <v>22.950033999999999</v>
      </c>
      <c r="W143" s="111">
        <f>[12]GHG_hist!BJ133+IF($M143="incl",[12]LULUCF_hist!DA133,0)</f>
        <v>23.056011999999999</v>
      </c>
      <c r="X143" s="111">
        <f>[12]GHG_hist!BK133+IF($M143="incl",[12]LULUCF_hist!DB133,0)</f>
        <v>21.516847000000002</v>
      </c>
      <c r="Y143" s="111">
        <f>[12]GHG_hist!BL133+IF($M143="incl",[12]LULUCF_hist!DC133,0)</f>
        <v>18.536569</v>
      </c>
      <c r="Z143" s="111">
        <f>[12]GHG_hist!BM133+IF($M143="incl",[12]LULUCF_hist!DD133,0)</f>
        <v>18.105774</v>
      </c>
      <c r="AA143" s="111">
        <f>[12]GHG_hist!BN133+IF($M143="incl",[12]LULUCF_hist!DE133,0)</f>
        <v>18.157610000000002</v>
      </c>
      <c r="AB143" s="111">
        <f>[12]GHG_hist!BO133+IF($M143="incl",[12]LULUCF_hist!DF133,0)</f>
        <v>18.937056999999999</v>
      </c>
      <c r="AC143" s="111">
        <f>[12]GHG_hist!BP133+IF($M143="incl",[12]LULUCF_hist!DG133,0)</f>
        <v>21.384661000000001</v>
      </c>
      <c r="AD143" s="111">
        <f>[12]GHG_hist!BQ133+IF($M143="incl",[12]LULUCF_hist!DH133,0)</f>
        <v>24.714834</v>
      </c>
      <c r="AE143" s="111">
        <f>[12]GHG_hist!BR133+IF($M143="incl",[12]LULUCF_hist!DI133,0)</f>
        <v>26.964308000000003</v>
      </c>
      <c r="AF143" s="111">
        <f>[12]GHG_hist!BS133+IF($M143="incl",[12]LULUCF_hist!DJ133,0)</f>
        <v>27.829868999999999</v>
      </c>
      <c r="AG143" s="111">
        <f>[12]GHG_hist!BT133+IF($M143="incl",[12]LULUCF_hist!DK133,0)</f>
        <v>28.943271000000003</v>
      </c>
      <c r="AH143" s="111">
        <f>[12]GHG_hist!BU133+IF($M143="incl",[12]LULUCF_hist!DL133,0)</f>
        <v>26.275755</v>
      </c>
      <c r="AI143" s="111">
        <f>[12]GHG_hist!BV133+IF($M143="incl",[12]LULUCF_hist!DM133,0)</f>
        <v>29.204698</v>
      </c>
      <c r="AJ143" s="111">
        <f>[12]GHG_hist!BW133+IF($M143="incl",[12]LULUCF_hist!DN133,0)</f>
        <v>32.589923999999996</v>
      </c>
      <c r="AK143" s="111">
        <f>[12]GHG_hist!BX133+IF($M143="incl",[12]LULUCF_hist!DO133,0)</f>
        <v>35.366190000000003</v>
      </c>
      <c r="AL143" s="111">
        <f>[12]GHG_hist!BY133+IF($M143="incl",[12]LULUCF_hist!DP133,0)</f>
        <v>37.535297</v>
      </c>
      <c r="AM143" s="111">
        <f>[12]GHG_hist!BZ133+IF($M143="incl",[12]LULUCF_hist!DQ133,0)</f>
        <v>35.623015000000002</v>
      </c>
      <c r="AN143" s="111">
        <f>[12]GHG_hist!CA133+IF($M143="incl",[12]LULUCF_hist!DR133,0)</f>
        <v>38.588248</v>
      </c>
      <c r="AO143" s="111">
        <f>[12]GHG_hist!CB133+IF($M143="incl",[12]LULUCF_hist!DS133,0)</f>
        <v>45.017495000000004</v>
      </c>
      <c r="AP143" s="111">
        <f>[12]GHG_hist!CC133+IF($M143="incl",[12]LULUCF_hist!DT133,0)</f>
        <v>45.887180000000001</v>
      </c>
      <c r="AQ143" s="111">
        <f>[12]GHG_hist!CD133+IF($M143="incl",[12]LULUCF_hist!DU133,0)</f>
        <v>49.229073</v>
      </c>
      <c r="AR143" s="111">
        <f>[12]GHG_hist!CE133+IF($M143="incl",[12]LULUCF_hist!DV133,0)</f>
        <v>47.951773000000003</v>
      </c>
      <c r="AS143" s="111">
        <f>[12]GHG_hist!CF133+IF($M143="incl",[12]LULUCF_hist!DW133,0)</f>
        <v>49.997776000000002</v>
      </c>
      <c r="AT143" s="161">
        <f>VLOOKUP($L143,'[12]IMAGE SSP2'!$AF$3:$AK$29,4,FALSE)*$AM143</f>
        <v>38.560992604631743</v>
      </c>
      <c r="AU143" s="162">
        <f>VLOOKUP($L143,'[12]IMAGE SSP2'!$AF$3:$AK$29,5,FALSE)*$AM143</f>
        <v>42.447392211124331</v>
      </c>
      <c r="AV143" s="163">
        <f>VLOOKUP($L143,'[12]IMAGE SSP2'!$AF$3:$AK$29,6,FALSE)*$AM143</f>
        <v>43.74048627761816</v>
      </c>
      <c r="AW143" s="111">
        <f>IF(A143="B",AM143+(AX143-AM143)*0.33333,"")</f>
        <v>48.51521441005</v>
      </c>
      <c r="AX143" s="164">
        <f>[12]NDCs!$T$145</f>
        <v>74.3</v>
      </c>
      <c r="AY143" s="111" t="str">
        <f>IF('[12]Pledge 2020'!E133="","",'[12]Pledge 2020'!E133)</f>
        <v/>
      </c>
      <c r="AZ143" s="164" t="str">
        <f>IF('[12]Pledge 2020'!F133="","",'[12]Pledge 2020'!F133)</f>
        <v/>
      </c>
      <c r="BA143" s="111">
        <f t="shared" si="100"/>
        <v>49.644363749999997</v>
      </c>
      <c r="BB143" s="111">
        <f>IF(BF143="","",(BF143-AH143)*0.75+AH143)</f>
        <v>49.644363749999997</v>
      </c>
      <c r="BC143" s="111">
        <f t="shared" si="101"/>
        <v>47.136738749999992</v>
      </c>
      <c r="BD143" s="111">
        <f t="shared" si="103"/>
        <v>47.136738749999992</v>
      </c>
      <c r="BE143" s="169">
        <v>57.433900000000001</v>
      </c>
      <c r="BF143" s="169">
        <v>57.433900000000001</v>
      </c>
      <c r="BG143" s="169">
        <v>54.090399999999995</v>
      </c>
      <c r="BH143" s="170">
        <v>54.090399999999995</v>
      </c>
      <c r="BI143" s="111" t="str">
        <f>IF([12]NDCs!V145="",IF([12]NDCs!X145="","",[12]NDCs!X145),[12]NDCs!V145)</f>
        <v/>
      </c>
      <c r="BJ143" s="111" t="str">
        <f>IF([12]NDCs!V145="",IF([12]NDCs!X145="","",[12]NDCs!X145),[12]NDCs!V145)</f>
        <v/>
      </c>
      <c r="BK143" s="111">
        <f>IF([12]NDCs!Z145="",IF([12]NDCs!AB145="",IF('input site'!BE143="","",'input site'!BE143),[12]NDCs!AB145),[12]NDCs!Z145)</f>
        <v>44.72</v>
      </c>
      <c r="BL143" s="111">
        <f>IF([12]NDCs!AA145="",IF([12]NDCs!AC145="",IF('input site'!BF143="","",'input site'!BF143),[12]NDCs!AC145),[12]NDCs!AA145)</f>
        <v>44.72</v>
      </c>
      <c r="BM143" s="111">
        <f>IF($BI$8=2015,VLOOKUP($L143,'[12]IMAGE CurPol SSP'!$AZ$3:$BD$29,4,FALSE)*$AM143,IF($BI$8=2018,VLOOKUP($L143,'[12]IMAGE CurPol SSP'!$BJ$3:$BN$29,4,FALSE)*$AP143,$AR143))</f>
        <v>47.951773000000003</v>
      </c>
      <c r="BN143" s="111">
        <f t="shared" si="104"/>
        <v>47.951773000000003</v>
      </c>
      <c r="BO143" s="111">
        <f t="shared" si="104"/>
        <v>47.951773000000003</v>
      </c>
      <c r="BP143" s="111">
        <f>IF($BI$8=2015,VLOOKUP($L143,'[12]IMAGE CurPol SSP'!$AZ$3:$BD$29,5,FALSE)*$AM143,IF($BI$8=2018,VLOOKUP($L143,'[12]IMAGE CurPol SSP'!$BJ$3:$BN$29,5,FALSE)*$AP143,VLOOKUP($L143,'[12]IMAGE CurPol SSP'!$BU$3:$BZ$29,5,FALSE)*$AS143))</f>
        <v>49.782136310409989</v>
      </c>
      <c r="BQ143" s="111">
        <f>IF($BI$8=2015,"",IF($BI$8=2018,"",VLOOKUP($L143,'[12]IMAGE CurPol SSP'!$CQ$3:$CV$29,5,FALSE)*$AS143))</f>
        <v>49.062217313183645</v>
      </c>
      <c r="BR143" s="111">
        <f>IF($BI$8=2015,"",IF($BI$8=2018,"",VLOOKUP($L143,'[12]IMAGE CurPol SSP'!$CF$3:$CK$29,5,FALSE)*$AS143))</f>
        <v>51.296370655752987</v>
      </c>
      <c r="BS143" s="111">
        <f>IF($BI$8=2015,VLOOKUP($L143,'[12]IMAGE CurPol SSP'!$AZ$3:$BE$29,6,FALSE)*$AM143,IF($BI$8=2018,VLOOKUP($L143,'[12]IMAGE CurPol SSP'!$BJ$3:$BO$29,6,FALSE)*$AP143,VLOOKUP($L143,'[12]IMAGE CurPol SSP'!$BU$3:$BZ$29,6,FALSE)*$AS143))</f>
        <v>50.214923897136579</v>
      </c>
      <c r="BT143" s="111">
        <f>IF($BI$8=2015,"",IF($BI$8=2018,"",VLOOKUP($L143,'[12]IMAGE CurPol SSP'!$CQ$3:$CV$29,6,FALSE)*$AS143))</f>
        <v>49.027587288929773</v>
      </c>
      <c r="BU143" s="164">
        <f>IF($BI$8=2015,"",IF($BI$8=2018,"",VLOOKUP($L143,'[12]IMAGE CurPol SSP'!$CF$3:$CK$29,6,FALSE)*$AS143))</f>
        <v>53.189924315483111</v>
      </c>
      <c r="CN143" t="s">
        <v>315</v>
      </c>
      <c r="CO143" s="165">
        <f t="shared" si="114"/>
        <v>0.14376156613621927</v>
      </c>
      <c r="CP143" s="165">
        <f t="shared" si="114"/>
        <v>0.14376156613621927</v>
      </c>
      <c r="CQ143" s="165">
        <f t="shared" si="114"/>
        <v>7.7177775093360435E-2</v>
      </c>
      <c r="CR143" s="165">
        <f t="shared" si="114"/>
        <v>7.7177775093360435E-2</v>
      </c>
      <c r="CS143" s="159"/>
      <c r="CU143" s="159"/>
      <c r="CV143" s="125" t="s">
        <v>621</v>
      </c>
      <c r="CW143" s="125" t="s">
        <v>621</v>
      </c>
      <c r="CX143" s="159"/>
      <c r="CY143" s="167">
        <f t="shared" si="115"/>
        <v>-9.3907803953682603</v>
      </c>
      <c r="CZ143" s="159"/>
      <c r="DB143" s="106"/>
      <c r="DC143" s="106"/>
      <c r="DD143" s="106"/>
      <c r="DE143" s="106"/>
      <c r="DF143" s="106"/>
      <c r="DG143" s="105" t="str">
        <f t="shared" si="116"/>
        <v>excl</v>
      </c>
      <c r="DH143" t="s">
        <v>315</v>
      </c>
      <c r="DI143" s="111">
        <f t="shared" si="105"/>
        <v>0</v>
      </c>
      <c r="DJ143" s="111">
        <f t="shared" si="105"/>
        <v>0</v>
      </c>
      <c r="DK143" s="111">
        <f t="shared" si="106"/>
        <v>-0.1377725604099922</v>
      </c>
      <c r="DL143" s="111">
        <f t="shared" si="107"/>
        <v>-2.6453975604099966</v>
      </c>
      <c r="DM143" s="111">
        <f t="shared" si="108"/>
        <v>7.2189761028634223</v>
      </c>
      <c r="DN143" s="111">
        <f t="shared" si="109"/>
        <v>3.8754761028634164</v>
      </c>
      <c r="DO143" s="111">
        <f t="shared" si="110"/>
        <v>0</v>
      </c>
      <c r="DP143" s="111">
        <f t="shared" si="111"/>
        <v>-5.4949238971365801</v>
      </c>
      <c r="DQ143" s="106"/>
      <c r="DR143" s="106"/>
      <c r="DS143" s="111"/>
      <c r="DT143" s="168"/>
      <c r="DW143" s="111">
        <f t="shared" si="117"/>
        <v>57.433900000000001</v>
      </c>
      <c r="DX143" s="111">
        <f t="shared" si="117"/>
        <v>57.433900000000001</v>
      </c>
      <c r="DY143" s="111">
        <f t="shared" si="117"/>
        <v>54.090399999999995</v>
      </c>
      <c r="DZ143" s="111">
        <f t="shared" si="117"/>
        <v>54.090399999999995</v>
      </c>
      <c r="EP143" t="s">
        <v>315</v>
      </c>
      <c r="EQ143">
        <v>0</v>
      </c>
      <c r="ER143" s="111">
        <f t="shared" si="118"/>
        <v>45.887180000000001</v>
      </c>
      <c r="ES143" s="111">
        <f>IF($BI$8=2015,VLOOKUP($L143,'[12]IMAGE CDLINKS CurPol'!$P$3:$Y$29,10,FALSE)*$AM143,VLOOKUP($L143,'[12]IMAGE CDLINKS CurPol'!$Z$3:$AI$29,10,FALSE)*$AP143)</f>
        <v>53.53042320389256</v>
      </c>
      <c r="ET143" s="111">
        <f t="shared" si="86"/>
        <v>53.53042320389256</v>
      </c>
      <c r="EU143" s="111">
        <f t="shared" si="120"/>
        <v>8.1094368605964515</v>
      </c>
      <c r="EV143" s="111">
        <f>IF($BI$8=2015,VLOOKUP($L143,'[12]IMAGE CDLINKS 2C'!$P$3:$Y$29,10,FALSE)*$AM143,VLOOKUP($L143,'[12]IMAGE CDLINKS 2C'!$Z$3:$AI$29,10,FALSE)*$AP143)</f>
        <v>8.1094368605964515</v>
      </c>
      <c r="EY143" s="111">
        <f t="shared" si="121"/>
        <v>3.8149044816000779</v>
      </c>
      <c r="EZ143" s="111">
        <f>IF($BI$8=2015,VLOOKUP($L143,'[12]IMAGE CDLINKS 1_5C'!$P$3:$Y$29,10,FALSE)*$AM143,VLOOKUP($L143,'[12]IMAGE CDLINKS 1_5C'!$Z$3:$AI$29,10,FALSE)*$AP143)</f>
        <v>3.8149044816000779</v>
      </c>
      <c r="FA143" s="192"/>
    </row>
    <row r="144" spans="1:157" x14ac:dyDescent="0.25">
      <c r="A144" t="str">
        <f>IF([12]NDCs!C146="","",[12]NDCs!C146)</f>
        <v/>
      </c>
      <c r="B144" s="159" t="str">
        <f t="shared" si="112"/>
        <v>v</v>
      </c>
      <c r="C144">
        <v>0</v>
      </c>
      <c r="D144">
        <v>0</v>
      </c>
      <c r="E144">
        <v>0</v>
      </c>
      <c r="F144">
        <v>1</v>
      </c>
      <c r="G144" t="b">
        <f t="shared" si="113"/>
        <v>0</v>
      </c>
      <c r="H144" t="s">
        <v>2328</v>
      </c>
      <c r="I144" t="s">
        <v>317</v>
      </c>
      <c r="J144">
        <v>500</v>
      </c>
      <c r="K144">
        <v>130</v>
      </c>
      <c r="L144">
        <v>4</v>
      </c>
      <c r="M144" t="str">
        <f>IF([12]NDCs!AL146="Excluding","excl","incl")</f>
        <v>excl</v>
      </c>
      <c r="N144" s="160">
        <f>[12]GHG_hist!BA134+IF($M144="incl",[12]LULUCF_hist!CR134,0)</f>
        <v>0</v>
      </c>
      <c r="O144" s="111">
        <f>[12]GHG_hist!BB134+IF($M144="incl",[12]LULUCF_hist!CS134,0)</f>
        <v>0</v>
      </c>
      <c r="P144" s="111">
        <f>[12]GHG_hist!BC134+IF($M144="incl",[12]LULUCF_hist!CT134,0)</f>
        <v>0</v>
      </c>
      <c r="Q144" s="111">
        <f>[12]GHG_hist!BD134+IF($M144="incl",[12]LULUCF_hist!CU134,0)</f>
        <v>0</v>
      </c>
      <c r="R144" s="111">
        <f>[12]GHG_hist!BE134+IF($M144="incl",[12]LULUCF_hist!CV134,0)</f>
        <v>0</v>
      </c>
      <c r="S144" s="111">
        <f>[12]GHG_hist!BF134+IF($M144="incl",[12]LULUCF_hist!CW134,0)</f>
        <v>0</v>
      </c>
      <c r="T144" s="111">
        <f>[12]GHG_hist!BG134+IF($M144="incl",[12]LULUCF_hist!CX134,0)</f>
        <v>0</v>
      </c>
      <c r="U144" s="111">
        <f>[12]GHG_hist!BH134+IF($M144="incl",[12]LULUCF_hist!CY134,0)</f>
        <v>0</v>
      </c>
      <c r="V144" s="111">
        <f>[12]GHG_hist!BI134+IF($M144="incl",[12]LULUCF_hist!CZ134,0)</f>
        <v>0</v>
      </c>
      <c r="W144" s="111">
        <f>[12]GHG_hist!BJ134+IF($M144="incl",[12]LULUCF_hist!DA134,0)</f>
        <v>0</v>
      </c>
      <c r="X144" s="111">
        <f>[12]GHG_hist!BK134+IF($M144="incl",[12]LULUCF_hist!DB134,0)</f>
        <v>0</v>
      </c>
      <c r="Y144" s="111">
        <f>[12]GHG_hist!BL134+IF($M144="incl",[12]LULUCF_hist!DC134,0)</f>
        <v>0</v>
      </c>
      <c r="Z144" s="111">
        <f>[12]GHG_hist!BM134+IF($M144="incl",[12]LULUCF_hist!DD134,0)</f>
        <v>0</v>
      </c>
      <c r="AA144" s="111">
        <f>[12]GHG_hist!BN134+IF($M144="incl",[12]LULUCF_hist!DE134,0)</f>
        <v>0</v>
      </c>
      <c r="AB144" s="111">
        <f>[12]GHG_hist!BO134+IF($M144="incl",[12]LULUCF_hist!DF134,0)</f>
        <v>0</v>
      </c>
      <c r="AC144" s="111">
        <f>[12]GHG_hist!BP134+IF($M144="incl",[12]LULUCF_hist!DG134,0)</f>
        <v>0</v>
      </c>
      <c r="AD144" s="111">
        <f>[12]GHG_hist!BQ134+IF($M144="incl",[12]LULUCF_hist!DH134,0)</f>
        <v>0</v>
      </c>
      <c r="AE144" s="111">
        <f>[12]GHG_hist!BR134+IF($M144="incl",[12]LULUCF_hist!DI134,0)</f>
        <v>0</v>
      </c>
      <c r="AF144" s="111">
        <f>[12]GHG_hist!BS134+IF($M144="incl",[12]LULUCF_hist!DJ134,0)</f>
        <v>0</v>
      </c>
      <c r="AG144" s="111">
        <f>[12]GHG_hist!BT134+IF($M144="incl",[12]LULUCF_hist!DK134,0)</f>
        <v>0</v>
      </c>
      <c r="AH144" s="111">
        <f>[12]GHG_hist!BU134+IF($M144="incl",[12]LULUCF_hist!DL134,0)</f>
        <v>0</v>
      </c>
      <c r="AI144" s="111">
        <f>[12]GHG_hist!BV134+IF($M144="incl",[12]LULUCF_hist!DM134,0)</f>
        <v>0</v>
      </c>
      <c r="AJ144" s="111">
        <f>[12]GHG_hist!BW134+IF($M144="incl",[12]LULUCF_hist!DN134,0)</f>
        <v>0</v>
      </c>
      <c r="AK144" s="111">
        <f>[12]GHG_hist!BX134+IF($M144="incl",[12]LULUCF_hist!DO134,0)</f>
        <v>0</v>
      </c>
      <c r="AL144" s="111">
        <f>[12]GHG_hist!BY134+IF($M144="incl",[12]LULUCF_hist!DP134,0)</f>
        <v>0</v>
      </c>
      <c r="AM144" s="111">
        <f>[12]GHG_hist!BZ134+IF($M144="incl",[12]LULUCF_hist!DQ134,0)</f>
        <v>0</v>
      </c>
      <c r="AN144" s="111">
        <f>[12]GHG_hist!CA134+IF($M144="incl",[12]LULUCF_hist!DR134,0)</f>
        <v>0</v>
      </c>
      <c r="AO144" s="111">
        <f>[12]GHG_hist!CB134+IF($M144="incl",[12]LULUCF_hist!DS134,0)</f>
        <v>0</v>
      </c>
      <c r="AP144" s="111">
        <f>[12]GHG_hist!CC134+IF($M144="incl",[12]LULUCF_hist!DT134,0)</f>
        <v>0</v>
      </c>
      <c r="AQ144" s="111">
        <f>[12]GHG_hist!CD134+IF($M144="incl",[12]LULUCF_hist!DU134,0)</f>
        <v>0</v>
      </c>
      <c r="AR144" s="111">
        <f>[12]GHG_hist!CE134+IF($M144="incl",[12]LULUCF_hist!DV134,0)</f>
        <v>0</v>
      </c>
      <c r="AS144" s="111">
        <f>[12]GHG_hist!CF134+IF($M144="incl",[12]LULUCF_hist!DW134,0)</f>
        <v>0</v>
      </c>
      <c r="AT144" s="161">
        <f>VLOOKUP($L144,'[12]IMAGE SSP2'!$AF$3:$AK$29,4,FALSE)*$AM144</f>
        <v>0</v>
      </c>
      <c r="AU144" s="162">
        <f>VLOOKUP($L144,'[12]IMAGE SSP2'!$AF$3:$AK$29,5,FALSE)*$AM144</f>
        <v>0</v>
      </c>
      <c r="AV144" s="163">
        <f>VLOOKUP($L144,'[12]IMAGE SSP2'!$AF$3:$AK$29,6,FALSE)*$AM144</f>
        <v>0</v>
      </c>
      <c r="AW144" s="111" t="str">
        <f t="shared" si="119"/>
        <v/>
      </c>
      <c r="AX144" s="164" t="str">
        <f>IF(A144="B",IF(M144="excl",[12]NatCom!CO134,[12]NatCom!AX134),"")</f>
        <v/>
      </c>
      <c r="AY144" s="111" t="str">
        <f>IF('[12]Pledge 2020'!E134="","",'[12]Pledge 2020'!E134)</f>
        <v/>
      </c>
      <c r="AZ144" s="164" t="str">
        <f>IF('[12]Pledge 2020'!F134="","",'[12]Pledge 2020'!F134)</f>
        <v/>
      </c>
      <c r="BA144" s="111" t="str">
        <f t="shared" si="100"/>
        <v/>
      </c>
      <c r="BB144" s="111"/>
      <c r="BC144" s="111" t="str">
        <f t="shared" si="101"/>
        <v/>
      </c>
      <c r="BD144" s="111"/>
      <c r="BE144" s="111" t="s">
        <v>2477</v>
      </c>
      <c r="BF144" s="111"/>
      <c r="BG144" s="111" t="s">
        <v>2477</v>
      </c>
      <c r="BH144" s="164"/>
      <c r="BI144" s="111" t="str">
        <f>IF([12]NDCs!V146="",IF([12]NDCs!X146="","",[12]NDCs!X146),[12]NDCs!V146)</f>
        <v/>
      </c>
      <c r="BJ144" s="111" t="str">
        <f>IF([12]NDCs!V146="",IF([12]NDCs!X146="","",[12]NDCs!X146),[12]NDCs!V146)</f>
        <v/>
      </c>
      <c r="BK144" s="111" t="str">
        <f>IF([12]NDCs!Z146="",IF([12]NDCs!AB146="",IF('input site'!BE144="","",'input site'!BE144),[12]NDCs!AB146),[12]NDCs!Z146)</f>
        <v/>
      </c>
      <c r="BL144" s="111" t="str">
        <f>IF([12]NDCs!AA146="",IF([12]NDCs!AC146="",IF('input site'!BF144="","",'input site'!BF144),[12]NDCs!AC146),[12]NDCs!AA146)</f>
        <v/>
      </c>
      <c r="BM144" s="111">
        <f>IF($BI$8=2015,VLOOKUP($L144,'[12]IMAGE CurPol SSP'!$AZ$3:$BD$29,4,FALSE)*$AM144,IF($BI$8=2018,VLOOKUP($L144,'[12]IMAGE CurPol SSP'!$BJ$3:$BN$29,4,FALSE)*$AP144,$AR144))</f>
        <v>0</v>
      </c>
      <c r="BN144" s="111">
        <f t="shared" si="104"/>
        <v>0</v>
      </c>
      <c r="BO144" s="111">
        <f t="shared" si="104"/>
        <v>0</v>
      </c>
      <c r="BP144" s="111">
        <f>IF($BI$8=2015,VLOOKUP($L144,'[12]IMAGE CurPol SSP'!$AZ$3:$BD$29,5,FALSE)*$AM144,IF($BI$8=2018,VLOOKUP($L144,'[12]IMAGE CurPol SSP'!$BJ$3:$BN$29,5,FALSE)*$AP144,VLOOKUP($L144,'[12]IMAGE CurPol SSP'!$BU$3:$BZ$29,5,FALSE)*$AS144))</f>
        <v>0</v>
      </c>
      <c r="BQ144" s="111">
        <f>IF($BI$8=2015,"",IF($BI$8=2018,"",VLOOKUP($L144,'[12]IMAGE CurPol SSP'!$CQ$3:$CV$29,5,FALSE)*$AS144))</f>
        <v>0</v>
      </c>
      <c r="BR144" s="111">
        <f>IF($BI$8=2015,"",IF($BI$8=2018,"",VLOOKUP($L144,'[12]IMAGE CurPol SSP'!$CF$3:$CK$29,5,FALSE)*$AS144))</f>
        <v>0</v>
      </c>
      <c r="BS144" s="111">
        <f>IF($BI$8=2015,VLOOKUP($L144,'[12]IMAGE CurPol SSP'!$AZ$3:$BE$29,6,FALSE)*$AM144,IF($BI$8=2018,VLOOKUP($L144,'[12]IMAGE CurPol SSP'!$BJ$3:$BO$29,6,FALSE)*$AP144,VLOOKUP($L144,'[12]IMAGE CurPol SSP'!$BU$3:$BZ$29,6,FALSE)*$AS144))</f>
        <v>0</v>
      </c>
      <c r="BT144" s="111">
        <f>IF($BI$8=2015,"",IF($BI$8=2018,"",VLOOKUP($L144,'[12]IMAGE CurPol SSP'!$CQ$3:$CV$29,6,FALSE)*$AS144))</f>
        <v>0</v>
      </c>
      <c r="BU144" s="164">
        <f>IF($BI$8=2015,"",IF($BI$8=2018,"",VLOOKUP($L144,'[12]IMAGE CurPol SSP'!$CF$3:$CK$29,6,FALSE)*$AS144))</f>
        <v>0</v>
      </c>
      <c r="CN144" t="s">
        <v>317</v>
      </c>
      <c r="CO144" s="165" t="str">
        <f t="shared" si="114"/>
        <v/>
      </c>
      <c r="CP144" s="165" t="str">
        <f t="shared" si="114"/>
        <v/>
      </c>
      <c r="CQ144" s="165" t="str">
        <f t="shared" si="114"/>
        <v/>
      </c>
      <c r="CR144" s="165" t="str">
        <f t="shared" si="114"/>
        <v/>
      </c>
      <c r="CV144" s="125" t="s">
        <v>621</v>
      </c>
      <c r="CW144" s="125" t="s">
        <v>621</v>
      </c>
      <c r="CX144" s="208">
        <f>AP144/$AP$255</f>
        <v>0</v>
      </c>
      <c r="CY144" s="167">
        <f t="shared" si="115"/>
        <v>0</v>
      </c>
      <c r="DB144" s="106"/>
      <c r="DC144" s="106"/>
      <c r="DD144" s="106"/>
      <c r="DE144" s="106"/>
      <c r="DF144" s="106"/>
      <c r="DG144" s="105" t="str">
        <f t="shared" si="116"/>
        <v>excl</v>
      </c>
      <c r="DH144" t="s">
        <v>317</v>
      </c>
      <c r="DI144" s="111">
        <f t="shared" si="105"/>
        <v>0</v>
      </c>
      <c r="DJ144" s="111">
        <f t="shared" si="105"/>
        <v>0</v>
      </c>
      <c r="DK144" s="111">
        <f t="shared" si="106"/>
        <v>0</v>
      </c>
      <c r="DL144" s="111">
        <f t="shared" si="107"/>
        <v>0</v>
      </c>
      <c r="DM144" s="111">
        <f t="shared" si="108"/>
        <v>0</v>
      </c>
      <c r="DN144" s="111">
        <f t="shared" si="109"/>
        <v>0</v>
      </c>
      <c r="DO144" s="111">
        <f t="shared" si="110"/>
        <v>0</v>
      </c>
      <c r="DP144" s="111">
        <f t="shared" si="111"/>
        <v>0</v>
      </c>
      <c r="DQ144" s="106"/>
      <c r="DR144" s="106"/>
      <c r="DS144" s="111"/>
      <c r="DT144" s="168"/>
      <c r="DW144" s="111">
        <f t="shared" si="117"/>
        <v>0</v>
      </c>
      <c r="DX144" s="111">
        <f t="shared" si="117"/>
        <v>0</v>
      </c>
      <c r="DY144" s="111">
        <f t="shared" si="117"/>
        <v>0</v>
      </c>
      <c r="DZ144" s="111">
        <f t="shared" si="117"/>
        <v>0</v>
      </c>
      <c r="EP144" t="s">
        <v>317</v>
      </c>
      <c r="EQ144">
        <v>0</v>
      </c>
      <c r="ER144" s="111">
        <f t="shared" si="118"/>
        <v>0</v>
      </c>
      <c r="ES144" s="111">
        <f>IF($BI$8=2015,VLOOKUP($L144,'[12]IMAGE CDLINKS CurPol'!$P$3:$Y$29,10,FALSE)*$AM144,VLOOKUP($L144,'[12]IMAGE CDLINKS CurPol'!$Z$3:$AI$29,10,FALSE)*$AP144)</f>
        <v>0</v>
      </c>
      <c r="ET144" s="111">
        <f t="shared" si="86"/>
        <v>0</v>
      </c>
      <c r="EU144" s="111">
        <f t="shared" si="120"/>
        <v>0</v>
      </c>
      <c r="EV144" s="111">
        <f>IF($BI$8=2015,VLOOKUP($L144,'[12]IMAGE CDLINKS 2C'!$P$3:$Y$29,10,FALSE)*$AM144,VLOOKUP($L144,'[12]IMAGE CDLINKS 2C'!$Z$3:$AI$29,10,FALSE)*$AP144)</f>
        <v>0</v>
      </c>
      <c r="EY144" s="111">
        <f t="shared" si="121"/>
        <v>0</v>
      </c>
      <c r="EZ144" s="111">
        <f>IF($BI$8=2015,VLOOKUP($L144,'[12]IMAGE CDLINKS 1_5C'!$P$3:$Y$29,10,FALSE)*$AM144,VLOOKUP($L144,'[12]IMAGE CDLINKS 1_5C'!$Z$3:$AI$29,10,FALSE)*$AP144)</f>
        <v>0</v>
      </c>
      <c r="FA144" s="192"/>
    </row>
    <row r="145" spans="1:157" x14ac:dyDescent="0.25">
      <c r="A145" t="str">
        <f>IF([12]NDCs!C147="","",[12]NDCs!C147)</f>
        <v>B</v>
      </c>
      <c r="B145" s="159" t="str">
        <f t="shared" si="112"/>
        <v>ii</v>
      </c>
      <c r="C145">
        <v>1</v>
      </c>
      <c r="D145">
        <v>0</v>
      </c>
      <c r="E145">
        <v>0</v>
      </c>
      <c r="F145">
        <v>1</v>
      </c>
      <c r="G145" t="b">
        <f t="shared" si="113"/>
        <v>1</v>
      </c>
      <c r="H145" t="s">
        <v>2333</v>
      </c>
      <c r="I145" t="s">
        <v>319</v>
      </c>
      <c r="J145">
        <v>504</v>
      </c>
      <c r="K145">
        <v>131</v>
      </c>
      <c r="L145">
        <v>7</v>
      </c>
      <c r="M145" t="str">
        <f>IF([12]NDCs!AL147="Excluding","excl","incl")</f>
        <v>incl</v>
      </c>
      <c r="N145" s="195">
        <f>[12]MAR!$A$24*IF($M145="incl",[12]MAR!E$41,[12]MAR!E$37)</f>
        <v>41</v>
      </c>
      <c r="O145" s="195">
        <f>[12]MAR!$A$24*IF($M145="incl",[12]MAR!F$41,[12]MAR!F$37)</f>
        <v>42</v>
      </c>
      <c r="P145" s="195">
        <f>[12]MAR!$A$24*IF($M145="incl",[12]MAR!G$41,[12]MAR!G$37)</f>
        <v>42</v>
      </c>
      <c r="Q145" s="195">
        <f>[12]MAR!$A$24*IF($M145="incl",[12]MAR!H$41,[12]MAR!H$37)</f>
        <v>43</v>
      </c>
      <c r="R145" s="195">
        <f>[12]MAR!$A$24*IF($M145="incl",[12]MAR!I$41,[12]MAR!I$37)</f>
        <v>45</v>
      </c>
      <c r="S145" s="195">
        <f>[12]MAR!$A$24*IF($M145="incl",[12]MAR!J$41,[12]MAR!J$37)</f>
        <v>47</v>
      </c>
      <c r="T145" s="195">
        <f>[12]MAR!$A$24*IF($M145="incl",[12]MAR!K$41,[12]MAR!K$37)</f>
        <v>49</v>
      </c>
      <c r="U145" s="195">
        <f>[12]MAR!$A$24*IF($M145="incl",[12]MAR!L$41,[12]MAR!L$37)</f>
        <v>51</v>
      </c>
      <c r="V145" s="195">
        <f>[12]MAR!$A$24*IF($M145="incl",[12]MAR!M$41,[12]MAR!M$37)</f>
        <v>53</v>
      </c>
      <c r="W145" s="195">
        <f>[12]MAR!$A$24*IF($M145="incl",[12]MAR!N$41,[12]MAR!N$37)</f>
        <v>55</v>
      </c>
      <c r="X145" s="195">
        <f>[12]MAR!$A$24*IF($M145="incl",[12]MAR!O$41,[12]MAR!O$37)</f>
        <v>57</v>
      </c>
      <c r="Y145" s="195">
        <f>[12]MAR!$A$24*IF($M145="incl",[12]MAR!P$41,[12]MAR!P$37)</f>
        <v>57.5</v>
      </c>
      <c r="Z145" s="195">
        <f>[12]MAR!$A$24*IF($M145="incl",[12]MAR!Q$41,[12]MAR!Q$37)</f>
        <v>58</v>
      </c>
      <c r="AA145" s="195">
        <f>[12]MAR!$A$24*IF($M145="incl",[12]MAR!R$41,[12]MAR!R$37)</f>
        <v>59.5</v>
      </c>
      <c r="AB145" s="195">
        <f>[12]MAR!$A$24*IF($M145="incl",[12]MAR!S$41,[12]MAR!S$37)</f>
        <v>60</v>
      </c>
      <c r="AC145" s="195">
        <f>[12]MAR!$A$24*IF($M145="incl",[12]MAR!T$41,[12]MAR!T$37)</f>
        <v>62</v>
      </c>
      <c r="AD145" s="195">
        <f>[12]MAR!$A$24*IF($M145="incl",[12]MAR!U$41,[12]MAR!U$37)</f>
        <v>65</v>
      </c>
      <c r="AE145" s="195">
        <f>[12]MAR!$A$24*IF($M145="incl",[12]MAR!V$41,[12]MAR!V$37)</f>
        <v>67</v>
      </c>
      <c r="AF145" s="195">
        <f>[12]MAR!$A$24*IF($M145="incl",[12]MAR!W$41,[12]MAR!W$37)</f>
        <v>69</v>
      </c>
      <c r="AG145" s="195">
        <f>[12]MAR!$A$24*IF($M145="incl",[12]MAR!X$41,[12]MAR!X$37)</f>
        <v>70.864699999999999</v>
      </c>
      <c r="AH145" s="195">
        <f>[12]MAR!$A$24*IF($M145="incl",[12]MAR!Y$41,[12]MAR!Y$37)</f>
        <v>72.978999999999999</v>
      </c>
      <c r="AI145" s="195">
        <f>[12]MAR!$A$24*IF($M145="incl",[12]MAR!Z$41,[12]MAR!Z$37)</f>
        <v>76.673749999999998</v>
      </c>
      <c r="AJ145" s="195">
        <f>[12]MAR!$A$24*IF($M145="incl",[12]MAR!AA$41,[12]MAR!AA$37)</f>
        <v>80.368499999999997</v>
      </c>
      <c r="AK145" s="195">
        <f>[12]MAR!$A$24*IF($M145="incl",[12]MAR!AB$41,[12]MAR!AB$37)</f>
        <v>81.374750000000006</v>
      </c>
      <c r="AL145" s="195">
        <f>[12]MAR!$A$24*IF($M145="incl",[12]MAR!AC$41,[12]MAR!AC$37)</f>
        <v>82.381</v>
      </c>
      <c r="AM145" s="195">
        <f>[12]MAR!$A$24*IF($M145="incl",[12]MAR!AD$41,[12]MAR!AD$37)</f>
        <v>83.741349999999997</v>
      </c>
      <c r="AN145" s="195">
        <f>[12]MAR!$A$24*IF($M145="incl",[12]MAR!AE$41,[12]MAR!AE$37)</f>
        <v>85.101699999999994</v>
      </c>
      <c r="AO145" s="195">
        <f>[12]MAR!$A$24*IF($M145="incl",[12]MAR!AF$41,[12]MAR!AF$37)</f>
        <v>88.023049999999998</v>
      </c>
      <c r="AP145" s="195">
        <f>[12]MAR!$A$24*IF($M145="incl",[12]MAR!AG$41,[12]MAR!AG$37)</f>
        <v>90.944400000000002</v>
      </c>
      <c r="AQ145" s="195">
        <f>[12]MAR!$A$24*IF($M145="incl",[12]MAR!AH$41,[12]MAR!AH$37)</f>
        <v>96.119720200000003</v>
      </c>
      <c r="AR145" s="195">
        <f>[12]MAR!$A$24*IF($M145="incl",[12]MAR!AI$41,[12]MAR!AI$37)</f>
        <v>89.995040399999993</v>
      </c>
      <c r="AS145" s="195">
        <f>[12]MAR!$A$24*IF($M145="incl",[12]MAR!AJ$41,[12]MAR!AJ$37)</f>
        <v>97.071928400000004</v>
      </c>
      <c r="AT145" s="179">
        <f>[12]MAR!$A$24*[12]MAR!AI23</f>
        <v>94.138379999999984</v>
      </c>
      <c r="AU145" s="177">
        <f>[12]MAR!$A$24*[12]MAR!AN23</f>
        <v>104.21625999999999</v>
      </c>
      <c r="AV145" s="180">
        <f>[12]MAR!$A$24*[12]MAR!AS23</f>
        <v>109.35982999999997</v>
      </c>
      <c r="AW145" s="177">
        <f>[12]MAR!$A$24*IF(A145="B",AM145+(AX145-AM145)*0.33333,"")</f>
        <v>103.27737130449999</v>
      </c>
      <c r="AX145" s="180">
        <f>[12]NDCs!$U$147</f>
        <v>142.35</v>
      </c>
      <c r="AY145" s="111" t="str">
        <f>IF('[12]Pledge 2020'!E135="","",'[12]Pledge 2020'!E135)</f>
        <v/>
      </c>
      <c r="AZ145" s="164" t="str">
        <f>IF('[12]Pledge 2020'!F135="","",'[12]Pledge 2020'!F135)</f>
        <v/>
      </c>
      <c r="BA145" s="177">
        <f>[12]MAR!$A$24*[12]MAR!X10</f>
        <v>105.46971249999999</v>
      </c>
      <c r="BB145" s="111">
        <f>IF(BF145="","",(BF145-AH145)*0.75+AH145)</f>
        <v>105.46971249999999</v>
      </c>
      <c r="BC145" s="177">
        <f>[12]MAR!$A$24*[12]MAR!Y10</f>
        <v>76.430312499999985</v>
      </c>
      <c r="BD145" s="111">
        <f>IF(BH145="","",(BH145-AH145)*0.75+AH145)</f>
        <v>76.430312499999985</v>
      </c>
      <c r="BE145" s="169">
        <v>116.29994999999998</v>
      </c>
      <c r="BF145" s="169">
        <v>116.29994999999998</v>
      </c>
      <c r="BG145" s="169">
        <v>77.580749999999981</v>
      </c>
      <c r="BH145" s="170">
        <v>77.580749999999981</v>
      </c>
      <c r="BI145" s="111">
        <f>IF([12]NDCs!V147="",IF([12]NDCs!X147="","",[12]NDCs!X147),[12]NDCs!V147)</f>
        <v>141.76400000000001</v>
      </c>
      <c r="BJ145" s="111">
        <f>IF([12]NDCs!V147="",IF([12]NDCs!X147="","",[12]NDCs!X147),[12]NDCs!V147)</f>
        <v>141.76400000000001</v>
      </c>
      <c r="BK145" s="111">
        <f>IF([12]NDCs!Z147="",IF([12]NDCs!AB147="",IF('input site'!BE145="","",'input site'!BE145),[12]NDCs!AB147),[12]NDCs!Z147)</f>
        <v>99.064000000000021</v>
      </c>
      <c r="BL145" s="111">
        <f>IF([12]NDCs!AA147="",IF([12]NDCs!AC147="",IF('input site'!BF145="","",'input site'!BF145),[12]NDCs!AC147),[12]NDCs!AA147)</f>
        <v>99.064000000000021</v>
      </c>
      <c r="BM145" s="160">
        <f>MEDIAN(BN145:BO145)</f>
        <v>89.995040399999993</v>
      </c>
      <c r="BN145" s="177">
        <f>[12]MAR!$A$24*[12]MAR!AB$7</f>
        <v>89.995040399999993</v>
      </c>
      <c r="BO145" s="177">
        <f>[12]MAR!$A$24*[12]MAR!AB$6</f>
        <v>89.995040399999993</v>
      </c>
      <c r="BP145" s="160">
        <f>MEDIAN(BQ145:BR145)</f>
        <v>100.10635669999951</v>
      </c>
      <c r="BQ145" s="177">
        <f>[12]MAR!$A$24*[12]MAR!AC$7</f>
        <v>91.8086804</v>
      </c>
      <c r="BR145" s="177">
        <f>[12]MAR!$A$24*[12]MAR!AC$6</f>
        <v>108.404032999999</v>
      </c>
      <c r="BS145" s="160">
        <f>MEDIAN(BT145:BU145)</f>
        <v>103.8706591</v>
      </c>
      <c r="BT145" s="177">
        <f>[12]MAR!$A$24*[12]MAR!AD$7</f>
        <v>85.200887399999999</v>
      </c>
      <c r="BU145" s="177">
        <f>[12]MAR!$A$24*[12]MAR!AD$6</f>
        <v>122.5404308</v>
      </c>
      <c r="CN145" t="s">
        <v>319</v>
      </c>
      <c r="CO145" s="165">
        <f t="shared" si="114"/>
        <v>0.1196612306853071</v>
      </c>
      <c r="CP145" s="165">
        <f t="shared" si="114"/>
        <v>0.1196612306853071</v>
      </c>
      <c r="CQ145" s="165">
        <f t="shared" si="114"/>
        <v>-0.25310236141555409</v>
      </c>
      <c r="CR145" s="165">
        <f t="shared" si="114"/>
        <v>-0.25310236141555409</v>
      </c>
      <c r="CS145" s="185">
        <f>IF(BE145&lt;=MIN(BS145:BU145),0,1)</f>
        <v>1</v>
      </c>
      <c r="CT145" s="185">
        <f>IF(BG145&lt;=MIN(BS145:BU145),0,1)</f>
        <v>0</v>
      </c>
      <c r="CU145">
        <f>IF(BS145&lt;=MAX(AN145,AP145),1,0)</f>
        <v>0</v>
      </c>
      <c r="CV145" s="126" t="str">
        <f>IF(CS145=1,IF(CU145=1,"i","ii"),IF(CU145=1,"iii","iv"))</f>
        <v>ii</v>
      </c>
      <c r="CW145" s="126" t="str">
        <f>IF(CT145=1,IF(CU145=1,"i","ii"),IF(CU145=1,"iii","iv"))</f>
        <v>iv</v>
      </c>
      <c r="CX145"/>
      <c r="CY145" s="167">
        <f t="shared" si="115"/>
        <v>4.1433395999999902</v>
      </c>
      <c r="DB145" s="106"/>
      <c r="DC145" s="106"/>
      <c r="DD145" s="106"/>
      <c r="DE145" s="106"/>
      <c r="DF145" s="106"/>
      <c r="DG145" s="105" t="str">
        <f t="shared" si="116"/>
        <v>incl</v>
      </c>
      <c r="DH145" t="s">
        <v>319</v>
      </c>
      <c r="DI145" s="111">
        <f t="shared" si="105"/>
        <v>0</v>
      </c>
      <c r="DJ145" s="111">
        <f t="shared" si="105"/>
        <v>0</v>
      </c>
      <c r="DK145" s="111">
        <f t="shared" si="106"/>
        <v>5.3633558000004768</v>
      </c>
      <c r="DL145" s="111">
        <f t="shared" si="107"/>
        <v>-23.676044199999524</v>
      </c>
      <c r="DM145" s="111">
        <f t="shared" si="108"/>
        <v>12.429290899999984</v>
      </c>
      <c r="DN145" s="111">
        <f t="shared" si="109"/>
        <v>-26.289909100000017</v>
      </c>
      <c r="DO145" s="111">
        <f t="shared" si="110"/>
        <v>37.893340900000013</v>
      </c>
      <c r="DP145" s="111">
        <f t="shared" si="111"/>
        <v>-4.8066590999999761</v>
      </c>
      <c r="DQ145" s="106"/>
      <c r="DR145" s="106"/>
      <c r="DS145" s="111"/>
      <c r="DT145" s="168"/>
      <c r="DW145" s="111">
        <f t="shared" si="117"/>
        <v>116.29994999999998</v>
      </c>
      <c r="DX145" s="111">
        <f t="shared" si="117"/>
        <v>116.29994999999998</v>
      </c>
      <c r="DY145" s="111">
        <f t="shared" si="117"/>
        <v>77.580749999999981</v>
      </c>
      <c r="DZ145" s="111">
        <f t="shared" si="117"/>
        <v>77.580749999999981</v>
      </c>
      <c r="EP145" t="s">
        <v>319</v>
      </c>
      <c r="EQ145">
        <v>0</v>
      </c>
      <c r="ER145" s="111">
        <f t="shared" si="118"/>
        <v>90.944400000000002</v>
      </c>
      <c r="ES145" s="111">
        <f>IF($BI$8=2015,VLOOKUP($L145,'[12]IMAGE CDLINKS CurPol'!$P$3:$Y$29,10,FALSE)*$AM145,VLOOKUP($L145,'[12]IMAGE CDLINKS CurPol'!$Z$3:$AI$29,10,FALSE)*$AP145)</f>
        <v>127.53239265920855</v>
      </c>
      <c r="ET145" s="111">
        <f t="shared" si="86"/>
        <v>127.53239265920855</v>
      </c>
      <c r="EU145" s="111">
        <f t="shared" si="120"/>
        <v>42.513647693955022</v>
      </c>
      <c r="EV145" s="111">
        <f>IF($BI$8=2015,VLOOKUP($L145,'[12]IMAGE CDLINKS 2C'!$P$3:$Y$29,10,FALSE)*$AM145,VLOOKUP($L145,'[12]IMAGE CDLINKS 2C'!$Z$3:$AI$29,10,FALSE)*$AP145)</f>
        <v>42.513647693955022</v>
      </c>
      <c r="EY145" s="111">
        <f t="shared" si="121"/>
        <v>12.659748034732587</v>
      </c>
      <c r="EZ145" s="111">
        <f>IF($BI$8=2015,VLOOKUP($L145,'[12]IMAGE CDLINKS 1_5C'!$P$3:$Y$29,10,FALSE)*$AM145,VLOOKUP($L145,'[12]IMAGE CDLINKS 1_5C'!$Z$3:$AI$29,10,FALSE)*$AP145)</f>
        <v>12.659748034732587</v>
      </c>
      <c r="FA145" s="192"/>
    </row>
    <row r="146" spans="1:157" x14ac:dyDescent="0.25">
      <c r="A146" t="str">
        <f>IF([12]NDCs!C148="","",[12]NDCs!C148)</f>
        <v>G</v>
      </c>
      <c r="B146" s="159" t="str">
        <f t="shared" si="112"/>
        <v>v</v>
      </c>
      <c r="C146">
        <v>0</v>
      </c>
      <c r="D146">
        <v>0</v>
      </c>
      <c r="E146">
        <v>0</v>
      </c>
      <c r="F146">
        <v>1</v>
      </c>
      <c r="G146" t="b">
        <f t="shared" si="113"/>
        <v>0</v>
      </c>
      <c r="H146" t="s">
        <v>2328</v>
      </c>
      <c r="I146" t="s">
        <v>321</v>
      </c>
      <c r="J146">
        <v>508</v>
      </c>
      <c r="K146">
        <v>132</v>
      </c>
      <c r="L146">
        <v>26</v>
      </c>
      <c r="M146" t="str">
        <f>IF([12]NDCs!AL148="Excluding","excl","incl")</f>
        <v>excl</v>
      </c>
      <c r="N146" s="160">
        <f>[12]GHG_hist!BA136+IF($M146="incl",[12]LULUCF_hist!CR136,0)</f>
        <v>18.761361000000001</v>
      </c>
      <c r="O146" s="111">
        <f>[12]GHG_hist!BB136+IF($M146="incl",[12]LULUCF_hist!CS136,0)</f>
        <v>18.873533999999999</v>
      </c>
      <c r="P146" s="111">
        <f>[12]GHG_hist!BC136+IF($M146="incl",[12]LULUCF_hist!CT136,0)</f>
        <v>19.016857000000002</v>
      </c>
      <c r="Q146" s="111">
        <f>[12]GHG_hist!BD136+IF($M146="incl",[12]LULUCF_hist!CU136,0)</f>
        <v>19.291786000000002</v>
      </c>
      <c r="R146" s="111">
        <f>[12]GHG_hist!BE136+IF($M146="incl",[12]LULUCF_hist!CV136,0)</f>
        <v>19.380376000000002</v>
      </c>
      <c r="S146" s="111">
        <f>[12]GHG_hist!BF136+IF($M146="incl",[12]LULUCF_hist!CW136,0)</f>
        <v>19.770616000000004</v>
      </c>
      <c r="T146" s="111">
        <f>[12]GHG_hist!BG136+IF($M146="incl",[12]LULUCF_hist!CX136,0)</f>
        <v>19.729202000000001</v>
      </c>
      <c r="U146" s="111">
        <f>[12]GHG_hist!BH136+IF($M146="incl",[12]LULUCF_hist!CY136,0)</f>
        <v>18.514616999999998</v>
      </c>
      <c r="V146" s="111">
        <f>[12]GHG_hist!BI136+IF($M146="incl",[12]LULUCF_hist!CZ136,0)</f>
        <v>21.064968</v>
      </c>
      <c r="W146" s="111">
        <f>[12]GHG_hist!BJ136+IF($M146="incl",[12]LULUCF_hist!DA136,0)</f>
        <v>20.478894</v>
      </c>
      <c r="X146" s="111">
        <f>[12]GHG_hist!BK136+IF($M146="incl",[12]LULUCF_hist!DB136,0)</f>
        <v>19.906543000000003</v>
      </c>
      <c r="Y146" s="111">
        <f>[12]GHG_hist!BL136+IF($M146="incl",[12]LULUCF_hist!DC136,0)</f>
        <v>22.240038999999999</v>
      </c>
      <c r="Z146" s="111">
        <f>[12]GHG_hist!BM136+IF($M146="incl",[12]LULUCF_hist!DD136,0)</f>
        <v>23.946508999999999</v>
      </c>
      <c r="AA146" s="111">
        <f>[12]GHG_hist!BN136+IF($M146="incl",[12]LULUCF_hist!DE136,0)</f>
        <v>24.847322000000002</v>
      </c>
      <c r="AB146" s="111">
        <f>[12]GHG_hist!BO136+IF($M146="incl",[12]LULUCF_hist!DF136,0)</f>
        <v>24.926247</v>
      </c>
      <c r="AC146" s="111">
        <f>[12]GHG_hist!BP136+IF($M146="incl",[12]LULUCF_hist!DG136,0)</f>
        <v>26.90523</v>
      </c>
      <c r="AD146" s="111">
        <f>[12]GHG_hist!BQ136+IF($M146="incl",[12]LULUCF_hist!DH136,0)</f>
        <v>26.188294000000003</v>
      </c>
      <c r="AE146" s="111">
        <f>[12]GHG_hist!BR136+IF($M146="incl",[12]LULUCF_hist!DI136,0)</f>
        <v>27.933753000000003</v>
      </c>
      <c r="AF146" s="111">
        <f>[12]GHG_hist!BS136+IF($M146="incl",[12]LULUCF_hist!DJ136,0)</f>
        <v>27.986383000000004</v>
      </c>
      <c r="AG146" s="111">
        <f>[12]GHG_hist!BT136+IF($M146="incl",[12]LULUCF_hist!DK136,0)</f>
        <v>25.636467</v>
      </c>
      <c r="AH146" s="111">
        <f>[12]GHG_hist!BU136+IF($M146="incl",[12]LULUCF_hist!DL136,0)</f>
        <v>27.955248000000001</v>
      </c>
      <c r="AI146" s="111">
        <f>[12]GHG_hist!BV136+IF($M146="incl",[12]LULUCF_hist!DM136,0)</f>
        <v>31.739508999999998</v>
      </c>
      <c r="AJ146" s="111">
        <f>[12]GHG_hist!BW136+IF($M146="incl",[12]LULUCF_hist!DN136,0)</f>
        <v>34.549069000000003</v>
      </c>
      <c r="AK146" s="111">
        <f>[12]GHG_hist!BX136+IF($M146="incl",[12]LULUCF_hist!DO136,0)</f>
        <v>36.655799000000002</v>
      </c>
      <c r="AL146" s="111">
        <f>[12]GHG_hist!BY136+IF($M146="incl",[12]LULUCF_hist!DP136,0)</f>
        <v>41.551182999999995</v>
      </c>
      <c r="AM146" s="111">
        <f>[12]GHG_hist!BZ136+IF($M146="incl",[12]LULUCF_hist!DQ136,0)</f>
        <v>38.747391000000007</v>
      </c>
      <c r="AN146" s="111">
        <f>[12]GHG_hist!CA136+IF($M146="incl",[12]LULUCF_hist!DR136,0)</f>
        <v>38.979271999999995</v>
      </c>
      <c r="AO146" s="111">
        <f>[12]GHG_hist!CB136+IF($M146="incl",[12]LULUCF_hist!DS136,0)</f>
        <v>41.385411999999995</v>
      </c>
      <c r="AP146" s="111">
        <f>[12]GHG_hist!CC136+IF($M146="incl",[12]LULUCF_hist!DT136,0)</f>
        <v>45.623353000000002</v>
      </c>
      <c r="AQ146" s="111">
        <f>[12]GHG_hist!CD136+IF($M146="incl",[12]LULUCF_hist!DU136,0)</f>
        <v>43.434984</v>
      </c>
      <c r="AR146" s="111">
        <f>[12]GHG_hist!CE136+IF($M146="incl",[12]LULUCF_hist!DV136,0)</f>
        <v>41.724693000000002</v>
      </c>
      <c r="AS146" s="111">
        <f>[12]GHG_hist!CF136+IF($M146="incl",[12]LULUCF_hist!DW136,0)</f>
        <v>43.220188</v>
      </c>
      <c r="AT146" s="161">
        <f>VLOOKUP($L146,'[12]IMAGE SSP2'!$AF$3:$AK$29,4,FALSE)*$AM146</f>
        <v>43.034462121392558</v>
      </c>
      <c r="AU146" s="162">
        <f>VLOOKUP($L146,'[12]IMAGE SSP2'!$AF$3:$AK$29,5,FALSE)*$AM146</f>
        <v>45.411601603931253</v>
      </c>
      <c r="AV146" s="163">
        <f>VLOOKUP($L146,'[12]IMAGE SSP2'!$AF$3:$AK$29,6,FALSE)*$AM146</f>
        <v>53.155772075044283</v>
      </c>
      <c r="AW146" s="111" t="str">
        <f t="shared" si="119"/>
        <v/>
      </c>
      <c r="AX146" s="164" t="str">
        <f>IF(A146="B",IF(M146="excl",[12]NatCom!CO136,[12]NatCom!AX136),"")</f>
        <v/>
      </c>
      <c r="AY146" s="111" t="str">
        <f>IF('[12]Pledge 2020'!E136="","",'[12]Pledge 2020'!E136)</f>
        <v/>
      </c>
      <c r="AZ146" s="164" t="str">
        <f>IF('[12]Pledge 2020'!F136="","",'[12]Pledge 2020'!F136)</f>
        <v/>
      </c>
      <c r="BA146" s="111" t="str">
        <f t="shared" si="100"/>
        <v/>
      </c>
      <c r="BB146" s="111"/>
      <c r="BC146" s="111" t="str">
        <f t="shared" si="101"/>
        <v/>
      </c>
      <c r="BD146" s="111"/>
      <c r="BE146" s="111" t="s">
        <v>2477</v>
      </c>
      <c r="BF146" s="111"/>
      <c r="BG146" s="111" t="s">
        <v>2477</v>
      </c>
      <c r="BH146" s="164"/>
      <c r="BI146" s="111" t="str">
        <f>IF([12]NDCs!V148="",IF([12]NDCs!X148="","",[12]NDCs!X148),[12]NDCs!V148)</f>
        <v/>
      </c>
      <c r="BJ146" s="111" t="str">
        <f>IF([12]NDCs!V148="",IF([12]NDCs!X148="","",[12]NDCs!X148),[12]NDCs!V148)</f>
        <v/>
      </c>
      <c r="BK146" s="111" t="str">
        <f>IF([12]NDCs!Z148="",IF([12]NDCs!AB148="",IF('input site'!BE146="","",'input site'!BE146),[12]NDCs!AB148),[12]NDCs!Z148)</f>
        <v/>
      </c>
      <c r="BL146" s="111" t="str">
        <f>IF([12]NDCs!AA148="",IF([12]NDCs!AC148="",IF('input site'!BF146="","",'input site'!BF146),[12]NDCs!AC148),[12]NDCs!AA148)</f>
        <v/>
      </c>
      <c r="BM146" s="111">
        <f>IF($BI$8=2015,VLOOKUP($L146,'[12]IMAGE CurPol SSP'!$AZ$3:$BD$29,4,FALSE)*$AM146,IF($BI$8=2018,VLOOKUP($L146,'[12]IMAGE CurPol SSP'!$BJ$3:$BN$29,4,FALSE)*$AP146,$AR146))</f>
        <v>41.724693000000002</v>
      </c>
      <c r="BN146" s="111">
        <f t="shared" ref="BN146:BO161" si="122">IF($BI$8=2015,"",IF($BI$8=2018,"",$AR146))</f>
        <v>41.724693000000002</v>
      </c>
      <c r="BO146" s="111">
        <f t="shared" si="122"/>
        <v>41.724693000000002</v>
      </c>
      <c r="BP146" s="111">
        <f>IF($BI$8=2015,VLOOKUP($L146,'[12]IMAGE CurPol SSP'!$AZ$3:$BD$29,5,FALSE)*$AM146,IF($BI$8=2018,VLOOKUP($L146,'[12]IMAGE CurPol SSP'!$BJ$3:$BN$29,5,FALSE)*$AP146,VLOOKUP($L146,'[12]IMAGE CurPol SSP'!$BU$3:$BZ$29,5,FALSE)*$AS146))</f>
        <v>46.238350540675967</v>
      </c>
      <c r="BQ146" s="111">
        <f>IF($BI$8=2015,"",IF($BI$8=2018,"",VLOOKUP($L146,'[12]IMAGE CurPol SSP'!$CQ$3:$CV$29,5,FALSE)*$AS146))</f>
        <v>46.238350540675967</v>
      </c>
      <c r="BR146" s="111">
        <f>IF($BI$8=2015,"",IF($BI$8=2018,"",VLOOKUP($L146,'[12]IMAGE CurPol SSP'!$CF$3:$CK$29,5,FALSE)*$AS146))</f>
        <v>47.601558795423827</v>
      </c>
      <c r="BS146" s="111">
        <f>IF($BI$8=2015,VLOOKUP($L146,'[12]IMAGE CurPol SSP'!$AZ$3:$BE$29,6,FALSE)*$AM146,IF($BI$8=2018,VLOOKUP($L146,'[12]IMAGE CurPol SSP'!$BJ$3:$BO$29,6,FALSE)*$AP146,VLOOKUP($L146,'[12]IMAGE CurPol SSP'!$BU$3:$BZ$29,6,FALSE)*$AS146))</f>
        <v>52.600658574901956</v>
      </c>
      <c r="BT146" s="111">
        <f>IF($BI$8=2015,"",IF($BI$8=2018,"",VLOOKUP($L146,'[12]IMAGE CurPol SSP'!$CQ$3:$CV$29,6,FALSE)*$AS146))</f>
        <v>52.600658574901956</v>
      </c>
      <c r="BU146" s="164">
        <f>IF($BI$8=2015,"",IF($BI$8=2018,"",VLOOKUP($L146,'[12]IMAGE CurPol SSP'!$CF$3:$CK$29,6,FALSE)*$AS146))</f>
        <v>54.718467891503209</v>
      </c>
      <c r="CN146" t="s">
        <v>321</v>
      </c>
      <c r="CO146" s="165" t="str">
        <f t="shared" si="114"/>
        <v/>
      </c>
      <c r="CP146" s="165" t="str">
        <f t="shared" si="114"/>
        <v/>
      </c>
      <c r="CQ146" s="165" t="str">
        <f t="shared" si="114"/>
        <v/>
      </c>
      <c r="CR146" s="165" t="str">
        <f t="shared" si="114"/>
        <v/>
      </c>
      <c r="CV146" s="125" t="s">
        <v>621</v>
      </c>
      <c r="CW146" s="125" t="s">
        <v>621</v>
      </c>
      <c r="CX146"/>
      <c r="CY146" s="167">
        <f t="shared" si="115"/>
        <v>1.3097691213925557</v>
      </c>
      <c r="DB146" s="106"/>
      <c r="DC146" s="106"/>
      <c r="DD146" s="106"/>
      <c r="DE146" s="106"/>
      <c r="DF146" s="106"/>
      <c r="DG146" s="105" t="str">
        <f t="shared" si="116"/>
        <v>excl</v>
      </c>
      <c r="DH146" t="s">
        <v>321</v>
      </c>
      <c r="DI146" s="111">
        <f t="shared" si="105"/>
        <v>0</v>
      </c>
      <c r="DJ146" s="111">
        <f t="shared" si="105"/>
        <v>0</v>
      </c>
      <c r="DK146" s="111">
        <f t="shared" si="106"/>
        <v>0</v>
      </c>
      <c r="DL146" s="111">
        <f t="shared" si="107"/>
        <v>0</v>
      </c>
      <c r="DM146" s="111">
        <f t="shared" si="108"/>
        <v>0</v>
      </c>
      <c r="DN146" s="111">
        <f t="shared" si="109"/>
        <v>0</v>
      </c>
      <c r="DO146" s="111">
        <f t="shared" si="110"/>
        <v>0</v>
      </c>
      <c r="DP146" s="111">
        <f t="shared" si="111"/>
        <v>0</v>
      </c>
      <c r="DQ146" s="106"/>
      <c r="DR146" s="106"/>
      <c r="DS146" s="111"/>
      <c r="DT146" s="168"/>
      <c r="DW146" s="111">
        <f t="shared" si="117"/>
        <v>52.600658574901956</v>
      </c>
      <c r="DX146" s="111">
        <f t="shared" si="117"/>
        <v>52.600658574901956</v>
      </c>
      <c r="DY146" s="111">
        <f t="shared" si="117"/>
        <v>52.600658574901956</v>
      </c>
      <c r="DZ146" s="111">
        <f t="shared" si="117"/>
        <v>52.600658574901956</v>
      </c>
      <c r="EP146" t="s">
        <v>321</v>
      </c>
      <c r="EQ146">
        <v>-1</v>
      </c>
      <c r="ER146" s="111">
        <f t="shared" si="118"/>
        <v>45.623353000000002</v>
      </c>
      <c r="ES146" s="111">
        <f>IF($BI$8=2015,VLOOKUP($L146,'[12]IMAGE CDLINKS CurPol'!$P$3:$Y$29,10,FALSE)*$AM146,VLOOKUP($L146,'[12]IMAGE CDLINKS CurPol'!$Z$3:$AI$29,10,FALSE)*$AP146)</f>
        <v>92.527200096182113</v>
      </c>
      <c r="ET146" s="111">
        <f t="shared" si="86"/>
        <v>92.527200096182113</v>
      </c>
      <c r="EU146" s="111">
        <f t="shared" si="120"/>
        <v>32.436997038556292</v>
      </c>
      <c r="EV146" s="111">
        <f>IF($BI$8=2015,VLOOKUP($L146,'[12]IMAGE CDLINKS 2C'!$P$3:$Y$29,10,FALSE)*$AM146,VLOOKUP($L146,'[12]IMAGE CDLINKS 2C'!$Z$3:$AI$29,10,FALSE)*$AP146)</f>
        <v>32.436997038556292</v>
      </c>
      <c r="EX146" s="111"/>
      <c r="EY146" s="111">
        <f t="shared" si="121"/>
        <v>30.247163089015174</v>
      </c>
      <c r="EZ146" s="111">
        <f>IF($BI$8=2015,VLOOKUP($L146,'[12]IMAGE CDLINKS 1_5C'!$P$3:$Y$29,10,FALSE)*$AM146,VLOOKUP($L146,'[12]IMAGE CDLINKS 1_5C'!$Z$3:$AI$29,10,FALSE)*$AP146)</f>
        <v>30.247163089015174</v>
      </c>
      <c r="FA146" s="192">
        <v>2050</v>
      </c>
    </row>
    <row r="147" spans="1:157" x14ac:dyDescent="0.25">
      <c r="A147" t="str">
        <f>IF([12]NDCs!C149="","",[12]NDCs!C149)</f>
        <v>G</v>
      </c>
      <c r="B147" s="159" t="str">
        <f t="shared" si="112"/>
        <v>v</v>
      </c>
      <c r="C147">
        <v>0</v>
      </c>
      <c r="D147">
        <v>0</v>
      </c>
      <c r="E147">
        <v>0</v>
      </c>
      <c r="F147">
        <v>1</v>
      </c>
      <c r="G147" t="b">
        <f t="shared" si="113"/>
        <v>0</v>
      </c>
      <c r="H147" t="s">
        <v>2328</v>
      </c>
      <c r="I147" t="s">
        <v>323</v>
      </c>
      <c r="J147">
        <v>104</v>
      </c>
      <c r="K147">
        <v>28</v>
      </c>
      <c r="L147">
        <v>21</v>
      </c>
      <c r="M147" t="str">
        <f>IF([12]NDCs!AL149="Excluding","excl","incl")</f>
        <v>excl</v>
      </c>
      <c r="N147" s="160">
        <f>[12]GHG_hist!BA137+IF($M147="incl",[12]LULUCF_hist!CR137,0)</f>
        <v>28.881758999999999</v>
      </c>
      <c r="O147" s="111">
        <f>[12]GHG_hist!BB137+IF($M147="incl",[12]LULUCF_hist!CS137,0)</f>
        <v>28.592187000000003</v>
      </c>
      <c r="P147" s="111">
        <f>[12]GHG_hist!BC137+IF($M147="incl",[12]LULUCF_hist!CT137,0)</f>
        <v>30.377296999999999</v>
      </c>
      <c r="Q147" s="111">
        <f>[12]GHG_hist!BD137+IF($M147="incl",[12]LULUCF_hist!CU137,0)</f>
        <v>31.757763000000001</v>
      </c>
      <c r="R147" s="111">
        <f>[12]GHG_hist!BE137+IF($M147="incl",[12]LULUCF_hist!CV137,0)</f>
        <v>33.335607000000003</v>
      </c>
      <c r="S147" s="111">
        <f>[12]GHG_hist!BF137+IF($M147="incl",[12]LULUCF_hist!CW137,0)</f>
        <v>34.85745</v>
      </c>
      <c r="T147" s="111">
        <f>[12]GHG_hist!BG137+IF($M147="incl",[12]LULUCF_hist!CX137,0)</f>
        <v>34.982396000000001</v>
      </c>
      <c r="U147" s="111">
        <f>[12]GHG_hist!BH137+IF($M147="incl",[12]LULUCF_hist!CY137,0)</f>
        <v>34.687659000000004</v>
      </c>
      <c r="V147" s="111">
        <f>[12]GHG_hist!BI137+IF($M147="incl",[12]LULUCF_hist!CZ137,0)</f>
        <v>35.637765000000002</v>
      </c>
      <c r="W147" s="111">
        <f>[12]GHG_hist!BJ137+IF($M147="incl",[12]LULUCF_hist!DA137,0)</f>
        <v>38.314362000000003</v>
      </c>
      <c r="X147" s="111">
        <f>[12]GHG_hist!BK137+IF($M147="incl",[12]LULUCF_hist!DB137,0)</f>
        <v>39.708953000000001</v>
      </c>
      <c r="Y147" s="111">
        <f>[12]GHG_hist!BL137+IF($M147="incl",[12]LULUCF_hist!DC137,0)</f>
        <v>39.785107000000004</v>
      </c>
      <c r="Z147" s="111">
        <f>[12]GHG_hist!BM137+IF($M147="incl",[12]LULUCF_hist!DD137,0)</f>
        <v>40.588504999999998</v>
      </c>
      <c r="AA147" s="111">
        <f>[12]GHG_hist!BN137+IF($M147="incl",[12]LULUCF_hist!DE137,0)</f>
        <v>42.313904999999998</v>
      </c>
      <c r="AB147" s="111">
        <f>[12]GHG_hist!BO137+IF($M147="incl",[12]LULUCF_hist!DF137,0)</f>
        <v>43.763770999999998</v>
      </c>
      <c r="AC147" s="111">
        <f>[12]GHG_hist!BP137+IF($M147="incl",[12]LULUCF_hist!DG137,0)</f>
        <v>44.759446000000004</v>
      </c>
      <c r="AD147" s="111">
        <f>[12]GHG_hist!BQ137+IF($M147="incl",[12]LULUCF_hist!DH137,0)</f>
        <v>47.547248000000003</v>
      </c>
      <c r="AE147" s="111">
        <f>[12]GHG_hist!BR137+IF($M147="incl",[12]LULUCF_hist!DI137,0)</f>
        <v>48.579553999999995</v>
      </c>
      <c r="AF147" s="111">
        <f>[12]GHG_hist!BS137+IF($M147="incl",[12]LULUCF_hist!DJ137,0)</f>
        <v>46.954045000000001</v>
      </c>
      <c r="AG147" s="111">
        <f>[12]GHG_hist!BT137+IF($M147="incl",[12]LULUCF_hist!DK137,0)</f>
        <v>47.943117000000001</v>
      </c>
      <c r="AH147" s="111">
        <f>[12]GHG_hist!BU137+IF($M147="incl",[12]LULUCF_hist!DL137,0)</f>
        <v>50.715896999999998</v>
      </c>
      <c r="AI147" s="111">
        <f>[12]GHG_hist!BV137+IF($M147="incl",[12]LULUCF_hist!DM137,0)</f>
        <v>51.654608000000003</v>
      </c>
      <c r="AJ147" s="111">
        <f>[12]GHG_hist!BW137+IF($M147="incl",[12]LULUCF_hist!DN137,0)</f>
        <v>49.85331</v>
      </c>
      <c r="AK147" s="111">
        <f>[12]GHG_hist!BX137+IF($M147="incl",[12]LULUCF_hist!DO137,0)</f>
        <v>51.350723000000002</v>
      </c>
      <c r="AL147" s="111">
        <f>[12]GHG_hist!BY137+IF($M147="incl",[12]LULUCF_hist!DP137,0)</f>
        <v>54.634705000000004</v>
      </c>
      <c r="AM147" s="111">
        <f>[12]GHG_hist!BZ137+IF($M147="incl",[12]LULUCF_hist!DQ137,0)</f>
        <v>59.718811000000002</v>
      </c>
      <c r="AN147" s="111">
        <f>[12]GHG_hist!CA137+IF($M147="incl",[12]LULUCF_hist!DR137,0)</f>
        <v>63.449139000000002</v>
      </c>
      <c r="AO147" s="111">
        <f>[12]GHG_hist!CB137+IF($M147="incl",[12]LULUCF_hist!DS137,0)</f>
        <v>66.285782000000012</v>
      </c>
      <c r="AP147" s="111">
        <f>[12]GHG_hist!CC137+IF($M147="incl",[12]LULUCF_hist!DT137,0)</f>
        <v>67.254210000000015</v>
      </c>
      <c r="AQ147" s="111">
        <f>[12]GHG_hist!CD137+IF($M147="incl",[12]LULUCF_hist!DU137,0)</f>
        <v>69.495989000000009</v>
      </c>
      <c r="AR147" s="111">
        <f>[12]GHG_hist!CE137+IF($M147="incl",[12]LULUCF_hist!DV137,0)</f>
        <v>70.100938999999997</v>
      </c>
      <c r="AS147" s="111">
        <f>[12]GHG_hist!CF137+IF($M147="incl",[12]LULUCF_hist!DW137,0)</f>
        <v>72.235592999999994</v>
      </c>
      <c r="AT147" s="161">
        <f>VLOOKUP($L147,'[12]IMAGE SSP2'!$AF$3:$AK$29,4,FALSE)*$AM147</f>
        <v>70.741394854915328</v>
      </c>
      <c r="AU147" s="162">
        <f>VLOOKUP($L147,'[12]IMAGE SSP2'!$AF$3:$AK$29,5,FALSE)*$AM147</f>
        <v>82.858460498097259</v>
      </c>
      <c r="AV147" s="163">
        <f>VLOOKUP($L147,'[12]IMAGE SSP2'!$AF$3:$AK$29,6,FALSE)*$AM147</f>
        <v>91.90889024444013</v>
      </c>
      <c r="AW147" s="111" t="str">
        <f t="shared" si="119"/>
        <v/>
      </c>
      <c r="AX147" s="164" t="str">
        <f>IF(A147="B",IF(M147="excl",[12]NatCom!CO137,[12]NatCom!AX137),"")</f>
        <v/>
      </c>
      <c r="AY147" s="111" t="str">
        <f>IF('[12]Pledge 2020'!E137="","",'[12]Pledge 2020'!E137)</f>
        <v/>
      </c>
      <c r="AZ147" s="164" t="str">
        <f>IF('[12]Pledge 2020'!F137="","",'[12]Pledge 2020'!F137)</f>
        <v/>
      </c>
      <c r="BA147" s="111" t="str">
        <f t="shared" si="100"/>
        <v/>
      </c>
      <c r="BB147" s="111"/>
      <c r="BC147" s="111" t="str">
        <f t="shared" si="101"/>
        <v/>
      </c>
      <c r="BD147" s="111"/>
      <c r="BE147" s="111" t="s">
        <v>2477</v>
      </c>
      <c r="BF147" s="111"/>
      <c r="BG147" s="111" t="s">
        <v>2477</v>
      </c>
      <c r="BH147" s="164"/>
      <c r="BI147" s="111" t="str">
        <f>IF([12]NDCs!V149="",IF([12]NDCs!X149="","",[12]NDCs!X149),[12]NDCs!V149)</f>
        <v/>
      </c>
      <c r="BJ147" s="111" t="str">
        <f>IF([12]NDCs!V149="",IF([12]NDCs!X149="","",[12]NDCs!X149),[12]NDCs!V149)</f>
        <v/>
      </c>
      <c r="BK147" s="111" t="str">
        <f>IF([12]NDCs!Z149="",IF([12]NDCs!AB149="",IF('input site'!BE147="","",'input site'!BE147),[12]NDCs!AB149),[12]NDCs!Z149)</f>
        <v/>
      </c>
      <c r="BL147" s="111" t="str">
        <f>IF([12]NDCs!AA149="",IF([12]NDCs!AC149="",IF('input site'!BF147="","",'input site'!BF147),[12]NDCs!AC149),[12]NDCs!AA149)</f>
        <v/>
      </c>
      <c r="BM147" s="111">
        <f>IF($BI$8=2015,VLOOKUP($L147,'[12]IMAGE CurPol SSP'!$AZ$3:$BD$29,4,FALSE)*$AM147,IF($BI$8=2018,VLOOKUP($L147,'[12]IMAGE CurPol SSP'!$BJ$3:$BN$29,4,FALSE)*$AP147,$AR147))</f>
        <v>70.100938999999997</v>
      </c>
      <c r="BN147" s="111">
        <f t="shared" si="122"/>
        <v>70.100938999999997</v>
      </c>
      <c r="BO147" s="111">
        <f t="shared" si="122"/>
        <v>70.100938999999997</v>
      </c>
      <c r="BP147" s="111">
        <f>IF($BI$8=2015,VLOOKUP($L147,'[12]IMAGE CurPol SSP'!$AZ$3:$BD$29,5,FALSE)*$AM147,IF($BI$8=2018,VLOOKUP($L147,'[12]IMAGE CurPol SSP'!$BJ$3:$BN$29,5,FALSE)*$AP147,VLOOKUP($L147,'[12]IMAGE CurPol SSP'!$BU$3:$BZ$29,5,FALSE)*$AS147))</f>
        <v>75.634959320118654</v>
      </c>
      <c r="BQ147" s="111">
        <f>IF($BI$8=2015,"",IF($BI$8=2018,"",VLOOKUP($L147,'[12]IMAGE CurPol SSP'!$CQ$3:$CV$29,5,FALSE)*$AS147))</f>
        <v>74.968787397424762</v>
      </c>
      <c r="BR147" s="111">
        <f>IF($BI$8=2015,"",IF($BI$8=2018,"",VLOOKUP($L147,'[12]IMAGE CurPol SSP'!$CF$3:$CK$29,5,FALSE)*$AS147))</f>
        <v>76.487305176607578</v>
      </c>
      <c r="BS147" s="111">
        <f>IF($BI$8=2015,VLOOKUP($L147,'[12]IMAGE CurPol SSP'!$AZ$3:$BE$29,6,FALSE)*$AM147,IF($BI$8=2018,VLOOKUP($L147,'[12]IMAGE CurPol SSP'!$BJ$3:$BO$29,6,FALSE)*$AP147,VLOOKUP($L147,'[12]IMAGE CurPol SSP'!$BU$3:$BZ$29,6,FALSE)*$AS147))</f>
        <v>83.436372182464495</v>
      </c>
      <c r="BT147" s="111">
        <f>IF($BI$8=2015,"",IF($BI$8=2018,"",VLOOKUP($L147,'[12]IMAGE CurPol SSP'!$CQ$3:$CV$29,6,FALSE)*$AS147))</f>
        <v>81.597706882726158</v>
      </c>
      <c r="BU147" s="164">
        <f>IF($BI$8=2015,"",IF($BI$8=2018,"",VLOOKUP($L147,'[12]IMAGE CurPol SSP'!$CF$3:$CK$29,6,FALSE)*$AS147))</f>
        <v>84.504214261581083</v>
      </c>
      <c r="CN147" t="s">
        <v>323</v>
      </c>
      <c r="CO147" s="165" t="str">
        <f t="shared" si="114"/>
        <v/>
      </c>
      <c r="CP147" s="165" t="str">
        <f t="shared" si="114"/>
        <v/>
      </c>
      <c r="CQ147" s="165" t="str">
        <f t="shared" si="114"/>
        <v/>
      </c>
      <c r="CR147" s="165" t="str">
        <f t="shared" si="114"/>
        <v/>
      </c>
      <c r="CV147" s="125" t="s">
        <v>621</v>
      </c>
      <c r="CW147" s="125" t="s">
        <v>621</v>
      </c>
      <c r="CX147"/>
      <c r="CY147" s="167">
        <f t="shared" si="115"/>
        <v>0.64045585491533075</v>
      </c>
      <c r="DB147" s="106"/>
      <c r="DC147" s="106"/>
      <c r="DD147" s="106"/>
      <c r="DE147" s="106"/>
      <c r="DF147" s="106"/>
      <c r="DG147" s="105" t="str">
        <f t="shared" si="116"/>
        <v>excl</v>
      </c>
      <c r="DH147" t="s">
        <v>323</v>
      </c>
      <c r="DI147" s="111">
        <f t="shared" si="105"/>
        <v>0</v>
      </c>
      <c r="DJ147" s="111">
        <f t="shared" si="105"/>
        <v>0</v>
      </c>
      <c r="DK147" s="111">
        <f t="shared" si="106"/>
        <v>0</v>
      </c>
      <c r="DL147" s="111">
        <f t="shared" si="107"/>
        <v>0</v>
      </c>
      <c r="DM147" s="111">
        <f t="shared" si="108"/>
        <v>0</v>
      </c>
      <c r="DN147" s="111">
        <f t="shared" si="109"/>
        <v>0</v>
      </c>
      <c r="DO147" s="111">
        <f t="shared" si="110"/>
        <v>0</v>
      </c>
      <c r="DP147" s="111">
        <f t="shared" si="111"/>
        <v>0</v>
      </c>
      <c r="DQ147" s="106"/>
      <c r="DR147" s="106"/>
      <c r="DS147" s="111"/>
      <c r="DT147" s="168"/>
      <c r="DW147" s="111">
        <f t="shared" si="117"/>
        <v>83.436372182464495</v>
      </c>
      <c r="DX147" s="111">
        <f t="shared" si="117"/>
        <v>83.436372182464495</v>
      </c>
      <c r="DY147" s="111">
        <f t="shared" si="117"/>
        <v>83.436372182464495</v>
      </c>
      <c r="DZ147" s="111">
        <f t="shared" si="117"/>
        <v>83.436372182464495</v>
      </c>
      <c r="EP147" t="s">
        <v>323</v>
      </c>
      <c r="EQ147">
        <v>-1</v>
      </c>
      <c r="ER147" s="111">
        <f t="shared" si="118"/>
        <v>67.254210000000015</v>
      </c>
      <c r="ES147" s="111">
        <f>IF($BI$8=2015,VLOOKUP($L147,'[12]IMAGE CDLINKS CurPol'!$P$3:$Y$29,10,FALSE)*$AM147,VLOOKUP($L147,'[12]IMAGE CDLINKS CurPol'!$Z$3:$AI$29,10,FALSE)*$AP147)</f>
        <v>111.82585083234244</v>
      </c>
      <c r="ET147" s="111">
        <f t="shared" si="86"/>
        <v>111.82585083234244</v>
      </c>
      <c r="EU147" s="111">
        <f t="shared" si="120"/>
        <v>21.794495163918604</v>
      </c>
      <c r="EV147" s="111">
        <f>IF($BI$8=2015,VLOOKUP($L147,'[12]IMAGE CDLINKS 2C'!$P$3:$Y$29,10,FALSE)*$AM147,VLOOKUP($L147,'[12]IMAGE CDLINKS 2C'!$Z$3:$AI$29,10,FALSE)*$AP147)</f>
        <v>21.794495163918604</v>
      </c>
      <c r="EX147" s="111"/>
      <c r="EY147" s="111">
        <f t="shared" si="121"/>
        <v>1.4633857410035322</v>
      </c>
      <c r="EZ147" s="111">
        <f>IF($BI$8=2015,VLOOKUP($L147,'[12]IMAGE CDLINKS 1_5C'!$P$3:$Y$29,10,FALSE)*$AM147,VLOOKUP($L147,'[12]IMAGE CDLINKS 1_5C'!$Z$3:$AI$29,10,FALSE)*$AP147)</f>
        <v>1.4633857410035322</v>
      </c>
      <c r="FA147" s="192">
        <v>2050</v>
      </c>
    </row>
    <row r="148" spans="1:157" x14ac:dyDescent="0.25">
      <c r="A148" t="str">
        <f>IF([12]NDCs!C150="","",[12]NDCs!C150)</f>
        <v>B</v>
      </c>
      <c r="B148" s="159" t="str">
        <f t="shared" si="112"/>
        <v>v</v>
      </c>
      <c r="C148">
        <v>0</v>
      </c>
      <c r="D148">
        <v>0</v>
      </c>
      <c r="E148">
        <v>0</v>
      </c>
      <c r="F148">
        <v>1</v>
      </c>
      <c r="G148" t="b">
        <f t="shared" si="113"/>
        <v>1</v>
      </c>
      <c r="H148" t="s">
        <v>2328</v>
      </c>
      <c r="I148" t="s">
        <v>325</v>
      </c>
      <c r="J148">
        <v>516</v>
      </c>
      <c r="K148">
        <v>134</v>
      </c>
      <c r="L148">
        <v>26</v>
      </c>
      <c r="M148" t="str">
        <f>IF([12]NDCs!AL150="Excluding","excl","incl")</f>
        <v>incl</v>
      </c>
      <c r="N148" s="160">
        <f>[12]GHG_hist!BA138+IF($M148="incl",[12]LULUCF_hist!CR138,0)</f>
        <v>-74.939061800000005</v>
      </c>
      <c r="O148" s="111">
        <f>[12]GHG_hist!BB138+IF($M148="incl",[12]LULUCF_hist!CS138,0)</f>
        <v>-76.363957400000004</v>
      </c>
      <c r="P148" s="111">
        <f>[12]GHG_hist!BC138+IF($M148="incl",[12]LULUCF_hist!CT138,0)</f>
        <v>-78.3436892</v>
      </c>
      <c r="Q148" s="111">
        <f>[12]GHG_hist!BD138+IF($M148="incl",[12]LULUCF_hist!CU138,0)</f>
        <v>-80.342934200000002</v>
      </c>
      <c r="R148" s="111">
        <f>[12]GHG_hist!BE138+IF($M148="incl",[12]LULUCF_hist!CV138,0)</f>
        <v>-82.053163999999995</v>
      </c>
      <c r="S148" s="111">
        <f>[12]GHG_hist!BF138+IF($M148="incl",[12]LULUCF_hist!CW138,0)</f>
        <v>-83.771193400000001</v>
      </c>
      <c r="T148" s="111">
        <f>[12]GHG_hist!BG138+IF($M148="incl",[12]LULUCF_hist!CX138,0)</f>
        <v>-85.692706200000003</v>
      </c>
      <c r="U148" s="111">
        <f>[12]GHG_hist!BH138+IF($M148="incl",[12]LULUCF_hist!CY138,0)</f>
        <v>-87.289764599999998</v>
      </c>
      <c r="V148" s="111">
        <f>[12]GHG_hist!BI138+IF($M148="incl",[12]LULUCF_hist!CZ138,0)</f>
        <v>-89.049148399999993</v>
      </c>
      <c r="W148" s="111">
        <f>[12]GHG_hist!BJ138+IF($M148="incl",[12]LULUCF_hist!DA138,0)</f>
        <v>-90.625124400000004</v>
      </c>
      <c r="X148" s="111">
        <f>[12]GHG_hist!BK138+IF($M148="incl",[12]LULUCF_hist!DB138,0)</f>
        <v>-92.167397199999996</v>
      </c>
      <c r="Y148" s="111">
        <f>[12]GHG_hist!BL138+IF($M148="incl",[12]LULUCF_hist!DC138,0)</f>
        <v>-92.035345199999995</v>
      </c>
      <c r="Z148" s="111">
        <f>[12]GHG_hist!BM138+IF($M148="incl",[12]LULUCF_hist!DD138,0)</f>
        <v>-96.401665200000011</v>
      </c>
      <c r="AA148" s="111">
        <f>[12]GHG_hist!BN138+IF($M148="incl",[12]LULUCF_hist!DE138,0)</f>
        <v>-96.521394599999994</v>
      </c>
      <c r="AB148" s="111">
        <f>[12]GHG_hist!BO138+IF($M148="incl",[12]LULUCF_hist!DF138,0)</f>
        <v>-98.241024600000003</v>
      </c>
      <c r="AC148" s="111">
        <f>[12]GHG_hist!BP138+IF($M148="incl",[12]LULUCF_hist!DG138,0)</f>
        <v>-96.095186999999996</v>
      </c>
      <c r="AD148" s="111">
        <f>[12]GHG_hist!BQ138+IF($M148="incl",[12]LULUCF_hist!DH138,0)</f>
        <v>-92.054985399999993</v>
      </c>
      <c r="AE148" s="111">
        <f>[12]GHG_hist!BR138+IF($M148="incl",[12]LULUCF_hist!DI138,0)</f>
        <v>-89.248099000000011</v>
      </c>
      <c r="AF148" s="111">
        <f>[12]GHG_hist!BS138+IF($M148="incl",[12]LULUCF_hist!DJ138,0)</f>
        <v>-97.864716199999989</v>
      </c>
      <c r="AG148" s="111">
        <f>[12]GHG_hist!BT138+IF($M148="incl",[12]LULUCF_hist!DK138,0)</f>
        <v>-86.001938800000005</v>
      </c>
      <c r="AH148" s="111">
        <f>[12]GHG_hist!BU138+IF($M148="incl",[12]LULUCF_hist!DL138,0)</f>
        <v>-90.407448400000007</v>
      </c>
      <c r="AI148" s="111">
        <f>[12]GHG_hist!BV138+IF($M148="incl",[12]LULUCF_hist!DM138,0)</f>
        <v>-86.666257600000009</v>
      </c>
      <c r="AJ148" s="111">
        <f>[12]GHG_hist!BW138+IF($M148="incl",[12]LULUCF_hist!DN138,0)</f>
        <v>-84.961634000000004</v>
      </c>
      <c r="AK148" s="111">
        <f>[12]GHG_hist!BX138+IF($M148="incl",[12]LULUCF_hist!DO138,0)</f>
        <v>-103.63883279999999</v>
      </c>
      <c r="AL148" s="111">
        <f>[12]GHG_hist!BY138+IF($M148="incl",[12]LULUCF_hist!DP138,0)</f>
        <v>-99.828042999999994</v>
      </c>
      <c r="AM148" s="111">
        <f>[12]GHG_hist!BZ138+IF($M148="incl",[12]LULUCF_hist!DQ138,0)</f>
        <v>-101.71440899999999</v>
      </c>
      <c r="AN148" s="111">
        <f>[12]GHG_hist!CA138+IF($M148="incl",[12]LULUCF_hist!DR138,0)</f>
        <v>-105.351336</v>
      </c>
      <c r="AO148" s="111">
        <f>[12]GHG_hist!CB138+IF($M148="incl",[12]LULUCF_hist!DS138,0)</f>
        <v>-100.57770048148127</v>
      </c>
      <c r="AP148" s="111">
        <f>[12]GHG_hist!CC138+IF($M148="incl",[12]LULUCF_hist!DT138,0)</f>
        <v>-101.65992010052899</v>
      </c>
      <c r="AQ148" s="111">
        <f>[12]GHG_hist!CD138+IF($M148="incl",[12]LULUCF_hist!DU138,0)</f>
        <v>-102.97793671957669</v>
      </c>
      <c r="AR148" s="111">
        <f>[12]GHG_hist!CE138+IF($M148="incl",[12]LULUCF_hist!DV138,0)</f>
        <v>-103.49563233862418</v>
      </c>
      <c r="AS148" s="111">
        <f>[12]GHG_hist!CF138+IF($M148="incl",[12]LULUCF_hist!DW138,0)</f>
        <v>-103.97546895767189</v>
      </c>
      <c r="AT148" s="171">
        <f>VLOOKUP($L148,'[12]IMAGE SSP2'!$AF$3:$AK$29,4,FALSE)*($AM148-'[12]IIASA Proj'!$EQ138)+('[12]IIASA Proj'!$EQ138+'[12]IIASA Proj'!$ER138)</f>
        <v>-104.47972887613052</v>
      </c>
      <c r="AU148" s="172">
        <f>VLOOKUP($L148,'[12]IMAGE SSP2'!$AF$3:$AK$29,5,FALSE)*($AM148-'[12]IIASA Proj'!$EQ138)+('[12]IIASA Proj'!$EQ138+'[12]IIASA Proj'!$ES138)</f>
        <v>-104.29929779691248</v>
      </c>
      <c r="AV148" s="173">
        <f>VLOOKUP($L148,'[12]IMAGE SSP2'!$AF$3:$AK$29,6,FALSE)*($AM148-'[12]IIASA Proj'!$EQ138)+('[12]IIASA Proj'!$EQ138+'[12]IIASA Proj'!$ET138)</f>
        <v>-102.55352358774923</v>
      </c>
      <c r="AW148" s="111">
        <f>IF(A148="B",AM148+(AX148-AM148)*0.33333,"")</f>
        <v>-60.261020538029996</v>
      </c>
      <c r="AX148" s="164">
        <f>IF(A148="B",IF(M148="excl",[12]NatCom!CO138,[12]NatCom!AX138),"")</f>
        <v>22.646999999999998</v>
      </c>
      <c r="AY148" s="111" t="str">
        <f>IF('[12]Pledge 2020'!E138="","",'[12]Pledge 2020'!E138)</f>
        <v/>
      </c>
      <c r="AZ148" s="164" t="str">
        <f>IF('[12]Pledge 2020'!F138="","",'[12]Pledge 2020'!F138)</f>
        <v/>
      </c>
      <c r="BA148" s="111" t="str">
        <f t="shared" si="100"/>
        <v/>
      </c>
      <c r="BB148" s="111" t="str">
        <f>IF(BF148="","",(BF148-AH148)*0.75+AH148)</f>
        <v/>
      </c>
      <c r="BC148" s="111">
        <f t="shared" si="101"/>
        <v>-99.563112099999998</v>
      </c>
      <c r="BD148" s="111">
        <f>IF(BH148="","",(BH148-AH148)*0.75+AH148)</f>
        <v>-99.563112099999998</v>
      </c>
      <c r="BE148" s="111"/>
      <c r="BF148" s="111"/>
      <c r="BG148" s="169">
        <v>-102.61499999999999</v>
      </c>
      <c r="BH148" s="170">
        <v>-102.61499999999999</v>
      </c>
      <c r="BI148" s="111">
        <f>IF([12]NDCs!V150="",IF([12]NDCs!X150="","",[12]NDCs!X150),[12]NDCs!V150)</f>
        <v>20.64704343</v>
      </c>
      <c r="BJ148" s="111">
        <f>IF([12]NDCs!V150="",IF([12]NDCs!X150="","",[12]NDCs!X150),[12]NDCs!V150)</f>
        <v>20.64704343</v>
      </c>
      <c r="BK148" s="111">
        <f>IF([12]NDCs!Z150="",IF([12]NDCs!AB150="",IF('input site'!BE148="","",'input site'!BE148),[12]NDCs!AB150),[12]NDCs!Z150)</f>
        <v>2.5930815000000007</v>
      </c>
      <c r="BL148" s="111">
        <f>IF([12]NDCs!AA150="",IF([12]NDCs!AC150="",IF('input site'!BF148="","",'input site'!BF148),[12]NDCs!AC150),[12]NDCs!AA150)</f>
        <v>2.5930815000000007</v>
      </c>
      <c r="BM148" s="174">
        <f>IF($BI$8=2015,VLOOKUP($L148,'[12]IMAGE CurPol SSP'!$AZ$3:$BD$29,4,FALSE)*($AM148-'[12]IIASA Proj'!$EQ138)+('[12]IIASA Proj'!$EQ138+'[12]IIASA Proj'!$ER138),AR148)</f>
        <v>-103.49563233862418</v>
      </c>
      <c r="BN148" s="175">
        <f t="shared" si="122"/>
        <v>-103.49563233862418</v>
      </c>
      <c r="BO148" s="175">
        <f t="shared" si="122"/>
        <v>-103.49563233862418</v>
      </c>
      <c r="BP148" s="174">
        <f>IF($BI$8=2015,VLOOKUP($L148,'[12]IMAGE CurPol SSP'!$AZ$3:$BD$29,5,FALSE)*($AM148-'[12]IIASA Proj'!$EQ138)+('[12]IIASA Proj'!$EQ138+'[12]IIASA Proj'!$ES138),VLOOKUP($L148,'[12]IMAGE CurPol SSP'!$BU$3:$BZ$29,5,FALSE)*($AS148-'[12]IIASA Proj'!$DV138)+('[12]IIASA Proj'!$EA138))</f>
        <v>-103.62044764885115</v>
      </c>
      <c r="BQ148" s="174">
        <f>IF($BI$8=2015,"",IF($BI$8=2018,"",MIN(BP148,VLOOKUP($L148,'[12]IMAGE CurPol SSP'!$CQ$3:$CV$29,5,FALSE)*$AS148)))</f>
        <v>-111.23630885862887</v>
      </c>
      <c r="BR148" s="174">
        <f>IF($BI$8=2015,"",IF($BI$8=2018,"",MAX(BP148,VLOOKUP($L148,'[12]IMAGE CurPol SSP'!$CF$3:$CK$29,5,FALSE)*$AS148)))</f>
        <v>-103.62044764885115</v>
      </c>
      <c r="BS148" s="174">
        <f>IF($BI$8=2015,VLOOKUP($L148,'[12]IMAGE CurPol SSP'!$AZ$3:$BE$29,6,FALSE)*($AM148-'[12]IIASA Proj'!$EQ138)+('[12]IIASA Proj'!$EQ138+'[12]IIASA Proj'!$ET138),VLOOKUP($L148,'[12]IMAGE CurPol SSP'!$BU$3:$BZ$29,6,FALSE)*($AS148-'[12]IIASA Proj'!$DV138)+('[12]IIASA Proj'!$EF138))</f>
        <v>-102.11317095188474</v>
      </c>
      <c r="BT148" s="174">
        <f>IF($BI$8=2015,"",IF($BI$8=2018,"",MIN($BS148,VLOOKUP($L148,'[12]IMAGE CurPol SSP'!$CQ$3:$CV$29,6,FALSE)*$AS148)))</f>
        <v>-126.54221084850015</v>
      </c>
      <c r="BU148" s="176">
        <f>IF($BI$8=2015,"",IF($BI$8=2018,"",MAX($BS148,VLOOKUP($L148,'[12]IMAGE CurPol SSP'!$CF$3:$CK$29,6,FALSE)*$AS148)))</f>
        <v>-102.11317095188474</v>
      </c>
      <c r="CN148" t="s">
        <v>325</v>
      </c>
      <c r="CO148" s="165" t="str">
        <f t="shared" si="114"/>
        <v/>
      </c>
      <c r="CP148" s="165" t="str">
        <f t="shared" si="114"/>
        <v/>
      </c>
      <c r="CQ148" s="165">
        <f t="shared" si="114"/>
        <v>4.9144399633982427E-3</v>
      </c>
      <c r="CR148" s="165">
        <f t="shared" si="114"/>
        <v>4.9144399633982427E-3</v>
      </c>
      <c r="CS148" s="159"/>
      <c r="CU148" s="159"/>
      <c r="CV148" s="125" t="s">
        <v>621</v>
      </c>
      <c r="CW148" s="125" t="s">
        <v>621</v>
      </c>
      <c r="CX148" s="159"/>
      <c r="CY148" s="167">
        <f t="shared" si="115"/>
        <v>-0.98409653750634618</v>
      </c>
      <c r="CZ148" s="159"/>
      <c r="DB148" s="106"/>
      <c r="DC148" s="106"/>
      <c r="DD148" s="106"/>
      <c r="DE148" s="106"/>
      <c r="DF148" s="106"/>
      <c r="DG148" s="105" t="str">
        <f t="shared" si="116"/>
        <v>incl</v>
      </c>
      <c r="DH148" t="s">
        <v>325</v>
      </c>
      <c r="DI148" s="111">
        <f t="shared" si="105"/>
        <v>0</v>
      </c>
      <c r="DJ148" s="111">
        <f t="shared" si="105"/>
        <v>0</v>
      </c>
      <c r="DK148" s="111">
        <f t="shared" si="106"/>
        <v>0</v>
      </c>
      <c r="DL148" s="111">
        <f t="shared" si="107"/>
        <v>4.0573355488511567</v>
      </c>
      <c r="DM148" s="111">
        <f t="shared" si="108"/>
        <v>0</v>
      </c>
      <c r="DN148" s="111">
        <f t="shared" si="109"/>
        <v>-0.50182904811525475</v>
      </c>
      <c r="DO148" s="111">
        <f t="shared" si="110"/>
        <v>122.76021438188474</v>
      </c>
      <c r="DP148" s="111">
        <f t="shared" si="111"/>
        <v>104.70625245188474</v>
      </c>
      <c r="DQ148" s="106"/>
      <c r="DR148" s="106"/>
      <c r="DS148" s="177">
        <f>[12]GHG_hist!BZ138+IF($M148="incl",[12]LULUCF_hist!DQ138,0)</f>
        <v>-101.71440899999999</v>
      </c>
      <c r="DT148" s="178">
        <f>IF($M148="incl",'[12]IIASA Proj'!EQ138,0)</f>
        <v>-110.3131694603174</v>
      </c>
      <c r="DW148" s="111">
        <f t="shared" si="117"/>
        <v>-102.11317095188474</v>
      </c>
      <c r="DX148" s="111">
        <f t="shared" si="117"/>
        <v>-102.11317095188474</v>
      </c>
      <c r="DY148" s="111">
        <f t="shared" si="117"/>
        <v>-102.61499999999999</v>
      </c>
      <c r="DZ148" s="111">
        <f t="shared" si="117"/>
        <v>-102.61499999999999</v>
      </c>
      <c r="EP148" t="s">
        <v>325</v>
      </c>
      <c r="EQ148">
        <v>4</v>
      </c>
      <c r="ER148" s="111">
        <f t="shared" si="118"/>
        <v>-101.65992010052899</v>
      </c>
      <c r="ES148" s="111">
        <f>IF($BI$8=2015,VLOOKUP($L148,'[12]IMAGE CDLINKS CurPol'!$P$3:$Y$29,10,FALSE)*$AM148,VLOOKUP($L148,'[12]IMAGE CDLINKS CurPol'!$Z$3:$AI$29,10,FALSE)*$AP148)</f>
        <v>-206.17309229559547</v>
      </c>
      <c r="ET148" s="111">
        <f t="shared" si="86"/>
        <v>0</v>
      </c>
      <c r="EU148" s="111">
        <f t="shared" si="120"/>
        <v>0</v>
      </c>
      <c r="EV148" s="111">
        <f>IF($BI$8=2015,VLOOKUP($L148,'[12]IMAGE CDLINKS 2C'!$P$3:$Y$29,10,FALSE)*$AM148,VLOOKUP($L148,'[12]IMAGE CDLINKS 2C'!$Z$3:$AI$29,10,FALSE)*$AP148)</f>
        <v>-72.277513825884924</v>
      </c>
      <c r="EW148">
        <v>0</v>
      </c>
      <c r="EX148" s="111">
        <f>EW148-EV148</f>
        <v>72.277513825884924</v>
      </c>
      <c r="EY148" s="111">
        <f t="shared" si="121"/>
        <v>0</v>
      </c>
      <c r="EZ148" s="111">
        <f>IF($BI$8=2015,VLOOKUP($L148,'[12]IMAGE CDLINKS 1_5C'!$P$3:$Y$29,10,FALSE)*$AM148,VLOOKUP($L148,'[12]IMAGE CDLINKS 1_5C'!$Z$3:$AI$29,10,FALSE)*$AP148)</f>
        <v>-67.398031505859564</v>
      </c>
      <c r="FA148" s="192">
        <v>2050</v>
      </c>
    </row>
    <row r="149" spans="1:157" x14ac:dyDescent="0.25">
      <c r="A149" t="str">
        <f>IF([12]NDCs!C151="","",[12]NDCs!C151)</f>
        <v>G</v>
      </c>
      <c r="B149" s="159" t="str">
        <f t="shared" si="112"/>
        <v>v</v>
      </c>
      <c r="C149">
        <v>0</v>
      </c>
      <c r="D149">
        <v>0</v>
      </c>
      <c r="E149">
        <v>0</v>
      </c>
      <c r="F149">
        <v>1</v>
      </c>
      <c r="G149" t="b">
        <f t="shared" si="113"/>
        <v>0</v>
      </c>
      <c r="H149" t="s">
        <v>2328</v>
      </c>
      <c r="I149" t="s">
        <v>327</v>
      </c>
      <c r="J149">
        <v>520</v>
      </c>
      <c r="K149">
        <v>135</v>
      </c>
      <c r="L149">
        <v>24</v>
      </c>
      <c r="M149" t="str">
        <f>IF([12]NDCs!AL151="Excluding","excl","incl")</f>
        <v>excl</v>
      </c>
      <c r="N149" s="160">
        <f>[12]GHG_hist!BA139+IF($M149="incl",[12]LULUCF_hist!CR139,0)</f>
        <v>4.0651995999999996E-2</v>
      </c>
      <c r="O149" s="111">
        <f>[12]GHG_hist!BB139+IF($M149="incl",[12]LULUCF_hist!CS139,0)</f>
        <v>4.0918995999999999E-2</v>
      </c>
      <c r="P149" s="111">
        <f>[12]GHG_hist!BC139+IF($M149="incl",[12]LULUCF_hist!CT139,0)</f>
        <v>4.0237893000000004E-2</v>
      </c>
      <c r="Q149" s="111">
        <f>[12]GHG_hist!BD139+IF($M149="incl",[12]LULUCF_hist!CU139,0)</f>
        <v>3.8605553000000001E-2</v>
      </c>
      <c r="R149" s="111">
        <f>[12]GHG_hist!BE139+IF($M149="incl",[12]LULUCF_hist!CV139,0)</f>
        <v>3.7770636000000003E-2</v>
      </c>
      <c r="S149" s="111">
        <f>[12]GHG_hist!BF139+IF($M149="incl",[12]LULUCF_hist!CW139,0)</f>
        <v>3.5029730000000002E-2</v>
      </c>
      <c r="T149" s="111">
        <f>[12]GHG_hist!BG139+IF($M149="incl",[12]LULUCF_hist!CX139,0)</f>
        <v>3.2257280999999999E-2</v>
      </c>
      <c r="U149" s="111">
        <f>[12]GHG_hist!BH139+IF($M149="incl",[12]LULUCF_hist!CY139,0)</f>
        <v>3.0243242E-2</v>
      </c>
      <c r="V149" s="111">
        <f>[12]GHG_hist!BI139+IF($M149="incl",[12]LULUCF_hist!CZ139,0)</f>
        <v>2.7291599999999999E-2</v>
      </c>
      <c r="W149" s="111">
        <f>[12]GHG_hist!BJ139+IF($M149="incl",[12]LULUCF_hist!DA139,0)</f>
        <v>2.37687E-2</v>
      </c>
      <c r="X149" s="111">
        <f>[12]GHG_hist!BK139+IF($M149="incl",[12]LULUCF_hist!DB139,0)</f>
        <v>2.029891E-2</v>
      </c>
      <c r="Y149" s="111">
        <f>[12]GHG_hist!BL139+IF($M149="incl",[12]LULUCF_hist!DC139,0)</f>
        <v>2.7748116E-2</v>
      </c>
      <c r="Z149" s="111">
        <f>[12]GHG_hist!BM139+IF($M149="incl",[12]LULUCF_hist!DD139,0)</f>
        <v>3.5170240999999998E-2</v>
      </c>
      <c r="AA149" s="111">
        <f>[12]GHG_hist!BN139+IF($M149="incl",[12]LULUCF_hist!DE139,0)</f>
        <v>4.2571092999999997E-2</v>
      </c>
      <c r="AB149" s="111">
        <f>[12]GHG_hist!BO139+IF($M149="incl",[12]LULUCF_hist!DF139,0)</f>
        <v>4.0646056E-2</v>
      </c>
      <c r="AC149" s="111">
        <f>[12]GHG_hist!BP139+IF($M149="incl",[12]LULUCF_hist!DG139,0)</f>
        <v>3.6222512000000005E-2</v>
      </c>
      <c r="AD149" s="111">
        <f>[12]GHG_hist!BQ139+IF($M149="incl",[12]LULUCF_hist!DH139,0)</f>
        <v>2.5823280000000001E-2</v>
      </c>
      <c r="AE149" s="111">
        <f>[12]GHG_hist!BR139+IF($M149="incl",[12]LULUCF_hist!DI139,0)</f>
        <v>2.3539870000000001E-2</v>
      </c>
      <c r="AF149" s="111">
        <f>[12]GHG_hist!BS139+IF($M149="incl",[12]LULUCF_hist!DJ139,0)</f>
        <v>3.0136883999999999E-2</v>
      </c>
      <c r="AG149" s="111">
        <f>[12]GHG_hist!BT139+IF($M149="incl",[12]LULUCF_hist!DK139,0)</f>
        <v>3.6505280000000001E-2</v>
      </c>
      <c r="AH149" s="111">
        <f>[12]GHG_hist!BU139+IF($M149="incl",[12]LULUCF_hist!DL139,0)</f>
        <v>4.2960805999999997E-2</v>
      </c>
      <c r="AI149" s="111">
        <f>[12]GHG_hist!BV139+IF($M149="incl",[12]LULUCF_hist!DM139,0)</f>
        <v>3.9980570999999999E-2</v>
      </c>
      <c r="AJ149" s="111">
        <f>[12]GHG_hist!BW139+IF($M149="incl",[12]LULUCF_hist!DN139,0)</f>
        <v>4.3273153000000002E-2</v>
      </c>
      <c r="AK149" s="111">
        <f>[12]GHG_hist!BX139+IF($M149="incl",[12]LULUCF_hist!DO139,0)</f>
        <v>4.6749769999999996E-2</v>
      </c>
      <c r="AL149" s="111">
        <f>[12]GHG_hist!BY139+IF($M149="incl",[12]LULUCF_hist!DP139,0)</f>
        <v>5.0257935000000004E-2</v>
      </c>
      <c r="AM149" s="111">
        <f>[12]GHG_hist!BZ139+IF($M149="incl",[12]LULUCF_hist!DQ139,0)</f>
        <v>5.3508453000000004E-2</v>
      </c>
      <c r="AN149" s="111">
        <f>[12]GHG_hist!CA139+IF($M149="incl",[12]LULUCF_hist!DR139,0)</f>
        <v>4.4215051999999998E-2</v>
      </c>
      <c r="AO149" s="111">
        <f>[12]GHG_hist!CB139+IF($M149="incl",[12]LULUCF_hist!DS139,0)</f>
        <v>4.7376288000000003E-2</v>
      </c>
      <c r="AP149" s="111">
        <f>[12]GHG_hist!CC139+IF($M149="incl",[12]LULUCF_hist!DT139,0)</f>
        <v>4.8809275999999999E-2</v>
      </c>
      <c r="AQ149" s="111">
        <f>[12]GHG_hist!CD139+IF($M149="incl",[12]LULUCF_hist!DU139,0)</f>
        <v>5.2571343E-2</v>
      </c>
      <c r="AR149" s="111">
        <f>[12]GHG_hist!CE139+IF($M149="incl",[12]LULUCF_hist!DV139,0)</f>
        <v>5.2963008000000006E-2</v>
      </c>
      <c r="AS149" s="111">
        <f>[12]GHG_hist!CF139+IF($M149="incl",[12]LULUCF_hist!DW139,0)</f>
        <v>5.4048246000000001E-2</v>
      </c>
      <c r="AT149" s="161">
        <f>VLOOKUP($L149,'[12]IMAGE SSP2'!$AF$3:$AK$29,4,FALSE)*$AM149</f>
        <v>5.7440744861725165E-2</v>
      </c>
      <c r="AU149" s="162">
        <f>VLOOKUP($L149,'[12]IMAGE SSP2'!$AF$3:$AK$29,5,FALSE)*$AM149</f>
        <v>5.897113196228377E-2</v>
      </c>
      <c r="AV149" s="163">
        <f>VLOOKUP($L149,'[12]IMAGE SSP2'!$AF$3:$AK$29,6,FALSE)*$AM149</f>
        <v>5.9661753458874998E-2</v>
      </c>
      <c r="AW149" s="111" t="str">
        <f t="shared" si="119"/>
        <v/>
      </c>
      <c r="AX149" s="164" t="str">
        <f>IF(A149="B",IF(M149="excl",[12]NatCom!CO139,[12]NatCom!AX139),"")</f>
        <v/>
      </c>
      <c r="AY149" s="111" t="str">
        <f>IF('[12]Pledge 2020'!E139="","",'[12]Pledge 2020'!E139)</f>
        <v/>
      </c>
      <c r="AZ149" s="164" t="str">
        <f>IF('[12]Pledge 2020'!F139="","",'[12]Pledge 2020'!F139)</f>
        <v/>
      </c>
      <c r="BA149" s="111" t="str">
        <f t="shared" si="100"/>
        <v/>
      </c>
      <c r="BB149" s="111"/>
      <c r="BC149" s="111" t="str">
        <f t="shared" si="101"/>
        <v/>
      </c>
      <c r="BD149" s="111"/>
      <c r="BE149" s="111" t="s">
        <v>2477</v>
      </c>
      <c r="BF149" s="111"/>
      <c r="BG149" s="111" t="s">
        <v>2477</v>
      </c>
      <c r="BH149" s="164"/>
      <c r="BI149" s="111" t="str">
        <f>IF([12]NDCs!V151="",IF([12]NDCs!X151="","",[12]NDCs!X151),[12]NDCs!V151)</f>
        <v/>
      </c>
      <c r="BJ149" s="111" t="str">
        <f>IF([12]NDCs!V151="",IF([12]NDCs!X151="","",[12]NDCs!X151),[12]NDCs!V151)</f>
        <v/>
      </c>
      <c r="BK149" s="111" t="str">
        <f>IF([12]NDCs!Z151="",IF([12]NDCs!AB151="",IF('input site'!BE149="","",'input site'!BE149),[12]NDCs!AB151),[12]NDCs!Z151)</f>
        <v/>
      </c>
      <c r="BL149" s="111" t="str">
        <f>IF([12]NDCs!AA151="",IF([12]NDCs!AC151="",IF('input site'!BF149="","",'input site'!BF149),[12]NDCs!AC151),[12]NDCs!AA151)</f>
        <v/>
      </c>
      <c r="BM149" s="111">
        <f>IF($BI$8=2015,VLOOKUP($L149,'[12]IMAGE CurPol SSP'!$AZ$3:$BD$29,4,FALSE)*$AM149,IF($BI$8=2018,VLOOKUP($L149,'[12]IMAGE CurPol SSP'!$BJ$3:$BN$29,4,FALSE)*$AP149,$AR149))</f>
        <v>5.2963008000000006E-2</v>
      </c>
      <c r="BN149" s="111">
        <f t="shared" si="122"/>
        <v>5.2963008000000006E-2</v>
      </c>
      <c r="BO149" s="111">
        <f t="shared" si="122"/>
        <v>5.2963008000000006E-2</v>
      </c>
      <c r="BP149" s="111">
        <f>IF($BI$8=2015,VLOOKUP($L149,'[12]IMAGE CurPol SSP'!$AZ$3:$BD$29,5,FALSE)*$AM149,IF($BI$8=2018,VLOOKUP($L149,'[12]IMAGE CurPol SSP'!$BJ$3:$BN$29,5,FALSE)*$AP149,VLOOKUP($L149,'[12]IMAGE CurPol SSP'!$BU$3:$BZ$29,5,FALSE)*$AS149))</f>
        <v>5.5046153942365492E-2</v>
      </c>
      <c r="BQ149" s="111">
        <f>IF($BI$8=2015,"",IF($BI$8=2018,"",VLOOKUP($L149,'[12]IMAGE CurPol SSP'!$CQ$3:$CV$29,5,FALSE)*$AS149))</f>
        <v>5.3592295349068106E-2</v>
      </c>
      <c r="BR149" s="111">
        <f>IF($BI$8=2015,"",IF($BI$8=2018,"",VLOOKUP($L149,'[12]IMAGE CurPol SSP'!$CF$3:$CK$29,5,FALSE)*$AS149))</f>
        <v>5.5046153942365492E-2</v>
      </c>
      <c r="BS149" s="111">
        <f>IF($BI$8=2015,VLOOKUP($L149,'[12]IMAGE CurPol SSP'!$AZ$3:$BE$29,6,FALSE)*$AM149,IF($BI$8=2018,VLOOKUP($L149,'[12]IMAGE CurPol SSP'!$BJ$3:$BO$29,6,FALSE)*$AP149,VLOOKUP($L149,'[12]IMAGE CurPol SSP'!$BU$3:$BZ$29,6,FALSE)*$AS149))</f>
        <v>5.6660323688065097E-2</v>
      </c>
      <c r="BT149" s="111">
        <f>IF($BI$8=2015,"",IF($BI$8=2018,"",VLOOKUP($L149,'[12]IMAGE CurPol SSP'!$CQ$3:$CV$29,6,FALSE)*$AS149))</f>
        <v>5.2333646527923459E-2</v>
      </c>
      <c r="BU149" s="164">
        <f>IF($BI$8=2015,"",IF($BI$8=2018,"",VLOOKUP($L149,'[12]IMAGE CurPol SSP'!$CF$3:$CK$29,6,FALSE)*$AS149))</f>
        <v>5.6660323688065097E-2</v>
      </c>
      <c r="CN149" t="s">
        <v>327</v>
      </c>
      <c r="CO149" s="165" t="str">
        <f t="shared" si="114"/>
        <v/>
      </c>
      <c r="CP149" s="165" t="str">
        <f t="shared" si="114"/>
        <v/>
      </c>
      <c r="CQ149" s="165" t="str">
        <f t="shared" si="114"/>
        <v/>
      </c>
      <c r="CR149" s="165" t="str">
        <f t="shared" si="114"/>
        <v/>
      </c>
      <c r="CV149" s="125" t="s">
        <v>621</v>
      </c>
      <c r="CW149" s="125" t="s">
        <v>621</v>
      </c>
      <c r="CX149"/>
      <c r="CY149" s="167">
        <f t="shared" si="115"/>
        <v>4.4777368617251595E-3</v>
      </c>
      <c r="DB149" s="106"/>
      <c r="DC149" s="106"/>
      <c r="DD149" s="106"/>
      <c r="DE149" s="106"/>
      <c r="DF149" s="106"/>
      <c r="DG149" s="105" t="str">
        <f t="shared" si="116"/>
        <v>excl</v>
      </c>
      <c r="DH149" t="s">
        <v>327</v>
      </c>
      <c r="DI149" s="111">
        <f t="shared" si="105"/>
        <v>0</v>
      </c>
      <c r="DJ149" s="111">
        <f t="shared" si="105"/>
        <v>0</v>
      </c>
      <c r="DK149" s="111">
        <f t="shared" si="106"/>
        <v>0</v>
      </c>
      <c r="DL149" s="111">
        <f t="shared" si="107"/>
        <v>0</v>
      </c>
      <c r="DM149" s="111">
        <f t="shared" si="108"/>
        <v>0</v>
      </c>
      <c r="DN149" s="111">
        <f t="shared" si="109"/>
        <v>0</v>
      </c>
      <c r="DO149" s="111">
        <f t="shared" si="110"/>
        <v>0</v>
      </c>
      <c r="DP149" s="111">
        <f t="shared" si="111"/>
        <v>0</v>
      </c>
      <c r="DQ149" s="106"/>
      <c r="DR149" s="106"/>
      <c r="DS149" s="111"/>
      <c r="DT149" s="168"/>
      <c r="DW149" s="111">
        <f t="shared" si="117"/>
        <v>5.6660323688065097E-2</v>
      </c>
      <c r="DX149" s="111">
        <f t="shared" si="117"/>
        <v>5.6660323688065097E-2</v>
      </c>
      <c r="DY149" s="111">
        <f t="shared" si="117"/>
        <v>5.6660323688065097E-2</v>
      </c>
      <c r="DZ149" s="111">
        <f t="shared" si="117"/>
        <v>5.6660323688065097E-2</v>
      </c>
      <c r="EP149" t="s">
        <v>327</v>
      </c>
      <c r="EQ149">
        <v>4</v>
      </c>
      <c r="ER149" s="111">
        <f t="shared" si="118"/>
        <v>4.8809275999999999E-2</v>
      </c>
      <c r="ES149" s="111">
        <f>IF($BI$8=2015,VLOOKUP($L149,'[12]IMAGE CDLINKS CurPol'!$P$3:$Y$29,10,FALSE)*$AM149,VLOOKUP($L149,'[12]IMAGE CDLINKS CurPol'!$Z$3:$AI$29,10,FALSE)*$AP149)</f>
        <v>5.0322673181395994E-2</v>
      </c>
      <c r="ET149" s="111">
        <f t="shared" si="86"/>
        <v>0</v>
      </c>
      <c r="EU149" s="111">
        <f t="shared" si="120"/>
        <v>0</v>
      </c>
      <c r="EV149" s="111">
        <f>IF($BI$8=2015,VLOOKUP($L149,'[12]IMAGE CDLINKS 2C'!$P$3:$Y$29,10,FALSE)*$AM149,VLOOKUP($L149,'[12]IMAGE CDLINKS 2C'!$Z$3:$AI$29,10,FALSE)*$AP149)</f>
        <v>1.934087289592987E-2</v>
      </c>
      <c r="EW149">
        <v>0</v>
      </c>
      <c r="EX149" s="111">
        <f>EW149-EV149</f>
        <v>-1.934087289592987E-2</v>
      </c>
      <c r="EY149" s="111">
        <f t="shared" si="121"/>
        <v>0</v>
      </c>
      <c r="EZ149" s="111">
        <f>IF($BI$8=2015,VLOOKUP($L149,'[12]IMAGE CDLINKS 1_5C'!$P$3:$Y$29,10,FALSE)*$AM149,VLOOKUP($L149,'[12]IMAGE CDLINKS 1_5C'!$Z$3:$AI$29,10,FALSE)*$AP149)</f>
        <v>8.3661591653046603E-3</v>
      </c>
      <c r="FA149" s="192">
        <v>2050</v>
      </c>
    </row>
    <row r="150" spans="1:157" x14ac:dyDescent="0.25">
      <c r="A150" t="str">
        <f>IF([12]NDCs!C152="","",[12]NDCs!C152)</f>
        <v>G</v>
      </c>
      <c r="B150" s="159" t="str">
        <f t="shared" si="112"/>
        <v>v</v>
      </c>
      <c r="C150">
        <v>0</v>
      </c>
      <c r="D150">
        <v>0</v>
      </c>
      <c r="E150">
        <v>0</v>
      </c>
      <c r="F150">
        <v>1</v>
      </c>
      <c r="G150" t="b">
        <f t="shared" si="113"/>
        <v>0</v>
      </c>
      <c r="H150" t="s">
        <v>2328</v>
      </c>
      <c r="I150" t="s">
        <v>329</v>
      </c>
      <c r="J150">
        <v>524</v>
      </c>
      <c r="K150">
        <v>136</v>
      </c>
      <c r="L150">
        <v>25</v>
      </c>
      <c r="M150" t="str">
        <f>IF([12]NDCs!AL152="Excluding","excl","incl")</f>
        <v>excl</v>
      </c>
      <c r="N150" s="160">
        <f>[12]GHG_hist!BA140+IF($M150="incl",[12]LULUCF_hist!CR140,0)</f>
        <v>23.498336999999999</v>
      </c>
      <c r="O150" s="111">
        <f>[12]GHG_hist!BB140+IF($M150="incl",[12]LULUCF_hist!CS140,0)</f>
        <v>23.866719</v>
      </c>
      <c r="P150" s="111">
        <f>[12]GHG_hist!BC140+IF($M150="incl",[12]LULUCF_hist!CT140,0)</f>
        <v>23.830687000000001</v>
      </c>
      <c r="Q150" s="111">
        <f>[12]GHG_hist!BD140+IF($M150="incl",[12]LULUCF_hist!CU140,0)</f>
        <v>24.683343000000001</v>
      </c>
      <c r="R150" s="111">
        <f>[12]GHG_hist!BE140+IF($M150="incl",[12]LULUCF_hist!CV140,0)</f>
        <v>25.381133000000002</v>
      </c>
      <c r="S150" s="111">
        <f>[12]GHG_hist!BF140+IF($M150="incl",[12]LULUCF_hist!CW140,0)</f>
        <v>27.046290000000003</v>
      </c>
      <c r="T150" s="111">
        <f>[12]GHG_hist!BG140+IF($M150="incl",[12]LULUCF_hist!CX140,0)</f>
        <v>27.507931000000003</v>
      </c>
      <c r="U150" s="111">
        <f>[12]GHG_hist!BH140+IF($M150="incl",[12]LULUCF_hist!CY140,0)</f>
        <v>28.133611000000002</v>
      </c>
      <c r="V150" s="111">
        <f>[12]GHG_hist!BI140+IF($M150="incl",[12]LULUCF_hist!CZ140,0)</f>
        <v>27.978080000000002</v>
      </c>
      <c r="W150" s="111">
        <f>[12]GHG_hist!BJ140+IF($M150="incl",[12]LULUCF_hist!DA140,0)</f>
        <v>29.153663000000002</v>
      </c>
      <c r="X150" s="111">
        <f>[12]GHG_hist!BK140+IF($M150="incl",[12]LULUCF_hist!DB140,0)</f>
        <v>29.303602999999999</v>
      </c>
      <c r="Y150" s="111">
        <f>[12]GHG_hist!BL140+IF($M150="incl",[12]LULUCF_hist!DC140,0)</f>
        <v>29.688525000000002</v>
      </c>
      <c r="Z150" s="111">
        <f>[12]GHG_hist!BM140+IF($M150="incl",[12]LULUCF_hist!DD140,0)</f>
        <v>29.260908000000001</v>
      </c>
      <c r="AA150" s="111">
        <f>[12]GHG_hist!BN140+IF($M150="incl",[12]LULUCF_hist!DE140,0)</f>
        <v>29.960550000000001</v>
      </c>
      <c r="AB150" s="111">
        <f>[12]GHG_hist!BO140+IF($M150="incl",[12]LULUCF_hist!DF140,0)</f>
        <v>29.994786000000001</v>
      </c>
      <c r="AC150" s="111">
        <f>[12]GHG_hist!BP140+IF($M150="incl",[12]LULUCF_hist!DG140,0)</f>
        <v>30.708683000000001</v>
      </c>
      <c r="AD150" s="111">
        <f>[12]GHG_hist!BQ140+IF($M150="incl",[12]LULUCF_hist!DH140,0)</f>
        <v>30.58943</v>
      </c>
      <c r="AE150" s="111">
        <f>[12]GHG_hist!BR140+IF($M150="incl",[12]LULUCF_hist!DI140,0)</f>
        <v>30.881169000000003</v>
      </c>
      <c r="AF150" s="111">
        <f>[12]GHG_hist!BS140+IF($M150="incl",[12]LULUCF_hist!DJ140,0)</f>
        <v>32.534221000000002</v>
      </c>
      <c r="AG150" s="111">
        <f>[12]GHG_hist!BT140+IF($M150="incl",[12]LULUCF_hist!DK140,0)</f>
        <v>34.141495999999997</v>
      </c>
      <c r="AH150" s="111">
        <f>[12]GHG_hist!BU140+IF($M150="incl",[12]LULUCF_hist!DL140,0)</f>
        <v>35.199110999999995</v>
      </c>
      <c r="AI150" s="111">
        <f>[12]GHG_hist!BV140+IF($M150="incl",[12]LULUCF_hist!DM140,0)</f>
        <v>36.264430000000004</v>
      </c>
      <c r="AJ150" s="111">
        <f>[12]GHG_hist!BW140+IF($M150="incl",[12]LULUCF_hist!DN140,0)</f>
        <v>36.795285000000007</v>
      </c>
      <c r="AK150" s="111">
        <f>[12]GHG_hist!BX140+IF($M150="incl",[12]LULUCF_hist!DO140,0)</f>
        <v>38.194576999999995</v>
      </c>
      <c r="AL150" s="111">
        <f>[12]GHG_hist!BY140+IF($M150="incl",[12]LULUCF_hist!DP140,0)</f>
        <v>40.028078000000001</v>
      </c>
      <c r="AM150" s="111">
        <f>[12]GHG_hist!BZ140+IF($M150="incl",[12]LULUCF_hist!DQ140,0)</f>
        <v>39.148629</v>
      </c>
      <c r="AN150" s="111">
        <f>[12]GHG_hist!CA140+IF($M150="incl",[12]LULUCF_hist!DR140,0)</f>
        <v>43.003491000000004</v>
      </c>
      <c r="AO150" s="111">
        <f>[12]GHG_hist!CB140+IF($M150="incl",[12]LULUCF_hist!DS140,0)</f>
        <v>45.806514999999997</v>
      </c>
      <c r="AP150" s="111">
        <f>[12]GHG_hist!CC140+IF($M150="incl",[12]LULUCF_hist!DT140,0)</f>
        <v>46.910468999999999</v>
      </c>
      <c r="AQ150" s="111">
        <f>[12]GHG_hist!CD140+IF($M150="incl",[12]LULUCF_hist!DU140,0)</f>
        <v>48.381201000000004</v>
      </c>
      <c r="AR150" s="111">
        <f>[12]GHG_hist!CE140+IF($M150="incl",[12]LULUCF_hist!DV140,0)</f>
        <v>48.028444999999998</v>
      </c>
      <c r="AS150" s="111">
        <f>[12]GHG_hist!CF140+IF($M150="incl",[12]LULUCF_hist!DW140,0)</f>
        <v>48.827477000000002</v>
      </c>
      <c r="AT150" s="161">
        <f>VLOOKUP($L150,'[12]IMAGE SSP2'!$AF$3:$AK$29,4,FALSE)*$AM150</f>
        <v>45.92650188574158</v>
      </c>
      <c r="AU150" s="162">
        <f>VLOOKUP($L150,'[12]IMAGE SSP2'!$AF$3:$AK$29,5,FALSE)*$AM150</f>
        <v>53.348660454800147</v>
      </c>
      <c r="AV150" s="163">
        <f>VLOOKUP($L150,'[12]IMAGE SSP2'!$AF$3:$AK$29,6,FALSE)*$AM150</f>
        <v>59.969973834875724</v>
      </c>
      <c r="AW150" s="111" t="str">
        <f t="shared" si="119"/>
        <v/>
      </c>
      <c r="AX150" s="164" t="str">
        <f>IF(A150="B",IF(M150="excl",[12]NatCom!CO140,[12]NatCom!AX140),"")</f>
        <v/>
      </c>
      <c r="AY150" s="111" t="str">
        <f>IF('[12]Pledge 2020'!E140="","",'[12]Pledge 2020'!E140)</f>
        <v/>
      </c>
      <c r="AZ150" s="164" t="str">
        <f>IF('[12]Pledge 2020'!F140="","",'[12]Pledge 2020'!F140)</f>
        <v/>
      </c>
      <c r="BA150" s="111" t="str">
        <f t="shared" si="100"/>
        <v/>
      </c>
      <c r="BB150" s="111"/>
      <c r="BC150" s="111" t="str">
        <f t="shared" si="101"/>
        <v/>
      </c>
      <c r="BD150" s="111"/>
      <c r="BE150" s="111" t="s">
        <v>2477</v>
      </c>
      <c r="BF150" s="111"/>
      <c r="BG150" s="111" t="s">
        <v>2477</v>
      </c>
      <c r="BH150" s="164"/>
      <c r="BI150" s="111" t="str">
        <f>IF([12]NDCs!V152="",IF([12]NDCs!X152="","",[12]NDCs!X152),[12]NDCs!V152)</f>
        <v/>
      </c>
      <c r="BJ150" s="111" t="str">
        <f>IF([12]NDCs!V152="",IF([12]NDCs!X152="","",[12]NDCs!X152),[12]NDCs!V152)</f>
        <v/>
      </c>
      <c r="BK150" s="111" t="str">
        <f>IF([12]NDCs!Z152="",IF([12]NDCs!AB152="",IF('input site'!BE150="","",'input site'!BE150),[12]NDCs!AB152),[12]NDCs!Z152)</f>
        <v/>
      </c>
      <c r="BL150" s="111" t="str">
        <f>IF([12]NDCs!AA152="",IF([12]NDCs!AC152="",IF('input site'!BF150="","",'input site'!BF150),[12]NDCs!AC152),[12]NDCs!AA152)</f>
        <v/>
      </c>
      <c r="BM150" s="111">
        <f>IF($BI$8=2015,VLOOKUP($L150,'[12]IMAGE CurPol SSP'!$AZ$3:$BD$29,4,FALSE)*$AM150,IF($BI$8=2018,VLOOKUP($L150,'[12]IMAGE CurPol SSP'!$BJ$3:$BN$29,4,FALSE)*$AP150,$AR150))</f>
        <v>48.028444999999998</v>
      </c>
      <c r="BN150" s="111">
        <f t="shared" si="122"/>
        <v>48.028444999999998</v>
      </c>
      <c r="BO150" s="111">
        <f t="shared" si="122"/>
        <v>48.028444999999998</v>
      </c>
      <c r="BP150" s="111">
        <f>IF($BI$8=2015,VLOOKUP($L150,'[12]IMAGE CurPol SSP'!$AZ$3:$BD$29,5,FALSE)*$AM150,IF($BI$8=2018,VLOOKUP($L150,'[12]IMAGE CurPol SSP'!$BJ$3:$BN$29,5,FALSE)*$AP150,VLOOKUP($L150,'[12]IMAGE CurPol SSP'!$BU$3:$BZ$29,5,FALSE)*$AS150))</f>
        <v>52.303714936684464</v>
      </c>
      <c r="BQ150" s="111">
        <f>IF($BI$8=2015,"",IF($BI$8=2018,"",VLOOKUP($L150,'[12]IMAGE CurPol SSP'!$CQ$3:$CV$29,5,FALSE)*$AS150))</f>
        <v>51.829526494608096</v>
      </c>
      <c r="BR150" s="111">
        <f>IF($BI$8=2015,"",IF($BI$8=2018,"",VLOOKUP($L150,'[12]IMAGE CurPol SSP'!$CF$3:$CK$29,5,FALSE)*$AS150))</f>
        <v>52.683535511344083</v>
      </c>
      <c r="BS150" s="111">
        <f>IF($BI$8=2015,VLOOKUP($L150,'[12]IMAGE CurPol SSP'!$AZ$3:$BE$29,6,FALSE)*$AM150,IF($BI$8=2018,VLOOKUP($L150,'[12]IMAGE CurPol SSP'!$BJ$3:$BO$29,6,FALSE)*$AP150,VLOOKUP($L150,'[12]IMAGE CurPol SSP'!$BU$3:$BZ$29,6,FALSE)*$AS150))</f>
        <v>59.395174565838118</v>
      </c>
      <c r="BT150" s="111">
        <f>IF($BI$8=2015,"",IF($BI$8=2018,"",VLOOKUP($L150,'[12]IMAGE CurPol SSP'!$CQ$3:$CV$29,6,FALSE)*$AS150))</f>
        <v>58.295937705946706</v>
      </c>
      <c r="BU150" s="164">
        <f>IF($BI$8=2015,"",IF($BI$8=2018,"",VLOOKUP($L150,'[12]IMAGE CurPol SSP'!$CF$3:$CK$29,6,FALSE)*$AS150))</f>
        <v>59.395174565838118</v>
      </c>
      <c r="CN150" t="s">
        <v>329</v>
      </c>
      <c r="CO150" s="165" t="str">
        <f t="shared" si="114"/>
        <v/>
      </c>
      <c r="CP150" s="165" t="str">
        <f t="shared" si="114"/>
        <v/>
      </c>
      <c r="CQ150" s="165" t="str">
        <f t="shared" si="114"/>
        <v/>
      </c>
      <c r="CR150" s="165" t="str">
        <f t="shared" si="114"/>
        <v/>
      </c>
      <c r="CV150" s="125" t="s">
        <v>621</v>
      </c>
      <c r="CW150" s="125" t="s">
        <v>621</v>
      </c>
      <c r="CX150"/>
      <c r="CY150" s="167">
        <f t="shared" si="115"/>
        <v>-2.1019431142584182</v>
      </c>
      <c r="DB150" s="106"/>
      <c r="DC150" s="106"/>
      <c r="DD150" s="106"/>
      <c r="DE150" s="106"/>
      <c r="DF150" s="106"/>
      <c r="DG150" s="105" t="str">
        <f t="shared" si="116"/>
        <v>excl</v>
      </c>
      <c r="DH150" t="s">
        <v>329</v>
      </c>
      <c r="DI150" s="111">
        <f t="shared" si="105"/>
        <v>0</v>
      </c>
      <c r="DJ150" s="111">
        <f t="shared" si="105"/>
        <v>0</v>
      </c>
      <c r="DK150" s="111">
        <f t="shared" si="106"/>
        <v>0</v>
      </c>
      <c r="DL150" s="111">
        <f t="shared" si="107"/>
        <v>0</v>
      </c>
      <c r="DM150" s="111">
        <f t="shared" si="108"/>
        <v>0</v>
      </c>
      <c r="DN150" s="111">
        <f t="shared" si="109"/>
        <v>0</v>
      </c>
      <c r="DO150" s="111">
        <f t="shared" si="110"/>
        <v>0</v>
      </c>
      <c r="DP150" s="111">
        <f t="shared" si="111"/>
        <v>0</v>
      </c>
      <c r="DQ150" s="106"/>
      <c r="DR150" s="106"/>
      <c r="DS150" s="111"/>
      <c r="DT150" s="168"/>
      <c r="DW150" s="111">
        <f t="shared" si="117"/>
        <v>59.395174565838118</v>
      </c>
      <c r="DX150" s="111">
        <f t="shared" si="117"/>
        <v>59.395174565838118</v>
      </c>
      <c r="DY150" s="111">
        <f t="shared" si="117"/>
        <v>59.395174565838118</v>
      </c>
      <c r="DZ150" s="111">
        <f t="shared" si="117"/>
        <v>59.395174565838118</v>
      </c>
      <c r="EP150" t="s">
        <v>329</v>
      </c>
      <c r="EQ150">
        <v>4</v>
      </c>
      <c r="ER150" s="111">
        <f t="shared" si="118"/>
        <v>46.910468999999999</v>
      </c>
      <c r="ES150" s="111">
        <f>IF($BI$8=2015,VLOOKUP($L150,'[12]IMAGE CDLINKS CurPol'!$P$3:$Y$29,10,FALSE)*$AM150,VLOOKUP($L150,'[12]IMAGE CDLINKS CurPol'!$Z$3:$AI$29,10,FALSE)*$AP150)</f>
        <v>107.32938492408701</v>
      </c>
      <c r="ET150" s="111">
        <f t="shared" si="86"/>
        <v>0</v>
      </c>
      <c r="EU150" s="111">
        <f t="shared" si="120"/>
        <v>0</v>
      </c>
      <c r="EV150" s="111">
        <f>IF($BI$8=2015,VLOOKUP($L150,'[12]IMAGE CDLINKS 2C'!$P$3:$Y$29,10,FALSE)*$AM150,VLOOKUP($L150,'[12]IMAGE CDLINKS 2C'!$Z$3:$AI$29,10,FALSE)*$AP150)</f>
        <v>30.519979213571318</v>
      </c>
      <c r="EX150" s="111"/>
      <c r="EY150" s="111">
        <f t="shared" si="121"/>
        <v>0</v>
      </c>
      <c r="EZ150" s="111">
        <f>IF($BI$8=2015,VLOOKUP($L150,'[12]IMAGE CDLINKS 1_5C'!$P$3:$Y$29,10,FALSE)*$AM150,VLOOKUP($L150,'[12]IMAGE CDLINKS 1_5C'!$Z$3:$AI$29,10,FALSE)*$AP150)</f>
        <v>12.790662326943416</v>
      </c>
      <c r="FA150" s="192">
        <v>2050</v>
      </c>
    </row>
    <row r="151" spans="1:157" x14ac:dyDescent="0.25">
      <c r="A151" t="str">
        <f>IF([12]NDCs!C153="","",[12]NDCs!C153)</f>
        <v>A</v>
      </c>
      <c r="B151" s="159" t="str">
        <f t="shared" si="112"/>
        <v>v</v>
      </c>
      <c r="C151">
        <v>0</v>
      </c>
      <c r="D151">
        <v>1</v>
      </c>
      <c r="E151">
        <v>0</v>
      </c>
      <c r="F151">
        <v>1</v>
      </c>
      <c r="G151" t="b">
        <f t="shared" si="113"/>
        <v>1</v>
      </c>
      <c r="H151" t="s">
        <v>2335</v>
      </c>
      <c r="I151" t="s">
        <v>331</v>
      </c>
      <c r="J151">
        <v>528</v>
      </c>
      <c r="K151">
        <v>137</v>
      </c>
      <c r="L151">
        <v>11</v>
      </c>
      <c r="M151" t="str">
        <f>IF([12]NDCs!AL153="Excluding","excl","incl")</f>
        <v>incl</v>
      </c>
      <c r="N151" s="160">
        <f>[12]GHG_hist!BA141+IF($M151="incl",[12]LULUCF_hist!CR141,0)</f>
        <v>227.35858127901955</v>
      </c>
      <c r="O151" s="111">
        <f>[12]GHG_hist!BB141+IF($M151="incl",[12]LULUCF_hist!CS141,0)</f>
        <v>235.11451715709424</v>
      </c>
      <c r="P151" s="111">
        <f>[12]GHG_hist!BC141+IF($M151="incl",[12]LULUCF_hist!CT141,0)</f>
        <v>235.77282296619904</v>
      </c>
      <c r="Q151" s="111">
        <f>[12]GHG_hist!BD141+IF($M151="incl",[12]LULUCF_hist!CU141,0)</f>
        <v>236.34664120626218</v>
      </c>
      <c r="R151" s="111">
        <f>[12]GHG_hist!BE141+IF($M151="incl",[12]LULUCF_hist!CV141,0)</f>
        <v>237.42270902041403</v>
      </c>
      <c r="S151" s="111">
        <f>[12]GHG_hist!BF141+IF($M151="incl",[12]LULUCF_hist!CW141,0)</f>
        <v>237.25039771174858</v>
      </c>
      <c r="T151" s="111">
        <f>[12]GHG_hist!BG141+IF($M151="incl",[12]LULUCF_hist!CX141,0)</f>
        <v>247.87538581134811</v>
      </c>
      <c r="U151" s="111">
        <f>[12]GHG_hist!BH141+IF($M151="incl",[12]LULUCF_hist!CY141,0)</f>
        <v>239.59776101804079</v>
      </c>
      <c r="V151" s="111">
        <f>[12]GHG_hist!BI141+IF($M151="incl",[12]LULUCF_hist!CZ141,0)</f>
        <v>239.9917793007958</v>
      </c>
      <c r="W151" s="111">
        <f>[12]GHG_hist!BJ141+IF($M151="incl",[12]LULUCF_hist!DA141,0)</f>
        <v>226.57401232884172</v>
      </c>
      <c r="X151" s="111">
        <f>[12]GHG_hist!BK141+IF($M151="incl",[12]LULUCF_hist!DB141,0)</f>
        <v>224.69330182868825</v>
      </c>
      <c r="Y151" s="111">
        <f>[12]GHG_hist!BL141+IF($M151="incl",[12]LULUCF_hist!DC141,0)</f>
        <v>225.52845422044368</v>
      </c>
      <c r="Z151" s="111">
        <f>[12]GHG_hist!BM141+IF($M151="incl",[12]LULUCF_hist!DD141,0)</f>
        <v>223.24075078696777</v>
      </c>
      <c r="AA151" s="111">
        <f>[12]GHG_hist!BN141+IF($M151="incl",[12]LULUCF_hist!DE141,0)</f>
        <v>224.17809826574842</v>
      </c>
      <c r="AB151" s="111">
        <f>[12]GHG_hist!BO141+IF($M151="incl",[12]LULUCF_hist!DF141,0)</f>
        <v>225.53814240059515</v>
      </c>
      <c r="AC151" s="111">
        <f>[12]GHG_hist!BP141+IF($M151="incl",[12]LULUCF_hist!DG141,0)</f>
        <v>219.74581335634653</v>
      </c>
      <c r="AD151" s="111">
        <f>[12]GHG_hist!BQ141+IF($M151="incl",[12]LULUCF_hist!DH141,0)</f>
        <v>214.6809709747474</v>
      </c>
      <c r="AE151" s="111">
        <f>[12]GHG_hist!BR141+IF($M151="incl",[12]LULUCF_hist!DI141,0)</f>
        <v>212.69516567228243</v>
      </c>
      <c r="AF151" s="111">
        <f>[12]GHG_hist!BS141+IF($M151="incl",[12]LULUCF_hist!DJ141,0)</f>
        <v>212.11571254744683</v>
      </c>
      <c r="AG151" s="111">
        <f>[12]GHG_hist!BT141+IF($M151="incl",[12]LULUCF_hist!DK141,0)</f>
        <v>206.40500109753677</v>
      </c>
      <c r="AH151" s="111">
        <f>[12]GHG_hist!BU141+IF($M151="incl",[12]LULUCF_hist!DL141,0)</f>
        <v>218.12221768021382</v>
      </c>
      <c r="AI151" s="111">
        <f>[12]GHG_hist!BV141+IF($M151="incl",[12]LULUCF_hist!DM141,0)</f>
        <v>204.36451865056281</v>
      </c>
      <c r="AJ151" s="111">
        <f>[12]GHG_hist!BW141+IF($M151="incl",[12]LULUCF_hist!DN141,0)</f>
        <v>200.35126842978707</v>
      </c>
      <c r="AK151" s="111">
        <f>[12]GHG_hist!BX141+IF($M151="incl",[12]LULUCF_hist!DO141,0)</f>
        <v>199.62200310184733</v>
      </c>
      <c r="AL151" s="111">
        <f>[12]GHG_hist!BY141+IF($M151="incl",[12]LULUCF_hist!DP141,0)</f>
        <v>191.3823219077436</v>
      </c>
      <c r="AM151" s="111">
        <f>[12]GHG_hist!BZ141+IF($M151="incl",[12]LULUCF_hist!DQ141,0)</f>
        <v>198.3223405469972</v>
      </c>
      <c r="AN151" s="111">
        <f>[12]GHG_hist!CA141+IF($M151="incl",[12]LULUCF_hist!DR141,0)</f>
        <v>198.62437977731517</v>
      </c>
      <c r="AO151" s="111">
        <f>[12]GHG_hist!CB141+IF($M151="incl",[12]LULUCF_hist!DS141,0)</f>
        <v>194.97362826870483</v>
      </c>
      <c r="AP151" s="111">
        <f>[12]GHG_hist!CC141+IF($M151="incl",[12]LULUCF_hist!DT141,0)</f>
        <v>189.91989148813192</v>
      </c>
      <c r="AQ151" s="111">
        <f>[12]GHG_hist!CD141+IF($M151="incl",[12]LULUCF_hist!DU141,0)</f>
        <v>184.10180456510787</v>
      </c>
      <c r="AR151" s="111">
        <f>[12]GHG_hist!CE141+IF($M151="incl",[12]LULUCF_hist!DV141,0)</f>
        <v>167.48019528256066</v>
      </c>
      <c r="AS151" s="111">
        <f>[12]GHG_hist!CF141+IF($M151="incl",[12]LULUCF_hist!DW141,0)</f>
        <v>170.44854574106824</v>
      </c>
      <c r="AT151" s="161">
        <f>VLOOKUP($L151,'[12]IMAGE SSP2'!$AF$3:$AK$29,4,FALSE)*$AM151</f>
        <v>192.8481382179404</v>
      </c>
      <c r="AU151" s="162">
        <f>VLOOKUP($L151,'[12]IMAGE SSP2'!$AF$3:$AK$29,5,FALSE)*$AM151</f>
        <v>186.46460687234736</v>
      </c>
      <c r="AV151" s="163">
        <f>VLOOKUP($L151,'[12]IMAGE SSP2'!$AF$3:$AK$29,6,FALSE)*$AM151</f>
        <v>185.42709313980453</v>
      </c>
      <c r="AW151" s="111" t="str">
        <f t="shared" si="119"/>
        <v/>
      </c>
      <c r="AX151" s="164" t="str">
        <f>IF(A151="B",IF(M151="excl",[12]NatCom!CO141,[12]NatCom!AX141),"")</f>
        <v/>
      </c>
      <c r="AY151" s="111" t="str">
        <f>IF('[12]Pledge 2020'!E141="","",'[12]Pledge 2020'!E141)</f>
        <v/>
      </c>
      <c r="AZ151" s="164" t="str">
        <f>IF('[12]Pledge 2020'!F141="","",'[12]Pledge 2020'!F141)</f>
        <v/>
      </c>
      <c r="BA151" s="111" t="str">
        <f t="shared" si="100"/>
        <v/>
      </c>
      <c r="BB151" s="111"/>
      <c r="BC151" s="111" t="str">
        <f t="shared" si="101"/>
        <v/>
      </c>
      <c r="BD151" s="111"/>
      <c r="BE151" s="111" t="s">
        <v>2477</v>
      </c>
      <c r="BF151" s="111"/>
      <c r="BG151" s="111" t="s">
        <v>2477</v>
      </c>
      <c r="BH151" s="164"/>
      <c r="BI151" s="111" t="str">
        <f>IF([12]NDCs!V153="",IF([12]NDCs!X153="","",[12]NDCs!X153),[12]NDCs!V153)</f>
        <v/>
      </c>
      <c r="BJ151" s="111" t="str">
        <f>IF([12]NDCs!V153="",IF([12]NDCs!X153="","",[12]NDCs!X153),[12]NDCs!V153)</f>
        <v/>
      </c>
      <c r="BK151" s="111" t="str">
        <f>IF([12]NDCs!Z153="",IF([12]NDCs!AB153="",IF('input site'!BE151="","",'input site'!BE151),[12]NDCs!AB153),[12]NDCs!Z153)</f>
        <v/>
      </c>
      <c r="BL151" s="111" t="str">
        <f>IF([12]NDCs!AA153="",IF([12]NDCs!AC153="",IF('input site'!BF151="","",'input site'!BF151),[12]NDCs!AC153),[12]NDCs!AA153)</f>
        <v/>
      </c>
      <c r="BM151" s="111">
        <f>IF($BI$8=2015,VLOOKUP($L151,'[12]IMAGE CurPol SSP'!$AZ$3:$BD$29,4,FALSE)*$AM151,IF($BI$8=2018,VLOOKUP($L151,'[12]IMAGE CurPol SSP'!$BJ$3:$BN$29,4,FALSE)*$AP151,$AR151))</f>
        <v>167.48019528256066</v>
      </c>
      <c r="BN151" s="111">
        <f t="shared" si="122"/>
        <v>167.48019528256066</v>
      </c>
      <c r="BO151" s="111">
        <f t="shared" si="122"/>
        <v>167.48019528256066</v>
      </c>
      <c r="BP151" s="111">
        <f>IF($BI$8=2015,VLOOKUP($L151,'[12]IMAGE CurPol SSP'!$AZ$3:$BD$29,5,FALSE)*$AM151,IF($BI$8=2018,VLOOKUP($L151,'[12]IMAGE CurPol SSP'!$BJ$3:$BN$29,5,FALSE)*$AP151,VLOOKUP($L151,'[12]IMAGE CurPol SSP'!$BU$3:$BZ$29,5,FALSE)*$AS151))</f>
        <v>138.25757365252451</v>
      </c>
      <c r="BQ151" s="111">
        <f>IF($BI$8=2015,"",IF($BI$8=2018,"",VLOOKUP($L151,'[12]IMAGE CurPol SSP'!$CQ$3:$CV$29,5,FALSE)*$AS151))</f>
        <v>134.36998934700563</v>
      </c>
      <c r="BR151" s="111">
        <f>IF($BI$8=2015,"",IF($BI$8=2018,"",VLOOKUP($L151,'[12]IMAGE CurPol SSP'!$CF$3:$CK$29,5,FALSE)*$AS151))</f>
        <v>140.61862289277934</v>
      </c>
      <c r="BS151" s="111">
        <f>IF($BI$8=2015,VLOOKUP($L151,'[12]IMAGE CurPol SSP'!$AZ$3:$BE$29,6,FALSE)*$AM151,IF($BI$8=2018,VLOOKUP($L151,'[12]IMAGE CurPol SSP'!$BJ$3:$BO$29,6,FALSE)*$AP151,VLOOKUP($L151,'[12]IMAGE CurPol SSP'!$BU$3:$BZ$29,6,FALSE)*$AS151))</f>
        <v>95.101682235387088</v>
      </c>
      <c r="BT151" s="111">
        <f>IF($BI$8=2015,"",IF($BI$8=2018,"",VLOOKUP($L151,'[12]IMAGE CurPol SSP'!$CQ$3:$CV$29,6,FALSE)*$AS151))</f>
        <v>88.93508708157259</v>
      </c>
      <c r="BU151" s="164">
        <f>IF($BI$8=2015,"",IF($BI$8=2018,"",VLOOKUP($L151,'[12]IMAGE CurPol SSP'!$CF$3:$CK$29,6,FALSE)*$AS151))</f>
        <v>99.94695851292397</v>
      </c>
      <c r="CN151" t="s">
        <v>331</v>
      </c>
      <c r="CO151" s="165" t="str">
        <f t="shared" si="114"/>
        <v/>
      </c>
      <c r="CP151" s="165" t="str">
        <f t="shared" si="114"/>
        <v/>
      </c>
      <c r="CQ151" s="165" t="str">
        <f t="shared" si="114"/>
        <v/>
      </c>
      <c r="CR151" s="165" t="str">
        <f t="shared" si="114"/>
        <v/>
      </c>
      <c r="CV151" s="125" t="s">
        <v>621</v>
      </c>
      <c r="CW151" s="125" t="s">
        <v>621</v>
      </c>
      <c r="CX151"/>
      <c r="CY151" s="167">
        <f t="shared" si="115"/>
        <v>25.367942935379745</v>
      </c>
      <c r="DB151" s="106"/>
      <c r="DC151" s="106"/>
      <c r="DD151" s="106"/>
      <c r="DE151" s="106"/>
      <c r="DF151" s="106"/>
      <c r="DG151" s="105" t="str">
        <f t="shared" si="116"/>
        <v>incl</v>
      </c>
      <c r="DH151" t="s">
        <v>331</v>
      </c>
      <c r="DI151" s="111">
        <f t="shared" si="105"/>
        <v>0</v>
      </c>
      <c r="DJ151" s="111">
        <f t="shared" si="105"/>
        <v>0</v>
      </c>
      <c r="DK151" s="111">
        <f t="shared" si="106"/>
        <v>0</v>
      </c>
      <c r="DL151" s="111">
        <f t="shared" si="107"/>
        <v>0</v>
      </c>
      <c r="DM151" s="111">
        <f t="shared" si="108"/>
        <v>0</v>
      </c>
      <c r="DN151" s="111">
        <f t="shared" si="109"/>
        <v>0</v>
      </c>
      <c r="DO151" s="111">
        <f t="shared" si="110"/>
        <v>0</v>
      </c>
      <c r="DP151" s="111">
        <f t="shared" si="111"/>
        <v>0</v>
      </c>
      <c r="DQ151" s="106"/>
      <c r="DR151" s="106"/>
      <c r="DS151" s="111"/>
      <c r="DT151" s="168"/>
      <c r="DW151" s="111">
        <f t="shared" si="117"/>
        <v>95.101682235387088</v>
      </c>
      <c r="DX151" s="111">
        <f t="shared" si="117"/>
        <v>95.101682235387088</v>
      </c>
      <c r="DY151" s="111">
        <f t="shared" si="117"/>
        <v>95.101682235387088</v>
      </c>
      <c r="DZ151" s="111">
        <f t="shared" si="117"/>
        <v>95.101682235387088</v>
      </c>
      <c r="EP151" t="s">
        <v>331</v>
      </c>
      <c r="ER151" s="111">
        <f t="shared" si="118"/>
        <v>189.91989148813192</v>
      </c>
      <c r="ES151" s="111">
        <f>IF($BI$8=2015,VLOOKUP($L151,'[12]IMAGE CDLINKS CurPol'!$P$3:$Y$29,10,FALSE)*$AM151,VLOOKUP($L151,'[12]IMAGE CDLINKS CurPol'!$Z$3:$AI$29,10,FALSE)*$AP151)</f>
        <v>181.98945927389235</v>
      </c>
      <c r="ET151" s="111">
        <f t="shared" si="86"/>
        <v>181.98945927389235</v>
      </c>
      <c r="EU151" s="111">
        <f t="shared" si="120"/>
        <v>38.774544812514158</v>
      </c>
      <c r="EV151" s="111">
        <f>IF($BI$8=2015,VLOOKUP($L151,'[12]IMAGE CDLINKS 2C'!$P$3:$Y$29,10,FALSE)*$AM151,VLOOKUP($L151,'[12]IMAGE CDLINKS 2C'!$Z$3:$AI$29,10,FALSE)*$AP151)</f>
        <v>38.774544812514158</v>
      </c>
      <c r="EY151" s="111">
        <f t="shared" si="121"/>
        <v>21.447127581628429</v>
      </c>
      <c r="EZ151" s="111">
        <f>IF($BI$8=2015,VLOOKUP($L151,'[12]IMAGE CDLINKS 1_5C'!$P$3:$Y$29,10,FALSE)*$AM151,VLOOKUP($L151,'[12]IMAGE CDLINKS 1_5C'!$Z$3:$AI$29,10,FALSE)*$AP151)</f>
        <v>21.447127581628429</v>
      </c>
      <c r="FA151" s="192" t="s">
        <v>2338</v>
      </c>
    </row>
    <row r="152" spans="1:157" x14ac:dyDescent="0.25">
      <c r="A152" t="str">
        <f>IF([12]NDCs!C154="","",[12]NDCs!C154)</f>
        <v/>
      </c>
      <c r="B152" s="159" t="str">
        <f t="shared" si="112"/>
        <v>v</v>
      </c>
      <c r="C152">
        <v>0</v>
      </c>
      <c r="D152">
        <v>0</v>
      </c>
      <c r="E152">
        <v>0</v>
      </c>
      <c r="F152">
        <v>1</v>
      </c>
      <c r="G152" t="b">
        <f t="shared" si="113"/>
        <v>0</v>
      </c>
      <c r="H152" t="s">
        <v>2328</v>
      </c>
      <c r="I152" t="s">
        <v>333</v>
      </c>
      <c r="J152">
        <v>530</v>
      </c>
      <c r="K152">
        <v>138</v>
      </c>
      <c r="L152">
        <v>4</v>
      </c>
      <c r="M152" t="str">
        <f>IF([12]NDCs!AL154="Excluding","excl","incl")</f>
        <v>excl</v>
      </c>
      <c r="N152" s="160">
        <f>[12]GHG_hist!BA142+IF($M152="incl",[12]LULUCF_hist!CR142,0)</f>
        <v>5.5988173999999997</v>
      </c>
      <c r="O152" s="111">
        <f>[12]GHG_hist!BB142+IF($M152="incl",[12]LULUCF_hist!CS142,0)</f>
        <v>4.5062187000000007</v>
      </c>
      <c r="P152" s="111">
        <f>[12]GHG_hist!BC142+IF($M152="incl",[12]LULUCF_hist!CT142,0)</f>
        <v>3.7794145000000001</v>
      </c>
      <c r="Q152" s="111">
        <f>[12]GHG_hist!BD142+IF($M152="incl",[12]LULUCF_hist!CU142,0)</f>
        <v>5.7316731000000001</v>
      </c>
      <c r="R152" s="111">
        <f>[12]GHG_hist!BE142+IF($M152="incl",[12]LULUCF_hist!CV142,0)</f>
        <v>5.5096076000000007</v>
      </c>
      <c r="S152" s="111">
        <f>[12]GHG_hist!BF142+IF($M152="incl",[12]LULUCF_hist!CW142,0)</f>
        <v>5.4555315000000002</v>
      </c>
      <c r="T152" s="111">
        <f>[12]GHG_hist!BG142+IF($M152="incl",[12]LULUCF_hist!CX142,0)</f>
        <v>5.1195615999999999</v>
      </c>
      <c r="U152" s="111">
        <f>[12]GHG_hist!BH142+IF($M152="incl",[12]LULUCF_hist!CY142,0)</f>
        <v>5.3734523000000003</v>
      </c>
      <c r="V152" s="111">
        <f>[12]GHG_hist!BI142+IF($M152="incl",[12]LULUCF_hist!CZ142,0)</f>
        <v>0.54923783000000004</v>
      </c>
      <c r="W152" s="111">
        <f>[12]GHG_hist!BJ142+IF($M152="incl",[12]LULUCF_hist!DA142,0)</f>
        <v>2.3717235000000003</v>
      </c>
      <c r="X152" s="111">
        <f>[12]GHG_hist!BK142+IF($M152="incl",[12]LULUCF_hist!DB142,0)</f>
        <v>5.8696140999999997</v>
      </c>
      <c r="Y152" s="111">
        <f>[12]GHG_hist!BL142+IF($M152="incl",[12]LULUCF_hist!DC142,0)</f>
        <v>5.9817663000000003</v>
      </c>
      <c r="Z152" s="111">
        <f>[12]GHG_hist!BM142+IF($M152="incl",[12]LULUCF_hist!DD142,0)</f>
        <v>5.7572519</v>
      </c>
      <c r="AA152" s="111">
        <f>[12]GHG_hist!BN142+IF($M152="incl",[12]LULUCF_hist!DE142,0)</f>
        <v>5.7557812999999998</v>
      </c>
      <c r="AB152" s="111">
        <f>[12]GHG_hist!BO142+IF($M152="incl",[12]LULUCF_hist!DF142,0)</f>
        <v>6.0424664000000003</v>
      </c>
      <c r="AC152" s="111">
        <f>[12]GHG_hist!BP142+IF($M152="incl",[12]LULUCF_hist!DG142,0)</f>
        <v>6.0006382</v>
      </c>
      <c r="AD152" s="111">
        <f>[12]GHG_hist!BQ142+IF($M152="incl",[12]LULUCF_hist!DH142,0)</f>
        <v>6.2376714</v>
      </c>
      <c r="AE152" s="111">
        <f>[12]GHG_hist!BR142+IF($M152="incl",[12]LULUCF_hist!DI142,0)</f>
        <v>7.0018609999999999</v>
      </c>
      <c r="AF152" s="111">
        <f>[12]GHG_hist!BS142+IF($M152="incl",[12]LULUCF_hist!DJ142,0)</f>
        <v>6.7397407000000005</v>
      </c>
      <c r="AG152" s="111">
        <f>[12]GHG_hist!BT142+IF($M152="incl",[12]LULUCF_hist!DK142,0)</f>
        <v>6.8743088999999999</v>
      </c>
      <c r="AH152" s="111">
        <f>[12]GHG_hist!BU142+IF($M152="incl",[12]LULUCF_hist!DL142,0)</f>
        <v>4.7677383000000004</v>
      </c>
      <c r="AI152" s="111">
        <f>[12]GHG_hist!BV142+IF($M152="incl",[12]LULUCF_hist!DM142,0)</f>
        <v>6.0630096999999994</v>
      </c>
      <c r="AJ152" s="111">
        <f>[12]GHG_hist!BW142+IF($M152="incl",[12]LULUCF_hist!DN142,0)</f>
        <v>7.1421406000000003</v>
      </c>
      <c r="AK152" s="111">
        <f>[12]GHG_hist!BX142+IF($M152="incl",[12]LULUCF_hist!DO142,0)</f>
        <v>6.3533108</v>
      </c>
      <c r="AL152" s="111">
        <f>[12]GHG_hist!BY142+IF($M152="incl",[12]LULUCF_hist!DP142,0)</f>
        <v>7.0385746000000005</v>
      </c>
      <c r="AM152" s="111">
        <f>[12]GHG_hist!BZ142+IF($M152="incl",[12]LULUCF_hist!DQ142,0)</f>
        <v>7.5548440000000001</v>
      </c>
      <c r="AN152" s="111">
        <f>[12]GHG_hist!CA142+IF($M152="incl",[12]LULUCF_hist!DR142,0)</f>
        <v>6.6949898000000001</v>
      </c>
      <c r="AO152" s="111">
        <f>[12]GHG_hist!CB142+IF($M152="incl",[12]LULUCF_hist!DS142,0)</f>
        <v>6.3584424000000004</v>
      </c>
      <c r="AP152" s="111">
        <f>[12]GHG_hist!CC142+IF($M152="incl",[12]LULUCF_hist!DT142,0)</f>
        <v>6.5008702999999999</v>
      </c>
      <c r="AQ152" s="111">
        <f>[12]GHG_hist!CD142+IF($M152="incl",[12]LULUCF_hist!DU142,0)</f>
        <v>6.6329462000000001</v>
      </c>
      <c r="AR152" s="111">
        <f>[12]GHG_hist!CE142+IF($M152="incl",[12]LULUCF_hist!DV142,0)</f>
        <v>6.0678498000000003</v>
      </c>
      <c r="AS152" s="111">
        <f>[12]GHG_hist!CF142+IF($M152="incl",[12]LULUCF_hist!DW142,0)</f>
        <v>6.0056864999999995</v>
      </c>
      <c r="AT152" s="161">
        <f>VLOOKUP($L152,'[12]IMAGE SSP2'!$AF$3:$AK$29,4,FALSE)*$AM152</f>
        <v>8.5899398886340688</v>
      </c>
      <c r="AU152" s="162">
        <f>VLOOKUP($L152,'[12]IMAGE SSP2'!$AF$3:$AK$29,5,FALSE)*$AM152</f>
        <v>9.6100684212285792</v>
      </c>
      <c r="AV152" s="163">
        <f>VLOOKUP($L152,'[12]IMAGE SSP2'!$AF$3:$AK$29,6,FALSE)*$AM152</f>
        <v>10.144545073682687</v>
      </c>
      <c r="AW152" s="111" t="str">
        <f t="shared" si="119"/>
        <v/>
      </c>
      <c r="AX152" s="164" t="str">
        <f>IF(A152="B",IF(M152="excl",[12]NatCom!CO142,[12]NatCom!AX142),"")</f>
        <v/>
      </c>
      <c r="AY152" s="111" t="str">
        <f>IF('[12]Pledge 2020'!E142="","",'[12]Pledge 2020'!E142)</f>
        <v/>
      </c>
      <c r="AZ152" s="164" t="str">
        <f>IF('[12]Pledge 2020'!F142="","",'[12]Pledge 2020'!F142)</f>
        <v/>
      </c>
      <c r="BA152" s="111" t="str">
        <f t="shared" si="100"/>
        <v/>
      </c>
      <c r="BB152" s="111"/>
      <c r="BC152" s="111" t="str">
        <f t="shared" si="101"/>
        <v/>
      </c>
      <c r="BD152" s="111"/>
      <c r="BE152" s="111" t="s">
        <v>2477</v>
      </c>
      <c r="BF152" s="111"/>
      <c r="BG152" s="111" t="s">
        <v>2477</v>
      </c>
      <c r="BH152" s="164"/>
      <c r="BI152" s="111" t="str">
        <f>IF([12]NDCs!V154="",IF([12]NDCs!X154="","",[12]NDCs!X154),[12]NDCs!V154)</f>
        <v/>
      </c>
      <c r="BJ152" s="111" t="str">
        <f>IF([12]NDCs!V154="",IF([12]NDCs!X154="","",[12]NDCs!X154),[12]NDCs!V154)</f>
        <v/>
      </c>
      <c r="BK152" s="111" t="str">
        <f>IF([12]NDCs!Z154="",IF([12]NDCs!AB154="",IF('input site'!BE152="","",'input site'!BE152),[12]NDCs!AB154),[12]NDCs!Z154)</f>
        <v/>
      </c>
      <c r="BL152" s="111" t="str">
        <f>IF([12]NDCs!AA154="",IF([12]NDCs!AC154="",IF('input site'!BF152="","",'input site'!BF152),[12]NDCs!AC154),[12]NDCs!AA154)</f>
        <v/>
      </c>
      <c r="BM152" s="111">
        <f>IF($BI$8=2015,VLOOKUP($L152,'[12]IMAGE CurPol SSP'!$AZ$3:$BD$29,4,FALSE)*$AM152,IF($BI$8=2018,VLOOKUP($L152,'[12]IMAGE CurPol SSP'!$BJ$3:$BN$29,4,FALSE)*$AP152,$AR152))</f>
        <v>6.0678498000000003</v>
      </c>
      <c r="BN152" s="111">
        <f t="shared" si="122"/>
        <v>6.0678498000000003</v>
      </c>
      <c r="BO152" s="111">
        <f t="shared" si="122"/>
        <v>6.0678498000000003</v>
      </c>
      <c r="BP152" s="111">
        <f>IF($BI$8=2015,VLOOKUP($L152,'[12]IMAGE CurPol SSP'!$AZ$3:$BD$29,5,FALSE)*$AM152,IF($BI$8=2018,VLOOKUP($L152,'[12]IMAGE CurPol SSP'!$BJ$3:$BN$29,5,FALSE)*$AP152,VLOOKUP($L152,'[12]IMAGE CurPol SSP'!$BU$3:$BZ$29,5,FALSE)*$AS152))</f>
        <v>6.581060236600095</v>
      </c>
      <c r="BQ152" s="111">
        <f>IF($BI$8=2015,"",IF($BI$8=2018,"",VLOOKUP($L152,'[12]IMAGE CurPol SSP'!$CQ$3:$CV$29,5,FALSE)*$AS152))</f>
        <v>6.4690704814932571</v>
      </c>
      <c r="BR152" s="111">
        <f>IF($BI$8=2015,"",IF($BI$8=2018,"",VLOOKUP($L152,'[12]IMAGE CurPol SSP'!$CF$3:$CK$29,5,FALSE)*$AS152))</f>
        <v>6.8399168618784651</v>
      </c>
      <c r="BS152" s="111">
        <f>IF($BI$8=2015,VLOOKUP($L152,'[12]IMAGE CurPol SSP'!$AZ$3:$BE$29,6,FALSE)*$AM152,IF($BI$8=2018,VLOOKUP($L152,'[12]IMAGE CurPol SSP'!$BJ$3:$BO$29,6,FALSE)*$AP152,VLOOKUP($L152,'[12]IMAGE CurPol SSP'!$BU$3:$BZ$29,6,FALSE)*$AS152))</f>
        <v>7.4054269811474738</v>
      </c>
      <c r="BT152" s="111">
        <f>IF($BI$8=2015,"",IF($BI$8=2018,"",VLOOKUP($L152,'[12]IMAGE CurPol SSP'!$CQ$3:$CV$29,6,FALSE)*$AS152))</f>
        <v>7.2352470126226534</v>
      </c>
      <c r="BU152" s="164">
        <f>IF($BI$8=2015,"",IF($BI$8=2018,"",VLOOKUP($L152,'[12]IMAGE CurPol SSP'!$CF$3:$CK$29,6,FALSE)*$AS152))</f>
        <v>7.923173007044876</v>
      </c>
      <c r="CN152" t="s">
        <v>333</v>
      </c>
      <c r="CO152" s="165" t="str">
        <f t="shared" si="114"/>
        <v/>
      </c>
      <c r="CP152" s="165" t="str">
        <f t="shared" si="114"/>
        <v/>
      </c>
      <c r="CQ152" s="165" t="str">
        <f t="shared" si="114"/>
        <v/>
      </c>
      <c r="CR152" s="165" t="str">
        <f t="shared" si="114"/>
        <v/>
      </c>
      <c r="CV152" s="125" t="s">
        <v>621</v>
      </c>
      <c r="CW152" s="125" t="s">
        <v>621</v>
      </c>
      <c r="CX152" s="208">
        <f>AP152/$AP$255</f>
        <v>1.4227463418184575E-4</v>
      </c>
      <c r="CY152" s="167">
        <f t="shared" si="115"/>
        <v>2.5220900886340685</v>
      </c>
      <c r="DB152" s="106"/>
      <c r="DC152" s="106"/>
      <c r="DD152" s="106"/>
      <c r="DE152" s="106"/>
      <c r="DF152" s="106"/>
      <c r="DG152" s="105" t="str">
        <f t="shared" si="116"/>
        <v>excl</v>
      </c>
      <c r="DH152" t="s">
        <v>333</v>
      </c>
      <c r="DI152" s="111">
        <f t="shared" si="105"/>
        <v>0</v>
      </c>
      <c r="DJ152" s="111">
        <f t="shared" si="105"/>
        <v>0</v>
      </c>
      <c r="DK152" s="111">
        <f t="shared" si="106"/>
        <v>0</v>
      </c>
      <c r="DL152" s="111">
        <f t="shared" si="107"/>
        <v>0</v>
      </c>
      <c r="DM152" s="111">
        <f t="shared" si="108"/>
        <v>0</v>
      </c>
      <c r="DN152" s="111">
        <f t="shared" si="109"/>
        <v>0</v>
      </c>
      <c r="DO152" s="111">
        <f t="shared" si="110"/>
        <v>0</v>
      </c>
      <c r="DP152" s="111">
        <f t="shared" si="111"/>
        <v>0</v>
      </c>
      <c r="DQ152" s="106"/>
      <c r="DR152" s="106"/>
      <c r="DS152" s="111"/>
      <c r="DT152" s="168"/>
      <c r="DW152" s="111">
        <f t="shared" si="117"/>
        <v>7.4054269811474738</v>
      </c>
      <c r="DX152" s="111">
        <f t="shared" si="117"/>
        <v>7.4054269811474738</v>
      </c>
      <c r="DY152" s="111">
        <f t="shared" si="117"/>
        <v>7.4054269811474738</v>
      </c>
      <c r="DZ152" s="111">
        <f t="shared" si="117"/>
        <v>7.4054269811474738</v>
      </c>
      <c r="EP152" t="s">
        <v>333</v>
      </c>
      <c r="EQ152">
        <v>0</v>
      </c>
      <c r="ER152" s="111">
        <f t="shared" si="118"/>
        <v>6.5008702999999999</v>
      </c>
      <c r="ES152" s="111">
        <f>IF($BI$8=2015,VLOOKUP($L152,'[12]IMAGE CDLINKS CurPol'!$P$3:$Y$29,10,FALSE)*$AM152,VLOOKUP($L152,'[12]IMAGE CDLINKS CurPol'!$Z$3:$AI$29,10,FALSE)*$AP152)</f>
        <v>12.312505280066304</v>
      </c>
      <c r="ET152" s="111">
        <f t="shared" si="86"/>
        <v>12.312505280066304</v>
      </c>
      <c r="EU152" s="111">
        <f t="shared" si="120"/>
        <v>3.4161081275073961</v>
      </c>
      <c r="EV152" s="111">
        <f>IF($BI$8=2015,VLOOKUP($L152,'[12]IMAGE CDLINKS 2C'!$P$3:$Y$29,10,FALSE)*$AM152,VLOOKUP($L152,'[12]IMAGE CDLINKS 2C'!$Z$3:$AI$29,10,FALSE)*$AP152)</f>
        <v>3.4161081275073961</v>
      </c>
      <c r="EY152" s="111">
        <f t="shared" si="121"/>
        <v>0.69476944770313609</v>
      </c>
      <c r="EZ152" s="111">
        <f>IF($BI$8=2015,VLOOKUP($L152,'[12]IMAGE CDLINKS 1_5C'!$P$3:$Y$29,10,FALSE)*$AM152,VLOOKUP($L152,'[12]IMAGE CDLINKS 1_5C'!$Z$3:$AI$29,10,FALSE)*$AP152)</f>
        <v>0.69476944770313609</v>
      </c>
      <c r="FA152" s="192"/>
    </row>
    <row r="153" spans="1:157" x14ac:dyDescent="0.25">
      <c r="A153" t="str">
        <f>IF([12]NDCs!C155="","",[12]NDCs!C155)</f>
        <v/>
      </c>
      <c r="B153" s="159" t="str">
        <f t="shared" si="112"/>
        <v>v</v>
      </c>
      <c r="C153">
        <v>0</v>
      </c>
      <c r="D153">
        <v>0</v>
      </c>
      <c r="E153">
        <v>0</v>
      </c>
      <c r="F153">
        <v>1</v>
      </c>
      <c r="G153" t="b">
        <f t="shared" si="113"/>
        <v>0</v>
      </c>
      <c r="H153" t="s">
        <v>2328</v>
      </c>
      <c r="I153" t="s">
        <v>335</v>
      </c>
      <c r="J153">
        <v>540</v>
      </c>
      <c r="K153">
        <v>140</v>
      </c>
      <c r="L153">
        <v>24</v>
      </c>
      <c r="M153" t="str">
        <f>IF([12]NDCs!AL155="Excluding","excl","incl")</f>
        <v>excl</v>
      </c>
      <c r="N153" s="160">
        <f>[12]GHG_hist!BA143+IF($M153="incl",[12]LULUCF_hist!CR143,0)</f>
        <v>0</v>
      </c>
      <c r="O153" s="111">
        <f>[12]GHG_hist!BB143+IF($M153="incl",[12]LULUCF_hist!CS143,0)</f>
        <v>0</v>
      </c>
      <c r="P153" s="111">
        <f>[12]GHG_hist!BC143+IF($M153="incl",[12]LULUCF_hist!CT143,0)</f>
        <v>0</v>
      </c>
      <c r="Q153" s="111">
        <f>[12]GHG_hist!BD143+IF($M153="incl",[12]LULUCF_hist!CU143,0)</f>
        <v>0</v>
      </c>
      <c r="R153" s="111">
        <f>[12]GHG_hist!BE143+IF($M153="incl",[12]LULUCF_hist!CV143,0)</f>
        <v>0</v>
      </c>
      <c r="S153" s="111">
        <f>[12]GHG_hist!BF143+IF($M153="incl",[12]LULUCF_hist!CW143,0)</f>
        <v>0</v>
      </c>
      <c r="T153" s="111">
        <f>[12]GHG_hist!BG143+IF($M153="incl",[12]LULUCF_hist!CX143,0)</f>
        <v>0</v>
      </c>
      <c r="U153" s="111">
        <f>[12]GHG_hist!BH143+IF($M153="incl",[12]LULUCF_hist!CY143,0)</f>
        <v>0</v>
      </c>
      <c r="V153" s="111">
        <f>[12]GHG_hist!BI143+IF($M153="incl",[12]LULUCF_hist!CZ143,0)</f>
        <v>0</v>
      </c>
      <c r="W153" s="111">
        <f>[12]GHG_hist!BJ143+IF($M153="incl",[12]LULUCF_hist!DA143,0)</f>
        <v>0</v>
      </c>
      <c r="X153" s="111">
        <f>[12]GHG_hist!BK143+IF($M153="incl",[12]LULUCF_hist!DB143,0)</f>
        <v>0</v>
      </c>
      <c r="Y153" s="111">
        <f>[12]GHG_hist!BL143+IF($M153="incl",[12]LULUCF_hist!DC143,0)</f>
        <v>0</v>
      </c>
      <c r="Z153" s="111">
        <f>[12]GHG_hist!BM143+IF($M153="incl",[12]LULUCF_hist!DD143,0)</f>
        <v>0</v>
      </c>
      <c r="AA153" s="111">
        <f>[12]GHG_hist!BN143+IF($M153="incl",[12]LULUCF_hist!DE143,0)</f>
        <v>0</v>
      </c>
      <c r="AB153" s="111">
        <f>[12]GHG_hist!BO143+IF($M153="incl",[12]LULUCF_hist!DF143,0)</f>
        <v>0</v>
      </c>
      <c r="AC153" s="111">
        <f>[12]GHG_hist!BP143+IF($M153="incl",[12]LULUCF_hist!DG143,0)</f>
        <v>0</v>
      </c>
      <c r="AD153" s="111">
        <f>[12]GHG_hist!BQ143+IF($M153="incl",[12]LULUCF_hist!DH143,0)</f>
        <v>0</v>
      </c>
      <c r="AE153" s="111">
        <f>[12]GHG_hist!BR143+IF($M153="incl",[12]LULUCF_hist!DI143,0)</f>
        <v>0</v>
      </c>
      <c r="AF153" s="111">
        <f>[12]GHG_hist!BS143+IF($M153="incl",[12]LULUCF_hist!DJ143,0)</f>
        <v>0</v>
      </c>
      <c r="AG153" s="111">
        <f>[12]GHG_hist!BT143+IF($M153="incl",[12]LULUCF_hist!DK143,0)</f>
        <v>0</v>
      </c>
      <c r="AH153" s="111">
        <f>[12]GHG_hist!BU143+IF($M153="incl",[12]LULUCF_hist!DL143,0)</f>
        <v>0</v>
      </c>
      <c r="AI153" s="111">
        <f>[12]GHG_hist!BV143+IF($M153="incl",[12]LULUCF_hist!DM143,0)</f>
        <v>0</v>
      </c>
      <c r="AJ153" s="111">
        <f>[12]GHG_hist!BW143+IF($M153="incl",[12]LULUCF_hist!DN143,0)</f>
        <v>0</v>
      </c>
      <c r="AK153" s="111">
        <f>[12]GHG_hist!BX143+IF($M153="incl",[12]LULUCF_hist!DO143,0)</f>
        <v>0</v>
      </c>
      <c r="AL153" s="111">
        <f>[12]GHG_hist!BY143+IF($M153="incl",[12]LULUCF_hist!DP143,0)</f>
        <v>0</v>
      </c>
      <c r="AM153" s="111">
        <f>[12]GHG_hist!BZ143+IF($M153="incl",[12]LULUCF_hist!DQ143,0)</f>
        <v>0</v>
      </c>
      <c r="AN153" s="111">
        <f>[12]GHG_hist!CA143+IF($M153="incl",[12]LULUCF_hist!DR143,0)</f>
        <v>0</v>
      </c>
      <c r="AO153" s="111">
        <f>[12]GHG_hist!CB143+IF($M153="incl",[12]LULUCF_hist!DS143,0)</f>
        <v>0</v>
      </c>
      <c r="AP153" s="111">
        <f>[12]GHG_hist!CC143+IF($M153="incl",[12]LULUCF_hist!DT143,0)</f>
        <v>0</v>
      </c>
      <c r="AQ153" s="111">
        <f>[12]GHG_hist!CD143+IF($M153="incl",[12]LULUCF_hist!DU143,0)</f>
        <v>0</v>
      </c>
      <c r="AR153" s="111">
        <f>[12]GHG_hist!CE143+IF($M153="incl",[12]LULUCF_hist!DV143,0)</f>
        <v>0</v>
      </c>
      <c r="AS153" s="111">
        <f>[12]GHG_hist!CF143+IF($M153="incl",[12]LULUCF_hist!DW143,0)</f>
        <v>0</v>
      </c>
      <c r="AT153" s="161">
        <f>VLOOKUP($L153,'[12]IMAGE SSP2'!$AF$3:$AK$29,4,FALSE)*$AM153</f>
        <v>0</v>
      </c>
      <c r="AU153" s="162">
        <f>VLOOKUP($L153,'[12]IMAGE SSP2'!$AF$3:$AK$29,5,FALSE)*$AM153</f>
        <v>0</v>
      </c>
      <c r="AV153" s="163">
        <f>VLOOKUP($L153,'[12]IMAGE SSP2'!$AF$3:$AK$29,6,FALSE)*$AM153</f>
        <v>0</v>
      </c>
      <c r="AW153" s="111" t="str">
        <f t="shared" si="119"/>
        <v/>
      </c>
      <c r="AX153" s="164" t="str">
        <f>IF(A153="B",IF(M153="excl",[12]NatCom!CO143,[12]NatCom!AX143),"")</f>
        <v/>
      </c>
      <c r="AY153" s="111" t="str">
        <f>IF('[12]Pledge 2020'!E143="","",'[12]Pledge 2020'!E143)</f>
        <v/>
      </c>
      <c r="AZ153" s="164" t="str">
        <f>IF('[12]Pledge 2020'!F143="","",'[12]Pledge 2020'!F143)</f>
        <v/>
      </c>
      <c r="BA153" s="111" t="str">
        <f t="shared" si="100"/>
        <v/>
      </c>
      <c r="BB153" s="111"/>
      <c r="BC153" s="111" t="str">
        <f t="shared" si="101"/>
        <v/>
      </c>
      <c r="BD153" s="111"/>
      <c r="BE153" s="111" t="s">
        <v>2477</v>
      </c>
      <c r="BF153" s="111"/>
      <c r="BG153" s="111" t="s">
        <v>2477</v>
      </c>
      <c r="BH153" s="164"/>
      <c r="BI153" s="111" t="str">
        <f>IF([12]NDCs!V155="",IF([12]NDCs!X155="","",[12]NDCs!X155),[12]NDCs!V155)</f>
        <v/>
      </c>
      <c r="BJ153" s="111" t="str">
        <f>IF([12]NDCs!V155="",IF([12]NDCs!X155="","",[12]NDCs!X155),[12]NDCs!V155)</f>
        <v/>
      </c>
      <c r="BK153" s="111" t="str">
        <f>IF([12]NDCs!Z155="",IF([12]NDCs!AB155="",IF('input site'!BE153="","",'input site'!BE153),[12]NDCs!AB155),[12]NDCs!Z155)</f>
        <v/>
      </c>
      <c r="BL153" s="111" t="str">
        <f>IF([12]NDCs!AA155="",IF([12]NDCs!AC155="",IF('input site'!BF153="","",'input site'!BF153),[12]NDCs!AC155),[12]NDCs!AA155)</f>
        <v/>
      </c>
      <c r="BM153" s="111">
        <f>IF($BI$8=2015,VLOOKUP($L153,'[12]IMAGE CurPol SSP'!$AZ$3:$BD$29,4,FALSE)*$AM153,IF($BI$8=2018,VLOOKUP($L153,'[12]IMAGE CurPol SSP'!$BJ$3:$BN$29,4,FALSE)*$AP153,$AR153))</f>
        <v>0</v>
      </c>
      <c r="BN153" s="111">
        <f t="shared" si="122"/>
        <v>0</v>
      </c>
      <c r="BO153" s="111">
        <f t="shared" si="122"/>
        <v>0</v>
      </c>
      <c r="BP153" s="111">
        <f>IF($BI$8=2015,VLOOKUP($L153,'[12]IMAGE CurPol SSP'!$AZ$3:$BD$29,5,FALSE)*$AM153,IF($BI$8=2018,VLOOKUP($L153,'[12]IMAGE CurPol SSP'!$BJ$3:$BN$29,5,FALSE)*$AP153,VLOOKUP($L153,'[12]IMAGE CurPol SSP'!$BU$3:$BZ$29,5,FALSE)*$AS153))</f>
        <v>0</v>
      </c>
      <c r="BQ153" s="111">
        <f>IF($BI$8=2015,"",IF($BI$8=2018,"",VLOOKUP($L153,'[12]IMAGE CurPol SSP'!$CQ$3:$CV$29,5,FALSE)*$AS153))</f>
        <v>0</v>
      </c>
      <c r="BR153" s="111">
        <f>IF($BI$8=2015,"",IF($BI$8=2018,"",VLOOKUP($L153,'[12]IMAGE CurPol SSP'!$CF$3:$CK$29,5,FALSE)*$AS153))</f>
        <v>0</v>
      </c>
      <c r="BS153" s="111">
        <f>IF($BI$8=2015,VLOOKUP($L153,'[12]IMAGE CurPol SSP'!$AZ$3:$BE$29,6,FALSE)*$AM153,IF($BI$8=2018,VLOOKUP($L153,'[12]IMAGE CurPol SSP'!$BJ$3:$BO$29,6,FALSE)*$AP153,VLOOKUP($L153,'[12]IMAGE CurPol SSP'!$BU$3:$BZ$29,6,FALSE)*$AS153))</f>
        <v>0</v>
      </c>
      <c r="BT153" s="111">
        <f>IF($BI$8=2015,"",IF($BI$8=2018,"",VLOOKUP($L153,'[12]IMAGE CurPol SSP'!$CQ$3:$CV$29,6,FALSE)*$AS153))</f>
        <v>0</v>
      </c>
      <c r="BU153" s="164">
        <f>IF($BI$8=2015,"",IF($BI$8=2018,"",VLOOKUP($L153,'[12]IMAGE CurPol SSP'!$CF$3:$CK$29,6,FALSE)*$AS153))</f>
        <v>0</v>
      </c>
      <c r="CN153" t="s">
        <v>335</v>
      </c>
      <c r="CO153" s="165" t="str">
        <f t="shared" si="114"/>
        <v/>
      </c>
      <c r="CP153" s="165" t="str">
        <f t="shared" si="114"/>
        <v/>
      </c>
      <c r="CQ153" s="165" t="str">
        <f t="shared" si="114"/>
        <v/>
      </c>
      <c r="CR153" s="165" t="str">
        <f t="shared" si="114"/>
        <v/>
      </c>
      <c r="CV153" s="125" t="s">
        <v>621</v>
      </c>
      <c r="CW153" s="125" t="s">
        <v>621</v>
      </c>
      <c r="CX153" s="208">
        <f>AP153/$AP$255</f>
        <v>0</v>
      </c>
      <c r="CY153" s="167">
        <f t="shared" si="115"/>
        <v>0</v>
      </c>
      <c r="DB153" s="106"/>
      <c r="DC153" s="106"/>
      <c r="DD153" s="106"/>
      <c r="DE153" s="106"/>
      <c r="DF153" s="106"/>
      <c r="DG153" s="105" t="str">
        <f t="shared" si="116"/>
        <v>excl</v>
      </c>
      <c r="DH153" t="s">
        <v>335</v>
      </c>
      <c r="DI153" s="111">
        <f t="shared" si="105"/>
        <v>0</v>
      </c>
      <c r="DJ153" s="111">
        <f t="shared" si="105"/>
        <v>0</v>
      </c>
      <c r="DK153" s="111">
        <f t="shared" si="106"/>
        <v>0</v>
      </c>
      <c r="DL153" s="111">
        <f t="shared" si="107"/>
        <v>0</v>
      </c>
      <c r="DM153" s="111">
        <f t="shared" si="108"/>
        <v>0</v>
      </c>
      <c r="DN153" s="111">
        <f t="shared" si="109"/>
        <v>0</v>
      </c>
      <c r="DO153" s="111">
        <f t="shared" si="110"/>
        <v>0</v>
      </c>
      <c r="DP153" s="111">
        <f t="shared" si="111"/>
        <v>0</v>
      </c>
      <c r="DQ153" s="106"/>
      <c r="DR153" s="106"/>
      <c r="DS153" s="111"/>
      <c r="DT153" s="168"/>
      <c r="DW153" s="111">
        <f t="shared" si="117"/>
        <v>0</v>
      </c>
      <c r="DX153" s="111">
        <f t="shared" si="117"/>
        <v>0</v>
      </c>
      <c r="DY153" s="111">
        <f t="shared" si="117"/>
        <v>0</v>
      </c>
      <c r="DZ153" s="111">
        <f t="shared" si="117"/>
        <v>0</v>
      </c>
      <c r="EP153" t="s">
        <v>335</v>
      </c>
      <c r="EQ153">
        <v>0</v>
      </c>
      <c r="ER153" s="111">
        <f t="shared" si="118"/>
        <v>0</v>
      </c>
      <c r="ES153" s="111">
        <f>IF($BI$8=2015,VLOOKUP($L153,'[12]IMAGE CDLINKS CurPol'!$P$3:$Y$29,10,FALSE)*$AM153,VLOOKUP($L153,'[12]IMAGE CDLINKS CurPol'!$Z$3:$AI$29,10,FALSE)*$AP153)</f>
        <v>0</v>
      </c>
      <c r="ET153" s="111">
        <f t="shared" si="86"/>
        <v>0</v>
      </c>
      <c r="EU153" s="111">
        <f t="shared" si="120"/>
        <v>0</v>
      </c>
      <c r="EV153" s="111">
        <f>IF($BI$8=2015,VLOOKUP($L153,'[12]IMAGE CDLINKS 2C'!$P$3:$Y$29,10,FALSE)*$AM153,VLOOKUP($L153,'[12]IMAGE CDLINKS 2C'!$Z$3:$AI$29,10,FALSE)*$AP153)</f>
        <v>0</v>
      </c>
      <c r="EY153" s="111">
        <f t="shared" si="121"/>
        <v>0</v>
      </c>
      <c r="EZ153" s="111">
        <f>IF($BI$8=2015,VLOOKUP($L153,'[12]IMAGE CDLINKS 1_5C'!$P$3:$Y$29,10,FALSE)*$AM153,VLOOKUP($L153,'[12]IMAGE CDLINKS 1_5C'!$Z$3:$AI$29,10,FALSE)*$AP153)</f>
        <v>0</v>
      </c>
      <c r="FA153" s="192"/>
    </row>
    <row r="154" spans="1:157" x14ac:dyDescent="0.25">
      <c r="A154" t="str">
        <f>IF([12]NDCs!C156="","",[12]NDCs!C156)</f>
        <v>A</v>
      </c>
      <c r="B154" s="159" t="str">
        <f t="shared" si="112"/>
        <v>v</v>
      </c>
      <c r="C154">
        <v>0</v>
      </c>
      <c r="D154">
        <v>0</v>
      </c>
      <c r="E154">
        <v>0</v>
      </c>
      <c r="F154">
        <v>1</v>
      </c>
      <c r="G154" t="b">
        <f t="shared" si="113"/>
        <v>1</v>
      </c>
      <c r="H154" t="s">
        <v>2339</v>
      </c>
      <c r="I154" t="s">
        <v>337</v>
      </c>
      <c r="J154">
        <v>554</v>
      </c>
      <c r="K154">
        <v>142</v>
      </c>
      <c r="L154">
        <v>24</v>
      </c>
      <c r="M154" t="str">
        <f>IF([12]NDCs!AL156="Excluding","excl","incl")</f>
        <v>excl</v>
      </c>
      <c r="N154" s="160">
        <f>[12]GHG_hist!BA144+IF($M154="incl",[12]LULUCF_hist!CR144,0)</f>
        <v>64.720071000000004</v>
      </c>
      <c r="O154" s="111">
        <f>[12]GHG_hist!BB144+IF($M154="incl",[12]LULUCF_hist!CS144,0)</f>
        <v>65.688432000000006</v>
      </c>
      <c r="P154" s="111">
        <f>[12]GHG_hist!BC144+IF($M154="incl",[12]LULUCF_hist!CT144,0)</f>
        <v>66.834982000000011</v>
      </c>
      <c r="Q154" s="111">
        <f>[12]GHG_hist!BD144+IF($M154="incl",[12]LULUCF_hist!CU144,0)</f>
        <v>66.693826000000001</v>
      </c>
      <c r="R154" s="111">
        <f>[12]GHG_hist!BE144+IF($M154="incl",[12]LULUCF_hist!CV144,0)</f>
        <v>67.859229000000013</v>
      </c>
      <c r="S154" s="111">
        <f>[12]GHG_hist!BF144+IF($M154="incl",[12]LULUCF_hist!CW144,0)</f>
        <v>68.394688000000002</v>
      </c>
      <c r="T154" s="111">
        <f>[12]GHG_hist!BG144+IF($M154="incl",[12]LULUCF_hist!CX144,0)</f>
        <v>70.551527000000007</v>
      </c>
      <c r="U154" s="111">
        <f>[12]GHG_hist!BH144+IF($M154="incl",[12]LULUCF_hist!CY144,0)</f>
        <v>73.38149700000001</v>
      </c>
      <c r="V154" s="111">
        <f>[12]GHG_hist!BI144+IF($M154="incl",[12]LULUCF_hist!CZ144,0)</f>
        <v>71.186847999999998</v>
      </c>
      <c r="W154" s="111">
        <f>[12]GHG_hist!BJ144+IF($M154="incl",[12]LULUCF_hist!DA144,0)</f>
        <v>72.975442999999999</v>
      </c>
      <c r="X154" s="111">
        <f>[12]GHG_hist!BK144+IF($M154="incl",[12]LULUCF_hist!DB144,0)</f>
        <v>74.850438999999994</v>
      </c>
      <c r="Y154" s="111">
        <f>[12]GHG_hist!BL144+IF($M154="incl",[12]LULUCF_hist!DC144,0)</f>
        <v>77.755750000000006</v>
      </c>
      <c r="Z154" s="111">
        <f>[12]GHG_hist!BM144+IF($M154="incl",[12]LULUCF_hist!DD144,0)</f>
        <v>77.682385999999994</v>
      </c>
      <c r="AA154" s="111">
        <f>[12]GHG_hist!BN144+IF($M154="incl",[12]LULUCF_hist!DE144,0)</f>
        <v>79.827325000000002</v>
      </c>
      <c r="AB154" s="111">
        <f>[12]GHG_hist!BO144+IF($M154="incl",[12]LULUCF_hist!DF144,0)</f>
        <v>79.669169999999994</v>
      </c>
      <c r="AC154" s="111">
        <f>[12]GHG_hist!BP144+IF($M154="incl",[12]LULUCF_hist!DG144,0)</f>
        <v>81.752099000000001</v>
      </c>
      <c r="AD154" s="111">
        <f>[12]GHG_hist!BQ144+IF($M154="incl",[12]LULUCF_hist!DH144,0)</f>
        <v>81.773281000000011</v>
      </c>
      <c r="AE154" s="111">
        <f>[12]GHG_hist!BR144+IF($M154="incl",[12]LULUCF_hist!DI144,0)</f>
        <v>79.673233999999994</v>
      </c>
      <c r="AF154" s="111">
        <f>[12]GHG_hist!BS144+IF($M154="incl",[12]LULUCF_hist!DJ144,0)</f>
        <v>79.350288000000006</v>
      </c>
      <c r="AG154" s="111">
        <f>[12]GHG_hist!BT144+IF($M154="incl",[12]LULUCF_hist!DK144,0)</f>
        <v>76.647177999999997</v>
      </c>
      <c r="AH154" s="111">
        <f>[12]GHG_hist!BU144+IF($M154="incl",[12]LULUCF_hist!DL144,0)</f>
        <v>77.327873000000011</v>
      </c>
      <c r="AI154" s="111">
        <f>[12]GHG_hist!BV144+IF($M154="incl",[12]LULUCF_hist!DM144,0)</f>
        <v>77.105980000000002</v>
      </c>
      <c r="AJ154" s="111">
        <f>[12]GHG_hist!BW144+IF($M154="incl",[12]LULUCF_hist!DN144,0)</f>
        <v>79.086731</v>
      </c>
      <c r="AK154" s="111">
        <f>[12]GHG_hist!BX144+IF($M154="incl",[12]LULUCF_hist!DO144,0)</f>
        <v>78.429810000000003</v>
      </c>
      <c r="AL154" s="111">
        <f>[12]GHG_hist!BY144+IF($M154="incl",[12]LULUCF_hist!DP144,0)</f>
        <v>79.212417000000002</v>
      </c>
      <c r="AM154" s="111">
        <f>[12]GHG_hist!BZ144+IF($M154="incl",[12]LULUCF_hist!DQ144,0)</f>
        <v>79.036767000000012</v>
      </c>
      <c r="AN154" s="111">
        <f>[12]GHG_hist!CA144+IF($M154="incl",[12]LULUCF_hist!DR144,0)</f>
        <v>76.929989000000006</v>
      </c>
      <c r="AO154" s="111">
        <f>[12]GHG_hist!CB144+IF($M154="incl",[12]LULUCF_hist!DS144,0)</f>
        <v>78.511166000000003</v>
      </c>
      <c r="AP154" s="111">
        <f>[12]GHG_hist!CC144+IF($M154="incl",[12]LULUCF_hist!DT144,0)</f>
        <v>78.776066999999998</v>
      </c>
      <c r="AQ154" s="111">
        <f>[12]GHG_hist!CD144+IF($M154="incl",[12]LULUCF_hist!DU144,0)</f>
        <v>79.989559999999997</v>
      </c>
      <c r="AR154" s="111">
        <f>[12]GHG_hist!CE144+IF($M154="incl",[12]LULUCF_hist!DV144,0)</f>
        <v>77.330427</v>
      </c>
      <c r="AS154" s="111">
        <f>[12]GHG_hist!CF144+IF($M154="incl",[12]LULUCF_hist!DW144,0)</f>
        <v>76.824354000000014</v>
      </c>
      <c r="AT154" s="161">
        <f>VLOOKUP($L154,'[12]IMAGE SSP2'!$AF$3:$AK$29,4,FALSE)*$AM154</f>
        <v>84.845113499031996</v>
      </c>
      <c r="AU154" s="162">
        <f>VLOOKUP($L154,'[12]IMAGE SSP2'!$AF$3:$AK$29,5,FALSE)*$AM154</f>
        <v>87.105632013492809</v>
      </c>
      <c r="AV154" s="163">
        <f>VLOOKUP($L154,'[12]IMAGE SSP2'!$AF$3:$AK$29,6,FALSE)*$AM154</f>
        <v>88.125741683104678</v>
      </c>
      <c r="AW154" s="111" t="str">
        <f t="shared" si="119"/>
        <v/>
      </c>
      <c r="AX154" s="164" t="str">
        <f>IF(A154="B",IF(M154="excl",[12]NatCom!CO144,[12]NatCom!AX144),"")</f>
        <v/>
      </c>
      <c r="AY154" s="111">
        <f>IF('[12]Pledge 2020'!E144="","",'[12]Pledge 2020'!E144)</f>
        <v>61.484067875517738</v>
      </c>
      <c r="AZ154" s="164">
        <f>IF('[12]Pledge 2020'!F144="","",'[12]Pledge 2020'!F144)</f>
        <v>51.77605715833073</v>
      </c>
      <c r="BA154" s="111">
        <f t="shared" si="100"/>
        <v>62.156968250000006</v>
      </c>
      <c r="BB154" s="111">
        <f>IF(BF154="","",(BF154-AH154)*0.75+AH154)</f>
        <v>62.156968250000006</v>
      </c>
      <c r="BC154" s="111">
        <f t="shared" si="101"/>
        <v>62.156968250000006</v>
      </c>
      <c r="BD154" s="111">
        <f>IF(BH154="","",(BH154-AH154)*0.75+AH154)</f>
        <v>62.156968250000006</v>
      </c>
      <c r="BE154" s="169">
        <v>57.1</v>
      </c>
      <c r="BF154" s="169">
        <v>57.1</v>
      </c>
      <c r="BG154" s="169">
        <v>57.1</v>
      </c>
      <c r="BH154" s="170">
        <v>57.1</v>
      </c>
      <c r="BI154" s="111">
        <f>IF([12]NDCs!V156="",IF([12]NDCs!X156="","",[12]NDCs!X156),[12]NDCs!V156)</f>
        <v>57.226523209118135</v>
      </c>
      <c r="BJ154" s="111">
        <f>IF([12]NDCs!V156="",IF([12]NDCs!X156="","",[12]NDCs!X156),[12]NDCs!V156)</f>
        <v>57.226523209118135</v>
      </c>
      <c r="BK154" s="111">
        <f>IF([12]NDCs!Z156="",IF([12]NDCs!AB156="",IF('input site'!BE154="","",'input site'!BE154),[12]NDCs!AB156),[12]NDCs!Z156)</f>
        <v>57.226523209118135</v>
      </c>
      <c r="BL154" s="111">
        <f>IF([12]NDCs!AA156="",IF([12]NDCs!AC156="",IF('input site'!BF154="","",'input site'!BF154),[12]NDCs!AC156),[12]NDCs!AA156)</f>
        <v>57.226523209118135</v>
      </c>
      <c r="BM154" s="205">
        <f>AR154</f>
        <v>77.330427</v>
      </c>
      <c r="BN154" s="111">
        <f t="shared" si="122"/>
        <v>77.330427</v>
      </c>
      <c r="BO154" s="111">
        <f t="shared" si="122"/>
        <v>77.330427</v>
      </c>
      <c r="BP154" s="205">
        <f>[12]NatCom!$CJ144</f>
        <v>75.2464377781004</v>
      </c>
      <c r="BQ154" s="111">
        <f>IF($BI$8=2015,"",IF($BI$8=2018,"",VLOOKUP($L154,'[12]IMAGE CurPol SSP'!$CQ$3:$CV$29,5,FALSE)*$AS154))</f>
        <v>76.176264250450657</v>
      </c>
      <c r="BR154" s="111">
        <f>IF($BI$8=2015,"",IF($BI$8=2018,"",VLOOKUP($L154,'[12]IMAGE CurPol SSP'!$CF$3:$CK$29,5,FALSE)*$AS154))</f>
        <v>78.242783619782642</v>
      </c>
      <c r="BS154" s="205">
        <f>[12]NatCom!$CO144</f>
        <v>74.386072750442693</v>
      </c>
      <c r="BT154" s="111">
        <f>IF($BI$8=2015,"",IF($BI$8=2018,"",VLOOKUP($L154,'[12]IMAGE CurPol SSP'!$CQ$3:$CV$29,6,FALSE)*$AS154))</f>
        <v>74.387216691029408</v>
      </c>
      <c r="BU154" s="164">
        <f>IF($BI$8=2015,"",IF($BI$8=2018,"",VLOOKUP($L154,'[12]IMAGE CurPol SSP'!$CF$3:$CK$29,6,FALSE)*$AS154))</f>
        <v>80.537169786536623</v>
      </c>
      <c r="CN154" t="s">
        <v>337</v>
      </c>
      <c r="CO154" s="165">
        <f t="shared" si="114"/>
        <v>-0.23238318829434124</v>
      </c>
      <c r="CP154" s="165">
        <f t="shared" si="114"/>
        <v>-0.23238318829434124</v>
      </c>
      <c r="CQ154" s="165">
        <f t="shared" si="114"/>
        <v>-0.23238318829434124</v>
      </c>
      <c r="CR154" s="165">
        <f t="shared" si="114"/>
        <v>-0.23238318829434124</v>
      </c>
      <c r="CV154" s="125" t="s">
        <v>621</v>
      </c>
      <c r="CW154" s="125" t="s">
        <v>621</v>
      </c>
      <c r="CX154"/>
      <c r="CY154" s="167">
        <f t="shared" si="115"/>
        <v>7.5146864990319955</v>
      </c>
      <c r="DB154" s="106"/>
      <c r="DC154" s="106"/>
      <c r="DD154" s="106"/>
      <c r="DE154" s="106"/>
      <c r="DF154" s="106"/>
      <c r="DG154" s="105" t="str">
        <f t="shared" si="116"/>
        <v>excl</v>
      </c>
      <c r="DH154" t="s">
        <v>337</v>
      </c>
      <c r="DI154" s="111">
        <f t="shared" si="105"/>
        <v>-15.846359124482262</v>
      </c>
      <c r="DJ154" s="111">
        <f t="shared" si="105"/>
        <v>-25.554369841669271</v>
      </c>
      <c r="DK154" s="111">
        <f t="shared" si="106"/>
        <v>-13.089469528100395</v>
      </c>
      <c r="DL154" s="111">
        <f t="shared" si="107"/>
        <v>-13.089469528100395</v>
      </c>
      <c r="DM154" s="111">
        <f t="shared" si="108"/>
        <v>-17.286072750442692</v>
      </c>
      <c r="DN154" s="111">
        <f t="shared" si="109"/>
        <v>-17.286072750442692</v>
      </c>
      <c r="DO154" s="111">
        <f t="shared" si="110"/>
        <v>-17.159549541324559</v>
      </c>
      <c r="DP154" s="111">
        <f t="shared" si="111"/>
        <v>-17.159549541324559</v>
      </c>
      <c r="DQ154" s="106"/>
      <c r="DR154" s="106"/>
      <c r="DS154" s="111"/>
      <c r="DT154" s="168"/>
      <c r="DW154" s="111">
        <f t="shared" si="117"/>
        <v>57.1</v>
      </c>
      <c r="DX154" s="111">
        <f t="shared" si="117"/>
        <v>57.1</v>
      </c>
      <c r="DY154" s="111">
        <f t="shared" si="117"/>
        <v>57.1</v>
      </c>
      <c r="DZ154" s="111">
        <f t="shared" si="117"/>
        <v>57.1</v>
      </c>
      <c r="EP154" t="s">
        <v>337</v>
      </c>
      <c r="EQ154">
        <v>2</v>
      </c>
      <c r="ER154" s="111">
        <f t="shared" si="118"/>
        <v>78.776066999999998</v>
      </c>
      <c r="ES154" s="111">
        <f>IF($BI$8=2015,VLOOKUP($L154,'[12]IMAGE CDLINKS CurPol'!$P$3:$Y$29,10,FALSE)*$AM154,VLOOKUP($L154,'[12]IMAGE CDLINKS CurPol'!$Z$3:$AI$29,10,FALSE)*$AP154)</f>
        <v>81.218624799039304</v>
      </c>
      <c r="ET154" s="111">
        <f t="shared" si="86"/>
        <v>0</v>
      </c>
      <c r="EU154" s="111">
        <f t="shared" si="120"/>
        <v>0</v>
      </c>
      <c r="EV154" s="111">
        <f>IF($BI$8=2015,VLOOKUP($L154,'[12]IMAGE CDLINKS 2C'!$P$3:$Y$29,10,FALSE)*$AM154,VLOOKUP($L154,'[12]IMAGE CDLINKS 2C'!$Z$3:$AI$29,10,FALSE)*$AP154)</f>
        <v>31.215334951664836</v>
      </c>
      <c r="EW154">
        <v>0</v>
      </c>
      <c r="EX154" s="111">
        <f>EW154-EV154</f>
        <v>-31.215334951664836</v>
      </c>
      <c r="EY154" s="111">
        <f t="shared" si="121"/>
        <v>0</v>
      </c>
      <c r="EZ154" s="111">
        <f>IF($BI$8=2015,VLOOKUP($L154,'[12]IMAGE CDLINKS 1_5C'!$P$3:$Y$29,10,FALSE)*$AM154,VLOOKUP($L154,'[12]IMAGE CDLINKS 1_5C'!$Z$3:$AI$29,10,FALSE)*$AP154)</f>
        <v>13.502620176925058</v>
      </c>
      <c r="FA154" s="192">
        <v>2050</v>
      </c>
    </row>
    <row r="155" spans="1:157" x14ac:dyDescent="0.25">
      <c r="A155" t="str">
        <f>IF([12]NDCs!C157="","",[12]NDCs!C157)</f>
        <v/>
      </c>
      <c r="B155" s="159" t="str">
        <f t="shared" si="112"/>
        <v>v</v>
      </c>
      <c r="C155">
        <v>0</v>
      </c>
      <c r="D155">
        <v>0</v>
      </c>
      <c r="E155">
        <v>0</v>
      </c>
      <c r="F155">
        <v>1</v>
      </c>
      <c r="G155" t="b">
        <f t="shared" si="113"/>
        <v>0</v>
      </c>
      <c r="H155" t="s">
        <v>2328</v>
      </c>
      <c r="I155" t="s">
        <v>339</v>
      </c>
      <c r="J155">
        <v>558</v>
      </c>
      <c r="K155">
        <v>143</v>
      </c>
      <c r="L155">
        <v>4</v>
      </c>
      <c r="M155" t="str">
        <f>IF([12]NDCs!AL157="Excluding","excl","incl")</f>
        <v>excl</v>
      </c>
      <c r="N155" s="160">
        <f>[12]GHG_hist!BA145+IF($M155="incl",[12]LULUCF_hist!CR145,0)</f>
        <v>8.1810962000000007</v>
      </c>
      <c r="O155" s="111">
        <f>[12]GHG_hist!BB145+IF($M155="incl",[12]LULUCF_hist!CS145,0)</f>
        <v>7.1672960999999997</v>
      </c>
      <c r="P155" s="111">
        <f>[12]GHG_hist!BC145+IF($M155="incl",[12]LULUCF_hist!CT145,0)</f>
        <v>8.0003536000000004</v>
      </c>
      <c r="Q155" s="111">
        <f>[12]GHG_hist!BD145+IF($M155="incl",[12]LULUCF_hist!CU145,0)</f>
        <v>8.3972180999999999</v>
      </c>
      <c r="R155" s="111">
        <f>[12]GHG_hist!BE145+IF($M155="incl",[12]LULUCF_hist!CV145,0)</f>
        <v>8.573903399999999</v>
      </c>
      <c r="S155" s="111">
        <f>[12]GHG_hist!BF145+IF($M155="incl",[12]LULUCF_hist!CW145,0)</f>
        <v>8.3950635000000009</v>
      </c>
      <c r="T155" s="111">
        <f>[12]GHG_hist!BG145+IF($M155="incl",[12]LULUCF_hist!CX145,0)</f>
        <v>8.1868695000000002</v>
      </c>
      <c r="U155" s="111">
        <f>[12]GHG_hist!BH145+IF($M155="incl",[12]LULUCF_hist!CY145,0)</f>
        <v>8.8331865000000001</v>
      </c>
      <c r="V155" s="111">
        <f>[12]GHG_hist!BI145+IF($M155="incl",[12]LULUCF_hist!CZ145,0)</f>
        <v>9.1244297000000003</v>
      </c>
      <c r="W155" s="111">
        <f>[12]GHG_hist!BJ145+IF($M155="incl",[12]LULUCF_hist!DA145,0)</f>
        <v>9.9410848999999999</v>
      </c>
      <c r="X155" s="111">
        <f>[12]GHG_hist!BK145+IF($M155="incl",[12]LULUCF_hist!DB145,0)</f>
        <v>10.404403</v>
      </c>
      <c r="Y155" s="111">
        <f>[12]GHG_hist!BL145+IF($M155="incl",[12]LULUCF_hist!DC145,0)</f>
        <v>10.539059</v>
      </c>
      <c r="Z155" s="111">
        <f>[12]GHG_hist!BM145+IF($M155="incl",[12]LULUCF_hist!DD145,0)</f>
        <v>10.650266999999999</v>
      </c>
      <c r="AA155" s="111">
        <f>[12]GHG_hist!BN145+IF($M155="incl",[12]LULUCF_hist!DE145,0)</f>
        <v>11.092229999999999</v>
      </c>
      <c r="AB155" s="111">
        <f>[12]GHG_hist!BO145+IF($M155="incl",[12]LULUCF_hist!DF145,0)</f>
        <v>10.925553000000001</v>
      </c>
      <c r="AC155" s="111">
        <f>[12]GHG_hist!BP145+IF($M155="incl",[12]LULUCF_hist!DG145,0)</f>
        <v>10.911833000000001</v>
      </c>
      <c r="AD155" s="111">
        <f>[12]GHG_hist!BQ145+IF($M155="incl",[12]LULUCF_hist!DH145,0)</f>
        <v>11.534105</v>
      </c>
      <c r="AE155" s="111">
        <f>[12]GHG_hist!BR145+IF($M155="incl",[12]LULUCF_hist!DI145,0)</f>
        <v>12.289586</v>
      </c>
      <c r="AF155" s="111">
        <f>[12]GHG_hist!BS145+IF($M155="incl",[12]LULUCF_hist!DJ145,0)</f>
        <v>12.835933000000001</v>
      </c>
      <c r="AG155" s="111">
        <f>[12]GHG_hist!BT145+IF($M155="incl",[12]LULUCF_hist!DK145,0)</f>
        <v>13.537414000000002</v>
      </c>
      <c r="AH155" s="111">
        <f>[12]GHG_hist!BU145+IF($M155="incl",[12]LULUCF_hist!DL145,0)</f>
        <v>14.441692999999999</v>
      </c>
      <c r="AI155" s="111">
        <f>[12]GHG_hist!BV145+IF($M155="incl",[12]LULUCF_hist!DM145,0)</f>
        <v>15.553274</v>
      </c>
      <c r="AJ155" s="111">
        <f>[12]GHG_hist!BW145+IF($M155="incl",[12]LULUCF_hist!DN145,0)</f>
        <v>15.746624000000001</v>
      </c>
      <c r="AK155" s="111">
        <f>[12]GHG_hist!BX145+IF($M155="incl",[12]LULUCF_hist!DO145,0)</f>
        <v>15.987136000000001</v>
      </c>
      <c r="AL155" s="111">
        <f>[12]GHG_hist!BY145+IF($M155="incl",[12]LULUCF_hist!DP145,0)</f>
        <v>16.827004000000002</v>
      </c>
      <c r="AM155" s="111">
        <f>[12]GHG_hist!BZ145+IF($M155="incl",[12]LULUCF_hist!DQ145,0)</f>
        <v>17.805507000000002</v>
      </c>
      <c r="AN155" s="111">
        <f>[12]GHG_hist!CA145+IF($M155="incl",[12]LULUCF_hist!DR145,0)</f>
        <v>18.222521</v>
      </c>
      <c r="AO155" s="111">
        <f>[12]GHG_hist!CB145+IF($M155="incl",[12]LULUCF_hist!DS145,0)</f>
        <v>17.869108000000001</v>
      </c>
      <c r="AP155" s="111">
        <f>[12]GHG_hist!CC145+IF($M155="incl",[12]LULUCF_hist!DT145,0)</f>
        <v>18.326082</v>
      </c>
      <c r="AQ155" s="111">
        <f>[12]GHG_hist!CD145+IF($M155="incl",[12]LULUCF_hist!DU145,0)</f>
        <v>19.058941000000001</v>
      </c>
      <c r="AR155" s="111">
        <f>[12]GHG_hist!CE145+IF($M155="incl",[12]LULUCF_hist!DV145,0)</f>
        <v>18.602471000000001</v>
      </c>
      <c r="AS155" s="111">
        <f>[12]GHG_hist!CF145+IF($M155="incl",[12]LULUCF_hist!DW145,0)</f>
        <v>19.497084999999998</v>
      </c>
      <c r="AT155" s="161">
        <f>VLOOKUP($L155,'[12]IMAGE SSP2'!$AF$3:$AK$29,4,FALSE)*$AM155</f>
        <v>20.245055333591687</v>
      </c>
      <c r="AU155" s="162">
        <f>VLOOKUP($L155,'[12]IMAGE SSP2'!$AF$3:$AK$29,5,FALSE)*$AM155</f>
        <v>22.649328105870143</v>
      </c>
      <c r="AV155" s="163">
        <f>VLOOKUP($L155,'[12]IMAGE SSP2'!$AF$3:$AK$29,6,FALSE)*$AM155</f>
        <v>23.909000413677983</v>
      </c>
      <c r="AW155" s="111" t="str">
        <f t="shared" si="119"/>
        <v/>
      </c>
      <c r="AX155" s="164" t="str">
        <f>IF(A155="B",IF(M155="excl",[12]NatCom!CO145,[12]NatCom!AX145),"")</f>
        <v/>
      </c>
      <c r="AY155" s="111" t="str">
        <f>IF('[12]Pledge 2020'!E145="","",'[12]Pledge 2020'!E145)</f>
        <v/>
      </c>
      <c r="AZ155" s="164" t="str">
        <f>IF('[12]Pledge 2020'!F145="","",'[12]Pledge 2020'!F145)</f>
        <v/>
      </c>
      <c r="BA155" s="111" t="str">
        <f t="shared" si="100"/>
        <v/>
      </c>
      <c r="BB155" s="111"/>
      <c r="BC155" s="111" t="str">
        <f t="shared" si="101"/>
        <v/>
      </c>
      <c r="BD155" s="111"/>
      <c r="BE155" s="111" t="s">
        <v>2477</v>
      </c>
      <c r="BF155" s="111"/>
      <c r="BG155" s="111" t="s">
        <v>2477</v>
      </c>
      <c r="BH155" s="164"/>
      <c r="BI155" s="111" t="str">
        <f>IF([12]NDCs!V157="",IF([12]NDCs!X157="","",[12]NDCs!X157),[12]NDCs!V157)</f>
        <v/>
      </c>
      <c r="BJ155" s="111" t="str">
        <f>IF([12]NDCs!V157="",IF([12]NDCs!X157="","",[12]NDCs!X157),[12]NDCs!V157)</f>
        <v/>
      </c>
      <c r="BK155" s="111" t="str">
        <f>IF([12]NDCs!Z157="",IF([12]NDCs!AB157="",IF('input site'!BE155="","",'input site'!BE155),[12]NDCs!AB157),[12]NDCs!Z157)</f>
        <v/>
      </c>
      <c r="BL155" s="111" t="str">
        <f>IF([12]NDCs!AA157="",IF([12]NDCs!AC157="",IF('input site'!BF155="","",'input site'!BF155),[12]NDCs!AC157),[12]NDCs!AA157)</f>
        <v/>
      </c>
      <c r="BM155" s="111">
        <f>IF($BI$8=2015,VLOOKUP($L155,'[12]IMAGE CurPol SSP'!$AZ$3:$BD$29,4,FALSE)*$AM155,IF($BI$8=2018,VLOOKUP($L155,'[12]IMAGE CurPol SSP'!$BJ$3:$BN$29,4,FALSE)*$AP155,$AR155))</f>
        <v>18.602471000000001</v>
      </c>
      <c r="BN155" s="111">
        <f t="shared" si="122"/>
        <v>18.602471000000001</v>
      </c>
      <c r="BO155" s="111">
        <f t="shared" si="122"/>
        <v>18.602471000000001</v>
      </c>
      <c r="BP155" s="111">
        <f>IF($BI$8=2015,VLOOKUP($L155,'[12]IMAGE CurPol SSP'!$AZ$3:$BD$29,5,FALSE)*$AM155,IF($BI$8=2018,VLOOKUP($L155,'[12]IMAGE CurPol SSP'!$BJ$3:$BN$29,5,FALSE)*$AP155,VLOOKUP($L155,'[12]IMAGE CurPol SSP'!$BU$3:$BZ$29,5,FALSE)*$AS155))</f>
        <v>21.364999791965857</v>
      </c>
      <c r="BQ155" s="111">
        <f>IF($BI$8=2015,"",IF($BI$8=2018,"",VLOOKUP($L155,'[12]IMAGE CurPol SSP'!$CQ$3:$CV$29,5,FALSE)*$AS155))</f>
        <v>21.00143206753549</v>
      </c>
      <c r="BR155" s="111">
        <f>IF($BI$8=2015,"",IF($BI$8=2018,"",VLOOKUP($L155,'[12]IMAGE CurPol SSP'!$CF$3:$CK$29,5,FALSE)*$AS155))</f>
        <v>22.205361610030376</v>
      </c>
      <c r="BS155" s="111">
        <f>IF($BI$8=2015,VLOOKUP($L155,'[12]IMAGE CurPol SSP'!$AZ$3:$BE$29,6,FALSE)*$AM155,IF($BI$8=2018,VLOOKUP($L155,'[12]IMAGE CurPol SSP'!$BJ$3:$BO$29,6,FALSE)*$AP155,VLOOKUP($L155,'[12]IMAGE CurPol SSP'!$BU$3:$BZ$29,6,FALSE)*$AS155))</f>
        <v>24.041254786230631</v>
      </c>
      <c r="BT155" s="111">
        <f>IF($BI$8=2015,"",IF($BI$8=2018,"",VLOOKUP($L155,'[12]IMAGE CurPol SSP'!$CQ$3:$CV$29,6,FALSE)*$AS155))</f>
        <v>23.488776179226129</v>
      </c>
      <c r="BU155" s="164">
        <f>IF($BI$8=2015,"",IF($BI$8=2018,"",VLOOKUP($L155,'[12]IMAGE CurPol SSP'!$CF$3:$CK$29,6,FALSE)*$AS155))</f>
        <v>25.722084825449937</v>
      </c>
      <c r="CN155" t="s">
        <v>339</v>
      </c>
      <c r="CO155" s="165" t="str">
        <f t="shared" si="114"/>
        <v/>
      </c>
      <c r="CP155" s="165" t="str">
        <f t="shared" si="114"/>
        <v/>
      </c>
      <c r="CQ155" s="165" t="str">
        <f t="shared" si="114"/>
        <v/>
      </c>
      <c r="CR155" s="165" t="str">
        <f t="shared" si="114"/>
        <v/>
      </c>
      <c r="CV155" s="125" t="s">
        <v>621</v>
      </c>
      <c r="CW155" s="125" t="s">
        <v>621</v>
      </c>
      <c r="CX155" s="208">
        <f>AP155/$AP$255</f>
        <v>4.0107500876252031E-4</v>
      </c>
      <c r="CY155" s="167">
        <f t="shared" si="115"/>
        <v>1.6425843335916852</v>
      </c>
      <c r="DB155" s="106"/>
      <c r="DC155" s="106"/>
      <c r="DD155" s="106"/>
      <c r="DE155" s="106"/>
      <c r="DF155" s="106"/>
      <c r="DG155" s="105" t="str">
        <f t="shared" si="116"/>
        <v>excl</v>
      </c>
      <c r="DH155" t="s">
        <v>339</v>
      </c>
      <c r="DI155" s="111">
        <f t="shared" si="105"/>
        <v>0</v>
      </c>
      <c r="DJ155" s="111">
        <f t="shared" si="105"/>
        <v>0</v>
      </c>
      <c r="DK155" s="111">
        <f t="shared" si="106"/>
        <v>0</v>
      </c>
      <c r="DL155" s="111">
        <f t="shared" si="107"/>
        <v>0</v>
      </c>
      <c r="DM155" s="111">
        <f t="shared" si="108"/>
        <v>0</v>
      </c>
      <c r="DN155" s="111">
        <f t="shared" si="109"/>
        <v>0</v>
      </c>
      <c r="DO155" s="111">
        <f t="shared" si="110"/>
        <v>0</v>
      </c>
      <c r="DP155" s="111">
        <f t="shared" si="111"/>
        <v>0</v>
      </c>
      <c r="DQ155" s="106"/>
      <c r="DR155" s="106"/>
      <c r="DS155" s="111"/>
      <c r="DT155" s="168"/>
      <c r="DW155" s="111">
        <f t="shared" si="117"/>
        <v>24.041254786230631</v>
      </c>
      <c r="DX155" s="111">
        <f t="shared" si="117"/>
        <v>24.041254786230631</v>
      </c>
      <c r="DY155" s="111">
        <f t="shared" si="117"/>
        <v>24.041254786230631</v>
      </c>
      <c r="DZ155" s="111">
        <f t="shared" si="117"/>
        <v>24.041254786230631</v>
      </c>
      <c r="EP155" t="s">
        <v>339</v>
      </c>
      <c r="EQ155">
        <v>1</v>
      </c>
      <c r="ER155" s="111">
        <f t="shared" si="118"/>
        <v>18.326082</v>
      </c>
      <c r="ES155" s="111">
        <f>IF($BI$8=2015,VLOOKUP($L155,'[12]IMAGE CDLINKS CurPol'!$P$3:$Y$29,10,FALSE)*$AM155,VLOOKUP($L155,'[12]IMAGE CDLINKS CurPol'!$Z$3:$AI$29,10,FALSE)*$AP155)</f>
        <v>34.709195996100405</v>
      </c>
      <c r="ET155" s="111">
        <f t="shared" si="86"/>
        <v>0</v>
      </c>
      <c r="EU155" s="111">
        <f t="shared" si="120"/>
        <v>9.6300764015499585</v>
      </c>
      <c r="EV155" s="111">
        <f>IF($BI$8=2015,VLOOKUP($L155,'[12]IMAGE CDLINKS 2C'!$P$3:$Y$29,10,FALSE)*$AM155,VLOOKUP($L155,'[12]IMAGE CDLINKS 2C'!$Z$3:$AI$29,10,FALSE)*$AP155)</f>
        <v>9.6300764015499585</v>
      </c>
      <c r="EW155">
        <v>0</v>
      </c>
      <c r="EX155" s="111">
        <f>EW155-EV155</f>
        <v>-9.6300764015499585</v>
      </c>
      <c r="EY155" s="111">
        <f t="shared" si="121"/>
        <v>0</v>
      </c>
      <c r="EZ155" s="111">
        <f>IF($BI$8=2015,VLOOKUP($L155,'[12]IMAGE CDLINKS 1_5C'!$P$3:$Y$29,10,FALSE)*$AM155,VLOOKUP($L155,'[12]IMAGE CDLINKS 1_5C'!$Z$3:$AI$29,10,FALSE)*$AP155)</f>
        <v>1.9585688195782622</v>
      </c>
      <c r="FA155" s="192">
        <v>2050</v>
      </c>
    </row>
    <row r="156" spans="1:157" x14ac:dyDescent="0.25">
      <c r="A156" t="str">
        <f>IF([12]NDCs!C158="","",[12]NDCs!C158)</f>
        <v>B</v>
      </c>
      <c r="B156" s="159" t="str">
        <f t="shared" si="112"/>
        <v>v</v>
      </c>
      <c r="C156">
        <v>0</v>
      </c>
      <c r="D156">
        <v>0</v>
      </c>
      <c r="E156">
        <v>0</v>
      </c>
      <c r="F156">
        <v>1</v>
      </c>
      <c r="G156" t="b">
        <f t="shared" si="113"/>
        <v>1</v>
      </c>
      <c r="H156" t="s">
        <v>2328</v>
      </c>
      <c r="I156" t="s">
        <v>341</v>
      </c>
      <c r="J156">
        <v>562</v>
      </c>
      <c r="K156">
        <v>144</v>
      </c>
      <c r="L156">
        <v>8</v>
      </c>
      <c r="M156" t="str">
        <f>IF([12]NDCs!AL158="Excluding","excl","incl")</f>
        <v>incl</v>
      </c>
      <c r="N156" s="160">
        <f>[12]GHG_hist!BA146+IF($M156="incl",[12]LULUCF_hist!CR146,0)</f>
        <v>-14.222957500000003</v>
      </c>
      <c r="O156" s="111">
        <f>[12]GHG_hist!BB146+IF($M156="incl",[12]LULUCF_hist!CS146,0)</f>
        <v>-13.099734066666629</v>
      </c>
      <c r="P156" s="111">
        <f>[12]GHG_hist!BC146+IF($M156="incl",[12]LULUCF_hist!CT146,0)</f>
        <v>-12.004283633333257</v>
      </c>
      <c r="Q156" s="111">
        <f>[12]GHG_hist!BD146+IF($M156="incl",[12]LULUCF_hist!CU146,0)</f>
        <v>-10.634568400000001</v>
      </c>
      <c r="R156" s="111">
        <f>[12]GHG_hist!BE146+IF($M156="incl",[12]LULUCF_hist!CV146,0)</f>
        <v>-9.5127795666666284</v>
      </c>
      <c r="S156" s="111">
        <f>[12]GHG_hist!BF146+IF($M156="incl",[12]LULUCF_hist!CW146,0)</f>
        <v>-8.3526003333332568</v>
      </c>
      <c r="T156" s="111">
        <f>[12]GHG_hist!BG146+IF($M156="incl",[12]LULUCF_hist!CX146,0)</f>
        <v>-6.9421320000000009</v>
      </c>
      <c r="U156" s="111">
        <f>[12]GHG_hist!BH146+IF($M156="incl",[12]LULUCF_hist!CY146,0)</f>
        <v>-5.5069566666666301</v>
      </c>
      <c r="V156" s="111">
        <f>[12]GHG_hist!BI146+IF($M156="incl",[12]LULUCF_hist!CZ146,0)</f>
        <v>-4.0234643333332549</v>
      </c>
      <c r="W156" s="111">
        <f>[12]GHG_hist!BJ146+IF($M156="incl",[12]LULUCF_hist!DA146,0)</f>
        <v>-2.7362850000000005</v>
      </c>
      <c r="X156" s="111">
        <f>[12]GHG_hist!BK146+IF($M156="incl",[12]LULUCF_hist!DB146,0)</f>
        <v>-2.0892876666666265</v>
      </c>
      <c r="Y156" s="111">
        <f>[12]GHG_hist!BL146+IF($M156="incl",[12]LULUCF_hist!DC146,0)</f>
        <v>-1.6104033333332559</v>
      </c>
      <c r="Z156" s="111">
        <f>[12]GHG_hist!BM146+IF($M156="incl",[12]LULUCF_hist!DD146,0)</f>
        <v>-0.99913700000000105</v>
      </c>
      <c r="AA156" s="111">
        <f>[12]GHG_hist!BN146+IF($M156="incl",[12]LULUCF_hist!DE146,0)</f>
        <v>-0.24394066666662795</v>
      </c>
      <c r="AB156" s="111">
        <f>[12]GHG_hist!BO146+IF($M156="incl",[12]LULUCF_hist!DF146,0)</f>
        <v>0.47719966666674551</v>
      </c>
      <c r="AC156" s="111">
        <f>[12]GHG_hist!BP146+IF($M156="incl",[12]LULUCF_hist!DG146,0)</f>
        <v>0.88251800000000102</v>
      </c>
      <c r="AD156" s="111">
        <f>[12]GHG_hist!BQ146+IF($M156="incl",[12]LULUCF_hist!DH146,0)</f>
        <v>1.4202703333333737</v>
      </c>
      <c r="AE156" s="111">
        <f>[12]GHG_hist!BR146+IF($M156="incl",[12]LULUCF_hist!DI146,0)</f>
        <v>2.248767666666744</v>
      </c>
      <c r="AF156" s="111">
        <f>[12]GHG_hist!BS146+IF($M156="incl",[12]LULUCF_hist!DJ146,0)</f>
        <v>3.200295999999998</v>
      </c>
      <c r="AG156" s="111">
        <f>[12]GHG_hist!BT146+IF($M156="incl",[12]LULUCF_hist!DK146,0)</f>
        <v>4.6404013636363537</v>
      </c>
      <c r="AH156" s="111">
        <f>[12]GHG_hist!BU146+IF($M156="incl",[12]LULUCF_hist!DL146,0)</f>
        <v>5.1886817272728223</v>
      </c>
      <c r="AI156" s="111">
        <f>[12]GHG_hist!BV146+IF($M156="incl",[12]LULUCF_hist!DM146,0)</f>
        <v>6.3940530909091748</v>
      </c>
      <c r="AJ156" s="111">
        <f>[12]GHG_hist!BW146+IF($M156="incl",[12]LULUCF_hist!DN146,0)</f>
        <v>8.7842294545455282</v>
      </c>
      <c r="AK156" s="111">
        <f>[12]GHG_hist!BX146+IF($M156="incl",[12]LULUCF_hist!DO146,0)</f>
        <v>10.764661818181883</v>
      </c>
      <c r="AL156" s="111">
        <f>[12]GHG_hist!BY146+IF($M156="incl",[12]LULUCF_hist!DP146,0)</f>
        <v>12.479397181818237</v>
      </c>
      <c r="AM156" s="111">
        <f>[12]GHG_hist!BZ146+IF($M156="incl",[12]LULUCF_hist!DQ146,0)</f>
        <v>13.441890545454589</v>
      </c>
      <c r="AN156" s="111">
        <f>[12]GHG_hist!CA146+IF($M156="incl",[12]LULUCF_hist!DR146,0)</f>
        <v>14.949838909090941</v>
      </c>
      <c r="AO156" s="111">
        <f>[12]GHG_hist!CB146+IF($M156="incl",[12]LULUCF_hist!DS146,0)</f>
        <v>16.208032272727294</v>
      </c>
      <c r="AP156" s="111">
        <f>[12]GHG_hist!CC146+IF($M156="incl",[12]LULUCF_hist!DT146,0)</f>
        <v>18.39215163636365</v>
      </c>
      <c r="AQ156" s="111">
        <f>[12]GHG_hist!CD146+IF($M156="incl",[12]LULUCF_hist!DU146,0)</f>
        <v>20.060590000000001</v>
      </c>
      <c r="AR156" s="111">
        <f>[12]GHG_hist!CE146+IF($M156="incl",[12]LULUCF_hist!DV146,0)</f>
        <v>21.321843172413885</v>
      </c>
      <c r="AS156" s="111">
        <f>[12]GHG_hist!CF146+IF($M156="incl",[12]LULUCF_hist!DW146,0)</f>
        <v>23.176460667408328</v>
      </c>
      <c r="AT156" s="161">
        <f>VLOOKUP($L156,'[12]IMAGE SSP2'!$AF$3:$AK$29,4,FALSE)*$AM156</f>
        <v>17.733707919577597</v>
      </c>
      <c r="AU156" s="162">
        <f>VLOOKUP($L156,'[12]IMAGE SSP2'!$AF$3:$AK$29,5,FALSE)*$AM156</f>
        <v>20.574756230095925</v>
      </c>
      <c r="AV156" s="163">
        <f>VLOOKUP($L156,'[12]IMAGE SSP2'!$AF$3:$AK$29,6,FALSE)*$AM156</f>
        <v>24.664434237013459</v>
      </c>
      <c r="AW156" s="111">
        <f>IF(A156="B",AM156+(AX156-AM156)*0.33333,"")</f>
        <v>41.116983609938217</v>
      </c>
      <c r="AX156" s="164">
        <f>IF(A156="B",IF(M156="excl",[12]NatCom!CO146,[12]NatCom!AX146),"")</f>
        <v>96.468000000000004</v>
      </c>
      <c r="AY156" s="111" t="str">
        <f>IF('[12]Pledge 2020'!E146="","",'[12]Pledge 2020'!E146)</f>
        <v/>
      </c>
      <c r="AZ156" s="164" t="str">
        <f>IF('[12]Pledge 2020'!F146="","",'[12]Pledge 2020'!F146)</f>
        <v/>
      </c>
      <c r="BA156" s="111">
        <f t="shared" si="100"/>
        <v>63.046335932374461</v>
      </c>
      <c r="BB156" s="111">
        <f>IF(BF156="","",(BF156-AH156)*0.75+AH156)</f>
        <v>63.046335932374461</v>
      </c>
      <c r="BC156" s="111">
        <f t="shared" si="101"/>
        <v>40.545174932374458</v>
      </c>
      <c r="BD156" s="111">
        <f>IF(BH156="","",(BH156-AH156)*0.75+AH156)</f>
        <v>40.545174932374458</v>
      </c>
      <c r="BE156" s="111">
        <v>82.332220667408336</v>
      </c>
      <c r="BF156" s="111">
        <v>82.332220667408336</v>
      </c>
      <c r="BG156" s="111">
        <v>52.330672667408336</v>
      </c>
      <c r="BH156" s="164">
        <v>52.330672667408336</v>
      </c>
      <c r="BI156" s="111">
        <f>IF([12]NDCs!V158="",IF([12]NDCs!X158="","",[12]NDCs!X158),[12]NDCs!V158)</f>
        <v>82.332220667408336</v>
      </c>
      <c r="BJ156" s="111">
        <f>IF([12]NDCs!V158="",IF([12]NDCs!X158="","",[12]NDCs!X158),[12]NDCs!V158)</f>
        <v>82.332220667408336</v>
      </c>
      <c r="BK156" s="111">
        <f>IF([12]NDCs!Z158="",IF([12]NDCs!AB158="",IF('input site'!BE156="","",'input site'!BE156),[12]NDCs!AB158),[12]NDCs!Z158)</f>
        <v>52.330672667408336</v>
      </c>
      <c r="BL156" s="111">
        <f>IF([12]NDCs!AA158="",IF([12]NDCs!AC158="",IF('input site'!BF156="","",'input site'!BF156),[12]NDCs!AC158),[12]NDCs!AA158)</f>
        <v>52.330672667408336</v>
      </c>
      <c r="BM156" s="174">
        <f>IF($BI$8=2015,VLOOKUP($L156,'[12]IMAGE CurPol SSP'!$AZ$3:$BD$29,4,FALSE)*($AM156-'[12]IIASA Proj'!$EQ146)+('[12]IIASA Proj'!$EQ146+'[12]IIASA Proj'!$ER146),AR156)</f>
        <v>21.321843172413885</v>
      </c>
      <c r="BN156" s="175">
        <f t="shared" si="122"/>
        <v>21.321843172413885</v>
      </c>
      <c r="BO156" s="175">
        <f t="shared" si="122"/>
        <v>21.321843172413885</v>
      </c>
      <c r="BP156" s="174">
        <f>IF($BI$8=2015,VLOOKUP($L156,'[12]IMAGE CurPol SSP'!$AZ$3:$BD$29,5,FALSE)*($AM156-'[12]IIASA Proj'!$EQ146)+('[12]IIASA Proj'!$EQ146+'[12]IIASA Proj'!$ES146),VLOOKUP($L156,'[12]IMAGE CurPol SSP'!$BU$3:$BZ$29,5,FALSE)*($AS156-'[12]IIASA Proj'!$DV146)+('[12]IIASA Proj'!$EA146))</f>
        <v>24.004951217597007</v>
      </c>
      <c r="BQ156" s="174">
        <f>IF($BI$8=2015,"",IF($BI$8=2018,"",MIN(BP156,VLOOKUP($L156,'[12]IMAGE CurPol SSP'!$CQ$3:$CV$29,5,FALSE)*$AS156)))</f>
        <v>23.738248789688136</v>
      </c>
      <c r="BR156" s="174">
        <f>IF($BI$8=2015,"",IF($BI$8=2018,"",MAX(BP156,VLOOKUP($L156,'[12]IMAGE CurPol SSP'!$CF$3:$CK$29,5,FALSE)*$AS156)))</f>
        <v>24.229348339680186</v>
      </c>
      <c r="BS156" s="174">
        <f>IF($BI$8=2015,VLOOKUP($L156,'[12]IMAGE CurPol SSP'!$AZ$3:$BE$29,6,FALSE)*($AM156-'[12]IIASA Proj'!$EQ146)+('[12]IIASA Proj'!$EQ146+'[12]IIASA Proj'!$ET146),VLOOKUP($L156,'[12]IMAGE CurPol SSP'!$BU$3:$BZ$29,6,FALSE)*($AS156-'[12]IIASA Proj'!$DV146)+('[12]IIASA Proj'!$EF146))</f>
        <v>27.602853240129917</v>
      </c>
      <c r="BT156" s="174">
        <f>IF($BI$8=2015,"",IF($BI$8=2018,"",MIN($BS156,VLOOKUP($L156,'[12]IMAGE CurPol SSP'!$CQ$3:$CV$29,6,FALSE)*$AS156)))</f>
        <v>26.887870133794515</v>
      </c>
      <c r="BU156" s="176">
        <f>IF($BI$8=2015,"",IF($BI$8=2018,"",MAX($BS156,VLOOKUP($L156,'[12]IMAGE CurPol SSP'!$CF$3:$CK$29,6,FALSE)*$AS156)))</f>
        <v>27.602853240129917</v>
      </c>
      <c r="CN156" t="s">
        <v>341</v>
      </c>
      <c r="CO156" s="165">
        <f t="shared" si="114"/>
        <v>1.9827431226461436</v>
      </c>
      <c r="CP156" s="165">
        <f t="shared" si="114"/>
        <v>1.9827431226461436</v>
      </c>
      <c r="CQ156" s="165">
        <f t="shared" si="114"/>
        <v>0.89584287581286404</v>
      </c>
      <c r="CR156" s="165">
        <f t="shared" si="114"/>
        <v>0.89584287581286404</v>
      </c>
      <c r="CS156" s="159"/>
      <c r="CU156" s="159"/>
      <c r="CV156" s="125" t="s">
        <v>621</v>
      </c>
      <c r="CW156" s="125" t="s">
        <v>621</v>
      </c>
      <c r="CX156" s="159"/>
      <c r="CY156" s="167">
        <f t="shared" si="115"/>
        <v>-3.5881352528362882</v>
      </c>
      <c r="CZ156" s="159"/>
      <c r="DB156" s="106"/>
      <c r="DC156" s="106"/>
      <c r="DD156" s="106"/>
      <c r="DE156" s="106"/>
      <c r="DF156" s="106"/>
      <c r="DG156" s="105" t="str">
        <f t="shared" si="116"/>
        <v>incl</v>
      </c>
      <c r="DH156" t="s">
        <v>341</v>
      </c>
      <c r="DI156" s="111">
        <f t="shared" si="105"/>
        <v>0</v>
      </c>
      <c r="DJ156" s="111">
        <f t="shared" si="105"/>
        <v>0</v>
      </c>
      <c r="DK156" s="111">
        <f t="shared" si="106"/>
        <v>39.04138471477745</v>
      </c>
      <c r="DL156" s="111">
        <f t="shared" si="107"/>
        <v>16.540223714777451</v>
      </c>
      <c r="DM156" s="111">
        <f t="shared" si="108"/>
        <v>54.729367427278419</v>
      </c>
      <c r="DN156" s="111">
        <f t="shared" si="109"/>
        <v>24.727819427278419</v>
      </c>
      <c r="DO156" s="111">
        <f t="shared" si="110"/>
        <v>54.729367427278419</v>
      </c>
      <c r="DP156" s="111">
        <f t="shared" si="111"/>
        <v>24.727819427278419</v>
      </c>
      <c r="DQ156" s="106"/>
      <c r="DR156" s="106"/>
      <c r="DS156" s="111">
        <f>[12]GHG_hist!BZ146+IF($M156="incl",[12]LULUCF_hist!DQ146,0)</f>
        <v>13.441890545454589</v>
      </c>
      <c r="DT156" s="168">
        <f>IF($M156="incl",'[12]IIASA Proj'!EQ146,0)</f>
        <v>0</v>
      </c>
      <c r="DW156" s="111">
        <f t="shared" si="117"/>
        <v>82.332220667408336</v>
      </c>
      <c r="DX156" s="111">
        <f t="shared" si="117"/>
        <v>82.332220667408336</v>
      </c>
      <c r="DY156" s="111">
        <f t="shared" si="117"/>
        <v>52.330672667408336</v>
      </c>
      <c r="DZ156" s="111">
        <f t="shared" si="117"/>
        <v>52.330672667408336</v>
      </c>
      <c r="EP156" t="s">
        <v>341</v>
      </c>
      <c r="EQ156">
        <v>-1</v>
      </c>
      <c r="ER156" s="111">
        <f t="shared" si="118"/>
        <v>18.39215163636365</v>
      </c>
      <c r="ES156" s="111">
        <f>IF($BI$8=2015,VLOOKUP($L156,'[12]IMAGE CDLINKS CurPol'!$P$3:$Y$29,10,FALSE)*$AM156,VLOOKUP($L156,'[12]IMAGE CDLINKS CurPol'!$Z$3:$AI$29,10,FALSE)*$AP156)</f>
        <v>38.400514330243261</v>
      </c>
      <c r="ET156" s="111">
        <f t="shared" si="86"/>
        <v>38.400514330243261</v>
      </c>
      <c r="EU156" s="111">
        <f t="shared" si="120"/>
        <v>17.52581024468671</v>
      </c>
      <c r="EV156" s="111">
        <f>IF($BI$8=2015,VLOOKUP($L156,'[12]IMAGE CDLINKS 2C'!$P$3:$Y$29,10,FALSE)*$AM156,VLOOKUP($L156,'[12]IMAGE CDLINKS 2C'!$Z$3:$AI$29,10,FALSE)*$AP156)</f>
        <v>17.52581024468671</v>
      </c>
      <c r="EX156" s="111"/>
      <c r="EY156" s="111">
        <f t="shared" si="121"/>
        <v>9.9827065093104057</v>
      </c>
      <c r="EZ156" s="111">
        <f>IF($BI$8=2015,VLOOKUP($L156,'[12]IMAGE CDLINKS 1_5C'!$P$3:$Y$29,10,FALSE)*$AM156,VLOOKUP($L156,'[12]IMAGE CDLINKS 1_5C'!$Z$3:$AI$29,10,FALSE)*$AP156)</f>
        <v>9.9827065093104057</v>
      </c>
      <c r="FA156" s="192">
        <v>2050</v>
      </c>
    </row>
    <row r="157" spans="1:157" x14ac:dyDescent="0.25">
      <c r="A157" t="str">
        <f>IF([12]NDCs!C159="","",[12]NDCs!C159)</f>
        <v>B</v>
      </c>
      <c r="B157" s="159" t="str">
        <f t="shared" si="112"/>
        <v>v</v>
      </c>
      <c r="C157">
        <v>0</v>
      </c>
      <c r="D157">
        <v>0</v>
      </c>
      <c r="E157">
        <v>0</v>
      </c>
      <c r="F157">
        <v>1</v>
      </c>
      <c r="G157" t="b">
        <f t="shared" si="113"/>
        <v>1</v>
      </c>
      <c r="H157" t="s">
        <v>2328</v>
      </c>
      <c r="I157" t="s">
        <v>343</v>
      </c>
      <c r="J157">
        <v>566</v>
      </c>
      <c r="K157">
        <v>145</v>
      </c>
      <c r="L157">
        <v>8</v>
      </c>
      <c r="M157" t="str">
        <f>IF([12]NDCs!AL159="Excluding","excl","incl")</f>
        <v>incl</v>
      </c>
      <c r="N157" s="160">
        <f>[12]GHG_hist!BA147+IF($M157="incl",[12]LULUCF_hist!CR147,0)</f>
        <v>142.34511000000001</v>
      </c>
      <c r="O157" s="111">
        <f>[12]GHG_hist!BB147+IF($M157="incl",[12]LULUCF_hist!CS147,0)</f>
        <v>149.77006</v>
      </c>
      <c r="P157" s="111">
        <f>[12]GHG_hist!BC147+IF($M157="incl",[12]LULUCF_hist!CT147,0)</f>
        <v>160.60420000000002</v>
      </c>
      <c r="Q157" s="111">
        <f>[12]GHG_hist!BD147+IF($M157="incl",[12]LULUCF_hist!CU147,0)</f>
        <v>162.87567000000004</v>
      </c>
      <c r="R157" s="111">
        <f>[12]GHG_hist!BE147+IF($M157="incl",[12]LULUCF_hist!CV147,0)</f>
        <v>167.11779000000001</v>
      </c>
      <c r="S157" s="111">
        <f>[12]GHG_hist!BF147+IF($M157="incl",[12]LULUCF_hist!CW147,0)</f>
        <v>175.75691000000003</v>
      </c>
      <c r="T157" s="111">
        <f>[12]GHG_hist!BG147+IF($M157="incl",[12]LULUCF_hist!CX147,0)</f>
        <v>197.04663000000002</v>
      </c>
      <c r="U157" s="111">
        <f>[12]GHG_hist!BH147+IF($M157="incl",[12]LULUCF_hist!CY147,0)</f>
        <v>193.6704</v>
      </c>
      <c r="V157" s="111">
        <f>[12]GHG_hist!BI147+IF($M157="incl",[12]LULUCF_hist!CZ147,0)</f>
        <v>184.76456000000002</v>
      </c>
      <c r="W157" s="111">
        <f>[12]GHG_hist!BJ147+IF($M157="incl",[12]LULUCF_hist!DA147,0)</f>
        <v>183.2758</v>
      </c>
      <c r="X157" s="111">
        <f>[12]GHG_hist!BK147+IF($M157="incl",[12]LULUCF_hist!DB147,0)</f>
        <v>193.07473000000002</v>
      </c>
      <c r="Y157" s="111">
        <f>[12]GHG_hist!BL147+IF($M157="incl",[12]LULUCF_hist!DC147,0)</f>
        <v>213.78811999999999</v>
      </c>
      <c r="Z157" s="111">
        <f>[12]GHG_hist!BM147+IF($M157="incl",[12]LULUCF_hist!DD147,0)</f>
        <v>206.23549</v>
      </c>
      <c r="AA157" s="111">
        <f>[12]GHG_hist!BN147+IF($M157="incl",[12]LULUCF_hist!DE147,0)</f>
        <v>231.13344000000001</v>
      </c>
      <c r="AB157" s="111">
        <f>[12]GHG_hist!BO147+IF($M157="incl",[12]LULUCF_hist!DF147,0)</f>
        <v>241.13708</v>
      </c>
      <c r="AC157" s="111">
        <f>[12]GHG_hist!BP147+IF($M157="incl",[12]LULUCF_hist!DG147,0)</f>
        <v>262.35339000000005</v>
      </c>
      <c r="AD157" s="111">
        <f>[12]GHG_hist!BQ147+IF($M157="incl",[12]LULUCF_hist!DH147,0)</f>
        <v>261.76287000000002</v>
      </c>
      <c r="AE157" s="111">
        <f>[12]GHG_hist!BR147+IF($M157="incl",[12]LULUCF_hist!DI147,0)</f>
        <v>268.02824999999996</v>
      </c>
      <c r="AF157" s="111">
        <f>[12]GHG_hist!BS147+IF($M157="incl",[12]LULUCF_hist!DJ147,0)</f>
        <v>275.88321000000002</v>
      </c>
      <c r="AG157" s="111">
        <f>[12]GHG_hist!BT147+IF($M157="incl",[12]LULUCF_hist!DK147,0)</f>
        <v>265.48745000000002</v>
      </c>
      <c r="AH157" s="111">
        <f>[12]GHG_hist!BU147+IF($M157="incl",[12]LULUCF_hist!DL147,0)</f>
        <v>293.42165000000006</v>
      </c>
      <c r="AI157" s="111">
        <f>[12]GHG_hist!BV147+IF($M157="incl",[12]LULUCF_hist!DM147,0)</f>
        <v>296.14946000000003</v>
      </c>
      <c r="AJ157" s="111">
        <f>[12]GHG_hist!BW147+IF($M157="incl",[12]LULUCF_hist!DN147,0)</f>
        <v>307.48881</v>
      </c>
      <c r="AK157" s="111">
        <f>[12]GHG_hist!BX147+IF($M157="incl",[12]LULUCF_hist!DO147,0)</f>
        <v>319.83654999999999</v>
      </c>
      <c r="AL157" s="111">
        <f>[12]GHG_hist!BY147+IF($M157="incl",[12]LULUCF_hist!DP147,0)</f>
        <v>340.16890000000001</v>
      </c>
      <c r="AM157" s="111">
        <f>[12]GHG_hist!BZ147+IF($M157="incl",[12]LULUCF_hist!DQ147,0)</f>
        <v>354.39510999999999</v>
      </c>
      <c r="AN157" s="111">
        <f>[12]GHG_hist!CA147+IF($M157="incl",[12]LULUCF_hist!DR147,0)</f>
        <v>338.07337000000001</v>
      </c>
      <c r="AO157" s="111">
        <f>[12]GHG_hist!CB147+IF($M157="incl",[12]LULUCF_hist!DS147,0)</f>
        <v>352.02873</v>
      </c>
      <c r="AP157" s="111">
        <f>[12]GHG_hist!CC147+IF($M157="incl",[12]LULUCF_hist!DT147,0)</f>
        <v>372.75526142857143</v>
      </c>
      <c r="AQ157" s="111">
        <f>[12]GHG_hist!CD147+IF($M157="incl",[12]LULUCF_hist!DU147,0)</f>
        <v>385.10356197044337</v>
      </c>
      <c r="AR157" s="111">
        <f>[12]GHG_hist!CE147+IF($M157="incl",[12]LULUCF_hist!DV147,0)</f>
        <v>380.94154251231527</v>
      </c>
      <c r="AS157" s="111">
        <f>[12]GHG_hist!CF147+IF($M157="incl",[12]LULUCF_hist!DW147,0)</f>
        <v>389.31879305418721</v>
      </c>
      <c r="AT157" s="171">
        <f>VLOOKUP($L157,'[12]IMAGE SSP2'!$AF$3:$AK$29,4,FALSE)*($AM157-'[12]IIASA Proj'!$EQ147)+('[12]IIASA Proj'!$EQ147+'[12]IIASA Proj'!$ER147)</f>
        <v>467.16746296529908</v>
      </c>
      <c r="AU157" s="172">
        <f>VLOOKUP($L157,'[12]IMAGE SSP2'!$AF$3:$AK$29,5,FALSE)*($AM157-'[12]IIASA Proj'!$EQ147)+('[12]IIASA Proj'!$EQ147+'[12]IIASA Proj'!$ES147)</f>
        <v>546.19433264241161</v>
      </c>
      <c r="AV157" s="173">
        <f>VLOOKUP($L157,'[12]IMAGE SSP2'!$AF$3:$AK$29,6,FALSE)*($AM157-'[12]IIASA Proj'!$EQ147)+('[12]IIASA Proj'!$EQ147+'[12]IIASA Proj'!$ET147)</f>
        <v>665.67092843599949</v>
      </c>
      <c r="AW157" s="111">
        <f t="shared" si="119"/>
        <v>596.71082500000011</v>
      </c>
      <c r="AX157" s="164">
        <f>IF(A157="B",IF(M157="excl",[12]NatCom!CO147,[12]NatCom!AX147),"")</f>
        <v>900</v>
      </c>
      <c r="AY157" s="111" t="str">
        <f>IF('[12]Pledge 2020'!E147="","",'[12]Pledge 2020'!E147)</f>
        <v/>
      </c>
      <c r="AZ157" s="164" t="str">
        <f>IF('[12]Pledge 2020'!F147="","",'[12]Pledge 2020'!F147)</f>
        <v/>
      </c>
      <c r="BA157" s="111">
        <f t="shared" si="100"/>
        <v>345.15541250000001</v>
      </c>
      <c r="BB157" s="111">
        <f>IF(BF157="","",(BF157-AH157)*0.75+AH157)</f>
        <v>345.15541250000001</v>
      </c>
      <c r="BC157" s="111">
        <f t="shared" si="101"/>
        <v>253.42291250000002</v>
      </c>
      <c r="BD157" s="111">
        <f>IF(BH157="","",(BH157-AH157)*0.75+AH157)</f>
        <v>253.42291250000002</v>
      </c>
      <c r="BE157" s="169">
        <v>362.40000000000003</v>
      </c>
      <c r="BF157" s="169">
        <v>362.40000000000003</v>
      </c>
      <c r="BG157" s="169">
        <v>240.09</v>
      </c>
      <c r="BH157" s="170">
        <v>240.09</v>
      </c>
      <c r="BI157" s="111">
        <f>IF([12]NDCs!V159="",IF([12]NDCs!X159="","",[12]NDCs!X159),[12]NDCs!V159)</f>
        <v>720</v>
      </c>
      <c r="BJ157" s="111">
        <f>IF([12]NDCs!V159="",IF([12]NDCs!X159="","",[12]NDCs!X159),[12]NDCs!V159)</f>
        <v>720</v>
      </c>
      <c r="BK157" s="111">
        <f>IF([12]NDCs!Z159="",IF([12]NDCs!AB159="",IF('input site'!BE157="","",'input site'!BE157),[12]NDCs!AB159),[12]NDCs!Z159)</f>
        <v>495.00000000000006</v>
      </c>
      <c r="BL157" s="111">
        <f>IF([12]NDCs!AA159="",IF([12]NDCs!AC159="",IF('input site'!BF157="","",'input site'!BF157),[12]NDCs!AC159),[12]NDCs!AA159)</f>
        <v>495.00000000000006</v>
      </c>
      <c r="BM157" s="174">
        <f>IF($BI$8=2015,VLOOKUP($L157,'[12]IMAGE CurPol SSP'!$AZ$3:$BD$29,4,FALSE)*($AM157-'[12]IIASA Proj'!$EQ147)+('[12]IIASA Proj'!$EQ147+'[12]IIASA Proj'!$ER147),AR157)</f>
        <v>380.94154251231527</v>
      </c>
      <c r="BN157" s="175">
        <f t="shared" si="122"/>
        <v>380.94154251231527</v>
      </c>
      <c r="BO157" s="175">
        <f t="shared" si="122"/>
        <v>380.94154251231527</v>
      </c>
      <c r="BP157" s="174">
        <f>IF($BI$8=2015,VLOOKUP($L157,'[12]IMAGE CurPol SSP'!$AZ$3:$BD$29,5,FALSE)*($AM157-'[12]IIASA Proj'!$EQ147)+('[12]IIASA Proj'!$EQ147+'[12]IIASA Proj'!$ES147),VLOOKUP($L157,'[12]IMAGE CurPol SSP'!$BU$3:$BZ$29,5,FALSE)*($AS157-'[12]IIASA Proj'!$DV147)+('[12]IIASA Proj'!$EA147))</f>
        <v>406.76299529237536</v>
      </c>
      <c r="BQ157" s="174">
        <f>IF($BI$8=2015,"",IF($BI$8=2018,"",MIN(BP157,VLOOKUP($L157,'[12]IMAGE CurPol SSP'!$CQ$3:$CV$29,5,FALSE)*$AS157)))</f>
        <v>398.755724639937</v>
      </c>
      <c r="BR157" s="174">
        <f>IF($BI$8=2015,"",IF($BI$8=2018,"",MAX(BP157,VLOOKUP($L157,'[12]IMAGE CurPol SSP'!$CF$3:$CK$29,5,FALSE)*$AS157)))</f>
        <v>407.00522773776004</v>
      </c>
      <c r="BS157" s="174">
        <f>IF($BI$8=2015,VLOOKUP($L157,'[12]IMAGE CurPol SSP'!$AZ$3:$BE$29,6,FALSE)*($AM157-'[12]IIASA Proj'!$EQ147)+('[12]IIASA Proj'!$EQ147+'[12]IIASA Proj'!$ET147),VLOOKUP($L157,'[12]IMAGE CurPol SSP'!$BU$3:$BZ$29,6,FALSE)*($AS157-'[12]IIASA Proj'!$DV147)+('[12]IIASA Proj'!$EF147))</f>
        <v>478.54326499230814</v>
      </c>
      <c r="BT157" s="174">
        <f>IF($BI$8=2015,"",IF($BI$8=2018,"",MIN($BS157,VLOOKUP($L157,'[12]IMAGE CurPol SSP'!$CQ$3:$CV$29,6,FALSE)*$AS157)))</f>
        <v>451.66314643577419</v>
      </c>
      <c r="BU157" s="176">
        <f>IF($BI$8=2015,"",IF($BI$8=2018,"",MAX($BS157,VLOOKUP($L157,'[12]IMAGE CurPol SSP'!$CF$3:$CK$29,6,FALSE)*$AS157)))</f>
        <v>478.54326499230814</v>
      </c>
      <c r="CN157" t="s">
        <v>343</v>
      </c>
      <c r="CO157" s="165">
        <f t="shared" si="114"/>
        <v>-0.24270170220486742</v>
      </c>
      <c r="CP157" s="165">
        <f t="shared" si="114"/>
        <v>-0.24270170220486742</v>
      </c>
      <c r="CQ157" s="165">
        <f t="shared" si="114"/>
        <v>-0.49828987771072464</v>
      </c>
      <c r="CR157" s="165">
        <f t="shared" si="114"/>
        <v>-0.49828987771072464</v>
      </c>
      <c r="CV157" s="125" t="s">
        <v>621</v>
      </c>
      <c r="CW157" s="125" t="s">
        <v>621</v>
      </c>
      <c r="CX157"/>
      <c r="CY157" s="167">
        <f t="shared" si="115"/>
        <v>86.225920452983814</v>
      </c>
      <c r="DB157" s="106"/>
      <c r="DC157" s="106"/>
      <c r="DD157" s="106"/>
      <c r="DE157" s="106"/>
      <c r="DF157" s="106"/>
      <c r="DG157" s="105" t="str">
        <f t="shared" si="116"/>
        <v>incl</v>
      </c>
      <c r="DH157" t="s">
        <v>343</v>
      </c>
      <c r="DI157" s="111">
        <f t="shared" si="105"/>
        <v>0</v>
      </c>
      <c r="DJ157" s="111">
        <f t="shared" si="105"/>
        <v>0</v>
      </c>
      <c r="DK157" s="111">
        <f t="shared" si="106"/>
        <v>-61.607582792375354</v>
      </c>
      <c r="DL157" s="111">
        <f t="shared" si="107"/>
        <v>-153.34008279237534</v>
      </c>
      <c r="DM157" s="111">
        <f t="shared" si="108"/>
        <v>-116.1432649923081</v>
      </c>
      <c r="DN157" s="111">
        <f t="shared" si="109"/>
        <v>-238.45326499230814</v>
      </c>
      <c r="DO157" s="111">
        <f t="shared" si="110"/>
        <v>241.45673500769186</v>
      </c>
      <c r="DP157" s="111">
        <f t="shared" si="111"/>
        <v>16.456735007691918</v>
      </c>
      <c r="DQ157" s="106"/>
      <c r="DR157" s="106"/>
      <c r="DS157" s="177">
        <f>[12]GHG_hist!BZ147+IF($M157="incl",[12]LULUCF_hist!DQ147,0)</f>
        <v>354.39510999999999</v>
      </c>
      <c r="DT157" s="178">
        <f>IF($M157="incl",'[12]IIASA Proj'!EQ147,0)</f>
        <v>-3.7097833201970447</v>
      </c>
      <c r="DW157" s="111">
        <f t="shared" si="117"/>
        <v>362.40000000000003</v>
      </c>
      <c r="DX157" s="111">
        <f t="shared" si="117"/>
        <v>362.40000000000003</v>
      </c>
      <c r="DY157" s="111">
        <f t="shared" si="117"/>
        <v>240.09</v>
      </c>
      <c r="DZ157" s="111">
        <f t="shared" si="117"/>
        <v>240.09</v>
      </c>
      <c r="EP157" t="s">
        <v>343</v>
      </c>
      <c r="EQ157">
        <v>4</v>
      </c>
      <c r="ER157" s="111">
        <f t="shared" si="118"/>
        <v>372.75526142857143</v>
      </c>
      <c r="ES157" s="111">
        <f>IF($BI$8=2015,VLOOKUP($L157,'[12]IMAGE CDLINKS CurPol'!$P$3:$Y$29,10,FALSE)*$AM157,VLOOKUP($L157,'[12]IMAGE CDLINKS CurPol'!$Z$3:$AI$29,10,FALSE)*$AP157)</f>
        <v>778.26640630021893</v>
      </c>
      <c r="ET157" s="111">
        <f t="shared" si="86"/>
        <v>0</v>
      </c>
      <c r="EU157" s="111">
        <f t="shared" si="120"/>
        <v>0</v>
      </c>
      <c r="EV157" s="111">
        <f>IF($BI$8=2015,VLOOKUP($L157,'[12]IMAGE CDLINKS 2C'!$P$3:$Y$29,10,FALSE)*$AM157,VLOOKUP($L157,'[12]IMAGE CDLINKS 2C'!$Z$3:$AI$29,10,FALSE)*$AP157)</f>
        <v>355.19704864706904</v>
      </c>
      <c r="EY157" s="111">
        <f t="shared" si="121"/>
        <v>0</v>
      </c>
      <c r="EZ157" s="111">
        <f>IF($BI$8=2015,VLOOKUP($L157,'[12]IMAGE CDLINKS 1_5C'!$P$3:$Y$29,10,FALSE)*$AM157,VLOOKUP($L157,'[12]IMAGE CDLINKS 1_5C'!$Z$3:$AI$29,10,FALSE)*$AP157)</f>
        <v>202.32034012190266</v>
      </c>
      <c r="FA157" s="192"/>
    </row>
    <row r="158" spans="1:157" x14ac:dyDescent="0.25">
      <c r="A158" t="str">
        <f>IF([12]NDCs!C160="","",[12]NDCs!C160)</f>
        <v>G</v>
      </c>
      <c r="B158" s="159" t="str">
        <f t="shared" si="112"/>
        <v>v</v>
      </c>
      <c r="C158">
        <v>0</v>
      </c>
      <c r="D158">
        <v>0</v>
      </c>
      <c r="E158">
        <v>0</v>
      </c>
      <c r="F158">
        <v>0</v>
      </c>
      <c r="G158" t="b">
        <f t="shared" si="113"/>
        <v>0</v>
      </c>
      <c r="H158" t="s">
        <v>2328</v>
      </c>
      <c r="I158" t="s">
        <v>345</v>
      </c>
      <c r="J158">
        <v>570</v>
      </c>
      <c r="K158">
        <v>146</v>
      </c>
      <c r="L158">
        <v>24</v>
      </c>
      <c r="M158" t="str">
        <f>IF([12]NDCs!AL160="Excluding","excl","incl")</f>
        <v>excl</v>
      </c>
      <c r="N158" s="160">
        <f>[12]GHG_hist!BA148+IF($M158="incl",[12]LULUCF_hist!CR148,0)</f>
        <v>5.6485943000000004E-3</v>
      </c>
      <c r="O158" s="111">
        <f>[12]GHG_hist!BB148+IF($M158="incl",[12]LULUCF_hist!CS148,0)</f>
        <v>5.6606446000000005E-3</v>
      </c>
      <c r="P158" s="111">
        <f>[12]GHG_hist!BC148+IF($M158="incl",[12]LULUCF_hist!CT148,0)</f>
        <v>5.6680154000000003E-3</v>
      </c>
      <c r="Q158" s="111">
        <f>[12]GHG_hist!BD148+IF($M158="incl",[12]LULUCF_hist!CU148,0)</f>
        <v>5.6657043999999998E-3</v>
      </c>
      <c r="R158" s="111">
        <f>[12]GHG_hist!BE148+IF($M158="incl",[12]LULUCF_hist!CV148,0)</f>
        <v>5.7393187E-3</v>
      </c>
      <c r="S158" s="111">
        <f>[12]GHG_hist!BF148+IF($M158="incl",[12]LULUCF_hist!CW148,0)</f>
        <v>5.8074975999999993E-3</v>
      </c>
      <c r="T158" s="111">
        <f>[12]GHG_hist!BG148+IF($M158="incl",[12]LULUCF_hist!CX148,0)</f>
        <v>5.8782575000000002E-3</v>
      </c>
      <c r="U158" s="111">
        <f>[12]GHG_hist!BH148+IF($M158="incl",[12]LULUCF_hist!CY148,0)</f>
        <v>5.9467023000000004E-3</v>
      </c>
      <c r="V158" s="111">
        <f>[12]GHG_hist!BI148+IF($M158="incl",[12]LULUCF_hist!CZ148,0)</f>
        <v>6.0154360000000007E-3</v>
      </c>
      <c r="W158" s="111">
        <f>[12]GHG_hist!BJ148+IF($M158="incl",[12]LULUCF_hist!DA148,0)</f>
        <v>6.0845624000000001E-3</v>
      </c>
      <c r="X158" s="111">
        <f>[12]GHG_hist!BK148+IF($M158="incl",[12]LULUCF_hist!DB148,0)</f>
        <v>6.1566853999999996E-3</v>
      </c>
      <c r="Y158" s="111">
        <f>[12]GHG_hist!BL148+IF($M158="incl",[12]LULUCF_hist!DC148,0)</f>
        <v>6.3683547000000004E-3</v>
      </c>
      <c r="Z158" s="111">
        <f>[12]GHG_hist!BM148+IF($M158="incl",[12]LULUCF_hist!DD148,0)</f>
        <v>6.5124833999999996E-3</v>
      </c>
      <c r="AA158" s="111">
        <f>[12]GHG_hist!BN148+IF($M158="incl",[12]LULUCF_hist!DE148,0)</f>
        <v>6.6541357999999997E-3</v>
      </c>
      <c r="AB158" s="111">
        <f>[12]GHG_hist!BO148+IF($M158="incl",[12]LULUCF_hist!DF148,0)</f>
        <v>6.7985762000000007E-3</v>
      </c>
      <c r="AC158" s="111">
        <f>[12]GHG_hist!BP148+IF($M158="incl",[12]LULUCF_hist!DG148,0)</f>
        <v>6.9785687000000008E-3</v>
      </c>
      <c r="AD158" s="111">
        <f>[12]GHG_hist!BQ148+IF($M158="incl",[12]LULUCF_hist!DH148,0)</f>
        <v>8.1467291999999993E-3</v>
      </c>
      <c r="AE158" s="111">
        <f>[12]GHG_hist!BR148+IF($M158="incl",[12]LULUCF_hist!DI148,0)</f>
        <v>9.6035028000000001E-3</v>
      </c>
      <c r="AF158" s="111">
        <f>[12]GHG_hist!BS148+IF($M158="incl",[12]LULUCF_hist!DJ148,0)</f>
        <v>6.3104943000000004E-3</v>
      </c>
      <c r="AG158" s="111">
        <f>[12]GHG_hist!BT148+IF($M158="incl",[12]LULUCF_hist!DK148,0)</f>
        <v>6.5106736E-3</v>
      </c>
      <c r="AH158" s="111">
        <f>[12]GHG_hist!BU148+IF($M158="incl",[12]LULUCF_hist!DL148,0)</f>
        <v>6.5300324E-3</v>
      </c>
      <c r="AI158" s="111">
        <f>[12]GHG_hist!BV148+IF($M158="incl",[12]LULUCF_hist!DM148,0)</f>
        <v>1.1592224999999999E-2</v>
      </c>
      <c r="AJ158" s="111">
        <f>[12]GHG_hist!BW148+IF($M158="incl",[12]LULUCF_hist!DN148,0)</f>
        <v>1.1600417E-2</v>
      </c>
      <c r="AK158" s="111">
        <f>[12]GHG_hist!BX148+IF($M158="incl",[12]LULUCF_hist!DO148,0)</f>
        <v>1.1611110000000001E-2</v>
      </c>
      <c r="AL158" s="111">
        <f>[12]GHG_hist!BY148+IF($M158="incl",[12]LULUCF_hist!DP148,0)</f>
        <v>1.6673302000000001E-2</v>
      </c>
      <c r="AM158" s="111">
        <f>[12]GHG_hist!BZ148+IF($M158="incl",[12]LULUCF_hist!DQ148,0)</f>
        <v>1.1629994999999999E-2</v>
      </c>
      <c r="AN158" s="111">
        <f>[12]GHG_hist!CA148+IF($M158="incl",[12]LULUCF_hist!DR148,0)</f>
        <v>1.1635687E-2</v>
      </c>
      <c r="AO158" s="111">
        <f>[12]GHG_hist!CB148+IF($M158="incl",[12]LULUCF_hist!DS148,0)</f>
        <v>1.164138E-2</v>
      </c>
      <c r="AP158" s="111">
        <f>[12]GHG_hist!CC148+IF($M158="incl",[12]LULUCF_hist!DT148,0)</f>
        <v>1.2001269E-2</v>
      </c>
      <c r="AQ158" s="111">
        <f>[12]GHG_hist!CD148+IF($M158="incl",[12]LULUCF_hist!DU148,0)</f>
        <v>1.2852674999999999E-2</v>
      </c>
      <c r="AR158" s="111">
        <f>[12]GHG_hist!CE148+IF($M158="incl",[12]LULUCF_hist!DV148,0)</f>
        <v>1.2933827000000002E-2</v>
      </c>
      <c r="AS158" s="111">
        <f>[12]GHG_hist!CF148+IF($M158="incl",[12]LULUCF_hist!DW148,0)</f>
        <v>1.3261459E-2</v>
      </c>
      <c r="AT158" s="161">
        <f>VLOOKUP($L158,'[12]IMAGE SSP2'!$AF$3:$AK$29,4,FALSE)*$AM158</f>
        <v>1.248467369329738E-2</v>
      </c>
      <c r="AU158" s="162">
        <f>VLOOKUP($L158,'[12]IMAGE SSP2'!$AF$3:$AK$29,5,FALSE)*$AM158</f>
        <v>1.2817301405923664E-2</v>
      </c>
      <c r="AV158" s="163">
        <f>VLOOKUP($L158,'[12]IMAGE SSP2'!$AF$3:$AK$29,6,FALSE)*$AM158</f>
        <v>1.2967407120103974E-2</v>
      </c>
      <c r="AW158" s="111" t="str">
        <f t="shared" si="119"/>
        <v/>
      </c>
      <c r="AX158" s="164" t="str">
        <f>IF(A158="B",IF(M158="excl",[12]NatCom!CO148,[12]NatCom!AX148),"")</f>
        <v/>
      </c>
      <c r="AY158" s="111" t="str">
        <f>IF('[12]Pledge 2020'!E148="","",'[12]Pledge 2020'!E148)</f>
        <v/>
      </c>
      <c r="AZ158" s="164" t="str">
        <f>IF('[12]Pledge 2020'!F148="","",'[12]Pledge 2020'!F148)</f>
        <v/>
      </c>
      <c r="BA158" s="111" t="str">
        <f t="shared" si="100"/>
        <v/>
      </c>
      <c r="BB158" s="111"/>
      <c r="BC158" s="111" t="str">
        <f t="shared" si="101"/>
        <v/>
      </c>
      <c r="BD158" s="111"/>
      <c r="BE158" s="111" t="s">
        <v>2477</v>
      </c>
      <c r="BF158" s="111"/>
      <c r="BG158" s="111" t="s">
        <v>2477</v>
      </c>
      <c r="BH158" s="164"/>
      <c r="BI158" s="111" t="str">
        <f>IF([12]NDCs!V160="",IF([12]NDCs!X160="","",[12]NDCs!X160),[12]NDCs!V160)</f>
        <v/>
      </c>
      <c r="BJ158" s="111" t="str">
        <f>IF([12]NDCs!V160="",IF([12]NDCs!X160="","",[12]NDCs!X160),[12]NDCs!V160)</f>
        <v/>
      </c>
      <c r="BK158" s="111" t="str">
        <f>IF([12]NDCs!Z160="",IF([12]NDCs!AB160="",IF('input site'!BE158="","",'input site'!BE158),[12]NDCs!AB160),[12]NDCs!Z160)</f>
        <v/>
      </c>
      <c r="BL158" s="111" t="str">
        <f>IF([12]NDCs!AA160="",IF([12]NDCs!AC160="",IF('input site'!BF158="","",'input site'!BF158),[12]NDCs!AC160),[12]NDCs!AA160)</f>
        <v/>
      </c>
      <c r="BM158" s="111">
        <f>IF($BI$8=2015,VLOOKUP($L158,'[12]IMAGE CurPol SSP'!$AZ$3:$BD$29,4,FALSE)*$AM158,IF($BI$8=2018,VLOOKUP($L158,'[12]IMAGE CurPol SSP'!$BJ$3:$BN$29,4,FALSE)*$AP158,$AR158))</f>
        <v>1.2933827000000002E-2</v>
      </c>
      <c r="BN158" s="111">
        <f t="shared" si="122"/>
        <v>1.2933827000000002E-2</v>
      </c>
      <c r="BO158" s="111">
        <f t="shared" si="122"/>
        <v>1.2933827000000002E-2</v>
      </c>
      <c r="BP158" s="111">
        <f>IF($BI$8=2015,VLOOKUP($L158,'[12]IMAGE CurPol SSP'!$AZ$3:$BD$29,5,FALSE)*$AM158,IF($BI$8=2018,VLOOKUP($L158,'[12]IMAGE CurPol SSP'!$BJ$3:$BN$29,5,FALSE)*$AP158,VLOOKUP($L158,'[12]IMAGE CurPol SSP'!$BU$3:$BZ$29,5,FALSE)*$AS158))</f>
        <v>1.350630904126599E-2</v>
      </c>
      <c r="BQ158" s="111">
        <f>IF($BI$8=2015,"",IF($BI$8=2018,"",VLOOKUP($L158,'[12]IMAGE CurPol SSP'!$CQ$3:$CV$29,5,FALSE)*$AS158))</f>
        <v>1.3149585418323425E-2</v>
      </c>
      <c r="BR158" s="111">
        <f>IF($BI$8=2015,"",IF($BI$8=2018,"",VLOOKUP($L158,'[12]IMAGE CurPol SSP'!$CF$3:$CK$29,5,FALSE)*$AS158))</f>
        <v>1.350630904126599E-2</v>
      </c>
      <c r="BS158" s="111">
        <f>IF($BI$8=2015,VLOOKUP($L158,'[12]IMAGE CurPol SSP'!$AZ$3:$BE$29,6,FALSE)*$AM158,IF($BI$8=2018,VLOOKUP($L158,'[12]IMAGE CurPol SSP'!$BJ$3:$BO$29,6,FALSE)*$AP158,VLOOKUP($L158,'[12]IMAGE CurPol SSP'!$BU$3:$BZ$29,6,FALSE)*$AS158))</f>
        <v>1.3902367146493597E-2</v>
      </c>
      <c r="BT158" s="111">
        <f>IF($BI$8=2015,"",IF($BI$8=2018,"",VLOOKUP($L158,'[12]IMAGE CurPol SSP'!$CQ$3:$CV$29,6,FALSE)*$AS158))</f>
        <v>1.2840759120111858E-2</v>
      </c>
      <c r="BU158" s="164">
        <f>IF($BI$8=2015,"",IF($BI$8=2018,"",VLOOKUP($L158,'[12]IMAGE CurPol SSP'!$CF$3:$CK$29,6,FALSE)*$AS158))</f>
        <v>1.3902367146493597E-2</v>
      </c>
      <c r="CN158" t="s">
        <v>345</v>
      </c>
      <c r="CO158" s="165" t="str">
        <f t="shared" si="114"/>
        <v/>
      </c>
      <c r="CP158" s="165" t="str">
        <f t="shared" si="114"/>
        <v/>
      </c>
      <c r="CQ158" s="165" t="str">
        <f t="shared" si="114"/>
        <v/>
      </c>
      <c r="CR158" s="165" t="str">
        <f t="shared" si="114"/>
        <v/>
      </c>
      <c r="CV158" s="125" t="s">
        <v>621</v>
      </c>
      <c r="CW158" s="125" t="s">
        <v>621</v>
      </c>
      <c r="CX158"/>
      <c r="CY158" s="167">
        <f t="shared" si="115"/>
        <v>-4.4915330670262238E-4</v>
      </c>
      <c r="DB158" s="106"/>
      <c r="DC158" s="106"/>
      <c r="DD158" s="106"/>
      <c r="DE158" s="106"/>
      <c r="DF158" s="106"/>
      <c r="DG158" s="105" t="str">
        <f t="shared" si="116"/>
        <v>excl</v>
      </c>
      <c r="DH158" t="s">
        <v>345</v>
      </c>
      <c r="DI158" s="111">
        <f t="shared" si="105"/>
        <v>0</v>
      </c>
      <c r="DJ158" s="111">
        <f t="shared" si="105"/>
        <v>0</v>
      </c>
      <c r="DK158" s="111">
        <f t="shared" si="106"/>
        <v>0</v>
      </c>
      <c r="DL158" s="111">
        <f t="shared" si="107"/>
        <v>0</v>
      </c>
      <c r="DM158" s="111">
        <f t="shared" si="108"/>
        <v>0</v>
      </c>
      <c r="DN158" s="111">
        <f t="shared" si="109"/>
        <v>0</v>
      </c>
      <c r="DO158" s="111">
        <f t="shared" si="110"/>
        <v>0</v>
      </c>
      <c r="DP158" s="111">
        <f t="shared" si="111"/>
        <v>0</v>
      </c>
      <c r="DQ158" s="106"/>
      <c r="DR158" s="106"/>
      <c r="DS158" s="111"/>
      <c r="DT158" s="168"/>
      <c r="DW158" s="111">
        <f t="shared" si="117"/>
        <v>1.3902367146493597E-2</v>
      </c>
      <c r="DX158" s="111">
        <f t="shared" si="117"/>
        <v>1.3902367146493597E-2</v>
      </c>
      <c r="DY158" s="111">
        <f t="shared" si="117"/>
        <v>1.3902367146493597E-2</v>
      </c>
      <c r="DZ158" s="111">
        <f t="shared" si="117"/>
        <v>1.3902367146493597E-2</v>
      </c>
      <c r="EP158" t="s">
        <v>345</v>
      </c>
      <c r="EQ158">
        <v>1</v>
      </c>
      <c r="ER158" s="111">
        <f t="shared" si="118"/>
        <v>1.2001269E-2</v>
      </c>
      <c r="ES158" s="111">
        <f>IF($BI$8=2015,VLOOKUP($L158,'[12]IMAGE CDLINKS CurPol'!$P$3:$Y$29,10,FALSE)*$AM158,VLOOKUP($L158,'[12]IMAGE CDLINKS CurPol'!$Z$3:$AI$29,10,FALSE)*$AP158)</f>
        <v>1.2373384469972862E-2</v>
      </c>
      <c r="ET158" s="111">
        <f t="shared" si="86"/>
        <v>0</v>
      </c>
      <c r="EU158" s="111">
        <f t="shared" si="120"/>
        <v>4.7555513488637567E-3</v>
      </c>
      <c r="EV158" s="111">
        <f>IF($BI$8=2015,VLOOKUP($L158,'[12]IMAGE CDLINKS 2C'!$P$3:$Y$29,10,FALSE)*$AM158,VLOOKUP($L158,'[12]IMAGE CDLINKS 2C'!$Z$3:$AI$29,10,FALSE)*$AP158)</f>
        <v>4.7555513488637567E-3</v>
      </c>
      <c r="EW158">
        <v>0</v>
      </c>
      <c r="EX158" s="111">
        <f>EW158-EV158</f>
        <v>-4.7555513488637567E-3</v>
      </c>
      <c r="EY158" s="111">
        <f t="shared" si="121"/>
        <v>0</v>
      </c>
      <c r="EZ158" s="111">
        <f>IF($BI$8=2015,VLOOKUP($L158,'[12]IMAGE CDLINKS 1_5C'!$P$3:$Y$29,10,FALSE)*$AM158,VLOOKUP($L158,'[12]IMAGE CDLINKS 1_5C'!$Z$3:$AI$29,10,FALSE)*$AP158)</f>
        <v>2.0570787946052856E-3</v>
      </c>
      <c r="FA158" s="192">
        <v>2050</v>
      </c>
    </row>
    <row r="159" spans="1:157" x14ac:dyDescent="0.25">
      <c r="A159" t="str">
        <f>IF([12]NDCs!C161="","",[12]NDCs!C161)</f>
        <v/>
      </c>
      <c r="B159" s="159" t="str">
        <f t="shared" si="112"/>
        <v>v</v>
      </c>
      <c r="C159">
        <v>0</v>
      </c>
      <c r="D159">
        <v>0</v>
      </c>
      <c r="E159">
        <v>0</v>
      </c>
      <c r="F159">
        <v>0</v>
      </c>
      <c r="G159" t="b">
        <f t="shared" si="113"/>
        <v>0</v>
      </c>
      <c r="H159" t="s">
        <v>2328</v>
      </c>
      <c r="I159" t="s">
        <v>347</v>
      </c>
      <c r="J159">
        <v>580</v>
      </c>
      <c r="K159">
        <v>148</v>
      </c>
      <c r="L159">
        <v>24</v>
      </c>
      <c r="M159" t="str">
        <f>IF([12]NDCs!AL161="Excluding","excl","incl")</f>
        <v>excl</v>
      </c>
      <c r="N159" s="160">
        <f>[12]GHG_hist!BA149+IF($M159="incl",[12]LULUCF_hist!CR149,0)</f>
        <v>0</v>
      </c>
      <c r="O159" s="111">
        <f>[12]GHG_hist!BB149+IF($M159="incl",[12]LULUCF_hist!CS149,0)</f>
        <v>0</v>
      </c>
      <c r="P159" s="111">
        <f>[12]GHG_hist!BC149+IF($M159="incl",[12]LULUCF_hist!CT149,0)</f>
        <v>0</v>
      </c>
      <c r="Q159" s="111">
        <f>[12]GHG_hist!BD149+IF($M159="incl",[12]LULUCF_hist!CU149,0)</f>
        <v>0</v>
      </c>
      <c r="R159" s="111">
        <f>[12]GHG_hist!BE149+IF($M159="incl",[12]LULUCF_hist!CV149,0)</f>
        <v>0</v>
      </c>
      <c r="S159" s="111">
        <f>[12]GHG_hist!BF149+IF($M159="incl",[12]LULUCF_hist!CW149,0)</f>
        <v>0</v>
      </c>
      <c r="T159" s="111">
        <f>[12]GHG_hist!BG149+IF($M159="incl",[12]LULUCF_hist!CX149,0)</f>
        <v>0</v>
      </c>
      <c r="U159" s="111">
        <f>[12]GHG_hist!BH149+IF($M159="incl",[12]LULUCF_hist!CY149,0)</f>
        <v>0</v>
      </c>
      <c r="V159" s="111">
        <f>[12]GHG_hist!BI149+IF($M159="incl",[12]LULUCF_hist!CZ149,0)</f>
        <v>0</v>
      </c>
      <c r="W159" s="111">
        <f>[12]GHG_hist!BJ149+IF($M159="incl",[12]LULUCF_hist!DA149,0)</f>
        <v>0</v>
      </c>
      <c r="X159" s="111">
        <f>[12]GHG_hist!BK149+IF($M159="incl",[12]LULUCF_hist!DB149,0)</f>
        <v>0</v>
      </c>
      <c r="Y159" s="111">
        <f>[12]GHG_hist!BL149+IF($M159="incl",[12]LULUCF_hist!DC149,0)</f>
        <v>0</v>
      </c>
      <c r="Z159" s="111">
        <f>[12]GHG_hist!BM149+IF($M159="incl",[12]LULUCF_hist!DD149,0)</f>
        <v>0</v>
      </c>
      <c r="AA159" s="111">
        <f>[12]GHG_hist!BN149+IF($M159="incl",[12]LULUCF_hist!DE149,0)</f>
        <v>0</v>
      </c>
      <c r="AB159" s="111">
        <f>[12]GHG_hist!BO149+IF($M159="incl",[12]LULUCF_hist!DF149,0)</f>
        <v>0</v>
      </c>
      <c r="AC159" s="111">
        <f>[12]GHG_hist!BP149+IF($M159="incl",[12]LULUCF_hist!DG149,0)</f>
        <v>0</v>
      </c>
      <c r="AD159" s="111">
        <f>[12]GHG_hist!BQ149+IF($M159="incl",[12]LULUCF_hist!DH149,0)</f>
        <v>0</v>
      </c>
      <c r="AE159" s="111">
        <f>[12]GHG_hist!BR149+IF($M159="incl",[12]LULUCF_hist!DI149,0)</f>
        <v>0</v>
      </c>
      <c r="AF159" s="111">
        <f>[12]GHG_hist!BS149+IF($M159="incl",[12]LULUCF_hist!DJ149,0)</f>
        <v>0</v>
      </c>
      <c r="AG159" s="111">
        <f>[12]GHG_hist!BT149+IF($M159="incl",[12]LULUCF_hist!DK149,0)</f>
        <v>0</v>
      </c>
      <c r="AH159" s="111">
        <f>[12]GHG_hist!BU149+IF($M159="incl",[12]LULUCF_hist!DL149,0)</f>
        <v>0</v>
      </c>
      <c r="AI159" s="111">
        <f>[12]GHG_hist!BV149+IF($M159="incl",[12]LULUCF_hist!DM149,0)</f>
        <v>0</v>
      </c>
      <c r="AJ159" s="111">
        <f>[12]GHG_hist!BW149+IF($M159="incl",[12]LULUCF_hist!DN149,0)</f>
        <v>0</v>
      </c>
      <c r="AK159" s="111">
        <f>[12]GHG_hist!BX149+IF($M159="incl",[12]LULUCF_hist!DO149,0)</f>
        <v>0</v>
      </c>
      <c r="AL159" s="111">
        <f>[12]GHG_hist!BY149+IF($M159="incl",[12]LULUCF_hist!DP149,0)</f>
        <v>0</v>
      </c>
      <c r="AM159" s="111">
        <f>[12]GHG_hist!BZ149+IF($M159="incl",[12]LULUCF_hist!DQ149,0)</f>
        <v>0</v>
      </c>
      <c r="AN159" s="111">
        <f>[12]GHG_hist!CA149+IF($M159="incl",[12]LULUCF_hist!DR149,0)</f>
        <v>0</v>
      </c>
      <c r="AO159" s="111">
        <f>[12]GHG_hist!CB149+IF($M159="incl",[12]LULUCF_hist!DS149,0)</f>
        <v>0</v>
      </c>
      <c r="AP159" s="111">
        <f>[12]GHG_hist!CC149+IF($M159="incl",[12]LULUCF_hist!DT149,0)</f>
        <v>0</v>
      </c>
      <c r="AQ159" s="111">
        <f>[12]GHG_hist!CD149+IF($M159="incl",[12]LULUCF_hist!DU149,0)</f>
        <v>0</v>
      </c>
      <c r="AR159" s="111">
        <f>[12]GHG_hist!CE149+IF($M159="incl",[12]LULUCF_hist!DV149,0)</f>
        <v>0</v>
      </c>
      <c r="AS159" s="111">
        <f>[12]GHG_hist!CF149+IF($M159="incl",[12]LULUCF_hist!DW149,0)</f>
        <v>0</v>
      </c>
      <c r="AT159" s="161">
        <f>VLOOKUP($L159,'[12]IMAGE SSP2'!$AF$3:$AK$29,4,FALSE)*$AM159</f>
        <v>0</v>
      </c>
      <c r="AU159" s="162">
        <f>VLOOKUP($L159,'[12]IMAGE SSP2'!$AF$3:$AK$29,5,FALSE)*$AM159</f>
        <v>0</v>
      </c>
      <c r="AV159" s="163">
        <f>VLOOKUP($L159,'[12]IMAGE SSP2'!$AF$3:$AK$29,6,FALSE)*$AM159</f>
        <v>0</v>
      </c>
      <c r="AW159" s="111" t="str">
        <f t="shared" si="119"/>
        <v/>
      </c>
      <c r="AX159" s="164" t="str">
        <f>IF(A159="B",IF(M159="excl",[12]NatCom!CO149,[12]NatCom!AX149),"")</f>
        <v/>
      </c>
      <c r="AY159" s="111" t="str">
        <f>IF('[12]Pledge 2020'!E149="","",'[12]Pledge 2020'!E149)</f>
        <v/>
      </c>
      <c r="AZ159" s="164" t="str">
        <f>IF('[12]Pledge 2020'!F149="","",'[12]Pledge 2020'!F149)</f>
        <v/>
      </c>
      <c r="BA159" s="111" t="str">
        <f t="shared" si="100"/>
        <v/>
      </c>
      <c r="BB159" s="111"/>
      <c r="BC159" s="111" t="str">
        <f t="shared" si="101"/>
        <v/>
      </c>
      <c r="BD159" s="111"/>
      <c r="BE159" s="111" t="s">
        <v>2477</v>
      </c>
      <c r="BF159" s="111"/>
      <c r="BG159" s="111" t="s">
        <v>2477</v>
      </c>
      <c r="BH159" s="164"/>
      <c r="BI159" s="111" t="str">
        <f>IF([12]NDCs!V161="",IF([12]NDCs!X161="","",[12]NDCs!X161),[12]NDCs!V161)</f>
        <v/>
      </c>
      <c r="BJ159" s="111" t="str">
        <f>IF([12]NDCs!V161="",IF([12]NDCs!X161="","",[12]NDCs!X161),[12]NDCs!V161)</f>
        <v/>
      </c>
      <c r="BK159" s="111" t="str">
        <f>IF([12]NDCs!Z161="",IF([12]NDCs!AB161="",IF('input site'!BE159="","",'input site'!BE159),[12]NDCs!AB161),[12]NDCs!Z161)</f>
        <v/>
      </c>
      <c r="BL159" s="111" t="str">
        <f>IF([12]NDCs!AA161="",IF([12]NDCs!AC161="",IF('input site'!BF159="","",'input site'!BF159),[12]NDCs!AC161),[12]NDCs!AA161)</f>
        <v/>
      </c>
      <c r="BM159" s="111">
        <f>IF($BI$8=2015,VLOOKUP($L159,'[12]IMAGE CurPol SSP'!$AZ$3:$BD$29,4,FALSE)*$AM159,IF($BI$8=2018,VLOOKUP($L159,'[12]IMAGE CurPol SSP'!$BJ$3:$BN$29,4,FALSE)*$AP159,$AR159))</f>
        <v>0</v>
      </c>
      <c r="BN159" s="111">
        <f t="shared" si="122"/>
        <v>0</v>
      </c>
      <c r="BO159" s="111">
        <f t="shared" si="122"/>
        <v>0</v>
      </c>
      <c r="BP159" s="111">
        <f>IF($BI$8=2015,VLOOKUP($L159,'[12]IMAGE CurPol SSP'!$AZ$3:$BD$29,5,FALSE)*$AM159,IF($BI$8=2018,VLOOKUP($L159,'[12]IMAGE CurPol SSP'!$BJ$3:$BN$29,5,FALSE)*$AP159,VLOOKUP($L159,'[12]IMAGE CurPol SSP'!$BU$3:$BZ$29,5,FALSE)*$AS159))</f>
        <v>0</v>
      </c>
      <c r="BQ159" s="111">
        <f>IF($BI$8=2015,"",IF($BI$8=2018,"",VLOOKUP($L159,'[12]IMAGE CurPol SSP'!$CQ$3:$CV$29,5,FALSE)*$AS159))</f>
        <v>0</v>
      </c>
      <c r="BR159" s="111">
        <f>IF($BI$8=2015,"",IF($BI$8=2018,"",VLOOKUP($L159,'[12]IMAGE CurPol SSP'!$CF$3:$CK$29,5,FALSE)*$AS159))</f>
        <v>0</v>
      </c>
      <c r="BS159" s="111">
        <f>IF($BI$8=2015,VLOOKUP($L159,'[12]IMAGE CurPol SSP'!$AZ$3:$BE$29,6,FALSE)*$AM159,IF($BI$8=2018,VLOOKUP($L159,'[12]IMAGE CurPol SSP'!$BJ$3:$BO$29,6,FALSE)*$AP159,VLOOKUP($L159,'[12]IMAGE CurPol SSP'!$BU$3:$BZ$29,6,FALSE)*$AS159))</f>
        <v>0</v>
      </c>
      <c r="BT159" s="111">
        <f>IF($BI$8=2015,"",IF($BI$8=2018,"",VLOOKUP($L159,'[12]IMAGE CurPol SSP'!$CQ$3:$CV$29,6,FALSE)*$AS159))</f>
        <v>0</v>
      </c>
      <c r="BU159" s="164">
        <f>IF($BI$8=2015,"",IF($BI$8=2018,"",VLOOKUP($L159,'[12]IMAGE CurPol SSP'!$CF$3:$CK$29,6,FALSE)*$AS159))</f>
        <v>0</v>
      </c>
      <c r="CN159" t="s">
        <v>347</v>
      </c>
      <c r="CO159" s="165" t="str">
        <f t="shared" si="114"/>
        <v/>
      </c>
      <c r="CP159" s="165" t="str">
        <f t="shared" si="114"/>
        <v/>
      </c>
      <c r="CQ159" s="165" t="str">
        <f t="shared" si="114"/>
        <v/>
      </c>
      <c r="CR159" s="165" t="str">
        <f t="shared" si="114"/>
        <v/>
      </c>
      <c r="CV159" s="125" t="s">
        <v>621</v>
      </c>
      <c r="CW159" s="125" t="s">
        <v>621</v>
      </c>
      <c r="CX159" s="208">
        <f>AP159/$AP$255</f>
        <v>0</v>
      </c>
      <c r="CY159" s="167">
        <f t="shared" si="115"/>
        <v>0</v>
      </c>
      <c r="DB159" s="106"/>
      <c r="DC159" s="106"/>
      <c r="DD159" s="106"/>
      <c r="DE159" s="106"/>
      <c r="DF159" s="106"/>
      <c r="DG159" s="105" t="str">
        <f t="shared" si="116"/>
        <v>excl</v>
      </c>
      <c r="DH159" t="s">
        <v>347</v>
      </c>
      <c r="DI159" s="111">
        <f t="shared" si="105"/>
        <v>0</v>
      </c>
      <c r="DJ159" s="111">
        <f t="shared" si="105"/>
        <v>0</v>
      </c>
      <c r="DK159" s="111">
        <f t="shared" si="106"/>
        <v>0</v>
      </c>
      <c r="DL159" s="111">
        <f t="shared" si="107"/>
        <v>0</v>
      </c>
      <c r="DM159" s="111">
        <f t="shared" si="108"/>
        <v>0</v>
      </c>
      <c r="DN159" s="111">
        <f t="shared" si="109"/>
        <v>0</v>
      </c>
      <c r="DO159" s="111">
        <f t="shared" si="110"/>
        <v>0</v>
      </c>
      <c r="DP159" s="111">
        <f t="shared" si="111"/>
        <v>0</v>
      </c>
      <c r="DQ159" s="106"/>
      <c r="DR159" s="106"/>
      <c r="DS159" s="111"/>
      <c r="DT159" s="168"/>
      <c r="DW159" s="111">
        <f t="shared" si="117"/>
        <v>0</v>
      </c>
      <c r="DX159" s="111">
        <f t="shared" si="117"/>
        <v>0</v>
      </c>
      <c r="DY159" s="111">
        <f t="shared" si="117"/>
        <v>0</v>
      </c>
      <c r="DZ159" s="111">
        <f t="shared" si="117"/>
        <v>0</v>
      </c>
      <c r="EP159" t="s">
        <v>347</v>
      </c>
      <c r="EQ159">
        <v>0</v>
      </c>
      <c r="ER159" s="111">
        <f t="shared" si="118"/>
        <v>0</v>
      </c>
      <c r="ES159" s="111">
        <f>IF($BI$8=2015,VLOOKUP($L159,'[12]IMAGE CDLINKS CurPol'!$P$3:$Y$29,10,FALSE)*$AM159,VLOOKUP($L159,'[12]IMAGE CDLINKS CurPol'!$Z$3:$AI$29,10,FALSE)*$AP159)</f>
        <v>0</v>
      </c>
      <c r="ET159" s="111">
        <f t="shared" si="86"/>
        <v>0</v>
      </c>
      <c r="EU159" s="111">
        <f t="shared" si="120"/>
        <v>0</v>
      </c>
      <c r="EV159" s="111">
        <f>IF($BI$8=2015,VLOOKUP($L159,'[12]IMAGE CDLINKS 2C'!$P$3:$Y$29,10,FALSE)*$AM159,VLOOKUP($L159,'[12]IMAGE CDLINKS 2C'!$Z$3:$AI$29,10,FALSE)*$AP159)</f>
        <v>0</v>
      </c>
      <c r="EY159" s="111">
        <f t="shared" si="121"/>
        <v>0</v>
      </c>
      <c r="EZ159" s="111">
        <f>IF($BI$8=2015,VLOOKUP($L159,'[12]IMAGE CDLINKS 1_5C'!$P$3:$Y$29,10,FALSE)*$AM159,VLOOKUP($L159,'[12]IMAGE CDLINKS 1_5C'!$Z$3:$AI$29,10,FALSE)*$AP159)</f>
        <v>0</v>
      </c>
      <c r="FA159" s="192"/>
    </row>
    <row r="160" spans="1:157" x14ac:dyDescent="0.25">
      <c r="A160" t="str">
        <f>IF([12]NDCs!C162="","",[12]NDCs!C162)</f>
        <v>A</v>
      </c>
      <c r="B160" s="159" t="str">
        <f t="shared" si="112"/>
        <v>v</v>
      </c>
      <c r="C160">
        <v>0</v>
      </c>
      <c r="D160">
        <v>0</v>
      </c>
      <c r="E160">
        <v>0</v>
      </c>
      <c r="F160">
        <v>1</v>
      </c>
      <c r="G160" t="b">
        <f t="shared" si="113"/>
        <v>1</v>
      </c>
      <c r="H160" t="s">
        <v>2335</v>
      </c>
      <c r="I160" t="s">
        <v>349</v>
      </c>
      <c r="J160">
        <v>578</v>
      </c>
      <c r="K160">
        <v>147</v>
      </c>
      <c r="L160">
        <v>11</v>
      </c>
      <c r="M160" t="str">
        <f>IF([12]NDCs!AL162="Excluding","excl","incl")</f>
        <v>excl</v>
      </c>
      <c r="N160" s="160">
        <f>[12]GHG_hist!BA150+IF($M160="incl",[12]LULUCF_hist!CR150,0)</f>
        <v>51.012849000000003</v>
      </c>
      <c r="O160" s="111">
        <f>[12]GHG_hist!BB150+IF($M160="incl",[12]LULUCF_hist!CS150,0)</f>
        <v>48.583017999999996</v>
      </c>
      <c r="P160" s="111">
        <f>[12]GHG_hist!BC150+IF($M160="incl",[12]LULUCF_hist!CT150,0)</f>
        <v>46.839500000000001</v>
      </c>
      <c r="Q160" s="111">
        <f>[12]GHG_hist!BD150+IF($M160="incl",[12]LULUCF_hist!CU150,0)</f>
        <v>48.751411999999995</v>
      </c>
      <c r="R160" s="111">
        <f>[12]GHG_hist!BE150+IF($M160="incl",[12]LULUCF_hist!CV150,0)</f>
        <v>50.616116000000005</v>
      </c>
      <c r="S160" s="111">
        <f>[12]GHG_hist!BF150+IF($M160="incl",[12]LULUCF_hist!CW150,0)</f>
        <v>50.962111</v>
      </c>
      <c r="T160" s="111">
        <f>[12]GHG_hist!BG150+IF($M160="incl",[12]LULUCF_hist!CX150,0)</f>
        <v>53.830756999999998</v>
      </c>
      <c r="U160" s="111">
        <f>[12]GHG_hist!BH150+IF($M160="incl",[12]LULUCF_hist!CY150,0)</f>
        <v>53.780286000000004</v>
      </c>
      <c r="V160" s="111">
        <f>[12]GHG_hist!BI150+IF($M160="incl",[12]LULUCF_hist!CZ150,0)</f>
        <v>53.879365</v>
      </c>
      <c r="W160" s="111">
        <f>[12]GHG_hist!BJ150+IF($M160="incl",[12]LULUCF_hist!DA150,0)</f>
        <v>54.873728999999997</v>
      </c>
      <c r="X160" s="111">
        <f>[12]GHG_hist!BK150+IF($M160="incl",[12]LULUCF_hist!DB150,0)</f>
        <v>54.138190000000002</v>
      </c>
      <c r="Y160" s="111">
        <f>[12]GHG_hist!BL150+IF($M160="incl",[12]LULUCF_hist!DC150,0)</f>
        <v>55.358823999999998</v>
      </c>
      <c r="Z160" s="111">
        <f>[12]GHG_hist!BM150+IF($M160="incl",[12]LULUCF_hist!DD150,0)</f>
        <v>54.297794000000003</v>
      </c>
      <c r="AA160" s="111">
        <f>[12]GHG_hist!BN150+IF($M160="incl",[12]LULUCF_hist!DE150,0)</f>
        <v>55.012088000000006</v>
      </c>
      <c r="AB160" s="111">
        <f>[12]GHG_hist!BO150+IF($M160="incl",[12]LULUCF_hist!DF150,0)</f>
        <v>55.515572999999996</v>
      </c>
      <c r="AC160" s="111">
        <f>[12]GHG_hist!BP150+IF($M160="incl",[12]LULUCF_hist!DG150,0)</f>
        <v>54.580879000000003</v>
      </c>
      <c r="AD160" s="111">
        <f>[12]GHG_hist!BQ150+IF($M160="incl",[12]LULUCF_hist!DH150,0)</f>
        <v>54.659680999999999</v>
      </c>
      <c r="AE160" s="111">
        <f>[12]GHG_hist!BR150+IF($M160="incl",[12]LULUCF_hist!DI150,0)</f>
        <v>56.352794000000003</v>
      </c>
      <c r="AF160" s="111">
        <f>[12]GHG_hist!BS150+IF($M160="incl",[12]LULUCF_hist!DJ150,0)</f>
        <v>54.915506999999998</v>
      </c>
      <c r="AG160" s="111">
        <f>[12]GHG_hist!BT150+IF($M160="incl",[12]LULUCF_hist!DK150,0)</f>
        <v>52.470858999999997</v>
      </c>
      <c r="AH160" s="111">
        <f>[12]GHG_hist!BU150+IF($M160="incl",[12]LULUCF_hist!DL150,0)</f>
        <v>54.856500999999994</v>
      </c>
      <c r="AI160" s="111">
        <f>[12]GHG_hist!BV150+IF($M160="incl",[12]LULUCF_hist!DM150,0)</f>
        <v>53.947814000000001</v>
      </c>
      <c r="AJ160" s="111">
        <f>[12]GHG_hist!BW150+IF($M160="incl",[12]LULUCF_hist!DN150,0)</f>
        <v>53.333992000000002</v>
      </c>
      <c r="AK160" s="111">
        <f>[12]GHG_hist!BX150+IF($M160="incl",[12]LULUCF_hist!DO150,0)</f>
        <v>53.557659000000001</v>
      </c>
      <c r="AL160" s="111">
        <f>[12]GHG_hist!BY150+IF($M160="incl",[12]LULUCF_hist!DP150,0)</f>
        <v>53.842154000000001</v>
      </c>
      <c r="AM160" s="111">
        <f>[12]GHG_hist!BZ150+IF($M160="incl",[12]LULUCF_hist!DQ150,0)</f>
        <v>54.293167000000004</v>
      </c>
      <c r="AN160" s="111">
        <f>[12]GHG_hist!CA150+IF($M160="incl",[12]LULUCF_hist!DR150,0)</f>
        <v>53.384286000000003</v>
      </c>
      <c r="AO160" s="111">
        <f>[12]GHG_hist!CB150+IF($M160="incl",[12]LULUCF_hist!DS150,0)</f>
        <v>52.596992</v>
      </c>
      <c r="AP160" s="111">
        <f>[12]GHG_hist!CC150+IF($M160="incl",[12]LULUCF_hist!DT150,0)</f>
        <v>52.630369000000002</v>
      </c>
      <c r="AQ160" s="111">
        <f>[12]GHG_hist!CD150+IF($M160="incl",[12]LULUCF_hist!DU150,0)</f>
        <v>50.933108000000004</v>
      </c>
      <c r="AR160" s="111">
        <f>[12]GHG_hist!CE150+IF($M160="incl",[12]LULUCF_hist!DV150,0)</f>
        <v>49.178160000000005</v>
      </c>
      <c r="AS160" s="111">
        <f>[12]GHG_hist!CF150+IF($M160="incl",[12]LULUCF_hist!DW150,0)</f>
        <v>48.869427000000002</v>
      </c>
      <c r="AT160" s="161">
        <f>VLOOKUP($L160,'[12]IMAGE SSP2'!$AF$3:$AK$29,4,FALSE)*$AM160</f>
        <v>52.794537141036443</v>
      </c>
      <c r="AU160" s="162">
        <f>VLOOKUP($L160,'[12]IMAGE SSP2'!$AF$3:$AK$29,5,FALSE)*$AM160</f>
        <v>51.046967339066072</v>
      </c>
      <c r="AV160" s="163">
        <f>VLOOKUP($L160,'[12]IMAGE SSP2'!$AF$3:$AK$29,6,FALSE)*$AM160</f>
        <v>50.762935261840795</v>
      </c>
      <c r="AW160" s="111" t="str">
        <f t="shared" si="119"/>
        <v/>
      </c>
      <c r="AX160" s="164" t="str">
        <f>IF(A160="B",IF(M160="excl",[12]NatCom!CO150,[12]NatCom!AX150),"")</f>
        <v/>
      </c>
      <c r="AY160" s="111">
        <f>IF('[12]Pledge 2020'!E150="","",'[12]Pledge 2020'!E150)</f>
        <v>35.498712379368733</v>
      </c>
      <c r="AZ160" s="164">
        <f>IF('[12]Pledge 2020'!F150="","",'[12]Pledge 2020'!F150)</f>
        <v>30.427467753744629</v>
      </c>
      <c r="BA160" s="111">
        <f>IF(BE160="","",(BE160-AH160)*0.75+AH160)</f>
        <v>32.731292596090391</v>
      </c>
      <c r="BB160" s="111">
        <f>IF(BF160="","",(BF160-AH160)*0.75+AH160)</f>
        <v>32.731292596090391</v>
      </c>
      <c r="BC160" s="111">
        <f t="shared" si="101"/>
        <v>32.731292596090391</v>
      </c>
      <c r="BD160" s="111">
        <f>IF(BH160="","",(BH160-AH160)*0.75+AH160)</f>
        <v>32.731292596090391</v>
      </c>
      <c r="BE160" s="169">
        <v>25.356223128120526</v>
      </c>
      <c r="BF160" s="169">
        <v>25.356223128120526</v>
      </c>
      <c r="BG160" s="169">
        <v>25.356223128120526</v>
      </c>
      <c r="BH160" s="170">
        <v>25.356223128120526</v>
      </c>
      <c r="BI160" s="111">
        <f>IF([12]NDCs!V162="",IF([12]NDCs!X162="","",[12]NDCs!X162),[12]NDCs!V162)</f>
        <v>30.427467753744629</v>
      </c>
      <c r="BJ160" s="111">
        <f>IF([12]NDCs!V162="",IF([12]NDCs!X162="","",[12]NDCs!X162),[12]NDCs!V162)</f>
        <v>30.427467753744629</v>
      </c>
      <c r="BK160" s="111">
        <f>IF([12]NDCs!Z162="",IF([12]NDCs!AB162="",IF('input site'!BE160="","",'input site'!BE160),[12]NDCs!AB162),[12]NDCs!Z162)</f>
        <v>25.356223128120526</v>
      </c>
      <c r="BL160" s="111">
        <f>IF([12]NDCs!AA162="",IF([12]NDCs!AC162="",IF('input site'!BF160="","",'input site'!BF160),[12]NDCs!AC162),[12]NDCs!AA162)</f>
        <v>25.356223128120526</v>
      </c>
      <c r="BM160" s="205">
        <f>[12]NatCom!CE150</f>
        <v>51</v>
      </c>
      <c r="BN160" s="111">
        <f t="shared" si="122"/>
        <v>49.178160000000005</v>
      </c>
      <c r="BO160" s="111">
        <f t="shared" si="122"/>
        <v>49.178160000000005</v>
      </c>
      <c r="BP160" s="205">
        <f>[12]NatCom!$CJ150</f>
        <v>48</v>
      </c>
      <c r="BQ160" s="111">
        <f>IF($BI$8=2015,"",IF($BI$8=2018,"",VLOOKUP($L160,'[12]IMAGE CurPol SSP'!$CQ$3:$CV$29,5,FALSE)*$AS160))</f>
        <v>38.525317754014154</v>
      </c>
      <c r="BR160" s="111">
        <f>IF($BI$8=2015,"",IF($BI$8=2018,"",VLOOKUP($L160,'[12]IMAGE CurPol SSP'!$CF$3:$CK$29,5,FALSE)*$AS160))</f>
        <v>40.316868040273725</v>
      </c>
      <c r="BS160" s="205">
        <f>[12]NatCom!$CO150</f>
        <v>45</v>
      </c>
      <c r="BT160" s="111">
        <f>IF($BI$8=2015,"",IF($BI$8=2018,"",VLOOKUP($L160,'[12]IMAGE CurPol SSP'!$CQ$3:$CV$29,6,FALSE)*$AS160))</f>
        <v>25.498643751844991</v>
      </c>
      <c r="BU160" s="164">
        <f>IF($BI$8=2015,"",IF($BI$8=2018,"",VLOOKUP($L160,'[12]IMAGE CurPol SSP'!$CF$3:$CK$29,6,FALSE)*$AS160))</f>
        <v>28.655865450088854</v>
      </c>
      <c r="CN160" t="s">
        <v>349</v>
      </c>
      <c r="CO160" s="165">
        <f t="shared" si="114"/>
        <v>-0.43652837493065499</v>
      </c>
      <c r="CP160" s="165">
        <f t="shared" si="114"/>
        <v>-0.43652837493065499</v>
      </c>
      <c r="CQ160" s="165">
        <f t="shared" si="114"/>
        <v>-0.43652837493065499</v>
      </c>
      <c r="CR160" s="165">
        <f t="shared" si="114"/>
        <v>-0.43652837493065499</v>
      </c>
      <c r="CS160" s="159"/>
      <c r="CU160" s="159"/>
      <c r="CV160" s="125" t="s">
        <v>621</v>
      </c>
      <c r="CW160" s="125" t="s">
        <v>621</v>
      </c>
      <c r="CX160"/>
      <c r="CY160" s="167">
        <f t="shared" si="115"/>
        <v>1.794537141036443</v>
      </c>
      <c r="DB160" s="106"/>
      <c r="DC160" s="106"/>
      <c r="DD160" s="106"/>
      <c r="DE160" s="106"/>
      <c r="DF160" s="106"/>
      <c r="DG160" s="105" t="str">
        <f t="shared" si="116"/>
        <v>excl</v>
      </c>
      <c r="DH160" t="s">
        <v>349</v>
      </c>
      <c r="DI160" s="111">
        <f t="shared" si="105"/>
        <v>-15.501287620631267</v>
      </c>
      <c r="DJ160" s="111">
        <f t="shared" si="105"/>
        <v>-20.572532246255371</v>
      </c>
      <c r="DK160" s="111">
        <f t="shared" si="106"/>
        <v>-15.268707403909609</v>
      </c>
      <c r="DL160" s="111">
        <f t="shared" si="107"/>
        <v>-15.268707403909609</v>
      </c>
      <c r="DM160" s="111">
        <f t="shared" si="108"/>
        <v>-19.643776871879474</v>
      </c>
      <c r="DN160" s="111">
        <f t="shared" si="109"/>
        <v>-19.643776871879474</v>
      </c>
      <c r="DO160" s="111">
        <f t="shared" si="110"/>
        <v>-14.572532246255371</v>
      </c>
      <c r="DP160" s="111">
        <f t="shared" si="111"/>
        <v>-19.643776871879474</v>
      </c>
      <c r="DQ160" s="106"/>
      <c r="DR160" s="106"/>
      <c r="DS160" s="111"/>
      <c r="DT160" s="168"/>
      <c r="DW160" s="111">
        <f t="shared" si="117"/>
        <v>25.356223128120526</v>
      </c>
      <c r="DX160" s="111">
        <f t="shared" si="117"/>
        <v>25.356223128120526</v>
      </c>
      <c r="DY160" s="111">
        <f t="shared" si="117"/>
        <v>25.356223128120526</v>
      </c>
      <c r="DZ160" s="111">
        <f t="shared" si="117"/>
        <v>25.356223128120526</v>
      </c>
      <c r="EP160" t="s">
        <v>349</v>
      </c>
      <c r="EQ160">
        <v>4</v>
      </c>
      <c r="ER160" s="111">
        <f t="shared" si="118"/>
        <v>52.630369000000002</v>
      </c>
      <c r="ES160" s="111">
        <f>IF($BI$8=2015,VLOOKUP($L160,'[12]IMAGE CDLINKS CurPol'!$P$3:$Y$29,10,FALSE)*$AM160,VLOOKUP($L160,'[12]IMAGE CDLINKS CurPol'!$Z$3:$AI$29,10,FALSE)*$AP160)</f>
        <v>50.432697284338786</v>
      </c>
      <c r="ET160" s="111">
        <f t="shared" si="86"/>
        <v>0</v>
      </c>
      <c r="EU160" s="111">
        <f t="shared" si="120"/>
        <v>0</v>
      </c>
      <c r="EV160" s="111">
        <f>IF($BI$8=2015,VLOOKUP($L160,'[12]IMAGE CDLINKS 2C'!$P$3:$Y$29,10,FALSE)*$AM160,VLOOKUP($L160,'[12]IMAGE CDLINKS 2C'!$Z$3:$AI$29,10,FALSE)*$AP160)</f>
        <v>10.745154629667532</v>
      </c>
      <c r="EW160">
        <v>0</v>
      </c>
      <c r="EX160" s="111">
        <f>EW160-EV160</f>
        <v>-10.745154629667532</v>
      </c>
      <c r="EY160" s="111">
        <f t="shared" si="121"/>
        <v>0</v>
      </c>
      <c r="EZ160" s="111">
        <f>IF($BI$8=2015,VLOOKUP($L160,'[12]IMAGE CDLINKS 1_5C'!$P$3:$Y$29,10,FALSE)*$AM160,VLOOKUP($L160,'[12]IMAGE CDLINKS 1_5C'!$Z$3:$AI$29,10,FALSE)*$AP160)</f>
        <v>5.9434018720557171</v>
      </c>
      <c r="FA160" s="192" t="s">
        <v>2347</v>
      </c>
    </row>
    <row r="161" spans="1:157" x14ac:dyDescent="0.25">
      <c r="A161" t="str">
        <f>IF([12]NDCs!C163="","",[12]NDCs!C163)</f>
        <v>B</v>
      </c>
      <c r="B161" s="159" t="str">
        <f t="shared" si="112"/>
        <v>v</v>
      </c>
      <c r="C161">
        <v>0</v>
      </c>
      <c r="D161">
        <v>0</v>
      </c>
      <c r="E161">
        <v>0</v>
      </c>
      <c r="F161">
        <v>1</v>
      </c>
      <c r="G161" t="b">
        <f t="shared" si="113"/>
        <v>1</v>
      </c>
      <c r="H161" t="s">
        <v>2328</v>
      </c>
      <c r="I161" t="s">
        <v>351</v>
      </c>
      <c r="J161">
        <v>512</v>
      </c>
      <c r="K161">
        <v>133</v>
      </c>
      <c r="L161">
        <v>17</v>
      </c>
      <c r="M161" t="str">
        <f>IF([12]NDCs!AL163="Excluding","excl","incl")</f>
        <v>excl</v>
      </c>
      <c r="N161" s="160">
        <f>[12]GHG_hist!BA151+IF($M161="incl",[12]LULUCF_hist!CR151,0)</f>
        <v>29.252390999999999</v>
      </c>
      <c r="O161" s="111">
        <f>[12]GHG_hist!BB151+IF($M161="incl",[12]LULUCF_hist!CS151,0)</f>
        <v>33.295095000000003</v>
      </c>
      <c r="P161" s="111">
        <f>[12]GHG_hist!BC151+IF($M161="incl",[12]LULUCF_hist!CT151,0)</f>
        <v>32.148824000000005</v>
      </c>
      <c r="Q161" s="111">
        <f>[12]GHG_hist!BD151+IF($M161="incl",[12]LULUCF_hist!CU151,0)</f>
        <v>32.73518</v>
      </c>
      <c r="R161" s="111">
        <f>[12]GHG_hist!BE151+IF($M161="incl",[12]LULUCF_hist!CV151,0)</f>
        <v>34.825258999999996</v>
      </c>
      <c r="S161" s="111">
        <f>[12]GHG_hist!BF151+IF($M161="incl",[12]LULUCF_hist!CW151,0)</f>
        <v>35.119191000000001</v>
      </c>
      <c r="T161" s="111">
        <f>[12]GHG_hist!BG151+IF($M161="incl",[12]LULUCF_hist!CX151,0)</f>
        <v>33.602627999999996</v>
      </c>
      <c r="U161" s="111">
        <f>[12]GHG_hist!BH151+IF($M161="incl",[12]LULUCF_hist!CY151,0)</f>
        <v>35.500990000000002</v>
      </c>
      <c r="V161" s="111">
        <f>[12]GHG_hist!BI151+IF($M161="incl",[12]LULUCF_hist!CZ151,0)</f>
        <v>32.302019000000001</v>
      </c>
      <c r="W161" s="111">
        <f>[12]GHG_hist!BJ151+IF($M161="incl",[12]LULUCF_hist!DA151,0)</f>
        <v>34.603354000000003</v>
      </c>
      <c r="X161" s="111">
        <f>[12]GHG_hist!BK151+IF($M161="incl",[12]LULUCF_hist!DB151,0)</f>
        <v>35.809877999999998</v>
      </c>
      <c r="Y161" s="111">
        <f>[12]GHG_hist!BL151+IF($M161="incl",[12]LULUCF_hist!DC151,0)</f>
        <v>38.983607000000006</v>
      </c>
      <c r="Z161" s="111">
        <f>[12]GHG_hist!BM151+IF($M161="incl",[12]LULUCF_hist!DD151,0)</f>
        <v>44.381253000000001</v>
      </c>
      <c r="AA161" s="111">
        <f>[12]GHG_hist!BN151+IF($M161="incl",[12]LULUCF_hist!DE151,0)</f>
        <v>53.552820000000004</v>
      </c>
      <c r="AB161" s="111">
        <f>[12]GHG_hist!BO151+IF($M161="incl",[12]LULUCF_hist!DF151,0)</f>
        <v>52.177843000000003</v>
      </c>
      <c r="AC161" s="111">
        <f>[12]GHG_hist!BP151+IF($M161="incl",[12]LULUCF_hist!DG151,0)</f>
        <v>54.859262000000001</v>
      </c>
      <c r="AD161" s="111">
        <f>[12]GHG_hist!BQ151+IF($M161="incl",[12]LULUCF_hist!DH151,0)</f>
        <v>62.216074999999996</v>
      </c>
      <c r="AE161" s="111">
        <f>[12]GHG_hist!BR151+IF($M161="incl",[12]LULUCF_hist!DI151,0)</f>
        <v>65.796487999999997</v>
      </c>
      <c r="AF161" s="111">
        <f>[12]GHG_hist!BS151+IF($M161="incl",[12]LULUCF_hist!DJ151,0)</f>
        <v>65.895433999999995</v>
      </c>
      <c r="AG161" s="111">
        <f>[12]GHG_hist!BT151+IF($M161="incl",[12]LULUCF_hist!DK151,0)</f>
        <v>65.400727000000003</v>
      </c>
      <c r="AH161" s="111">
        <f>[12]GHG_hist!BU151+IF($M161="incl",[12]LULUCF_hist!DL151,0)</f>
        <v>71.566344999999998</v>
      </c>
      <c r="AI161" s="111">
        <f>[12]GHG_hist!BV151+IF($M161="incl",[12]LULUCF_hist!DM151,0)</f>
        <v>79.746589999999998</v>
      </c>
      <c r="AJ161" s="111">
        <f>[12]GHG_hist!BW151+IF($M161="incl",[12]LULUCF_hist!DN151,0)</f>
        <v>88.067458000000002</v>
      </c>
      <c r="AK161" s="111">
        <f>[12]GHG_hist!BX151+IF($M161="incl",[12]LULUCF_hist!DO151,0)</f>
        <v>94.176451</v>
      </c>
      <c r="AL161" s="111">
        <f>[12]GHG_hist!BY151+IF($M161="incl",[12]LULUCF_hist!DP151,0)</f>
        <v>94.402244999999994</v>
      </c>
      <c r="AM161" s="111">
        <f>[12]GHG_hist!BZ151+IF($M161="incl",[12]LULUCF_hist!DQ151,0)</f>
        <v>97.914892999999992</v>
      </c>
      <c r="AN161" s="111">
        <f>[12]GHG_hist!CA151+IF($M161="incl",[12]LULUCF_hist!DR151,0)</f>
        <v>100.19772999999999</v>
      </c>
      <c r="AO161" s="111">
        <f>[12]GHG_hist!CB151+IF($M161="incl",[12]LULUCF_hist!DS151,0)</f>
        <v>102.02458</v>
      </c>
      <c r="AP161" s="111">
        <f>[12]GHG_hist!CC151+IF($M161="incl",[12]LULUCF_hist!DT151,0)</f>
        <v>105.75151</v>
      </c>
      <c r="AQ161" s="111">
        <f>[12]GHG_hist!CD151+IF($M161="incl",[12]LULUCF_hist!DU151,0)</f>
        <v>107.07163000000001</v>
      </c>
      <c r="AR161" s="111">
        <f>[12]GHG_hist!CE151+IF($M161="incl",[12]LULUCF_hist!DV151,0)</f>
        <v>105.24821000000001</v>
      </c>
      <c r="AS161" s="111">
        <f>[12]GHG_hist!CF151+IF($M161="incl",[12]LULUCF_hist!DW151,0)</f>
        <v>110.04008999999999</v>
      </c>
      <c r="AT161" s="161">
        <f>VLOOKUP($L161,'[12]IMAGE SSP2'!$AF$3:$AK$29,4,FALSE)*$AM161</f>
        <v>108.8834616172868</v>
      </c>
      <c r="AU161" s="162">
        <f>VLOOKUP($L161,'[12]IMAGE SSP2'!$AF$3:$AK$29,5,FALSE)*$AM161</f>
        <v>118.01036416401168</v>
      </c>
      <c r="AV161" s="163">
        <f>VLOOKUP($L161,'[12]IMAGE SSP2'!$AF$3:$AK$29,6,FALSE)*$AM161</f>
        <v>124.94872473871982</v>
      </c>
      <c r="AW161" s="111">
        <f>IF(A161="B",AM161+(AX161-AM161)*0.33333,"")</f>
        <v>95.451286636310002</v>
      </c>
      <c r="AX161" s="164">
        <f>IF(A161="B",IF(M161="excl",[12]NatCom!CO151,[12]NatCom!AX151),"")</f>
        <v>90.524000000000001</v>
      </c>
      <c r="AY161" s="111" t="str">
        <f>IF('[12]Pledge 2020'!E151="","",'[12]Pledge 2020'!E151)</f>
        <v/>
      </c>
      <c r="AZ161" s="164" t="str">
        <f>IF('[12]Pledge 2020'!F151="","",'[12]Pledge 2020'!F151)</f>
        <v/>
      </c>
      <c r="BA161" s="111" t="str">
        <f t="shared" si="100"/>
        <v/>
      </c>
      <c r="BB161" s="111"/>
      <c r="BC161" s="111">
        <f t="shared" si="101"/>
        <v>84.426726250000002</v>
      </c>
      <c r="BD161" s="111">
        <f>IF(BH161="","",(BH161-AH161)*0.75+AH161)</f>
        <v>84.426726250000002</v>
      </c>
      <c r="BE161" s="111" t="s">
        <v>2477</v>
      </c>
      <c r="BF161" s="111"/>
      <c r="BG161" s="111">
        <v>88.713520000000003</v>
      </c>
      <c r="BH161" s="164">
        <v>88.713520000000003</v>
      </c>
      <c r="BI161" s="111" t="str">
        <f>IF([12]NDCs!V163="",IF([12]NDCs!X163="","",[12]NDCs!X163),[12]NDCs!V163)</f>
        <v/>
      </c>
      <c r="BJ161" s="111" t="str">
        <f>IF([12]NDCs!V163="",IF([12]NDCs!X163="","",[12]NDCs!X163),[12]NDCs!V163)</f>
        <v/>
      </c>
      <c r="BK161" s="111">
        <f>IF([12]NDCs!Z163="",IF([12]NDCs!AB163="",IF('input site'!BE161="","",'input site'!BE161),[12]NDCs!AB163),[12]NDCs!Z163)</f>
        <v>88.713520000000003</v>
      </c>
      <c r="BL161" s="111">
        <f>IF([12]NDCs!AA163="",IF([12]NDCs!AC163="",IF('input site'!BF161="","",'input site'!BF161),[12]NDCs!AC163),[12]NDCs!AA163)</f>
        <v>88.713520000000003</v>
      </c>
      <c r="BM161" s="111">
        <f>IF($BI$8=2015,VLOOKUP($L161,'[12]IMAGE CurPol SSP'!$AZ$3:$BD$29,4,FALSE)*$AM161,IF($BI$8=2018,VLOOKUP($L161,'[12]IMAGE CurPol SSP'!$BJ$3:$BN$29,4,FALSE)*$AP161,$AR161))</f>
        <v>105.24821000000001</v>
      </c>
      <c r="BN161" s="111">
        <f t="shared" si="122"/>
        <v>105.24821000000001</v>
      </c>
      <c r="BO161" s="111">
        <f t="shared" si="122"/>
        <v>105.24821000000001</v>
      </c>
      <c r="BP161" s="111">
        <f>IF($BI$8=2015,VLOOKUP($L161,'[12]IMAGE CurPol SSP'!$AZ$3:$BD$29,5,FALSE)*$AM161,IF($BI$8=2018,VLOOKUP($L161,'[12]IMAGE CurPol SSP'!$BJ$3:$BN$29,5,FALSE)*$AP161,VLOOKUP($L161,'[12]IMAGE CurPol SSP'!$BU$3:$BZ$29,5,FALSE)*$AS161))</f>
        <v>109.30453957211142</v>
      </c>
      <c r="BQ161" s="111">
        <f>IF($BI$8=2015,"",IF($BI$8=2018,"",VLOOKUP($L161,'[12]IMAGE CurPol SSP'!$CQ$3:$CV$29,5,FALSE)*$AS161))</f>
        <v>108.23776566378825</v>
      </c>
      <c r="BR161" s="111">
        <f>IF($BI$8=2015,"",IF($BI$8=2018,"",VLOOKUP($L161,'[12]IMAGE CurPol SSP'!$CF$3:$CK$29,5,FALSE)*$AS161))</f>
        <v>111.33023499768083</v>
      </c>
      <c r="BS161" s="111">
        <f>IF($BI$8=2015,VLOOKUP($L161,'[12]IMAGE CurPol SSP'!$AZ$3:$BE$29,6,FALSE)*$AM161,IF($BI$8=2018,VLOOKUP($L161,'[12]IMAGE CurPol SSP'!$BJ$3:$BO$29,6,FALSE)*$AP161,VLOOKUP($L161,'[12]IMAGE CurPol SSP'!$BU$3:$BZ$29,6,FALSE)*$AS161))</f>
        <v>109.26671038383486</v>
      </c>
      <c r="BT161" s="111">
        <f>IF($BI$8=2015,"",IF($BI$8=2018,"",VLOOKUP($L161,'[12]IMAGE CurPol SSP'!$CQ$3:$CV$29,6,FALSE)*$AS161))</f>
        <v>106.73352455753047</v>
      </c>
      <c r="BU161" s="164">
        <f>IF($BI$8=2015,"",IF($BI$8=2018,"",VLOOKUP($L161,'[12]IMAGE CurPol SSP'!$CF$3:$CK$29,6,FALSE)*$AS161))</f>
        <v>113.3217891884145</v>
      </c>
      <c r="CN161" t="s">
        <v>351</v>
      </c>
      <c r="CO161" s="165" t="str">
        <f t="shared" si="114"/>
        <v/>
      </c>
      <c r="CP161" s="165" t="str">
        <f t="shared" si="114"/>
        <v/>
      </c>
      <c r="CQ161" s="165">
        <f t="shared" si="114"/>
        <v>-0.18810111800414864</v>
      </c>
      <c r="CR161" s="165">
        <f t="shared" si="114"/>
        <v>-0.18810111800414864</v>
      </c>
      <c r="CS161" s="159"/>
      <c r="CU161" s="159"/>
      <c r="CV161" s="125" t="s">
        <v>621</v>
      </c>
      <c r="CW161" s="125" t="s">
        <v>621</v>
      </c>
      <c r="CX161" s="159"/>
      <c r="CY161" s="167">
        <f t="shared" si="115"/>
        <v>3.6352516172867837</v>
      </c>
      <c r="CZ161" s="159"/>
      <c r="DB161" s="106"/>
      <c r="DC161" s="106"/>
      <c r="DD161" s="106"/>
      <c r="DE161" s="106"/>
      <c r="DF161" s="106"/>
      <c r="DG161" s="105" t="str">
        <f t="shared" si="116"/>
        <v>excl</v>
      </c>
      <c r="DH161" t="s">
        <v>351</v>
      </c>
      <c r="DI161" s="111">
        <f t="shared" si="105"/>
        <v>0</v>
      </c>
      <c r="DJ161" s="111">
        <f t="shared" si="105"/>
        <v>0</v>
      </c>
      <c r="DK161" s="111">
        <f t="shared" si="106"/>
        <v>0</v>
      </c>
      <c r="DL161" s="111">
        <f t="shared" si="107"/>
        <v>-24.877813322111422</v>
      </c>
      <c r="DM161" s="111">
        <f t="shared" si="108"/>
        <v>0</v>
      </c>
      <c r="DN161" s="111">
        <f t="shared" si="109"/>
        <v>-20.55319038383486</v>
      </c>
      <c r="DO161" s="111">
        <f t="shared" si="110"/>
        <v>0</v>
      </c>
      <c r="DP161" s="111">
        <f t="shared" si="111"/>
        <v>-20.55319038383486</v>
      </c>
      <c r="DQ161" s="106"/>
      <c r="DR161" s="106"/>
      <c r="DS161" s="111"/>
      <c r="DT161" s="168"/>
      <c r="DW161" s="111">
        <f t="shared" si="117"/>
        <v>109.26671038383486</v>
      </c>
      <c r="DX161" s="111">
        <f t="shared" si="117"/>
        <v>109.26671038383486</v>
      </c>
      <c r="DY161" s="111">
        <f t="shared" si="117"/>
        <v>88.713520000000003</v>
      </c>
      <c r="DZ161" s="111">
        <f t="shared" si="117"/>
        <v>88.713520000000003</v>
      </c>
      <c r="EP161" t="s">
        <v>351</v>
      </c>
      <c r="EQ161">
        <v>0</v>
      </c>
      <c r="ER161" s="111">
        <f t="shared" si="118"/>
        <v>105.75151</v>
      </c>
      <c r="ES161" s="111">
        <f>IF($BI$8=2015,VLOOKUP($L161,'[12]IMAGE CDLINKS CurPol'!$P$3:$Y$29,10,FALSE)*$AM161,VLOOKUP($L161,'[12]IMAGE CDLINKS CurPol'!$Z$3:$AI$29,10,FALSE)*$AP161)</f>
        <v>158.23472025623056</v>
      </c>
      <c r="ET161" s="111">
        <f t="shared" si="86"/>
        <v>158.23472025623056</v>
      </c>
      <c r="EU161" s="111">
        <f t="shared" si="120"/>
        <v>53.242941207324456</v>
      </c>
      <c r="EV161" s="111">
        <f>IF($BI$8=2015,VLOOKUP($L161,'[12]IMAGE CDLINKS 2C'!$P$3:$Y$29,10,FALSE)*$AM161,VLOOKUP($L161,'[12]IMAGE CDLINKS 2C'!$Z$3:$AI$29,10,FALSE)*$AP161)</f>
        <v>53.242941207324456</v>
      </c>
      <c r="EY161" s="111">
        <f t="shared" si="121"/>
        <v>9.2743341877713714</v>
      </c>
      <c r="EZ161" s="111">
        <f>IF($BI$8=2015,VLOOKUP($L161,'[12]IMAGE CDLINKS 1_5C'!$P$3:$Y$29,10,FALSE)*$AM161,VLOOKUP($L161,'[12]IMAGE CDLINKS 1_5C'!$Z$3:$AI$29,10,FALSE)*$AP161)</f>
        <v>9.2743341877713714</v>
      </c>
      <c r="FA161" s="192"/>
    </row>
    <row r="162" spans="1:157" x14ac:dyDescent="0.25">
      <c r="A162" t="str">
        <f>IF([12]NDCs!C164="","",[12]NDCs!C164)</f>
        <v>F</v>
      </c>
      <c r="B162" s="159" t="str">
        <f t="shared" si="112"/>
        <v>v</v>
      </c>
      <c r="C162">
        <v>0</v>
      </c>
      <c r="D162">
        <v>0</v>
      </c>
      <c r="E162">
        <v>0</v>
      </c>
      <c r="F162">
        <v>1</v>
      </c>
      <c r="G162" t="b">
        <f t="shared" si="113"/>
        <v>1</v>
      </c>
      <c r="H162" t="s">
        <v>2328</v>
      </c>
      <c r="I162" t="s">
        <v>353</v>
      </c>
      <c r="J162">
        <v>586</v>
      </c>
      <c r="K162">
        <v>152</v>
      </c>
      <c r="L162">
        <v>25</v>
      </c>
      <c r="M162" t="str">
        <f>IF([12]NDCs!AL164="Excluding","excl","incl")</f>
        <v>incl</v>
      </c>
      <c r="N162" s="160">
        <f>[12]GHG_hist!BA152+IF($M162="incl",[12]LULUCF_hist!CR152,0)</f>
        <v>200.77764000000002</v>
      </c>
      <c r="O162" s="111">
        <f>[12]GHG_hist!BB152+IF($M162="incl",[12]LULUCF_hist!CS152,0)</f>
        <v>200.18984</v>
      </c>
      <c r="P162" s="111">
        <f>[12]GHG_hist!BC152+IF($M162="incl",[12]LULUCF_hist!CT152,0)</f>
        <v>209.45556999999999</v>
      </c>
      <c r="Q162" s="111">
        <f>[12]GHG_hist!BD152+IF($M162="incl",[12]LULUCF_hist!CU152,0)</f>
        <v>218.97001</v>
      </c>
      <c r="R162" s="111">
        <f>[12]GHG_hist!BE152+IF($M162="incl",[12]LULUCF_hist!CV152,0)</f>
        <v>229.07312999999999</v>
      </c>
      <c r="S162" s="111">
        <f>[12]GHG_hist!BF152+IF($M162="incl",[12]LULUCF_hist!CW152,0)</f>
        <v>234.03069857142856</v>
      </c>
      <c r="T162" s="111">
        <f>[12]GHG_hist!BG152+IF($M162="incl",[12]LULUCF_hist!CX152,0)</f>
        <v>248.65900714285715</v>
      </c>
      <c r="U162" s="111">
        <f>[12]GHG_hist!BH152+IF($M162="incl",[12]LULUCF_hist!CY152,0)</f>
        <v>252.48928571428573</v>
      </c>
      <c r="V162" s="111">
        <f>[12]GHG_hist!BI152+IF($M162="incl",[12]LULUCF_hist!CZ152,0)</f>
        <v>260.41273428571429</v>
      </c>
      <c r="W162" s="111">
        <f>[12]GHG_hist!BJ152+IF($M162="incl",[12]LULUCF_hist!DA152,0)</f>
        <v>267.78993285714284</v>
      </c>
      <c r="X162" s="111">
        <f>[12]GHG_hist!BK152+IF($M162="incl",[12]LULUCF_hist!DB152,0)</f>
        <v>276.12585142857148</v>
      </c>
      <c r="Y162" s="111">
        <f>[12]GHG_hist!BL152+IF($M162="incl",[12]LULUCF_hist!DC152,0)</f>
        <v>280.40967000000001</v>
      </c>
      <c r="Z162" s="111">
        <f>[12]GHG_hist!BM152+IF($M162="incl",[12]LULUCF_hist!DD152,0)</f>
        <v>293.72759857142853</v>
      </c>
      <c r="AA162" s="111">
        <f>[12]GHG_hist!BN152+IF($M162="incl",[12]LULUCF_hist!DE152,0)</f>
        <v>305.73963714285719</v>
      </c>
      <c r="AB162" s="111">
        <f>[12]GHG_hist!BO152+IF($M162="incl",[12]LULUCF_hist!DF152,0)</f>
        <v>323.86089571428568</v>
      </c>
      <c r="AC162" s="111">
        <f>[12]GHG_hist!BP152+IF($M162="incl",[12]LULUCF_hist!DG152,0)</f>
        <v>335.34356428571425</v>
      </c>
      <c r="AD162" s="111">
        <f>[12]GHG_hist!BQ152+IF($M162="incl",[12]LULUCF_hist!DH152,0)</f>
        <v>353.65503285714283</v>
      </c>
      <c r="AE162" s="111">
        <f>[12]GHG_hist!BR152+IF($M162="incl",[12]LULUCF_hist!DI152,0)</f>
        <v>369.89354142857144</v>
      </c>
      <c r="AF162" s="111">
        <f>[12]GHG_hist!BS152+IF($M162="incl",[12]LULUCF_hist!DJ152,0)</f>
        <v>375.29690999999997</v>
      </c>
      <c r="AG162" s="111">
        <f>[12]GHG_hist!BT152+IF($M162="incl",[12]LULUCF_hist!DK152,0)</f>
        <v>385.11626000000001</v>
      </c>
      <c r="AH162" s="111">
        <f>[12]GHG_hist!BU152+IF($M162="incl",[12]LULUCF_hist!DL152,0)</f>
        <v>382.64798999999999</v>
      </c>
      <c r="AI162" s="111">
        <f>[12]GHG_hist!BV152+IF($M162="incl",[12]LULUCF_hist!DM152,0)</f>
        <v>390.95063000000005</v>
      </c>
      <c r="AJ162" s="111">
        <f>[12]GHG_hist!BW152+IF($M162="incl",[12]LULUCF_hist!DN152,0)</f>
        <v>391.30801000000002</v>
      </c>
      <c r="AK162" s="111">
        <f>[12]GHG_hist!BX152+IF($M162="incl",[12]LULUCF_hist!DO152,0)</f>
        <v>399.19039333333336</v>
      </c>
      <c r="AL162" s="111">
        <f>[12]GHG_hist!BY152+IF($M162="incl",[12]LULUCF_hist!DP152,0)</f>
        <v>408.47276666666664</v>
      </c>
      <c r="AM162" s="111">
        <f>[12]GHG_hist!BZ152+IF($M162="incl",[12]LULUCF_hist!DQ152,0)</f>
        <v>428.24173999999999</v>
      </c>
      <c r="AN162" s="111">
        <f>[12]GHG_hist!CA152+IF($M162="incl",[12]LULUCF_hist!DR152,0)</f>
        <v>471.55489692307697</v>
      </c>
      <c r="AO162" s="111">
        <f>[12]GHG_hist!CB152+IF($M162="incl",[12]LULUCF_hist!DS152,0)</f>
        <v>510.73276601139605</v>
      </c>
      <c r="AP162" s="111">
        <f>[12]GHG_hist!CC152+IF($M162="incl",[12]LULUCF_hist!DT152,0)</f>
        <v>528.10573509971505</v>
      </c>
      <c r="AQ162" s="111">
        <f>[12]GHG_hist!CD152+IF($M162="incl",[12]LULUCF_hist!DU152,0)</f>
        <v>534.70540418803421</v>
      </c>
      <c r="AR162" s="111">
        <f>[12]GHG_hist!CE152+IF($M162="incl",[12]LULUCF_hist!DV152,0)</f>
        <v>559.99829327635325</v>
      </c>
      <c r="AS162" s="111">
        <f>[12]GHG_hist!CF152+IF($M162="incl",[12]LULUCF_hist!DW152,0)</f>
        <v>597.12855236467237</v>
      </c>
      <c r="AT162" s="161">
        <f>VLOOKUP($L162,'[12]IMAGE SSP2'!$AF$3:$AK$29,4,FALSE)*$AM162</f>
        <v>502.38400633808288</v>
      </c>
      <c r="AU162" s="162">
        <f>VLOOKUP($L162,'[12]IMAGE SSP2'!$AF$3:$AK$29,5,FALSE)*$AM162</f>
        <v>583.57402962522144</v>
      </c>
      <c r="AV162" s="163">
        <f>VLOOKUP($L162,'[12]IMAGE SSP2'!$AF$3:$AK$29,6,FALSE)*$AM162</f>
        <v>656.00371197677578</v>
      </c>
      <c r="AW162" s="111" t="str">
        <f t="shared" si="119"/>
        <v/>
      </c>
      <c r="AX162" s="193">
        <f>[12]NDCs!$U$164</f>
        <v>1603</v>
      </c>
      <c r="AY162" s="111" t="str">
        <f>IF('[12]Pledge 2020'!E152="","",'[12]Pledge 2020'!E152)</f>
        <v/>
      </c>
      <c r="AZ162" s="164" t="str">
        <f>IF('[12]Pledge 2020'!F152="","",'[12]Pledge 2020'!F152)</f>
        <v/>
      </c>
      <c r="BA162" s="111" t="str">
        <f t="shared" si="100"/>
        <v/>
      </c>
      <c r="BB162" s="111"/>
      <c r="BC162" s="111">
        <f t="shared" si="101"/>
        <v>696.78699749999998</v>
      </c>
      <c r="BD162" s="111">
        <f>IF(BH162="","",(BH162-AH162)*0.75+AH162)</f>
        <v>696.78699749999998</v>
      </c>
      <c r="BE162" s="111" t="s">
        <v>2477</v>
      </c>
      <c r="BF162" s="111"/>
      <c r="BG162" s="169">
        <v>801.5</v>
      </c>
      <c r="BH162" s="170">
        <v>801.5</v>
      </c>
      <c r="BI162" s="111" t="str">
        <f>IF([12]NDCs!V164="",IF([12]NDCs!X164="","",[12]NDCs!X164),[12]NDCs!V164)</f>
        <v/>
      </c>
      <c r="BJ162" s="111" t="str">
        <f>IF([12]NDCs!V164="",IF([12]NDCs!X164="","",[12]NDCs!X164),[12]NDCs!V164)</f>
        <v/>
      </c>
      <c r="BK162" s="111">
        <f>IF([12]NDCs!Z164="",IF([12]NDCs!AB164="",IF('input site'!BE162="","",'input site'!BE162),[12]NDCs!AB164),[12]NDCs!Z164)</f>
        <v>1282.4000000000001</v>
      </c>
      <c r="BL162" s="111">
        <f>IF([12]NDCs!AA164="",IF([12]NDCs!AC164="",IF('input site'!BF162="","",'input site'!BF162),[12]NDCs!AC164),[12]NDCs!AA164)</f>
        <v>1282.4000000000001</v>
      </c>
      <c r="BM162" s="111">
        <f>IF($BI$8=2015,VLOOKUP($L162,'[12]IMAGE CurPol SSP'!$AZ$3:$BD$29,4,FALSE)*$AM162,IF($BI$8=2018,VLOOKUP($L162,'[12]IMAGE CurPol SSP'!$BJ$3:$BN$29,4,FALSE)*$AP162,$AR162))</f>
        <v>559.99829327635325</v>
      </c>
      <c r="BN162" s="111">
        <f t="shared" ref="BN162:BO167" si="123">IF($BI$8=2015,"",IF($BI$8=2018,"",$AR162))</f>
        <v>559.99829327635325</v>
      </c>
      <c r="BO162" s="111">
        <f t="shared" si="123"/>
        <v>559.99829327635325</v>
      </c>
      <c r="BP162" s="111">
        <f>IF($BI$8=2015,VLOOKUP($L162,'[12]IMAGE CurPol SSP'!$AZ$3:$BD$29,5,FALSE)*$AM162,IF($BI$8=2018,VLOOKUP($L162,'[12]IMAGE CurPol SSP'!$BJ$3:$BN$29,5,FALSE)*$AP162,VLOOKUP($L162,'[12]IMAGE CurPol SSP'!$BU$3:$BZ$29,5,FALSE)*$AS162))</f>
        <v>639.64070032610709</v>
      </c>
      <c r="BQ162" s="111">
        <f>IF($BI$8=2015,"",IF($BI$8=2018,"",VLOOKUP($L162,'[12]IMAGE CurPol SSP'!$CQ$3:$CV$29,5,FALSE)*$AS162))</f>
        <v>633.84168150797075</v>
      </c>
      <c r="BR162" s="111">
        <f>IF($BI$8=2015,"",IF($BI$8=2018,"",VLOOKUP($L162,'[12]IMAGE CurPol SSP'!$CF$3:$CK$29,5,FALSE)*$AS162))</f>
        <v>644.28566098841645</v>
      </c>
      <c r="BS162" s="111">
        <f>IF($BI$8=2015,VLOOKUP($L162,'[12]IMAGE CurPol SSP'!$AZ$3:$BE$29,6,FALSE)*$AM162,IF($BI$8=2018,VLOOKUP($L162,'[12]IMAGE CurPol SSP'!$BJ$3:$BO$29,6,FALSE)*$AP162,VLOOKUP($L162,'[12]IMAGE CurPol SSP'!$BU$3:$BZ$29,6,FALSE)*$AS162))</f>
        <v>726.3646779444681</v>
      </c>
      <c r="BT162" s="111">
        <f>IF($BI$8=2015,"",IF($BI$8=2018,"",VLOOKUP($L162,'[12]IMAGE CurPol SSP'!$CQ$3:$CV$29,6,FALSE)*$AS162))</f>
        <v>712.92172010225056</v>
      </c>
      <c r="BU162" s="164">
        <f>IF($BI$8=2015,"",IF($BI$8=2018,"",VLOOKUP($L162,'[12]IMAGE CurPol SSP'!$CF$3:$CK$29,6,FALSE)*$AS162))</f>
        <v>726.3646779444681</v>
      </c>
      <c r="CN162" t="s">
        <v>353</v>
      </c>
      <c r="CO162" s="165" t="str">
        <f t="shared" si="114"/>
        <v/>
      </c>
      <c r="CP162" s="165" t="str">
        <f t="shared" si="114"/>
        <v/>
      </c>
      <c r="CQ162" s="165">
        <f t="shared" si="114"/>
        <v>0.10344021995694574</v>
      </c>
      <c r="CR162" s="165">
        <f t="shared" si="114"/>
        <v>0.10344021995694574</v>
      </c>
      <c r="CS162" s="159"/>
      <c r="CU162" s="159"/>
      <c r="CV162" s="125" t="s">
        <v>621</v>
      </c>
      <c r="CW162" s="125" t="s">
        <v>621</v>
      </c>
      <c r="CX162" s="159"/>
      <c r="CY162" s="167">
        <f t="shared" si="115"/>
        <v>-57.614286938270368</v>
      </c>
      <c r="CZ162" s="159"/>
      <c r="DB162" s="106"/>
      <c r="DC162" s="106"/>
      <c r="DD162" s="106"/>
      <c r="DE162" s="106"/>
      <c r="DF162" s="106"/>
      <c r="DG162" s="105" t="str">
        <f t="shared" si="116"/>
        <v>incl</v>
      </c>
      <c r="DH162" t="s">
        <v>353</v>
      </c>
      <c r="DI162" s="111">
        <f t="shared" si="105"/>
        <v>0</v>
      </c>
      <c r="DJ162" s="111">
        <f t="shared" si="105"/>
        <v>0</v>
      </c>
      <c r="DK162" s="111">
        <f t="shared" si="106"/>
        <v>0</v>
      </c>
      <c r="DL162" s="111">
        <f t="shared" si="107"/>
        <v>57.14629717389289</v>
      </c>
      <c r="DM162" s="111">
        <f t="shared" si="108"/>
        <v>0</v>
      </c>
      <c r="DN162" s="111">
        <f t="shared" si="109"/>
        <v>75.135322055531901</v>
      </c>
      <c r="DO162" s="111">
        <f t="shared" si="110"/>
        <v>0</v>
      </c>
      <c r="DP162" s="111">
        <f t="shared" si="111"/>
        <v>556.03532205553199</v>
      </c>
      <c r="DQ162" s="106"/>
      <c r="DR162" s="106"/>
      <c r="DS162" s="111">
        <f>[12]GHG_hist!BZ152+IF($M162="incl",[12]LULUCF_hist!DQ152,0)</f>
        <v>428.24173999999999</v>
      </c>
      <c r="DT162" s="168">
        <f>IF($M162="incl",'[12]IIASA Proj'!EQ152,0)</f>
        <v>4.0349884444444424</v>
      </c>
      <c r="DW162" s="111">
        <f t="shared" si="117"/>
        <v>726.3646779444681</v>
      </c>
      <c r="DX162" s="111">
        <f t="shared" si="117"/>
        <v>726.3646779444681</v>
      </c>
      <c r="DY162" s="111">
        <f t="shared" si="117"/>
        <v>801.5</v>
      </c>
      <c r="DZ162" s="111">
        <f t="shared" si="117"/>
        <v>801.5</v>
      </c>
      <c r="EP162" t="s">
        <v>353</v>
      </c>
      <c r="EQ162">
        <v>1</v>
      </c>
      <c r="ER162" s="111">
        <f t="shared" si="118"/>
        <v>528.10573509971505</v>
      </c>
      <c r="ES162" s="111">
        <f>IF($BI$8=2015,VLOOKUP($L162,'[12]IMAGE CDLINKS CurPol'!$P$3:$Y$29,10,FALSE)*$AM162,VLOOKUP($L162,'[12]IMAGE CDLINKS CurPol'!$Z$3:$AI$29,10,FALSE)*$AP162)</f>
        <v>1208.2860165634934</v>
      </c>
      <c r="ET162" s="111">
        <f t="shared" si="86"/>
        <v>0</v>
      </c>
      <c r="EU162" s="111">
        <f t="shared" si="120"/>
        <v>343.58590739758125</v>
      </c>
      <c r="EV162" s="111">
        <f>IF($BI$8=2015,VLOOKUP($L162,'[12]IMAGE CDLINKS 2C'!$P$3:$Y$29,10,FALSE)*$AM162,VLOOKUP($L162,'[12]IMAGE CDLINKS 2C'!$Z$3:$AI$29,10,FALSE)*$AP162)</f>
        <v>343.58590739758125</v>
      </c>
      <c r="EW162">
        <v>0</v>
      </c>
      <c r="EX162" s="111">
        <f>EW162-EV162</f>
        <v>-343.58590739758125</v>
      </c>
      <c r="EY162" s="111">
        <f t="shared" si="121"/>
        <v>0</v>
      </c>
      <c r="EZ162" s="111">
        <f>IF($BI$8=2015,VLOOKUP($L162,'[12]IMAGE CDLINKS 1_5C'!$P$3:$Y$29,10,FALSE)*$AM162,VLOOKUP($L162,'[12]IMAGE CDLINKS 1_5C'!$Z$3:$AI$29,10,FALSE)*$AP162)</f>
        <v>143.99391595472397</v>
      </c>
      <c r="FA162" s="192">
        <v>2050</v>
      </c>
    </row>
    <row r="163" spans="1:157" x14ac:dyDescent="0.25">
      <c r="A163" t="str">
        <f>IF([12]NDCs!C165="","",[12]NDCs!C165)</f>
        <v>G</v>
      </c>
      <c r="B163" s="159" t="str">
        <f t="shared" si="112"/>
        <v>v</v>
      </c>
      <c r="C163">
        <v>0</v>
      </c>
      <c r="D163">
        <v>0</v>
      </c>
      <c r="E163">
        <v>0</v>
      </c>
      <c r="F163">
        <v>1</v>
      </c>
      <c r="G163" t="b">
        <f t="shared" si="113"/>
        <v>0</v>
      </c>
      <c r="H163" t="s">
        <v>2328</v>
      </c>
      <c r="I163" t="s">
        <v>355</v>
      </c>
      <c r="J163">
        <v>585</v>
      </c>
      <c r="K163">
        <v>151</v>
      </c>
      <c r="L163">
        <v>24</v>
      </c>
      <c r="M163" t="str">
        <f>IF([12]NDCs!AL165="Excluding","excl","incl")</f>
        <v>excl</v>
      </c>
      <c r="N163" s="160">
        <f>[12]GHG_hist!BA153+IF($M163="incl",[12]LULUCF_hist!CR153,0)</f>
        <v>0.26427706000000001</v>
      </c>
      <c r="O163" s="111">
        <f>[12]GHG_hist!BB153+IF($M163="incl",[12]LULUCF_hist!CS153,0)</f>
        <v>0.26309525</v>
      </c>
      <c r="P163" s="111">
        <f>[12]GHG_hist!BC153+IF($M163="incl",[12]LULUCF_hist!CT153,0)</f>
        <v>0.23670922</v>
      </c>
      <c r="Q163" s="111">
        <f>[12]GHG_hist!BD153+IF($M163="incl",[12]LULUCF_hist!CU153,0)</f>
        <v>0.24076580000000003</v>
      </c>
      <c r="R163" s="111">
        <f>[12]GHG_hist!BE153+IF($M163="incl",[12]LULUCF_hist!CV153,0)</f>
        <v>0.31663292000000004</v>
      </c>
      <c r="S163" s="111">
        <f>[12]GHG_hist!BF153+IF($M163="incl",[12]LULUCF_hist!CW153,0)</f>
        <v>0.28185318000000004</v>
      </c>
      <c r="T163" s="111">
        <f>[12]GHG_hist!BG153+IF($M163="incl",[12]LULUCF_hist!CX153,0)</f>
        <v>0.28045795000000001</v>
      </c>
      <c r="U163" s="111">
        <f>[12]GHG_hist!BH153+IF($M163="incl",[12]LULUCF_hist!CY153,0)</f>
        <v>0.28778912000000001</v>
      </c>
      <c r="V163" s="111">
        <f>[12]GHG_hist!BI153+IF($M163="incl",[12]LULUCF_hist!CZ153,0)</f>
        <v>0.27837182999999999</v>
      </c>
      <c r="W163" s="111">
        <f>[12]GHG_hist!BJ153+IF($M163="incl",[12]LULUCF_hist!DA153,0)</f>
        <v>0.30919137000000002</v>
      </c>
      <c r="X163" s="111">
        <f>[12]GHG_hist!BK153+IF($M163="incl",[12]LULUCF_hist!DB153,0)</f>
        <v>0.27247547999999999</v>
      </c>
      <c r="Y163" s="111">
        <f>[12]GHG_hist!BL153+IF($M163="incl",[12]LULUCF_hist!DC153,0)</f>
        <v>0.31167860000000003</v>
      </c>
      <c r="Z163" s="111">
        <f>[12]GHG_hist!BM153+IF($M163="incl",[12]LULUCF_hist!DD153,0)</f>
        <v>0.29923541999999997</v>
      </c>
      <c r="AA163" s="111">
        <f>[12]GHG_hist!BN153+IF($M163="incl",[12]LULUCF_hist!DE153,0)</f>
        <v>0.34715318000000001</v>
      </c>
      <c r="AB163" s="111">
        <f>[12]GHG_hist!BO153+IF($M163="incl",[12]LULUCF_hist!DF153,0)</f>
        <v>0.38221326</v>
      </c>
      <c r="AC163" s="111">
        <f>[12]GHG_hist!BP153+IF($M163="incl",[12]LULUCF_hist!DG153,0)</f>
        <v>0.44776931000000003</v>
      </c>
      <c r="AD163" s="111">
        <f>[12]GHG_hist!BQ153+IF($M163="incl",[12]LULUCF_hist!DH153,0)</f>
        <v>0.45693099000000004</v>
      </c>
      <c r="AE163" s="111">
        <f>[12]GHG_hist!BR153+IF($M163="incl",[12]LULUCF_hist!DI153,0)</f>
        <v>0.47447152000000004</v>
      </c>
      <c r="AF163" s="111">
        <f>[12]GHG_hist!BS153+IF($M163="incl",[12]LULUCF_hist!DJ153,0)</f>
        <v>0.40488925000000003</v>
      </c>
      <c r="AG163" s="111">
        <f>[12]GHG_hist!BT153+IF($M163="incl",[12]LULUCF_hist!DK153,0)</f>
        <v>0.41953910999999999</v>
      </c>
      <c r="AH163" s="111">
        <f>[12]GHG_hist!BU153+IF($M163="incl",[12]LULUCF_hist!DL153,0)</f>
        <v>0.42277780000000004</v>
      </c>
      <c r="AI163" s="111">
        <f>[12]GHG_hist!BV153+IF($M163="incl",[12]LULUCF_hist!DM153,0)</f>
        <v>0.43865895999999999</v>
      </c>
      <c r="AJ163" s="111">
        <f>[12]GHG_hist!BW153+IF($M163="incl",[12]LULUCF_hist!DN153,0)</f>
        <v>0.46197104999999999</v>
      </c>
      <c r="AK163" s="111">
        <f>[12]GHG_hist!BX153+IF($M163="incl",[12]LULUCF_hist!DO153,0)</f>
        <v>0.40729388</v>
      </c>
      <c r="AL163" s="111">
        <f>[12]GHG_hist!BY153+IF($M163="incl",[12]LULUCF_hist!DP153,0)</f>
        <v>0.41040577</v>
      </c>
      <c r="AM163" s="111">
        <f>[12]GHG_hist!BZ153+IF($M163="incl",[12]LULUCF_hist!DQ153,0)</f>
        <v>0.41284797000000001</v>
      </c>
      <c r="AN163" s="111">
        <f>[12]GHG_hist!CA153+IF($M163="incl",[12]LULUCF_hist!DR153,0)</f>
        <v>0.41200360999999996</v>
      </c>
      <c r="AO163" s="111">
        <f>[12]GHG_hist!CB153+IF($M163="incl",[12]LULUCF_hist!DS153,0)</f>
        <v>0.42616617000000001</v>
      </c>
      <c r="AP163" s="111">
        <f>[12]GHG_hist!CC153+IF($M163="incl",[12]LULUCF_hist!DT153,0)</f>
        <v>0.43682898999999997</v>
      </c>
      <c r="AQ163" s="111">
        <f>[12]GHG_hist!CD153+IF($M163="incl",[12]LULUCF_hist!DU153,0)</f>
        <v>0.46700759000000003</v>
      </c>
      <c r="AR163" s="111">
        <f>[12]GHG_hist!CE153+IF($M163="incl",[12]LULUCF_hist!DV153,0)</f>
        <v>0.46895791000000003</v>
      </c>
      <c r="AS163" s="111">
        <f>[12]GHG_hist!CF153+IF($M163="incl",[12]LULUCF_hist!DW153,0)</f>
        <v>0.48273104999999999</v>
      </c>
      <c r="AT163" s="161">
        <f>VLOOKUP($L163,'[12]IMAGE SSP2'!$AF$3:$AK$29,4,FALSE)*$AM163</f>
        <v>0.4431878251357998</v>
      </c>
      <c r="AU163" s="162">
        <f>VLOOKUP($L163,'[12]IMAGE SSP2'!$AF$3:$AK$29,5,FALSE)*$AM163</f>
        <v>0.45499562693825163</v>
      </c>
      <c r="AV163" s="163">
        <f>VLOOKUP($L163,'[12]IMAGE SSP2'!$AF$3:$AK$29,6,FALSE)*$AM163</f>
        <v>0.46032416228024797</v>
      </c>
      <c r="AW163" s="111" t="str">
        <f t="shared" si="119"/>
        <v/>
      </c>
      <c r="AX163" s="164" t="str">
        <f>IF(A163="B",IF(M163="excl",[12]NatCom!CO153,[12]NatCom!AX153),"")</f>
        <v/>
      </c>
      <c r="AY163" s="111" t="str">
        <f>IF('[12]Pledge 2020'!E153="","",'[12]Pledge 2020'!E153)</f>
        <v/>
      </c>
      <c r="AZ163" s="164" t="str">
        <f>IF('[12]Pledge 2020'!F153="","",'[12]Pledge 2020'!F153)</f>
        <v/>
      </c>
      <c r="BA163" s="111" t="str">
        <f t="shared" si="100"/>
        <v/>
      </c>
      <c r="BB163" s="111"/>
      <c r="BC163" s="111" t="str">
        <f t="shared" si="101"/>
        <v/>
      </c>
      <c r="BD163" s="111"/>
      <c r="BE163" s="111" t="s">
        <v>2477</v>
      </c>
      <c r="BF163" s="111"/>
      <c r="BG163" s="111" t="s">
        <v>2477</v>
      </c>
      <c r="BH163" s="164"/>
      <c r="BI163" s="111" t="str">
        <f>IF([12]NDCs!V165="",IF([12]NDCs!X165="","",[12]NDCs!X165),[12]NDCs!V165)</f>
        <v/>
      </c>
      <c r="BJ163" s="111" t="str">
        <f>IF([12]NDCs!V165="",IF([12]NDCs!X165="","",[12]NDCs!X165),[12]NDCs!V165)</f>
        <v/>
      </c>
      <c r="BK163" s="111" t="str">
        <f>IF([12]NDCs!Z165="",IF([12]NDCs!AB165="",IF('input site'!BE163="","",'input site'!BE163),[12]NDCs!AB165),[12]NDCs!Z165)</f>
        <v/>
      </c>
      <c r="BL163" s="111" t="str">
        <f>IF([12]NDCs!AA165="",IF([12]NDCs!AC165="",IF('input site'!BF163="","",'input site'!BF163),[12]NDCs!AC165),[12]NDCs!AA165)</f>
        <v/>
      </c>
      <c r="BM163" s="111">
        <f>IF($BI$8=2015,VLOOKUP($L163,'[12]IMAGE CurPol SSP'!$AZ$3:$BD$29,4,FALSE)*$AM163,IF($BI$8=2018,VLOOKUP($L163,'[12]IMAGE CurPol SSP'!$BJ$3:$BN$29,4,FALSE)*$AP163,$AR163))</f>
        <v>0.46895791000000003</v>
      </c>
      <c r="BN163" s="111">
        <f t="shared" si="123"/>
        <v>0.46895791000000003</v>
      </c>
      <c r="BO163" s="111">
        <f t="shared" si="123"/>
        <v>0.46895791000000003</v>
      </c>
      <c r="BP163" s="111">
        <f>IF($BI$8=2015,VLOOKUP($L163,'[12]IMAGE CurPol SSP'!$AZ$3:$BD$29,5,FALSE)*$AM163,IF($BI$8=2018,VLOOKUP($L163,'[12]IMAGE CurPol SSP'!$BJ$3:$BN$29,5,FALSE)*$AP163,VLOOKUP($L163,'[12]IMAGE CurPol SSP'!$BU$3:$BZ$29,5,FALSE)*$AS163))</f>
        <v>0.49164384892452817</v>
      </c>
      <c r="BQ163" s="111">
        <f>IF($BI$8=2015,"",IF($BI$8=2018,"",VLOOKUP($L163,'[12]IMAGE CurPol SSP'!$CQ$3:$CV$29,5,FALSE)*$AS163))</f>
        <v>0.47865873400897713</v>
      </c>
      <c r="BR163" s="111">
        <f>IF($BI$8=2015,"",IF($BI$8=2018,"",VLOOKUP($L163,'[12]IMAGE CurPol SSP'!$CF$3:$CK$29,5,FALSE)*$AS163))</f>
        <v>0.49164384892452817</v>
      </c>
      <c r="BS163" s="111">
        <f>IF($BI$8=2015,VLOOKUP($L163,'[12]IMAGE CurPol SSP'!$AZ$3:$BE$29,6,FALSE)*$AM163,IF($BI$8=2018,VLOOKUP($L163,'[12]IMAGE CurPol SSP'!$BJ$3:$BO$29,6,FALSE)*$AP163,VLOOKUP($L163,'[12]IMAGE CurPol SSP'!$BU$3:$BZ$29,6,FALSE)*$AS163))</f>
        <v>0.50606078034945923</v>
      </c>
      <c r="BT163" s="111">
        <f>IF($BI$8=2015,"",IF($BI$8=2018,"",VLOOKUP($L163,'[12]IMAGE CurPol SSP'!$CQ$3:$CV$29,6,FALSE)*$AS163))</f>
        <v>0.46741713207036067</v>
      </c>
      <c r="BU163" s="164">
        <f>IF($BI$8=2015,"",IF($BI$8=2018,"",VLOOKUP($L163,'[12]IMAGE CurPol SSP'!$CF$3:$CK$29,6,FALSE)*$AS163))</f>
        <v>0.50606078034945923</v>
      </c>
      <c r="CN163" t="s">
        <v>355</v>
      </c>
      <c r="CO163" s="165" t="str">
        <f t="shared" si="114"/>
        <v/>
      </c>
      <c r="CP163" s="165" t="str">
        <f t="shared" si="114"/>
        <v/>
      </c>
      <c r="CQ163" s="165" t="str">
        <f t="shared" si="114"/>
        <v/>
      </c>
      <c r="CR163" s="165" t="str">
        <f t="shared" si="114"/>
        <v/>
      </c>
      <c r="CV163" s="125" t="s">
        <v>621</v>
      </c>
      <c r="CW163" s="125" t="s">
        <v>621</v>
      </c>
      <c r="CX163"/>
      <c r="CY163" s="167">
        <f t="shared" si="115"/>
        <v>-2.5770084864200238E-2</v>
      </c>
      <c r="DB163" s="106"/>
      <c r="DC163" s="106"/>
      <c r="DD163" s="106"/>
      <c r="DE163" s="106"/>
      <c r="DF163" s="106"/>
      <c r="DG163" s="105" t="str">
        <f t="shared" si="116"/>
        <v>excl</v>
      </c>
      <c r="DH163" t="s">
        <v>355</v>
      </c>
      <c r="DI163" s="111">
        <f t="shared" si="105"/>
        <v>0</v>
      </c>
      <c r="DJ163" s="111">
        <f t="shared" si="105"/>
        <v>0</v>
      </c>
      <c r="DK163" s="111">
        <f t="shared" si="106"/>
        <v>0</v>
      </c>
      <c r="DL163" s="111">
        <f t="shared" si="107"/>
        <v>0</v>
      </c>
      <c r="DM163" s="111">
        <f t="shared" si="108"/>
        <v>0</v>
      </c>
      <c r="DN163" s="111">
        <f t="shared" si="109"/>
        <v>0</v>
      </c>
      <c r="DO163" s="111">
        <f t="shared" si="110"/>
        <v>0</v>
      </c>
      <c r="DP163" s="111">
        <f t="shared" si="111"/>
        <v>0</v>
      </c>
      <c r="DQ163" s="106"/>
      <c r="DR163" s="106"/>
      <c r="DS163" s="111"/>
      <c r="DT163" s="168"/>
      <c r="DW163" s="111">
        <f t="shared" si="117"/>
        <v>0.50606078034945923</v>
      </c>
      <c r="DX163" s="111">
        <f t="shared" si="117"/>
        <v>0.50606078034945923</v>
      </c>
      <c r="DY163" s="111">
        <f t="shared" si="117"/>
        <v>0.50606078034945923</v>
      </c>
      <c r="DZ163" s="111">
        <f t="shared" si="117"/>
        <v>0.50606078034945923</v>
      </c>
      <c r="EP163" t="s">
        <v>355</v>
      </c>
      <c r="EQ163">
        <v>1</v>
      </c>
      <c r="ER163" s="111">
        <f t="shared" si="118"/>
        <v>0.43682898999999997</v>
      </c>
      <c r="ES163" s="111">
        <f>IF($BI$8=2015,VLOOKUP($L163,'[12]IMAGE CDLINKS CurPol'!$P$3:$Y$29,10,FALSE)*$AM163,VLOOKUP($L163,'[12]IMAGE CDLINKS CurPol'!$Z$3:$AI$29,10,FALSE)*$AP163)</f>
        <v>0.45037345974829246</v>
      </c>
      <c r="ET163" s="111">
        <f t="shared" si="86"/>
        <v>0</v>
      </c>
      <c r="EU163" s="111">
        <f t="shared" si="120"/>
        <v>0.17309525289511404</v>
      </c>
      <c r="EV163" s="111">
        <f>IF($BI$8=2015,VLOOKUP($L163,'[12]IMAGE CDLINKS 2C'!$P$3:$Y$29,10,FALSE)*$AM163,VLOOKUP($L163,'[12]IMAGE CDLINKS 2C'!$Z$3:$AI$29,10,FALSE)*$AP163)</f>
        <v>0.17309525289511404</v>
      </c>
      <c r="EW163">
        <v>0</v>
      </c>
      <c r="EX163" s="111">
        <f>EW163-EV163</f>
        <v>-0.17309525289511404</v>
      </c>
      <c r="EY163" s="111">
        <f t="shared" si="121"/>
        <v>0</v>
      </c>
      <c r="EZ163" s="111">
        <f>IF($BI$8=2015,VLOOKUP($L163,'[12]IMAGE CDLINKS 1_5C'!$P$3:$Y$29,10,FALSE)*$AM163,VLOOKUP($L163,'[12]IMAGE CDLINKS 1_5C'!$Z$3:$AI$29,10,FALSE)*$AP163)</f>
        <v>7.4874719681547366E-2</v>
      </c>
      <c r="FA163" s="192">
        <v>2050</v>
      </c>
    </row>
    <row r="164" spans="1:157" x14ac:dyDescent="0.25">
      <c r="A164" t="str">
        <f>IF([12]NDCs!C166="","",[12]NDCs!C166)</f>
        <v>G</v>
      </c>
      <c r="B164" s="159" t="str">
        <f t="shared" si="112"/>
        <v>v</v>
      </c>
      <c r="C164">
        <v>0</v>
      </c>
      <c r="D164">
        <v>0</v>
      </c>
      <c r="E164">
        <v>0</v>
      </c>
      <c r="F164">
        <v>1</v>
      </c>
      <c r="G164" t="b">
        <f t="shared" si="113"/>
        <v>0</v>
      </c>
      <c r="H164" t="s">
        <v>2328</v>
      </c>
      <c r="I164" t="s">
        <v>357</v>
      </c>
      <c r="J164">
        <v>591</v>
      </c>
      <c r="K164">
        <v>153</v>
      </c>
      <c r="L164">
        <v>4</v>
      </c>
      <c r="M164" t="str">
        <f>IF([12]NDCs!AL166="Excluding","excl","incl")</f>
        <v>excl</v>
      </c>
      <c r="N164" s="160">
        <f>[12]GHG_hist!BA154+IF($M164="incl",[12]LULUCF_hist!CR154,0)</f>
        <v>6.6583289000000008</v>
      </c>
      <c r="O164" s="111">
        <f>[12]GHG_hist!BB154+IF($M164="incl",[12]LULUCF_hist!CS154,0)</f>
        <v>7.2487079999999997</v>
      </c>
      <c r="P164" s="111">
        <f>[12]GHG_hist!BC154+IF($M164="incl",[12]LULUCF_hist!CT154,0)</f>
        <v>8.5500719000000007</v>
      </c>
      <c r="Q164" s="111">
        <f>[12]GHG_hist!BD154+IF($M164="incl",[12]LULUCF_hist!CU154,0)</f>
        <v>8.1674229</v>
      </c>
      <c r="R164" s="111">
        <f>[12]GHG_hist!BE154+IF($M164="incl",[12]LULUCF_hist!CV154,0)</f>
        <v>8.2640574000000004</v>
      </c>
      <c r="S164" s="111">
        <f>[12]GHG_hist!BF154+IF($M164="incl",[12]LULUCF_hist!CW154,0)</f>
        <v>8.5652507999999994</v>
      </c>
      <c r="T164" s="111">
        <f>[12]GHG_hist!BG154+IF($M164="incl",[12]LULUCF_hist!CX154,0)</f>
        <v>9.1455649000000001</v>
      </c>
      <c r="U164" s="111">
        <f>[12]GHG_hist!BH154+IF($M164="incl",[12]LULUCF_hist!CY154,0)</f>
        <v>8.9784773999999992</v>
      </c>
      <c r="V164" s="111">
        <f>[12]GHG_hist!BI154+IF($M164="incl",[12]LULUCF_hist!CZ154,0)</f>
        <v>10.073802000000001</v>
      </c>
      <c r="W164" s="111">
        <f>[12]GHG_hist!BJ154+IF($M164="incl",[12]LULUCF_hist!DA154,0)</f>
        <v>9.5653839999999999</v>
      </c>
      <c r="X164" s="111">
        <f>[12]GHG_hist!BK154+IF($M164="incl",[12]LULUCF_hist!DB154,0)</f>
        <v>9.3672852999999989</v>
      </c>
      <c r="Y164" s="111">
        <f>[12]GHG_hist!BL154+IF($M164="incl",[12]LULUCF_hist!DC154,0)</f>
        <v>10.972882999999999</v>
      </c>
      <c r="Z164" s="111">
        <f>[12]GHG_hist!BM154+IF($M164="incl",[12]LULUCF_hist!DD154,0)</f>
        <v>10.242685</v>
      </c>
      <c r="AA164" s="111">
        <f>[12]GHG_hist!BN154+IF($M164="incl",[12]LULUCF_hist!DE154,0)</f>
        <v>10.743224</v>
      </c>
      <c r="AB164" s="111">
        <f>[12]GHG_hist!BO154+IF($M164="incl",[12]LULUCF_hist!DF154,0)</f>
        <v>10.47559</v>
      </c>
      <c r="AC164" s="111">
        <f>[12]GHG_hist!BP154+IF($M164="incl",[12]LULUCF_hist!DG154,0)</f>
        <v>10.368956000000001</v>
      </c>
      <c r="AD164" s="111">
        <f>[12]GHG_hist!BQ154+IF($M164="incl",[12]LULUCF_hist!DH154,0)</f>
        <v>11.330251000000001</v>
      </c>
      <c r="AE164" s="111">
        <f>[12]GHG_hist!BR154+IF($M164="incl",[12]LULUCF_hist!DI154,0)</f>
        <v>12.158832</v>
      </c>
      <c r="AF164" s="111">
        <f>[12]GHG_hist!BS154+IF($M164="incl",[12]LULUCF_hist!DJ154,0)</f>
        <v>12.312091000000001</v>
      </c>
      <c r="AG164" s="111">
        <f>[12]GHG_hist!BT154+IF($M164="incl",[12]LULUCF_hist!DK154,0)</f>
        <v>14.012416999999999</v>
      </c>
      <c r="AH164" s="111">
        <f>[12]GHG_hist!BU154+IF($M164="incl",[12]LULUCF_hist!DL154,0)</f>
        <v>15.07408</v>
      </c>
      <c r="AI164" s="111">
        <f>[12]GHG_hist!BV154+IF($M164="incl",[12]LULUCF_hist!DM154,0)</f>
        <v>16.475346000000002</v>
      </c>
      <c r="AJ164" s="111">
        <f>[12]GHG_hist!BW154+IF($M164="incl",[12]LULUCF_hist!DN154,0)</f>
        <v>16.611227</v>
      </c>
      <c r="AK164" s="111">
        <f>[12]GHG_hist!BX154+IF($M164="incl",[12]LULUCF_hist!DO154,0)</f>
        <v>16.32424</v>
      </c>
      <c r="AL164" s="111">
        <f>[12]GHG_hist!BY154+IF($M164="incl",[12]LULUCF_hist!DP154,0)</f>
        <v>16.690598999999999</v>
      </c>
      <c r="AM164" s="111">
        <f>[12]GHG_hist!BZ154+IF($M164="incl",[12]LULUCF_hist!DQ154,0)</f>
        <v>17.861927999999999</v>
      </c>
      <c r="AN164" s="111">
        <f>[12]GHG_hist!CA154+IF($M164="incl",[12]LULUCF_hist!DR154,0)</f>
        <v>17.817287</v>
      </c>
      <c r="AO164" s="111">
        <f>[12]GHG_hist!CB154+IF($M164="incl",[12]LULUCF_hist!DS154,0)</f>
        <v>17.623795999999999</v>
      </c>
      <c r="AP164" s="111">
        <f>[12]GHG_hist!CC154+IF($M164="incl",[12]LULUCF_hist!DT154,0)</f>
        <v>17.313582999999998</v>
      </c>
      <c r="AQ164" s="111">
        <f>[12]GHG_hist!CD154+IF($M164="incl",[12]LULUCF_hist!DU154,0)</f>
        <v>18.453695</v>
      </c>
      <c r="AR164" s="111">
        <f>[12]GHG_hist!CE154+IF($M164="incl",[12]LULUCF_hist!DV154,0)</f>
        <v>16.524286</v>
      </c>
      <c r="AS164" s="111">
        <f>[12]GHG_hist!CF154+IF($M164="incl",[12]LULUCF_hist!DW154,0)</f>
        <v>18.052616</v>
      </c>
      <c r="AT164" s="161">
        <f>VLOOKUP($L164,'[12]IMAGE SSP2'!$AF$3:$AK$29,4,FALSE)*$AM164</f>
        <v>20.309206624929612</v>
      </c>
      <c r="AU164" s="162">
        <f>VLOOKUP($L164,'[12]IMAGE SSP2'!$AF$3:$AK$29,5,FALSE)*$AM164</f>
        <v>22.721097909507932</v>
      </c>
      <c r="AV164" s="163">
        <f>VLOOKUP($L164,'[12]IMAGE SSP2'!$AF$3:$AK$29,6,FALSE)*$AM164</f>
        <v>23.984761789770225</v>
      </c>
      <c r="AW164" s="111" t="str">
        <f t="shared" si="119"/>
        <v/>
      </c>
      <c r="AX164" s="164" t="str">
        <f>IF(A164="B",IF(M164="excl",[12]NatCom!CO154,[12]NatCom!AX154),"")</f>
        <v/>
      </c>
      <c r="AY164" s="111" t="str">
        <f>IF('[12]Pledge 2020'!E154="","",'[12]Pledge 2020'!E154)</f>
        <v/>
      </c>
      <c r="AZ164" s="164" t="str">
        <f>IF('[12]Pledge 2020'!F154="","",'[12]Pledge 2020'!F154)</f>
        <v/>
      </c>
      <c r="BA164" s="111" t="str">
        <f t="shared" si="100"/>
        <v/>
      </c>
      <c r="BB164" s="111"/>
      <c r="BC164" s="111" t="str">
        <f t="shared" si="101"/>
        <v/>
      </c>
      <c r="BD164" s="111"/>
      <c r="BE164" s="111" t="s">
        <v>2477</v>
      </c>
      <c r="BF164" s="111"/>
      <c r="BG164" s="111" t="s">
        <v>2477</v>
      </c>
      <c r="BH164" s="164"/>
      <c r="BI164" s="111" t="str">
        <f>IF([12]NDCs!V166="",IF([12]NDCs!X166="","",[12]NDCs!X166),[12]NDCs!V166)</f>
        <v/>
      </c>
      <c r="BJ164" s="111" t="str">
        <f>IF([12]NDCs!V166="",IF([12]NDCs!X166="","",[12]NDCs!X166),[12]NDCs!V166)</f>
        <v/>
      </c>
      <c r="BK164" s="111" t="str">
        <f>IF([12]NDCs!Z166="",IF([12]NDCs!AB166="",IF('input site'!BE164="","",'input site'!BE164),[12]NDCs!AB166),[12]NDCs!Z166)</f>
        <v/>
      </c>
      <c r="BL164" s="111" t="str">
        <f>IF([12]NDCs!AA166="",IF([12]NDCs!AC166="",IF('input site'!BF164="","",'input site'!BF164),[12]NDCs!AC166),[12]NDCs!AA166)</f>
        <v/>
      </c>
      <c r="BM164" s="111">
        <f>IF($BI$8=2015,VLOOKUP($L164,'[12]IMAGE CurPol SSP'!$AZ$3:$BD$29,4,FALSE)*$AM164,IF($BI$8=2018,VLOOKUP($L164,'[12]IMAGE CurPol SSP'!$BJ$3:$BN$29,4,FALSE)*$AP164,$AR164))</f>
        <v>16.524286</v>
      </c>
      <c r="BN164" s="111">
        <f t="shared" si="123"/>
        <v>16.524286</v>
      </c>
      <c r="BO164" s="111">
        <f t="shared" si="123"/>
        <v>16.524286</v>
      </c>
      <c r="BP164" s="111">
        <f>IF($BI$8=2015,VLOOKUP($L164,'[12]IMAGE CurPol SSP'!$AZ$3:$BD$29,5,FALSE)*$AM164,IF($BI$8=2018,VLOOKUP($L164,'[12]IMAGE CurPol SSP'!$BJ$3:$BN$29,5,FALSE)*$AP164,VLOOKUP($L164,'[12]IMAGE CurPol SSP'!$BU$3:$BZ$29,5,FALSE)*$AS164))</f>
        <v>19.782143694015776</v>
      </c>
      <c r="BQ164" s="111">
        <f>IF($BI$8=2015,"",IF($BI$8=2018,"",VLOOKUP($L164,'[12]IMAGE CurPol SSP'!$CQ$3:$CV$29,5,FALSE)*$AS164))</f>
        <v>19.44551139646282</v>
      </c>
      <c r="BR164" s="111">
        <f>IF($BI$8=2015,"",IF($BI$8=2018,"",VLOOKUP($L164,'[12]IMAGE CurPol SSP'!$CF$3:$CK$29,5,FALSE)*$AS164))</f>
        <v>20.560246123306133</v>
      </c>
      <c r="BS164" s="111">
        <f>IF($BI$8=2015,VLOOKUP($L164,'[12]IMAGE CurPol SSP'!$AZ$3:$BE$29,6,FALSE)*$AM164,IF($BI$8=2018,VLOOKUP($L164,'[12]IMAGE CurPol SSP'!$BJ$3:$BO$29,6,FALSE)*$AP164,VLOOKUP($L164,'[12]IMAGE CurPol SSP'!$BU$3:$BZ$29,6,FALSE)*$AS164))</f>
        <v>22.260124568056391</v>
      </c>
      <c r="BT164" s="111">
        <f>IF($BI$8=2015,"",IF($BI$8=2018,"",VLOOKUP($L164,'[12]IMAGE CurPol SSP'!$CQ$3:$CV$29,6,FALSE)*$AS164))</f>
        <v>21.748577116708294</v>
      </c>
      <c r="BU164" s="164">
        <f>IF($BI$8=2015,"",IF($BI$8=2018,"",VLOOKUP($L164,'[12]IMAGE CurPol SSP'!$CF$3:$CK$29,6,FALSE)*$AS164))</f>
        <v>23.816427946704586</v>
      </c>
      <c r="CN164" t="s">
        <v>357</v>
      </c>
      <c r="CO164" s="165" t="str">
        <f t="shared" si="114"/>
        <v/>
      </c>
      <c r="CP164" s="165" t="str">
        <f t="shared" si="114"/>
        <v/>
      </c>
      <c r="CQ164" s="165" t="str">
        <f t="shared" si="114"/>
        <v/>
      </c>
      <c r="CR164" s="165" t="str">
        <f t="shared" si="114"/>
        <v/>
      </c>
      <c r="CV164" s="125" t="s">
        <v>621</v>
      </c>
      <c r="CW164" s="125" t="s">
        <v>621</v>
      </c>
      <c r="CX164"/>
      <c r="CY164" s="167">
        <f t="shared" si="115"/>
        <v>3.7849206249296117</v>
      </c>
      <c r="DB164" s="106"/>
      <c r="DC164" s="106"/>
      <c r="DD164" s="106"/>
      <c r="DE164" s="106"/>
      <c r="DF164" s="106"/>
      <c r="DG164" s="105" t="str">
        <f t="shared" si="116"/>
        <v>excl</v>
      </c>
      <c r="DH164" t="s">
        <v>357</v>
      </c>
      <c r="DI164" s="111">
        <f t="shared" si="105"/>
        <v>0</v>
      </c>
      <c r="DJ164" s="111">
        <f t="shared" si="105"/>
        <v>0</v>
      </c>
      <c r="DK164" s="111">
        <f t="shared" si="106"/>
        <v>0</v>
      </c>
      <c r="DL164" s="111">
        <f t="shared" si="107"/>
        <v>0</v>
      </c>
      <c r="DM164" s="111">
        <f t="shared" si="108"/>
        <v>0</v>
      </c>
      <c r="DN164" s="111">
        <f t="shared" si="109"/>
        <v>0</v>
      </c>
      <c r="DO164" s="111">
        <f t="shared" si="110"/>
        <v>0</v>
      </c>
      <c r="DP164" s="111">
        <f t="shared" si="111"/>
        <v>0</v>
      </c>
      <c r="DQ164" s="106"/>
      <c r="DR164" s="106"/>
      <c r="DS164" s="111"/>
      <c r="DT164" s="168"/>
      <c r="DW164" s="111">
        <f t="shared" si="117"/>
        <v>22.260124568056391</v>
      </c>
      <c r="DX164" s="111">
        <f t="shared" si="117"/>
        <v>22.260124568056391</v>
      </c>
      <c r="DY164" s="111">
        <f t="shared" si="117"/>
        <v>22.260124568056391</v>
      </c>
      <c r="DZ164" s="111">
        <f t="shared" si="117"/>
        <v>22.260124568056391</v>
      </c>
      <c r="EP164" t="s">
        <v>357</v>
      </c>
      <c r="EQ164">
        <v>4</v>
      </c>
      <c r="ER164" s="111">
        <f t="shared" si="118"/>
        <v>17.313582999999998</v>
      </c>
      <c r="ES164" s="111">
        <f>IF($BI$8=2015,VLOOKUP($L164,'[12]IMAGE CDLINKS CurPol'!$P$3:$Y$29,10,FALSE)*$AM164,VLOOKUP($L164,'[12]IMAGE CDLINKS CurPol'!$Z$3:$AI$29,10,FALSE)*$AP164)</f>
        <v>32.791545172708055</v>
      </c>
      <c r="ET164" s="111">
        <f t="shared" si="86"/>
        <v>0</v>
      </c>
      <c r="EU164" s="111">
        <f t="shared" si="120"/>
        <v>0</v>
      </c>
      <c r="EV164" s="111">
        <f>IF($BI$8=2015,VLOOKUP($L164,'[12]IMAGE CDLINKS 2C'!$P$3:$Y$29,10,FALSE)*$AM164,VLOOKUP($L164,'[12]IMAGE CDLINKS 2C'!$Z$3:$AI$29,10,FALSE)*$AP164)</f>
        <v>9.0980236296321557</v>
      </c>
      <c r="EY164" s="111">
        <f t="shared" si="121"/>
        <v>0</v>
      </c>
      <c r="EZ164" s="111">
        <f>IF($BI$8=2015,VLOOKUP($L164,'[12]IMAGE CDLINKS 1_5C'!$P$3:$Y$29,10,FALSE)*$AM164,VLOOKUP($L164,'[12]IMAGE CDLINKS 1_5C'!$Z$3:$AI$29,10,FALSE)*$AP164)</f>
        <v>1.8503597124022617</v>
      </c>
      <c r="FA164" s="192"/>
    </row>
    <row r="165" spans="1:157" x14ac:dyDescent="0.25">
      <c r="A165" t="str">
        <f>IF([12]NDCs!C167="","",[12]NDCs!C167)</f>
        <v>G</v>
      </c>
      <c r="B165" s="159" t="str">
        <f t="shared" si="112"/>
        <v>v</v>
      </c>
      <c r="C165">
        <v>0</v>
      </c>
      <c r="D165">
        <v>0</v>
      </c>
      <c r="E165">
        <v>0</v>
      </c>
      <c r="F165">
        <v>1</v>
      </c>
      <c r="G165" t="b">
        <f t="shared" si="113"/>
        <v>0</v>
      </c>
      <c r="H165" t="s">
        <v>2333</v>
      </c>
      <c r="I165" t="s">
        <v>359</v>
      </c>
      <c r="J165">
        <v>598</v>
      </c>
      <c r="K165">
        <v>154</v>
      </c>
      <c r="L165">
        <v>22</v>
      </c>
      <c r="M165" t="str">
        <f>IF([12]NDCs!AL167="Excluding","excl","incl")</f>
        <v>excl</v>
      </c>
      <c r="N165" s="160">
        <f>[12]GHG_hist!BA155+IF($M165="incl",[12]LULUCF_hist!CR155,0)</f>
        <v>5.0631385</v>
      </c>
      <c r="O165" s="111">
        <f>[12]GHG_hist!BB155+IF($M165="incl",[12]LULUCF_hist!CS155,0)</f>
        <v>5.1907041999999999</v>
      </c>
      <c r="P165" s="111">
        <f>[12]GHG_hist!BC155+IF($M165="incl",[12]LULUCF_hist!CT155,0)</f>
        <v>5.4263770999999998</v>
      </c>
      <c r="Q165" s="111">
        <f>[12]GHG_hist!BD155+IF($M165="incl",[12]LULUCF_hist!CU155,0)</f>
        <v>5.5893010000000007</v>
      </c>
      <c r="R165" s="111">
        <f>[12]GHG_hist!BE155+IF($M165="incl",[12]LULUCF_hist!CV155,0)</f>
        <v>5.6193819999999999</v>
      </c>
      <c r="S165" s="111">
        <f>[12]GHG_hist!BF155+IF($M165="incl",[12]LULUCF_hist!CW155,0)</f>
        <v>5.5214057000000007</v>
      </c>
      <c r="T165" s="111">
        <f>[12]GHG_hist!BG155+IF($M165="incl",[12]LULUCF_hist!CX155,0)</f>
        <v>5.7322848000000004</v>
      </c>
      <c r="U165" s="111">
        <f>[12]GHG_hist!BH155+IF($M165="incl",[12]LULUCF_hist!CY155,0)</f>
        <v>6.1088594000000001</v>
      </c>
      <c r="V165" s="111">
        <f>[12]GHG_hist!BI155+IF($M165="incl",[12]LULUCF_hist!CZ155,0)</f>
        <v>13.794677999999999</v>
      </c>
      <c r="W165" s="111">
        <f>[12]GHG_hist!BJ155+IF($M165="incl",[12]LULUCF_hist!DA155,0)</f>
        <v>6.7339672000000004</v>
      </c>
      <c r="X165" s="111">
        <f>[12]GHG_hist!BK155+IF($M165="incl",[12]LULUCF_hist!DB155,0)</f>
        <v>8.8764541000000019</v>
      </c>
      <c r="Y165" s="111">
        <f>[12]GHG_hist!BL155+IF($M165="incl",[12]LULUCF_hist!DC155,0)</f>
        <v>9.2254033</v>
      </c>
      <c r="Z165" s="111">
        <f>[12]GHG_hist!BM155+IF($M165="incl",[12]LULUCF_hist!DD155,0)</f>
        <v>9.2590073999999998</v>
      </c>
      <c r="AA165" s="111">
        <f>[12]GHG_hist!BN155+IF($M165="incl",[12]LULUCF_hist!DE155,0)</f>
        <v>9.4381623999999995</v>
      </c>
      <c r="AB165" s="111">
        <f>[12]GHG_hist!BO155+IF($M165="incl",[12]LULUCF_hist!DF155,0)</f>
        <v>9.7846574999999998</v>
      </c>
      <c r="AC165" s="111">
        <f>[12]GHG_hist!BP155+IF($M165="incl",[12]LULUCF_hist!DG155,0)</f>
        <v>9.1599742000000006</v>
      </c>
      <c r="AD165" s="111">
        <f>[12]GHG_hist!BQ155+IF($M165="incl",[12]LULUCF_hist!DH155,0)</f>
        <v>8.8383400999999999</v>
      </c>
      <c r="AE165" s="111">
        <f>[12]GHG_hist!BR155+IF($M165="incl",[12]LULUCF_hist!DI155,0)</f>
        <v>10.404774999999999</v>
      </c>
      <c r="AF165" s="111">
        <f>[12]GHG_hist!BS155+IF($M165="incl",[12]LULUCF_hist!DJ155,0)</f>
        <v>8.6560763999999999</v>
      </c>
      <c r="AG165" s="111">
        <f>[12]GHG_hist!BT155+IF($M165="incl",[12]LULUCF_hist!DK155,0)</f>
        <v>8.6830306999999998</v>
      </c>
      <c r="AH165" s="111">
        <f>[12]GHG_hist!BU155+IF($M165="incl",[12]LULUCF_hist!DL155,0)</f>
        <v>7.9292299999999996</v>
      </c>
      <c r="AI165" s="111">
        <f>[12]GHG_hist!BV155+IF($M165="incl",[12]LULUCF_hist!DM155,0)</f>
        <v>7.9899522000000003</v>
      </c>
      <c r="AJ165" s="111">
        <f>[12]GHG_hist!BW155+IF($M165="incl",[12]LULUCF_hist!DN155,0)</f>
        <v>8.1273358000000009</v>
      </c>
      <c r="AK165" s="111">
        <f>[12]GHG_hist!BX155+IF($M165="incl",[12]LULUCF_hist!DO155,0)</f>
        <v>8.5063151999999995</v>
      </c>
      <c r="AL165" s="111">
        <f>[12]GHG_hist!BY155+IF($M165="incl",[12]LULUCF_hist!DP155,0)</f>
        <v>9.8895820000000008</v>
      </c>
      <c r="AM165" s="111">
        <f>[12]GHG_hist!BZ155+IF($M165="incl",[12]LULUCF_hist!DQ155,0)</f>
        <v>11.06606</v>
      </c>
      <c r="AN165" s="111">
        <f>[12]GHG_hist!CA155+IF($M165="incl",[12]LULUCF_hist!DR155,0)</f>
        <v>11.254799000000002</v>
      </c>
      <c r="AO165" s="111">
        <f>[12]GHG_hist!CB155+IF($M165="incl",[12]LULUCF_hist!DS155,0)</f>
        <v>11.144789000000001</v>
      </c>
      <c r="AP165" s="111">
        <f>[12]GHG_hist!CC155+IF($M165="incl",[12]LULUCF_hist!DT155,0)</f>
        <v>11.355823000000001</v>
      </c>
      <c r="AQ165" s="111">
        <f>[12]GHG_hist!CD155+IF($M165="incl",[12]LULUCF_hist!DU155,0)</f>
        <v>11.993952999999999</v>
      </c>
      <c r="AR165" s="111">
        <f>[12]GHG_hist!CE155+IF($M165="incl",[12]LULUCF_hist!DV155,0)</f>
        <v>13.051665999999999</v>
      </c>
      <c r="AS165" s="111">
        <f>[12]GHG_hist!CF155+IF($M165="incl",[12]LULUCF_hist!DW155,0)</f>
        <v>13.874475</v>
      </c>
      <c r="AT165" s="161">
        <f>VLOOKUP($L165,'[12]IMAGE SSP2'!$AF$3:$AK$29,4,FALSE)*$AM165</f>
        <v>13.43721217780938</v>
      </c>
      <c r="AU165" s="162">
        <f>VLOOKUP($L165,'[12]IMAGE SSP2'!$AF$3:$AK$29,5,FALSE)*$AM165</f>
        <v>15.874306209868413</v>
      </c>
      <c r="AV165" s="163">
        <f>VLOOKUP($L165,'[12]IMAGE SSP2'!$AF$3:$AK$29,6,FALSE)*$AM165</f>
        <v>17.886039205730814</v>
      </c>
      <c r="AW165" s="111" t="str">
        <f t="shared" si="119"/>
        <v/>
      </c>
      <c r="AX165" s="164" t="str">
        <f>IF(A165="B",IF(M165="excl",[12]NatCom!CO155,[12]NatCom!AX155),"")</f>
        <v/>
      </c>
      <c r="AY165" s="111" t="str">
        <f>IF('[12]Pledge 2020'!E155="","",'[12]Pledge 2020'!E155)</f>
        <v/>
      </c>
      <c r="AZ165" s="164" t="str">
        <f>IF('[12]Pledge 2020'!F155="","",'[12]Pledge 2020'!F155)</f>
        <v/>
      </c>
      <c r="BA165" s="111" t="str">
        <f t="shared" si="100"/>
        <v/>
      </c>
      <c r="BB165" s="111"/>
      <c r="BC165" s="111" t="str">
        <f t="shared" si="101"/>
        <v/>
      </c>
      <c r="BD165" s="111"/>
      <c r="BE165" s="111" t="s">
        <v>2477</v>
      </c>
      <c r="BF165" s="111"/>
      <c r="BG165" s="111" t="s">
        <v>2477</v>
      </c>
      <c r="BH165" s="164"/>
      <c r="BI165" s="111" t="str">
        <f>IF([12]NDCs!V167="",IF([12]NDCs!X167="","",[12]NDCs!X167),[12]NDCs!V167)</f>
        <v/>
      </c>
      <c r="BJ165" s="111" t="str">
        <f>IF([12]NDCs!V167="",IF([12]NDCs!X167="","",[12]NDCs!X167),[12]NDCs!V167)</f>
        <v/>
      </c>
      <c r="BK165" s="111" t="str">
        <f>IF([12]NDCs!Z167="",IF([12]NDCs!AB167="",IF('input site'!BE165="","",'input site'!BE165),[12]NDCs!AB167),[12]NDCs!Z167)</f>
        <v/>
      </c>
      <c r="BL165" s="111" t="str">
        <f>IF([12]NDCs!AA167="",IF([12]NDCs!AC167="",IF('input site'!BF165="","",'input site'!BF165),[12]NDCs!AC167),[12]NDCs!AA167)</f>
        <v/>
      </c>
      <c r="BM165" s="111">
        <f>IF($BI$8=2015,VLOOKUP($L165,'[12]IMAGE CurPol SSP'!$AZ$3:$BD$29,4,FALSE)*$AM165,IF($BI$8=2018,VLOOKUP($L165,'[12]IMAGE CurPol SSP'!$BJ$3:$BN$29,4,FALSE)*$AP165,$AR165))</f>
        <v>13.051665999999999</v>
      </c>
      <c r="BN165" s="111">
        <f t="shared" si="123"/>
        <v>13.051665999999999</v>
      </c>
      <c r="BO165" s="111">
        <f t="shared" si="123"/>
        <v>13.051665999999999</v>
      </c>
      <c r="BP165" s="111">
        <f>IF($BI$8=2015,VLOOKUP($L165,'[12]IMAGE CurPol SSP'!$AZ$3:$BD$29,5,FALSE)*$AM165,IF($BI$8=2018,VLOOKUP($L165,'[12]IMAGE CurPol SSP'!$BJ$3:$BN$29,5,FALSE)*$AP165,VLOOKUP($L165,'[12]IMAGE CurPol SSP'!$BU$3:$BZ$29,5,FALSE)*$AS165))</f>
        <v>14.534851453207699</v>
      </c>
      <c r="BQ165" s="111">
        <f>IF($BI$8=2015,"",IF($BI$8=2018,"",VLOOKUP($L165,'[12]IMAGE CurPol SSP'!$CQ$3:$CV$29,5,FALSE)*$AS165))</f>
        <v>14.116826820731557</v>
      </c>
      <c r="BR165" s="111">
        <f>IF($BI$8=2015,"",IF($BI$8=2018,"",VLOOKUP($L165,'[12]IMAGE CurPol SSP'!$CF$3:$CK$29,5,FALSE)*$AS165))</f>
        <v>14.534851453207699</v>
      </c>
      <c r="BS165" s="111">
        <f>IF($BI$8=2015,VLOOKUP($L165,'[12]IMAGE CurPol SSP'!$AZ$3:$BE$29,6,FALSE)*$AM165,IF($BI$8=2018,VLOOKUP($L165,'[12]IMAGE CurPol SSP'!$BJ$3:$BO$29,6,FALSE)*$AP165,VLOOKUP($L165,'[12]IMAGE CurPol SSP'!$BU$3:$BZ$29,6,FALSE)*$AS165))</f>
        <v>15.811209163379422</v>
      </c>
      <c r="BT165" s="111">
        <f>IF($BI$8=2015,"",IF($BI$8=2018,"",VLOOKUP($L165,'[12]IMAGE CurPol SSP'!$CQ$3:$CV$29,6,FALSE)*$AS165))</f>
        <v>14.527938837089055</v>
      </c>
      <c r="BU165" s="164">
        <f>IF($BI$8=2015,"",IF($BI$8=2018,"",VLOOKUP($L165,'[12]IMAGE CurPol SSP'!$CF$3:$CK$29,6,FALSE)*$AS165))</f>
        <v>15.811209163379422</v>
      </c>
      <c r="CN165" t="s">
        <v>359</v>
      </c>
      <c r="CO165" s="165" t="str">
        <f t="shared" si="114"/>
        <v/>
      </c>
      <c r="CP165" s="165" t="str">
        <f t="shared" si="114"/>
        <v/>
      </c>
      <c r="CQ165" s="165" t="str">
        <f t="shared" si="114"/>
        <v/>
      </c>
      <c r="CR165" s="165" t="str">
        <f t="shared" si="114"/>
        <v/>
      </c>
      <c r="CV165" s="125" t="s">
        <v>621</v>
      </c>
      <c r="CW165" s="125" t="s">
        <v>621</v>
      </c>
      <c r="CX165"/>
      <c r="CY165" s="167">
        <f t="shared" si="115"/>
        <v>0.38554617780938116</v>
      </c>
      <c r="DB165" s="106"/>
      <c r="DC165" s="106"/>
      <c r="DD165" s="106"/>
      <c r="DE165" s="106"/>
      <c r="DF165" s="106"/>
      <c r="DG165" s="105" t="str">
        <f t="shared" si="116"/>
        <v>excl</v>
      </c>
      <c r="DH165" t="s">
        <v>359</v>
      </c>
      <c r="DI165" s="111">
        <f t="shared" si="105"/>
        <v>0</v>
      </c>
      <c r="DJ165" s="111">
        <f t="shared" si="105"/>
        <v>0</v>
      </c>
      <c r="DK165" s="111">
        <f t="shared" si="106"/>
        <v>0</v>
      </c>
      <c r="DL165" s="111">
        <f t="shared" si="107"/>
        <v>0</v>
      </c>
      <c r="DM165" s="111">
        <f t="shared" si="108"/>
        <v>0</v>
      </c>
      <c r="DN165" s="111">
        <f t="shared" si="109"/>
        <v>0</v>
      </c>
      <c r="DO165" s="111">
        <f t="shared" si="110"/>
        <v>0</v>
      </c>
      <c r="DP165" s="111">
        <f t="shared" si="111"/>
        <v>0</v>
      </c>
      <c r="DQ165" s="106"/>
      <c r="DR165" s="106"/>
      <c r="DS165" s="111"/>
      <c r="DT165" s="168"/>
      <c r="DW165" s="111">
        <f t="shared" si="117"/>
        <v>15.811209163379422</v>
      </c>
      <c r="DX165" s="111">
        <f t="shared" si="117"/>
        <v>15.811209163379422</v>
      </c>
      <c r="DY165" s="111">
        <f t="shared" si="117"/>
        <v>15.811209163379422</v>
      </c>
      <c r="DZ165" s="111">
        <f t="shared" si="117"/>
        <v>15.811209163379422</v>
      </c>
      <c r="EP165" t="s">
        <v>359</v>
      </c>
      <c r="EQ165">
        <v>1</v>
      </c>
      <c r="ER165" s="111">
        <f t="shared" si="118"/>
        <v>11.355823000000001</v>
      </c>
      <c r="ES165" s="111">
        <f>IF($BI$8=2015,VLOOKUP($L165,'[12]IMAGE CDLINKS CurPol'!$P$3:$Y$29,10,FALSE)*$AM165,VLOOKUP($L165,'[12]IMAGE CDLINKS CurPol'!$Z$3:$AI$29,10,FALSE)*$AP165)</f>
        <v>21.573618228820475</v>
      </c>
      <c r="ET165" s="111">
        <f t="shared" si="86"/>
        <v>0</v>
      </c>
      <c r="EU165" s="111">
        <f t="shared" si="120"/>
        <v>4.733229958532192</v>
      </c>
      <c r="EV165" s="111">
        <f>IF($BI$8=2015,VLOOKUP($L165,'[12]IMAGE CDLINKS 2C'!$P$3:$Y$29,10,FALSE)*$AM165,VLOOKUP($L165,'[12]IMAGE CDLINKS 2C'!$Z$3:$AI$29,10,FALSE)*$AP165)</f>
        <v>4.733229958532192</v>
      </c>
      <c r="EW165">
        <v>0</v>
      </c>
      <c r="EX165" s="111">
        <f>EW165-EV165</f>
        <v>-4.733229958532192</v>
      </c>
      <c r="EY165" s="111">
        <f t="shared" si="121"/>
        <v>0</v>
      </c>
      <c r="EZ165" s="111">
        <f>IF($BI$8=2015,VLOOKUP($L165,'[12]IMAGE CDLINKS 1_5C'!$P$3:$Y$29,10,FALSE)*$AM165,VLOOKUP($L165,'[12]IMAGE CDLINKS 1_5C'!$Z$3:$AI$29,10,FALSE)*$AP165)</f>
        <v>-1.2257451419799692</v>
      </c>
      <c r="FA165" s="192">
        <v>2050</v>
      </c>
    </row>
    <row r="166" spans="1:157" x14ac:dyDescent="0.25">
      <c r="A166" t="str">
        <f>IF([12]NDCs!C168="","",[12]NDCs!C168)</f>
        <v>B</v>
      </c>
      <c r="B166" s="159" t="str">
        <f t="shared" si="112"/>
        <v>v</v>
      </c>
      <c r="C166">
        <v>0</v>
      </c>
      <c r="D166">
        <v>0</v>
      </c>
      <c r="E166">
        <v>0</v>
      </c>
      <c r="F166">
        <v>1</v>
      </c>
      <c r="G166" t="b">
        <f t="shared" si="113"/>
        <v>1</v>
      </c>
      <c r="H166" t="s">
        <v>2328</v>
      </c>
      <c r="I166" t="s">
        <v>361</v>
      </c>
      <c r="J166">
        <v>600</v>
      </c>
      <c r="K166">
        <v>155</v>
      </c>
      <c r="L166">
        <v>6</v>
      </c>
      <c r="M166" t="str">
        <f>IF([12]NDCs!AL168="Excluding","excl","incl")</f>
        <v>incl</v>
      </c>
      <c r="N166" s="160">
        <f>[12]GHG_hist!BA156+IF($M166="incl",[12]LULUCF_hist!CR156,0)</f>
        <v>61.580007999999992</v>
      </c>
      <c r="O166" s="111">
        <f>[12]GHG_hist!BB156+IF($M166="incl",[12]LULUCF_hist!CS156,0)</f>
        <v>59.846774999999994</v>
      </c>
      <c r="P166" s="111">
        <f>[12]GHG_hist!BC156+IF($M166="incl",[12]LULUCF_hist!CT156,0)</f>
        <v>60.806598999999999</v>
      </c>
      <c r="Q166" s="111">
        <f>[12]GHG_hist!BD156+IF($M166="incl",[12]LULUCF_hist!CU156,0)</f>
        <v>62.694282999999999</v>
      </c>
      <c r="R166" s="111">
        <f>[12]GHG_hist!BE156+IF($M166="incl",[12]LULUCF_hist!CV156,0)</f>
        <v>64.249884000000009</v>
      </c>
      <c r="S166" s="111">
        <f>[12]GHG_hist!BF156+IF($M166="incl",[12]LULUCF_hist!CW156,0)</f>
        <v>65.677561999999995</v>
      </c>
      <c r="T166" s="111">
        <f>[12]GHG_hist!BG156+IF($M166="incl",[12]LULUCF_hist!CX156,0)</f>
        <v>64.324365</v>
      </c>
      <c r="U166" s="111">
        <f>[12]GHG_hist!BH156+IF($M166="incl",[12]LULUCF_hist!CY156,0)</f>
        <v>64.561369999999997</v>
      </c>
      <c r="V166" s="111">
        <f>[12]GHG_hist!BI156+IF($M166="incl",[12]LULUCF_hist!CZ156,0)</f>
        <v>64.662473000000006</v>
      </c>
      <c r="W166" s="111">
        <f>[12]GHG_hist!BJ156+IF($M166="incl",[12]LULUCF_hist!DA156,0)</f>
        <v>64.897775999999993</v>
      </c>
      <c r="X166" s="111">
        <f>[12]GHG_hist!BK156+IF($M166="incl",[12]LULUCF_hist!DB156,0)</f>
        <v>62.787598000000003</v>
      </c>
      <c r="Y166" s="111">
        <f>[12]GHG_hist!BL156+IF($M166="incl",[12]LULUCF_hist!DC156,0)</f>
        <v>64.274703000000002</v>
      </c>
      <c r="Z166" s="111">
        <f>[12]GHG_hist!BM156+IF($M166="incl",[12]LULUCF_hist!DD156,0)</f>
        <v>63.40036700000001</v>
      </c>
      <c r="AA166" s="111">
        <f>[12]GHG_hist!BN156+IF($M166="incl",[12]LULUCF_hist!DE156,0)</f>
        <v>65.657723000000004</v>
      </c>
      <c r="AB166" s="111">
        <f>[12]GHG_hist!BO156+IF($M166="incl",[12]LULUCF_hist!DF156,0)</f>
        <v>63.348319000000018</v>
      </c>
      <c r="AC166" s="111">
        <f>[12]GHG_hist!BP156+IF($M166="incl",[12]LULUCF_hist!DG156,0)</f>
        <v>63.910688999999991</v>
      </c>
      <c r="AD166" s="111">
        <f>[12]GHG_hist!BQ156+IF($M166="incl",[12]LULUCF_hist!DH156,0)</f>
        <v>68.468113999999986</v>
      </c>
      <c r="AE166" s="111">
        <f>[12]GHG_hist!BR156+IF($M166="incl",[12]LULUCF_hist!DI156,0)</f>
        <v>75.646725000000004</v>
      </c>
      <c r="AF166" s="111">
        <f>[12]GHG_hist!BS156+IF($M166="incl",[12]LULUCF_hist!DJ156,0)</f>
        <v>78.549999</v>
      </c>
      <c r="AG166" s="111">
        <f>[12]GHG_hist!BT156+IF($M166="incl",[12]LULUCF_hist!DK156,0)</f>
        <v>84.929516000000007</v>
      </c>
      <c r="AH166" s="111">
        <f>[12]GHG_hist!BU156+IF($M166="incl",[12]LULUCF_hist!DL156,0)</f>
        <v>92.144063000000003</v>
      </c>
      <c r="AI166" s="111">
        <f>[12]GHG_hist!BV156+IF($M166="incl",[12]LULUCF_hist!DM156,0)</f>
        <v>92.062855999999996</v>
      </c>
      <c r="AJ166" s="111">
        <f>[12]GHG_hist!BW156+IF($M166="incl",[12]LULUCF_hist!DN156,0)</f>
        <v>91.223411999999996</v>
      </c>
      <c r="AK166" s="111">
        <f>[12]GHG_hist!BX156+IF($M166="incl",[12]LULUCF_hist!DO156,0)</f>
        <v>85.314808999999997</v>
      </c>
      <c r="AL166" s="111">
        <f>[12]GHG_hist!BY156+IF($M166="incl",[12]LULUCF_hist!DP156,0)</f>
        <v>81.12356299999999</v>
      </c>
      <c r="AM166" s="111">
        <f>[12]GHG_hist!BZ156+IF($M166="incl",[12]LULUCF_hist!DQ156,0)</f>
        <v>75.350974000000008</v>
      </c>
      <c r="AN166" s="111">
        <f>[12]GHG_hist!CA156+IF($M166="incl",[12]LULUCF_hist!DR156,0)</f>
        <v>69.912244999999999</v>
      </c>
      <c r="AO166" s="111">
        <f>[12]GHG_hist!CB156+IF($M166="incl",[12]LULUCF_hist!DS156,0)</f>
        <v>65.178528</v>
      </c>
      <c r="AP166" s="111">
        <f>[12]GHG_hist!CC156+IF($M166="incl",[12]LULUCF_hist!DT156,0)</f>
        <v>63.173804000000004</v>
      </c>
      <c r="AQ166" s="111">
        <f>[12]GHG_hist!CD156+IF($M166="incl",[12]LULUCF_hist!DU156,0)</f>
        <v>62.657355000000003</v>
      </c>
      <c r="AR166" s="111">
        <f>[12]GHG_hist!CE156+IF($M166="incl",[12]LULUCF_hist!DV156,0)</f>
        <v>71.612123701149443</v>
      </c>
      <c r="AS166" s="111">
        <f>[12]GHG_hist!CF156+IF($M166="incl",[12]LULUCF_hist!DW156,0)</f>
        <v>72.81193402595477</v>
      </c>
      <c r="AT166" s="171">
        <f>VLOOKUP($L166,'[12]IMAGE SSP2'!$AF$3:$AK$29,4,FALSE)*($AM166-'[12]IIASA Proj'!$EQ156)+('[12]IIASA Proj'!$EQ156+'[12]IIASA Proj'!$ER156)</f>
        <v>70.926235510730379</v>
      </c>
      <c r="AU166" s="172">
        <f>VLOOKUP($L166,'[12]IMAGE SSP2'!$AF$3:$AK$29,5,FALSE)*($AM166-'[12]IIASA Proj'!$EQ156)+('[12]IIASA Proj'!$EQ156+'[12]IIASA Proj'!$ES156)</f>
        <v>59.547865680318161</v>
      </c>
      <c r="AV166" s="173">
        <f>VLOOKUP($L166,'[12]IMAGE SSP2'!$AF$3:$AK$29,6,FALSE)*($AM166-'[12]IIASA Proj'!$EQ156)+('[12]IIASA Proj'!$EQ156+'[12]IIASA Proj'!$ET156)</f>
        <v>52.528463579769195</v>
      </c>
      <c r="AW166" s="111">
        <f>IF(A166="B",AM166+(AX166-AM166)*0.33333,"")</f>
        <v>84.413892036580009</v>
      </c>
      <c r="AX166" s="193">
        <f>[12]NDCs!$S$168</f>
        <v>102.54</v>
      </c>
      <c r="AY166" s="111" t="str">
        <f>IF('[12]Pledge 2020'!E156="","",'[12]Pledge 2020'!E156)</f>
        <v/>
      </c>
      <c r="AZ166" s="164" t="str">
        <f>IF('[12]Pledge 2020'!F156="","",'[12]Pledge 2020'!F156)</f>
        <v/>
      </c>
      <c r="BA166" s="198">
        <f t="shared" si="100"/>
        <v>92.250515750000005</v>
      </c>
      <c r="BB166" s="198">
        <f>IF(BF166="","",(BF166-AH166)*0.75+AH166)</f>
        <v>92.250515750000005</v>
      </c>
      <c r="BC166" s="198">
        <f t="shared" si="101"/>
        <v>84.560015750000005</v>
      </c>
      <c r="BD166" s="198">
        <f>IF(BH166="","",(BH166-AH166)*0.75+AH166)</f>
        <v>84.560015750000005</v>
      </c>
      <c r="BE166" s="198">
        <v>92.286000000000001</v>
      </c>
      <c r="BF166" s="198">
        <v>92.286000000000001</v>
      </c>
      <c r="BG166" s="198">
        <v>82.032000000000011</v>
      </c>
      <c r="BH166" s="219">
        <v>82.032000000000011</v>
      </c>
      <c r="BI166" s="111">
        <f>IF([12]NDCs!V168="",IF([12]NDCs!X168="","",[12]NDCs!X168),[12]NDCs!V168)</f>
        <v>92.286000000000001</v>
      </c>
      <c r="BJ166" s="111">
        <f>IF([12]NDCs!V168="",IF([12]NDCs!X168="","",[12]NDCs!X168),[12]NDCs!V168)</f>
        <v>92.286000000000001</v>
      </c>
      <c r="BK166" s="111">
        <f>IF([12]NDCs!Z168="",IF([12]NDCs!AB168="",IF('input site'!BE166="","",'input site'!BE166),[12]NDCs!AB168),[12]NDCs!Z168)</f>
        <v>82.032000000000011</v>
      </c>
      <c r="BL166" s="111">
        <f>IF([12]NDCs!AA168="",IF([12]NDCs!AC168="",IF('input site'!BF166="","",'input site'!BF166),[12]NDCs!AC168),[12]NDCs!AA168)</f>
        <v>82.032000000000011</v>
      </c>
      <c r="BM166" s="174">
        <f>IF($BI$8=2015,VLOOKUP($L166,'[12]IMAGE CurPol SSP'!$AZ$3:$BD$29,4,FALSE)*($AM166-'[12]IIASA Proj'!$EQ156)+('[12]IIASA Proj'!$EQ156+'[12]IIASA Proj'!$ER156),AR166)</f>
        <v>71.612123701149443</v>
      </c>
      <c r="BN166" s="175">
        <f t="shared" si="123"/>
        <v>71.612123701149443</v>
      </c>
      <c r="BO166" s="175">
        <f t="shared" si="123"/>
        <v>71.612123701149443</v>
      </c>
      <c r="BP166" s="174">
        <f>IF($BI$8=2015,VLOOKUP($L166,'[12]IMAGE CurPol SSP'!$AZ$3:$BD$29,5,FALSE)*($AM166-'[12]IIASA Proj'!$EQ156)+('[12]IIASA Proj'!$EQ156+'[12]IIASA Proj'!$ES156),VLOOKUP($L166,'[12]IMAGE CurPol SSP'!$BU$3:$BZ$29,5,FALSE)*($AS166-'[12]IIASA Proj'!$DV156)+('[12]IIASA Proj'!$EA156))</f>
        <v>59.011398441047916</v>
      </c>
      <c r="BQ166" s="174">
        <f>IF($BI$8=2015,"",IF($BI$8=2018,"",MIN(BP166,VLOOKUP($L166,'[12]IMAGE CurPol SSP'!$CQ$3:$CV$29,5,FALSE)*$AS166)))</f>
        <v>59.011398441047916</v>
      </c>
      <c r="BR166" s="174">
        <f>IF($BI$8=2015,"",IF($BI$8=2018,"",MAX(BP166,VLOOKUP($L166,'[12]IMAGE CurPol SSP'!$CF$3:$CK$29,5,FALSE)*$AS166)))</f>
        <v>77.121917003453646</v>
      </c>
      <c r="BS166" s="174">
        <f>IF($BI$8=2015,VLOOKUP($L166,'[12]IMAGE CurPol SSP'!$AZ$3:$BE$29,6,FALSE)*($AM166-'[12]IIASA Proj'!$EQ156)+('[12]IIASA Proj'!$EQ156+'[12]IIASA Proj'!$ET156),VLOOKUP($L166,'[12]IMAGE CurPol SSP'!$BU$3:$BZ$29,6,FALSE)*($AS166-'[12]IIASA Proj'!$DV156)+('[12]IIASA Proj'!$EF156))</f>
        <v>51.136262662225469</v>
      </c>
      <c r="BT166" s="174">
        <f>IF($BI$8=2015,"",IF($BI$8=2018,"",MIN($BS166,VLOOKUP($L166,'[12]IMAGE CurPol SSP'!$CQ$3:$CV$29,6,FALSE)*$AS166)))</f>
        <v>51.136262662225469</v>
      </c>
      <c r="BU166" s="176">
        <f>IF($BI$8=2015,"",IF($BI$8=2018,"",MAX($BS166,VLOOKUP($L166,'[12]IMAGE CurPol SSP'!$CF$3:$CK$29,6,FALSE)*$AS166)))</f>
        <v>81.381424332758073</v>
      </c>
      <c r="CN166" t="s">
        <v>361</v>
      </c>
      <c r="CO166" s="165">
        <f t="shared" si="114"/>
        <v>0.80470756358524387</v>
      </c>
      <c r="CP166" s="165">
        <f t="shared" si="114"/>
        <v>0.80470756358524387</v>
      </c>
      <c r="CQ166" s="165">
        <f t="shared" si="114"/>
        <v>0.60418450096466136</v>
      </c>
      <c r="CR166" s="165">
        <f t="shared" si="114"/>
        <v>0.60418450096466136</v>
      </c>
      <c r="CS166" s="159"/>
      <c r="CU166" s="159"/>
      <c r="CV166" s="125" t="s">
        <v>621</v>
      </c>
      <c r="CW166" s="125" t="s">
        <v>621</v>
      </c>
      <c r="CX166" s="159"/>
      <c r="CY166" s="167">
        <f t="shared" si="115"/>
        <v>-0.6858881904190639</v>
      </c>
      <c r="CZ166" s="159"/>
      <c r="DB166" s="106"/>
      <c r="DC166" s="106"/>
      <c r="DD166" s="106"/>
      <c r="DE166" s="106"/>
      <c r="DF166" s="106"/>
      <c r="DG166" s="105" t="str">
        <f t="shared" si="116"/>
        <v>incl</v>
      </c>
      <c r="DH166" t="s">
        <v>361</v>
      </c>
      <c r="DI166" s="111">
        <f t="shared" si="105"/>
        <v>0</v>
      </c>
      <c r="DJ166" s="111">
        <f t="shared" si="105"/>
        <v>0</v>
      </c>
      <c r="DK166" s="111">
        <f t="shared" si="106"/>
        <v>33.239117308952089</v>
      </c>
      <c r="DL166" s="111">
        <f t="shared" si="107"/>
        <v>25.548617308952089</v>
      </c>
      <c r="DM166" s="111">
        <f t="shared" si="108"/>
        <v>41.149737337774532</v>
      </c>
      <c r="DN166" s="111">
        <f t="shared" si="109"/>
        <v>30.895737337774541</v>
      </c>
      <c r="DO166" s="111">
        <f t="shared" si="110"/>
        <v>41.149737337774532</v>
      </c>
      <c r="DP166" s="111">
        <f t="shared" si="111"/>
        <v>30.895737337774541</v>
      </c>
      <c r="DQ166" s="106"/>
      <c r="DR166" s="106"/>
      <c r="DS166" s="111">
        <f>[12]GHG_hist!BZ156+IF($M166="incl",[12]LULUCF_hist!DQ156,0)</f>
        <v>75.350974000000008</v>
      </c>
      <c r="DT166" s="178">
        <f>IF($M166="incl",'[12]IIASA Proj'!EQ156,0)</f>
        <v>39.253118999999991</v>
      </c>
      <c r="DW166" s="111">
        <f t="shared" si="117"/>
        <v>92.286000000000001</v>
      </c>
      <c r="DX166" s="111">
        <f t="shared" si="117"/>
        <v>92.286000000000001</v>
      </c>
      <c r="DY166" s="111">
        <f t="shared" si="117"/>
        <v>82.032000000000011</v>
      </c>
      <c r="DZ166" s="111">
        <f t="shared" si="117"/>
        <v>82.032000000000011</v>
      </c>
      <c r="EP166" t="s">
        <v>361</v>
      </c>
      <c r="EQ166">
        <v>0</v>
      </c>
      <c r="ER166" s="111">
        <f t="shared" si="118"/>
        <v>63.173804000000004</v>
      </c>
      <c r="ES166" s="111">
        <f>IF($BI$8=2015,VLOOKUP($L166,'[12]IMAGE CDLINKS CurPol'!$P$3:$Y$29,10,FALSE)*$AM166,VLOOKUP($L166,'[12]IMAGE CDLINKS CurPol'!$Z$3:$AI$29,10,FALSE)*$AP166)</f>
        <v>103.12216345838323</v>
      </c>
      <c r="ET166" s="111">
        <f t="shared" si="86"/>
        <v>103.12216345838323</v>
      </c>
      <c r="EU166" s="111">
        <f t="shared" si="120"/>
        <v>40.493857103990351</v>
      </c>
      <c r="EV166" s="111">
        <f>IF($BI$8=2015,VLOOKUP($L166,'[12]IMAGE CDLINKS 2C'!$P$3:$Y$29,10,FALSE)*$AM166,VLOOKUP($L166,'[12]IMAGE CDLINKS 2C'!$Z$3:$AI$29,10,FALSE)*$AP166)</f>
        <v>40.493857103990351</v>
      </c>
      <c r="EY166" s="111">
        <f t="shared" si="121"/>
        <v>23.957229799543732</v>
      </c>
      <c r="EZ166" s="111">
        <f>IF($BI$8=2015,VLOOKUP($L166,'[12]IMAGE CDLINKS 1_5C'!$P$3:$Y$29,10,FALSE)*$AM166,VLOOKUP($L166,'[12]IMAGE CDLINKS 1_5C'!$Z$3:$AI$29,10,FALSE)*$AP166)</f>
        <v>23.957229799543732</v>
      </c>
      <c r="FA166" s="192"/>
    </row>
    <row r="167" spans="1:157" x14ac:dyDescent="0.25">
      <c r="A167" t="str">
        <f>IF([12]NDCs!C169="","",[12]NDCs!C169)</f>
        <v>F</v>
      </c>
      <c r="B167" s="159" t="str">
        <f t="shared" si="112"/>
        <v>v</v>
      </c>
      <c r="C167">
        <v>0</v>
      </c>
      <c r="D167">
        <v>0</v>
      </c>
      <c r="E167">
        <v>0</v>
      </c>
      <c r="F167">
        <v>1</v>
      </c>
      <c r="G167" t="b">
        <f t="shared" si="113"/>
        <v>1</v>
      </c>
      <c r="H167" t="s">
        <v>2333</v>
      </c>
      <c r="I167" t="s">
        <v>363</v>
      </c>
      <c r="J167">
        <v>604</v>
      </c>
      <c r="K167">
        <v>156</v>
      </c>
      <c r="L167">
        <v>6</v>
      </c>
      <c r="M167" t="str">
        <f>IF([12]NDCs!AL169="Excluding","excl","incl")</f>
        <v>incl</v>
      </c>
      <c r="N167" s="160">
        <f>[12]GHG_hist!BA157+IF($M167="incl",[12]LULUCF_hist!CR157,0)</f>
        <v>156.65354764325673</v>
      </c>
      <c r="O167" s="111">
        <f>[12]GHG_hist!BB157+IF($M167="incl",[12]LULUCF_hist!CS157,0)</f>
        <v>156.06033564325671</v>
      </c>
      <c r="P167" s="111">
        <f>[12]GHG_hist!BC157+IF($M167="incl",[12]LULUCF_hist!CT157,0)</f>
        <v>155.52806564325672</v>
      </c>
      <c r="Q167" s="111">
        <f>[12]GHG_hist!BD157+IF($M167="incl",[12]LULUCF_hist!CU157,0)</f>
        <v>158.28242064325673</v>
      </c>
      <c r="R167" s="111">
        <f>[12]GHG_hist!BE157+IF($M167="incl",[12]LULUCF_hist!CV157,0)</f>
        <v>159.11892464325672</v>
      </c>
      <c r="S167" s="111">
        <f>[12]GHG_hist!BF157+IF($M167="incl",[12]LULUCF_hist!CW157,0)</f>
        <v>161.95024864325671</v>
      </c>
      <c r="T167" s="111">
        <f>[12]GHG_hist!BG157+IF($M167="incl",[12]LULUCF_hist!CX157,0)</f>
        <v>162.18537964325671</v>
      </c>
      <c r="U167" s="111">
        <f>[12]GHG_hist!BH157+IF($M167="incl",[12]LULUCF_hist!CY157,0)</f>
        <v>165.76624564325672</v>
      </c>
      <c r="V167" s="111">
        <f>[12]GHG_hist!BI157+IF($M167="incl",[12]LULUCF_hist!CZ157,0)</f>
        <v>166.57462064325671</v>
      </c>
      <c r="W167" s="111">
        <f>[12]GHG_hist!BJ157+IF($M167="incl",[12]LULUCF_hist!DA157,0)</f>
        <v>168.81274764325673</v>
      </c>
      <c r="X167" s="111">
        <f>[12]GHG_hist!BK157+IF($M167="incl",[12]LULUCF_hist!DB157,0)</f>
        <v>168.36334964325673</v>
      </c>
      <c r="Y167" s="111">
        <f>[12]GHG_hist!BL157+IF($M167="incl",[12]LULUCF_hist!DC157,0)</f>
        <v>165.33856964325673</v>
      </c>
      <c r="Z167" s="111">
        <f>[12]GHG_hist!BM157+IF($M167="incl",[12]LULUCF_hist!DD157,0)</f>
        <v>166.36134264325671</v>
      </c>
      <c r="AA167" s="111">
        <f>[12]GHG_hist!BN157+IF($M167="incl",[12]LULUCF_hist!DE157,0)</f>
        <v>167.08658064325672</v>
      </c>
      <c r="AB167" s="111">
        <f>[12]GHG_hist!BO157+IF($M167="incl",[12]LULUCF_hist!DF157,0)</f>
        <v>170.95765364325672</v>
      </c>
      <c r="AC167" s="111">
        <f>[12]GHG_hist!BP157+IF($M167="incl",[12]LULUCF_hist!DG157,0)</f>
        <v>174.72677264325671</v>
      </c>
      <c r="AD167" s="111">
        <f>[12]GHG_hist!BQ157+IF($M167="incl",[12]LULUCF_hist!DH157,0)</f>
        <v>171.50968464325672</v>
      </c>
      <c r="AE167" s="111">
        <f>[12]GHG_hist!BR157+IF($M167="incl",[12]LULUCF_hist!DI157,0)</f>
        <v>178.07910064325671</v>
      </c>
      <c r="AF167" s="111">
        <f>[12]GHG_hist!BS157+IF($M167="incl",[12]LULUCF_hist!DJ157,0)</f>
        <v>178.80625664325675</v>
      </c>
      <c r="AG167" s="111">
        <f>[12]GHG_hist!BT157+IF($M167="incl",[12]LULUCF_hist!DK157,0)</f>
        <v>178.61218362793036</v>
      </c>
      <c r="AH167" s="111">
        <f>[12]GHG_hist!BU157+IF($M167="incl",[12]LULUCF_hist!DL157,0)</f>
        <v>178.07788873137207</v>
      </c>
      <c r="AI167" s="111">
        <f>[12]GHG_hist!BV157+IF($M167="incl",[12]LULUCF_hist!DM157,0)</f>
        <v>180.90769611035248</v>
      </c>
      <c r="AJ167" s="111">
        <f>[12]GHG_hist!BW157+IF($M167="incl",[12]LULUCF_hist!DN157,0)</f>
        <v>183.9072099886948</v>
      </c>
      <c r="AK167" s="111">
        <f>[12]GHG_hist!BX157+IF($M167="incl",[12]LULUCF_hist!DO157,0)</f>
        <v>199.17565431934321</v>
      </c>
      <c r="AL167" s="111">
        <f>[12]GHG_hist!BY157+IF($M167="incl",[12]LULUCF_hist!DP157,0)</f>
        <v>182.70185855922517</v>
      </c>
      <c r="AM167" s="111">
        <f>[12]GHG_hist!BZ157+IF($M167="incl",[12]LULUCF_hist!DQ157,0)</f>
        <v>174.40255452252563</v>
      </c>
      <c r="AN167" s="111">
        <f>[12]GHG_hist!CA157+IF($M167="incl",[12]LULUCF_hist!DR157,0)</f>
        <v>198.486927259114</v>
      </c>
      <c r="AO167" s="111">
        <f>[12]GHG_hist!CB157+IF($M167="incl",[12]LULUCF_hist!DS157,0)</f>
        <v>175.86606961585397</v>
      </c>
      <c r="AP167" s="111">
        <f>[12]GHG_hist!CC157+IF($M167="incl",[12]LULUCF_hist!DT157,0)</f>
        <v>176.17592278686999</v>
      </c>
      <c r="AQ167" s="111">
        <f>[12]GHG_hist!CD157+IF($M167="incl",[12]LULUCF_hist!DU157,0)</f>
        <v>204.67933223753522</v>
      </c>
      <c r="AR167" s="111">
        <f>[12]GHG_hist!CE157+IF($M167="incl",[12]LULUCF_hist!DV157,0)</f>
        <v>186.10046241557916</v>
      </c>
      <c r="AS167" s="111">
        <f>[12]GHG_hist!CF157+IF($M167="incl",[12]LULUCF_hist!DW157,0)</f>
        <v>193.31899318221735</v>
      </c>
      <c r="AT167" s="171">
        <f>VLOOKUP($L167,'[12]IMAGE SSP2'!$AF$3:$AK$29,4,FALSE)*($AM167-'[12]IIASA Proj'!$EQ157)+('[12]IIASA Proj'!$EQ157+'[12]IIASA Proj'!$ER157)</f>
        <v>195.94828005203172</v>
      </c>
      <c r="AU167" s="172">
        <f>VLOOKUP($L167,'[12]IMAGE SSP2'!$AF$3:$AK$29,5,FALSE)*($AM167-'[12]IIASA Proj'!$EQ157)+('[12]IIASA Proj'!$EQ157+'[12]IIASA Proj'!$ES157)</f>
        <v>193.80658729759207</v>
      </c>
      <c r="AV167" s="173">
        <f>VLOOKUP($L167,'[12]IMAGE SSP2'!$AF$3:$AK$29,6,FALSE)*($AM167-'[12]IIASA Proj'!$EQ157)+('[12]IIASA Proj'!$EQ157+'[12]IIASA Proj'!$ET157)</f>
        <v>202.77101893634557</v>
      </c>
      <c r="AW167" s="111" t="str">
        <f>IF(A167="B",AM167+(AX167-AM167)*0.33333,"")</f>
        <v/>
      </c>
      <c r="AX167" s="164" t="str">
        <f>IF(A167="B",IF(M167="excl",[12]NatCom!CO157,[12]NatCom!AX157),"")</f>
        <v/>
      </c>
      <c r="AY167" s="111" t="str">
        <f>IF('[12]Pledge 2020'!E157="","",'[12]Pledge 2020'!E157)</f>
        <v/>
      </c>
      <c r="AZ167" s="164" t="str">
        <f>IF('[12]Pledge 2020'!F157="","",'[12]Pledge 2020'!F157)</f>
        <v/>
      </c>
      <c r="BA167" s="111">
        <f t="shared" si="100"/>
        <v>201.11947218284303</v>
      </c>
      <c r="BB167" s="111">
        <f>IF(BF167="","",(BF167-AH167)*0.75+AH167)</f>
        <v>201.11947218284303</v>
      </c>
      <c r="BC167" s="111">
        <f t="shared" si="101"/>
        <v>178.769472182843</v>
      </c>
      <c r="BD167" s="111">
        <f>IF(BH167="","",(BH167-AH167)*0.75+AH167)</f>
        <v>178.769472182843</v>
      </c>
      <c r="BE167" s="169">
        <v>208.8</v>
      </c>
      <c r="BF167" s="169">
        <v>208.8</v>
      </c>
      <c r="BG167" s="169">
        <v>179</v>
      </c>
      <c r="BH167" s="170">
        <v>179</v>
      </c>
      <c r="BI167" s="111">
        <f>IF([12]NDCs!V169="",IF([12]NDCs!X169="","",[12]NDCs!X169),[12]NDCs!V169)</f>
        <v>238.64000000000001</v>
      </c>
      <c r="BJ167" s="111">
        <f>IF([12]NDCs!V169="",IF([12]NDCs!X169="","",[12]NDCs!X169),[12]NDCs!V169)</f>
        <v>238.64000000000001</v>
      </c>
      <c r="BK167" s="111">
        <f>IF([12]NDCs!Z169="",IF([12]NDCs!AB169="",IF('input site'!BE167="","",'input site'!BE167),[12]NDCs!AB169),[12]NDCs!Z169)</f>
        <v>208.81</v>
      </c>
      <c r="BL167" s="111">
        <f>IF([12]NDCs!AA169="",IF([12]NDCs!AC169="",IF('input site'!BF167="","",'input site'!BF167),[12]NDCs!AC169),[12]NDCs!AA169)</f>
        <v>208.81</v>
      </c>
      <c r="BM167" s="174">
        <f>IF($BI$8=2015,VLOOKUP($L167,'[12]IMAGE CurPol SSP'!$AZ$3:$BD$29,4,FALSE)*($AM167-'[12]IIASA Proj'!$EQ157)+('[12]IIASA Proj'!$EQ157+'[12]IIASA Proj'!$ER157),AR167)</f>
        <v>186.10046241557916</v>
      </c>
      <c r="BN167" s="175">
        <f t="shared" si="123"/>
        <v>186.10046241557916</v>
      </c>
      <c r="BO167" s="175">
        <f t="shared" si="123"/>
        <v>186.10046241557916</v>
      </c>
      <c r="BP167" s="174">
        <f>IF($BI$8=2015,VLOOKUP($L167,'[12]IMAGE CurPol SSP'!$AZ$3:$BD$29,5,FALSE)*($AM167-'[12]IIASA Proj'!$EQ157)+('[12]IIASA Proj'!$EQ157+'[12]IIASA Proj'!$ES157),VLOOKUP($L167,'[12]IMAGE CurPol SSP'!$BU$3:$BZ$29,5,FALSE)*($AS167-'[12]IIASA Proj'!$DV157)+('[12]IIASA Proj'!$EA157))</f>
        <v>184.50324178328623</v>
      </c>
      <c r="BQ167" s="174">
        <f>IF($BI$8=2015,"",IF($BI$8=2018,"",MIN(BP167,VLOOKUP($L167,'[12]IMAGE CurPol SSP'!$CQ$3:$CV$29,5,FALSE)*$AS167)))</f>
        <v>184.50324178328623</v>
      </c>
      <c r="BR167" s="174">
        <f>IF($BI$8=2015,"",IF($BI$8=2018,"",MAX(BP167,VLOOKUP($L167,'[12]IMAGE CurPol SSP'!$CF$3:$CK$29,5,FALSE)*$AS167)))</f>
        <v>204.76219381943119</v>
      </c>
      <c r="BS167" s="174">
        <f>IF($BI$8=2015,VLOOKUP($L167,'[12]IMAGE CurPol SSP'!$AZ$3:$BE$29,6,FALSE)*($AM167-'[12]IIASA Proj'!$EQ157)+('[12]IIASA Proj'!$EQ157+'[12]IIASA Proj'!$ET157),VLOOKUP($L167,'[12]IMAGE CurPol SSP'!$BU$3:$BZ$29,6,FALSE)*($AS167-'[12]IIASA Proj'!$DV157)+('[12]IIASA Proj'!$EF157))</f>
        <v>190.69759919163565</v>
      </c>
      <c r="BT167" s="174">
        <f>IF($BI$8=2015,"",IF($BI$8=2018,"",MIN($BS167,VLOOKUP($L167,'[12]IMAGE CurPol SSP'!$CQ$3:$CV$29,6,FALSE)*$AS167)))</f>
        <v>190.69759919163565</v>
      </c>
      <c r="BU167" s="176">
        <f>IF($BI$8=2015,"",IF($BI$8=2018,"",MAX($BS167,VLOOKUP($L167,'[12]IMAGE CurPol SSP'!$CF$3:$CK$29,6,FALSE)*$AS167)))</f>
        <v>216.07137931723545</v>
      </c>
      <c r="CN167" t="s">
        <v>363</v>
      </c>
      <c r="CO167" s="165">
        <f t="shared" si="114"/>
        <v>9.4927261198358925E-2</v>
      </c>
      <c r="CP167" s="165">
        <f t="shared" si="114"/>
        <v>9.4927261198358925E-2</v>
      </c>
      <c r="CQ167" s="165">
        <f t="shared" si="114"/>
        <v>-6.1341093129759328E-2</v>
      </c>
      <c r="CR167" s="165">
        <f t="shared" si="114"/>
        <v>-6.1341093129759328E-2</v>
      </c>
      <c r="CS167" s="159"/>
      <c r="CU167" s="159"/>
      <c r="CV167" s="125" t="s">
        <v>621</v>
      </c>
      <c r="CW167" s="125" t="s">
        <v>621</v>
      </c>
      <c r="CX167" s="159"/>
      <c r="CY167" s="167">
        <f t="shared" si="115"/>
        <v>9.8478176364525609</v>
      </c>
      <c r="CZ167" s="159"/>
      <c r="DB167" s="106"/>
      <c r="DC167" s="106"/>
      <c r="DD167" s="106"/>
      <c r="DE167" s="106"/>
      <c r="DF167" s="106"/>
      <c r="DG167" s="105" t="str">
        <f t="shared" si="116"/>
        <v>incl</v>
      </c>
      <c r="DH167" t="s">
        <v>363</v>
      </c>
      <c r="DI167" s="111">
        <f t="shared" si="105"/>
        <v>0</v>
      </c>
      <c r="DJ167" s="111">
        <f t="shared" si="105"/>
        <v>0</v>
      </c>
      <c r="DK167" s="111">
        <f t="shared" si="106"/>
        <v>16.616230399556798</v>
      </c>
      <c r="DL167" s="111">
        <f t="shared" si="107"/>
        <v>-5.7337696004432246</v>
      </c>
      <c r="DM167" s="111">
        <f t="shared" si="108"/>
        <v>18.102400808364365</v>
      </c>
      <c r="DN167" s="111">
        <f t="shared" si="109"/>
        <v>-11.697599191635646</v>
      </c>
      <c r="DO167" s="111">
        <f t="shared" si="110"/>
        <v>47.942400808364368</v>
      </c>
      <c r="DP167" s="111">
        <f t="shared" si="111"/>
        <v>18.112400808364356</v>
      </c>
      <c r="DQ167" s="106"/>
      <c r="DR167" s="106"/>
      <c r="DS167" s="111">
        <f>[12]GHG_hist!BZ157+IF($M167="incl",[12]LULUCF_hist!DQ157,0)</f>
        <v>174.40255452252563</v>
      </c>
      <c r="DT167" s="178">
        <f>IF($M167="incl",'[12]IIASA Proj'!EQ157,0)</f>
        <v>79.697813884379769</v>
      </c>
      <c r="DW167" s="111">
        <f t="shared" si="117"/>
        <v>208.8</v>
      </c>
      <c r="DX167" s="111">
        <f t="shared" si="117"/>
        <v>208.8</v>
      </c>
      <c r="DY167" s="111">
        <f t="shared" si="117"/>
        <v>179</v>
      </c>
      <c r="DZ167" s="111">
        <f t="shared" si="117"/>
        <v>179</v>
      </c>
      <c r="EP167" t="s">
        <v>363</v>
      </c>
      <c r="EQ167">
        <v>1</v>
      </c>
      <c r="ER167" s="111">
        <f t="shared" si="118"/>
        <v>176.17592278686999</v>
      </c>
      <c r="ES167" s="111">
        <f>IF($BI$8=2015,VLOOKUP($L167,'[12]IMAGE CDLINKS CurPol'!$P$3:$Y$29,10,FALSE)*$AM167,VLOOKUP($L167,'[12]IMAGE CDLINKS CurPol'!$Z$3:$AI$29,10,FALSE)*$AP167)</f>
        <v>287.58189560753863</v>
      </c>
      <c r="ET167" s="111">
        <f t="shared" ref="ET167:ET230" si="124">IF(EQ167&gt;=1,EW167,ES167)</f>
        <v>0</v>
      </c>
      <c r="EU167" s="111">
        <f t="shared" si="120"/>
        <v>112.92722918023347</v>
      </c>
      <c r="EV167" s="111">
        <f>IF($BI$8=2015,VLOOKUP($L167,'[12]IMAGE CDLINKS 2C'!$P$3:$Y$29,10,FALSE)*$AM167,VLOOKUP($L167,'[12]IMAGE CDLINKS 2C'!$Z$3:$AI$29,10,FALSE)*$AP167)</f>
        <v>112.92722918023347</v>
      </c>
      <c r="EW167">
        <v>0</v>
      </c>
      <c r="EX167" s="111">
        <f>EW167-EV167</f>
        <v>-112.92722918023347</v>
      </c>
      <c r="EY167" s="111">
        <f t="shared" si="121"/>
        <v>0</v>
      </c>
      <c r="EZ167" s="111">
        <f>IF($BI$8=2015,VLOOKUP($L167,'[12]IMAGE CDLINKS 1_5C'!$P$3:$Y$29,10,FALSE)*$AM167,VLOOKUP($L167,'[12]IMAGE CDLINKS 1_5C'!$Z$3:$AI$29,10,FALSE)*$AP167)</f>
        <v>66.810715836452033</v>
      </c>
      <c r="FA167" s="192">
        <v>2050</v>
      </c>
    </row>
    <row r="168" spans="1:157" x14ac:dyDescent="0.25">
      <c r="A168" t="str">
        <f>IF([12]NDCs!C170="","",[12]NDCs!C170)</f>
        <v>B</v>
      </c>
      <c r="B168" s="159" t="str">
        <f t="shared" si="112"/>
        <v>iv</v>
      </c>
      <c r="C168">
        <v>0</v>
      </c>
      <c r="D168">
        <v>0</v>
      </c>
      <c r="E168">
        <v>0</v>
      </c>
      <c r="F168">
        <v>1</v>
      </c>
      <c r="G168" t="b">
        <f t="shared" si="113"/>
        <v>1</v>
      </c>
      <c r="H168" t="s">
        <v>2328</v>
      </c>
      <c r="I168" t="s">
        <v>365</v>
      </c>
      <c r="J168">
        <v>608</v>
      </c>
      <c r="K168">
        <v>157</v>
      </c>
      <c r="L168">
        <v>21</v>
      </c>
      <c r="M168" t="str">
        <f>IF([12]NDCs!AL170="Excluding","excl","incl")</f>
        <v>excl</v>
      </c>
      <c r="N168" s="195">
        <f>[12]PHL!$A$24*IF($M168="incl",[12]PHL!E$41,[12]PHL!E$37)</f>
        <v>104.2236351</v>
      </c>
      <c r="O168" s="195">
        <f>IF($M168="incl",[12]PHL!F$41,[12]PHL!F$37)</f>
        <v>104.1173264</v>
      </c>
      <c r="P168" s="195">
        <f>IF($M168="incl",[12]PHL!G$41,[12]PHL!G$37)</f>
        <v>106.7562492</v>
      </c>
      <c r="Q168" s="195">
        <f>IF($M168="incl",[12]PHL!H$41,[12]PHL!H$37)</f>
        <v>110.991272999999</v>
      </c>
      <c r="R168" s="195">
        <f>IF($M168="incl",[12]PHL!I$41,[12]PHL!I$37)</f>
        <v>117.9441877</v>
      </c>
      <c r="S168" s="195">
        <f>IF($M168="incl",[12]PHL!J$41,[12]PHL!J$37)</f>
        <v>130.17496159999999</v>
      </c>
      <c r="T168" s="195">
        <f>IF($M168="incl",[12]PHL!K$41,[12]PHL!K$37)</f>
        <v>135.84272329999999</v>
      </c>
      <c r="U168" s="195">
        <f>IF($M168="incl",[12]PHL!L$41,[12]PHL!L$37)</f>
        <v>144.8975658</v>
      </c>
      <c r="V168" s="195">
        <f>IF($M168="incl",[12]PHL!M$41,[12]PHL!M$37)</f>
        <v>138.56580259999899</v>
      </c>
      <c r="W168" s="195">
        <f>IF($M168="incl",[12]PHL!N$41,[12]PHL!N$37)</f>
        <v>142.78689609999901</v>
      </c>
      <c r="X168" s="195">
        <f>IF($M168="incl",[12]PHL!O$41,[12]PHL!O$37)</f>
        <v>144.23981699999999</v>
      </c>
      <c r="Y168" s="195">
        <f>IF($M168="incl",[12]PHL!P$41,[12]PHL!P$37)</f>
        <v>143.05252949999999</v>
      </c>
      <c r="Z168" s="195">
        <f>IF($M168="incl",[12]PHL!Q$41,[12]PHL!Q$37)</f>
        <v>146.30896960000001</v>
      </c>
      <c r="AA168" s="195">
        <f>IF($M168="incl",[12]PHL!R$41,[12]PHL!R$37)</f>
        <v>148.97521660000001</v>
      </c>
      <c r="AB168" s="195">
        <f>IF($M168="incl",[12]PHL!S$41,[12]PHL!S$37)</f>
        <v>151.4603304</v>
      </c>
      <c r="AC168" s="195">
        <f>IF($M168="incl",[12]PHL!T$41,[12]PHL!T$37)</f>
        <v>155.20594349999999</v>
      </c>
      <c r="AD168" s="195">
        <f>IF($M168="incl",[12]PHL!U$41,[12]PHL!U$37)</f>
        <v>148.20365369999999</v>
      </c>
      <c r="AE168" s="195">
        <f>IF($M168="incl",[12]PHL!V$41,[12]PHL!V$37)</f>
        <v>155.3665365</v>
      </c>
      <c r="AF168" s="195">
        <f>IF($M168="incl",[12]PHL!W$41,[12]PHL!W$37)</f>
        <v>158.1634981</v>
      </c>
      <c r="AG168" s="195">
        <f>IF($M168="incl",[12]PHL!X$41,[12]PHL!X$37)</f>
        <v>160.26605480000001</v>
      </c>
      <c r="AH168" s="195">
        <f>IF($M168="incl",[12]PHL!Y$41,[12]PHL!Y$37)</f>
        <v>166.45709830000001</v>
      </c>
      <c r="AI168" s="195">
        <f>IF($M168="incl",[12]PHL!Z$41,[12]PHL!Z$37)</f>
        <v>167.58085890000001</v>
      </c>
      <c r="AJ168" s="195">
        <f>IF($M168="incl",[12]PHL!AA$41,[12]PHL!AA$37)</f>
        <v>173.07474740000001</v>
      </c>
      <c r="AK168" s="195">
        <f>IF($M168="incl",[12]PHL!AB$41,[12]PHL!AB$37)</f>
        <v>184.8948738</v>
      </c>
      <c r="AL168" s="195">
        <f>IF($M168="incl",[12]PHL!AC$41,[12]PHL!AC$37)</f>
        <v>194.26337599999999</v>
      </c>
      <c r="AM168" s="195">
        <f>IF($M168="incl",[12]PHL!AD$41,[12]PHL!AD$37)</f>
        <v>202.01279959999999</v>
      </c>
      <c r="AN168" s="195">
        <f>IF($M168="incl",[12]PHL!AE$41,[12]PHL!AE$37)</f>
        <v>211.8274414</v>
      </c>
      <c r="AO168" s="195">
        <f>IF($M168="incl",[12]PHL!AF$41,[12]PHL!AF$37)</f>
        <v>220.1460807</v>
      </c>
      <c r="AP168" s="195">
        <f>IF($M168="incl",[12]PHL!AG$41,[12]PHL!AG$37)</f>
        <v>228.46472</v>
      </c>
      <c r="AQ168" s="195">
        <f>IF($M168="incl",[12]PHL!AH$41,[12]PHL!AH$37)</f>
        <v>236.78335939999999</v>
      </c>
      <c r="AR168" s="195">
        <f>IF($M168="incl",[12]PHL!AI$41,[12]PHL!AI$37)</f>
        <v>245.1019987</v>
      </c>
      <c r="AS168" s="195">
        <f>IF($M168="incl",[12]PHL!AJ$41,[12]PHL!AJ$37)</f>
        <v>248.530371</v>
      </c>
      <c r="AT168" s="179">
        <f>[12]PHL!$A$24*[12]PHL!AI23</f>
        <v>232.34299960000001</v>
      </c>
      <c r="AU168" s="177">
        <f>[12]PHL!$A$24*[12]PHL!AN23</f>
        <v>265.59659959999999</v>
      </c>
      <c r="AV168" s="180">
        <f>[12]PHL!$A$24*[12]PHL!AS23</f>
        <v>294.95369960000005</v>
      </c>
      <c r="AW168" s="111">
        <f t="shared" si="119"/>
        <v>83.228549150000006</v>
      </c>
      <c r="AX168" s="164">
        <f>IF(A168="B",IF(M168="excl",[12]NatCom!CO158,[12]NatCom!AX158),"")</f>
        <v>0</v>
      </c>
      <c r="AY168" s="111" t="str">
        <f>IF('[12]Pledge 2020'!E158="","",'[12]Pledge 2020'!E158)</f>
        <v/>
      </c>
      <c r="AZ168" s="164" t="str">
        <f>IF('[12]Pledge 2020'!F158="","",'[12]Pledge 2020'!F158)</f>
        <v/>
      </c>
      <c r="BA168" s="111" t="str">
        <f>[12]PHL!X10</f>
        <v/>
      </c>
      <c r="BB168" s="111"/>
      <c r="BC168" s="177">
        <f>[12]PHL!$A$24*[12]PHL!Y10</f>
        <v>113.61427457500001</v>
      </c>
      <c r="BD168" s="111">
        <f>IF(BH168="","",(BH168-AH168)*0.75+AH168)</f>
        <v>113.61427457500001</v>
      </c>
      <c r="BE168" s="111" t="s">
        <v>2477</v>
      </c>
      <c r="BF168" s="111"/>
      <c r="BG168" s="177">
        <v>96.000000000000014</v>
      </c>
      <c r="BH168" s="180">
        <v>96.000000000000014</v>
      </c>
      <c r="BI168" s="111" t="str">
        <f>IF([12]NDCs!V170="",IF([12]NDCs!X170="","",[12]NDCs!X170),[12]NDCs!V170)</f>
        <v/>
      </c>
      <c r="BJ168" s="111" t="str">
        <f>IF([12]NDCs!V170="",IF([12]NDCs!X170="","",[12]NDCs!X170),[12]NDCs!V170)</f>
        <v/>
      </c>
      <c r="BK168" s="111">
        <f>IF([12]NDCs!Z170="",IF([12]NDCs!AB170="",IF('input site'!BE168="","",'input site'!BE168),[12]NDCs!AB170),[12]NDCs!Z170)</f>
        <v>96.000000000000014</v>
      </c>
      <c r="BL168" s="111">
        <f>IF([12]NDCs!AA170="",IF([12]NDCs!AC170="",IF('input site'!BF168="","",'input site'!BF168),[12]NDCs!AC170),[12]NDCs!AA170)</f>
        <v>96.000000000000014</v>
      </c>
      <c r="BM168" s="215">
        <f>MEDIAN(BN168:BO168)</f>
        <v>245.1019987</v>
      </c>
      <c r="BN168" s="177">
        <f>[12]PHL!$A$24*[12]PHL!AB$7</f>
        <v>245.1019987</v>
      </c>
      <c r="BO168" s="177">
        <f>[12]PHL!$A$24*[12]PHL!AB$6</f>
        <v>245.1019987</v>
      </c>
      <c r="BP168" s="215">
        <f>MEDIAN(BQ168:BR168)</f>
        <v>262.24386010000001</v>
      </c>
      <c r="BQ168" s="177">
        <f>[12]PHL!$A$24*[12]PHL!AC$7</f>
        <v>262.24386010000001</v>
      </c>
      <c r="BR168" s="177">
        <f>[12]PHL!$A$24*[12]PHL!AC$6</f>
        <v>262.24386010000001</v>
      </c>
      <c r="BS168" s="215">
        <f>MEDIAN(BT168:BU168)</f>
        <v>287.337594999999</v>
      </c>
      <c r="BT168" s="177">
        <f>[12]PHL!$A$24*[12]PHL!AD$7</f>
        <v>287.337594999999</v>
      </c>
      <c r="BU168" s="177">
        <f>[12]PHL!$A$24*[12]PHL!AD$6</f>
        <v>287.337594999999</v>
      </c>
      <c r="CN168" t="s">
        <v>365</v>
      </c>
      <c r="CO168" s="165" t="str">
        <f t="shared" si="114"/>
        <v/>
      </c>
      <c r="CP168" s="165" t="str">
        <f t="shared" si="114"/>
        <v/>
      </c>
      <c r="CQ168" s="165">
        <f t="shared" si="114"/>
        <v>-0.66589822678789967</v>
      </c>
      <c r="CR168" s="165">
        <f t="shared" si="114"/>
        <v>-0.66589822678789967</v>
      </c>
      <c r="CS168" s="38">
        <f>IF(BE168="",0,IF(BE168&lt;=MIN(BS168:BU168),0,1))</f>
        <v>0</v>
      </c>
      <c r="CT168">
        <f>IF(BG168&lt;=BS168,0,1)</f>
        <v>0</v>
      </c>
      <c r="CU168">
        <f>IF(BS168&lt;=AH168,1,0)</f>
        <v>0</v>
      </c>
      <c r="CV168" s="126" t="str">
        <f>IF(CS168=1,IF(CU168=1,"i","ii"),IF(CU168=1,"iii","iv"))</f>
        <v>iv</v>
      </c>
      <c r="CW168" s="126" t="str">
        <f>IF(CT168=1,IF(CU168=1,"i","ii"),IF(CU168=1,"iii","iv"))</f>
        <v>iv</v>
      </c>
      <c r="CX168"/>
      <c r="CY168" s="167">
        <f t="shared" si="115"/>
        <v>-12.758999099999983</v>
      </c>
      <c r="DB168" s="106"/>
      <c r="DC168" s="106"/>
      <c r="DD168" s="106"/>
      <c r="DE168" s="187">
        <f>[12]PHL!T50</f>
        <v>0</v>
      </c>
      <c r="DF168" s="187">
        <f>[12]PHL!U50</f>
        <v>0</v>
      </c>
      <c r="DG168" s="105" t="str">
        <f t="shared" si="116"/>
        <v>excl</v>
      </c>
      <c r="DH168" t="s">
        <v>365</v>
      </c>
      <c r="DI168" s="127"/>
      <c r="DJ168" s="127"/>
      <c r="DK168" s="127"/>
      <c r="DL168" s="127"/>
      <c r="DM168" s="127"/>
      <c r="DN168" s="127"/>
      <c r="DO168" s="127"/>
      <c r="DP168" s="127"/>
      <c r="DQ168" s="187">
        <f>[12]PHL!BA$18</f>
        <v>0</v>
      </c>
      <c r="DR168" s="187">
        <f>[12]PHL!BB$18</f>
        <v>0</v>
      </c>
      <c r="DS168" s="111"/>
      <c r="DT168" s="168"/>
      <c r="DW168" s="111">
        <f t="shared" si="117"/>
        <v>287.337594999999</v>
      </c>
      <c r="DX168" s="111">
        <f t="shared" si="117"/>
        <v>287.337594999999</v>
      </c>
      <c r="DY168" s="111">
        <f t="shared" si="117"/>
        <v>96.000000000000014</v>
      </c>
      <c r="DZ168" s="111">
        <f t="shared" si="117"/>
        <v>96.000000000000014</v>
      </c>
      <c r="EP168" t="s">
        <v>365</v>
      </c>
      <c r="EQ168">
        <v>0</v>
      </c>
      <c r="ER168" s="111">
        <f t="shared" si="118"/>
        <v>228.46472</v>
      </c>
      <c r="ES168" s="111">
        <f>IF($BI$8=2015,VLOOKUP($L168,'[12]IMAGE CDLINKS CurPol'!$P$3:$Y$29,10,FALSE)*$AM168,VLOOKUP($L168,'[12]IMAGE CDLINKS CurPol'!$Z$3:$AI$29,10,FALSE)*$AP168)</f>
        <v>379.87602113195408</v>
      </c>
      <c r="ET168" s="111">
        <f t="shared" si="124"/>
        <v>379.87602113195408</v>
      </c>
      <c r="EU168" s="111">
        <f t="shared" si="120"/>
        <v>74.036602841160686</v>
      </c>
      <c r="EV168" s="111">
        <f>IF($BI$8=2015,VLOOKUP($L168,'[12]IMAGE CDLINKS 2C'!$P$3:$Y$29,10,FALSE)*$AM168,VLOOKUP($L168,'[12]IMAGE CDLINKS 2C'!$Z$3:$AI$29,10,FALSE)*$AP168)</f>
        <v>74.036602841160686</v>
      </c>
      <c r="EY168" s="111">
        <f t="shared" si="121"/>
        <v>4.9711685494538473</v>
      </c>
      <c r="EZ168" s="111">
        <f>IF($BI$8=2015,VLOOKUP($L168,'[12]IMAGE CDLINKS 1_5C'!$P$3:$Y$29,10,FALSE)*$AM168,VLOOKUP($L168,'[12]IMAGE CDLINKS 1_5C'!$Z$3:$AI$29,10,FALSE)*$AP168)</f>
        <v>4.9711685494538473</v>
      </c>
      <c r="FA168" s="192"/>
    </row>
    <row r="169" spans="1:157" x14ac:dyDescent="0.25">
      <c r="A169" t="str">
        <f>IF([12]NDCs!C171="","",[12]NDCs!C171)</f>
        <v/>
      </c>
      <c r="B169" s="159" t="str">
        <f t="shared" si="112"/>
        <v>v</v>
      </c>
      <c r="C169">
        <v>0</v>
      </c>
      <c r="D169">
        <v>0</v>
      </c>
      <c r="E169">
        <v>0</v>
      </c>
      <c r="F169">
        <v>0</v>
      </c>
      <c r="G169" t="b">
        <f t="shared" si="113"/>
        <v>0</v>
      </c>
      <c r="H169" t="s">
        <v>2328</v>
      </c>
      <c r="I169" t="s">
        <v>367</v>
      </c>
      <c r="J169">
        <v>612</v>
      </c>
      <c r="K169">
        <v>158</v>
      </c>
      <c r="L169">
        <v>24</v>
      </c>
      <c r="M169" t="str">
        <f>IF([12]NDCs!AL171="Excluding","excl","incl")</f>
        <v>excl</v>
      </c>
      <c r="N169" s="160">
        <f>[12]GHG_hist!BA159+IF($M169="incl",[12]LULUCF_hist!CR159,0)</f>
        <v>0</v>
      </c>
      <c r="O169" s="111">
        <f>[12]GHG_hist!BB159+IF($M169="incl",[12]LULUCF_hist!CS159,0)</f>
        <v>0</v>
      </c>
      <c r="P169" s="111">
        <f>[12]GHG_hist!BC159+IF($M169="incl",[12]LULUCF_hist!CT159,0)</f>
        <v>0</v>
      </c>
      <c r="Q169" s="111">
        <f>[12]GHG_hist!BD159+IF($M169="incl",[12]LULUCF_hist!CU159,0)</f>
        <v>0</v>
      </c>
      <c r="R169" s="111">
        <f>[12]GHG_hist!BE159+IF($M169="incl",[12]LULUCF_hist!CV159,0)</f>
        <v>0</v>
      </c>
      <c r="S169" s="111">
        <f>[12]GHG_hist!BF159+IF($M169="incl",[12]LULUCF_hist!CW159,0)</f>
        <v>0</v>
      </c>
      <c r="T169" s="111">
        <f>[12]GHG_hist!BG159+IF($M169="incl",[12]LULUCF_hist!CX159,0)</f>
        <v>0</v>
      </c>
      <c r="U169" s="111">
        <f>[12]GHG_hist!BH159+IF($M169="incl",[12]LULUCF_hist!CY159,0)</f>
        <v>0</v>
      </c>
      <c r="V169" s="111">
        <f>[12]GHG_hist!BI159+IF($M169="incl",[12]LULUCF_hist!CZ159,0)</f>
        <v>0</v>
      </c>
      <c r="W169" s="111">
        <f>[12]GHG_hist!BJ159+IF($M169="incl",[12]LULUCF_hist!DA159,0)</f>
        <v>0</v>
      </c>
      <c r="X169" s="111">
        <f>[12]GHG_hist!BK159+IF($M169="incl",[12]LULUCF_hist!DB159,0)</f>
        <v>0</v>
      </c>
      <c r="Y169" s="111">
        <f>[12]GHG_hist!BL159+IF($M169="incl",[12]LULUCF_hist!DC159,0)</f>
        <v>0</v>
      </c>
      <c r="Z169" s="111">
        <f>[12]GHG_hist!BM159+IF($M169="incl",[12]LULUCF_hist!DD159,0)</f>
        <v>0</v>
      </c>
      <c r="AA169" s="111">
        <f>[12]GHG_hist!BN159+IF($M169="incl",[12]LULUCF_hist!DE159,0)</f>
        <v>0</v>
      </c>
      <c r="AB169" s="111">
        <f>[12]GHG_hist!BO159+IF($M169="incl",[12]LULUCF_hist!DF159,0)</f>
        <v>0</v>
      </c>
      <c r="AC169" s="111">
        <f>[12]GHG_hist!BP159+IF($M169="incl",[12]LULUCF_hist!DG159,0)</f>
        <v>0</v>
      </c>
      <c r="AD169" s="111">
        <f>[12]GHG_hist!BQ159+IF($M169="incl",[12]LULUCF_hist!DH159,0)</f>
        <v>0</v>
      </c>
      <c r="AE169" s="111">
        <f>[12]GHG_hist!BR159+IF($M169="incl",[12]LULUCF_hist!DI159,0)</f>
        <v>0</v>
      </c>
      <c r="AF169" s="111">
        <f>[12]GHG_hist!BS159+IF($M169="incl",[12]LULUCF_hist!DJ159,0)</f>
        <v>0</v>
      </c>
      <c r="AG169" s="111">
        <f>[12]GHG_hist!BT159+IF($M169="incl",[12]LULUCF_hist!DK159,0)</f>
        <v>0</v>
      </c>
      <c r="AH169" s="111">
        <f>[12]GHG_hist!BU159+IF($M169="incl",[12]LULUCF_hist!DL159,0)</f>
        <v>0</v>
      </c>
      <c r="AI169" s="111">
        <f>[12]GHG_hist!BV159+IF($M169="incl",[12]LULUCF_hist!DM159,0)</f>
        <v>0</v>
      </c>
      <c r="AJ169" s="111">
        <f>[12]GHG_hist!BW159+IF($M169="incl",[12]LULUCF_hist!DN159,0)</f>
        <v>0</v>
      </c>
      <c r="AK169" s="111">
        <f>[12]GHG_hist!BX159+IF($M169="incl",[12]LULUCF_hist!DO159,0)</f>
        <v>0</v>
      </c>
      <c r="AL169" s="111">
        <f>[12]GHG_hist!BY159+IF($M169="incl",[12]LULUCF_hist!DP159,0)</f>
        <v>0</v>
      </c>
      <c r="AM169" s="111">
        <f>[12]GHG_hist!BZ159+IF($M169="incl",[12]LULUCF_hist!DQ159,0)</f>
        <v>0</v>
      </c>
      <c r="AN169" s="111">
        <f>[12]GHG_hist!CA159+IF($M169="incl",[12]LULUCF_hist!DR159,0)</f>
        <v>0</v>
      </c>
      <c r="AO169" s="111">
        <f>[12]GHG_hist!CB159+IF($M169="incl",[12]LULUCF_hist!DS159,0)</f>
        <v>0</v>
      </c>
      <c r="AP169" s="111">
        <f>[12]GHG_hist!CC159+IF($M169="incl",[12]LULUCF_hist!DT159,0)</f>
        <v>0</v>
      </c>
      <c r="AQ169" s="111">
        <f>[12]GHG_hist!CD159+IF($M169="incl",[12]LULUCF_hist!DU159,0)</f>
        <v>0</v>
      </c>
      <c r="AR169" s="111">
        <f>[12]GHG_hist!CE159+IF($M169="incl",[12]LULUCF_hist!DV159,0)</f>
        <v>0</v>
      </c>
      <c r="AS169" s="111">
        <f>[12]GHG_hist!CF159+IF($M169="incl",[12]LULUCF_hist!DW159,0)</f>
        <v>0</v>
      </c>
      <c r="AT169" s="161">
        <f>VLOOKUP($L169,'[12]IMAGE SSP2'!$AF$3:$AK$29,4,FALSE)*$AM169</f>
        <v>0</v>
      </c>
      <c r="AU169" s="162">
        <f>VLOOKUP($L169,'[12]IMAGE SSP2'!$AF$3:$AK$29,5,FALSE)*$AM169</f>
        <v>0</v>
      </c>
      <c r="AV169" s="163">
        <f>VLOOKUP($L169,'[12]IMAGE SSP2'!$AF$3:$AK$29,6,FALSE)*$AM169</f>
        <v>0</v>
      </c>
      <c r="AW169" s="111" t="str">
        <f t="shared" si="119"/>
        <v/>
      </c>
      <c r="AX169" s="164" t="str">
        <f>IF(A169="B",IF(M169="excl",[12]NatCom!CO159,[12]NatCom!AX159),"")</f>
        <v/>
      </c>
      <c r="AY169" s="111" t="str">
        <f>IF('[12]Pledge 2020'!E159="","",'[12]Pledge 2020'!E159)</f>
        <v/>
      </c>
      <c r="AZ169" s="164" t="str">
        <f>IF('[12]Pledge 2020'!F159="","",'[12]Pledge 2020'!F159)</f>
        <v/>
      </c>
      <c r="BA169" s="111" t="str">
        <f t="shared" si="100"/>
        <v/>
      </c>
      <c r="BB169" s="111"/>
      <c r="BC169" s="111" t="str">
        <f t="shared" si="101"/>
        <v/>
      </c>
      <c r="BD169" s="111"/>
      <c r="BE169" s="111" t="s">
        <v>2477</v>
      </c>
      <c r="BF169" s="111"/>
      <c r="BG169" s="111" t="s">
        <v>2477</v>
      </c>
      <c r="BH169" s="164"/>
      <c r="BI169" s="111" t="str">
        <f>IF([12]NDCs!V171="",IF([12]NDCs!X171="","",[12]NDCs!X171),[12]NDCs!V171)</f>
        <v/>
      </c>
      <c r="BJ169" s="111" t="str">
        <f>IF([12]NDCs!V171="",IF([12]NDCs!X171="","",[12]NDCs!X171),[12]NDCs!V171)</f>
        <v/>
      </c>
      <c r="BK169" s="111" t="str">
        <f>IF([12]NDCs!Z171="",IF([12]NDCs!AB171="",IF('input site'!BE169="","",'input site'!BE169),[12]NDCs!AB171),[12]NDCs!Z171)</f>
        <v/>
      </c>
      <c r="BL169" s="111" t="str">
        <f>IF([12]NDCs!AA171="",IF([12]NDCs!AC171="",IF('input site'!BF169="","",'input site'!BF169),[12]NDCs!AC171),[12]NDCs!AA171)</f>
        <v/>
      </c>
      <c r="BM169" s="111">
        <f>IF($BI$8=2015,VLOOKUP($L169,'[12]IMAGE CurPol SSP'!$AZ$3:$BD$29,4,FALSE)*$AM169,IF($BI$8=2018,VLOOKUP($L169,'[12]IMAGE CurPol SSP'!$BJ$3:$BN$29,4,FALSE)*$AP169,$AR169))</f>
        <v>0</v>
      </c>
      <c r="BN169" s="111">
        <f t="shared" ref="BN169:BO175" si="125">IF($BI$8=2015,"",IF($BI$8=2018,"",$AR169))</f>
        <v>0</v>
      </c>
      <c r="BO169" s="111">
        <f t="shared" si="125"/>
        <v>0</v>
      </c>
      <c r="BP169" s="111">
        <f>IF($BI$8=2015,VLOOKUP($L169,'[12]IMAGE CurPol SSP'!$AZ$3:$BD$29,5,FALSE)*$AM169,IF($BI$8=2018,VLOOKUP($L169,'[12]IMAGE CurPol SSP'!$BJ$3:$BN$29,5,FALSE)*$AP169,VLOOKUP($L169,'[12]IMAGE CurPol SSP'!$BU$3:$BZ$29,5,FALSE)*$AS169))</f>
        <v>0</v>
      </c>
      <c r="BQ169" s="111">
        <f>IF($BI$8=2015,"",IF($BI$8=2018,"",VLOOKUP($L169,'[12]IMAGE CurPol SSP'!$CQ$3:$CV$29,5,FALSE)*$AS169))</f>
        <v>0</v>
      </c>
      <c r="BR169" s="111">
        <f>IF($BI$8=2015,"",IF($BI$8=2018,"",VLOOKUP($L169,'[12]IMAGE CurPol SSP'!$CF$3:$CK$29,5,FALSE)*$AS169))</f>
        <v>0</v>
      </c>
      <c r="BS169" s="111">
        <f>IF($BI$8=2015,VLOOKUP($L169,'[12]IMAGE CurPol SSP'!$AZ$3:$BE$29,6,FALSE)*$AM169,IF($BI$8=2018,VLOOKUP($L169,'[12]IMAGE CurPol SSP'!$BJ$3:$BO$29,6,FALSE)*$AP169,VLOOKUP($L169,'[12]IMAGE CurPol SSP'!$BU$3:$BZ$29,6,FALSE)*$AS169))</f>
        <v>0</v>
      </c>
      <c r="BT169" s="111">
        <f>IF($BI$8=2015,"",IF($BI$8=2018,"",VLOOKUP($L169,'[12]IMAGE CurPol SSP'!$CQ$3:$CV$29,6,FALSE)*$AS169))</f>
        <v>0</v>
      </c>
      <c r="BU169" s="164">
        <f>IF($BI$8=2015,"",IF($BI$8=2018,"",VLOOKUP($L169,'[12]IMAGE CurPol SSP'!$CF$3:$CK$29,6,FALSE)*$AS169))</f>
        <v>0</v>
      </c>
      <c r="CN169" t="s">
        <v>367</v>
      </c>
      <c r="CO169" s="165" t="str">
        <f t="shared" si="114"/>
        <v/>
      </c>
      <c r="CP169" s="165" t="str">
        <f t="shared" si="114"/>
        <v/>
      </c>
      <c r="CQ169" s="165" t="str">
        <f t="shared" si="114"/>
        <v/>
      </c>
      <c r="CR169" s="165" t="str">
        <f t="shared" si="114"/>
        <v/>
      </c>
      <c r="CV169" s="125" t="s">
        <v>621</v>
      </c>
      <c r="CW169" s="125" t="s">
        <v>621</v>
      </c>
      <c r="CX169" s="208">
        <f>AP169/$AP$255</f>
        <v>0</v>
      </c>
      <c r="CY169" s="167">
        <f t="shared" si="115"/>
        <v>0</v>
      </c>
      <c r="DB169" s="106"/>
      <c r="DC169" s="106"/>
      <c r="DD169" s="106"/>
      <c r="DE169" s="106"/>
      <c r="DF169" s="106"/>
      <c r="DG169" s="105" t="str">
        <f t="shared" si="116"/>
        <v>excl</v>
      </c>
      <c r="DH169" t="s">
        <v>367</v>
      </c>
      <c r="DI169" s="111">
        <f t="shared" ref="DI169:DJ175" si="126">IF(AY169="",$BM169,AY169)-$BM169</f>
        <v>0</v>
      </c>
      <c r="DJ169" s="111">
        <f t="shared" si="126"/>
        <v>0</v>
      </c>
      <c r="DK169" s="111">
        <f t="shared" ref="DK169:DK175" si="127">IF(BA169="",$BP169,BA169)-$BP169</f>
        <v>0</v>
      </c>
      <c r="DL169" s="111">
        <f t="shared" ref="DL169:DL175" si="128">IF(BC169="",$BP169,BC169)-$BP169</f>
        <v>0</v>
      </c>
      <c r="DM169" s="111">
        <f t="shared" ref="DM169:DM175" si="129">IF(BE169="",$BS169,BE169)-$BS169</f>
        <v>0</v>
      </c>
      <c r="DN169" s="111">
        <f t="shared" ref="DN169:DN175" si="130">IF(BG169="",$BS169,BG169)-$BS169</f>
        <v>0</v>
      </c>
      <c r="DO169" s="111">
        <f t="shared" ref="DO169:DO175" si="131">IF(BI169="",$BS169,BI169)-$BS169</f>
        <v>0</v>
      </c>
      <c r="DP169" s="111">
        <f t="shared" ref="DP169:DP175" si="132">IF(BK169="",$BS169,BK169)-$BS169</f>
        <v>0</v>
      </c>
      <c r="DQ169" s="106"/>
      <c r="DR169" s="106"/>
      <c r="DS169" s="111"/>
      <c r="DT169" s="168"/>
      <c r="DW169" s="111">
        <f t="shared" si="117"/>
        <v>0</v>
      </c>
      <c r="DX169" s="111">
        <f t="shared" si="117"/>
        <v>0</v>
      </c>
      <c r="DY169" s="111">
        <f t="shared" si="117"/>
        <v>0</v>
      </c>
      <c r="DZ169" s="111">
        <f t="shared" si="117"/>
        <v>0</v>
      </c>
      <c r="EP169" t="s">
        <v>367</v>
      </c>
      <c r="EQ169">
        <v>0</v>
      </c>
      <c r="ER169" s="111">
        <f t="shared" si="118"/>
        <v>0</v>
      </c>
      <c r="ES169" s="111">
        <f>IF($BI$8=2015,VLOOKUP($L169,'[12]IMAGE CDLINKS CurPol'!$P$3:$Y$29,10,FALSE)*$AM169,VLOOKUP($L169,'[12]IMAGE CDLINKS CurPol'!$Z$3:$AI$29,10,FALSE)*$AP169)</f>
        <v>0</v>
      </c>
      <c r="ET169" s="111">
        <f t="shared" si="124"/>
        <v>0</v>
      </c>
      <c r="EU169" s="111">
        <f t="shared" si="120"/>
        <v>0</v>
      </c>
      <c r="EV169" s="111">
        <f>IF($BI$8=2015,VLOOKUP($L169,'[12]IMAGE CDLINKS 2C'!$P$3:$Y$29,10,FALSE)*$AM169,VLOOKUP($L169,'[12]IMAGE CDLINKS 2C'!$Z$3:$AI$29,10,FALSE)*$AP169)</f>
        <v>0</v>
      </c>
      <c r="EY169" s="111">
        <f t="shared" si="121"/>
        <v>0</v>
      </c>
      <c r="EZ169" s="111">
        <f>IF($BI$8=2015,VLOOKUP($L169,'[12]IMAGE CDLINKS 1_5C'!$P$3:$Y$29,10,FALSE)*$AM169,VLOOKUP($L169,'[12]IMAGE CDLINKS 1_5C'!$Z$3:$AI$29,10,FALSE)*$AP169)</f>
        <v>0</v>
      </c>
      <c r="FA169" s="192"/>
    </row>
    <row r="170" spans="1:157" x14ac:dyDescent="0.25">
      <c r="A170" t="str">
        <f>IF([12]NDCs!C172="","",[12]NDCs!C172)</f>
        <v>A</v>
      </c>
      <c r="B170" s="159" t="str">
        <f t="shared" si="112"/>
        <v>v</v>
      </c>
      <c r="C170">
        <v>0</v>
      </c>
      <c r="D170">
        <v>1</v>
      </c>
      <c r="E170">
        <v>0</v>
      </c>
      <c r="F170">
        <v>1</v>
      </c>
      <c r="G170" t="b">
        <f t="shared" si="113"/>
        <v>1</v>
      </c>
      <c r="H170" t="s">
        <v>2335</v>
      </c>
      <c r="I170" t="s">
        <v>369</v>
      </c>
      <c r="J170">
        <v>616</v>
      </c>
      <c r="K170">
        <v>159</v>
      </c>
      <c r="L170">
        <v>12</v>
      </c>
      <c r="M170" t="str">
        <f>IF([12]NDCs!AL172="Excluding","excl","incl")</f>
        <v>incl</v>
      </c>
      <c r="N170" s="160">
        <f>[12]GHG_hist!BA160+IF($M170="incl",[12]LULUCF_hist!CR160,0)</f>
        <v>442.04691699167086</v>
      </c>
      <c r="O170" s="111">
        <f>[12]GHG_hist!BB160+IF($M170="incl",[12]LULUCF_hist!CS160,0)</f>
        <v>437.68851425416386</v>
      </c>
      <c r="P170" s="111">
        <f>[12]GHG_hist!BC160+IF($M170="incl",[12]LULUCF_hist!CT160,0)</f>
        <v>446.51411274851432</v>
      </c>
      <c r="Q170" s="111">
        <f>[12]GHG_hist!BD160+IF($M170="incl",[12]LULUCF_hist!CU160,0)</f>
        <v>439.12241818703302</v>
      </c>
      <c r="R170" s="111">
        <f>[12]GHG_hist!BE160+IF($M170="incl",[12]LULUCF_hist!CV160,0)</f>
        <v>433.57901221866399</v>
      </c>
      <c r="S170" s="111">
        <f>[12]GHG_hist!BF160+IF($M170="incl",[12]LULUCF_hist!CW160,0)</f>
        <v>425.50580004192153</v>
      </c>
      <c r="T170" s="111">
        <f>[12]GHG_hist!BG160+IF($M170="incl",[12]LULUCF_hist!CX160,0)</f>
        <v>421.83755872684753</v>
      </c>
      <c r="U170" s="111">
        <f>[12]GHG_hist!BH160+IF($M170="incl",[12]LULUCF_hist!CY160,0)</f>
        <v>411.65368162882385</v>
      </c>
      <c r="V170" s="111">
        <f>[12]GHG_hist!BI160+IF($M170="incl",[12]LULUCF_hist!CZ160,0)</f>
        <v>375.55336204445825</v>
      </c>
      <c r="W170" s="111">
        <f>[12]GHG_hist!BJ160+IF($M170="incl",[12]LULUCF_hist!DA160,0)</f>
        <v>366.6079356487449</v>
      </c>
      <c r="X170" s="111">
        <f>[12]GHG_hist!BK160+IF($M170="incl",[12]LULUCF_hist!DB160,0)</f>
        <v>356.71360380040852</v>
      </c>
      <c r="Y170" s="111">
        <f>[12]GHG_hist!BL160+IF($M170="incl",[12]LULUCF_hist!DC160,0)</f>
        <v>362.84167778284672</v>
      </c>
      <c r="Z170" s="111">
        <f>[12]GHG_hist!BM160+IF($M170="incl",[12]LULUCF_hist!DD160,0)</f>
        <v>344.01482107502414</v>
      </c>
      <c r="AA170" s="111">
        <f>[12]GHG_hist!BN160+IF($M170="incl",[12]LULUCF_hist!DE160,0)</f>
        <v>355.2277257543164</v>
      </c>
      <c r="AB170" s="111">
        <f>[12]GHG_hist!BO160+IF($M170="incl",[12]LULUCF_hist!DF160,0)</f>
        <v>349.43129118543868</v>
      </c>
      <c r="AC170" s="111">
        <f>[12]GHG_hist!BP160+IF($M170="incl",[12]LULUCF_hist!DG160,0)</f>
        <v>350.05700233923426</v>
      </c>
      <c r="AD170" s="111">
        <f>[12]GHG_hist!BQ160+IF($M170="incl",[12]LULUCF_hist!DH160,0)</f>
        <v>370.68896824508363</v>
      </c>
      <c r="AE170" s="111">
        <f>[12]GHG_hist!BR160+IF($M170="incl",[12]LULUCF_hist!DI160,0)</f>
        <v>377.08996762701543</v>
      </c>
      <c r="AF170" s="111">
        <f>[12]GHG_hist!BS160+IF($M170="incl",[12]LULUCF_hist!DJ160,0)</f>
        <v>370.69433676118371</v>
      </c>
      <c r="AG170" s="111">
        <f>[12]GHG_hist!BT160+IF($M170="incl",[12]LULUCF_hist!DK160,0)</f>
        <v>352.55817538954568</v>
      </c>
      <c r="AH170" s="111">
        <f>[12]GHG_hist!BU160+IF($M170="incl",[12]LULUCF_hist!DL160,0)</f>
        <v>371.70123134503257</v>
      </c>
      <c r="AI170" s="111">
        <f>[12]GHG_hist!BV160+IF($M170="incl",[12]LULUCF_hist!DM160,0)</f>
        <v>365.017106171953</v>
      </c>
      <c r="AJ170" s="111">
        <f>[12]GHG_hist!BW160+IF($M170="incl",[12]LULUCF_hist!DN160,0)</f>
        <v>356.81068280193693</v>
      </c>
      <c r="AK170" s="111">
        <f>[12]GHG_hist!BX160+IF($M170="incl",[12]LULUCF_hist!DO160,0)</f>
        <v>350.62406512065877</v>
      </c>
      <c r="AL170" s="111">
        <f>[12]GHG_hist!BY160+IF($M170="incl",[12]LULUCF_hist!DP160,0)</f>
        <v>345.31982025862243</v>
      </c>
      <c r="AM170" s="111">
        <f>[12]GHG_hist!BZ160+IF($M170="incl",[12]LULUCF_hist!DQ160,0)</f>
        <v>351.79821305030106</v>
      </c>
      <c r="AN170" s="111">
        <f>[12]GHG_hist!CA160+IF($M170="incl",[12]LULUCF_hist!DR160,0)</f>
        <v>355.57703658664087</v>
      </c>
      <c r="AO170" s="111">
        <f>[12]GHG_hist!CB160+IF($M170="incl",[12]LULUCF_hist!DS160,0)</f>
        <v>369.35530256608587</v>
      </c>
      <c r="AP170" s="111">
        <f>[12]GHG_hist!CC160+IF($M170="incl",[12]LULUCF_hist!DT160,0)</f>
        <v>369.97213011444211</v>
      </c>
      <c r="AQ170" s="111">
        <f>[12]GHG_hist!CD160+IF($M170="incl",[12]LULUCF_hist!DU160,0)</f>
        <v>365.99243578829123</v>
      </c>
      <c r="AR170" s="111">
        <f>[12]GHG_hist!CE160+IF($M170="incl",[12]LULUCF_hist!DV160,0)</f>
        <v>350.37971028422982</v>
      </c>
      <c r="AS170" s="111">
        <f>[12]GHG_hist!CF160+IF($M170="incl",[12]LULUCF_hist!DW160,0)</f>
        <v>377.42414705168721</v>
      </c>
      <c r="AT170" s="161">
        <f>VLOOKUP($L170,'[12]IMAGE SSP2'!$AF$3:$AK$29,4,FALSE)*$AM170</f>
        <v>366.02469015614895</v>
      </c>
      <c r="AU170" s="162">
        <f>VLOOKUP($L170,'[12]IMAGE SSP2'!$AF$3:$AK$29,5,FALSE)*$AM170</f>
        <v>373.83425647412287</v>
      </c>
      <c r="AV170" s="163">
        <f>VLOOKUP($L170,'[12]IMAGE SSP2'!$AF$3:$AK$29,6,FALSE)*$AM170</f>
        <v>383.82790313500675</v>
      </c>
      <c r="AW170" s="111" t="str">
        <f t="shared" si="119"/>
        <v/>
      </c>
      <c r="AX170" s="164" t="str">
        <f>IF(A170="B",IF(M170="excl",[12]NatCom!CO160,[12]NatCom!AX160),"")</f>
        <v/>
      </c>
      <c r="AY170" s="111" t="str">
        <f>IF('[12]Pledge 2020'!E160="","",'[12]Pledge 2020'!E160)</f>
        <v/>
      </c>
      <c r="AZ170" s="164" t="str">
        <f>IF('[12]Pledge 2020'!F160="","",'[12]Pledge 2020'!F160)</f>
        <v/>
      </c>
      <c r="BA170" s="111" t="str">
        <f t="shared" si="100"/>
        <v/>
      </c>
      <c r="BB170" s="111"/>
      <c r="BC170" s="111" t="str">
        <f t="shared" si="101"/>
        <v/>
      </c>
      <c r="BD170" s="111"/>
      <c r="BE170" s="111" t="s">
        <v>2477</v>
      </c>
      <c r="BF170" s="111"/>
      <c r="BG170" s="111" t="s">
        <v>2477</v>
      </c>
      <c r="BH170" s="164"/>
      <c r="BI170" s="111" t="str">
        <f>IF([12]NDCs!V172="",IF([12]NDCs!X172="","",[12]NDCs!X172),[12]NDCs!V172)</f>
        <v/>
      </c>
      <c r="BJ170" s="111" t="str">
        <f>IF([12]NDCs!V172="",IF([12]NDCs!X172="","",[12]NDCs!X172),[12]NDCs!V172)</f>
        <v/>
      </c>
      <c r="BK170" s="111" t="str">
        <f>IF([12]NDCs!Z172="",IF([12]NDCs!AB172="",IF('input site'!BE170="","",'input site'!BE170),[12]NDCs!AB172),[12]NDCs!Z172)</f>
        <v/>
      </c>
      <c r="BL170" s="111" t="str">
        <f>IF([12]NDCs!AA172="",IF([12]NDCs!AC172="",IF('input site'!BF170="","",'input site'!BF170),[12]NDCs!AC172),[12]NDCs!AA172)</f>
        <v/>
      </c>
      <c r="BM170" s="111">
        <f>IF($BI$8=2015,VLOOKUP($L170,'[12]IMAGE CurPol SSP'!$AZ$3:$BD$29,4,FALSE)*$AM170,IF($BI$8=2018,VLOOKUP($L170,'[12]IMAGE CurPol SSP'!$BJ$3:$BN$29,4,FALSE)*$AP170,$AR170))</f>
        <v>350.37971028422982</v>
      </c>
      <c r="BN170" s="111">
        <f t="shared" si="125"/>
        <v>350.37971028422982</v>
      </c>
      <c r="BO170" s="111">
        <f t="shared" si="125"/>
        <v>350.37971028422982</v>
      </c>
      <c r="BP170" s="111">
        <f>IF($BI$8=2015,VLOOKUP($L170,'[12]IMAGE CurPol SSP'!$AZ$3:$BD$29,5,FALSE)*$AM170,IF($BI$8=2018,VLOOKUP($L170,'[12]IMAGE CurPol SSP'!$BJ$3:$BN$29,5,FALSE)*$AP170,VLOOKUP($L170,'[12]IMAGE CurPol SSP'!$BU$3:$BZ$29,5,FALSE)*$AS170))</f>
        <v>300.16124737915237</v>
      </c>
      <c r="BQ170" s="111">
        <f>IF($BI$8=2015,"",IF($BI$8=2018,"",VLOOKUP($L170,'[12]IMAGE CurPol SSP'!$CQ$3:$CV$29,5,FALSE)*$AS170))</f>
        <v>300.16124737915237</v>
      </c>
      <c r="BR170" s="111">
        <f>IF($BI$8=2015,"",IF($BI$8=2018,"",VLOOKUP($L170,'[12]IMAGE CurPol SSP'!$CF$3:$CK$29,5,FALSE)*$AS170))</f>
        <v>309.75733579354397</v>
      </c>
      <c r="BS170" s="111">
        <f>IF($BI$8=2015,VLOOKUP($L170,'[12]IMAGE CurPol SSP'!$AZ$3:$BE$29,6,FALSE)*$AM170,IF($BI$8=2018,VLOOKUP($L170,'[12]IMAGE CurPol SSP'!$BJ$3:$BO$29,6,FALSE)*$AP170,VLOOKUP($L170,'[12]IMAGE CurPol SSP'!$BU$3:$BZ$29,6,FALSE)*$AS170))</f>
        <v>193.38956521867036</v>
      </c>
      <c r="BT170" s="111">
        <f>IF($BI$8=2015,"",IF($BI$8=2018,"",VLOOKUP($L170,'[12]IMAGE CurPol SSP'!$CQ$3:$CV$29,6,FALSE)*$AS170))</f>
        <v>193.38956521867036</v>
      </c>
      <c r="BU170" s="164">
        <f>IF($BI$8=2015,"",IF($BI$8=2018,"",VLOOKUP($L170,'[12]IMAGE CurPol SSP'!$CF$3:$CK$29,6,FALSE)*$AS170))</f>
        <v>203.16180228623304</v>
      </c>
      <c r="CN170" t="s">
        <v>369</v>
      </c>
      <c r="CO170" s="165" t="str">
        <f t="shared" si="114"/>
        <v/>
      </c>
      <c r="CP170" s="165" t="str">
        <f t="shared" si="114"/>
        <v/>
      </c>
      <c r="CQ170" s="165" t="str">
        <f t="shared" si="114"/>
        <v/>
      </c>
      <c r="CR170" s="165" t="str">
        <f t="shared" si="114"/>
        <v/>
      </c>
      <c r="CV170" s="125" t="s">
        <v>621</v>
      </c>
      <c r="CW170" s="125" t="s">
        <v>621</v>
      </c>
      <c r="CX170"/>
      <c r="CY170" s="167">
        <f t="shared" si="115"/>
        <v>15.644979871919134</v>
      </c>
      <c r="DB170" s="106"/>
      <c r="DC170" s="106"/>
      <c r="DD170" s="106"/>
      <c r="DE170" s="106"/>
      <c r="DF170" s="106"/>
      <c r="DG170" s="105" t="str">
        <f t="shared" si="116"/>
        <v>incl</v>
      </c>
      <c r="DH170" t="s">
        <v>369</v>
      </c>
      <c r="DI170" s="111">
        <f t="shared" si="126"/>
        <v>0</v>
      </c>
      <c r="DJ170" s="111">
        <f t="shared" si="126"/>
        <v>0</v>
      </c>
      <c r="DK170" s="111">
        <f t="shared" si="127"/>
        <v>0</v>
      </c>
      <c r="DL170" s="111">
        <f t="shared" si="128"/>
        <v>0</v>
      </c>
      <c r="DM170" s="111">
        <f t="shared" si="129"/>
        <v>0</v>
      </c>
      <c r="DN170" s="111">
        <f t="shared" si="130"/>
        <v>0</v>
      </c>
      <c r="DO170" s="111">
        <f t="shared" si="131"/>
        <v>0</v>
      </c>
      <c r="DP170" s="111">
        <f t="shared" si="132"/>
        <v>0</v>
      </c>
      <c r="DQ170" s="106"/>
      <c r="DR170" s="106"/>
      <c r="DS170" s="111"/>
      <c r="DT170" s="168"/>
      <c r="DW170" s="111">
        <f t="shared" si="117"/>
        <v>193.38956521867036</v>
      </c>
      <c r="DX170" s="111">
        <f t="shared" si="117"/>
        <v>193.38956521867036</v>
      </c>
      <c r="DY170" s="111">
        <f t="shared" si="117"/>
        <v>193.38956521867036</v>
      </c>
      <c r="DZ170" s="111">
        <f t="shared" si="117"/>
        <v>193.38956521867036</v>
      </c>
      <c r="EP170" t="s">
        <v>369</v>
      </c>
      <c r="ER170" s="111">
        <f t="shared" si="118"/>
        <v>369.97213011444211</v>
      </c>
      <c r="ES170" s="111">
        <f>IF($BI$8=2015,VLOOKUP($L170,'[12]IMAGE CDLINKS CurPol'!$P$3:$Y$29,10,FALSE)*$AM170,VLOOKUP($L170,'[12]IMAGE CDLINKS CurPol'!$Z$3:$AI$29,10,FALSE)*$AP170)</f>
        <v>388.93797422032839</v>
      </c>
      <c r="ET170" s="111">
        <f t="shared" si="124"/>
        <v>388.93797422032839</v>
      </c>
      <c r="EU170" s="111">
        <f t="shared" si="120"/>
        <v>84.208581698443609</v>
      </c>
      <c r="EV170" s="111">
        <f>IF($BI$8=2015,VLOOKUP($L170,'[12]IMAGE CDLINKS 2C'!$P$3:$Y$29,10,FALSE)*$AM170,VLOOKUP($L170,'[12]IMAGE CDLINKS 2C'!$Z$3:$AI$29,10,FALSE)*$AP170)</f>
        <v>84.208581698443609</v>
      </c>
      <c r="EY170" s="111">
        <f t="shared" si="121"/>
        <v>41.080679870364271</v>
      </c>
      <c r="EZ170" s="111">
        <f>IF($BI$8=2015,VLOOKUP($L170,'[12]IMAGE CDLINKS 1_5C'!$P$3:$Y$29,10,FALSE)*$AM170,VLOOKUP($L170,'[12]IMAGE CDLINKS 1_5C'!$Z$3:$AI$29,10,FALSE)*$AP170)</f>
        <v>41.080679870364271</v>
      </c>
      <c r="FA170" s="192"/>
    </row>
    <row r="171" spans="1:157" x14ac:dyDescent="0.25">
      <c r="A171" t="str">
        <f>IF([12]NDCs!C173="","",[12]NDCs!C173)</f>
        <v>A</v>
      </c>
      <c r="B171" s="159" t="str">
        <f t="shared" si="112"/>
        <v>v</v>
      </c>
      <c r="C171">
        <v>0</v>
      </c>
      <c r="D171">
        <v>1</v>
      </c>
      <c r="E171">
        <v>0</v>
      </c>
      <c r="F171">
        <v>1</v>
      </c>
      <c r="G171" t="b">
        <f t="shared" si="113"/>
        <v>1</v>
      </c>
      <c r="H171" t="s">
        <v>2335</v>
      </c>
      <c r="I171" t="s">
        <v>371</v>
      </c>
      <c r="J171">
        <v>620</v>
      </c>
      <c r="K171">
        <v>160</v>
      </c>
      <c r="L171">
        <v>11</v>
      </c>
      <c r="M171" t="str">
        <f>IF([12]NDCs!AL173="Excluding","excl","incl")</f>
        <v>incl</v>
      </c>
      <c r="N171" s="160">
        <f>[12]GHG_hist!BA161+IF($M171="incl",[12]LULUCF_hist!CR161,0)</f>
        <v>65.598528220726635</v>
      </c>
      <c r="O171" s="111">
        <f>[12]GHG_hist!BB161+IF($M171="incl",[12]LULUCF_hist!CS161,0)</f>
        <v>58.151081915447058</v>
      </c>
      <c r="P171" s="111">
        <f>[12]GHG_hist!BC161+IF($M171="incl",[12]LULUCF_hist!CT161,0)</f>
        <v>55.362913309664442</v>
      </c>
      <c r="Q171" s="111">
        <f>[12]GHG_hist!BD161+IF($M171="incl",[12]LULUCF_hist!CU161,0)</f>
        <v>53.023315107809026</v>
      </c>
      <c r="R171" s="111">
        <f>[12]GHG_hist!BE161+IF($M171="incl",[12]LULUCF_hist!CV161,0)</f>
        <v>54.776345448514967</v>
      </c>
      <c r="S171" s="111">
        <f>[12]GHG_hist!BF161+IF($M171="incl",[12]LULUCF_hist!CW161,0)</f>
        <v>58.065207884728174</v>
      </c>
      <c r="T171" s="111">
        <f>[12]GHG_hist!BG161+IF($M171="incl",[12]LULUCF_hist!CX161,0)</f>
        <v>56.896034218134879</v>
      </c>
      <c r="U171" s="111">
        <f>[12]GHG_hist!BH161+IF($M171="incl",[12]LULUCF_hist!CY161,0)</f>
        <v>59.017225277887327</v>
      </c>
      <c r="V171" s="111">
        <f>[12]GHG_hist!BI161+IF($M171="incl",[12]LULUCF_hist!CZ161,0)</f>
        <v>64.228689756927338</v>
      </c>
      <c r="W171" s="111">
        <f>[12]GHG_hist!BJ161+IF($M171="incl",[12]LULUCF_hist!DA161,0)</f>
        <v>71.818684172445842</v>
      </c>
      <c r="X171" s="111">
        <f>[12]GHG_hist!BK161+IF($M171="incl",[12]LULUCF_hist!DB161,0)</f>
        <v>79.20169251297537</v>
      </c>
      <c r="Y171" s="111">
        <f>[12]GHG_hist!BL161+IF($M171="incl",[12]LULUCF_hist!DC161,0)</f>
        <v>72.403729386445832</v>
      </c>
      <c r="Z171" s="111">
        <f>[12]GHG_hist!BM161+IF($M171="incl",[12]LULUCF_hist!DD161,0)</f>
        <v>77.259995989416367</v>
      </c>
      <c r="AA171" s="111">
        <f>[12]GHG_hist!BN161+IF($M171="incl",[12]LULUCF_hist!DE161,0)</f>
        <v>84.95523261279655</v>
      </c>
      <c r="AB171" s="111">
        <f>[12]GHG_hist!BO161+IF($M171="incl",[12]LULUCF_hist!DF161,0)</f>
        <v>78.916515934007393</v>
      </c>
      <c r="AC171" s="111">
        <f>[12]GHG_hist!BP161+IF($M171="incl",[12]LULUCF_hist!DG161,0)</f>
        <v>88.680393089412945</v>
      </c>
      <c r="AD171" s="111">
        <f>[12]GHG_hist!BQ161+IF($M171="incl",[12]LULUCF_hist!DH161,0)</f>
        <v>78.429863135298248</v>
      </c>
      <c r="AE171" s="111">
        <f>[12]GHG_hist!BR161+IF($M171="incl",[12]LULUCF_hist!DI161,0)</f>
        <v>74.582038963577872</v>
      </c>
      <c r="AF171" s="111">
        <f>[12]GHG_hist!BS161+IF($M171="incl",[12]LULUCF_hist!DJ161,0)</f>
        <v>66.223242361808659</v>
      </c>
      <c r="AG171" s="111">
        <f>[12]GHG_hist!BT161+IF($M171="incl",[12]LULUCF_hist!DK161,0)</f>
        <v>62.229320602449164</v>
      </c>
      <c r="AH171" s="111">
        <f>[12]GHG_hist!BU161+IF($M171="incl",[12]LULUCF_hist!DL161,0)</f>
        <v>61.776241402148081</v>
      </c>
      <c r="AI171" s="111">
        <f>[12]GHG_hist!BV161+IF($M171="incl",[12]LULUCF_hist!DM161,0)</f>
        <v>63.803493724031604</v>
      </c>
      <c r="AJ171" s="111">
        <f>[12]GHG_hist!BW161+IF($M171="incl",[12]LULUCF_hist!DN161,0)</f>
        <v>63.712979794913586</v>
      </c>
      <c r="AK171" s="111">
        <f>[12]GHG_hist!BX161+IF($M171="incl",[12]LULUCF_hist!DO161,0)</f>
        <v>62.990249090141262</v>
      </c>
      <c r="AL171" s="111">
        <f>[12]GHG_hist!BY161+IF($M171="incl",[12]LULUCF_hist!DP161,0)</f>
        <v>57.824834236661708</v>
      </c>
      <c r="AM171" s="111">
        <f>[12]GHG_hist!BZ161+IF($M171="incl",[12]LULUCF_hist!DQ161,0)</f>
        <v>63.310143511652427</v>
      </c>
      <c r="AN171" s="111">
        <f>[12]GHG_hist!CA161+IF($M171="incl",[12]LULUCF_hist!DR161,0)</f>
        <v>66.329864914744107</v>
      </c>
      <c r="AO171" s="111">
        <f>[12]GHG_hist!CB161+IF($M171="incl",[12]LULUCF_hist!DS161,0)</f>
        <v>91.792451299687031</v>
      </c>
      <c r="AP171" s="111">
        <f>[12]GHG_hist!CC161+IF($M171="incl",[12]LULUCF_hist!DT161,0)</f>
        <v>63.262597154197458</v>
      </c>
      <c r="AQ171" s="111">
        <f>[12]GHG_hist!CD161+IF($M171="incl",[12]LULUCF_hist!DU161,0)</f>
        <v>58.637157276119595</v>
      </c>
      <c r="AR171" s="111">
        <f>[12]GHG_hist!CE161+IF($M171="incl",[12]LULUCF_hist!DV161,0)</f>
        <v>52.376049405395385</v>
      </c>
      <c r="AS171" s="111">
        <f>[12]GHG_hist!CF161+IF($M171="incl",[12]LULUCF_hist!DW161,0)</f>
        <v>49.407117101129082</v>
      </c>
      <c r="AT171" s="161">
        <f>VLOOKUP($L171,'[12]IMAGE SSP2'!$AF$3:$AK$29,4,FALSE)*$AM171</f>
        <v>61.562622107313821</v>
      </c>
      <c r="AU171" s="162">
        <f>VLOOKUP($L171,'[12]IMAGE SSP2'!$AF$3:$AK$29,5,FALSE)*$AM171</f>
        <v>59.524816964000401</v>
      </c>
      <c r="AV171" s="163">
        <f>VLOOKUP($L171,'[12]IMAGE SSP2'!$AF$3:$AK$29,6,FALSE)*$AM171</f>
        <v>59.193613010268159</v>
      </c>
      <c r="AW171" s="111" t="str">
        <f t="shared" si="119"/>
        <v/>
      </c>
      <c r="AX171" s="164" t="str">
        <f>IF(A171="B",IF(M171="excl",[12]NatCom!CO161,[12]NatCom!AX161),"")</f>
        <v/>
      </c>
      <c r="AY171" s="111" t="str">
        <f>IF('[12]Pledge 2020'!E161="","",'[12]Pledge 2020'!E161)</f>
        <v/>
      </c>
      <c r="AZ171" s="164" t="str">
        <f>IF('[12]Pledge 2020'!F161="","",'[12]Pledge 2020'!F161)</f>
        <v/>
      </c>
      <c r="BA171" s="111" t="str">
        <f t="shared" si="100"/>
        <v/>
      </c>
      <c r="BB171" s="111"/>
      <c r="BC171" s="111" t="str">
        <f t="shared" si="101"/>
        <v/>
      </c>
      <c r="BD171" s="111"/>
      <c r="BE171" s="111" t="s">
        <v>2477</v>
      </c>
      <c r="BF171" s="111"/>
      <c r="BG171" s="111" t="s">
        <v>2477</v>
      </c>
      <c r="BH171" s="164"/>
      <c r="BI171" s="111" t="str">
        <f>IF([12]NDCs!V173="",IF([12]NDCs!X173="","",[12]NDCs!X173),[12]NDCs!V173)</f>
        <v/>
      </c>
      <c r="BJ171" s="111" t="str">
        <f>IF([12]NDCs!V173="",IF([12]NDCs!X173="","",[12]NDCs!X173),[12]NDCs!V173)</f>
        <v/>
      </c>
      <c r="BK171" s="111" t="str">
        <f>IF([12]NDCs!Z173="",IF([12]NDCs!AB173="",IF('input site'!BE171="","",'input site'!BE171),[12]NDCs!AB173),[12]NDCs!Z173)</f>
        <v/>
      </c>
      <c r="BL171" s="111" t="str">
        <f>IF([12]NDCs!AA173="",IF([12]NDCs!AC173="",IF('input site'!BF171="","",'input site'!BF171),[12]NDCs!AC173),[12]NDCs!AA173)</f>
        <v/>
      </c>
      <c r="BM171" s="111">
        <f>IF($BI$8=2015,VLOOKUP($L171,'[12]IMAGE CurPol SSP'!$AZ$3:$BD$29,4,FALSE)*$AM171,IF($BI$8=2018,VLOOKUP($L171,'[12]IMAGE CurPol SSP'!$BJ$3:$BN$29,4,FALSE)*$AP171,$AR171))</f>
        <v>52.376049405395385</v>
      </c>
      <c r="BN171" s="111">
        <f t="shared" si="125"/>
        <v>52.376049405395385</v>
      </c>
      <c r="BO171" s="111">
        <f t="shared" si="125"/>
        <v>52.376049405395385</v>
      </c>
      <c r="BP171" s="111">
        <f>IF($BI$8=2015,VLOOKUP($L171,'[12]IMAGE CurPol SSP'!$AZ$3:$BD$29,5,FALSE)*$AM171,IF($BI$8=2018,VLOOKUP($L171,'[12]IMAGE CurPol SSP'!$BJ$3:$BN$29,5,FALSE)*$AP171,VLOOKUP($L171,'[12]IMAGE CurPol SSP'!$BU$3:$BZ$29,5,FALSE)*$AS171))</f>
        <v>40.076071648890597</v>
      </c>
      <c r="BQ171" s="111">
        <f>IF($BI$8=2015,"",IF($BI$8=2018,"",VLOOKUP($L171,'[12]IMAGE CurPol SSP'!$CQ$3:$CV$29,5,FALSE)*$AS171))</f>
        <v>38.949195897688433</v>
      </c>
      <c r="BR171" s="111">
        <f>IF($BI$8=2015,"",IF($BI$8=2018,"",VLOOKUP($L171,'[12]IMAGE CurPol SSP'!$CF$3:$CK$29,5,FALSE)*$AS171))</f>
        <v>40.760457871064716</v>
      </c>
      <c r="BS171" s="111">
        <f>IF($BI$8=2015,VLOOKUP($L171,'[12]IMAGE CurPol SSP'!$AZ$3:$BE$29,6,FALSE)*$AM171,IF($BI$8=2018,VLOOKUP($L171,'[12]IMAGE CurPol SSP'!$BJ$3:$BO$29,6,FALSE)*$AP171,VLOOKUP($L171,'[12]IMAGE CurPol SSP'!$BU$3:$BZ$29,6,FALSE)*$AS171))</f>
        <v>27.566676678227726</v>
      </c>
      <c r="BT171" s="111">
        <f>IF($BI$8=2015,"",IF($BI$8=2018,"",VLOOKUP($L171,'[12]IMAGE CurPol SSP'!$CQ$3:$CV$29,6,FALSE)*$AS171))</f>
        <v>25.779194787108487</v>
      </c>
      <c r="BU171" s="164">
        <f>IF($BI$8=2015,"",IF($BI$8=2018,"",VLOOKUP($L171,'[12]IMAGE CurPol SSP'!$CF$3:$CK$29,6,FALSE)*$AS171))</f>
        <v>28.971154090403779</v>
      </c>
      <c r="CN171" t="s">
        <v>371</v>
      </c>
      <c r="CO171" s="165" t="str">
        <f t="shared" si="114"/>
        <v/>
      </c>
      <c r="CP171" s="165" t="str">
        <f t="shared" si="114"/>
        <v/>
      </c>
      <c r="CQ171" s="165" t="str">
        <f t="shared" si="114"/>
        <v/>
      </c>
      <c r="CR171" s="165" t="str">
        <f t="shared" si="114"/>
        <v/>
      </c>
      <c r="CV171" s="125" t="s">
        <v>621</v>
      </c>
      <c r="CW171" s="125" t="s">
        <v>621</v>
      </c>
      <c r="CX171"/>
      <c r="CY171" s="167">
        <f t="shared" si="115"/>
        <v>9.1865727019184362</v>
      </c>
      <c r="DB171" s="106"/>
      <c r="DC171" s="106"/>
      <c r="DD171" s="106"/>
      <c r="DE171" s="106"/>
      <c r="DF171" s="106"/>
      <c r="DG171" s="105" t="str">
        <f t="shared" si="116"/>
        <v>incl</v>
      </c>
      <c r="DH171" t="s">
        <v>371</v>
      </c>
      <c r="DI171" s="111">
        <f t="shared" si="126"/>
        <v>0</v>
      </c>
      <c r="DJ171" s="111">
        <f t="shared" si="126"/>
        <v>0</v>
      </c>
      <c r="DK171" s="111">
        <f t="shared" si="127"/>
        <v>0</v>
      </c>
      <c r="DL171" s="111">
        <f t="shared" si="128"/>
        <v>0</v>
      </c>
      <c r="DM171" s="111">
        <f t="shared" si="129"/>
        <v>0</v>
      </c>
      <c r="DN171" s="111">
        <f t="shared" si="130"/>
        <v>0</v>
      </c>
      <c r="DO171" s="111">
        <f t="shared" si="131"/>
        <v>0</v>
      </c>
      <c r="DP171" s="111">
        <f t="shared" si="132"/>
        <v>0</v>
      </c>
      <c r="DQ171" s="106"/>
      <c r="DR171" s="106"/>
      <c r="DS171" s="111"/>
      <c r="DT171" s="168"/>
      <c r="DW171" s="111">
        <f t="shared" si="117"/>
        <v>27.566676678227726</v>
      </c>
      <c r="DX171" s="111">
        <f t="shared" si="117"/>
        <v>27.566676678227726</v>
      </c>
      <c r="DY171" s="111">
        <f t="shared" si="117"/>
        <v>27.566676678227726</v>
      </c>
      <c r="DZ171" s="111">
        <f t="shared" si="117"/>
        <v>27.566676678227726</v>
      </c>
      <c r="EP171" t="s">
        <v>371</v>
      </c>
      <c r="ER171" s="111">
        <f t="shared" si="118"/>
        <v>63.262597154197458</v>
      </c>
      <c r="ES171" s="111">
        <f>IF($BI$8=2015,VLOOKUP($L171,'[12]IMAGE CDLINKS CurPol'!$P$3:$Y$29,10,FALSE)*$AM171,VLOOKUP($L171,'[12]IMAGE CDLINKS CurPol'!$Z$3:$AI$29,10,FALSE)*$AP171)</f>
        <v>60.620958437489058</v>
      </c>
      <c r="ET171" s="111">
        <f t="shared" si="124"/>
        <v>60.620958437489058</v>
      </c>
      <c r="EU171" s="111">
        <f t="shared" si="120"/>
        <v>12.91585830789476</v>
      </c>
      <c r="EV171" s="111">
        <f>IF($BI$8=2015,VLOOKUP($L171,'[12]IMAGE CDLINKS 2C'!$P$3:$Y$29,10,FALSE)*$AM171,VLOOKUP($L171,'[12]IMAGE CDLINKS 2C'!$Z$3:$AI$29,10,FALSE)*$AP171)</f>
        <v>12.91585830789476</v>
      </c>
      <c r="EY171" s="111">
        <f t="shared" si="121"/>
        <v>7.144069963814311</v>
      </c>
      <c r="EZ171" s="111">
        <f>IF($BI$8=2015,VLOOKUP($L171,'[12]IMAGE CDLINKS 1_5C'!$P$3:$Y$29,10,FALSE)*$AM171,VLOOKUP($L171,'[12]IMAGE CDLINKS 1_5C'!$Z$3:$AI$29,10,FALSE)*$AP171)</f>
        <v>7.144069963814311</v>
      </c>
      <c r="FA171" s="192" t="s">
        <v>2338</v>
      </c>
    </row>
    <row r="172" spans="1:157" x14ac:dyDescent="0.25">
      <c r="A172" t="str">
        <f>IF([12]NDCs!C174="","",[12]NDCs!C174)</f>
        <v/>
      </c>
      <c r="B172" s="159" t="str">
        <f t="shared" si="112"/>
        <v>v</v>
      </c>
      <c r="C172">
        <v>0</v>
      </c>
      <c r="D172">
        <v>0</v>
      </c>
      <c r="E172">
        <v>0</v>
      </c>
      <c r="F172">
        <v>1</v>
      </c>
      <c r="G172" t="b">
        <f t="shared" si="113"/>
        <v>0</v>
      </c>
      <c r="H172" t="s">
        <v>2328</v>
      </c>
      <c r="I172" t="s">
        <v>373</v>
      </c>
      <c r="J172">
        <v>630</v>
      </c>
      <c r="K172">
        <v>163</v>
      </c>
      <c r="L172">
        <v>4</v>
      </c>
      <c r="M172" t="str">
        <f>IF([12]NDCs!AL174="Excluding","excl","incl")</f>
        <v>excl</v>
      </c>
      <c r="N172" s="160">
        <f>[12]GHG_hist!BA162+IF($M172="incl",[12]LULUCF_hist!CR162,0)</f>
        <v>0</v>
      </c>
      <c r="O172" s="111">
        <f>[12]GHG_hist!BB162+IF($M172="incl",[12]LULUCF_hist!CS162,0)</f>
        <v>0</v>
      </c>
      <c r="P172" s="111">
        <f>[12]GHG_hist!BC162+IF($M172="incl",[12]LULUCF_hist!CT162,0)</f>
        <v>0</v>
      </c>
      <c r="Q172" s="111">
        <f>[12]GHG_hist!BD162+IF($M172="incl",[12]LULUCF_hist!CU162,0)</f>
        <v>0</v>
      </c>
      <c r="R172" s="111">
        <f>[12]GHG_hist!BE162+IF($M172="incl",[12]LULUCF_hist!CV162,0)</f>
        <v>0</v>
      </c>
      <c r="S172" s="111">
        <f>[12]GHG_hist!BF162+IF($M172="incl",[12]LULUCF_hist!CW162,0)</f>
        <v>0</v>
      </c>
      <c r="T172" s="111">
        <f>[12]GHG_hist!BG162+IF($M172="incl",[12]LULUCF_hist!CX162,0)</f>
        <v>0</v>
      </c>
      <c r="U172" s="111">
        <f>[12]GHG_hist!BH162+IF($M172="incl",[12]LULUCF_hist!CY162,0)</f>
        <v>0</v>
      </c>
      <c r="V172" s="111">
        <f>[12]GHG_hist!BI162+IF($M172="incl",[12]LULUCF_hist!CZ162,0)</f>
        <v>0</v>
      </c>
      <c r="W172" s="111">
        <f>[12]GHG_hist!BJ162+IF($M172="incl",[12]LULUCF_hist!DA162,0)</f>
        <v>0</v>
      </c>
      <c r="X172" s="111">
        <f>[12]GHG_hist!BK162+IF($M172="incl",[12]LULUCF_hist!DB162,0)</f>
        <v>0</v>
      </c>
      <c r="Y172" s="111">
        <f>[12]GHG_hist!BL162+IF($M172="incl",[12]LULUCF_hist!DC162,0)</f>
        <v>0</v>
      </c>
      <c r="Z172" s="111">
        <f>[12]GHG_hist!BM162+IF($M172="incl",[12]LULUCF_hist!DD162,0)</f>
        <v>0</v>
      </c>
      <c r="AA172" s="111">
        <f>[12]GHG_hist!BN162+IF($M172="incl",[12]LULUCF_hist!DE162,0)</f>
        <v>0</v>
      </c>
      <c r="AB172" s="111">
        <f>[12]GHG_hist!BO162+IF($M172="incl",[12]LULUCF_hist!DF162,0)</f>
        <v>0</v>
      </c>
      <c r="AC172" s="111">
        <f>[12]GHG_hist!BP162+IF($M172="incl",[12]LULUCF_hist!DG162,0)</f>
        <v>0</v>
      </c>
      <c r="AD172" s="111">
        <f>[12]GHG_hist!BQ162+IF($M172="incl",[12]LULUCF_hist!DH162,0)</f>
        <v>0</v>
      </c>
      <c r="AE172" s="111">
        <f>[12]GHG_hist!BR162+IF($M172="incl",[12]LULUCF_hist!DI162,0)</f>
        <v>0</v>
      </c>
      <c r="AF172" s="111">
        <f>[12]GHG_hist!BS162+IF($M172="incl",[12]LULUCF_hist!DJ162,0)</f>
        <v>0</v>
      </c>
      <c r="AG172" s="111">
        <f>[12]GHG_hist!BT162+IF($M172="incl",[12]LULUCF_hist!DK162,0)</f>
        <v>0</v>
      </c>
      <c r="AH172" s="111">
        <f>[12]GHG_hist!BU162+IF($M172="incl",[12]LULUCF_hist!DL162,0)</f>
        <v>0</v>
      </c>
      <c r="AI172" s="111">
        <f>[12]GHG_hist!BV162+IF($M172="incl",[12]LULUCF_hist!DM162,0)</f>
        <v>0</v>
      </c>
      <c r="AJ172" s="111">
        <f>[12]GHG_hist!BW162+IF($M172="incl",[12]LULUCF_hist!DN162,0)</f>
        <v>0</v>
      </c>
      <c r="AK172" s="111">
        <f>[12]GHG_hist!BX162+IF($M172="incl",[12]LULUCF_hist!DO162,0)</f>
        <v>0</v>
      </c>
      <c r="AL172" s="111">
        <f>[12]GHG_hist!BY162+IF($M172="incl",[12]LULUCF_hist!DP162,0)</f>
        <v>0</v>
      </c>
      <c r="AM172" s="111">
        <f>[12]GHG_hist!BZ162+IF($M172="incl",[12]LULUCF_hist!DQ162,0)</f>
        <v>0</v>
      </c>
      <c r="AN172" s="111">
        <f>[12]GHG_hist!CA162+IF($M172="incl",[12]LULUCF_hist!DR162,0)</f>
        <v>0</v>
      </c>
      <c r="AO172" s="111">
        <f>[12]GHG_hist!CB162+IF($M172="incl",[12]LULUCF_hist!DS162,0)</f>
        <v>0</v>
      </c>
      <c r="AP172" s="111">
        <f>[12]GHG_hist!CC162+IF($M172="incl",[12]LULUCF_hist!DT162,0)</f>
        <v>0</v>
      </c>
      <c r="AQ172" s="111">
        <f>[12]GHG_hist!CD162+IF($M172="incl",[12]LULUCF_hist!DU162,0)</f>
        <v>0</v>
      </c>
      <c r="AR172" s="111">
        <f>[12]GHG_hist!CE162+IF($M172="incl",[12]LULUCF_hist!DV162,0)</f>
        <v>0</v>
      </c>
      <c r="AS172" s="111">
        <f>[12]GHG_hist!CF162+IF($M172="incl",[12]LULUCF_hist!DW162,0)</f>
        <v>0</v>
      </c>
      <c r="AT172" s="161">
        <f>VLOOKUP($L172,'[12]IMAGE SSP2'!$AF$3:$AK$29,4,FALSE)*$AM172</f>
        <v>0</v>
      </c>
      <c r="AU172" s="162">
        <f>VLOOKUP($L172,'[12]IMAGE SSP2'!$AF$3:$AK$29,5,FALSE)*$AM172</f>
        <v>0</v>
      </c>
      <c r="AV172" s="163">
        <f>VLOOKUP($L172,'[12]IMAGE SSP2'!$AF$3:$AK$29,6,FALSE)*$AM172</f>
        <v>0</v>
      </c>
      <c r="AW172" s="111" t="str">
        <f t="shared" si="119"/>
        <v/>
      </c>
      <c r="AX172" s="164" t="str">
        <f>IF(A172="B",IF(M172="excl",[12]NatCom!CO162,[12]NatCom!AX162),"")</f>
        <v/>
      </c>
      <c r="AY172" s="111" t="str">
        <f>IF('[12]Pledge 2020'!E162="","",'[12]Pledge 2020'!E162)</f>
        <v/>
      </c>
      <c r="AZ172" s="164" t="str">
        <f>IF('[12]Pledge 2020'!F162="","",'[12]Pledge 2020'!F162)</f>
        <v/>
      </c>
      <c r="BA172" s="111" t="str">
        <f t="shared" si="100"/>
        <v/>
      </c>
      <c r="BB172" s="111"/>
      <c r="BC172" s="111" t="str">
        <f t="shared" si="101"/>
        <v/>
      </c>
      <c r="BD172" s="111"/>
      <c r="BE172" s="111" t="s">
        <v>2477</v>
      </c>
      <c r="BF172" s="111"/>
      <c r="BG172" s="111" t="s">
        <v>2477</v>
      </c>
      <c r="BH172" s="164"/>
      <c r="BI172" s="111" t="str">
        <f>IF([12]NDCs!V174="",IF([12]NDCs!X174="","",[12]NDCs!X174),[12]NDCs!V174)</f>
        <v/>
      </c>
      <c r="BJ172" s="111" t="str">
        <f>IF([12]NDCs!V174="",IF([12]NDCs!X174="","",[12]NDCs!X174),[12]NDCs!V174)</f>
        <v/>
      </c>
      <c r="BK172" s="111" t="str">
        <f>IF([12]NDCs!Z174="",IF([12]NDCs!AB174="",IF('input site'!BE172="","",'input site'!BE172),[12]NDCs!AB174),[12]NDCs!Z174)</f>
        <v/>
      </c>
      <c r="BL172" s="111" t="str">
        <f>IF([12]NDCs!AA174="",IF([12]NDCs!AC174="",IF('input site'!BF172="","",'input site'!BF172),[12]NDCs!AC174),[12]NDCs!AA174)</f>
        <v/>
      </c>
      <c r="BM172" s="111">
        <f>IF($BI$8=2015,VLOOKUP($L172,'[12]IMAGE CurPol SSP'!$AZ$3:$BD$29,4,FALSE)*$AM172,IF($BI$8=2018,VLOOKUP($L172,'[12]IMAGE CurPol SSP'!$BJ$3:$BN$29,4,FALSE)*$AP172,$AR172))</f>
        <v>0</v>
      </c>
      <c r="BN172" s="111">
        <f t="shared" si="125"/>
        <v>0</v>
      </c>
      <c r="BO172" s="111">
        <f t="shared" si="125"/>
        <v>0</v>
      </c>
      <c r="BP172" s="111">
        <f>IF($BI$8=2015,VLOOKUP($L172,'[12]IMAGE CurPol SSP'!$AZ$3:$BD$29,5,FALSE)*$AM172,IF($BI$8=2018,VLOOKUP($L172,'[12]IMAGE CurPol SSP'!$BJ$3:$BN$29,5,FALSE)*$AP172,VLOOKUP($L172,'[12]IMAGE CurPol SSP'!$BU$3:$BZ$29,5,FALSE)*$AS172))</f>
        <v>0</v>
      </c>
      <c r="BQ172" s="111">
        <f>IF($BI$8=2015,"",IF($BI$8=2018,"",VLOOKUP($L172,'[12]IMAGE CurPol SSP'!$CQ$3:$CV$29,5,FALSE)*$AS172))</f>
        <v>0</v>
      </c>
      <c r="BR172" s="111">
        <f>IF($BI$8=2015,"",IF($BI$8=2018,"",VLOOKUP($L172,'[12]IMAGE CurPol SSP'!$CF$3:$CK$29,5,FALSE)*$AS172))</f>
        <v>0</v>
      </c>
      <c r="BS172" s="111">
        <f>IF($BI$8=2015,VLOOKUP($L172,'[12]IMAGE CurPol SSP'!$AZ$3:$BE$29,6,FALSE)*$AM172,IF($BI$8=2018,VLOOKUP($L172,'[12]IMAGE CurPol SSP'!$BJ$3:$BO$29,6,FALSE)*$AP172,VLOOKUP($L172,'[12]IMAGE CurPol SSP'!$BU$3:$BZ$29,6,FALSE)*$AS172))</f>
        <v>0</v>
      </c>
      <c r="BT172" s="111">
        <f>IF($BI$8=2015,"",IF($BI$8=2018,"",VLOOKUP($L172,'[12]IMAGE CurPol SSP'!$CQ$3:$CV$29,6,FALSE)*$AS172))</f>
        <v>0</v>
      </c>
      <c r="BU172" s="164">
        <f>IF($BI$8=2015,"",IF($BI$8=2018,"",VLOOKUP($L172,'[12]IMAGE CurPol SSP'!$CF$3:$CK$29,6,FALSE)*$AS172))</f>
        <v>0</v>
      </c>
      <c r="CN172" t="s">
        <v>373</v>
      </c>
      <c r="CO172" s="165" t="str">
        <f t="shared" si="114"/>
        <v/>
      </c>
      <c r="CP172" s="165" t="str">
        <f t="shared" si="114"/>
        <v/>
      </c>
      <c r="CQ172" s="165" t="str">
        <f t="shared" si="114"/>
        <v/>
      </c>
      <c r="CR172" s="165" t="str">
        <f t="shared" si="114"/>
        <v/>
      </c>
      <c r="CV172" s="125" t="s">
        <v>621</v>
      </c>
      <c r="CW172" s="125" t="s">
        <v>621</v>
      </c>
      <c r="CX172" s="208">
        <f>AP172/$AP$255</f>
        <v>0</v>
      </c>
      <c r="CY172" s="167">
        <f t="shared" si="115"/>
        <v>0</v>
      </c>
      <c r="DB172" s="106"/>
      <c r="DC172" s="106"/>
      <c r="DD172" s="106"/>
      <c r="DE172" s="106"/>
      <c r="DF172" s="106"/>
      <c r="DG172" s="105" t="str">
        <f t="shared" si="116"/>
        <v>excl</v>
      </c>
      <c r="DH172" t="s">
        <v>373</v>
      </c>
      <c r="DI172" s="111">
        <f t="shared" si="126"/>
        <v>0</v>
      </c>
      <c r="DJ172" s="111">
        <f t="shared" si="126"/>
        <v>0</v>
      </c>
      <c r="DK172" s="111">
        <f t="shared" si="127"/>
        <v>0</v>
      </c>
      <c r="DL172" s="111">
        <f t="shared" si="128"/>
        <v>0</v>
      </c>
      <c r="DM172" s="111">
        <f t="shared" si="129"/>
        <v>0</v>
      </c>
      <c r="DN172" s="111">
        <f t="shared" si="130"/>
        <v>0</v>
      </c>
      <c r="DO172" s="111">
        <f t="shared" si="131"/>
        <v>0</v>
      </c>
      <c r="DP172" s="111">
        <f t="shared" si="132"/>
        <v>0</v>
      </c>
      <c r="DQ172" s="106"/>
      <c r="DR172" s="106"/>
      <c r="DS172" s="111"/>
      <c r="DT172" s="168"/>
      <c r="DW172" s="111">
        <f t="shared" si="117"/>
        <v>0</v>
      </c>
      <c r="DX172" s="111">
        <f t="shared" si="117"/>
        <v>0</v>
      </c>
      <c r="DY172" s="111">
        <f t="shared" si="117"/>
        <v>0</v>
      </c>
      <c r="DZ172" s="111">
        <f t="shared" si="117"/>
        <v>0</v>
      </c>
      <c r="EP172" t="s">
        <v>373</v>
      </c>
      <c r="EQ172">
        <v>0</v>
      </c>
      <c r="ER172" s="111">
        <f t="shared" si="118"/>
        <v>0</v>
      </c>
      <c r="ES172" s="111">
        <f>IF($BI$8=2015,VLOOKUP($L172,'[12]IMAGE CDLINKS CurPol'!$P$3:$Y$29,10,FALSE)*$AM172,VLOOKUP($L172,'[12]IMAGE CDLINKS CurPol'!$Z$3:$AI$29,10,FALSE)*$AP172)</f>
        <v>0</v>
      </c>
      <c r="ET172" s="111">
        <f t="shared" si="124"/>
        <v>0</v>
      </c>
      <c r="EU172" s="111">
        <f t="shared" si="120"/>
        <v>0</v>
      </c>
      <c r="EV172" s="111">
        <f>IF($BI$8=2015,VLOOKUP($L172,'[12]IMAGE CDLINKS 2C'!$P$3:$Y$29,10,FALSE)*$AM172,VLOOKUP($L172,'[12]IMAGE CDLINKS 2C'!$Z$3:$AI$29,10,FALSE)*$AP172)</f>
        <v>0</v>
      </c>
      <c r="EY172" s="111">
        <f t="shared" si="121"/>
        <v>0</v>
      </c>
      <c r="EZ172" s="111">
        <f>IF($BI$8=2015,VLOOKUP($L172,'[12]IMAGE CDLINKS 1_5C'!$P$3:$Y$29,10,FALSE)*$AM172,VLOOKUP($L172,'[12]IMAGE CDLINKS 1_5C'!$Z$3:$AI$29,10,FALSE)*$AP172)</f>
        <v>0</v>
      </c>
      <c r="FA172" s="192"/>
    </row>
    <row r="173" spans="1:157" x14ac:dyDescent="0.25">
      <c r="A173" t="str">
        <f>IF([12]NDCs!C175="","",[12]NDCs!C175)</f>
        <v>G</v>
      </c>
      <c r="B173" s="159" t="str">
        <f t="shared" si="112"/>
        <v>v</v>
      </c>
      <c r="C173">
        <v>0</v>
      </c>
      <c r="D173">
        <v>0</v>
      </c>
      <c r="E173">
        <v>0</v>
      </c>
      <c r="F173">
        <v>1</v>
      </c>
      <c r="G173" t="b">
        <f t="shared" si="113"/>
        <v>0</v>
      </c>
      <c r="H173" t="s">
        <v>2328</v>
      </c>
      <c r="I173" t="s">
        <v>375</v>
      </c>
      <c r="J173">
        <v>634</v>
      </c>
      <c r="K173">
        <v>164</v>
      </c>
      <c r="L173">
        <v>17</v>
      </c>
      <c r="M173" t="str">
        <f>IF([12]NDCs!AL175="Excluding","excl","incl")</f>
        <v>excl</v>
      </c>
      <c r="N173" s="160">
        <f>[12]GHG_hist!BA163+IF($M173="incl",[12]LULUCF_hist!CR163,0)</f>
        <v>24.576346000000001</v>
      </c>
      <c r="O173" s="111">
        <f>[12]GHG_hist!BB163+IF($M173="incl",[12]LULUCF_hist!CS163,0)</f>
        <v>30.527991999999998</v>
      </c>
      <c r="P173" s="111">
        <f>[12]GHG_hist!BC163+IF($M173="incl",[12]LULUCF_hist!CT163,0)</f>
        <v>40.712404999999997</v>
      </c>
      <c r="Q173" s="111">
        <f>[12]GHG_hist!BD163+IF($M173="incl",[12]LULUCF_hist!CU163,0)</f>
        <v>44.259921000000006</v>
      </c>
      <c r="R173" s="111">
        <f>[12]GHG_hist!BE163+IF($M173="incl",[12]LULUCF_hist!CV163,0)</f>
        <v>44.377286999999995</v>
      </c>
      <c r="S173" s="111">
        <f>[12]GHG_hist!BF163+IF($M173="incl",[12]LULUCF_hist!CW163,0)</f>
        <v>44.556643999999999</v>
      </c>
      <c r="T173" s="111">
        <f>[12]GHG_hist!BG163+IF($M173="incl",[12]LULUCF_hist!CX163,0)</f>
        <v>48.417908000000004</v>
      </c>
      <c r="U173" s="111">
        <f>[12]GHG_hist!BH163+IF($M173="incl",[12]LULUCF_hist!CY163,0)</f>
        <v>65.570274999999995</v>
      </c>
      <c r="V173" s="111">
        <f>[12]GHG_hist!BI163+IF($M173="incl",[12]LULUCF_hist!CZ163,0)</f>
        <v>60.837499000000008</v>
      </c>
      <c r="W173" s="111">
        <f>[12]GHG_hist!BJ163+IF($M173="incl",[12]LULUCF_hist!DA163,0)</f>
        <v>63.761780000000002</v>
      </c>
      <c r="X173" s="111">
        <f>[12]GHG_hist!BK163+IF($M173="incl",[12]LULUCF_hist!DB163,0)</f>
        <v>71.172798999999998</v>
      </c>
      <c r="Y173" s="111">
        <f>[12]GHG_hist!BL163+IF($M173="incl",[12]LULUCF_hist!DC163,0)</f>
        <v>74.612729000000002</v>
      </c>
      <c r="Z173" s="111">
        <f>[12]GHG_hist!BM163+IF($M173="incl",[12]LULUCF_hist!DD163,0)</f>
        <v>74.422584000000001</v>
      </c>
      <c r="AA173" s="111">
        <f>[12]GHG_hist!BN163+IF($M173="incl",[12]LULUCF_hist!DE163,0)</f>
        <v>86.048817999999997</v>
      </c>
      <c r="AB173" s="111">
        <f>[12]GHG_hist!BO163+IF($M173="incl",[12]LULUCF_hist!DF163,0)</f>
        <v>89.160638000000006</v>
      </c>
      <c r="AC173" s="111">
        <f>[12]GHG_hist!BP163+IF($M173="incl",[12]LULUCF_hist!DG163,0)</f>
        <v>89.186252999999994</v>
      </c>
      <c r="AD173" s="111">
        <f>[12]GHG_hist!BQ163+IF($M173="incl",[12]LULUCF_hist!DH163,0)</f>
        <v>102.76549000000001</v>
      </c>
      <c r="AE173" s="111">
        <f>[12]GHG_hist!BR163+IF($M173="incl",[12]LULUCF_hist!DI163,0)</f>
        <v>107.00274</v>
      </c>
      <c r="AF173" s="111">
        <f>[12]GHG_hist!BS163+IF($M173="incl",[12]LULUCF_hist!DJ163,0)</f>
        <v>116.48785000000001</v>
      </c>
      <c r="AG173" s="111">
        <f>[12]GHG_hist!BT163+IF($M173="incl",[12]LULUCF_hist!DK163,0)</f>
        <v>124.21572999999999</v>
      </c>
      <c r="AH173" s="111">
        <f>[12]GHG_hist!BU163+IF($M173="incl",[12]LULUCF_hist!DL163,0)</f>
        <v>137.09052</v>
      </c>
      <c r="AI173" s="111">
        <f>[12]GHG_hist!BV163+IF($M173="incl",[12]LULUCF_hist!DM163,0)</f>
        <v>155.78173999999999</v>
      </c>
      <c r="AJ173" s="111">
        <f>[12]GHG_hist!BW163+IF($M173="incl",[12]LULUCF_hist!DN163,0)</f>
        <v>170.02970000000002</v>
      </c>
      <c r="AK173" s="111">
        <f>[12]GHG_hist!BX163+IF($M173="incl",[12]LULUCF_hist!DO163,0)</f>
        <v>171.84455</v>
      </c>
      <c r="AL173" s="111">
        <f>[12]GHG_hist!BY163+IF($M173="incl",[12]LULUCF_hist!DP163,0)</f>
        <v>194.13310000000001</v>
      </c>
      <c r="AM173" s="111">
        <f>[12]GHG_hist!BZ163+IF($M173="incl",[12]LULUCF_hist!DQ163,0)</f>
        <v>195.35773</v>
      </c>
      <c r="AN173" s="111">
        <f>[12]GHG_hist!CA163+IF($M173="incl",[12]LULUCF_hist!DR163,0)</f>
        <v>192.28767000000002</v>
      </c>
      <c r="AO173" s="111">
        <f>[12]GHG_hist!CB163+IF($M173="incl",[12]LULUCF_hist!DS163,0)</f>
        <v>195.14851999999999</v>
      </c>
      <c r="AP173" s="111">
        <f>[12]GHG_hist!CC163+IF($M173="incl",[12]LULUCF_hist!DT163,0)</f>
        <v>198.21911</v>
      </c>
      <c r="AQ173" s="111">
        <f>[12]GHG_hist!CD163+IF($M173="incl",[12]LULUCF_hist!DU163,0)</f>
        <v>204.71517000000003</v>
      </c>
      <c r="AR173" s="111">
        <f>[12]GHG_hist!CE163+IF($M173="incl",[12]LULUCF_hist!DV163,0)</f>
        <v>170.82133999999999</v>
      </c>
      <c r="AS173" s="111">
        <f>[12]GHG_hist!CF163+IF($M173="incl",[12]LULUCF_hist!DW163,0)</f>
        <v>178.3905</v>
      </c>
      <c r="AT173" s="161">
        <f>VLOOKUP($L173,'[12]IMAGE SSP2'!$AF$3:$AK$29,4,FALSE)*$AM173</f>
        <v>217.24198683539672</v>
      </c>
      <c r="AU173" s="162">
        <f>VLOOKUP($L173,'[12]IMAGE SSP2'!$AF$3:$AK$29,5,FALSE)*$AM173</f>
        <v>235.45179035792515</v>
      </c>
      <c r="AV173" s="163">
        <f>VLOOKUP($L173,'[12]IMAGE SSP2'!$AF$3:$AK$29,6,FALSE)*$AM173</f>
        <v>249.2950610828033</v>
      </c>
      <c r="AW173" s="111" t="str">
        <f t="shared" si="119"/>
        <v/>
      </c>
      <c r="AX173" s="164" t="str">
        <f>IF(A173="B",IF(M173="excl",[12]NatCom!CO163,[12]NatCom!AX163),"")</f>
        <v/>
      </c>
      <c r="AY173" s="111" t="str">
        <f>IF('[12]Pledge 2020'!E163="","",'[12]Pledge 2020'!E163)</f>
        <v/>
      </c>
      <c r="AZ173" s="164" t="str">
        <f>IF('[12]Pledge 2020'!F163="","",'[12]Pledge 2020'!F163)</f>
        <v/>
      </c>
      <c r="BA173" s="111" t="str">
        <f t="shared" si="100"/>
        <v/>
      </c>
      <c r="BB173" s="111"/>
      <c r="BC173" s="111" t="str">
        <f t="shared" si="101"/>
        <v/>
      </c>
      <c r="BD173" s="111"/>
      <c r="BE173" s="111" t="s">
        <v>2477</v>
      </c>
      <c r="BF173" s="111"/>
      <c r="BG173" s="111" t="s">
        <v>2477</v>
      </c>
      <c r="BH173" s="164"/>
      <c r="BI173" s="111" t="str">
        <f>IF([12]NDCs!V175="",IF([12]NDCs!X175="","",[12]NDCs!X175),[12]NDCs!V175)</f>
        <v/>
      </c>
      <c r="BJ173" s="111" t="str">
        <f>IF([12]NDCs!V175="",IF([12]NDCs!X175="","",[12]NDCs!X175),[12]NDCs!V175)</f>
        <v/>
      </c>
      <c r="BK173" s="111" t="str">
        <f>IF([12]NDCs!Z175="",IF([12]NDCs!AB175="",IF('input site'!BE173="","",'input site'!BE173),[12]NDCs!AB175),[12]NDCs!Z175)</f>
        <v/>
      </c>
      <c r="BL173" s="111" t="str">
        <f>IF([12]NDCs!AA175="",IF([12]NDCs!AC175="",IF('input site'!BF173="","",'input site'!BF173),[12]NDCs!AC175),[12]NDCs!AA175)</f>
        <v/>
      </c>
      <c r="BM173" s="111">
        <f>IF($BI$8=2015,VLOOKUP($L173,'[12]IMAGE CurPol SSP'!$AZ$3:$BD$29,4,FALSE)*$AM173,IF($BI$8=2018,VLOOKUP($L173,'[12]IMAGE CurPol SSP'!$BJ$3:$BN$29,4,FALSE)*$AP173,$AR173))</f>
        <v>170.82133999999999</v>
      </c>
      <c r="BN173" s="111">
        <f t="shared" si="125"/>
        <v>170.82133999999999</v>
      </c>
      <c r="BO173" s="111">
        <f t="shared" si="125"/>
        <v>170.82133999999999</v>
      </c>
      <c r="BP173" s="111">
        <f>IF($BI$8=2015,VLOOKUP($L173,'[12]IMAGE CurPol SSP'!$AZ$3:$BD$29,5,FALSE)*$AM173,IF($BI$8=2018,VLOOKUP($L173,'[12]IMAGE CurPol SSP'!$BJ$3:$BN$29,5,FALSE)*$AP173,VLOOKUP($L173,'[12]IMAGE CurPol SSP'!$BU$3:$BZ$29,5,FALSE)*$AS173))</f>
        <v>177.19806905409425</v>
      </c>
      <c r="BQ173" s="111">
        <f>IF($BI$8=2015,"",IF($BI$8=2018,"",VLOOKUP($L173,'[12]IMAGE CurPol SSP'!$CQ$3:$CV$29,5,FALSE)*$AS173))</f>
        <v>175.46867814853675</v>
      </c>
      <c r="BR173" s="111">
        <f>IF($BI$8=2015,"",IF($BI$8=2018,"",VLOOKUP($L173,'[12]IMAGE CurPol SSP'!$CF$3:$CK$29,5,FALSE)*$AS173))</f>
        <v>180.48200693359834</v>
      </c>
      <c r="BS173" s="111">
        <f>IF($BI$8=2015,VLOOKUP($L173,'[12]IMAGE CurPol SSP'!$AZ$3:$BE$29,6,FALSE)*$AM173,IF($BI$8=2018,VLOOKUP($L173,'[12]IMAGE CurPol SSP'!$BJ$3:$BO$29,6,FALSE)*$AP173,VLOOKUP($L173,'[12]IMAGE CurPol SSP'!$BU$3:$BZ$29,6,FALSE)*$AS173))</f>
        <v>177.13674260651271</v>
      </c>
      <c r="BT173" s="111">
        <f>IF($BI$8=2015,"",IF($BI$8=2018,"",VLOOKUP($L173,'[12]IMAGE CurPol SSP'!$CQ$3:$CV$29,6,FALSE)*$AS173))</f>
        <v>173.03009123838541</v>
      </c>
      <c r="BU173" s="164">
        <f>IF($BI$8=2015,"",IF($BI$8=2018,"",VLOOKUP($L173,'[12]IMAGE CurPol SSP'!$CF$3:$CK$29,6,FALSE)*$AS173))</f>
        <v>183.7105970579982</v>
      </c>
      <c r="CN173" t="s">
        <v>375</v>
      </c>
      <c r="CO173" s="165" t="str">
        <f t="shared" si="114"/>
        <v/>
      </c>
      <c r="CP173" s="165" t="str">
        <f t="shared" si="114"/>
        <v/>
      </c>
      <c r="CQ173" s="165" t="str">
        <f t="shared" si="114"/>
        <v/>
      </c>
      <c r="CR173" s="165" t="str">
        <f t="shared" si="114"/>
        <v/>
      </c>
      <c r="CV173" s="125" t="s">
        <v>621</v>
      </c>
      <c r="CW173" s="125" t="s">
        <v>621</v>
      </c>
      <c r="CX173"/>
      <c r="CY173" s="167">
        <f t="shared" si="115"/>
        <v>46.420646835396724</v>
      </c>
      <c r="DB173" s="106"/>
      <c r="DC173" s="106"/>
      <c r="DD173" s="106"/>
      <c r="DE173" s="106"/>
      <c r="DF173" s="106"/>
      <c r="DG173" s="105" t="str">
        <f t="shared" si="116"/>
        <v>excl</v>
      </c>
      <c r="DH173" t="s">
        <v>375</v>
      </c>
      <c r="DI173" s="111">
        <f t="shared" si="126"/>
        <v>0</v>
      </c>
      <c r="DJ173" s="111">
        <f t="shared" si="126"/>
        <v>0</v>
      </c>
      <c r="DK173" s="111">
        <f t="shared" si="127"/>
        <v>0</v>
      </c>
      <c r="DL173" s="111">
        <f t="shared" si="128"/>
        <v>0</v>
      </c>
      <c r="DM173" s="111">
        <f t="shared" si="129"/>
        <v>0</v>
      </c>
      <c r="DN173" s="111">
        <f t="shared" si="130"/>
        <v>0</v>
      </c>
      <c r="DO173" s="111">
        <f t="shared" si="131"/>
        <v>0</v>
      </c>
      <c r="DP173" s="111">
        <f t="shared" si="132"/>
        <v>0</v>
      </c>
      <c r="DQ173" s="106"/>
      <c r="DR173" s="106"/>
      <c r="DS173" s="111"/>
      <c r="DT173" s="168"/>
      <c r="DW173" s="111">
        <f t="shared" si="117"/>
        <v>177.13674260651271</v>
      </c>
      <c r="DX173" s="111">
        <f t="shared" si="117"/>
        <v>177.13674260651271</v>
      </c>
      <c r="DY173" s="111">
        <f t="shared" si="117"/>
        <v>177.13674260651271</v>
      </c>
      <c r="DZ173" s="111">
        <f t="shared" si="117"/>
        <v>177.13674260651271</v>
      </c>
      <c r="EP173" t="s">
        <v>375</v>
      </c>
      <c r="EQ173">
        <v>0</v>
      </c>
      <c r="ER173" s="111">
        <f t="shared" si="118"/>
        <v>198.21911</v>
      </c>
      <c r="ES173" s="111">
        <f>IF($BI$8=2015,VLOOKUP($L173,'[12]IMAGE CDLINKS CurPol'!$P$3:$Y$29,10,FALSE)*$AM173,VLOOKUP($L173,'[12]IMAGE CDLINKS CurPol'!$Z$3:$AI$29,10,FALSE)*$AP173)</f>
        <v>296.59288477572562</v>
      </c>
      <c r="ET173" s="111">
        <f t="shared" si="124"/>
        <v>296.59288477572562</v>
      </c>
      <c r="EU173" s="111">
        <f t="shared" si="120"/>
        <v>99.797803548130702</v>
      </c>
      <c r="EV173" s="111">
        <f>IF($BI$8=2015,VLOOKUP($L173,'[12]IMAGE CDLINKS 2C'!$P$3:$Y$29,10,FALSE)*$AM173,VLOOKUP($L173,'[12]IMAGE CDLINKS 2C'!$Z$3:$AI$29,10,FALSE)*$AP173)</f>
        <v>99.797803548130702</v>
      </c>
      <c r="EY173" s="111">
        <f t="shared" si="121"/>
        <v>17.383678668442787</v>
      </c>
      <c r="EZ173" s="111">
        <f>IF($BI$8=2015,VLOOKUP($L173,'[12]IMAGE CDLINKS 1_5C'!$P$3:$Y$29,10,FALSE)*$AM173,VLOOKUP($L173,'[12]IMAGE CDLINKS 1_5C'!$Z$3:$AI$29,10,FALSE)*$AP173)</f>
        <v>17.383678668442787</v>
      </c>
      <c r="FA173" s="192"/>
    </row>
    <row r="174" spans="1:157" x14ac:dyDescent="0.25">
      <c r="A174" t="str">
        <f>IF([12]NDCs!C176="","",[12]NDCs!C176)</f>
        <v/>
      </c>
      <c r="B174" s="159" t="str">
        <f t="shared" si="112"/>
        <v>v</v>
      </c>
      <c r="C174">
        <v>0</v>
      </c>
      <c r="D174">
        <v>0</v>
      </c>
      <c r="E174">
        <v>0</v>
      </c>
      <c r="F174">
        <v>0</v>
      </c>
      <c r="G174" t="b">
        <f t="shared" si="113"/>
        <v>0</v>
      </c>
      <c r="H174" t="s">
        <v>2328</v>
      </c>
      <c r="I174" t="s">
        <v>377</v>
      </c>
      <c r="J174">
        <v>638</v>
      </c>
      <c r="K174">
        <v>165</v>
      </c>
      <c r="L174">
        <v>9</v>
      </c>
      <c r="M174" t="str">
        <f>IF([12]NDCs!AL176="Excluding","excl","incl")</f>
        <v>excl</v>
      </c>
      <c r="N174" s="160">
        <f>[12]GHG_hist!BA164+IF($M174="incl",[12]LULUCF_hist!CR164,0)</f>
        <v>0</v>
      </c>
      <c r="O174" s="111">
        <f>[12]GHG_hist!BB164+IF($M174="incl",[12]LULUCF_hist!CS164,0)</f>
        <v>0</v>
      </c>
      <c r="P174" s="111">
        <f>[12]GHG_hist!BC164+IF($M174="incl",[12]LULUCF_hist!CT164,0)</f>
        <v>0</v>
      </c>
      <c r="Q174" s="111">
        <f>[12]GHG_hist!BD164+IF($M174="incl",[12]LULUCF_hist!CU164,0)</f>
        <v>0</v>
      </c>
      <c r="R174" s="111">
        <f>[12]GHG_hist!BE164+IF($M174="incl",[12]LULUCF_hist!CV164,0)</f>
        <v>0</v>
      </c>
      <c r="S174" s="111">
        <f>[12]GHG_hist!BF164+IF($M174="incl",[12]LULUCF_hist!CW164,0)</f>
        <v>0</v>
      </c>
      <c r="T174" s="111">
        <f>[12]GHG_hist!BG164+IF($M174="incl",[12]LULUCF_hist!CX164,0)</f>
        <v>0</v>
      </c>
      <c r="U174" s="111">
        <f>[12]GHG_hist!BH164+IF($M174="incl",[12]LULUCF_hist!CY164,0)</f>
        <v>0</v>
      </c>
      <c r="V174" s="111">
        <f>[12]GHG_hist!BI164+IF($M174="incl",[12]LULUCF_hist!CZ164,0)</f>
        <v>0</v>
      </c>
      <c r="W174" s="111">
        <f>[12]GHG_hist!BJ164+IF($M174="incl",[12]LULUCF_hist!DA164,0)</f>
        <v>0</v>
      </c>
      <c r="X174" s="111">
        <f>[12]GHG_hist!BK164+IF($M174="incl",[12]LULUCF_hist!DB164,0)</f>
        <v>0</v>
      </c>
      <c r="Y174" s="111">
        <f>[12]GHG_hist!BL164+IF($M174="incl",[12]LULUCF_hist!DC164,0)</f>
        <v>0</v>
      </c>
      <c r="Z174" s="111">
        <f>[12]GHG_hist!BM164+IF($M174="incl",[12]LULUCF_hist!DD164,0)</f>
        <v>0</v>
      </c>
      <c r="AA174" s="111">
        <f>[12]GHG_hist!BN164+IF($M174="incl",[12]LULUCF_hist!DE164,0)</f>
        <v>0</v>
      </c>
      <c r="AB174" s="111">
        <f>[12]GHG_hist!BO164+IF($M174="incl",[12]LULUCF_hist!DF164,0)</f>
        <v>0</v>
      </c>
      <c r="AC174" s="111">
        <f>[12]GHG_hist!BP164+IF($M174="incl",[12]LULUCF_hist!DG164,0)</f>
        <v>0</v>
      </c>
      <c r="AD174" s="111">
        <f>[12]GHG_hist!BQ164+IF($M174="incl",[12]LULUCF_hist!DH164,0)</f>
        <v>0</v>
      </c>
      <c r="AE174" s="111">
        <f>[12]GHG_hist!BR164+IF($M174="incl",[12]LULUCF_hist!DI164,0)</f>
        <v>0</v>
      </c>
      <c r="AF174" s="111">
        <f>[12]GHG_hist!BS164+IF($M174="incl",[12]LULUCF_hist!DJ164,0)</f>
        <v>0</v>
      </c>
      <c r="AG174" s="111">
        <f>[12]GHG_hist!BT164+IF($M174="incl",[12]LULUCF_hist!DK164,0)</f>
        <v>0</v>
      </c>
      <c r="AH174" s="111">
        <f>[12]GHG_hist!BU164+IF($M174="incl",[12]LULUCF_hist!DL164,0)</f>
        <v>0</v>
      </c>
      <c r="AI174" s="111">
        <f>[12]GHG_hist!BV164+IF($M174="incl",[12]LULUCF_hist!DM164,0)</f>
        <v>0</v>
      </c>
      <c r="AJ174" s="111">
        <f>[12]GHG_hist!BW164+IF($M174="incl",[12]LULUCF_hist!DN164,0)</f>
        <v>0</v>
      </c>
      <c r="AK174" s="111">
        <f>[12]GHG_hist!BX164+IF($M174="incl",[12]LULUCF_hist!DO164,0)</f>
        <v>0</v>
      </c>
      <c r="AL174" s="111">
        <f>[12]GHG_hist!BY164+IF($M174="incl",[12]LULUCF_hist!DP164,0)</f>
        <v>0</v>
      </c>
      <c r="AM174" s="111">
        <f>[12]GHG_hist!BZ164+IF($M174="incl",[12]LULUCF_hist!DQ164,0)</f>
        <v>0</v>
      </c>
      <c r="AN174" s="111">
        <f>[12]GHG_hist!CA164+IF($M174="incl",[12]LULUCF_hist!DR164,0)</f>
        <v>0</v>
      </c>
      <c r="AO174" s="111">
        <f>[12]GHG_hist!CB164+IF($M174="incl",[12]LULUCF_hist!DS164,0)</f>
        <v>0</v>
      </c>
      <c r="AP174" s="111">
        <f>[12]GHG_hist!CC164+IF($M174="incl",[12]LULUCF_hist!DT164,0)</f>
        <v>0</v>
      </c>
      <c r="AQ174" s="111">
        <f>[12]GHG_hist!CD164+IF($M174="incl",[12]LULUCF_hist!DU164,0)</f>
        <v>0</v>
      </c>
      <c r="AR174" s="111">
        <f>[12]GHG_hist!CE164+IF($M174="incl",[12]LULUCF_hist!DV164,0)</f>
        <v>0</v>
      </c>
      <c r="AS174" s="111">
        <f>[12]GHG_hist!CF164+IF($M174="incl",[12]LULUCF_hist!DW164,0)</f>
        <v>0</v>
      </c>
      <c r="AT174" s="161">
        <f>VLOOKUP($L174,'[12]IMAGE SSP2'!$AF$3:$AK$29,4,FALSE)*$AM174</f>
        <v>0</v>
      </c>
      <c r="AU174" s="162">
        <f>VLOOKUP($L174,'[12]IMAGE SSP2'!$AF$3:$AK$29,5,FALSE)*$AM174</f>
        <v>0</v>
      </c>
      <c r="AV174" s="163">
        <f>VLOOKUP($L174,'[12]IMAGE SSP2'!$AF$3:$AK$29,6,FALSE)*$AM174</f>
        <v>0</v>
      </c>
      <c r="AW174" s="111" t="str">
        <f t="shared" si="119"/>
        <v/>
      </c>
      <c r="AX174" s="164" t="str">
        <f>IF(A174="B",IF(M174="excl",[12]NatCom!CO164,[12]NatCom!AX164),"")</f>
        <v/>
      </c>
      <c r="AY174" s="111" t="str">
        <f>IF('[12]Pledge 2020'!E164="","",'[12]Pledge 2020'!E164)</f>
        <v/>
      </c>
      <c r="AZ174" s="164" t="str">
        <f>IF('[12]Pledge 2020'!F164="","",'[12]Pledge 2020'!F164)</f>
        <v/>
      </c>
      <c r="BA174" s="111" t="str">
        <f t="shared" si="100"/>
        <v/>
      </c>
      <c r="BB174" s="111"/>
      <c r="BC174" s="111" t="str">
        <f t="shared" si="101"/>
        <v/>
      </c>
      <c r="BD174" s="111"/>
      <c r="BE174" s="111" t="s">
        <v>2477</v>
      </c>
      <c r="BF174" s="111"/>
      <c r="BG174" s="111" t="s">
        <v>2477</v>
      </c>
      <c r="BH174" s="164"/>
      <c r="BI174" s="111" t="str">
        <f>IF([12]NDCs!V176="",IF([12]NDCs!X176="","",[12]NDCs!X176),[12]NDCs!V176)</f>
        <v/>
      </c>
      <c r="BJ174" s="111" t="str">
        <f>IF([12]NDCs!V176="",IF([12]NDCs!X176="","",[12]NDCs!X176),[12]NDCs!V176)</f>
        <v/>
      </c>
      <c r="BK174" s="111" t="str">
        <f>IF([12]NDCs!Z176="",IF([12]NDCs!AB176="",IF('input site'!BE174="","",'input site'!BE174),[12]NDCs!AB176),[12]NDCs!Z176)</f>
        <v/>
      </c>
      <c r="BL174" s="111" t="str">
        <f>IF([12]NDCs!AA176="",IF([12]NDCs!AC176="",IF('input site'!BF174="","",'input site'!BF174),[12]NDCs!AC176),[12]NDCs!AA176)</f>
        <v/>
      </c>
      <c r="BM174" s="111">
        <f>IF($BI$8=2015,VLOOKUP($L174,'[12]IMAGE CurPol SSP'!$AZ$3:$BD$29,4,FALSE)*$AM174,IF($BI$8=2018,VLOOKUP($L174,'[12]IMAGE CurPol SSP'!$BJ$3:$BN$29,4,FALSE)*$AP174,$AR174))</f>
        <v>0</v>
      </c>
      <c r="BN174" s="111">
        <f t="shared" si="125"/>
        <v>0</v>
      </c>
      <c r="BO174" s="111">
        <f t="shared" si="125"/>
        <v>0</v>
      </c>
      <c r="BP174" s="111">
        <f>IF($BI$8=2015,VLOOKUP($L174,'[12]IMAGE CurPol SSP'!$AZ$3:$BD$29,5,FALSE)*$AM174,IF($BI$8=2018,VLOOKUP($L174,'[12]IMAGE CurPol SSP'!$BJ$3:$BN$29,5,FALSE)*$AP174,VLOOKUP($L174,'[12]IMAGE CurPol SSP'!$BU$3:$BZ$29,5,FALSE)*$AS174))</f>
        <v>0</v>
      </c>
      <c r="BQ174" s="111">
        <f>IF($BI$8=2015,"",IF($BI$8=2018,"",VLOOKUP($L174,'[12]IMAGE CurPol SSP'!$CQ$3:$CV$29,5,FALSE)*$AS174))</f>
        <v>0</v>
      </c>
      <c r="BR174" s="111">
        <f>IF($BI$8=2015,"",IF($BI$8=2018,"",VLOOKUP($L174,'[12]IMAGE CurPol SSP'!$CF$3:$CK$29,5,FALSE)*$AS174))</f>
        <v>0</v>
      </c>
      <c r="BS174" s="111">
        <f>IF($BI$8=2015,VLOOKUP($L174,'[12]IMAGE CurPol SSP'!$AZ$3:$BE$29,6,FALSE)*$AM174,IF($BI$8=2018,VLOOKUP($L174,'[12]IMAGE CurPol SSP'!$BJ$3:$BO$29,6,FALSE)*$AP174,VLOOKUP($L174,'[12]IMAGE CurPol SSP'!$BU$3:$BZ$29,6,FALSE)*$AS174))</f>
        <v>0</v>
      </c>
      <c r="BT174" s="111">
        <f>IF($BI$8=2015,"",IF($BI$8=2018,"",VLOOKUP($L174,'[12]IMAGE CurPol SSP'!$CQ$3:$CV$29,6,FALSE)*$AS174))</f>
        <v>0</v>
      </c>
      <c r="BU174" s="164">
        <f>IF($BI$8=2015,"",IF($BI$8=2018,"",VLOOKUP($L174,'[12]IMAGE CurPol SSP'!$CF$3:$CK$29,6,FALSE)*$AS174))</f>
        <v>0</v>
      </c>
      <c r="CN174" t="s">
        <v>377</v>
      </c>
      <c r="CO174" s="165" t="str">
        <f t="shared" si="114"/>
        <v/>
      </c>
      <c r="CP174" s="165" t="str">
        <f t="shared" si="114"/>
        <v/>
      </c>
      <c r="CQ174" s="165" t="str">
        <f t="shared" si="114"/>
        <v/>
      </c>
      <c r="CR174" s="165" t="str">
        <f t="shared" si="114"/>
        <v/>
      </c>
      <c r="CV174" s="125" t="s">
        <v>621</v>
      </c>
      <c r="CW174" s="125" t="s">
        <v>621</v>
      </c>
      <c r="CX174" s="208">
        <f>AP174/$AP$255</f>
        <v>0</v>
      </c>
      <c r="CY174" s="167">
        <f t="shared" si="115"/>
        <v>0</v>
      </c>
      <c r="DB174" s="106"/>
      <c r="DC174" s="106"/>
      <c r="DD174" s="106"/>
      <c r="DE174" s="106"/>
      <c r="DF174" s="106"/>
      <c r="DG174" s="105" t="str">
        <f t="shared" si="116"/>
        <v>excl</v>
      </c>
      <c r="DH174" t="s">
        <v>377</v>
      </c>
      <c r="DI174" s="111">
        <f t="shared" si="126"/>
        <v>0</v>
      </c>
      <c r="DJ174" s="111">
        <f t="shared" si="126"/>
        <v>0</v>
      </c>
      <c r="DK174" s="111">
        <f t="shared" si="127"/>
        <v>0</v>
      </c>
      <c r="DL174" s="111">
        <f t="shared" si="128"/>
        <v>0</v>
      </c>
      <c r="DM174" s="111">
        <f t="shared" si="129"/>
        <v>0</v>
      </c>
      <c r="DN174" s="111">
        <f t="shared" si="130"/>
        <v>0</v>
      </c>
      <c r="DO174" s="111">
        <f t="shared" si="131"/>
        <v>0</v>
      </c>
      <c r="DP174" s="111">
        <f t="shared" si="132"/>
        <v>0</v>
      </c>
      <c r="DQ174" s="106"/>
      <c r="DR174" s="106"/>
      <c r="DS174" s="111"/>
      <c r="DT174" s="168"/>
      <c r="DW174" s="111">
        <f t="shared" si="117"/>
        <v>0</v>
      </c>
      <c r="DX174" s="111">
        <f t="shared" si="117"/>
        <v>0</v>
      </c>
      <c r="DY174" s="111">
        <f t="shared" si="117"/>
        <v>0</v>
      </c>
      <c r="DZ174" s="111">
        <f t="shared" si="117"/>
        <v>0</v>
      </c>
      <c r="EP174" t="s">
        <v>377</v>
      </c>
      <c r="EQ174">
        <v>0</v>
      </c>
      <c r="ER174" s="111">
        <f t="shared" si="118"/>
        <v>0</v>
      </c>
      <c r="ES174" s="111">
        <f>IF($BI$8=2015,VLOOKUP($L174,'[12]IMAGE CDLINKS CurPol'!$P$3:$Y$29,10,FALSE)*$AM174,VLOOKUP($L174,'[12]IMAGE CDLINKS CurPol'!$Z$3:$AI$29,10,FALSE)*$AP174)</f>
        <v>0</v>
      </c>
      <c r="ET174" s="111">
        <f t="shared" si="124"/>
        <v>0</v>
      </c>
      <c r="EU174" s="111">
        <f t="shared" si="120"/>
        <v>0</v>
      </c>
      <c r="EV174" s="111">
        <f>IF($BI$8=2015,VLOOKUP($L174,'[12]IMAGE CDLINKS 2C'!$P$3:$Y$29,10,FALSE)*$AM174,VLOOKUP($L174,'[12]IMAGE CDLINKS 2C'!$Z$3:$AI$29,10,FALSE)*$AP174)</f>
        <v>0</v>
      </c>
      <c r="EY174" s="111">
        <f t="shared" si="121"/>
        <v>0</v>
      </c>
      <c r="EZ174" s="111">
        <f>IF($BI$8=2015,VLOOKUP($L174,'[12]IMAGE CDLINKS 1_5C'!$P$3:$Y$29,10,FALSE)*$AM174,VLOOKUP($L174,'[12]IMAGE CDLINKS 1_5C'!$Z$3:$AI$29,10,FALSE)*$AP174)</f>
        <v>0</v>
      </c>
      <c r="FA174" s="192"/>
    </row>
    <row r="175" spans="1:157" x14ac:dyDescent="0.25">
      <c r="A175" t="str">
        <f>IF([12]NDCs!C177="","",[12]NDCs!C177)</f>
        <v>A</v>
      </c>
      <c r="B175" s="159" t="str">
        <f t="shared" si="112"/>
        <v>v</v>
      </c>
      <c r="C175">
        <v>0</v>
      </c>
      <c r="D175">
        <v>1</v>
      </c>
      <c r="E175">
        <v>0</v>
      </c>
      <c r="F175">
        <v>1</v>
      </c>
      <c r="G175" t="b">
        <f t="shared" si="113"/>
        <v>1</v>
      </c>
      <c r="H175" t="s">
        <v>2335</v>
      </c>
      <c r="I175" t="s">
        <v>379</v>
      </c>
      <c r="J175">
        <v>642</v>
      </c>
      <c r="K175">
        <v>166</v>
      </c>
      <c r="L175">
        <v>12</v>
      </c>
      <c r="M175" t="str">
        <f>IF([12]NDCs!AL177="Excluding","excl","incl")</f>
        <v>incl</v>
      </c>
      <c r="N175" s="160">
        <f>[12]GHG_hist!BA165+IF($M175="incl",[12]LULUCF_hist!CR165,0)</f>
        <v>224.85863673905749</v>
      </c>
      <c r="O175" s="111">
        <f>[12]GHG_hist!BB165+IF($M175="incl",[12]LULUCF_hist!CS165,0)</f>
        <v>177.93458300333236</v>
      </c>
      <c r="P175" s="111">
        <f>[12]GHG_hist!BC165+IF($M175="incl",[12]LULUCF_hist!CT165,0)</f>
        <v>161.18091564422036</v>
      </c>
      <c r="Q175" s="111">
        <f>[12]GHG_hist!BD165+IF($M175="incl",[12]LULUCF_hist!CU165,0)</f>
        <v>149.61036767212821</v>
      </c>
      <c r="R175" s="111">
        <f>[12]GHG_hist!BE165+IF($M175="incl",[12]LULUCF_hist!CV165,0)</f>
        <v>147.36797154407941</v>
      </c>
      <c r="S175" s="111">
        <f>[12]GHG_hist!BF165+IF($M175="incl",[12]LULUCF_hist!CW165,0)</f>
        <v>154.58790905036361</v>
      </c>
      <c r="T175" s="111">
        <f>[12]GHG_hist!BG165+IF($M175="incl",[12]LULUCF_hist!CX165,0)</f>
        <v>158.37964902785157</v>
      </c>
      <c r="U175" s="111">
        <f>[12]GHG_hist!BH165+IF($M175="incl",[12]LULUCF_hist!CY165,0)</f>
        <v>150.50035522998374</v>
      </c>
      <c r="V175" s="111">
        <f>[12]GHG_hist!BI165+IF($M175="incl",[12]LULUCF_hist!CZ165,0)</f>
        <v>131.31795626702643</v>
      </c>
      <c r="W175" s="111">
        <f>[12]GHG_hist!BJ165+IF($M175="incl",[12]LULUCF_hist!DA165,0)</f>
        <v>113.87067681267752</v>
      </c>
      <c r="X175" s="111">
        <f>[12]GHG_hist!BK165+IF($M175="incl",[12]LULUCF_hist!DB165,0)</f>
        <v>107.04219447374044</v>
      </c>
      <c r="Y175" s="111">
        <f>[12]GHG_hist!BL165+IF($M175="incl",[12]LULUCF_hist!DC165,0)</f>
        <v>109.94033442491008</v>
      </c>
      <c r="Z175" s="111">
        <f>[12]GHG_hist!BM165+IF($M175="incl",[12]LULUCF_hist!DD165,0)</f>
        <v>113.5924169545149</v>
      </c>
      <c r="AA175" s="111">
        <f>[12]GHG_hist!BN165+IF($M175="incl",[12]LULUCF_hist!DE165,0)</f>
        <v>118.75512251797041</v>
      </c>
      <c r="AB175" s="111">
        <f>[12]GHG_hist!BO165+IF($M175="incl",[12]LULUCF_hist!DF165,0)</f>
        <v>117.44825359922993</v>
      </c>
      <c r="AC175" s="111">
        <f>[12]GHG_hist!BP165+IF($M175="incl",[12]LULUCF_hist!DG165,0)</f>
        <v>115.43602762020411</v>
      </c>
      <c r="AD175" s="111">
        <f>[12]GHG_hist!BQ165+IF($M175="incl",[12]LULUCF_hist!DH165,0)</f>
        <v>116.85119121380157</v>
      </c>
      <c r="AE175" s="111">
        <f>[12]GHG_hist!BR165+IF($M175="incl",[12]LULUCF_hist!DI165,0)</f>
        <v>119.68598564767626</v>
      </c>
      <c r="AF175" s="111">
        <f>[12]GHG_hist!BS165+IF($M175="incl",[12]LULUCF_hist!DJ165,0)</f>
        <v>116.2049653483039</v>
      </c>
      <c r="AG175" s="111">
        <f>[12]GHG_hist!BT165+IF($M175="incl",[12]LULUCF_hist!DK165,0)</f>
        <v>97.695276606073634</v>
      </c>
      <c r="AH175" s="111">
        <f>[12]GHG_hist!BU165+IF($M175="incl",[12]LULUCF_hist!DL165,0)</f>
        <v>87.53007347127803</v>
      </c>
      <c r="AI175" s="111">
        <f>[12]GHG_hist!BV165+IF($M175="incl",[12]LULUCF_hist!DM165,0)</f>
        <v>93.590196762069041</v>
      </c>
      <c r="AJ175" s="111">
        <f>[12]GHG_hist!BW165+IF($M175="incl",[12]LULUCF_hist!DN165,0)</f>
        <v>88.905202485954419</v>
      </c>
      <c r="AK175" s="111">
        <f>[12]GHG_hist!BX165+IF($M175="incl",[12]LULUCF_hist!DO165,0)</f>
        <v>76.984318530224272</v>
      </c>
      <c r="AL175" s="111">
        <f>[12]GHG_hist!BY165+IF($M175="incl",[12]LULUCF_hist!DP165,0)</f>
        <v>65.255777833290622</v>
      </c>
      <c r="AM175" s="111">
        <f>[12]GHG_hist!BZ165+IF($M175="incl",[12]LULUCF_hist!DQ165,0)</f>
        <v>65.076842532959006</v>
      </c>
      <c r="AN175" s="111">
        <f>[12]GHG_hist!CA165+IF($M175="incl",[12]LULUCF_hist!DR165,0)</f>
        <v>61.100324113759086</v>
      </c>
      <c r="AO175" s="111">
        <f>[12]GHG_hist!CB165+IF($M175="incl",[12]LULUCF_hist!DS165,0)</f>
        <v>66.289101263269004</v>
      </c>
      <c r="AP175" s="111">
        <f>[12]GHG_hist!CC165+IF($M175="incl",[12]LULUCF_hist!DT165,0)</f>
        <v>69.639594671268128</v>
      </c>
      <c r="AQ175" s="111">
        <f>[12]GHG_hist!CD165+IF($M175="incl",[12]LULUCF_hist!DU165,0)</f>
        <v>66.086645457726206</v>
      </c>
      <c r="AR175" s="111">
        <f>[12]GHG_hist!CE165+IF($M175="incl",[12]LULUCF_hist!DV165,0)</f>
        <v>60.145572947841806</v>
      </c>
      <c r="AS175" s="111">
        <f>[12]GHG_hist!CF165+IF($M175="incl",[12]LULUCF_hist!DW165,0)</f>
        <v>64.817414931411378</v>
      </c>
      <c r="AT175" s="161">
        <f>VLOOKUP($L175,'[12]IMAGE SSP2'!$AF$3:$AK$29,4,FALSE)*$AM175</f>
        <v>67.70850516247792</v>
      </c>
      <c r="AU175" s="162">
        <f>VLOOKUP($L175,'[12]IMAGE SSP2'!$AF$3:$AK$29,5,FALSE)*$AM175</f>
        <v>69.153145580400746</v>
      </c>
      <c r="AV175" s="163">
        <f>VLOOKUP($L175,'[12]IMAGE SSP2'!$AF$3:$AK$29,6,FALSE)*$AM175</f>
        <v>71.00180468654402</v>
      </c>
      <c r="AW175" s="111" t="str">
        <f t="shared" si="119"/>
        <v/>
      </c>
      <c r="AX175" s="164" t="str">
        <f>IF(A175="B",IF(M175="excl",[12]NatCom!CO165,[12]NatCom!AX165),"")</f>
        <v/>
      </c>
      <c r="AY175" s="111" t="str">
        <f>IF('[12]Pledge 2020'!E165="","",'[12]Pledge 2020'!E165)</f>
        <v/>
      </c>
      <c r="AZ175" s="164" t="str">
        <f>IF('[12]Pledge 2020'!F165="","",'[12]Pledge 2020'!F165)</f>
        <v/>
      </c>
      <c r="BA175" s="111" t="str">
        <f t="shared" si="100"/>
        <v/>
      </c>
      <c r="BB175" s="111"/>
      <c r="BC175" s="111" t="str">
        <f t="shared" si="101"/>
        <v/>
      </c>
      <c r="BD175" s="111"/>
      <c r="BE175" s="111" t="s">
        <v>2477</v>
      </c>
      <c r="BF175" s="111"/>
      <c r="BG175" s="111" t="s">
        <v>2477</v>
      </c>
      <c r="BH175" s="164"/>
      <c r="BI175" s="111" t="str">
        <f>IF([12]NDCs!V177="",IF([12]NDCs!X177="","",[12]NDCs!X177),[12]NDCs!V177)</f>
        <v/>
      </c>
      <c r="BJ175" s="111" t="str">
        <f>IF([12]NDCs!V177="",IF([12]NDCs!X177="","",[12]NDCs!X177),[12]NDCs!V177)</f>
        <v/>
      </c>
      <c r="BK175" s="111" t="str">
        <f>IF([12]NDCs!Z177="",IF([12]NDCs!AB177="",IF('input site'!BE175="","",'input site'!BE175),[12]NDCs!AB177),[12]NDCs!Z177)</f>
        <v/>
      </c>
      <c r="BL175" s="111" t="str">
        <f>IF([12]NDCs!AA177="",IF([12]NDCs!AC177="",IF('input site'!BF175="","",'input site'!BF175),[12]NDCs!AC177),[12]NDCs!AA177)</f>
        <v/>
      </c>
      <c r="BM175" s="111">
        <f>IF($BI$8=2015,VLOOKUP($L175,'[12]IMAGE CurPol SSP'!$AZ$3:$BD$29,4,FALSE)*$AM175,IF($BI$8=2018,VLOOKUP($L175,'[12]IMAGE CurPol SSP'!$BJ$3:$BN$29,4,FALSE)*$AP175,$AR175))</f>
        <v>60.145572947841806</v>
      </c>
      <c r="BN175" s="111">
        <f t="shared" si="125"/>
        <v>60.145572947841806</v>
      </c>
      <c r="BO175" s="111">
        <f t="shared" si="125"/>
        <v>60.145572947841806</v>
      </c>
      <c r="BP175" s="111">
        <f>IF($BI$8=2015,VLOOKUP($L175,'[12]IMAGE CurPol SSP'!$AZ$3:$BD$29,5,FALSE)*$AM175,IF($BI$8=2018,VLOOKUP($L175,'[12]IMAGE CurPol SSP'!$BJ$3:$BN$29,5,FALSE)*$AP175,VLOOKUP($L175,'[12]IMAGE CurPol SSP'!$BU$3:$BZ$29,5,FALSE)*$AS175))</f>
        <v>51.548572791873156</v>
      </c>
      <c r="BQ175" s="111">
        <f>IF($BI$8=2015,"",IF($BI$8=2018,"",VLOOKUP($L175,'[12]IMAGE CurPol SSP'!$CQ$3:$CV$29,5,FALSE)*$AS175))</f>
        <v>51.548572791873156</v>
      </c>
      <c r="BR175" s="111">
        <f>IF($BI$8=2015,"",IF($BI$8=2018,"",VLOOKUP($L175,'[12]IMAGE CurPol SSP'!$CF$3:$CK$29,5,FALSE)*$AS175))</f>
        <v>53.196569215347751</v>
      </c>
      <c r="BS175" s="111">
        <f>IF($BI$8=2015,VLOOKUP($L175,'[12]IMAGE CurPol SSP'!$AZ$3:$BE$29,6,FALSE)*$AM175,IF($BI$8=2018,VLOOKUP($L175,'[12]IMAGE CurPol SSP'!$BJ$3:$BO$29,6,FALSE)*$AP175,VLOOKUP($L175,'[12]IMAGE CurPol SSP'!$BU$3:$BZ$29,6,FALSE)*$AS175))</f>
        <v>33.212002438379123</v>
      </c>
      <c r="BT175" s="111">
        <f>IF($BI$8=2015,"",IF($BI$8=2018,"",VLOOKUP($L175,'[12]IMAGE CurPol SSP'!$CQ$3:$CV$29,6,FALSE)*$AS175))</f>
        <v>33.212002438379123</v>
      </c>
      <c r="BU175" s="164">
        <f>IF($BI$8=2015,"",IF($BI$8=2018,"",VLOOKUP($L175,'[12]IMAGE CurPol SSP'!$CF$3:$CK$29,6,FALSE)*$AS175))</f>
        <v>34.890249974378953</v>
      </c>
      <c r="CN175" t="s">
        <v>379</v>
      </c>
      <c r="CO175" s="165" t="str">
        <f t="shared" si="114"/>
        <v/>
      </c>
      <c r="CP175" s="165" t="str">
        <f t="shared" si="114"/>
        <v/>
      </c>
      <c r="CQ175" s="165" t="str">
        <f t="shared" si="114"/>
        <v/>
      </c>
      <c r="CR175" s="165" t="str">
        <f t="shared" si="114"/>
        <v/>
      </c>
      <c r="CV175" s="125" t="s">
        <v>621</v>
      </c>
      <c r="CW175" s="125" t="s">
        <v>621</v>
      </c>
      <c r="CX175"/>
      <c r="CY175" s="167">
        <f t="shared" si="115"/>
        <v>7.5629322146361133</v>
      </c>
      <c r="DB175" s="106"/>
      <c r="DC175" s="106"/>
      <c r="DD175" s="106"/>
      <c r="DE175" s="106"/>
      <c r="DF175" s="106"/>
      <c r="DG175" s="105" t="str">
        <f t="shared" si="116"/>
        <v>incl</v>
      </c>
      <c r="DH175" t="s">
        <v>379</v>
      </c>
      <c r="DI175" s="111">
        <f t="shared" si="126"/>
        <v>0</v>
      </c>
      <c r="DJ175" s="111">
        <f t="shared" si="126"/>
        <v>0</v>
      </c>
      <c r="DK175" s="111">
        <f t="shared" si="127"/>
        <v>0</v>
      </c>
      <c r="DL175" s="111">
        <f t="shared" si="128"/>
        <v>0</v>
      </c>
      <c r="DM175" s="111">
        <f t="shared" si="129"/>
        <v>0</v>
      </c>
      <c r="DN175" s="111">
        <f t="shared" si="130"/>
        <v>0</v>
      </c>
      <c r="DO175" s="111">
        <f t="shared" si="131"/>
        <v>0</v>
      </c>
      <c r="DP175" s="111">
        <f t="shared" si="132"/>
        <v>0</v>
      </c>
      <c r="DQ175" s="106"/>
      <c r="DR175" s="106"/>
      <c r="DS175" s="111"/>
      <c r="DT175" s="168"/>
      <c r="DW175" s="111">
        <f t="shared" si="117"/>
        <v>33.212002438379123</v>
      </c>
      <c r="DX175" s="111">
        <f t="shared" si="117"/>
        <v>33.212002438379123</v>
      </c>
      <c r="DY175" s="111">
        <f t="shared" si="117"/>
        <v>33.212002438379123</v>
      </c>
      <c r="DZ175" s="111">
        <f t="shared" si="117"/>
        <v>33.212002438379123</v>
      </c>
      <c r="EP175" t="s">
        <v>379</v>
      </c>
      <c r="ER175" s="111">
        <f t="shared" si="118"/>
        <v>69.639594671268128</v>
      </c>
      <c r="ES175" s="111">
        <f>IF($BI$8=2015,VLOOKUP($L175,'[12]IMAGE CDLINKS CurPol'!$P$3:$Y$29,10,FALSE)*$AM175,VLOOKUP($L175,'[12]IMAGE CDLINKS CurPol'!$Z$3:$AI$29,10,FALSE)*$AP175)</f>
        <v>73.209522210739351</v>
      </c>
      <c r="ET175" s="111">
        <f t="shared" si="124"/>
        <v>73.209522210739351</v>
      </c>
      <c r="EU175" s="111">
        <f t="shared" si="120"/>
        <v>15.850522296120015</v>
      </c>
      <c r="EV175" s="111">
        <f>IF($BI$8=2015,VLOOKUP($L175,'[12]IMAGE CDLINKS 2C'!$P$3:$Y$29,10,FALSE)*$AM175,VLOOKUP($L175,'[12]IMAGE CDLINKS 2C'!$Z$3:$AI$29,10,FALSE)*$AP175)</f>
        <v>15.850522296120015</v>
      </c>
      <c r="EY175" s="111">
        <f t="shared" si="121"/>
        <v>7.7325875711431502</v>
      </c>
      <c r="EZ175" s="111">
        <f>IF($BI$8=2015,VLOOKUP($L175,'[12]IMAGE CDLINKS 1_5C'!$P$3:$Y$29,10,FALSE)*$AM175,VLOOKUP($L175,'[12]IMAGE CDLINKS 1_5C'!$Z$3:$AI$29,10,FALSE)*$AP175)</f>
        <v>7.7325875711431502</v>
      </c>
      <c r="FA175" s="192" t="s">
        <v>2338</v>
      </c>
    </row>
    <row r="176" spans="1:157" x14ac:dyDescent="0.25">
      <c r="A176" t="str">
        <f>IF([12]NDCs!C178="","",[12]NDCs!C178)</f>
        <v>A</v>
      </c>
      <c r="B176" s="159" t="str">
        <f t="shared" si="112"/>
        <v>ii</v>
      </c>
      <c r="C176">
        <v>1</v>
      </c>
      <c r="D176">
        <v>0</v>
      </c>
      <c r="E176">
        <v>1</v>
      </c>
      <c r="F176">
        <v>1</v>
      </c>
      <c r="G176" t="b">
        <f t="shared" si="113"/>
        <v>1</v>
      </c>
      <c r="H176" t="s">
        <v>2339</v>
      </c>
      <c r="I176" t="s">
        <v>381</v>
      </c>
      <c r="J176">
        <v>643</v>
      </c>
      <c r="K176">
        <v>167</v>
      </c>
      <c r="L176">
        <v>16</v>
      </c>
      <c r="M176" t="str">
        <f>IF([12]NDCs!AL178="Excluding","excl","incl")</f>
        <v>incl</v>
      </c>
      <c r="N176" s="123">
        <f>IF($M176="incl",[12]RUS!E$41,[12]RUS!E$37)</f>
        <v>3089.1634435599999</v>
      </c>
      <c r="O176" s="188">
        <f>IF($M176="incl",[12]RUS!F$41,[12]RUS!F$37)</f>
        <v>2969.2368499099998</v>
      </c>
      <c r="P176" s="188">
        <f>IF($M176="incl",[12]RUS!G$41,[12]RUS!G$37)</f>
        <v>2481.6801745499902</v>
      </c>
      <c r="Q176" s="188">
        <f>IF($M176="incl",[12]RUS!H$41,[12]RUS!H$37)</f>
        <v>2286.90094335</v>
      </c>
      <c r="R176" s="188">
        <f>IF($M176="incl",[12]RUS!I$41,[12]RUS!I$37)</f>
        <v>1940.6558659</v>
      </c>
      <c r="S176" s="188">
        <f>IF($M176="incl",[12]RUS!J$41,[12]RUS!J$37)</f>
        <v>1811.5595195999999</v>
      </c>
      <c r="T176" s="188">
        <f>IF($M176="incl",[12]RUS!K$41,[12]RUS!K$37)</f>
        <v>1693.7857320999999</v>
      </c>
      <c r="U176" s="188">
        <f>IF($M176="incl",[12]RUS!L$41,[12]RUS!L$37)</f>
        <v>1500.6862827999901</v>
      </c>
      <c r="V176" s="188">
        <f>IF($M176="incl",[12]RUS!M$41,[12]RUS!M$37)</f>
        <v>1459.6457696</v>
      </c>
      <c r="W176" s="188">
        <f>IF($M176="incl",[12]RUS!N$41,[12]RUS!N$37)</f>
        <v>1444.0502382</v>
      </c>
      <c r="X176" s="188">
        <f>IF($M176="incl",[12]RUS!O$41,[12]RUS!O$37)</f>
        <v>1421.7441137999999</v>
      </c>
      <c r="Y176" s="188">
        <f>IF($M176="incl",[12]RUS!P$41,[12]RUS!P$37)</f>
        <v>1404.382366</v>
      </c>
      <c r="Z176" s="188">
        <f>IF($M176="incl",[12]RUS!Q$41,[12]RUS!Q$37)</f>
        <v>1358.5160648000001</v>
      </c>
      <c r="AA176" s="188">
        <f>IF($M176="incl",[12]RUS!R$41,[12]RUS!R$37)</f>
        <v>1386.4941435000001</v>
      </c>
      <c r="AB176" s="188">
        <f>IF($M176="incl",[12]RUS!S$41,[12]RUS!S$37)</f>
        <v>1408.5004117999999</v>
      </c>
      <c r="AC176" s="188">
        <f>IF($M176="incl",[12]RUS!T$41,[12]RUS!T$37)</f>
        <v>1430.9136583</v>
      </c>
      <c r="AD176" s="188">
        <f>IF($M176="incl",[12]RUS!U$41,[12]RUS!U$37)</f>
        <v>1490.744158</v>
      </c>
      <c r="AE176" s="188">
        <f>IF($M176="incl",[12]RUS!V$41,[12]RUS!V$37)</f>
        <v>1471.1623414999999</v>
      </c>
      <c r="AF176" s="188">
        <f>IF($M176="incl",[12]RUS!W$41,[12]RUS!W$37)</f>
        <v>1463.36380739999</v>
      </c>
      <c r="AG176" s="188">
        <f>IF($M176="incl",[12]RUS!X$41,[12]RUS!X$37)</f>
        <v>1255.3329575</v>
      </c>
      <c r="AH176" s="188">
        <f>IF($M176="incl",[12]RUS!Y$41,[12]RUS!Y$37)</f>
        <v>1321.3272923</v>
      </c>
      <c r="AI176" s="188">
        <f>IF($M176="incl",[12]RUS!Z$41,[12]RUS!Z$37)</f>
        <v>1425.39051459999</v>
      </c>
      <c r="AJ176" s="188">
        <f>IF($M176="incl",[12]RUS!AA$41,[12]RUS!AA$37)</f>
        <v>1439.4695724000001</v>
      </c>
      <c r="AK176" s="188">
        <f>IF($M176="incl",[12]RUS!AB$41,[12]RUS!AB$37)</f>
        <v>1429.1729238</v>
      </c>
      <c r="AL176" s="188">
        <f>IF($M176="incl",[12]RUS!AC$41,[12]RUS!AC$37)</f>
        <v>1380.2107653</v>
      </c>
      <c r="AM176" s="188">
        <f>IF($M176="incl",[12]RUS!AD$41,[12]RUS!AD$37)</f>
        <v>1450.05337449999</v>
      </c>
      <c r="AN176" s="188">
        <f>IF($M176="incl",[12]RUS!AE$41,[12]RUS!AE$37)</f>
        <v>1418.6577612000001</v>
      </c>
      <c r="AO176" s="188">
        <f>IF($M176="incl",[12]RUS!AF$41,[12]RUS!AF$37)</f>
        <v>1479.7371290000001</v>
      </c>
      <c r="AP176" s="188">
        <f>IF($M176="incl",[12]RUS!AG$41,[12]RUS!AG$37)</f>
        <v>1567.9526573999999</v>
      </c>
      <c r="AQ176" s="188">
        <f>IF($M176="incl",[12]RUS!AH$41,[12]RUS!AH$37)</f>
        <v>1586.0157039999999</v>
      </c>
      <c r="AR176" s="188">
        <f>IF($M176="incl",[12]RUS!AI$41,[12]RUS!AI$37)</f>
        <v>1503.8019792</v>
      </c>
      <c r="AS176" s="188">
        <f>IF($M176="incl",[12]RUS!AJ$41,[12]RUS!AJ$37)</f>
        <v>1671.77465819999</v>
      </c>
      <c r="AT176" s="189">
        <f>AR176</f>
        <v>1503.8019792</v>
      </c>
      <c r="AU176" s="111">
        <f>[12]RUS!AN23</f>
        <v>1611.4707290000001</v>
      </c>
      <c r="AV176" s="164">
        <f>[12]RUS!AS23</f>
        <v>1742.2687290000003</v>
      </c>
      <c r="AW176" s="111" t="str">
        <f t="shared" si="119"/>
        <v/>
      </c>
      <c r="AX176" s="164" t="str">
        <f>IF(A176="B",IF(M176="excl",[12]NatCom!CO166,[12]NatCom!AX166),"")</f>
        <v/>
      </c>
      <c r="AY176" s="111">
        <f>IF('[12]Pledge 2020'!E166="","",'[12]Pledge 2020'!E166)</f>
        <v>2625.7889270259998</v>
      </c>
      <c r="AZ176" s="164">
        <f>IF('[12]Pledge 2020'!F166="","",'[12]Pledge 2020'!F166)</f>
        <v>1812.1709526700006</v>
      </c>
      <c r="BA176" s="106">
        <f>[12]RUS!Y10</f>
        <v>1565.779650575</v>
      </c>
      <c r="BB176" s="106">
        <f>IF(BF176="","",(BF176-AH176)*0.75+AH176)</f>
        <v>1950.7758230749996</v>
      </c>
      <c r="BC176" s="106">
        <f>[12]RUS!X10</f>
        <v>1950.7758230749996</v>
      </c>
      <c r="BD176" s="106">
        <f>IF(BH176="","",(BH176-AH176)*0.75+AH176)</f>
        <v>1565.779650575</v>
      </c>
      <c r="BE176" s="199">
        <v>2160.5919999999996</v>
      </c>
      <c r="BF176" s="199">
        <v>2160.5919999999996</v>
      </c>
      <c r="BG176" s="199">
        <v>1647.26377</v>
      </c>
      <c r="BH176" s="200">
        <v>1647.26377</v>
      </c>
      <c r="BI176" s="201">
        <f>[12]RUS!$BB$17</f>
        <v>2903.42823</v>
      </c>
      <c r="BJ176" s="201">
        <f>[12]RUS!$BB$13</f>
        <v>2744.0882299999994</v>
      </c>
      <c r="BK176" s="201">
        <f>BG176</f>
        <v>1647.26377</v>
      </c>
      <c r="BL176" s="201">
        <f>BH176</f>
        <v>1647.26377</v>
      </c>
      <c r="BM176" s="190">
        <f>[12]RUS!AB$5</f>
        <v>1503.8019792</v>
      </c>
      <c r="BN176" s="127">
        <f>[12]RUS!AB7</f>
        <v>1503.8019792</v>
      </c>
      <c r="BO176" s="127">
        <f>[12]RUS!AB6</f>
        <v>1503.8019792</v>
      </c>
      <c r="BP176" s="190">
        <f>[12]RUS!AC$5</f>
        <v>1745.38245538921</v>
      </c>
      <c r="BQ176" s="127">
        <f>[12]RUS!AC7</f>
        <v>1745.38245538921</v>
      </c>
      <c r="BR176" s="127">
        <f>[12]RUS!AC6</f>
        <v>1796.4014058999901</v>
      </c>
      <c r="BS176" s="190">
        <f>[12]RUS!AD$5</f>
        <v>1803.3771344301699</v>
      </c>
      <c r="BT176" s="127">
        <f>[12]RUS!AD7</f>
        <v>1803.3771344301699</v>
      </c>
      <c r="BU176" s="127">
        <f>[12]RUS!AD6</f>
        <v>1885.621349</v>
      </c>
      <c r="CN176" t="s">
        <v>381</v>
      </c>
      <c r="CO176" s="165">
        <f t="shared" si="114"/>
        <v>0.19808106621175625</v>
      </c>
      <c r="CP176" s="165">
        <f t="shared" si="114"/>
        <v>0.19808106621175625</v>
      </c>
      <c r="CQ176" s="165">
        <f t="shared" si="114"/>
        <v>-8.6567230697143449E-2</v>
      </c>
      <c r="CR176" s="165">
        <f t="shared" si="114"/>
        <v>-8.6567230697143449E-2</v>
      </c>
      <c r="CS176" s="185">
        <f>IF(BE176&lt;=MIN(BS176:BU176),0,1)</f>
        <v>1</v>
      </c>
      <c r="CT176" s="185">
        <f>IF(BG176&lt;=MIN(BS176:BU176),0,1)</f>
        <v>0</v>
      </c>
      <c r="CU176">
        <f>IF(BS176&lt;=MAX(AN176,AP176),1,0)</f>
        <v>0</v>
      </c>
      <c r="CV176" s="116" t="str">
        <f>IF(CS176=1,IF(CU176=1,"i","ii"),IF(CU176=1,"iii","iv"))</f>
        <v>ii</v>
      </c>
      <c r="CW176" s="116" t="str">
        <f>IF(CT176=1,IF(CU176=1,"i","ii"),IF(CU176=1,"iii","iv"))</f>
        <v>iv</v>
      </c>
      <c r="CX176"/>
      <c r="CY176" s="167">
        <f t="shared" si="115"/>
        <v>0</v>
      </c>
      <c r="DA176" s="187">
        <f>[12]RUS!P18</f>
        <v>1121.9869478259998</v>
      </c>
      <c r="DB176" s="187">
        <f>[12]RUS!Q18</f>
        <v>308.36897347000058</v>
      </c>
      <c r="DC176" s="187">
        <f>[12]RUS!R18</f>
        <v>0</v>
      </c>
      <c r="DD176" s="187">
        <f>[12]RUS!S18</f>
        <v>0</v>
      </c>
      <c r="DE176" s="187">
        <f>[12]RUS!T18</f>
        <v>357.21486556982973</v>
      </c>
      <c r="DF176" s="187">
        <f>[12]RUS!U18</f>
        <v>0</v>
      </c>
      <c r="DG176" s="105" t="str">
        <f t="shared" si="116"/>
        <v>incl</v>
      </c>
      <c r="DH176" t="s">
        <v>381</v>
      </c>
      <c r="DI176" s="127"/>
      <c r="DJ176" s="127"/>
      <c r="DK176" s="127"/>
      <c r="DL176" s="127"/>
      <c r="DM176" s="127"/>
      <c r="DN176" s="127"/>
      <c r="DO176" s="127"/>
      <c r="DP176" s="127"/>
      <c r="DQ176" s="187">
        <f>[12]RUS!BB$18</f>
        <v>416.64694440022959</v>
      </c>
      <c r="DR176" s="187">
        <v>0</v>
      </c>
      <c r="DS176" s="111"/>
      <c r="DT176" s="168"/>
      <c r="DW176" s="111">
        <f t="shared" si="117"/>
        <v>2160.5919999999996</v>
      </c>
      <c r="DX176" s="111">
        <f t="shared" si="117"/>
        <v>2160.5919999999996</v>
      </c>
      <c r="DY176" s="111">
        <f t="shared" si="117"/>
        <v>1647.26377</v>
      </c>
      <c r="DZ176" s="111">
        <f t="shared" si="117"/>
        <v>1647.26377</v>
      </c>
      <c r="EP176" t="s">
        <v>381</v>
      </c>
      <c r="EQ176">
        <v>4</v>
      </c>
      <c r="ER176" s="111">
        <f t="shared" si="118"/>
        <v>1567.9526573999999</v>
      </c>
      <c r="ES176" s="111">
        <f>IF($BI$8=2015,VLOOKUP($L176,'[12]IMAGE CDLINKS CurPol'!$P$3:$Y$29,10,FALSE)*$AM176,VLOOKUP($L176,'[12]IMAGE CDLINKS CurPol'!$Z$3:$AI$29,10,FALSE)*$AP176)</f>
        <v>1853.0814724202557</v>
      </c>
      <c r="ET176" s="111">
        <f t="shared" si="124"/>
        <v>1057.7377138888887</v>
      </c>
      <c r="EU176" s="111">
        <f>IF(EQ176&gt;=1.5,EW176,EV176)</f>
        <v>1057.7377138888887</v>
      </c>
      <c r="EV176" s="111">
        <f>IF($BI$8=2015,VLOOKUP($L176,'[12]IMAGE CDLINKS 2C'!$P$3:$Y$29,10,FALSE)*$AM176,VLOOKUP($L176,'[12]IMAGE CDLINKS 2C'!$Z$3:$AI$29,10,FALSE)*$AP176)</f>
        <v>255.60400630796065</v>
      </c>
      <c r="EW176" s="211">
        <f>[12]RUS!$AM$9</f>
        <v>1057.7377138888887</v>
      </c>
      <c r="EY176" s="111">
        <f t="shared" si="121"/>
        <v>1057.7377138888887</v>
      </c>
      <c r="EZ176" s="111">
        <f>IF($BI$8=2015,VLOOKUP($L176,'[12]IMAGE CDLINKS 1_5C'!$P$3:$Y$29,10,FALSE)*$AM176,VLOOKUP($L176,'[12]IMAGE CDLINKS 1_5C'!$Z$3:$AI$29,10,FALSE)*$AP176)</f>
        <v>242.93067269320878</v>
      </c>
      <c r="FA176" s="192"/>
    </row>
    <row r="177" spans="1:157" x14ac:dyDescent="0.25">
      <c r="A177" t="str">
        <f>IF([12]NDCs!C179="","",[12]NDCs!C179)</f>
        <v>G</v>
      </c>
      <c r="B177" s="159" t="str">
        <f t="shared" si="112"/>
        <v>v</v>
      </c>
      <c r="C177">
        <v>0</v>
      </c>
      <c r="D177">
        <v>0</v>
      </c>
      <c r="E177">
        <v>0</v>
      </c>
      <c r="F177">
        <v>1</v>
      </c>
      <c r="G177" t="b">
        <f t="shared" si="113"/>
        <v>0</v>
      </c>
      <c r="H177" t="s">
        <v>2328</v>
      </c>
      <c r="I177" t="s">
        <v>383</v>
      </c>
      <c r="J177">
        <v>646</v>
      </c>
      <c r="K177">
        <v>168</v>
      </c>
      <c r="L177">
        <v>9</v>
      </c>
      <c r="M177" t="str">
        <f>IF([12]NDCs!AL179="Excluding","excl","incl")</f>
        <v>excl</v>
      </c>
      <c r="N177" s="160">
        <f>[12]GHG_hist!BA167+IF($M177="incl",[12]LULUCF_hist!CR167,0)</f>
        <v>3.8214190000000001</v>
      </c>
      <c r="O177" s="111">
        <f>[12]GHG_hist!BB167+IF($M177="incl",[12]LULUCF_hist!CS167,0)</f>
        <v>3.7433068</v>
      </c>
      <c r="P177" s="111">
        <f>[12]GHG_hist!BC167+IF($M177="incl",[12]LULUCF_hist!CT167,0)</f>
        <v>3.659424</v>
      </c>
      <c r="Q177" s="111">
        <f>[12]GHG_hist!BD167+IF($M177="incl",[12]LULUCF_hist!CU167,0)</f>
        <v>3.5320654</v>
      </c>
      <c r="R177" s="111">
        <f>[12]GHG_hist!BE167+IF($M177="incl",[12]LULUCF_hist!CV167,0)</f>
        <v>3.3817111</v>
      </c>
      <c r="S177" s="111">
        <f>[12]GHG_hist!BF167+IF($M177="incl",[12]LULUCF_hist!CW167,0)</f>
        <v>3.0077522000000001</v>
      </c>
      <c r="T177" s="111">
        <f>[12]GHG_hist!BG167+IF($M177="incl",[12]LULUCF_hist!CX167,0)</f>
        <v>3.1979063999999999</v>
      </c>
      <c r="U177" s="111">
        <f>[12]GHG_hist!BH167+IF($M177="incl",[12]LULUCF_hist!CY167,0)</f>
        <v>3.4997501999999998</v>
      </c>
      <c r="V177" s="111">
        <f>[12]GHG_hist!BI167+IF($M177="incl",[12]LULUCF_hist!CZ167,0)</f>
        <v>3.5806863</v>
      </c>
      <c r="W177" s="111">
        <f>[12]GHG_hist!BJ167+IF($M177="incl",[12]LULUCF_hist!DA167,0)</f>
        <v>3.9284450999999998</v>
      </c>
      <c r="X177" s="111">
        <f>[12]GHG_hist!BK167+IF($M177="incl",[12]LULUCF_hist!DB167,0)</f>
        <v>3.7649522000000002</v>
      </c>
      <c r="Y177" s="111">
        <f>[12]GHG_hist!BL167+IF($M177="incl",[12]LULUCF_hist!DC167,0)</f>
        <v>3.9518845000000002</v>
      </c>
      <c r="Z177" s="111">
        <f>[12]GHG_hist!BM167+IF($M177="incl",[12]LULUCF_hist!DD167,0)</f>
        <v>4.1106503000000005</v>
      </c>
      <c r="AA177" s="111">
        <f>[12]GHG_hist!BN167+IF($M177="incl",[12]LULUCF_hist!DE167,0)</f>
        <v>4.3920453999999998</v>
      </c>
      <c r="AB177" s="111">
        <f>[12]GHG_hist!BO167+IF($M177="incl",[12]LULUCF_hist!DF167,0)</f>
        <v>4.6205644000000001</v>
      </c>
      <c r="AC177" s="111">
        <f>[12]GHG_hist!BP167+IF($M177="incl",[12]LULUCF_hist!DG167,0)</f>
        <v>4.7800656000000004</v>
      </c>
      <c r="AD177" s="111">
        <f>[12]GHG_hist!BQ167+IF($M177="incl",[12]LULUCF_hist!DH167,0)</f>
        <v>4.7676470000000002</v>
      </c>
      <c r="AE177" s="111">
        <f>[12]GHG_hist!BR167+IF($M177="incl",[12]LULUCF_hist!DI167,0)</f>
        <v>5.1834161999999999</v>
      </c>
      <c r="AF177" s="111">
        <f>[12]GHG_hist!BS167+IF($M177="incl",[12]LULUCF_hist!DJ167,0)</f>
        <v>5.4703150999999997</v>
      </c>
      <c r="AG177" s="111">
        <f>[12]GHG_hist!BT167+IF($M177="incl",[12]LULUCF_hist!DK167,0)</f>
        <v>5.7746607000000001</v>
      </c>
      <c r="AH177" s="111">
        <f>[12]GHG_hist!BU167+IF($M177="incl",[12]LULUCF_hist!DL167,0)</f>
        <v>6.0517686000000008</v>
      </c>
      <c r="AI177" s="111">
        <f>[12]GHG_hist!BV167+IF($M177="incl",[12]LULUCF_hist!DM167,0)</f>
        <v>5.8438203999999994</v>
      </c>
      <c r="AJ177" s="111">
        <f>[12]GHG_hist!BW167+IF($M177="incl",[12]LULUCF_hist!DN167,0)</f>
        <v>6.0071235999999999</v>
      </c>
      <c r="AK177" s="111">
        <f>[12]GHG_hist!BX167+IF($M177="incl",[12]LULUCF_hist!DO167,0)</f>
        <v>6.2546659</v>
      </c>
      <c r="AL177" s="111">
        <f>[12]GHG_hist!BY167+IF($M177="incl",[12]LULUCF_hist!DP167,0)</f>
        <v>6.4817678000000001</v>
      </c>
      <c r="AM177" s="111">
        <f>[12]GHG_hist!BZ167+IF($M177="incl",[12]LULUCF_hist!DQ167,0)</f>
        <v>7.0522723999999997</v>
      </c>
      <c r="AN177" s="111">
        <f>[12]GHG_hist!CA167+IF($M177="incl",[12]LULUCF_hist!DR167,0)</f>
        <v>7.0111742999999995</v>
      </c>
      <c r="AO177" s="111">
        <f>[12]GHG_hist!CB167+IF($M177="incl",[12]LULUCF_hist!DS167,0)</f>
        <v>7.3402362999999999</v>
      </c>
      <c r="AP177" s="111">
        <f>[12]GHG_hist!CC167+IF($M177="incl",[12]LULUCF_hist!DT167,0)</f>
        <v>8.6846543999999994</v>
      </c>
      <c r="AQ177" s="111">
        <f>[12]GHG_hist!CD167+IF($M177="incl",[12]LULUCF_hist!DU167,0)</f>
        <v>8.8752305000000007</v>
      </c>
      <c r="AR177" s="111">
        <f>[12]GHG_hist!CE167+IF($M177="incl",[12]LULUCF_hist!DV167,0)</f>
        <v>8.7845288000000004</v>
      </c>
      <c r="AS177" s="111">
        <f>[12]GHG_hist!CF167+IF($M177="incl",[12]LULUCF_hist!DW167,0)</f>
        <v>9.1180831999999992</v>
      </c>
      <c r="AT177" s="161">
        <f>VLOOKUP($L177,'[12]IMAGE SSP2'!$AF$3:$AK$29,4,FALSE)*$AM177</f>
        <v>8.0663983720078445</v>
      </c>
      <c r="AU177" s="162">
        <f>VLOOKUP($L177,'[12]IMAGE SSP2'!$AF$3:$AK$29,5,FALSE)*$AM177</f>
        <v>9.2406400402537408</v>
      </c>
      <c r="AV177" s="163">
        <f>VLOOKUP($L177,'[12]IMAGE SSP2'!$AF$3:$AK$29,6,FALSE)*$AM177</f>
        <v>10.714586915538415</v>
      </c>
      <c r="AW177" s="111" t="str">
        <f t="shared" si="119"/>
        <v/>
      </c>
      <c r="AX177" s="164" t="str">
        <f>IF(A177="B",IF(M177="excl",[12]NatCom!CO167,[12]NatCom!AX167),"")</f>
        <v/>
      </c>
      <c r="AY177" s="111" t="str">
        <f>IF('[12]Pledge 2020'!E167="","",'[12]Pledge 2020'!E167)</f>
        <v/>
      </c>
      <c r="AZ177" s="164" t="str">
        <f>IF('[12]Pledge 2020'!F167="","",'[12]Pledge 2020'!F167)</f>
        <v/>
      </c>
      <c r="BA177" s="111" t="str">
        <f t="shared" si="100"/>
        <v/>
      </c>
      <c r="BB177" s="111"/>
      <c r="BC177" s="111" t="str">
        <f t="shared" si="101"/>
        <v/>
      </c>
      <c r="BD177" s="111"/>
      <c r="BE177" s="111" t="s">
        <v>2477</v>
      </c>
      <c r="BF177" s="111"/>
      <c r="BG177" s="111" t="s">
        <v>2477</v>
      </c>
      <c r="BH177" s="164"/>
      <c r="BI177" s="111" t="str">
        <f>IF([12]NDCs!V179="",IF([12]NDCs!X179="","",[12]NDCs!X179),[12]NDCs!V179)</f>
        <v/>
      </c>
      <c r="BJ177" s="111" t="str">
        <f>IF([12]NDCs!V179="",IF([12]NDCs!X179="","",[12]NDCs!X179),[12]NDCs!V179)</f>
        <v/>
      </c>
      <c r="BK177" s="111" t="str">
        <f>IF([12]NDCs!Z179="",IF([12]NDCs!AB179="",IF('input site'!BE177="","",'input site'!BE177),[12]NDCs!AB179),[12]NDCs!Z179)</f>
        <v/>
      </c>
      <c r="BL177" s="111" t="str">
        <f>IF([12]NDCs!AA179="",IF([12]NDCs!AC179="",IF('input site'!BF177="","",'input site'!BF177),[12]NDCs!AC179),[12]NDCs!AA179)</f>
        <v/>
      </c>
      <c r="BM177" s="111">
        <f>IF($BI$8=2015,VLOOKUP($L177,'[12]IMAGE CurPol SSP'!$AZ$3:$BD$29,4,FALSE)*$AM177,IF($BI$8=2018,VLOOKUP($L177,'[12]IMAGE CurPol SSP'!$BJ$3:$BN$29,4,FALSE)*$AP177,$AR177))</f>
        <v>8.7845288000000004</v>
      </c>
      <c r="BN177" s="111">
        <f t="shared" ref="BN177:BO180" si="133">IF($BI$8=2015,"",IF($BI$8=2018,"",$AR177))</f>
        <v>8.7845288000000004</v>
      </c>
      <c r="BO177" s="111">
        <f t="shared" si="133"/>
        <v>8.7845288000000004</v>
      </c>
      <c r="BP177" s="111">
        <f>IF($BI$8=2015,VLOOKUP($L177,'[12]IMAGE CurPol SSP'!$AZ$3:$BD$29,5,FALSE)*$AM177,IF($BI$8=2018,VLOOKUP($L177,'[12]IMAGE CurPol SSP'!$BJ$3:$BN$29,5,FALSE)*$AP177,VLOOKUP($L177,'[12]IMAGE CurPol SSP'!$BU$3:$BZ$29,5,FALSE)*$AS177))</f>
        <v>11.38953690324526</v>
      </c>
      <c r="BQ177" s="111">
        <f>IF($BI$8=2015,"",IF($BI$8=2018,"",VLOOKUP($L177,'[12]IMAGE CurPol SSP'!$CQ$3:$CV$29,5,FALSE)*$AS177))</f>
        <v>11.309167562672373</v>
      </c>
      <c r="BR177" s="111">
        <f>IF($BI$8=2015,"",IF($BI$8=2018,"",VLOOKUP($L177,'[12]IMAGE CurPol SSP'!$CF$3:$CK$29,5,FALSE)*$AS177))</f>
        <v>11.557507213985627</v>
      </c>
      <c r="BS177" s="111">
        <f>IF($BI$8=2015,VLOOKUP($L177,'[12]IMAGE CurPol SSP'!$AZ$3:$BE$29,6,FALSE)*$AM177,IF($BI$8=2018,VLOOKUP($L177,'[12]IMAGE CurPol SSP'!$BJ$3:$BO$29,6,FALSE)*$AP177,VLOOKUP($L177,'[12]IMAGE CurPol SSP'!$BU$3:$BZ$29,6,FALSE)*$AS177))</f>
        <v>14.350916159759359</v>
      </c>
      <c r="BT177" s="111">
        <f>IF($BI$8=2015,"",IF($BI$8=2018,"",VLOOKUP($L177,'[12]IMAGE CurPol SSP'!$CQ$3:$CV$29,6,FALSE)*$AS177))</f>
        <v>14.149607356305749</v>
      </c>
      <c r="BU177" s="164">
        <f>IF($BI$8=2015,"",IF($BI$8=2018,"",VLOOKUP($L177,'[12]IMAGE CurPol SSP'!$CF$3:$CK$29,6,FALSE)*$AS177))</f>
        <v>14.761290615902343</v>
      </c>
      <c r="CN177" t="s">
        <v>383</v>
      </c>
      <c r="CO177" s="165" t="str">
        <f t="shared" si="114"/>
        <v/>
      </c>
      <c r="CP177" s="165" t="str">
        <f t="shared" si="114"/>
        <v/>
      </c>
      <c r="CQ177" s="165" t="str">
        <f t="shared" si="114"/>
        <v/>
      </c>
      <c r="CR177" s="165" t="str">
        <f t="shared" si="114"/>
        <v/>
      </c>
      <c r="CV177" s="125" t="s">
        <v>621</v>
      </c>
      <c r="CW177" s="125" t="s">
        <v>621</v>
      </c>
      <c r="CX177"/>
      <c r="CY177" s="167">
        <f t="shared" si="115"/>
        <v>-0.71813042799215587</v>
      </c>
      <c r="DB177" s="106"/>
      <c r="DC177" s="106"/>
      <c r="DD177" s="106"/>
      <c r="DE177" s="106"/>
      <c r="DF177" s="106"/>
      <c r="DG177" s="105" t="str">
        <f t="shared" si="116"/>
        <v>excl</v>
      </c>
      <c r="DH177" t="s">
        <v>383</v>
      </c>
      <c r="DI177" s="111">
        <f t="shared" ref="DI177:DJ180" si="134">IF(AY177="",$BM177,AY177)-$BM177</f>
        <v>0</v>
      </c>
      <c r="DJ177" s="111">
        <f t="shared" si="134"/>
        <v>0</v>
      </c>
      <c r="DK177" s="111">
        <f>IF(BA177="",$BP177,BA177)-$BP177</f>
        <v>0</v>
      </c>
      <c r="DL177" s="111">
        <f>IF(BC177="",$BP177,BC177)-$BP177</f>
        <v>0</v>
      </c>
      <c r="DM177" s="111">
        <f>IF(BE177="",$BS177,BE177)-$BS177</f>
        <v>0</v>
      </c>
      <c r="DN177" s="111">
        <f>IF(BG177="",$BS177,BG177)-$BS177</f>
        <v>0</v>
      </c>
      <c r="DO177" s="111">
        <f>IF(BI177="",$BS177,BI177)-$BS177</f>
        <v>0</v>
      </c>
      <c r="DP177" s="111">
        <f>IF(BK177="",$BS177,BK177)-$BS177</f>
        <v>0</v>
      </c>
      <c r="DQ177" s="106"/>
      <c r="DR177" s="106"/>
      <c r="DS177" s="111"/>
      <c r="DT177" s="168"/>
      <c r="DW177" s="111">
        <f t="shared" si="117"/>
        <v>14.350916159759359</v>
      </c>
      <c r="DX177" s="111">
        <f t="shared" si="117"/>
        <v>14.350916159759359</v>
      </c>
      <c r="DY177" s="111">
        <f t="shared" si="117"/>
        <v>14.350916159759359</v>
      </c>
      <c r="DZ177" s="111">
        <f t="shared" si="117"/>
        <v>14.350916159759359</v>
      </c>
      <c r="EP177" t="s">
        <v>383</v>
      </c>
      <c r="EQ177">
        <v>4</v>
      </c>
      <c r="ER177" s="111">
        <f t="shared" si="118"/>
        <v>8.6846543999999994</v>
      </c>
      <c r="ES177" s="111">
        <f>IF($BI$8=2015,VLOOKUP($L177,'[12]IMAGE CDLINKS CurPol'!$P$3:$Y$29,10,FALSE)*$AM177,VLOOKUP($L177,'[12]IMAGE CDLINKS CurPol'!$Z$3:$AI$29,10,FALSE)*$AP177)</f>
        <v>18.93569965594115</v>
      </c>
      <c r="ET177" s="111">
        <f t="shared" si="124"/>
        <v>0</v>
      </c>
      <c r="EU177" s="111">
        <f t="shared" si="120"/>
        <v>0</v>
      </c>
      <c r="EV177" s="111">
        <f>IF($BI$8=2015,VLOOKUP($L177,'[12]IMAGE CDLINKS 2C'!$P$3:$Y$29,10,FALSE)*$AM177,VLOOKUP($L177,'[12]IMAGE CDLINKS 2C'!$Z$3:$AI$29,10,FALSE)*$AP177)</f>
        <v>10.177065761259756</v>
      </c>
      <c r="EX177" s="111"/>
      <c r="EY177" s="111">
        <f t="shared" si="121"/>
        <v>0</v>
      </c>
      <c r="EZ177" s="111">
        <f>IF($BI$8=2015,VLOOKUP($L177,'[12]IMAGE CDLINKS 1_5C'!$P$3:$Y$29,10,FALSE)*$AM177,VLOOKUP($L177,'[12]IMAGE CDLINKS 1_5C'!$Z$3:$AI$29,10,FALSE)*$AP177)</f>
        <v>9.2985113053951505</v>
      </c>
      <c r="FA177" s="192">
        <v>2050</v>
      </c>
    </row>
    <row r="178" spans="1:157" x14ac:dyDescent="0.25">
      <c r="A178" t="str">
        <f>IF([12]NDCs!C180="","",[12]NDCs!C180)</f>
        <v>G</v>
      </c>
      <c r="B178" s="159" t="str">
        <f t="shared" si="112"/>
        <v>v</v>
      </c>
      <c r="C178">
        <v>0</v>
      </c>
      <c r="D178">
        <v>0</v>
      </c>
      <c r="E178">
        <v>0</v>
      </c>
      <c r="F178">
        <v>1</v>
      </c>
      <c r="G178" t="b">
        <f t="shared" si="113"/>
        <v>0</v>
      </c>
      <c r="H178" t="s">
        <v>2328</v>
      </c>
      <c r="I178" t="s">
        <v>385</v>
      </c>
      <c r="J178">
        <v>882</v>
      </c>
      <c r="K178">
        <v>221</v>
      </c>
      <c r="L178">
        <v>24</v>
      </c>
      <c r="M178" t="str">
        <f>IF([12]NDCs!AL180="Excluding","excl","incl")</f>
        <v>excl</v>
      </c>
      <c r="N178" s="160">
        <f>[12]GHG_hist!BA168+IF($M178="incl",[12]LULUCF_hist!CR168,0)</f>
        <v>0.17370103000000001</v>
      </c>
      <c r="O178" s="111">
        <f>[12]GHG_hist!BB168+IF($M178="incl",[12]LULUCF_hist!CS168,0)</f>
        <v>0.17741669999999998</v>
      </c>
      <c r="P178" s="111">
        <f>[12]GHG_hist!BC168+IF($M178="incl",[12]LULUCF_hist!CT168,0)</f>
        <v>0.1795601</v>
      </c>
      <c r="Q178" s="111">
        <f>[12]GHG_hist!BD168+IF($M178="incl",[12]LULUCF_hist!CU168,0)</f>
        <v>0.18104931999999999</v>
      </c>
      <c r="R178" s="111">
        <f>[12]GHG_hist!BE168+IF($M178="incl",[12]LULUCF_hist!CV168,0)</f>
        <v>0.18197055000000001</v>
      </c>
      <c r="S178" s="111">
        <f>[12]GHG_hist!BF168+IF($M178="incl",[12]LULUCF_hist!CW168,0)</f>
        <v>0.20506928999999999</v>
      </c>
      <c r="T178" s="111">
        <f>[12]GHG_hist!BG168+IF($M178="incl",[12]LULUCF_hist!CX168,0)</f>
        <v>0.21112881</v>
      </c>
      <c r="U178" s="111">
        <f>[12]GHG_hist!BH168+IF($M178="incl",[12]LULUCF_hist!CY168,0)</f>
        <v>0.21695775</v>
      </c>
      <c r="V178" s="111">
        <f>[12]GHG_hist!BI168+IF($M178="incl",[12]LULUCF_hist!CZ168,0)</f>
        <v>0.23256830000000001</v>
      </c>
      <c r="W178" s="111">
        <f>[12]GHG_hist!BJ168+IF($M178="incl",[12]LULUCF_hist!DA168,0)</f>
        <v>0.25285385999999999</v>
      </c>
      <c r="X178" s="111">
        <f>[12]GHG_hist!BK168+IF($M178="incl",[12]LULUCF_hist!DB168,0)</f>
        <v>0.28872010999999997</v>
      </c>
      <c r="Y178" s="111">
        <f>[12]GHG_hist!BL168+IF($M178="incl",[12]LULUCF_hist!DC168,0)</f>
        <v>0.31211475999999999</v>
      </c>
      <c r="Z178" s="111">
        <f>[12]GHG_hist!BM168+IF($M178="incl",[12]LULUCF_hist!DD168,0)</f>
        <v>0.33378627999999999</v>
      </c>
      <c r="AA178" s="111">
        <f>[12]GHG_hist!BN168+IF($M178="incl",[12]LULUCF_hist!DE168,0)</f>
        <v>0.34307377999999999</v>
      </c>
      <c r="AB178" s="111">
        <f>[12]GHG_hist!BO168+IF($M178="incl",[12]LULUCF_hist!DF168,0)</f>
        <v>0.34105293000000003</v>
      </c>
      <c r="AC178" s="111">
        <f>[12]GHG_hist!BP168+IF($M178="incl",[12]LULUCF_hist!DG168,0)</f>
        <v>0.35601904000000001</v>
      </c>
      <c r="AD178" s="111">
        <f>[12]GHG_hist!BQ168+IF($M178="incl",[12]LULUCF_hist!DH168,0)</f>
        <v>0.37074588000000003</v>
      </c>
      <c r="AE178" s="111">
        <f>[12]GHG_hist!BR168+IF($M178="incl",[12]LULUCF_hist!DI168,0)</f>
        <v>0.38159631000000005</v>
      </c>
      <c r="AF178" s="111">
        <f>[12]GHG_hist!BS168+IF($M178="incl",[12]LULUCF_hist!DJ168,0)</f>
        <v>0.37944823999999999</v>
      </c>
      <c r="AG178" s="111">
        <f>[12]GHG_hist!BT168+IF($M178="incl",[12]LULUCF_hist!DK168,0)</f>
        <v>0.39744484999999996</v>
      </c>
      <c r="AH178" s="111">
        <f>[12]GHG_hist!BU168+IF($M178="incl",[12]LULUCF_hist!DL168,0)</f>
        <v>0.41361916000000004</v>
      </c>
      <c r="AI178" s="111">
        <f>[12]GHG_hist!BV168+IF($M178="incl",[12]LULUCF_hist!DM168,0)</f>
        <v>0.43784987000000003</v>
      </c>
      <c r="AJ178" s="111">
        <f>[12]GHG_hist!BW168+IF($M178="incl",[12]LULUCF_hist!DN168,0)</f>
        <v>0.44108190000000003</v>
      </c>
      <c r="AK178" s="111">
        <f>[12]GHG_hist!BX168+IF($M178="incl",[12]LULUCF_hist!DO168,0)</f>
        <v>0.44601911</v>
      </c>
      <c r="AL178" s="111">
        <f>[12]GHG_hist!BY168+IF($M178="incl",[12]LULUCF_hist!DP168,0)</f>
        <v>0.45854429000000002</v>
      </c>
      <c r="AM178" s="111">
        <f>[12]GHG_hist!BZ168+IF($M178="incl",[12]LULUCF_hist!DQ168,0)</f>
        <v>0.50029765000000004</v>
      </c>
      <c r="AN178" s="111">
        <f>[12]GHG_hist!CA168+IF($M178="incl",[12]LULUCF_hist!DR168,0)</f>
        <v>0.48929681000000003</v>
      </c>
      <c r="AO178" s="111">
        <f>[12]GHG_hist!CB168+IF($M178="incl",[12]LULUCF_hist!DS168,0)</f>
        <v>0.49086689999999999</v>
      </c>
      <c r="AP178" s="111">
        <f>[12]GHG_hist!CC168+IF($M178="incl",[12]LULUCF_hist!DT168,0)</f>
        <v>0.50840523999999998</v>
      </c>
      <c r="AQ178" s="111">
        <f>[12]GHG_hist!CD168+IF($M178="incl",[12]LULUCF_hist!DU168,0)</f>
        <v>0.47790768000000006</v>
      </c>
      <c r="AR178" s="111">
        <f>[12]GHG_hist!CE168+IF($M178="incl",[12]LULUCF_hist!DV168,0)</f>
        <v>0.50960926000000006</v>
      </c>
      <c r="AS178" s="111">
        <f>[12]GHG_hist!CF168+IF($M178="incl",[12]LULUCF_hist!DW168,0)</f>
        <v>0.52251508000000002</v>
      </c>
      <c r="AT178" s="161">
        <f>VLOOKUP($L178,'[12]IMAGE SSP2'!$AF$3:$AK$29,4,FALSE)*$AM178</f>
        <v>0.53706410963835327</v>
      </c>
      <c r="AU178" s="162">
        <f>VLOOKUP($L178,'[12]IMAGE SSP2'!$AF$3:$AK$29,5,FALSE)*$AM178</f>
        <v>0.55137304639643492</v>
      </c>
      <c r="AV178" s="163">
        <f>VLOOKUP($L178,'[12]IMAGE SSP2'!$AF$3:$AK$29,6,FALSE)*$AM178</f>
        <v>0.55783027497271387</v>
      </c>
      <c r="AW178" s="111" t="str">
        <f t="shared" si="119"/>
        <v/>
      </c>
      <c r="AX178" s="164" t="str">
        <f>IF(A178="B",IF(M178="excl",[12]NatCom!CO168,[12]NatCom!AX168),"")</f>
        <v/>
      </c>
      <c r="AY178" s="111" t="str">
        <f>IF('[12]Pledge 2020'!E168="","",'[12]Pledge 2020'!E168)</f>
        <v/>
      </c>
      <c r="AZ178" s="164" t="str">
        <f>IF('[12]Pledge 2020'!F168="","",'[12]Pledge 2020'!F168)</f>
        <v/>
      </c>
      <c r="BA178" s="111" t="str">
        <f t="shared" si="100"/>
        <v/>
      </c>
      <c r="BB178" s="111"/>
      <c r="BC178" s="111" t="str">
        <f t="shared" si="101"/>
        <v/>
      </c>
      <c r="BD178" s="111"/>
      <c r="BE178" s="111" t="s">
        <v>2477</v>
      </c>
      <c r="BF178" s="111"/>
      <c r="BG178" s="111" t="s">
        <v>2477</v>
      </c>
      <c r="BH178" s="164"/>
      <c r="BI178" s="111" t="str">
        <f>IF([12]NDCs!V180="",IF([12]NDCs!X180="","",[12]NDCs!X180),[12]NDCs!V180)</f>
        <v/>
      </c>
      <c r="BJ178" s="111" t="str">
        <f>IF([12]NDCs!V180="",IF([12]NDCs!X180="","",[12]NDCs!X180),[12]NDCs!V180)</f>
        <v/>
      </c>
      <c r="BK178" s="111" t="str">
        <f>IF([12]NDCs!Z180="",IF([12]NDCs!AB180="",IF('input site'!BE178="","",'input site'!BE178),[12]NDCs!AB180),[12]NDCs!Z180)</f>
        <v/>
      </c>
      <c r="BL178" s="111" t="str">
        <f>IF([12]NDCs!AA180="",IF([12]NDCs!AC180="",IF('input site'!BF178="","",'input site'!BF178),[12]NDCs!AC180),[12]NDCs!AA180)</f>
        <v/>
      </c>
      <c r="BM178" s="111">
        <f>IF($BI$8=2015,VLOOKUP($L178,'[12]IMAGE CurPol SSP'!$AZ$3:$BD$29,4,FALSE)*$AM178,IF($BI$8=2018,VLOOKUP($L178,'[12]IMAGE CurPol SSP'!$BJ$3:$BN$29,4,FALSE)*$AP178,$AR178))</f>
        <v>0.50960926000000006</v>
      </c>
      <c r="BN178" s="111">
        <f t="shared" si="133"/>
        <v>0.50960926000000006</v>
      </c>
      <c r="BO178" s="111">
        <f t="shared" si="133"/>
        <v>0.50960926000000006</v>
      </c>
      <c r="BP178" s="111">
        <f>IF($BI$8=2015,VLOOKUP($L178,'[12]IMAGE CurPol SSP'!$AZ$3:$BD$29,5,FALSE)*$AM178,IF($BI$8=2018,VLOOKUP($L178,'[12]IMAGE CurPol SSP'!$BJ$3:$BN$29,5,FALSE)*$AP178,VLOOKUP($L178,'[12]IMAGE CurPol SSP'!$BU$3:$BZ$29,5,FALSE)*$AS178))</f>
        <v>0.53216242264156777</v>
      </c>
      <c r="BQ178" s="111">
        <f>IF($BI$8=2015,"",IF($BI$8=2018,"",VLOOKUP($L178,'[12]IMAGE CurPol SSP'!$CQ$3:$CV$29,5,FALSE)*$AS178))</f>
        <v>0.51810714619123721</v>
      </c>
      <c r="BR178" s="111">
        <f>IF($BI$8=2015,"",IF($BI$8=2018,"",VLOOKUP($L178,'[12]IMAGE CurPol SSP'!$CF$3:$CK$29,5,FALSE)*$AS178))</f>
        <v>0.53216242264156777</v>
      </c>
      <c r="BS178" s="111">
        <f>IF($BI$8=2015,VLOOKUP($L178,'[12]IMAGE CurPol SSP'!$AZ$3:$BE$29,6,FALSE)*$AM178,IF($BI$8=2018,VLOOKUP($L178,'[12]IMAGE CurPol SSP'!$BJ$3:$BO$29,6,FALSE)*$AP178,VLOOKUP($L178,'[12]IMAGE CurPol SSP'!$BU$3:$BZ$29,6,FALSE)*$AS178))</f>
        <v>0.54776751801890533</v>
      </c>
      <c r="BT178" s="111">
        <f>IF($BI$8=2015,"",IF($BI$8=2018,"",VLOOKUP($L178,'[12]IMAGE CurPol SSP'!$CQ$3:$CV$29,6,FALSE)*$AS178))</f>
        <v>0.50593907343875044</v>
      </c>
      <c r="BU178" s="164">
        <f>IF($BI$8=2015,"",IF($BI$8=2018,"",VLOOKUP($L178,'[12]IMAGE CurPol SSP'!$CF$3:$CK$29,6,FALSE)*$AS178))</f>
        <v>0.54776751801890533</v>
      </c>
      <c r="CN178" t="s">
        <v>385</v>
      </c>
      <c r="CO178" s="165" t="str">
        <f t="shared" si="114"/>
        <v/>
      </c>
      <c r="CP178" s="165" t="str">
        <f t="shared" si="114"/>
        <v/>
      </c>
      <c r="CQ178" s="165" t="str">
        <f t="shared" si="114"/>
        <v/>
      </c>
      <c r="CR178" s="165" t="str">
        <f t="shared" si="114"/>
        <v/>
      </c>
      <c r="CV178" s="125" t="s">
        <v>621</v>
      </c>
      <c r="CW178" s="125" t="s">
        <v>621</v>
      </c>
      <c r="CX178"/>
      <c r="CY178" s="167">
        <f t="shared" si="115"/>
        <v>2.7454849638353207E-2</v>
      </c>
      <c r="DB178" s="106"/>
      <c r="DC178" s="106"/>
      <c r="DD178" s="106"/>
      <c r="DE178" s="106"/>
      <c r="DF178" s="106"/>
      <c r="DG178" s="105" t="str">
        <f t="shared" si="116"/>
        <v>excl</v>
      </c>
      <c r="DH178" t="s">
        <v>385</v>
      </c>
      <c r="DI178" s="111">
        <f t="shared" si="134"/>
        <v>0</v>
      </c>
      <c r="DJ178" s="111">
        <f t="shared" si="134"/>
        <v>0</v>
      </c>
      <c r="DK178" s="111">
        <f>IF(BA178="",$BP178,BA178)-$BP178</f>
        <v>0</v>
      </c>
      <c r="DL178" s="111">
        <f>IF(BC178="",$BP178,BC178)-$BP178</f>
        <v>0</v>
      </c>
      <c r="DM178" s="111">
        <f>IF(BE178="",$BS178,BE178)-$BS178</f>
        <v>0</v>
      </c>
      <c r="DN178" s="111">
        <f>IF(BG178="",$BS178,BG178)-$BS178</f>
        <v>0</v>
      </c>
      <c r="DO178" s="111">
        <f>IF(BI178="",$BS178,BI178)-$BS178</f>
        <v>0</v>
      </c>
      <c r="DP178" s="111">
        <f>IF(BK178="",$BS178,BK178)-$BS178</f>
        <v>0</v>
      </c>
      <c r="DQ178" s="106"/>
      <c r="DR178" s="106"/>
      <c r="DS178" s="111"/>
      <c r="DT178" s="168"/>
      <c r="DW178" s="111">
        <f t="shared" si="117"/>
        <v>0.54776751801890533</v>
      </c>
      <c r="DX178" s="111">
        <f t="shared" si="117"/>
        <v>0.54776751801890533</v>
      </c>
      <c r="DY178" s="111">
        <f t="shared" si="117"/>
        <v>0.54776751801890533</v>
      </c>
      <c r="DZ178" s="111">
        <f t="shared" si="117"/>
        <v>0.54776751801890533</v>
      </c>
      <c r="EP178" t="s">
        <v>385</v>
      </c>
      <c r="EQ178">
        <v>1</v>
      </c>
      <c r="ER178" s="111">
        <f t="shared" si="118"/>
        <v>0.50840523999999998</v>
      </c>
      <c r="ES178" s="111">
        <f>IF($BI$8=2015,VLOOKUP($L178,'[12]IMAGE CDLINKS CurPol'!$P$3:$Y$29,10,FALSE)*$AM178,VLOOKUP($L178,'[12]IMAGE CDLINKS CurPol'!$Z$3:$AI$29,10,FALSE)*$AP178)</f>
        <v>0.52416902754773897</v>
      </c>
      <c r="ET178" s="111">
        <f t="shared" si="124"/>
        <v>0</v>
      </c>
      <c r="EU178" s="111">
        <f t="shared" si="120"/>
        <v>0.20145763125977778</v>
      </c>
      <c r="EV178" s="111">
        <f>IF($BI$8=2015,VLOOKUP($L178,'[12]IMAGE CDLINKS 2C'!$P$3:$Y$29,10,FALSE)*$AM178,VLOOKUP($L178,'[12]IMAGE CDLINKS 2C'!$Z$3:$AI$29,10,FALSE)*$AP178)</f>
        <v>0.20145763125977778</v>
      </c>
      <c r="EW178">
        <v>0</v>
      </c>
      <c r="EX178" s="111">
        <f>EW178-EV178</f>
        <v>-0.20145763125977778</v>
      </c>
      <c r="EY178" s="111">
        <f t="shared" si="121"/>
        <v>0</v>
      </c>
      <c r="EZ178" s="111">
        <f>IF($BI$8=2015,VLOOKUP($L178,'[12]IMAGE CDLINKS 1_5C'!$P$3:$Y$29,10,FALSE)*$AM178,VLOOKUP($L178,'[12]IMAGE CDLINKS 1_5C'!$Z$3:$AI$29,10,FALSE)*$AP178)</f>
        <v>8.7143254456692118E-2</v>
      </c>
      <c r="FA178" s="192">
        <v>2050</v>
      </c>
    </row>
    <row r="179" spans="1:157" x14ac:dyDescent="0.25">
      <c r="A179" t="str">
        <f>IF([12]NDCs!C181="","",[12]NDCs!C181)</f>
        <v>A</v>
      </c>
      <c r="B179" s="159" t="str">
        <f t="shared" si="112"/>
        <v>v</v>
      </c>
      <c r="C179">
        <v>0</v>
      </c>
      <c r="D179">
        <v>0</v>
      </c>
      <c r="E179">
        <v>0</v>
      </c>
      <c r="F179">
        <v>0</v>
      </c>
      <c r="G179" t="b">
        <f t="shared" si="113"/>
        <v>1</v>
      </c>
      <c r="H179" t="s">
        <v>2333</v>
      </c>
      <c r="I179" t="s">
        <v>387</v>
      </c>
      <c r="J179">
        <v>674</v>
      </c>
      <c r="K179">
        <v>175</v>
      </c>
      <c r="L179">
        <v>11</v>
      </c>
      <c r="M179" t="str">
        <f>IF([12]NDCs!AL181="Excluding","excl","incl")</f>
        <v>incl</v>
      </c>
      <c r="N179" s="160">
        <f>[12]GHG_hist!BA169+IF($M179="incl",[12]LULUCF_hist!CR169,0)</f>
        <v>0.21452054000000001</v>
      </c>
      <c r="O179" s="111">
        <f>[12]GHG_hist!BB169+IF($M179="incl",[12]LULUCF_hist!CS169,0)</f>
        <v>0.22058064000000002</v>
      </c>
      <c r="P179" s="111">
        <f>[12]GHG_hist!BC169+IF($M179="incl",[12]LULUCF_hist!CT169,0)</f>
        <v>0.22110560000000001</v>
      </c>
      <c r="Q179" s="111">
        <f>[12]GHG_hist!BD169+IF($M179="incl",[12]LULUCF_hist!CU169,0)</f>
        <v>0.22002193000000003</v>
      </c>
      <c r="R179" s="111">
        <f>[12]GHG_hist!BE169+IF($M179="incl",[12]LULUCF_hist!CV169,0)</f>
        <v>0.22161776</v>
      </c>
      <c r="S179" s="111">
        <f>[12]GHG_hist!BF169+IF($M179="incl",[12]LULUCF_hist!CW169,0)</f>
        <v>0.23843611000000001</v>
      </c>
      <c r="T179" s="111">
        <f>[12]GHG_hist!BG169+IF($M179="incl",[12]LULUCF_hist!CX169,0)</f>
        <v>0.23876139000000002</v>
      </c>
      <c r="U179" s="111">
        <f>[12]GHG_hist!BH169+IF($M179="incl",[12]LULUCF_hist!CY169,0)</f>
        <v>0.24439150000000001</v>
      </c>
      <c r="V179" s="111">
        <f>[12]GHG_hist!BI169+IF($M179="incl",[12]LULUCF_hist!CZ169,0)</f>
        <v>0.25190739000000001</v>
      </c>
      <c r="W179" s="111">
        <f>[12]GHG_hist!BJ169+IF($M179="incl",[12]LULUCF_hist!DA169,0)</f>
        <v>0.25638632</v>
      </c>
      <c r="X179" s="111">
        <f>[12]GHG_hist!BK169+IF($M179="incl",[12]LULUCF_hist!DB169,0)</f>
        <v>0.26241117000000003</v>
      </c>
      <c r="Y179" s="111">
        <f>[12]GHG_hist!BL169+IF($M179="incl",[12]LULUCF_hist!DC169,0)</f>
        <v>0.26177632000000001</v>
      </c>
      <c r="Z179" s="111">
        <f>[12]GHG_hist!BM169+IF($M179="incl",[12]LULUCF_hist!DD169,0)</f>
        <v>0.26305202000000005</v>
      </c>
      <c r="AA179" s="111">
        <f>[12]GHG_hist!BN169+IF($M179="incl",[12]LULUCF_hist!DE169,0)</f>
        <v>0.27210630000000002</v>
      </c>
      <c r="AB179" s="111">
        <f>[12]GHG_hist!BO169+IF($M179="incl",[12]LULUCF_hist!DF169,0)</f>
        <v>0.27344226999999999</v>
      </c>
      <c r="AC179" s="111">
        <f>[12]GHG_hist!BP169+IF($M179="incl",[12]LULUCF_hist!DG169,0)</f>
        <v>0.27601125000000004</v>
      </c>
      <c r="AD179" s="111">
        <f>[12]GHG_hist!BQ169+IF($M179="incl",[12]LULUCF_hist!DH169,0)</f>
        <v>0.27307521000000001</v>
      </c>
      <c r="AE179" s="111">
        <f>[12]GHG_hist!BR169+IF($M179="incl",[12]LULUCF_hist!DI169,0)</f>
        <v>0.27216068999999998</v>
      </c>
      <c r="AF179" s="111">
        <f>[12]GHG_hist!BS169+IF($M179="incl",[12]LULUCF_hist!DJ169,0)</f>
        <v>0.26372701000000004</v>
      </c>
      <c r="AG179" s="111">
        <f>[12]GHG_hist!BT169+IF($M179="incl",[12]LULUCF_hist!DK169,0)</f>
        <v>0.23810278999999998</v>
      </c>
      <c r="AH179" s="111">
        <f>[12]GHG_hist!BU169+IF($M179="incl",[12]LULUCF_hist!DL169,0)</f>
        <v>0.24097306000000002</v>
      </c>
      <c r="AI179" s="111">
        <f>[12]GHG_hist!BV169+IF($M179="incl",[12]LULUCF_hist!DM169,0)</f>
        <v>0.24136082571428574</v>
      </c>
      <c r="AJ179" s="111">
        <f>[12]GHG_hist!BW169+IF($M179="incl",[12]LULUCF_hist!DN169,0)</f>
        <v>0.22922071844155847</v>
      </c>
      <c r="AK179" s="111">
        <f>[12]GHG_hist!BX169+IF($M179="incl",[12]LULUCF_hist!DO169,0)</f>
        <v>0.20900962116883115</v>
      </c>
      <c r="AL179" s="111">
        <f>[12]GHG_hist!BY169+IF($M179="incl",[12]LULUCF_hist!DP169,0)</f>
        <v>0.19638983389610393</v>
      </c>
      <c r="AM179" s="111">
        <f>[12]GHG_hist!BZ169+IF($M179="incl",[12]LULUCF_hist!DQ169,0)</f>
        <v>0.20292022662337661</v>
      </c>
      <c r="AN179" s="111">
        <f>[12]GHG_hist!CA169+IF($M179="incl",[12]LULUCF_hist!DR169,0)</f>
        <v>0.20081785935064936</v>
      </c>
      <c r="AO179" s="111">
        <f>[12]GHG_hist!CB169+IF($M179="incl",[12]LULUCF_hist!DS169,0)</f>
        <v>0.20030116207792209</v>
      </c>
      <c r="AP179" s="111">
        <f>[12]GHG_hist!CC169+IF($M179="incl",[12]LULUCF_hist!DT169,0)</f>
        <v>0.19845771480519478</v>
      </c>
      <c r="AQ179" s="111">
        <f>[12]GHG_hist!CD169+IF($M179="incl",[12]LULUCF_hist!DU169,0)</f>
        <v>0.19466691753246751</v>
      </c>
      <c r="AR179" s="111">
        <f>[12]GHG_hist!CE169+IF($M179="incl",[12]LULUCF_hist!DV169,0)</f>
        <v>0.17444067025974028</v>
      </c>
      <c r="AS179" s="111">
        <f>[12]GHG_hist!CF169+IF($M179="incl",[12]LULUCF_hist!DW169,0)</f>
        <v>0.18172319298701306</v>
      </c>
      <c r="AT179" s="161">
        <f>VLOOKUP($L179,'[12]IMAGE SSP2'!$AF$3:$AK$29,4,FALSE)*$AM179</f>
        <v>0.19731911091381696</v>
      </c>
      <c r="AU179" s="162">
        <f>VLOOKUP($L179,'[12]IMAGE SSP2'!$AF$3:$AK$29,5,FALSE)*$AM179</f>
        <v>0.19078758439122531</v>
      </c>
      <c r="AV179" s="163">
        <f>VLOOKUP($L179,'[12]IMAGE SSP2'!$AF$3:$AK$29,6,FALSE)*$AM179</f>
        <v>0.1897260170400546</v>
      </c>
      <c r="AW179" s="111" t="str">
        <f t="shared" si="119"/>
        <v/>
      </c>
      <c r="AX179" s="164" t="str">
        <f>IF(A179="B",IF(M179="excl",[12]NatCom!CO169,[12]NatCom!AX169),"")</f>
        <v/>
      </c>
      <c r="AY179" s="111" t="str">
        <f>IF('[12]Pledge 2020'!E169="","",'[12]Pledge 2020'!E169)</f>
        <v/>
      </c>
      <c r="AZ179" s="164" t="str">
        <f>IF('[12]Pledge 2020'!F169="","",'[12]Pledge 2020'!F169)</f>
        <v/>
      </c>
      <c r="BA179" s="111" t="str">
        <f t="shared" si="100"/>
        <v/>
      </c>
      <c r="BB179" s="111"/>
      <c r="BC179" s="111">
        <f t="shared" si="101"/>
        <v>0.18804326500000001</v>
      </c>
      <c r="BD179" s="111">
        <f t="shared" ref="BD179:BD184" si="135">IF(BH179="","",(BH179-AH179)*0.75+AH179)</f>
        <v>0.18804326500000001</v>
      </c>
      <c r="BE179" s="111" t="s">
        <v>2477</v>
      </c>
      <c r="BF179" s="111"/>
      <c r="BG179" s="111">
        <v>0.1704</v>
      </c>
      <c r="BH179" s="164">
        <v>0.1704</v>
      </c>
      <c r="BI179" s="111" t="str">
        <f>IF([12]NDCs!V181="",IF([12]NDCs!X181="","",[12]NDCs!X181),[12]NDCs!V181)</f>
        <v/>
      </c>
      <c r="BJ179" s="111" t="str">
        <f>IF([12]NDCs!V181="",IF([12]NDCs!X181="","",[12]NDCs!X181),[12]NDCs!V181)</f>
        <v/>
      </c>
      <c r="BK179" s="111">
        <f>IF([12]NDCs!Z181="",IF([12]NDCs!AB181="",IF('input site'!BE179="","",'input site'!BE179),[12]NDCs!AB181),[12]NDCs!Z181)</f>
        <v>0.1704</v>
      </c>
      <c r="BL179" s="111">
        <f>IF([12]NDCs!AA181="",IF([12]NDCs!AC181="",IF('input site'!BF179="","",'input site'!BF179),[12]NDCs!AC181),[12]NDCs!AA181)</f>
        <v>0.1704</v>
      </c>
      <c r="BM179" s="111">
        <f>IF($BI$8=2015,VLOOKUP($L179,'[12]IMAGE CurPol SSP'!$AZ$3:$BD$29,4,FALSE)*$AM179,IF($BI$8=2018,VLOOKUP($L179,'[12]IMAGE CurPol SSP'!$BJ$3:$BN$29,4,FALSE)*$AP179,$AR179))</f>
        <v>0.17444067025974028</v>
      </c>
      <c r="BN179" s="111">
        <f t="shared" si="133"/>
        <v>0.17444067025974028</v>
      </c>
      <c r="BO179" s="111">
        <f t="shared" si="133"/>
        <v>0.17444067025974028</v>
      </c>
      <c r="BP179" s="111">
        <f>IF($BI$8=2015,VLOOKUP($L179,'[12]IMAGE CurPol SSP'!$AZ$3:$BD$29,5,FALSE)*$AM179,IF($BI$8=2018,VLOOKUP($L179,'[12]IMAGE CurPol SSP'!$BJ$3:$BN$29,5,FALSE)*$AP179,VLOOKUP($L179,'[12]IMAGE CurPol SSP'!$BU$3:$BZ$29,5,FALSE)*$AS179))</f>
        <v>0.14740288706799043</v>
      </c>
      <c r="BQ179" s="111">
        <f>IF($BI$8=2015,"",IF($BI$8=2018,"",VLOOKUP($L179,'[12]IMAGE CurPol SSP'!$CQ$3:$CV$29,5,FALSE)*$AS179))</f>
        <v>0.14325815101328512</v>
      </c>
      <c r="BR179" s="111">
        <f>IF($BI$8=2015,"",IF($BI$8=2018,"",VLOOKUP($L179,'[12]IMAGE CurPol SSP'!$CF$3:$CK$29,5,FALSE)*$AS179))</f>
        <v>0.149920112456293</v>
      </c>
      <c r="BS179" s="111">
        <f>IF($BI$8=2015,VLOOKUP($L179,'[12]IMAGE CurPol SSP'!$AZ$3:$BE$29,6,FALSE)*$AM179,IF($BI$8=2018,VLOOKUP($L179,'[12]IMAGE CurPol SSP'!$BJ$3:$BO$29,6,FALSE)*$AP179,VLOOKUP($L179,'[12]IMAGE CurPol SSP'!$BU$3:$BZ$29,6,FALSE)*$AS179))</f>
        <v>0.10139236611912515</v>
      </c>
      <c r="BT179" s="111">
        <f>IF($BI$8=2015,"",IF($BI$8=2018,"",VLOOKUP($L179,'[12]IMAGE CurPol SSP'!$CQ$3:$CV$29,6,FALSE)*$AS179))</f>
        <v>9.481786965547237E-2</v>
      </c>
      <c r="BU179" s="164">
        <f>IF($BI$8=2015,"",IF($BI$8=2018,"",VLOOKUP($L179,'[12]IMAGE CurPol SSP'!$CF$3:$CK$29,6,FALSE)*$AS179))</f>
        <v>0.10655814252531294</v>
      </c>
      <c r="CN179" t="s">
        <v>387</v>
      </c>
      <c r="CO179" s="165" t="str">
        <f t="shared" si="114"/>
        <v/>
      </c>
      <c r="CP179" s="165" t="str">
        <f t="shared" si="114"/>
        <v/>
      </c>
      <c r="CQ179" s="165">
        <f t="shared" si="114"/>
        <v>0.68059989644386332</v>
      </c>
      <c r="CR179" s="165">
        <f t="shared" si="114"/>
        <v>0.68059989644386332</v>
      </c>
      <c r="CV179" s="125" t="s">
        <v>621</v>
      </c>
      <c r="CW179" s="125" t="s">
        <v>621</v>
      </c>
      <c r="CX179"/>
      <c r="CY179" s="167">
        <f t="shared" si="115"/>
        <v>2.2878440654076682E-2</v>
      </c>
      <c r="DB179" s="106"/>
      <c r="DC179" s="106"/>
      <c r="DD179" s="106"/>
      <c r="DE179" s="106"/>
      <c r="DF179" s="106"/>
      <c r="DG179" s="105" t="str">
        <f t="shared" si="116"/>
        <v>incl</v>
      </c>
      <c r="DH179" t="s">
        <v>387</v>
      </c>
      <c r="DI179" s="111">
        <f t="shared" si="134"/>
        <v>0</v>
      </c>
      <c r="DJ179" s="111">
        <f t="shared" si="134"/>
        <v>0</v>
      </c>
      <c r="DK179" s="111">
        <f>IF(BA179="",$BP179,BA179)-$BP179</f>
        <v>0</v>
      </c>
      <c r="DL179" s="111">
        <f>IF(BC179="",$BP179,BC179)-$BP179</f>
        <v>4.0640377932009586E-2</v>
      </c>
      <c r="DM179" s="111">
        <f>IF(BE179="",$BS179,BE179)-$BS179</f>
        <v>0</v>
      </c>
      <c r="DN179" s="111">
        <f>IF(BG179="",$BS179,BG179)-$BS179</f>
        <v>6.9007633880874844E-2</v>
      </c>
      <c r="DO179" s="111">
        <f>IF(BI179="",$BS179,BI179)-$BS179</f>
        <v>0</v>
      </c>
      <c r="DP179" s="111">
        <f>IF(BK179="",$BS179,BK179)-$BS179</f>
        <v>6.9007633880874844E-2</v>
      </c>
      <c r="DQ179" s="106"/>
      <c r="DR179" s="106"/>
      <c r="DS179" s="111">
        <f>[12]GHG_hist!BZ169+IF($M179="incl",[12]LULUCF_hist!DQ169,0)</f>
        <v>0.20292022662337661</v>
      </c>
      <c r="DT179" s="168">
        <f>IF($M179="incl",'[12]IIASA Proj'!EQ169,0)</f>
        <v>0</v>
      </c>
      <c r="DW179" s="111">
        <f t="shared" si="117"/>
        <v>0.10139236611912515</v>
      </c>
      <c r="DX179" s="111">
        <f t="shared" si="117"/>
        <v>0.10139236611912515</v>
      </c>
      <c r="DY179" s="111">
        <f t="shared" si="117"/>
        <v>0.1704</v>
      </c>
      <c r="DZ179" s="111">
        <f t="shared" si="117"/>
        <v>0.1704</v>
      </c>
      <c r="EP179" t="s">
        <v>387</v>
      </c>
      <c r="EQ179">
        <v>0</v>
      </c>
      <c r="ER179" s="111">
        <f t="shared" si="118"/>
        <v>0.19845771480519478</v>
      </c>
      <c r="ES179" s="111">
        <f>IF($BI$8=2015,VLOOKUP($L179,'[12]IMAGE CDLINKS CurPol'!$P$3:$Y$29,10,FALSE)*$AM179,VLOOKUP($L179,'[12]IMAGE CDLINKS CurPol'!$Z$3:$AI$29,10,FALSE)*$AP179)</f>
        <v>0.19017077107158467</v>
      </c>
      <c r="ET179" s="111">
        <f t="shared" si="124"/>
        <v>0.19017077107158467</v>
      </c>
      <c r="EU179" s="111">
        <f t="shared" si="120"/>
        <v>4.0517649287852751E-2</v>
      </c>
      <c r="EV179" s="111">
        <f>IF($BI$8=2015,VLOOKUP($L179,'[12]IMAGE CDLINKS 2C'!$P$3:$Y$29,10,FALSE)*$AM179,VLOOKUP($L179,'[12]IMAGE CDLINKS 2C'!$Z$3:$AI$29,10,FALSE)*$AP179)</f>
        <v>4.0517649287852751E-2</v>
      </c>
      <c r="EY179" s="111">
        <f t="shared" si="121"/>
        <v>2.2411280333168367E-2</v>
      </c>
      <c r="EZ179" s="111">
        <f>IF($BI$8=2015,VLOOKUP($L179,'[12]IMAGE CDLINKS 1_5C'!$P$3:$Y$29,10,FALSE)*$AM179,VLOOKUP($L179,'[12]IMAGE CDLINKS 1_5C'!$Z$3:$AI$29,10,FALSE)*$AP179)</f>
        <v>2.2411280333168367E-2</v>
      </c>
      <c r="FA179" s="192"/>
    </row>
    <row r="180" spans="1:157" x14ac:dyDescent="0.25">
      <c r="A180" t="str">
        <f>IF([12]NDCs!C182="","",[12]NDCs!C182)</f>
        <v>B</v>
      </c>
      <c r="B180" s="159" t="str">
        <f t="shared" si="112"/>
        <v>v</v>
      </c>
      <c r="C180">
        <v>0</v>
      </c>
      <c r="D180">
        <v>0</v>
      </c>
      <c r="E180">
        <v>0</v>
      </c>
      <c r="F180">
        <v>1</v>
      </c>
      <c r="G180" t="b">
        <f t="shared" si="113"/>
        <v>1</v>
      </c>
      <c r="H180" t="s">
        <v>2333</v>
      </c>
      <c r="I180" t="s">
        <v>389</v>
      </c>
      <c r="J180">
        <v>678</v>
      </c>
      <c r="K180">
        <v>176</v>
      </c>
      <c r="L180">
        <v>8</v>
      </c>
      <c r="M180" t="str">
        <f>IF([12]NDCs!AL182="Excluding","excl","incl")</f>
        <v>excl</v>
      </c>
      <c r="N180" s="160">
        <f>[12]GHG_hist!BA170+IF($M180="incl",[12]LULUCF_hist!CR170,0)</f>
        <v>9.130811300000001E-2</v>
      </c>
      <c r="O180" s="111">
        <f>[12]GHG_hist!BB170+IF($M180="incl",[12]LULUCF_hist!CS170,0)</f>
        <v>9.3729374000000004E-2</v>
      </c>
      <c r="P180" s="111">
        <f>[12]GHG_hist!BC170+IF($M180="incl",[12]LULUCF_hist!CT170,0)</f>
        <v>9.5704358000000003E-2</v>
      </c>
      <c r="Q180" s="111">
        <f>[12]GHG_hist!BD170+IF($M180="incl",[12]LULUCF_hist!CU170,0)</f>
        <v>9.5002260000000005E-2</v>
      </c>
      <c r="R180" s="111">
        <f>[12]GHG_hist!BE170+IF($M180="incl",[12]LULUCF_hist!CV170,0)</f>
        <v>9.6504474000000007E-2</v>
      </c>
      <c r="S180" s="111">
        <f>[12]GHG_hist!BF170+IF($M180="incl",[12]LULUCF_hist!CW170,0)</f>
        <v>9.7263490000000008E-2</v>
      </c>
      <c r="T180" s="111">
        <f>[12]GHG_hist!BG170+IF($M180="incl",[12]LULUCF_hist!CX170,0)</f>
        <v>9.8695241999999989E-2</v>
      </c>
      <c r="U180" s="111">
        <f>[12]GHG_hist!BH170+IF($M180="incl",[12]LULUCF_hist!CY170,0)</f>
        <v>9.9612348000000003E-2</v>
      </c>
      <c r="V180" s="111">
        <f>[12]GHG_hist!BI170+IF($M180="incl",[12]LULUCF_hist!CZ170,0)</f>
        <v>9.9496911999999993E-2</v>
      </c>
      <c r="W180" s="111">
        <f>[12]GHG_hist!BJ170+IF($M180="incl",[12]LULUCF_hist!DA170,0)</f>
        <v>9.6963903000000004E-2</v>
      </c>
      <c r="X180" s="111">
        <f>[12]GHG_hist!BK170+IF($M180="incl",[12]LULUCF_hist!DB170,0)</f>
        <v>9.5758795000000008E-2</v>
      </c>
      <c r="Y180" s="111">
        <f>[12]GHG_hist!BL170+IF($M180="incl",[12]LULUCF_hist!DC170,0)</f>
        <v>9.8566162999999998E-2</v>
      </c>
      <c r="Z180" s="111">
        <f>[12]GHG_hist!BM170+IF($M180="incl",[12]LULUCF_hist!DD170,0)</f>
        <v>0.10570282</v>
      </c>
      <c r="AA180" s="111">
        <f>[12]GHG_hist!BN170+IF($M180="incl",[12]LULUCF_hist!DE170,0)</f>
        <v>0.1117346</v>
      </c>
      <c r="AB180" s="111">
        <f>[12]GHG_hist!BO170+IF($M180="incl",[12]LULUCF_hist!DF170,0)</f>
        <v>0.11529273999999999</v>
      </c>
      <c r="AC180" s="111">
        <f>[12]GHG_hist!BP170+IF($M180="incl",[12]LULUCF_hist!DG170,0)</f>
        <v>0.11682944000000001</v>
      </c>
      <c r="AD180" s="111">
        <f>[12]GHG_hist!BQ170+IF($M180="incl",[12]LULUCF_hist!DH170,0)</f>
        <v>0.12596942</v>
      </c>
      <c r="AE180" s="111">
        <f>[12]GHG_hist!BR170+IF($M180="incl",[12]LULUCF_hist!DI170,0)</f>
        <v>0.13073607999999998</v>
      </c>
      <c r="AF180" s="111">
        <f>[12]GHG_hist!BS170+IF($M180="incl",[12]LULUCF_hist!DJ170,0)</f>
        <v>0.13447803999999999</v>
      </c>
      <c r="AG180" s="111">
        <f>[12]GHG_hist!BT170+IF($M180="incl",[12]LULUCF_hist!DK170,0)</f>
        <v>0.14546475</v>
      </c>
      <c r="AH180" s="111">
        <f>[12]GHG_hist!BU170+IF($M180="incl",[12]LULUCF_hist!DL170,0)</f>
        <v>0.15447414000000001</v>
      </c>
      <c r="AI180" s="111">
        <f>[12]GHG_hist!BV170+IF($M180="incl",[12]LULUCF_hist!DM170,0)</f>
        <v>0.16100754</v>
      </c>
      <c r="AJ180" s="111">
        <f>[12]GHG_hist!BW170+IF($M180="incl",[12]LULUCF_hist!DN170,0)</f>
        <v>0.17580982000000001</v>
      </c>
      <c r="AK180" s="111">
        <f>[12]GHG_hist!BX170+IF($M180="incl",[12]LULUCF_hist!DO170,0)</f>
        <v>0.18300338999999999</v>
      </c>
      <c r="AL180" s="111">
        <f>[12]GHG_hist!BY170+IF($M180="incl",[12]LULUCF_hist!DP170,0)</f>
        <v>0.18991884000000001</v>
      </c>
      <c r="AM180" s="111">
        <f>[12]GHG_hist!BZ170+IF($M180="incl",[12]LULUCF_hist!DQ170,0)</f>
        <v>0.19611872</v>
      </c>
      <c r="AN180" s="111">
        <f>[12]GHG_hist!CA170+IF($M180="incl",[12]LULUCF_hist!DR170,0)</f>
        <v>0.21175488000000001</v>
      </c>
      <c r="AO180" s="111">
        <f>[12]GHG_hist!CB170+IF($M180="incl",[12]LULUCF_hist!DS170,0)</f>
        <v>0.2248464</v>
      </c>
      <c r="AP180" s="111">
        <f>[12]GHG_hist!CC170+IF($M180="incl",[12]LULUCF_hist!DT170,0)</f>
        <v>0.23576555999999999</v>
      </c>
      <c r="AQ180" s="111">
        <f>[12]GHG_hist!CD170+IF($M180="incl",[12]LULUCF_hist!DU170,0)</f>
        <v>0.23937817000000003</v>
      </c>
      <c r="AR180" s="111">
        <f>[12]GHG_hist!CE170+IF($M180="incl",[12]LULUCF_hist!DV170,0)</f>
        <v>0.22822349</v>
      </c>
      <c r="AS180" s="111">
        <f>[12]GHG_hist!CF170+IF($M180="incl",[12]LULUCF_hist!DW170,0)</f>
        <v>0.24228833</v>
      </c>
      <c r="AT180" s="161">
        <f>VLOOKUP($L180,'[12]IMAGE SSP2'!$AF$3:$AK$29,4,FALSE)*$AM180</f>
        <v>0.2587368262135929</v>
      </c>
      <c r="AU180" s="162">
        <f>VLOOKUP($L180,'[12]IMAGE SSP2'!$AF$3:$AK$29,5,FALSE)*$AM180</f>
        <v>0.30018804590868481</v>
      </c>
      <c r="AV180" s="163">
        <f>VLOOKUP($L180,'[12]IMAGE SSP2'!$AF$3:$AK$29,6,FALSE)*$AM180</f>
        <v>0.35985691564219391</v>
      </c>
      <c r="AW180" s="111">
        <f>IF(A180="B",AM180+(AX180-AM180)*0.33333,"")</f>
        <v>0.2107456670624</v>
      </c>
      <c r="AX180" s="164">
        <f>IF(A180="B",IF(M180="excl",[12]NatCom!CO170,[12]NatCom!AX170),"")</f>
        <v>0.24</v>
      </c>
      <c r="AY180" s="111" t="str">
        <f>IF('[12]Pledge 2020'!E170="","",'[12]Pledge 2020'!E170)</f>
        <v/>
      </c>
      <c r="AZ180" s="164" t="str">
        <f>IF('[12]Pledge 2020'!F170="","",'[12]Pledge 2020'!F170)</f>
        <v/>
      </c>
      <c r="BA180" s="111" t="str">
        <f t="shared" si="100"/>
        <v/>
      </c>
      <c r="BB180" s="111"/>
      <c r="BC180" s="111">
        <f t="shared" si="101"/>
        <v>0.17586853499999999</v>
      </c>
      <c r="BD180" s="111">
        <f t="shared" si="135"/>
        <v>0.17586853499999999</v>
      </c>
      <c r="BE180" s="111" t="s">
        <v>2477</v>
      </c>
      <c r="BF180" s="111"/>
      <c r="BG180" s="111">
        <v>0.183</v>
      </c>
      <c r="BH180" s="164">
        <v>0.183</v>
      </c>
      <c r="BI180" s="111" t="str">
        <f>IF([12]NDCs!V182="",IF([12]NDCs!X182="","",[12]NDCs!X182),[12]NDCs!V182)</f>
        <v/>
      </c>
      <c r="BJ180" s="111" t="str">
        <f>IF([12]NDCs!V182="",IF([12]NDCs!X182="","",[12]NDCs!X182),[12]NDCs!V182)</f>
        <v/>
      </c>
      <c r="BK180" s="111">
        <f>IF([12]NDCs!Z182="",IF([12]NDCs!AB182="",IF('input site'!BE180="","",'input site'!BE180),[12]NDCs!AB182),[12]NDCs!Z182)</f>
        <v>0.183</v>
      </c>
      <c r="BL180" s="111">
        <f>IF([12]NDCs!AA182="",IF([12]NDCs!AC182="",IF('input site'!BF180="","",'input site'!BF180),[12]NDCs!AC182),[12]NDCs!AA182)</f>
        <v>0.183</v>
      </c>
      <c r="BM180" s="111">
        <f>IF($BI$8=2015,VLOOKUP($L180,'[12]IMAGE CurPol SSP'!$AZ$3:$BD$29,4,FALSE)*$AM180,IF($BI$8=2018,VLOOKUP($L180,'[12]IMAGE CurPol SSP'!$BJ$3:$BN$29,4,FALSE)*$AP180,$AR180))</f>
        <v>0.22822349</v>
      </c>
      <c r="BN180" s="111">
        <f t="shared" si="133"/>
        <v>0.22822349</v>
      </c>
      <c r="BO180" s="111">
        <f t="shared" si="133"/>
        <v>0.22822349</v>
      </c>
      <c r="BP180" s="111">
        <f>IF($BI$8=2015,VLOOKUP($L180,'[12]IMAGE CurPol SSP'!$AZ$3:$BD$29,5,FALSE)*$AM180,IF($BI$8=2018,VLOOKUP($L180,'[12]IMAGE CurPol SSP'!$BJ$3:$BN$29,5,FALSE)*$AP180,VLOOKUP($L180,'[12]IMAGE CurPol SSP'!$BU$3:$BZ$29,5,FALSE)*$AS180))</f>
        <v>0.25094942777099294</v>
      </c>
      <c r="BQ180" s="111">
        <f>IF($BI$8=2015,"",IF($BI$8=2018,"",VLOOKUP($L180,'[12]IMAGE CurPol SSP'!$CQ$3:$CV$29,5,FALSE)*$AS180))</f>
        <v>0.24816130206050191</v>
      </c>
      <c r="BR180" s="111">
        <f>IF($BI$8=2015,"",IF($BI$8=2018,"",VLOOKUP($L180,'[12]IMAGE CurPol SSP'!$CF$3:$CK$29,5,FALSE)*$AS180))</f>
        <v>0.25329529087522418</v>
      </c>
      <c r="BS180" s="111">
        <f>IF($BI$8=2015,VLOOKUP($L180,'[12]IMAGE CurPol SSP'!$AZ$3:$BE$29,6,FALSE)*$AM180,IF($BI$8=2018,VLOOKUP($L180,'[12]IMAGE CurPol SSP'!$BJ$3:$BO$29,6,FALSE)*$AP180,VLOOKUP($L180,'[12]IMAGE CurPol SSP'!$BU$3:$BZ$29,6,FALSE)*$AS180))</f>
        <v>0.28856214547853243</v>
      </c>
      <c r="BT180" s="111">
        <f>IF($BI$8=2015,"",IF($BI$8=2018,"",VLOOKUP($L180,'[12]IMAGE CurPol SSP'!$CQ$3:$CV$29,6,FALSE)*$AS180))</f>
        <v>0.28108766241150301</v>
      </c>
      <c r="BU180" s="164">
        <f>IF($BI$8=2015,"",IF($BI$8=2018,"",VLOOKUP($L180,'[12]IMAGE CurPol SSP'!$CF$3:$CK$29,6,FALSE)*$AS180))</f>
        <v>0.28856214547853243</v>
      </c>
      <c r="CN180" t="s">
        <v>389</v>
      </c>
      <c r="CO180" s="165" t="str">
        <f t="shared" si="114"/>
        <v/>
      </c>
      <c r="CP180" s="165" t="str">
        <f t="shared" si="114"/>
        <v/>
      </c>
      <c r="CQ180" s="165">
        <f t="shared" si="114"/>
        <v>-0.36582118317520529</v>
      </c>
      <c r="CR180" s="165">
        <f t="shared" si="114"/>
        <v>-0.36582118317520529</v>
      </c>
      <c r="CS180" s="159"/>
      <c r="CU180" s="159"/>
      <c r="CV180" s="125" t="s">
        <v>621</v>
      </c>
      <c r="CW180" s="125" t="s">
        <v>621</v>
      </c>
      <c r="CX180" s="159"/>
      <c r="CY180" s="167">
        <f t="shared" si="115"/>
        <v>3.0513336213592895E-2</v>
      </c>
      <c r="CZ180" s="159"/>
      <c r="DB180" s="106"/>
      <c r="DC180" s="106"/>
      <c r="DD180" s="106"/>
      <c r="DE180" s="106"/>
      <c r="DF180" s="106"/>
      <c r="DG180" s="105" t="str">
        <f t="shared" si="116"/>
        <v>excl</v>
      </c>
      <c r="DH180" t="s">
        <v>389</v>
      </c>
      <c r="DI180" s="111">
        <f t="shared" si="134"/>
        <v>0</v>
      </c>
      <c r="DJ180" s="111">
        <f t="shared" si="134"/>
        <v>0</v>
      </c>
      <c r="DK180" s="111">
        <f>IF(BA180="",$BP180,BA180)-$BP180</f>
        <v>0</v>
      </c>
      <c r="DL180" s="111">
        <f>IF(BC180="",$BP180,BC180)-$BP180</f>
        <v>-7.5080892770992946E-2</v>
      </c>
      <c r="DM180" s="111">
        <f>IF(BE180="",$BS180,BE180)-$BS180</f>
        <v>0</v>
      </c>
      <c r="DN180" s="111">
        <f>IF(BG180="",$BS180,BG180)-$BS180</f>
        <v>-0.10556214547853243</v>
      </c>
      <c r="DO180" s="111">
        <f>IF(BI180="",$BS180,BI180)-$BS180</f>
        <v>0</v>
      </c>
      <c r="DP180" s="111">
        <f>IF(BK180="",$BS180,BK180)-$BS180</f>
        <v>-0.10556214547853243</v>
      </c>
      <c r="DQ180" s="106"/>
      <c r="DR180" s="106"/>
      <c r="DS180" s="111"/>
      <c r="DT180" s="168"/>
      <c r="DW180" s="111">
        <f t="shared" si="117"/>
        <v>0.28856214547853243</v>
      </c>
      <c r="DX180" s="111">
        <f t="shared" si="117"/>
        <v>0.28856214547853243</v>
      </c>
      <c r="DY180" s="111">
        <f t="shared" si="117"/>
        <v>0.183</v>
      </c>
      <c r="DZ180" s="111">
        <f t="shared" si="117"/>
        <v>0.183</v>
      </c>
      <c r="EP180" t="s">
        <v>389</v>
      </c>
      <c r="EQ180">
        <v>-1</v>
      </c>
      <c r="ER180" s="111">
        <f t="shared" si="118"/>
        <v>0.23576555999999999</v>
      </c>
      <c r="ES180" s="111">
        <f>IF($BI$8=2015,VLOOKUP($L180,'[12]IMAGE CDLINKS CurPol'!$P$3:$Y$29,10,FALSE)*$AM180,VLOOKUP($L180,'[12]IMAGE CDLINKS CurPol'!$Z$3:$AI$29,10,FALSE)*$AP180)</f>
        <v>0.49224902797440268</v>
      </c>
      <c r="ET180" s="111">
        <f t="shared" si="124"/>
        <v>0.49224902797440268</v>
      </c>
      <c r="EU180" s="111">
        <f t="shared" si="120"/>
        <v>0.22466009135238085</v>
      </c>
      <c r="EV180" s="111">
        <f>IF($BI$8=2015,VLOOKUP($L180,'[12]IMAGE CDLINKS 2C'!$P$3:$Y$29,10,FALSE)*$AM180,VLOOKUP($L180,'[12]IMAGE CDLINKS 2C'!$Z$3:$AI$29,10,FALSE)*$AP180)</f>
        <v>0.22466009135238085</v>
      </c>
      <c r="EX180" s="111"/>
      <c r="EY180" s="111">
        <f t="shared" si="121"/>
        <v>0.12796645205066087</v>
      </c>
      <c r="EZ180" s="111">
        <f>IF($BI$8=2015,VLOOKUP($L180,'[12]IMAGE CDLINKS 1_5C'!$P$3:$Y$29,10,FALSE)*$AM180,VLOOKUP($L180,'[12]IMAGE CDLINKS 1_5C'!$Z$3:$AI$29,10,FALSE)*$AP180)</f>
        <v>0.12796645205066087</v>
      </c>
      <c r="FA180" s="192">
        <v>2050</v>
      </c>
    </row>
    <row r="181" spans="1:157" x14ac:dyDescent="0.25">
      <c r="A181" t="str">
        <f>IF([12]NDCs!C183="","",[12]NDCs!C183)</f>
        <v>C</v>
      </c>
      <c r="B181" s="159" t="str">
        <f t="shared" si="112"/>
        <v>ii</v>
      </c>
      <c r="C181">
        <v>1</v>
      </c>
      <c r="D181">
        <v>0</v>
      </c>
      <c r="E181">
        <v>1</v>
      </c>
      <c r="F181">
        <v>1</v>
      </c>
      <c r="G181" t="b">
        <f t="shared" si="113"/>
        <v>1</v>
      </c>
      <c r="H181" t="s">
        <v>2328</v>
      </c>
      <c r="I181" t="s">
        <v>391</v>
      </c>
      <c r="J181">
        <v>682</v>
      </c>
      <c r="K181">
        <v>177</v>
      </c>
      <c r="L181">
        <v>17</v>
      </c>
      <c r="M181" t="str">
        <f>IF([12]NDCs!AL183="Excluding","excl","incl")</f>
        <v>excl</v>
      </c>
      <c r="N181" s="195">
        <f>[12]SAU!$A$24*IF($M181="incl",[12]SAU!E$41,[12]SAU!E$37)</f>
        <v>168.0114323</v>
      </c>
      <c r="O181" s="195">
        <f>[12]SAU!$A$24*IF($M181="incl",[12]SAU!F$41,[12]SAU!F$37)</f>
        <v>181.29544136999999</v>
      </c>
      <c r="P181" s="195">
        <f>[12]SAU!$A$24*IF($M181="incl",[12]SAU!G$41,[12]SAU!G$37)</f>
        <v>194.57945043999999</v>
      </c>
      <c r="Q181" s="195">
        <f>[12]SAU!$A$24*IF($M181="incl",[12]SAU!H$41,[12]SAU!H$37)</f>
        <v>207.86345950999899</v>
      </c>
      <c r="R181" s="195">
        <f>[12]SAU!$A$24*IF($M181="incl",[12]SAU!I$41,[12]SAU!I$37)</f>
        <v>221.14746858000001</v>
      </c>
      <c r="S181" s="195">
        <f>[12]SAU!$A$24*IF($M181="incl",[12]SAU!J$41,[12]SAU!J$37)</f>
        <v>234.43147764999901</v>
      </c>
      <c r="T181" s="195">
        <f>[12]SAU!$A$24*IF($M181="incl",[12]SAU!K$41,[12]SAU!K$37)</f>
        <v>247.71548672</v>
      </c>
      <c r="U181" s="195">
        <f>[12]SAU!$A$24*IF($M181="incl",[12]SAU!L$41,[12]SAU!L$37)</f>
        <v>260.999495789999</v>
      </c>
      <c r="V181" s="195">
        <f>[12]SAU!$A$24*IF($M181="incl",[12]SAU!M$41,[12]SAU!M$37)</f>
        <v>274.28350485999999</v>
      </c>
      <c r="W181" s="195">
        <f>[12]SAU!$A$24*IF($M181="incl",[12]SAU!N$41,[12]SAU!N$37)</f>
        <v>287.56751393000002</v>
      </c>
      <c r="X181" s="195">
        <f>[12]SAU!$A$24*IF($M181="incl",[12]SAU!O$41,[12]SAU!O$37)</f>
        <v>300.85152299999999</v>
      </c>
      <c r="Y181" s="195">
        <f>[12]SAU!$A$24*IF($M181="incl",[12]SAU!P$41,[12]SAU!P$37)</f>
        <v>324.0849159</v>
      </c>
      <c r="Z181" s="195">
        <f>[12]SAU!$A$24*IF($M181="incl",[12]SAU!Q$41,[12]SAU!Q$37)</f>
        <v>347.31830879999899</v>
      </c>
      <c r="AA181" s="195">
        <f>[12]SAU!$A$24*IF($M181="incl",[12]SAU!R$41,[12]SAU!R$37)</f>
        <v>370.551701699999</v>
      </c>
      <c r="AB181" s="195">
        <f>[12]SAU!$A$24*IF($M181="incl",[12]SAU!S$41,[12]SAU!S$37)</f>
        <v>393.78509459999998</v>
      </c>
      <c r="AC181" s="195">
        <f>[12]SAU!$A$24*IF($M181="incl",[12]SAU!T$41,[12]SAU!T$37)</f>
        <v>417.01848749999999</v>
      </c>
      <c r="AD181" s="195">
        <f>[12]SAU!$A$24*IF($M181="incl",[12]SAU!U$41,[12]SAU!U$37)</f>
        <v>440.25188039999898</v>
      </c>
      <c r="AE181" s="195">
        <f>[12]SAU!$A$24*IF($M181="incl",[12]SAU!V$41,[12]SAU!V$37)</f>
        <v>463.48527329999899</v>
      </c>
      <c r="AF181" s="195">
        <f>[12]SAU!$A$24*IF($M181="incl",[12]SAU!W$41,[12]SAU!W$37)</f>
        <v>486.71866619999901</v>
      </c>
      <c r="AG181" s="195">
        <f>[12]SAU!$A$24*IF($M181="incl",[12]SAU!X$41,[12]SAU!X$37)</f>
        <v>509.95205909999902</v>
      </c>
      <c r="AH181" s="195">
        <f>[12]SAU!$A$24*IF($M181="incl",[12]SAU!Y$41,[12]SAU!Y$37)</f>
        <v>533.18545199999903</v>
      </c>
      <c r="AI181" s="195">
        <f>[12]SAU!$A$24*IF($M181="incl",[12]SAU!Z$41,[12]SAU!Z$37)</f>
        <v>539.47732599999995</v>
      </c>
      <c r="AJ181" s="195">
        <f>[12]SAU!$A$24*IF($M181="incl",[12]SAU!AA$41,[12]SAU!AA$37)</f>
        <v>545.76919999999996</v>
      </c>
      <c r="AK181" s="195">
        <f>[12]SAU!$A$24*IF($M181="incl",[12]SAU!AB$41,[12]SAU!AB$37)</f>
        <v>572.75290499999903</v>
      </c>
      <c r="AL181" s="195">
        <f>[12]SAU!$A$24*IF($M181="incl",[12]SAU!AC$41,[12]SAU!AC$37)</f>
        <v>599.73660999999902</v>
      </c>
      <c r="AM181" s="195">
        <f>[12]SAU!$A$24*IF($M181="incl",[12]SAU!AD$41,[12]SAU!AD$37)</f>
        <v>626.72031500000003</v>
      </c>
      <c r="AN181" s="195">
        <f>[12]SAU!$A$24*IF($M181="incl",[12]SAU!AE$41,[12]SAU!AE$37)</f>
        <v>653.70402000000001</v>
      </c>
      <c r="AO181" s="195">
        <f>[12]SAU!$A$24*IF($M181="incl",[12]SAU!AF$41,[12]SAU!AF$37)</f>
        <v>664.70402000000001</v>
      </c>
      <c r="AP181" s="195">
        <f>[12]SAU!$A$24*IF($M181="incl",[12]SAU!AG$41,[12]SAU!AG$37)</f>
        <v>667.70402000000001</v>
      </c>
      <c r="AQ181" s="195">
        <f>[12]SAU!$A$24*IF($M181="incl",[12]SAU!AH$41,[12]SAU!AH$37)</f>
        <v>651.70402000000001</v>
      </c>
      <c r="AR181" s="195">
        <f>[12]SAU!$A$24*IF($M181="incl",[12]SAU!AI$41,[12]SAU!AI$37)</f>
        <v>650.70402000000001</v>
      </c>
      <c r="AS181" s="195">
        <f>[12]SAU!$A$24*IF($M181="incl",[12]SAU!AJ$41,[12]SAU!AJ$37)</f>
        <v>660.70402000000001</v>
      </c>
      <c r="AT181" s="179">
        <f>[12]SAU!$A$24*[12]SAU!AI23</f>
        <v>662.48565999999994</v>
      </c>
      <c r="AU181" s="177">
        <f>[12]SAU!$A$24*[12]SAU!AN23</f>
        <v>717.85625999999991</v>
      </c>
      <c r="AV181" s="180">
        <f>[12]SAU!$A$24*[12]SAU!AS23</f>
        <v>760.49625999999989</v>
      </c>
      <c r="AW181" s="111" t="str">
        <f t="shared" si="119"/>
        <v/>
      </c>
      <c r="AX181" s="164" t="str">
        <f>IF(A181="B",IF(M181="excl",[12]NatCom!CO171,[12]NatCom!AX171),"")</f>
        <v/>
      </c>
      <c r="AY181" s="111" t="str">
        <f>IF('[12]Pledge 2020'!E171="","",'[12]Pledge 2020'!E171)</f>
        <v/>
      </c>
      <c r="AZ181" s="164" t="str">
        <f>IF('[12]Pledge 2020'!F171="","",'[12]Pledge 2020'!F171)</f>
        <v/>
      </c>
      <c r="BA181" s="127">
        <f>[12]SAU!$A$24*[12]SAU!X10</f>
        <v>760.6713629999997</v>
      </c>
      <c r="BB181" s="106">
        <f>IF(BF181="","",(BF181-AH181)*0.75+AH181)</f>
        <v>760.6713629999997</v>
      </c>
      <c r="BC181" s="127">
        <f>[12]SAU!$A$24*[12]SAU!Y10</f>
        <v>760.6713629999997</v>
      </c>
      <c r="BD181" s="106">
        <f t="shared" si="135"/>
        <v>760.6713629999997</v>
      </c>
      <c r="BE181" s="127">
        <v>836.5</v>
      </c>
      <c r="BF181" s="127">
        <v>836.5</v>
      </c>
      <c r="BG181" s="127">
        <v>836.5</v>
      </c>
      <c r="BH181" s="184">
        <v>836.5</v>
      </c>
      <c r="BI181" s="111">
        <f>IF([12]NDCs!V183="",IF([12]NDCs!X183="","",[12]NDCs!X183),[12]NDCs!V183)</f>
        <v>836.5</v>
      </c>
      <c r="BJ181" s="111">
        <f>IF([12]NDCs!V183="",IF([12]NDCs!X183="","",[12]NDCs!X183),[12]NDCs!V183)</f>
        <v>836.5</v>
      </c>
      <c r="BK181" s="111">
        <f>IF([12]NDCs!Z183="",IF([12]NDCs!AB183="",IF('input site'!BE181="","",'input site'!BE181),[12]NDCs!AB183),[12]NDCs!Z183)</f>
        <v>836.5</v>
      </c>
      <c r="BL181" s="111">
        <f>IF([12]NDCs!AA183="",IF([12]NDCs!AC183="",IF('input site'!BF181="","",'input site'!BF181),[12]NDCs!AC183),[12]NDCs!AA183)</f>
        <v>836.5</v>
      </c>
      <c r="BM181" s="183">
        <f>MEDIAN(BN181:BO181)</f>
        <v>650.70402000000001</v>
      </c>
      <c r="BN181" s="127">
        <f>[12]SAU!$A$24*[12]SAU!AB$7</f>
        <v>650.70402000000001</v>
      </c>
      <c r="BO181" s="127">
        <f>[12]SAU!$A$24*[12]SAU!AB$6</f>
        <v>650.70402000000001</v>
      </c>
      <c r="BP181" s="183">
        <f>MEDIAN(BQ181:BR181)</f>
        <v>734.96583899999996</v>
      </c>
      <c r="BQ181" s="127">
        <f>[12]SAU!$A$24*[12]SAU!AC$7</f>
        <v>734.96583899999996</v>
      </c>
      <c r="BR181" s="127">
        <f>[12]SAU!$A$24*[12]SAU!AC$6</f>
        <v>734.96583899999996</v>
      </c>
      <c r="BS181" s="183">
        <f>MEDIAN(BT181:BU181)</f>
        <v>783.75626799999998</v>
      </c>
      <c r="BT181" s="127">
        <f>[12]SAU!$A$24*[12]SAU!AD$7</f>
        <v>783.75626799999998</v>
      </c>
      <c r="BU181" s="127">
        <f>[12]SAU!$A$24*[12]SAU!AD$6</f>
        <v>783.75626799999998</v>
      </c>
      <c r="CN181" t="s">
        <v>391</v>
      </c>
      <c r="CO181" s="165">
        <f t="shared" si="114"/>
        <v>6.7296089554208294E-2</v>
      </c>
      <c r="CP181" s="165">
        <f t="shared" si="114"/>
        <v>6.7296089554208294E-2</v>
      </c>
      <c r="CQ181" s="165">
        <f t="shared" si="114"/>
        <v>6.7296089554208294E-2</v>
      </c>
      <c r="CR181" s="165">
        <f t="shared" si="114"/>
        <v>6.7296089554208294E-2</v>
      </c>
      <c r="CS181">
        <f>IF(BE181&lt;=MIN(BS181:BU181),0,1)</f>
        <v>1</v>
      </c>
      <c r="CT181">
        <f>IF(BG181&lt;=MIN(BS181:BU181),0,1)</f>
        <v>1</v>
      </c>
      <c r="CU181">
        <f>IF(BS181&lt;=MAX(AN181,AP181),1,0)</f>
        <v>0</v>
      </c>
      <c r="CV181" s="126" t="str">
        <f>IF(CS181=1,IF(CU181=1,"i","ii"),IF(CU181=1,"iii","iv"))</f>
        <v>ii</v>
      </c>
      <c r="CW181" s="126" t="str">
        <f>IF(CT181=1,IF(CU181=1,"i","ii"),IF(CU181=1,"iii","iv"))</f>
        <v>ii</v>
      </c>
      <c r="CX181"/>
      <c r="CY181" s="167">
        <f t="shared" si="115"/>
        <v>11.781639999999925</v>
      </c>
      <c r="DA181" s="186">
        <v>0</v>
      </c>
      <c r="DB181" s="187">
        <v>0</v>
      </c>
      <c r="DC181" s="187"/>
      <c r="DD181" s="187"/>
      <c r="DE181" s="187">
        <f>[12]SAU!T18</f>
        <v>52.743732000000023</v>
      </c>
      <c r="DF181" s="187">
        <f>[12]SAU!U18</f>
        <v>52.743732000000023</v>
      </c>
      <c r="DG181" s="105" t="str">
        <f t="shared" si="116"/>
        <v>excl</v>
      </c>
      <c r="DH181" t="s">
        <v>391</v>
      </c>
      <c r="DI181" s="127"/>
      <c r="DJ181" s="127"/>
      <c r="DK181" s="127"/>
      <c r="DL181" s="127"/>
      <c r="DM181" s="127"/>
      <c r="DN181" s="127"/>
      <c r="DO181" s="127"/>
      <c r="DP181" s="127"/>
      <c r="DQ181" s="187">
        <f>[12]SAU!BA$18</f>
        <v>0</v>
      </c>
      <c r="DR181" s="187">
        <f>[12]SAU!BB$18</f>
        <v>0</v>
      </c>
      <c r="DS181" s="111"/>
      <c r="DT181" s="168"/>
      <c r="DW181" s="111">
        <f t="shared" si="117"/>
        <v>836.5</v>
      </c>
      <c r="DX181" s="111">
        <f t="shared" si="117"/>
        <v>836.5</v>
      </c>
      <c r="DY181" s="111">
        <f t="shared" si="117"/>
        <v>836.5</v>
      </c>
      <c r="DZ181" s="111">
        <f t="shared" si="117"/>
        <v>836.5</v>
      </c>
      <c r="EP181" t="s">
        <v>391</v>
      </c>
      <c r="EQ181">
        <v>1</v>
      </c>
      <c r="ER181" s="111">
        <f t="shared" si="118"/>
        <v>667.70402000000001</v>
      </c>
      <c r="ES181" s="111">
        <f>IF($BI$8=2015,VLOOKUP($L181,'[12]IMAGE CDLINKS CurPol'!$P$3:$Y$29,10,FALSE)*$AM181,VLOOKUP($L181,'[12]IMAGE CDLINKS CurPol'!$Z$3:$AI$29,10,FALSE)*$AP181)</f>
        <v>999.07754337182121</v>
      </c>
      <c r="ET181" s="111">
        <f t="shared" si="124"/>
        <v>278.83333333333337</v>
      </c>
      <c r="EU181" s="111">
        <f t="shared" si="120"/>
        <v>336.17038547018569</v>
      </c>
      <c r="EV181" s="111">
        <f>IF($BI$8=2015,VLOOKUP($L181,'[12]IMAGE CDLINKS 2C'!$P$3:$Y$29,10,FALSE)*$AM181,VLOOKUP($L181,'[12]IMAGE CDLINKS 2C'!$Z$3:$AI$29,10,FALSE)*$AP181)</f>
        <v>336.17038547018569</v>
      </c>
      <c r="EW181" s="211">
        <f>[12]SAU!$AM$9</f>
        <v>278.83333333333337</v>
      </c>
      <c r="EY181" s="111">
        <f t="shared" si="121"/>
        <v>278.83333333333337</v>
      </c>
      <c r="EZ181" s="111">
        <f>IF($BI$8=2015,VLOOKUP($L181,'[12]IMAGE CDLINKS 1_5C'!$P$3:$Y$29,10,FALSE)*$AM181,VLOOKUP($L181,'[12]IMAGE CDLINKS 1_5C'!$Z$3:$AI$29,10,FALSE)*$AP181)</f>
        <v>58.557180129138395</v>
      </c>
      <c r="FA181" s="192"/>
    </row>
    <row r="182" spans="1:157" x14ac:dyDescent="0.25">
      <c r="A182" t="str">
        <f>IF([12]NDCs!C184="","",[12]NDCs!C184)</f>
        <v>C</v>
      </c>
      <c r="B182" s="159" t="str">
        <f t="shared" si="112"/>
        <v>v</v>
      </c>
      <c r="C182">
        <v>0</v>
      </c>
      <c r="D182">
        <v>0</v>
      </c>
      <c r="E182">
        <v>0</v>
      </c>
      <c r="F182">
        <v>1</v>
      </c>
      <c r="G182" t="b">
        <f t="shared" si="113"/>
        <v>1</v>
      </c>
      <c r="H182" t="s">
        <v>2328</v>
      </c>
      <c r="I182" t="s">
        <v>393</v>
      </c>
      <c r="J182">
        <v>686</v>
      </c>
      <c r="K182">
        <v>178</v>
      </c>
      <c r="L182">
        <v>8</v>
      </c>
      <c r="M182" t="str">
        <f>IF([12]NDCs!AL184="Excluding","excl","incl")</f>
        <v>incl</v>
      </c>
      <c r="N182" s="160">
        <f>[12]GHG_hist!BA172+IF($M182="incl",[12]LULUCF_hist!CR172,0)</f>
        <v>2.9327309999999986</v>
      </c>
      <c r="O182" s="111">
        <f>[12]GHG_hist!BB172+IF($M182="incl",[12]LULUCF_hist!CS172,0)</f>
        <v>3.432663999999999</v>
      </c>
      <c r="P182" s="111">
        <f>[12]GHG_hist!BC172+IF($M182="incl",[12]LULUCF_hist!CT172,0)</f>
        <v>3.6551939999999998</v>
      </c>
      <c r="Q182" s="111">
        <f>[12]GHG_hist!BD172+IF($M182="incl",[12]LULUCF_hist!CU172,0)</f>
        <v>4.055002</v>
      </c>
      <c r="R182" s="111">
        <f>[12]GHG_hist!BE172+IF($M182="incl",[12]LULUCF_hist!CV172,0)</f>
        <v>4.5412809999999979</v>
      </c>
      <c r="S182" s="111">
        <f>[12]GHG_hist!BF172+IF($M182="incl",[12]LULUCF_hist!CW172,0)</f>
        <v>4.2585309999999978</v>
      </c>
      <c r="T182" s="111">
        <f>[12]GHG_hist!BG172+IF($M182="incl",[12]LULUCF_hist!CX172,0)</f>
        <v>5.3307289999999981</v>
      </c>
      <c r="U182" s="111">
        <f>[12]GHG_hist!BH172+IF($M182="incl",[12]LULUCF_hist!CY172,0)</f>
        <v>4.7354570000000002</v>
      </c>
      <c r="V182" s="111">
        <f>[12]GHG_hist!BI172+IF($M182="incl",[12]LULUCF_hist!CZ172,0)</f>
        <v>4.7526709999999994</v>
      </c>
      <c r="W182" s="111">
        <f>[12]GHG_hist!BJ172+IF($M182="incl",[12]LULUCF_hist!DA172,0)</f>
        <v>5.8711749999999991</v>
      </c>
      <c r="X182" s="111">
        <f>[12]GHG_hist!BK172+IF($M182="incl",[12]LULUCF_hist!DB172,0)</f>
        <v>6.9983179999999994</v>
      </c>
      <c r="Y182" s="111">
        <f>[12]GHG_hist!BL172+IF($M182="incl",[12]LULUCF_hist!DC172,0)</f>
        <v>6.5912119999999987</v>
      </c>
      <c r="Z182" s="111">
        <f>[12]GHG_hist!BM172+IF($M182="incl",[12]LULUCF_hist!DD172,0)</f>
        <v>5.9545509999999968</v>
      </c>
      <c r="AA182" s="111">
        <f>[12]GHG_hist!BN172+IF($M182="incl",[12]LULUCF_hist!DE172,0)</f>
        <v>5.6362969999999954</v>
      </c>
      <c r="AB182" s="111">
        <f>[12]GHG_hist!BO172+IF($M182="incl",[12]LULUCF_hist!DF172,0)</f>
        <v>6.9773499999999995</v>
      </c>
      <c r="AC182" s="111">
        <f>[12]GHG_hist!BP172+IF($M182="incl",[12]LULUCF_hist!DG172,0)</f>
        <v>7.5221160000000005</v>
      </c>
      <c r="AD182" s="111">
        <f>[12]GHG_hist!BQ172+IF($M182="incl",[12]LULUCF_hist!DH172,0)</f>
        <v>7.2850910000000013</v>
      </c>
      <c r="AE182" s="111">
        <f>[12]GHG_hist!BR172+IF($M182="incl",[12]LULUCF_hist!DI172,0)</f>
        <v>7.2834810588235186</v>
      </c>
      <c r="AF182" s="111">
        <f>[12]GHG_hist!BS172+IF($M182="incl",[12]LULUCF_hist!DJ172,0)</f>
        <v>7.7910451176470552</v>
      </c>
      <c r="AG182" s="111">
        <f>[12]GHG_hist!BT172+IF($M182="incl",[12]LULUCF_hist!DK172,0)</f>
        <v>8.0697131764705929</v>
      </c>
      <c r="AH182" s="111">
        <f>[12]GHG_hist!BU172+IF($M182="incl",[12]LULUCF_hist!DL172,0)</f>
        <v>11.200668235294113</v>
      </c>
      <c r="AI182" s="111">
        <f>[12]GHG_hist!BV172+IF($M182="incl",[12]LULUCF_hist!DM172,0)</f>
        <v>12.030585294117646</v>
      </c>
      <c r="AJ182" s="111">
        <f>[12]GHG_hist!BW172+IF($M182="incl",[12]LULUCF_hist!DN172,0)</f>
        <v>11.058744352941169</v>
      </c>
      <c r="AK182" s="111">
        <f>[12]GHG_hist!BX172+IF($M182="incl",[12]LULUCF_hist!DO172,0)</f>
        <v>11.775122411764702</v>
      </c>
      <c r="AL182" s="111">
        <f>[12]GHG_hist!BY172+IF($M182="incl",[12]LULUCF_hist!DP172,0)</f>
        <v>12.529688470588223</v>
      </c>
      <c r="AM182" s="111">
        <f>[12]GHG_hist!BZ172+IF($M182="incl",[12]LULUCF_hist!DQ172,0)</f>
        <v>13.359494529411762</v>
      </c>
      <c r="AN182" s="111">
        <f>[12]GHG_hist!CA172+IF($M182="incl",[12]LULUCF_hist!DR172,0)</f>
        <v>14.795399588235295</v>
      </c>
      <c r="AO182" s="111">
        <f>[12]GHG_hist!CB172+IF($M182="incl",[12]LULUCF_hist!DS172,0)</f>
        <v>14.492337647058818</v>
      </c>
      <c r="AP182" s="111">
        <f>[12]GHG_hist!CC172+IF($M182="incl",[12]LULUCF_hist!DT172,0)</f>
        <v>15.468038705882336</v>
      </c>
      <c r="AQ182" s="111">
        <f>[12]GHG_hist!CD172+IF($M182="incl",[12]LULUCF_hist!DU172,0)</f>
        <v>17.060378764705888</v>
      </c>
      <c r="AR182" s="111">
        <f>[12]GHG_hist!CE172+IF($M182="incl",[12]LULUCF_hist!DV172,0)</f>
        <v>17.820630823529406</v>
      </c>
      <c r="AS182" s="111">
        <f>[12]GHG_hist!CF172+IF($M182="incl",[12]LULUCF_hist!DW172,0)</f>
        <v>18.907439882352932</v>
      </c>
      <c r="AT182" s="161">
        <f>VLOOKUP($L182,'[12]IMAGE SSP2'!$AF$3:$AK$29,4,FALSE)*$AM182</f>
        <v>17.625003948413777</v>
      </c>
      <c r="AU182" s="162">
        <f>VLOOKUP($L182,'[12]IMAGE SSP2'!$AF$3:$AK$29,5,FALSE)*$AM182</f>
        <v>20.448637218883956</v>
      </c>
      <c r="AV182" s="163">
        <f>VLOOKUP($L182,'[12]IMAGE SSP2'!$AF$3:$AK$29,6,FALSE)*$AM182</f>
        <v>24.513246343301034</v>
      </c>
      <c r="AW182" s="111" t="str">
        <f t="shared" si="119"/>
        <v/>
      </c>
      <c r="AX182" s="164" t="str">
        <f>IF(A182="B",IF(M182="excl",[12]NatCom!CO172,[12]NatCom!AX172),"")</f>
        <v/>
      </c>
      <c r="AY182" s="111" t="str">
        <f>IF('[12]Pledge 2020'!E172="","",'[12]Pledge 2020'!E172)</f>
        <v/>
      </c>
      <c r="AZ182" s="164" t="str">
        <f>IF('[12]Pledge 2020'!F172="","",'[12]Pledge 2020'!F172)</f>
        <v/>
      </c>
      <c r="BA182" s="111">
        <f t="shared" si="100"/>
        <v>32.665115233823528</v>
      </c>
      <c r="BB182" s="111">
        <f>IF(BF182="","",(BF182-AH182)*0.75+AH182)</f>
        <v>32.665115233823528</v>
      </c>
      <c r="BC182" s="111">
        <f t="shared" si="101"/>
        <v>25.279160308823524</v>
      </c>
      <c r="BD182" s="111">
        <f t="shared" si="135"/>
        <v>25.279160308823524</v>
      </c>
      <c r="BE182" s="169">
        <v>39.819930899999996</v>
      </c>
      <c r="BF182" s="169">
        <v>39.819930899999996</v>
      </c>
      <c r="BG182" s="169">
        <v>29.971990999999996</v>
      </c>
      <c r="BH182" s="170">
        <v>29.971990999999996</v>
      </c>
      <c r="BI182" s="111">
        <f>IF([12]NDCs!V184="",IF([12]NDCs!X184="","",[12]NDCs!X184),[12]NDCs!V184)</f>
        <v>40.676273499999994</v>
      </c>
      <c r="BJ182" s="111">
        <f>IF([12]NDCs!V184="",IF([12]NDCs!X184="","",[12]NDCs!X184),[12]NDCs!V184)</f>
        <v>40.676273499999994</v>
      </c>
      <c r="BK182" s="111">
        <f>IF([12]NDCs!Z184="",IF([12]NDCs!AB184="",IF('input site'!BE182="","",'input site'!BE182),[12]NDCs!AB184),[12]NDCs!Z184)</f>
        <v>33.825532700000004</v>
      </c>
      <c r="BL182" s="111">
        <f>IF([12]NDCs!AA184="",IF([12]NDCs!AC184="",IF('input site'!BF182="","",'input site'!BF182),[12]NDCs!AC184),[12]NDCs!AA184)</f>
        <v>33.825532700000004</v>
      </c>
      <c r="BM182" s="111">
        <f>IF($BI$8=2015,VLOOKUP($L182,'[12]IMAGE CurPol SSP'!$AZ$3:$BD$29,4,FALSE)*$AM182,IF($BI$8=2018,VLOOKUP($L182,'[12]IMAGE CurPol SSP'!$BJ$3:$BN$29,4,FALSE)*$AP182,$AR182))</f>
        <v>17.820630823529406</v>
      </c>
      <c r="BN182" s="111">
        <f t="shared" ref="BN182:BO185" si="136">IF($BI$8=2015,"",IF($BI$8=2018,"",$AR182))</f>
        <v>17.820630823529406</v>
      </c>
      <c r="BO182" s="111">
        <f t="shared" si="136"/>
        <v>17.820630823529406</v>
      </c>
      <c r="BP182" s="111">
        <f>IF($BI$8=2015,VLOOKUP($L182,'[12]IMAGE CurPol SSP'!$AZ$3:$BD$29,5,FALSE)*$AM182,IF($BI$8=2018,VLOOKUP($L182,'[12]IMAGE CurPol SSP'!$BJ$3:$BN$29,5,FALSE)*$AP182,VLOOKUP($L182,'[12]IMAGE CurPol SSP'!$BU$3:$BZ$29,5,FALSE)*$AS182))</f>
        <v>19.583325449851088</v>
      </c>
      <c r="BQ182" s="111">
        <f>IF($BI$8=2015,"",IF($BI$8=2018,"",VLOOKUP($L182,'[12]IMAGE CurPol SSP'!$CQ$3:$CV$29,5,FALSE)*$AS182))</f>
        <v>19.365748650937363</v>
      </c>
      <c r="BR182" s="111">
        <f>IF($BI$8=2015,"",IF($BI$8=2018,"",VLOOKUP($L182,'[12]IMAGE CurPol SSP'!$CF$3:$CK$29,5,FALSE)*$AS182))</f>
        <v>19.766389428274984</v>
      </c>
      <c r="BS182" s="111">
        <f>IF($BI$8=2015,VLOOKUP($L182,'[12]IMAGE CurPol SSP'!$AZ$3:$BE$29,6,FALSE)*$AM182,IF($BI$8=2018,VLOOKUP($L182,'[12]IMAGE CurPol SSP'!$BJ$3:$BO$29,6,FALSE)*$AP182,VLOOKUP($L182,'[12]IMAGE CurPol SSP'!$BU$3:$BZ$29,6,FALSE)*$AS182))</f>
        <v>22.518506846607647</v>
      </c>
      <c r="BT182" s="111">
        <f>IF($BI$8=2015,"",IF($BI$8=2018,"",VLOOKUP($L182,'[12]IMAGE CurPol SSP'!$CQ$3:$CV$29,6,FALSE)*$AS182))</f>
        <v>21.935221059621853</v>
      </c>
      <c r="BU182" s="164">
        <f>IF($BI$8=2015,"",IF($BI$8=2018,"",VLOOKUP($L182,'[12]IMAGE CurPol SSP'!$CF$3:$CK$29,6,FALSE)*$AS182))</f>
        <v>22.518506846607647</v>
      </c>
      <c r="CN182" t="s">
        <v>393</v>
      </c>
      <c r="CO182" s="165">
        <f t="shared" si="114"/>
        <v>0.76832021640008352</v>
      </c>
      <c r="CP182" s="165">
        <f t="shared" si="114"/>
        <v>0.76832021640008352</v>
      </c>
      <c r="CQ182" s="165">
        <f t="shared" si="114"/>
        <v>0.33099371126888011</v>
      </c>
      <c r="CR182" s="165">
        <f t="shared" si="114"/>
        <v>0.33099371126888011</v>
      </c>
      <c r="CV182" s="125" t="s">
        <v>621</v>
      </c>
      <c r="CW182" s="125" t="s">
        <v>621</v>
      </c>
      <c r="CX182"/>
      <c r="CY182" s="167">
        <f t="shared" si="115"/>
        <v>-0.19562687511562871</v>
      </c>
      <c r="DB182" s="106"/>
      <c r="DC182" s="106"/>
      <c r="DD182" s="106"/>
      <c r="DE182" s="106"/>
      <c r="DF182" s="106"/>
      <c r="DG182" s="105" t="str">
        <f t="shared" si="116"/>
        <v>incl</v>
      </c>
      <c r="DH182" t="s">
        <v>393</v>
      </c>
      <c r="DI182" s="111">
        <f t="shared" ref="DI182:DJ190" si="137">IF(AY182="",$BM182,AY182)-$BM182</f>
        <v>0</v>
      </c>
      <c r="DJ182" s="111">
        <f t="shared" si="137"/>
        <v>0</v>
      </c>
      <c r="DK182" s="111">
        <f t="shared" ref="DK182:DK190" si="138">IF(BA182="",$BP182,BA182)-$BP182</f>
        <v>13.08178978397244</v>
      </c>
      <c r="DL182" s="111">
        <f t="shared" ref="DL182:DL190" si="139">IF(BC182="",$BP182,BC182)-$BP182</f>
        <v>5.6958348589724359</v>
      </c>
      <c r="DM182" s="111">
        <f t="shared" ref="DM182:DM190" si="140">IF(BE182="",$BS182,BE182)-$BS182</f>
        <v>17.301424053392349</v>
      </c>
      <c r="DN182" s="111">
        <f t="shared" ref="DN182:DN190" si="141">IF(BG182="",$BS182,BG182)-$BS182</f>
        <v>7.453484153392349</v>
      </c>
      <c r="DO182" s="111">
        <f t="shared" ref="DO182:DO190" si="142">IF(BI182="",$BS182,BI182)-$BS182</f>
        <v>18.157766653392347</v>
      </c>
      <c r="DP182" s="111">
        <f t="shared" ref="DP182:DP190" si="143">IF(BK182="",$BS182,BK182)-$BS182</f>
        <v>11.307025853392357</v>
      </c>
      <c r="DQ182" s="106"/>
      <c r="DR182" s="106"/>
      <c r="DS182" s="111"/>
      <c r="DT182" s="168"/>
      <c r="DW182" s="111">
        <f t="shared" si="117"/>
        <v>39.819930899999996</v>
      </c>
      <c r="DX182" s="111">
        <f t="shared" si="117"/>
        <v>39.819930899999996</v>
      </c>
      <c r="DY182" s="111">
        <f t="shared" si="117"/>
        <v>29.971990999999996</v>
      </c>
      <c r="DZ182" s="111">
        <f t="shared" si="117"/>
        <v>29.971990999999996</v>
      </c>
      <c r="EP182" t="s">
        <v>393</v>
      </c>
      <c r="EQ182">
        <v>-1</v>
      </c>
      <c r="ER182" s="111">
        <f t="shared" si="118"/>
        <v>15.468038705882336</v>
      </c>
      <c r="ES182" s="111">
        <f>IF($BI$8=2015,VLOOKUP($L182,'[12]IMAGE CDLINKS CurPol'!$P$3:$Y$29,10,FALSE)*$AM182,VLOOKUP($L182,'[12]IMAGE CDLINKS CurPol'!$Z$3:$AI$29,10,FALSE)*$AP182)</f>
        <v>32.295331929061298</v>
      </c>
      <c r="ET182" s="111">
        <f t="shared" si="124"/>
        <v>32.295331929061298</v>
      </c>
      <c r="EU182" s="111">
        <f t="shared" si="120"/>
        <v>14.739434329194173</v>
      </c>
      <c r="EV182" s="111">
        <f>IF($BI$8=2015,VLOOKUP($L182,'[12]IMAGE CDLINKS 2C'!$P$3:$Y$29,10,FALSE)*$AM182,VLOOKUP($L182,'[12]IMAGE CDLINKS 2C'!$Z$3:$AI$29,10,FALSE)*$AP182)</f>
        <v>14.739434329194173</v>
      </c>
      <c r="EX182" s="111"/>
      <c r="EY182" s="111">
        <f t="shared" si="121"/>
        <v>8.3955859938748407</v>
      </c>
      <c r="EZ182" s="111">
        <f>IF($BI$8=2015,VLOOKUP($L182,'[12]IMAGE CDLINKS 1_5C'!$P$3:$Y$29,10,FALSE)*$AM182,VLOOKUP($L182,'[12]IMAGE CDLINKS 1_5C'!$Z$3:$AI$29,10,FALSE)*$AP182)</f>
        <v>8.3955859938748407</v>
      </c>
      <c r="FA182" s="192">
        <v>2050</v>
      </c>
    </row>
    <row r="183" spans="1:157" x14ac:dyDescent="0.25">
      <c r="A183" t="str">
        <f>IF([12]NDCs!C185="","",[12]NDCs!C185)</f>
        <v>A</v>
      </c>
      <c r="B183" s="159" t="str">
        <f t="shared" si="112"/>
        <v>v</v>
      </c>
      <c r="C183">
        <v>0</v>
      </c>
      <c r="D183">
        <v>0</v>
      </c>
      <c r="E183">
        <v>0</v>
      </c>
      <c r="F183">
        <v>1</v>
      </c>
      <c r="G183" t="b">
        <f t="shared" si="113"/>
        <v>1</v>
      </c>
      <c r="H183" t="s">
        <v>2328</v>
      </c>
      <c r="I183" t="s">
        <v>395</v>
      </c>
      <c r="J183">
        <v>0</v>
      </c>
      <c r="K183">
        <v>223</v>
      </c>
      <c r="L183">
        <v>12</v>
      </c>
      <c r="M183" t="str">
        <f>IF([12]NDCs!AL185="Excluding","excl","incl")</f>
        <v>excl</v>
      </c>
      <c r="N183" s="160">
        <f>[12]GHG_hist!BA173+IF($M183="incl",[12]LULUCF_hist!CR173,0)</f>
        <v>85.780751999999993</v>
      </c>
      <c r="O183" s="111">
        <f>[12]GHG_hist!BB173+IF($M183="incl",[12]LULUCF_hist!CS173,0)</f>
        <v>61.655955000000006</v>
      </c>
      <c r="P183" s="111">
        <f>[12]GHG_hist!BC173+IF($M183="incl",[12]LULUCF_hist!CT173,0)</f>
        <v>67.006051000000014</v>
      </c>
      <c r="Q183" s="111">
        <f>[12]GHG_hist!BD173+IF($M183="incl",[12]LULUCF_hist!CU173,0)</f>
        <v>58.613561000000004</v>
      </c>
      <c r="R183" s="111">
        <f>[12]GHG_hist!BE173+IF($M183="incl",[12]LULUCF_hist!CV173,0)</f>
        <v>56.601186000000006</v>
      </c>
      <c r="S183" s="111">
        <f>[12]GHG_hist!BF173+IF($M183="incl",[12]LULUCF_hist!CW173,0)</f>
        <v>59.670978000000005</v>
      </c>
      <c r="T183" s="111">
        <f>[12]GHG_hist!BG173+IF($M183="incl",[12]LULUCF_hist!CX173,0)</f>
        <v>67.757327000000004</v>
      </c>
      <c r="U183" s="111">
        <f>[12]GHG_hist!BH173+IF($M183="incl",[12]LULUCF_hist!CY173,0)</f>
        <v>72.333944000000002</v>
      </c>
      <c r="V183" s="111">
        <f>[12]GHG_hist!BI173+IF($M183="incl",[12]LULUCF_hist!CZ173,0)</f>
        <v>74.258322000000007</v>
      </c>
      <c r="W183" s="111">
        <f>[12]GHG_hist!BJ173+IF($M183="incl",[12]LULUCF_hist!DA173,0)</f>
        <v>54.728299</v>
      </c>
      <c r="X183" s="111">
        <f>[12]GHG_hist!BK173+IF($M183="incl",[12]LULUCF_hist!DB173,0)</f>
        <v>63.850125999999996</v>
      </c>
      <c r="Y183" s="111">
        <f>[12]GHG_hist!BL173+IF($M183="incl",[12]LULUCF_hist!DC173,0)</f>
        <v>68.333483000000001</v>
      </c>
      <c r="Z183" s="111">
        <f>[12]GHG_hist!BM173+IF($M183="incl",[12]LULUCF_hist!DD173,0)</f>
        <v>71.52310700000001</v>
      </c>
      <c r="AA183" s="111">
        <f>[12]GHG_hist!BN173+IF($M183="incl",[12]LULUCF_hist!DE173,0)</f>
        <v>74.094084000000009</v>
      </c>
      <c r="AB183" s="111">
        <f>[12]GHG_hist!BO173+IF($M183="incl",[12]LULUCF_hist!DF173,0)</f>
        <v>80.335352999999998</v>
      </c>
      <c r="AC183" s="111">
        <f>[12]GHG_hist!BP173+IF($M183="incl",[12]LULUCF_hist!DG173,0)</f>
        <v>70.31867299999999</v>
      </c>
      <c r="AD183" s="111">
        <f>[12]GHG_hist!BQ173+IF($M183="incl",[12]LULUCF_hist!DH173,0)</f>
        <v>78.942315000000008</v>
      </c>
      <c r="AE183" s="111">
        <f>[12]GHG_hist!BR173+IF($M183="incl",[12]LULUCF_hist!DI173,0)</f>
        <v>76.525439000000006</v>
      </c>
      <c r="AF183" s="111">
        <f>[12]GHG_hist!BS173+IF($M183="incl",[12]LULUCF_hist!DJ173,0)</f>
        <v>72.849168999999989</v>
      </c>
      <c r="AG183" s="111">
        <f>[12]GHG_hist!BT173+IF($M183="incl",[12]LULUCF_hist!DK173,0)</f>
        <v>65.403509</v>
      </c>
      <c r="AH183" s="111">
        <f>[12]GHG_hist!BU173+IF($M183="incl",[12]LULUCF_hist!DL173,0)</f>
        <v>64.132046000000003</v>
      </c>
      <c r="AI183" s="111">
        <f>[12]GHG_hist!BV173+IF($M183="incl",[12]LULUCF_hist!DM173,0)</f>
        <v>68.097970000000004</v>
      </c>
      <c r="AJ183" s="111">
        <f>[12]GHG_hist!BW173+IF($M183="incl",[12]LULUCF_hist!DN173,0)</f>
        <v>61.465436000000004</v>
      </c>
      <c r="AK183" s="111">
        <f>[12]GHG_hist!BX173+IF($M183="incl",[12]LULUCF_hist!DO173,0)</f>
        <v>62.459439000000003</v>
      </c>
      <c r="AL183" s="111">
        <f>[12]GHG_hist!BY173+IF($M183="incl",[12]LULUCF_hist!DP173,0)</f>
        <v>65.817942000000002</v>
      </c>
      <c r="AM183" s="111">
        <f>[12]GHG_hist!BZ173+IF($M183="incl",[12]LULUCF_hist!DQ173,0)</f>
        <v>75.235169999999997</v>
      </c>
      <c r="AN183" s="111">
        <f>[12]GHG_hist!CA173+IF($M183="incl",[12]LULUCF_hist!DR173,0)</f>
        <v>77.795332000000002</v>
      </c>
      <c r="AO183" s="111">
        <f>[12]GHG_hist!CB173+IF($M183="incl",[12]LULUCF_hist!DS173,0)</f>
        <v>76.415214000000006</v>
      </c>
      <c r="AP183" s="111">
        <f>[12]GHG_hist!CC173+IF($M183="incl",[12]LULUCF_hist!DT173,0)</f>
        <v>76.60942</v>
      </c>
      <c r="AQ183" s="111">
        <f>[12]GHG_hist!CD173+IF($M183="incl",[12]LULUCF_hist!DU173,0)</f>
        <v>77.582689000000002</v>
      </c>
      <c r="AR183" s="111">
        <f>[12]GHG_hist!CE173+IF($M183="incl",[12]LULUCF_hist!DV173,0)</f>
        <v>77.115949999999998</v>
      </c>
      <c r="AS183" s="111">
        <f>[12]GHG_hist!CF173+IF($M183="incl",[12]LULUCF_hist!DW173,0)</f>
        <v>75.041087000000005</v>
      </c>
      <c r="AT183" s="161">
        <f>VLOOKUP($L183,'[12]IMAGE SSP2'!$AF$3:$AK$29,4,FALSE)*$AM183</f>
        <v>78.277628386241247</v>
      </c>
      <c r="AU183" s="162">
        <f>VLOOKUP($L183,'[12]IMAGE SSP2'!$AF$3:$AK$29,5,FALSE)*$AM183</f>
        <v>79.947773451688278</v>
      </c>
      <c r="AV183" s="163">
        <f>VLOOKUP($L183,'[12]IMAGE SSP2'!$AF$3:$AK$29,6,FALSE)*$AM183</f>
        <v>82.085003481745375</v>
      </c>
      <c r="AW183" s="111" t="str">
        <f t="shared" si="119"/>
        <v/>
      </c>
      <c r="AX183" s="164" t="str">
        <f>IF(A183="B",IF(M183="excl",[12]NatCom!CO173,[12]NatCom!AX173),"")</f>
        <v/>
      </c>
      <c r="AY183" s="111" t="str">
        <f>IF('[12]Pledge 2020'!E173="","",'[12]Pledge 2020'!E173)</f>
        <v/>
      </c>
      <c r="AZ183" s="164" t="str">
        <f>IF('[12]Pledge 2020'!F173="","",'[12]Pledge 2020'!F173)</f>
        <v/>
      </c>
      <c r="BA183" s="111">
        <f t="shared" si="100"/>
        <v>74.063690227999999</v>
      </c>
      <c r="BB183" s="111">
        <f>IF(BF183="","",(BF183-AH183)*0.75+AH183)</f>
        <v>74.063690227999999</v>
      </c>
      <c r="BC183" s="111">
        <f t="shared" si="101"/>
        <v>74.063690227999999</v>
      </c>
      <c r="BD183" s="111">
        <f t="shared" si="135"/>
        <v>74.063690227999999</v>
      </c>
      <c r="BE183" s="111">
        <v>77.374238304000002</v>
      </c>
      <c r="BF183" s="111">
        <v>77.374238304000002</v>
      </c>
      <c r="BG183" s="111">
        <v>77.374238304000002</v>
      </c>
      <c r="BH183" s="111">
        <v>77.374238304000002</v>
      </c>
      <c r="BI183" s="111">
        <f>IF([12]NDCs!V185="",IF([12]NDCs!X185="","",[12]NDCs!X185),[12]NDCs!V185)</f>
        <v>77.374238304000002</v>
      </c>
      <c r="BJ183" s="111">
        <f>IF([12]NDCs!V185="",IF([12]NDCs!X185="","",[12]NDCs!X185),[12]NDCs!V185)</f>
        <v>77.374238304000002</v>
      </c>
      <c r="BK183" s="111">
        <f>IF([12]NDCs!Z185="",IF([12]NDCs!AB185="",IF('input site'!BE183="","",'input site'!BE183),[12]NDCs!AB185),[12]NDCs!Z185)</f>
        <v>77.374238304000002</v>
      </c>
      <c r="BL183" s="111">
        <f>IF([12]NDCs!AA185="",IF([12]NDCs!AC185="",IF('input site'!BF183="","",'input site'!BF183),[12]NDCs!AC185),[12]NDCs!AA185)</f>
        <v>77.374238304000002</v>
      </c>
      <c r="BM183" s="111">
        <f>IF($BI$8=2015,VLOOKUP($L183,'[12]IMAGE CurPol SSP'!$AZ$3:$BD$29,4,FALSE)*$AM183,IF($BI$8=2018,VLOOKUP($L183,'[12]IMAGE CurPol SSP'!$BJ$3:$BN$29,4,FALSE)*$AP183,$AR183))</f>
        <v>77.115949999999998</v>
      </c>
      <c r="BN183" s="111">
        <f t="shared" si="136"/>
        <v>77.115949999999998</v>
      </c>
      <c r="BO183" s="111">
        <f t="shared" si="136"/>
        <v>77.115949999999998</v>
      </c>
      <c r="BP183" s="111">
        <f>IF($BI$8=2015,VLOOKUP($L183,'[12]IMAGE CurPol SSP'!$AZ$3:$BD$29,5,FALSE)*$AM183,IF($BI$8=2018,VLOOKUP($L183,'[12]IMAGE CurPol SSP'!$BJ$3:$BN$29,5,FALSE)*$AP183,VLOOKUP($L183,'[12]IMAGE CurPol SSP'!$BU$3:$BZ$29,5,FALSE)*$AS183))</f>
        <v>59.679346047572409</v>
      </c>
      <c r="BQ183" s="111">
        <f>IF($BI$8=2015,"",IF($BI$8=2018,"",VLOOKUP($L183,'[12]IMAGE CurPol SSP'!$CQ$3:$CV$29,5,FALSE)*$AS183))</f>
        <v>59.679346047572409</v>
      </c>
      <c r="BR183" s="111">
        <f>IF($BI$8=2015,"",IF($BI$8=2018,"",VLOOKUP($L183,'[12]IMAGE CurPol SSP'!$CF$3:$CK$29,5,FALSE)*$AS183))</f>
        <v>61.587281486227418</v>
      </c>
      <c r="BS183" s="111">
        <f>IF($BI$8=2015,VLOOKUP($L183,'[12]IMAGE CurPol SSP'!$AZ$3:$BE$29,6,FALSE)*$AM183,IF($BI$8=2018,VLOOKUP($L183,'[12]IMAGE CurPol SSP'!$BJ$3:$BO$29,6,FALSE)*$AP183,VLOOKUP($L183,'[12]IMAGE CurPol SSP'!$BU$3:$BZ$29,6,FALSE)*$AS183))</f>
        <v>38.450542451590984</v>
      </c>
      <c r="BT183" s="111">
        <f>IF($BI$8=2015,"",IF($BI$8=2018,"",VLOOKUP($L183,'[12]IMAGE CurPol SSP'!$CQ$3:$CV$29,6,FALSE)*$AS183))</f>
        <v>38.450542451590984</v>
      </c>
      <c r="BU183" s="164">
        <f>IF($BI$8=2015,"",IF($BI$8=2018,"",VLOOKUP($L183,'[12]IMAGE CurPol SSP'!$CF$3:$CK$29,6,FALSE)*$AS183))</f>
        <v>40.393500520649482</v>
      </c>
      <c r="CN183" t="s">
        <v>395</v>
      </c>
      <c r="CO183" s="165">
        <f t="shared" si="114"/>
        <v>1.0123055065195437</v>
      </c>
      <c r="CP183" s="165">
        <f t="shared" si="114"/>
        <v>1.0123055065195437</v>
      </c>
      <c r="CQ183" s="165">
        <f t="shared" si="114"/>
        <v>1.0123055065195437</v>
      </c>
      <c r="CR183" s="165">
        <f t="shared" si="114"/>
        <v>1.0123055065195437</v>
      </c>
      <c r="CV183" s="125" t="s">
        <v>621</v>
      </c>
      <c r="CW183" s="125" t="s">
        <v>621</v>
      </c>
      <c r="CX183"/>
      <c r="CY183" s="167">
        <f t="shared" si="115"/>
        <v>1.161678386241249</v>
      </c>
      <c r="DB183" s="106"/>
      <c r="DC183" s="106"/>
      <c r="DD183" s="106"/>
      <c r="DE183" s="106"/>
      <c r="DF183" s="106"/>
      <c r="DG183" s="105" t="str">
        <f t="shared" si="116"/>
        <v>excl</v>
      </c>
      <c r="DH183" t="s">
        <v>395</v>
      </c>
      <c r="DI183" s="111">
        <f t="shared" si="137"/>
        <v>0</v>
      </c>
      <c r="DJ183" s="111">
        <f t="shared" si="137"/>
        <v>0</v>
      </c>
      <c r="DK183" s="111">
        <f t="shared" si="138"/>
        <v>14.38434418042759</v>
      </c>
      <c r="DL183" s="111">
        <f t="shared" si="139"/>
        <v>14.38434418042759</v>
      </c>
      <c r="DM183" s="111">
        <f t="shared" si="140"/>
        <v>38.923695852409018</v>
      </c>
      <c r="DN183" s="111">
        <f t="shared" si="141"/>
        <v>38.923695852409018</v>
      </c>
      <c r="DO183" s="111">
        <f t="shared" si="142"/>
        <v>38.923695852409018</v>
      </c>
      <c r="DP183" s="111">
        <f t="shared" si="143"/>
        <v>38.923695852409018</v>
      </c>
      <c r="DQ183" s="106"/>
      <c r="DR183" s="106"/>
      <c r="DS183" s="111"/>
      <c r="DT183" s="168"/>
      <c r="DW183" s="111">
        <f t="shared" si="117"/>
        <v>77.374238304000002</v>
      </c>
      <c r="DX183" s="111">
        <f t="shared" si="117"/>
        <v>77.374238304000002</v>
      </c>
      <c r="DY183" s="111">
        <f t="shared" si="117"/>
        <v>77.374238304000002</v>
      </c>
      <c r="DZ183" s="111">
        <f t="shared" si="117"/>
        <v>77.374238304000002</v>
      </c>
      <c r="EP183" t="s">
        <v>395</v>
      </c>
      <c r="EQ183">
        <v>4</v>
      </c>
      <c r="ER183" s="111">
        <f t="shared" si="118"/>
        <v>76.60942</v>
      </c>
      <c r="ES183" s="111">
        <f>IF($BI$8=2015,VLOOKUP($L183,'[12]IMAGE CDLINKS CurPol'!$P$3:$Y$29,10,FALSE)*$AM183,VLOOKUP($L183,'[12]IMAGE CDLINKS CurPol'!$Z$3:$AI$29,10,FALSE)*$AP183)</f>
        <v>80.536640994492004</v>
      </c>
      <c r="ET183" s="111">
        <f t="shared" si="124"/>
        <v>0</v>
      </c>
      <c r="EU183" s="111">
        <f t="shared" si="120"/>
        <v>0</v>
      </c>
      <c r="EV183" s="111">
        <f>IF($BI$8=2015,VLOOKUP($L183,'[12]IMAGE CDLINKS 2C'!$P$3:$Y$29,10,FALSE)*$AM183,VLOOKUP($L183,'[12]IMAGE CDLINKS 2C'!$Z$3:$AI$29,10,FALSE)*$AP183)</f>
        <v>17.436909642207002</v>
      </c>
      <c r="EY183" s="111">
        <f t="shared" si="121"/>
        <v>0</v>
      </c>
      <c r="EZ183" s="111">
        <f>IF($BI$8=2015,VLOOKUP($L183,'[12]IMAGE CDLINKS 1_5C'!$P$3:$Y$29,10,FALSE)*$AM183,VLOOKUP($L183,'[12]IMAGE CDLINKS 1_5C'!$Z$3:$AI$29,10,FALSE)*$AP183)</f>
        <v>8.5064976572715896</v>
      </c>
      <c r="FA183" s="192"/>
    </row>
    <row r="184" spans="1:157" x14ac:dyDescent="0.25">
      <c r="A184" t="str">
        <f>IF([12]NDCs!C186="","",[12]NDCs!C186)</f>
        <v>B</v>
      </c>
      <c r="B184" s="159" t="str">
        <f t="shared" si="112"/>
        <v>v</v>
      </c>
      <c r="C184">
        <v>0</v>
      </c>
      <c r="D184">
        <v>0</v>
      </c>
      <c r="E184">
        <v>0</v>
      </c>
      <c r="F184">
        <v>1</v>
      </c>
      <c r="G184" t="b">
        <f t="shared" si="113"/>
        <v>1</v>
      </c>
      <c r="H184" t="s">
        <v>2328</v>
      </c>
      <c r="I184" t="s">
        <v>397</v>
      </c>
      <c r="J184">
        <v>690</v>
      </c>
      <c r="K184">
        <v>179</v>
      </c>
      <c r="L184">
        <v>9</v>
      </c>
      <c r="M184" t="str">
        <f>IF([12]NDCs!AL186="Excluding","excl","incl")</f>
        <v>excl</v>
      </c>
      <c r="N184" s="160">
        <f>[12]GHG_hist!BA174+IF($M184="incl",[12]LULUCF_hist!CR174,0)</f>
        <v>0.20638990999999998</v>
      </c>
      <c r="O184" s="111">
        <f>[12]GHG_hist!BB174+IF($M184="incl",[12]LULUCF_hist!CS174,0)</f>
        <v>0.23275302</v>
      </c>
      <c r="P184" s="111">
        <f>[12]GHG_hist!BC174+IF($M184="incl",[12]LULUCF_hist!CT174,0)</f>
        <v>0.23103383</v>
      </c>
      <c r="Q184" s="111">
        <f>[12]GHG_hist!BD174+IF($M184="incl",[12]LULUCF_hist!CU174,0)</f>
        <v>0.24343277000000002</v>
      </c>
      <c r="R184" s="111">
        <f>[12]GHG_hist!BE174+IF($M184="incl",[12]LULUCF_hist!CV174,0)</f>
        <v>0.26290257000000006</v>
      </c>
      <c r="S184" s="111">
        <f>[12]GHG_hist!BF174+IF($M184="incl",[12]LULUCF_hist!CW174,0)</f>
        <v>0.26051369999999996</v>
      </c>
      <c r="T184" s="111">
        <f>[12]GHG_hist!BG174+IF($M184="incl",[12]LULUCF_hist!CX174,0)</f>
        <v>0.29717721999999996</v>
      </c>
      <c r="U184" s="111">
        <f>[12]GHG_hist!BH174+IF($M184="incl",[12]LULUCF_hist!CY174,0)</f>
        <v>0.40580363000000003</v>
      </c>
      <c r="V184" s="111">
        <f>[12]GHG_hist!BI174+IF($M184="incl",[12]LULUCF_hist!CZ174,0)</f>
        <v>0.49729419000000002</v>
      </c>
      <c r="W184" s="111">
        <f>[12]GHG_hist!BJ174+IF($M184="incl",[12]LULUCF_hist!DA174,0)</f>
        <v>0.57528911000000005</v>
      </c>
      <c r="X184" s="111">
        <f>[12]GHG_hist!BK174+IF($M184="incl",[12]LULUCF_hist!DB174,0)</f>
        <v>0.64569805000000002</v>
      </c>
      <c r="Y184" s="111">
        <f>[12]GHG_hist!BL174+IF($M184="incl",[12]LULUCF_hist!DC174,0)</f>
        <v>0.70774036000000007</v>
      </c>
      <c r="Z184" s="111">
        <f>[12]GHG_hist!BM174+IF($M184="incl",[12]LULUCF_hist!DD174,0)</f>
        <v>0.61157387000000007</v>
      </c>
      <c r="AA184" s="111">
        <f>[12]GHG_hist!BN174+IF($M184="incl",[12]LULUCF_hist!DE174,0)</f>
        <v>0.62175136999999991</v>
      </c>
      <c r="AB184" s="111">
        <f>[12]GHG_hist!BO174+IF($M184="incl",[12]LULUCF_hist!DF174,0)</f>
        <v>0.81730817</v>
      </c>
      <c r="AC184" s="111">
        <f>[12]GHG_hist!BP174+IF($M184="incl",[12]LULUCF_hist!DG174,0)</f>
        <v>0.76877809000000008</v>
      </c>
      <c r="AD184" s="111">
        <f>[12]GHG_hist!BQ174+IF($M184="incl",[12]LULUCF_hist!DH174,0)</f>
        <v>0.81500170999999999</v>
      </c>
      <c r="AE184" s="111">
        <f>[12]GHG_hist!BR174+IF($M184="incl",[12]LULUCF_hist!DI174,0)</f>
        <v>0.72013370999999993</v>
      </c>
      <c r="AF184" s="111">
        <f>[12]GHG_hist!BS174+IF($M184="incl",[12]LULUCF_hist!DJ174,0)</f>
        <v>0.77261217999999998</v>
      </c>
      <c r="AG184" s="111">
        <f>[12]GHG_hist!BT174+IF($M184="incl",[12]LULUCF_hist!DK174,0)</f>
        <v>0.60557384999999997</v>
      </c>
      <c r="AH184" s="111">
        <f>[12]GHG_hist!BU174+IF($M184="incl",[12]LULUCF_hist!DL174,0)</f>
        <v>0.52253176000000001</v>
      </c>
      <c r="AI184" s="111">
        <f>[12]GHG_hist!BV174+IF($M184="incl",[12]LULUCF_hist!DM174,0)</f>
        <v>0.40440994000000002</v>
      </c>
      <c r="AJ184" s="111">
        <f>[12]GHG_hist!BW174+IF($M184="incl",[12]LULUCF_hist!DN174,0)</f>
        <v>0.50209016000000006</v>
      </c>
      <c r="AK184" s="111">
        <f>[12]GHG_hist!BX174+IF($M184="incl",[12]LULUCF_hist!DO174,0)</f>
        <v>0.40971262000000003</v>
      </c>
      <c r="AL184" s="111">
        <f>[12]GHG_hist!BY174+IF($M184="incl",[12]LULUCF_hist!DP174,0)</f>
        <v>0.57228972999999994</v>
      </c>
      <c r="AM184" s="111">
        <f>[12]GHG_hist!BZ174+IF($M184="incl",[12]LULUCF_hist!DQ174,0)</f>
        <v>0.56698760000000004</v>
      </c>
      <c r="AN184" s="111">
        <f>[12]GHG_hist!CA174+IF($M184="incl",[12]LULUCF_hist!DR174,0)</f>
        <v>0.68559048</v>
      </c>
      <c r="AO184" s="111">
        <f>[12]GHG_hist!CB174+IF($M184="incl",[12]LULUCF_hist!DS174,0)</f>
        <v>0.67997856000000001</v>
      </c>
      <c r="AP184" s="111">
        <f>[12]GHG_hist!CC174+IF($M184="incl",[12]LULUCF_hist!DT174,0)</f>
        <v>0.60966058999999995</v>
      </c>
      <c r="AQ184" s="111">
        <f>[12]GHG_hist!CD174+IF($M184="incl",[12]LULUCF_hist!DU174,0)</f>
        <v>0.61768040000000002</v>
      </c>
      <c r="AR184" s="111">
        <f>[12]GHG_hist!CE174+IF($M184="incl",[12]LULUCF_hist!DV174,0)</f>
        <v>0.62764706999999997</v>
      </c>
      <c r="AS184" s="111">
        <f>[12]GHG_hist!CF174+IF($M184="incl",[12]LULUCF_hist!DW174,0)</f>
        <v>0.65006326999999997</v>
      </c>
      <c r="AT184" s="161">
        <f>VLOOKUP($L184,'[12]IMAGE SSP2'!$AF$3:$AK$29,4,FALSE)*$AM184</f>
        <v>0.64852115661168097</v>
      </c>
      <c r="AU184" s="162">
        <f>VLOOKUP($L184,'[12]IMAGE SSP2'!$AF$3:$AK$29,5,FALSE)*$AM184</f>
        <v>0.74292767234677048</v>
      </c>
      <c r="AV184" s="163">
        <f>VLOOKUP($L184,'[12]IMAGE SSP2'!$AF$3:$AK$29,6,FALSE)*$AM184</f>
        <v>0.86142984497203057</v>
      </c>
      <c r="AW184" s="111">
        <f t="shared" si="119"/>
        <v>0.26126588000000001</v>
      </c>
      <c r="AX184" s="164">
        <f>IF(A184="B",IF(M184="excl",[12]NatCom!CO174,[12]NatCom!AX174),"")</f>
        <v>0</v>
      </c>
      <c r="AY184" s="111" t="str">
        <f>IF('[12]Pledge 2020'!E174="","",'[12]Pledge 2020'!E174)</f>
        <v/>
      </c>
      <c r="AZ184" s="164" t="str">
        <f>IF('[12]Pledge 2020'!F174="","",'[12]Pledge 2020'!F174)</f>
        <v/>
      </c>
      <c r="BA184" s="111" t="str">
        <f t="shared" ref="BA184:BA236" si="144">IF(BE184="","",(BE184-AH184)*0.75+AH184)</f>
        <v/>
      </c>
      <c r="BB184" s="111"/>
      <c r="BC184" s="111">
        <f t="shared" ref="BC184:BC236" si="145">IF(BG184="","",(BG184-AH184)*0.75+AH184)</f>
        <v>0.60674747350000002</v>
      </c>
      <c r="BD184" s="111">
        <f t="shared" si="135"/>
        <v>0.60674747350000002</v>
      </c>
      <c r="BE184" s="111" t="s">
        <v>2477</v>
      </c>
      <c r="BF184" s="111"/>
      <c r="BG184" s="111">
        <v>0.63481937799999999</v>
      </c>
      <c r="BH184" s="111">
        <v>0.63481937799999999</v>
      </c>
      <c r="BI184" s="111" t="str">
        <f>IF([12]NDCs!V186="",IF([12]NDCs!X186="","",[12]NDCs!X186),[12]NDCs!V186)</f>
        <v/>
      </c>
      <c r="BJ184" s="111" t="str">
        <f>IF([12]NDCs!V186="",IF([12]NDCs!X186="","",[12]NDCs!X186),[12]NDCs!V186)</f>
        <v/>
      </c>
      <c r="BK184" s="111">
        <f>IF([12]NDCs!Z186="",IF([12]NDCs!AB186="",IF('input site'!BE184="","",'input site'!BE184),[12]NDCs!AB186),[12]NDCs!Z186)</f>
        <v>0.63481937799999999</v>
      </c>
      <c r="BL184" s="111">
        <f>IF([12]NDCs!AA186="",IF([12]NDCs!AC186="",IF('input site'!BF184="","",'input site'!BF184),[12]NDCs!AC186),[12]NDCs!AA186)</f>
        <v>0.63481937799999999</v>
      </c>
      <c r="BM184" s="111">
        <f>IF($BI$8=2015,VLOOKUP($L184,'[12]IMAGE CurPol SSP'!$AZ$3:$BD$29,4,FALSE)*$AM184,IF($BI$8=2018,VLOOKUP($L184,'[12]IMAGE CurPol SSP'!$BJ$3:$BN$29,4,FALSE)*$AP184,$AR184))</f>
        <v>0.62764706999999997</v>
      </c>
      <c r="BN184" s="111">
        <f t="shared" si="136"/>
        <v>0.62764706999999997</v>
      </c>
      <c r="BO184" s="111">
        <f t="shared" si="136"/>
        <v>0.62764706999999997</v>
      </c>
      <c r="BP184" s="111">
        <f>IF($BI$8=2015,VLOOKUP($L184,'[12]IMAGE CurPol SSP'!$AZ$3:$BD$29,5,FALSE)*$AM184,IF($BI$8=2018,VLOOKUP($L184,'[12]IMAGE CurPol SSP'!$BJ$3:$BN$29,5,FALSE)*$AP184,VLOOKUP($L184,'[12]IMAGE CurPol SSP'!$BU$3:$BZ$29,5,FALSE)*$AS184))</f>
        <v>0.81200395310160012</v>
      </c>
      <c r="BQ184" s="111">
        <f>IF($BI$8=2015,"",IF($BI$8=2018,"",VLOOKUP($L184,'[12]IMAGE CurPol SSP'!$CQ$3:$CV$29,5,FALSE)*$AS184))</f>
        <v>0.80627411326634235</v>
      </c>
      <c r="BR184" s="111">
        <f>IF($BI$8=2015,"",IF($BI$8=2018,"",VLOOKUP($L184,'[12]IMAGE CurPol SSP'!$CF$3:$CK$29,5,FALSE)*$AS184))</f>
        <v>0.82397920349883258</v>
      </c>
      <c r="BS184" s="111">
        <f>IF($BI$8=2015,VLOOKUP($L184,'[12]IMAGE CurPol SSP'!$AZ$3:$BE$29,6,FALSE)*$AM184,IF($BI$8=2018,VLOOKUP($L184,'[12]IMAGE CurPol SSP'!$BJ$3:$BO$29,6,FALSE)*$AP184,VLOOKUP($L184,'[12]IMAGE CurPol SSP'!$BU$3:$BZ$29,6,FALSE)*$AS184))</f>
        <v>1.023132086172345</v>
      </c>
      <c r="BT184" s="111">
        <f>IF($BI$8=2015,"",IF($BI$8=2018,"",VLOOKUP($L184,'[12]IMAGE CurPol SSP'!$CQ$3:$CV$29,6,FALSE)*$AS184))</f>
        <v>1.0087800062250114</v>
      </c>
      <c r="BU184" s="164">
        <f>IF($BI$8=2015,"",IF($BI$8=2018,"",VLOOKUP($L184,'[12]IMAGE CurPol SSP'!$CF$3:$CK$29,6,FALSE)*$AS184))</f>
        <v>1.0523892617248536</v>
      </c>
      <c r="CN184" t="s">
        <v>397</v>
      </c>
      <c r="CO184" s="165" t="str">
        <f t="shared" si="114"/>
        <v/>
      </c>
      <c r="CP184" s="165" t="str">
        <f t="shared" si="114"/>
        <v/>
      </c>
      <c r="CQ184" s="165">
        <f t="shared" si="114"/>
        <v>-0.37953331091889375</v>
      </c>
      <c r="CR184" s="165">
        <f t="shared" si="114"/>
        <v>-0.37953331091889375</v>
      </c>
      <c r="CV184" s="125" t="s">
        <v>621</v>
      </c>
      <c r="CW184" s="125" t="s">
        <v>621</v>
      </c>
      <c r="CX184"/>
      <c r="CY184" s="167">
        <f t="shared" si="115"/>
        <v>2.0874086611680998E-2</v>
      </c>
      <c r="DB184" s="106"/>
      <c r="DC184" s="106"/>
      <c r="DD184" s="106"/>
      <c r="DE184" s="106"/>
      <c r="DF184" s="106"/>
      <c r="DG184" s="105" t="str">
        <f t="shared" si="116"/>
        <v>excl</v>
      </c>
      <c r="DH184" t="s">
        <v>397</v>
      </c>
      <c r="DI184" s="111">
        <f t="shared" si="137"/>
        <v>0</v>
      </c>
      <c r="DJ184" s="111">
        <f t="shared" si="137"/>
        <v>0</v>
      </c>
      <c r="DK184" s="111">
        <f t="shared" si="138"/>
        <v>0</v>
      </c>
      <c r="DL184" s="111">
        <f t="shared" si="139"/>
        <v>-0.20525647960160009</v>
      </c>
      <c r="DM184" s="111">
        <f t="shared" si="140"/>
        <v>0</v>
      </c>
      <c r="DN184" s="111">
        <f t="shared" si="141"/>
        <v>-0.38831270817234498</v>
      </c>
      <c r="DO184" s="111">
        <f t="shared" si="142"/>
        <v>0</v>
      </c>
      <c r="DP184" s="111">
        <f t="shared" si="143"/>
        <v>-0.38831270817234498</v>
      </c>
      <c r="DQ184" s="106"/>
      <c r="DR184" s="106"/>
      <c r="DS184" s="111"/>
      <c r="DT184" s="168"/>
      <c r="DW184" s="111">
        <f t="shared" si="117"/>
        <v>1.023132086172345</v>
      </c>
      <c r="DX184" s="111">
        <f t="shared" si="117"/>
        <v>1.023132086172345</v>
      </c>
      <c r="DY184" s="111">
        <f t="shared" si="117"/>
        <v>0.63481937799999999</v>
      </c>
      <c r="DZ184" s="111">
        <f t="shared" si="117"/>
        <v>0.63481937799999999</v>
      </c>
      <c r="EP184" t="s">
        <v>397</v>
      </c>
      <c r="EQ184">
        <v>4</v>
      </c>
      <c r="ER184" s="111">
        <f t="shared" si="118"/>
        <v>0.60966058999999995</v>
      </c>
      <c r="ES184" s="111">
        <f>IF($BI$8=2015,VLOOKUP($L184,'[12]IMAGE CDLINKS CurPol'!$P$3:$Y$29,10,FALSE)*$AM184,VLOOKUP($L184,'[12]IMAGE CDLINKS CurPol'!$Z$3:$AI$29,10,FALSE)*$AP184)</f>
        <v>1.3292814305084932</v>
      </c>
      <c r="ET184" s="111">
        <f t="shared" si="124"/>
        <v>0</v>
      </c>
      <c r="EU184" s="111">
        <f t="shared" si="120"/>
        <v>0</v>
      </c>
      <c r="EV184" s="111">
        <f>IF($BI$8=2015,VLOOKUP($L184,'[12]IMAGE CDLINKS 2C'!$P$3:$Y$29,10,FALSE)*$AM184,VLOOKUP($L184,'[12]IMAGE CDLINKS 2C'!$Z$3:$AI$29,10,FALSE)*$AP184)</f>
        <v>0.71442749828691188</v>
      </c>
      <c r="EW184">
        <v>0</v>
      </c>
      <c r="EX184" s="111">
        <f>EW184-EV184</f>
        <v>-0.71442749828691188</v>
      </c>
      <c r="EY184" s="111">
        <f t="shared" si="121"/>
        <v>0</v>
      </c>
      <c r="EZ184" s="111">
        <f>IF($BI$8=2015,VLOOKUP($L184,'[12]IMAGE CDLINKS 1_5C'!$P$3:$Y$29,10,FALSE)*$AM184,VLOOKUP($L184,'[12]IMAGE CDLINKS 1_5C'!$Z$3:$AI$29,10,FALSE)*$AP184)</f>
        <v>0.65275319286958366</v>
      </c>
      <c r="FA184" s="192">
        <v>2050</v>
      </c>
    </row>
    <row r="185" spans="1:157" x14ac:dyDescent="0.25">
      <c r="A185" t="str">
        <f>IF([12]NDCs!C187="","",[12]NDCs!C187)</f>
        <v>G</v>
      </c>
      <c r="B185" s="159" t="str">
        <f t="shared" si="112"/>
        <v>v</v>
      </c>
      <c r="C185">
        <v>0</v>
      </c>
      <c r="D185">
        <v>0</v>
      </c>
      <c r="E185">
        <v>0</v>
      </c>
      <c r="F185">
        <v>1</v>
      </c>
      <c r="G185" t="b">
        <f t="shared" si="113"/>
        <v>0</v>
      </c>
      <c r="H185" t="s">
        <v>2333</v>
      </c>
      <c r="I185" t="s">
        <v>399</v>
      </c>
      <c r="J185">
        <v>694</v>
      </c>
      <c r="K185">
        <v>180</v>
      </c>
      <c r="L185">
        <v>8</v>
      </c>
      <c r="M185" t="str">
        <f>IF([12]NDCs!AL187="Excluding","excl","incl")</f>
        <v>excl</v>
      </c>
      <c r="N185" s="160">
        <f>[12]GHG_hist!BA175+IF($M185="incl",[12]LULUCF_hist!CR175,0)</f>
        <v>4.8301818999999995</v>
      </c>
      <c r="O185" s="111">
        <f>[12]GHG_hist!BB175+IF($M185="incl",[12]LULUCF_hist!CS175,0)</f>
        <v>4.8623625000000006</v>
      </c>
      <c r="P185" s="111">
        <f>[12]GHG_hist!BC175+IF($M185="incl",[12]LULUCF_hist!CT175,0)</f>
        <v>4.6823023999999993</v>
      </c>
      <c r="Q185" s="111">
        <f>[12]GHG_hist!BD175+IF($M185="incl",[12]LULUCF_hist!CU175,0)</f>
        <v>4.7363664999999999</v>
      </c>
      <c r="R185" s="111">
        <f>[12]GHG_hist!BE175+IF($M185="incl",[12]LULUCF_hist!CV175,0)</f>
        <v>4.6847216999999999</v>
      </c>
      <c r="S185" s="111">
        <f>[12]GHG_hist!BF175+IF($M185="incl",[12]LULUCF_hist!CW175,0)</f>
        <v>4.3810006000000001</v>
      </c>
      <c r="T185" s="111">
        <f>[12]GHG_hist!BG175+IF($M185="incl",[12]LULUCF_hist!CX175,0)</f>
        <v>4.1173392999999994</v>
      </c>
      <c r="U185" s="111">
        <f>[12]GHG_hist!BH175+IF($M185="incl",[12]LULUCF_hist!CY175,0)</f>
        <v>4.1244249000000002</v>
      </c>
      <c r="V185" s="111">
        <f>[12]GHG_hist!BI175+IF($M185="incl",[12]LULUCF_hist!CZ175,0)</f>
        <v>4.1334086000000001</v>
      </c>
      <c r="W185" s="111">
        <f>[12]GHG_hist!BJ175+IF($M185="incl",[12]LULUCF_hist!DA175,0)</f>
        <v>3.9843112999999999</v>
      </c>
      <c r="X185" s="111">
        <f>[12]GHG_hist!BK175+IF($M185="incl",[12]LULUCF_hist!DB175,0)</f>
        <v>4.2339674999999994</v>
      </c>
      <c r="Y185" s="111">
        <f>[12]GHG_hist!BL175+IF($M185="incl",[12]LULUCF_hist!DC175,0)</f>
        <v>4.5781790000000004</v>
      </c>
      <c r="Z185" s="111">
        <f>[12]GHG_hist!BM175+IF($M185="incl",[12]LULUCF_hist!DD175,0)</f>
        <v>5.0881042000000001</v>
      </c>
      <c r="AA185" s="111">
        <f>[12]GHG_hist!BN175+IF($M185="incl",[12]LULUCF_hist!DE175,0)</f>
        <v>5.6667214999999995</v>
      </c>
      <c r="AB185" s="111">
        <f>[12]GHG_hist!BO175+IF($M185="incl",[12]LULUCF_hist!DF175,0)</f>
        <v>6.0819890999999995</v>
      </c>
      <c r="AC185" s="111">
        <f>[12]GHG_hist!BP175+IF($M185="incl",[12]LULUCF_hist!DG175,0)</f>
        <v>6.4220963000000006</v>
      </c>
      <c r="AD185" s="111">
        <f>[12]GHG_hist!BQ175+IF($M185="incl",[12]LULUCF_hist!DH175,0)</f>
        <v>7.6374674000000002</v>
      </c>
      <c r="AE185" s="111">
        <f>[12]GHG_hist!BR175+IF($M185="incl",[12]LULUCF_hist!DI175,0)</f>
        <v>7.2734136999999999</v>
      </c>
      <c r="AF185" s="111">
        <f>[12]GHG_hist!BS175+IF($M185="incl",[12]LULUCF_hist!DJ175,0)</f>
        <v>7.1826103000000003</v>
      </c>
      <c r="AG185" s="111">
        <f>[12]GHG_hist!BT175+IF($M185="incl",[12]LULUCF_hist!DK175,0)</f>
        <v>7.6319280000000003</v>
      </c>
      <c r="AH185" s="111">
        <f>[12]GHG_hist!BU175+IF($M185="incl",[12]LULUCF_hist!DL175,0)</f>
        <v>7.7778149999999995</v>
      </c>
      <c r="AI185" s="111">
        <f>[12]GHG_hist!BV175+IF($M185="incl",[12]LULUCF_hist!DM175,0)</f>
        <v>8.3825521000000016</v>
      </c>
      <c r="AJ185" s="111">
        <f>[12]GHG_hist!BW175+IF($M185="incl",[12]LULUCF_hist!DN175,0)</f>
        <v>9.2908337999999997</v>
      </c>
      <c r="AK185" s="111">
        <f>[12]GHG_hist!BX175+IF($M185="incl",[12]LULUCF_hist!DO175,0)</f>
        <v>9.4863713999999995</v>
      </c>
      <c r="AL185" s="111">
        <f>[12]GHG_hist!BY175+IF($M185="incl",[12]LULUCF_hist!DP175,0)</f>
        <v>9.987937500000001</v>
      </c>
      <c r="AM185" s="111">
        <f>[12]GHG_hist!BZ175+IF($M185="incl",[12]LULUCF_hist!DQ175,0)</f>
        <v>9.6653241999999988</v>
      </c>
      <c r="AN185" s="111">
        <f>[12]GHG_hist!CA175+IF($M185="incl",[12]LULUCF_hist!DR175,0)</f>
        <v>9.9907055000000007</v>
      </c>
      <c r="AO185" s="111">
        <f>[12]GHG_hist!CB175+IF($M185="incl",[12]LULUCF_hist!DS175,0)</f>
        <v>10.072057000000001</v>
      </c>
      <c r="AP185" s="111">
        <f>[12]GHG_hist!CC175+IF($M185="incl",[12]LULUCF_hist!DT175,0)</f>
        <v>10.974406999999999</v>
      </c>
      <c r="AQ185" s="111">
        <f>[12]GHG_hist!CD175+IF($M185="incl",[12]LULUCF_hist!DU175,0)</f>
        <v>10.18689</v>
      </c>
      <c r="AR185" s="111">
        <f>[12]GHG_hist!CE175+IF($M185="incl",[12]LULUCF_hist!DV175,0)</f>
        <v>10.350220999999999</v>
      </c>
      <c r="AS185" s="111">
        <f>[12]GHG_hist!CF175+IF($M185="incl",[12]LULUCF_hist!DW175,0)</f>
        <v>10.556006</v>
      </c>
      <c r="AT185" s="161">
        <f>VLOOKUP($L185,'[12]IMAGE SSP2'!$AF$3:$AK$29,4,FALSE)*$AM185</f>
        <v>12.751334027845143</v>
      </c>
      <c r="AU185" s="162">
        <f>VLOOKUP($L185,'[12]IMAGE SSP2'!$AF$3:$AK$29,5,FALSE)*$AM185</f>
        <v>14.794175612975252</v>
      </c>
      <c r="AV185" s="163">
        <f>VLOOKUP($L185,'[12]IMAGE SSP2'!$AF$3:$AK$29,6,FALSE)*$AM185</f>
        <v>17.734838139336496</v>
      </c>
      <c r="AW185" s="111" t="str">
        <f t="shared" si="119"/>
        <v/>
      </c>
      <c r="AX185" s="164" t="str">
        <f>IF(A185="B",IF(M185="excl",[12]NatCom!CO175,[12]NatCom!AX175),"")</f>
        <v/>
      </c>
      <c r="AY185" s="111" t="str">
        <f>IF('[12]Pledge 2020'!E175="","",'[12]Pledge 2020'!E175)</f>
        <v/>
      </c>
      <c r="AZ185" s="164" t="str">
        <f>IF('[12]Pledge 2020'!F175="","",'[12]Pledge 2020'!F175)</f>
        <v/>
      </c>
      <c r="BA185" s="111" t="str">
        <f t="shared" si="144"/>
        <v/>
      </c>
      <c r="BB185" s="111"/>
      <c r="BC185" s="111" t="str">
        <f t="shared" si="145"/>
        <v/>
      </c>
      <c r="BD185" s="111"/>
      <c r="BE185" s="111" t="s">
        <v>2477</v>
      </c>
      <c r="BF185" s="111"/>
      <c r="BG185" s="111" t="s">
        <v>2477</v>
      </c>
      <c r="BH185" s="164"/>
      <c r="BI185" s="111" t="str">
        <f>IF([12]NDCs!V187="",IF([12]NDCs!X187="","",[12]NDCs!X187),[12]NDCs!V187)</f>
        <v/>
      </c>
      <c r="BJ185" s="111" t="str">
        <f>IF([12]NDCs!V187="",IF([12]NDCs!X187="","",[12]NDCs!X187),[12]NDCs!V187)</f>
        <v/>
      </c>
      <c r="BK185" s="111" t="str">
        <f>IF([12]NDCs!Z187="",IF([12]NDCs!AB187="",IF('input site'!BE185="","",'input site'!BE185),[12]NDCs!AB187),[12]NDCs!Z187)</f>
        <v/>
      </c>
      <c r="BL185" s="111" t="str">
        <f>IF([12]NDCs!AA187="",IF([12]NDCs!AC187="",IF('input site'!BF185="","",'input site'!BF185),[12]NDCs!AC187),[12]NDCs!AA187)</f>
        <v/>
      </c>
      <c r="BM185" s="111">
        <f>IF($BI$8=2015,VLOOKUP($L185,'[12]IMAGE CurPol SSP'!$AZ$3:$BD$29,4,FALSE)*$AM185,IF($BI$8=2018,VLOOKUP($L185,'[12]IMAGE CurPol SSP'!$BJ$3:$BN$29,4,FALSE)*$AP185,$AR185))</f>
        <v>10.350220999999999</v>
      </c>
      <c r="BN185" s="111">
        <f t="shared" si="136"/>
        <v>10.350220999999999</v>
      </c>
      <c r="BO185" s="111">
        <f t="shared" si="136"/>
        <v>10.350220999999999</v>
      </c>
      <c r="BP185" s="111">
        <f>IF($BI$8=2015,VLOOKUP($L185,'[12]IMAGE CurPol SSP'!$AZ$3:$BD$29,5,FALSE)*$AM185,IF($BI$8=2018,VLOOKUP($L185,'[12]IMAGE CurPol SSP'!$BJ$3:$BN$29,5,FALSE)*$AP185,VLOOKUP($L185,'[12]IMAGE CurPol SSP'!$BU$3:$BZ$29,5,FALSE)*$AS185))</f>
        <v>10.933352280100195</v>
      </c>
      <c r="BQ185" s="111">
        <f>IF($BI$8=2015,"",IF($BI$8=2018,"",VLOOKUP($L185,'[12]IMAGE CurPol SSP'!$CQ$3:$CV$29,5,FALSE)*$AS185))</f>
        <v>10.811879356791433</v>
      </c>
      <c r="BR185" s="111">
        <f>IF($BI$8=2015,"",IF($BI$8=2018,"",VLOOKUP($L185,'[12]IMAGE CurPol SSP'!$CF$3:$CK$29,5,FALSE)*$AS185))</f>
        <v>11.03555672801332</v>
      </c>
      <c r="BS185" s="111">
        <f>IF($BI$8=2015,VLOOKUP($L185,'[12]IMAGE CurPol SSP'!$AZ$3:$BE$29,6,FALSE)*$AM185,IF($BI$8=2018,VLOOKUP($L185,'[12]IMAGE CurPol SSP'!$BJ$3:$BO$29,6,FALSE)*$AP185,VLOOKUP($L185,'[12]IMAGE CurPol SSP'!$BU$3:$BZ$29,6,FALSE)*$AS185))</f>
        <v>12.572061308294382</v>
      </c>
      <c r="BT185" s="111">
        <f>IF($BI$8=2015,"",IF($BI$8=2018,"",VLOOKUP($L185,'[12]IMAGE CurPol SSP'!$CQ$3:$CV$29,6,FALSE)*$AS185))</f>
        <v>12.246413399034944</v>
      </c>
      <c r="BU185" s="164">
        <f>IF($BI$8=2015,"",IF($BI$8=2018,"",VLOOKUP($L185,'[12]IMAGE CurPol SSP'!$CF$3:$CK$29,6,FALSE)*$AS185))</f>
        <v>12.572061308294382</v>
      </c>
      <c r="CN185" t="s">
        <v>399</v>
      </c>
      <c r="CO185" s="165" t="str">
        <f t="shared" si="114"/>
        <v/>
      </c>
      <c r="CP185" s="165" t="str">
        <f t="shared" si="114"/>
        <v/>
      </c>
      <c r="CQ185" s="165" t="str">
        <f t="shared" si="114"/>
        <v/>
      </c>
      <c r="CR185" s="165" t="str">
        <f t="shared" si="114"/>
        <v/>
      </c>
      <c r="CV185" s="125" t="s">
        <v>621</v>
      </c>
      <c r="CW185" s="125" t="s">
        <v>621</v>
      </c>
      <c r="CX185"/>
      <c r="CY185" s="167">
        <f t="shared" si="115"/>
        <v>2.4011130278451436</v>
      </c>
      <c r="DB185" s="106"/>
      <c r="DC185" s="106"/>
      <c r="DD185" s="106"/>
      <c r="DE185" s="106"/>
      <c r="DF185" s="106"/>
      <c r="DG185" s="105" t="str">
        <f t="shared" si="116"/>
        <v>excl</v>
      </c>
      <c r="DH185" t="s">
        <v>399</v>
      </c>
      <c r="DI185" s="111">
        <f t="shared" si="137"/>
        <v>0</v>
      </c>
      <c r="DJ185" s="111">
        <f t="shared" si="137"/>
        <v>0</v>
      </c>
      <c r="DK185" s="111">
        <f t="shared" si="138"/>
        <v>0</v>
      </c>
      <c r="DL185" s="111">
        <f t="shared" si="139"/>
        <v>0</v>
      </c>
      <c r="DM185" s="111">
        <f t="shared" si="140"/>
        <v>0</v>
      </c>
      <c r="DN185" s="111">
        <f t="shared" si="141"/>
        <v>0</v>
      </c>
      <c r="DO185" s="111">
        <f t="shared" si="142"/>
        <v>0</v>
      </c>
      <c r="DP185" s="111">
        <f t="shared" si="143"/>
        <v>0</v>
      </c>
      <c r="DQ185" s="106"/>
      <c r="DR185" s="106"/>
      <c r="DS185" s="111"/>
      <c r="DT185" s="168"/>
      <c r="DW185" s="111">
        <f t="shared" si="117"/>
        <v>12.572061308294382</v>
      </c>
      <c r="DX185" s="111">
        <f t="shared" si="117"/>
        <v>12.572061308294382</v>
      </c>
      <c r="DY185" s="111">
        <f t="shared" si="117"/>
        <v>12.572061308294382</v>
      </c>
      <c r="DZ185" s="111">
        <f t="shared" si="117"/>
        <v>12.572061308294382</v>
      </c>
      <c r="EP185" t="s">
        <v>399</v>
      </c>
      <c r="EQ185">
        <v>-1</v>
      </c>
      <c r="ER185" s="111">
        <f t="shared" si="118"/>
        <v>10.974406999999999</v>
      </c>
      <c r="ES185" s="111">
        <f>IF($BI$8=2015,VLOOKUP($L185,'[12]IMAGE CDLINKS CurPol'!$P$3:$Y$29,10,FALSE)*$AM185,VLOOKUP($L185,'[12]IMAGE CDLINKS CurPol'!$Z$3:$AI$29,10,FALSE)*$AP185)</f>
        <v>22.913190452182587</v>
      </c>
      <c r="ET185" s="111">
        <f t="shared" si="124"/>
        <v>22.913190452182587</v>
      </c>
      <c r="EU185" s="111">
        <f t="shared" si="120"/>
        <v>10.457470035734685</v>
      </c>
      <c r="EV185" s="111">
        <f>IF($BI$8=2015,VLOOKUP($L185,'[12]IMAGE CDLINKS 2C'!$P$3:$Y$29,10,FALSE)*$AM185,VLOOKUP($L185,'[12]IMAGE CDLINKS 2C'!$Z$3:$AI$29,10,FALSE)*$AP185)</f>
        <v>10.457470035734685</v>
      </c>
      <c r="EX185" s="111"/>
      <c r="EY185" s="111">
        <f t="shared" si="121"/>
        <v>5.9565779121850406</v>
      </c>
      <c r="EZ185" s="111">
        <f>IF($BI$8=2015,VLOOKUP($L185,'[12]IMAGE CDLINKS 1_5C'!$P$3:$Y$29,10,FALSE)*$AM185,VLOOKUP($L185,'[12]IMAGE CDLINKS 1_5C'!$Z$3:$AI$29,10,FALSE)*$AP185)</f>
        <v>5.9565779121850406</v>
      </c>
      <c r="FA185" s="192">
        <v>2050</v>
      </c>
    </row>
    <row r="186" spans="1:157" x14ac:dyDescent="0.25">
      <c r="A186" t="str">
        <f>IF([12]NDCs!C188="","",[12]NDCs!C188)</f>
        <v>D</v>
      </c>
      <c r="B186" s="159" t="str">
        <f t="shared" si="112"/>
        <v>ii</v>
      </c>
      <c r="C186">
        <v>0</v>
      </c>
      <c r="D186">
        <v>0</v>
      </c>
      <c r="E186">
        <v>0</v>
      </c>
      <c r="F186">
        <v>1</v>
      </c>
      <c r="G186" t="b">
        <f t="shared" si="113"/>
        <v>1</v>
      </c>
      <c r="H186" t="s">
        <v>2339</v>
      </c>
      <c r="I186" t="s">
        <v>401</v>
      </c>
      <c r="J186">
        <v>702</v>
      </c>
      <c r="K186">
        <v>181</v>
      </c>
      <c r="L186">
        <v>21</v>
      </c>
      <c r="M186" t="str">
        <f>IF([12]NDCs!AL188="Excluding","excl","incl")</f>
        <v>incl</v>
      </c>
      <c r="N186" s="160">
        <f>[12]GHG_hist!BA176+IF($M186="incl",[12]LULUCF_hist!CR176,0)</f>
        <v>23.724775000000001</v>
      </c>
      <c r="O186" s="111">
        <f>[12]GHG_hist!BB176+IF($M186="incl",[12]LULUCF_hist!CS176,0)</f>
        <v>24.012040000000002</v>
      </c>
      <c r="P186" s="111">
        <f>[12]GHG_hist!BC176+IF($M186="incl",[12]LULUCF_hist!CT176,0)</f>
        <v>25.495337000000003</v>
      </c>
      <c r="Q186" s="111">
        <f>[12]GHG_hist!BD176+IF($M186="incl",[12]LULUCF_hist!CU176,0)</f>
        <v>26.565526000000002</v>
      </c>
      <c r="R186" s="111">
        <f>[12]GHG_hist!BE176+IF($M186="incl",[12]LULUCF_hist!CV176,0)</f>
        <v>31.352720999999999</v>
      </c>
      <c r="S186" s="111">
        <f>[12]GHG_hist!BF176+IF($M186="incl",[12]LULUCF_hist!CW176,0)</f>
        <v>25.035038333333333</v>
      </c>
      <c r="T186" s="111">
        <f>[12]GHG_hist!BG176+IF($M186="incl",[12]LULUCF_hist!CX176,0)</f>
        <v>30.408458666666668</v>
      </c>
      <c r="U186" s="111">
        <f>[12]GHG_hist!BH176+IF($M186="incl",[12]LULUCF_hist!CY176,0)</f>
        <v>38.052305000000004</v>
      </c>
      <c r="V186" s="111">
        <f>[12]GHG_hist!BI176+IF($M186="incl",[12]LULUCF_hist!CZ176,0)</f>
        <v>34.843575333333334</v>
      </c>
      <c r="W186" s="111">
        <f>[12]GHG_hist!BJ176+IF($M186="incl",[12]LULUCF_hist!DA176,0)</f>
        <v>39.083508666666674</v>
      </c>
      <c r="X186" s="111">
        <f>[12]GHG_hist!BK176+IF($M186="incl",[12]LULUCF_hist!DB176,0)</f>
        <v>41.691052000000006</v>
      </c>
      <c r="Y186" s="111">
        <f>[12]GHG_hist!BL176+IF($M186="incl",[12]LULUCF_hist!DC176,0)</f>
        <v>42.124493000000001</v>
      </c>
      <c r="Z186" s="111">
        <f>[12]GHG_hist!BM176+IF($M186="incl",[12]LULUCF_hist!DD176,0)</f>
        <v>40.513056000000006</v>
      </c>
      <c r="AA186" s="111">
        <f>[12]GHG_hist!BN176+IF($M186="incl",[12]LULUCF_hist!DE176,0)</f>
        <v>42.649161000000007</v>
      </c>
      <c r="AB186" s="111">
        <f>[12]GHG_hist!BO176+IF($M186="incl",[12]LULUCF_hist!DF176,0)</f>
        <v>40.599889999999995</v>
      </c>
      <c r="AC186" s="111">
        <f>[12]GHG_hist!BP176+IF($M186="incl",[12]LULUCF_hist!DG176,0)</f>
        <v>32.711821999999998</v>
      </c>
      <c r="AD186" s="111">
        <f>[12]GHG_hist!BQ176+IF($M186="incl",[12]LULUCF_hist!DH176,0)</f>
        <v>37.871130000000001</v>
      </c>
      <c r="AE186" s="111">
        <f>[12]GHG_hist!BR176+IF($M186="incl",[12]LULUCF_hist!DI176,0)</f>
        <v>40.320450999999991</v>
      </c>
      <c r="AF186" s="111">
        <f>[12]GHG_hist!BS176+IF($M186="incl",[12]LULUCF_hist!DJ176,0)</f>
        <v>48.040360999999997</v>
      </c>
      <c r="AG186" s="111">
        <f>[12]GHG_hist!BT176+IF($M186="incl",[12]LULUCF_hist!DK176,0)</f>
        <v>73.441040999999998</v>
      </c>
      <c r="AH186" s="111">
        <f>[12]GHG_hist!BU176+IF($M186="incl",[12]LULUCF_hist!DL176,0)</f>
        <v>47.885078</v>
      </c>
      <c r="AI186" s="111">
        <f>[12]GHG_hist!BV176+IF($M186="incl",[12]LULUCF_hist!DM176,0)</f>
        <v>31.597928</v>
      </c>
      <c r="AJ186" s="111">
        <f>[12]GHG_hist!BW176+IF($M186="incl",[12]LULUCF_hist!DN176,0)</f>
        <v>49.646436000000001</v>
      </c>
      <c r="AK186" s="111">
        <f>[12]GHG_hist!BX176+IF($M186="incl",[12]LULUCF_hist!DO176,0)</f>
        <v>53.242786000000002</v>
      </c>
      <c r="AL186" s="111">
        <f>[12]GHG_hist!BY176+IF($M186="incl",[12]LULUCF_hist!DP176,0)</f>
        <v>51.714156000000003</v>
      </c>
      <c r="AM186" s="111">
        <f>[12]GHG_hist!BZ176+IF($M186="incl",[12]LULUCF_hist!DQ176,0)</f>
        <v>64.567616999999998</v>
      </c>
      <c r="AN186" s="111">
        <f>[12]GHG_hist!CA176+IF($M186="incl",[12]LULUCF_hist!DR176,0)</f>
        <v>53.365380999999999</v>
      </c>
      <c r="AO186" s="111">
        <f>[12]GHG_hist!CB176+IF($M186="incl",[12]LULUCF_hist!DS176,0)</f>
        <v>53.823136000000005</v>
      </c>
      <c r="AP186" s="111">
        <f>[12]GHG_hist!CC176+IF($M186="incl",[12]LULUCF_hist!DT176,0)</f>
        <v>53.852034999999994</v>
      </c>
      <c r="AQ186" s="111">
        <f>[12]GHG_hist!CD176+IF($M186="incl",[12]LULUCF_hist!DU176,0)</f>
        <v>52.05513418472907</v>
      </c>
      <c r="AR186" s="111">
        <f>[12]GHG_hist!CE176+IF($M186="incl",[12]LULUCF_hist!DV176,0)</f>
        <v>51.275126794745503</v>
      </c>
      <c r="AS186" s="111">
        <f>[12]GHG_hist!CF176+IF($M186="incl",[12]LULUCF_hist!DW176,0)</f>
        <v>52.012173404761903</v>
      </c>
      <c r="AT186" s="161">
        <f>VLOOKUP($L186,'[12]IMAGE SSP2'!$AF$3:$AK$29,4,FALSE)*$AM186</f>
        <v>76.485167948805</v>
      </c>
      <c r="AU186" s="162">
        <f>VLOOKUP($L186,'[12]IMAGE SSP2'!$AF$3:$AK$29,5,FALSE)*$AM186</f>
        <v>89.586065982639411</v>
      </c>
      <c r="AV186" s="163">
        <f>VLOOKUP($L186,'[12]IMAGE SSP2'!$AF$3:$AK$29,6,FALSE)*$AM186</f>
        <v>99.371335845886918</v>
      </c>
      <c r="AW186" s="111" t="str">
        <f t="shared" si="119"/>
        <v/>
      </c>
      <c r="AX186" s="164" t="str">
        <f>IF(A186="B",IF(M186="excl",[12]NatCom!CO176,[12]NatCom!AX176),"")</f>
        <v/>
      </c>
      <c r="AY186" s="111" t="str">
        <f>IF('[12]Pledge 2020'!E176="","",'[12]Pledge 2020'!E176)</f>
        <v/>
      </c>
      <c r="AZ186" s="164">
        <f>IF('[12]Pledge 2020'!F176="","",'[12]Pledge 2020'!F176)</f>
        <v>89.583238667999993</v>
      </c>
      <c r="BA186" s="111">
        <f t="shared" si="144"/>
        <v>60.721269499999998</v>
      </c>
      <c r="BB186" s="111">
        <f>IF(BF186="","",(BF186-AH186)*0.75+AH186)</f>
        <v>60.721269499999998</v>
      </c>
      <c r="BC186" s="111">
        <f t="shared" si="145"/>
        <v>60.721269499999998</v>
      </c>
      <c r="BD186" s="111">
        <f>IF(BH186="","",(BH186-AH186)*0.75+AH186)</f>
        <v>60.721269499999998</v>
      </c>
      <c r="BE186" s="169">
        <v>65</v>
      </c>
      <c r="BF186" s="169">
        <v>65</v>
      </c>
      <c r="BG186" s="169">
        <v>65</v>
      </c>
      <c r="BH186" s="170">
        <v>65</v>
      </c>
      <c r="BI186" s="111">
        <f>IF([12]NDCs!V188="",IF([12]NDCs!X188="","",[12]NDCs!X188),[12]NDCs!V188)</f>
        <v>65</v>
      </c>
      <c r="BJ186" s="111">
        <f>IF([12]NDCs!V188="",IF([12]NDCs!X188="","",[12]NDCs!X188),[12]NDCs!V188)</f>
        <v>65</v>
      </c>
      <c r="BK186" s="111">
        <f>IF([12]NDCs!Z188="",IF([12]NDCs!AB188="",IF('input site'!BE186="","",'input site'!BE186),[12]NDCs!AB188),[12]NDCs!Z188)</f>
        <v>65</v>
      </c>
      <c r="BL186" s="111">
        <f>IF([12]NDCs!AA188="",IF([12]NDCs!AC188="",IF('input site'!BF186="","",'input site'!BF186),[12]NDCs!AC188),[12]NDCs!AA188)</f>
        <v>65</v>
      </c>
      <c r="BM186" s="205">
        <f>AR186</f>
        <v>51.275126794745503</v>
      </c>
      <c r="BN186" s="111"/>
      <c r="BO186" s="111"/>
      <c r="BP186" s="205">
        <f>[12]NatCom!$CJ176</f>
        <v>60.183415719402603</v>
      </c>
      <c r="BQ186" s="111"/>
      <c r="BR186" s="111"/>
      <c r="BS186" s="205">
        <f>[12]NatCom!$CO176</f>
        <v>63.449579222457601</v>
      </c>
      <c r="BT186" s="111"/>
      <c r="BU186" s="164"/>
      <c r="CN186" t="s">
        <v>401</v>
      </c>
      <c r="CO186" s="165">
        <f t="shared" si="114"/>
        <v>2.4435477690191387E-2</v>
      </c>
      <c r="CP186" s="165">
        <f t="shared" si="114"/>
        <v>2.4435477690191387E-2</v>
      </c>
      <c r="CQ186" s="165">
        <f t="shared" si="114"/>
        <v>2.4435477690191387E-2</v>
      </c>
      <c r="CR186" s="165">
        <f t="shared" si="114"/>
        <v>2.4435477690191387E-2</v>
      </c>
      <c r="CS186">
        <f>IF(BE186&lt;=BS186,0,1)</f>
        <v>1</v>
      </c>
      <c r="CT186">
        <f>IF(BG186&lt;=BS186,0,1)</f>
        <v>1</v>
      </c>
      <c r="CU186">
        <f>IF(BS186&lt;=MAX(N186,AH186),1,0)</f>
        <v>0</v>
      </c>
      <c r="CV186" s="126" t="str">
        <f>IF(CS186=1,IF(CU186=1,"i","ii"),IF(CU186=1,"iii","iv"))</f>
        <v>ii</v>
      </c>
      <c r="CW186" s="126" t="str">
        <f>IF(CT186=1,IF(CU186=1,"i","ii"),IF(CU186=1,"iii","iv"))</f>
        <v>ii</v>
      </c>
      <c r="CX186"/>
      <c r="CY186" s="167">
        <f t="shared" si="115"/>
        <v>25.210041154059496</v>
      </c>
      <c r="DB186" s="106"/>
      <c r="DC186" s="106"/>
      <c r="DD186" s="106"/>
      <c r="DE186" s="106"/>
      <c r="DF186" s="106"/>
      <c r="DG186" s="105" t="str">
        <f t="shared" si="116"/>
        <v>incl</v>
      </c>
      <c r="DH186" t="s">
        <v>401</v>
      </c>
      <c r="DI186" s="111">
        <f t="shared" si="137"/>
        <v>0</v>
      </c>
      <c r="DJ186" s="111">
        <f t="shared" si="137"/>
        <v>38.308111873254489</v>
      </c>
      <c r="DK186" s="111">
        <f t="shared" si="138"/>
        <v>0.53785378059739486</v>
      </c>
      <c r="DL186" s="111">
        <f t="shared" si="139"/>
        <v>0.53785378059739486</v>
      </c>
      <c r="DM186" s="111">
        <f t="shared" si="140"/>
        <v>1.5504207775423993</v>
      </c>
      <c r="DN186" s="111">
        <f t="shared" si="141"/>
        <v>1.5504207775423993</v>
      </c>
      <c r="DO186" s="111">
        <f t="shared" si="142"/>
        <v>1.5504207775423993</v>
      </c>
      <c r="DP186" s="111">
        <f t="shared" si="143"/>
        <v>1.5504207775423993</v>
      </c>
      <c r="DQ186" s="106"/>
      <c r="DR186" s="106"/>
      <c r="DS186" s="194">
        <f>([12]GHG_hist!BZ176+IF($M186="incl",[12]LULUCF_hist!DQ176,0))/([12]GHG_hist!$BY176+IF($M186="incl",[12]LULUCF_hist!$DQ176,0))*$AL186</f>
        <v>64.543354343399059</v>
      </c>
      <c r="DT186" s="168">
        <f>IF($M186="incl",'[12]IIASA Proj'!EQ176,0)</f>
        <v>0.85895457294581345</v>
      </c>
      <c r="DW186" s="111">
        <f t="shared" si="117"/>
        <v>65</v>
      </c>
      <c r="DX186" s="111">
        <f t="shared" si="117"/>
        <v>65</v>
      </c>
      <c r="DY186" s="111">
        <f t="shared" si="117"/>
        <v>65</v>
      </c>
      <c r="DZ186" s="111">
        <f t="shared" si="117"/>
        <v>65</v>
      </c>
      <c r="EP186" t="s">
        <v>401</v>
      </c>
      <c r="EQ186">
        <v>4</v>
      </c>
      <c r="ER186" s="111">
        <f t="shared" si="118"/>
        <v>53.852034999999994</v>
      </c>
      <c r="ES186" s="111">
        <f>IF($BI$8=2015,VLOOKUP($L186,'[12]IMAGE CDLINKS CurPol'!$P$3:$Y$29,10,FALSE)*$AM186,VLOOKUP($L186,'[12]IMAGE CDLINKS CurPol'!$Z$3:$AI$29,10,FALSE)*$AP186)</f>
        <v>89.541600933652802</v>
      </c>
      <c r="ET186" s="111">
        <f t="shared" si="124"/>
        <v>0</v>
      </c>
      <c r="EU186" s="111">
        <f t="shared" si="120"/>
        <v>0</v>
      </c>
      <c r="EV186" s="111">
        <f>IF($BI$8=2015,VLOOKUP($L186,'[12]IMAGE CDLINKS 2C'!$P$3:$Y$29,10,FALSE)*$AM186,VLOOKUP($L186,'[12]IMAGE CDLINKS 2C'!$Z$3:$AI$29,10,FALSE)*$AP186)</f>
        <v>17.451367228530007</v>
      </c>
      <c r="EX186" s="111"/>
      <c r="EY186" s="111">
        <f t="shared" si="121"/>
        <v>0</v>
      </c>
      <c r="EZ186" s="111">
        <f>IF($BI$8=2015,VLOOKUP($L186,'[12]IMAGE CDLINKS 1_5C'!$P$3:$Y$29,10,FALSE)*$AM186,VLOOKUP($L186,'[12]IMAGE CDLINKS 1_5C'!$Z$3:$AI$29,10,FALSE)*$AP186)</f>
        <v>1.1717675390584936</v>
      </c>
      <c r="FA186" s="221" t="s">
        <v>2348</v>
      </c>
    </row>
    <row r="187" spans="1:157" x14ac:dyDescent="0.25">
      <c r="A187" t="str">
        <f>IF([12]NDCs!C189="","",[12]NDCs!C189)</f>
        <v>A</v>
      </c>
      <c r="B187" s="159" t="str">
        <f t="shared" si="112"/>
        <v>v</v>
      </c>
      <c r="C187">
        <v>0</v>
      </c>
      <c r="D187">
        <v>1</v>
      </c>
      <c r="E187">
        <v>0</v>
      </c>
      <c r="F187">
        <v>1</v>
      </c>
      <c r="G187" t="b">
        <f t="shared" si="113"/>
        <v>1</v>
      </c>
      <c r="H187" t="s">
        <v>2335</v>
      </c>
      <c r="I187" t="s">
        <v>403</v>
      </c>
      <c r="J187">
        <v>703</v>
      </c>
      <c r="K187">
        <v>182</v>
      </c>
      <c r="L187">
        <v>12</v>
      </c>
      <c r="M187" t="str">
        <f>IF([12]NDCs!AL189="Excluding","excl","incl")</f>
        <v>incl</v>
      </c>
      <c r="N187" s="160">
        <f>[12]GHG_hist!BA177+IF($M187="incl",[12]LULUCF_hist!CR177,0)</f>
        <v>64.022058839536811</v>
      </c>
      <c r="O187" s="111">
        <f>[12]GHG_hist!BB177+IF($M187="incl",[12]LULUCF_hist!CS177,0)</f>
        <v>53.738955653597756</v>
      </c>
      <c r="P187" s="111">
        <f>[12]GHG_hist!BC177+IF($M187="incl",[12]LULUCF_hist!CT177,0)</f>
        <v>47.398894272608494</v>
      </c>
      <c r="Q187" s="111">
        <f>[12]GHG_hist!BD177+IF($M187="incl",[12]LULUCF_hist!CU177,0)</f>
        <v>44.19957195985846</v>
      </c>
      <c r="R187" s="111">
        <f>[12]GHG_hist!BE177+IF($M187="incl",[12]LULUCF_hist!CV177,0)</f>
        <v>42.285848668442242</v>
      </c>
      <c r="S187" s="111">
        <f>[12]GHG_hist!BF177+IF($M187="incl",[12]LULUCF_hist!CW177,0)</f>
        <v>43.343304884528074</v>
      </c>
      <c r="T187" s="111">
        <f>[12]GHG_hist!BG177+IF($M187="incl",[12]LULUCF_hist!CX177,0)</f>
        <v>43.275250592372267</v>
      </c>
      <c r="U187" s="111">
        <f>[12]GHG_hist!BH177+IF($M187="incl",[12]LULUCF_hist!CY177,0)</f>
        <v>43.33297391228642</v>
      </c>
      <c r="V187" s="111">
        <f>[12]GHG_hist!BI177+IF($M187="incl",[12]LULUCF_hist!CZ177,0)</f>
        <v>41.543588251063341</v>
      </c>
      <c r="W187" s="111">
        <f>[12]GHG_hist!BJ177+IF($M187="incl",[12]LULUCF_hist!DA177,0)</f>
        <v>41.083505785722366</v>
      </c>
      <c r="X187" s="111">
        <f>[12]GHG_hist!BK177+IF($M187="incl",[12]LULUCF_hist!DB177,0)</f>
        <v>39.301540463032985</v>
      </c>
      <c r="Y187" s="111">
        <f>[12]GHG_hist!BL177+IF($M187="incl",[12]LULUCF_hist!DC177,0)</f>
        <v>42.311095552956964</v>
      </c>
      <c r="Z187" s="111">
        <f>[12]GHG_hist!BM177+IF($M187="incl",[12]LULUCF_hist!DD177,0)</f>
        <v>40.453053025915423</v>
      </c>
      <c r="AA187" s="111">
        <f>[12]GHG_hist!BN177+IF($M187="incl",[12]LULUCF_hist!DE177,0)</f>
        <v>41.148822108987815</v>
      </c>
      <c r="AB187" s="111">
        <f>[12]GHG_hist!BO177+IF($M187="incl",[12]LULUCF_hist!DF177,0)</f>
        <v>41.865704975969081</v>
      </c>
      <c r="AC187" s="111">
        <f>[12]GHG_hist!BP177+IF($M187="incl",[12]LULUCF_hist!DG177,0)</f>
        <v>45.743710095837862</v>
      </c>
      <c r="AD187" s="111">
        <f>[12]GHG_hist!BQ177+IF($M187="incl",[12]LULUCF_hist!DH177,0)</f>
        <v>42.446242856899822</v>
      </c>
      <c r="AE187" s="111">
        <f>[12]GHG_hist!BR177+IF($M187="incl",[12]LULUCF_hist!DI177,0)</f>
        <v>41.173880495837594</v>
      </c>
      <c r="AF187" s="111">
        <f>[12]GHG_hist!BS177+IF($M187="incl",[12]LULUCF_hist!DJ177,0)</f>
        <v>42.797117549823774</v>
      </c>
      <c r="AG187" s="111">
        <f>[12]GHG_hist!BT177+IF($M187="incl",[12]LULUCF_hist!DK177,0)</f>
        <v>38.734274992843609</v>
      </c>
      <c r="AH187" s="111">
        <f>[12]GHG_hist!BU177+IF($M187="incl",[12]LULUCF_hist!DL177,0)</f>
        <v>40.40686519020727</v>
      </c>
      <c r="AI187" s="111">
        <f>[12]GHG_hist!BV177+IF($M187="incl",[12]LULUCF_hist!DM177,0)</f>
        <v>39.075908203618589</v>
      </c>
      <c r="AJ187" s="111">
        <f>[12]GHG_hist!BW177+IF($M187="incl",[12]LULUCF_hist!DN177,0)</f>
        <v>35.57648432523299</v>
      </c>
      <c r="AK187" s="111">
        <f>[12]GHG_hist!BX177+IF($M187="incl",[12]LULUCF_hist!DO177,0)</f>
        <v>34.490493134449082</v>
      </c>
      <c r="AL187" s="111">
        <f>[12]GHG_hist!BY177+IF($M187="incl",[12]LULUCF_hist!DP177,0)</f>
        <v>34.738291438603056</v>
      </c>
      <c r="AM187" s="111">
        <f>[12]GHG_hist!BZ177+IF($M187="incl",[12]LULUCF_hist!DQ177,0)</f>
        <v>34.923923527418971</v>
      </c>
      <c r="AN187" s="111">
        <f>[12]GHG_hist!CA177+IF($M187="incl",[12]LULUCF_hist!DR177,0)</f>
        <v>35.316602674659237</v>
      </c>
      <c r="AO187" s="111">
        <f>[12]GHG_hist!CB177+IF($M187="incl",[12]LULUCF_hist!DS177,0)</f>
        <v>36.511749535296161</v>
      </c>
      <c r="AP187" s="111">
        <f>[12]GHG_hist!CC177+IF($M187="incl",[12]LULUCF_hist!DT177,0)</f>
        <v>37.353800467306407</v>
      </c>
      <c r="AQ187" s="111">
        <f>[12]GHG_hist!CD177+IF($M187="incl",[12]LULUCF_hist!DU177,0)</f>
        <v>34.280302644888359</v>
      </c>
      <c r="AR187" s="111">
        <f>[12]GHG_hist!CE177+IF($M187="incl",[12]LULUCF_hist!DV177,0)</f>
        <v>29.33838997284149</v>
      </c>
      <c r="AS187" s="111">
        <f>[12]GHG_hist!CF177+IF($M187="incl",[12]LULUCF_hist!DW177,0)</f>
        <v>33.409742536073544</v>
      </c>
      <c r="AT187" s="161">
        <f>VLOOKUP($L187,'[12]IMAGE SSP2'!$AF$3:$AK$29,4,FALSE)*$AM187</f>
        <v>36.336222908365997</v>
      </c>
      <c r="AU187" s="162">
        <f>VLOOKUP($L187,'[12]IMAGE SSP2'!$AF$3:$AK$29,5,FALSE)*$AM187</f>
        <v>37.111498867008315</v>
      </c>
      <c r="AV187" s="163">
        <f>VLOOKUP($L187,'[12]IMAGE SSP2'!$AF$3:$AK$29,6,FALSE)*$AM187</f>
        <v>38.103594161406107</v>
      </c>
      <c r="AW187" s="111" t="str">
        <f t="shared" si="119"/>
        <v/>
      </c>
      <c r="AX187" s="164" t="str">
        <f>IF(A187="B",IF(M187="excl",[12]NatCom!CO177,[12]NatCom!AX177),"")</f>
        <v/>
      </c>
      <c r="AY187" s="111" t="str">
        <f>IF('[12]Pledge 2020'!E177="","",'[12]Pledge 2020'!E177)</f>
        <v/>
      </c>
      <c r="AZ187" s="164" t="str">
        <f>IF('[12]Pledge 2020'!F177="","",'[12]Pledge 2020'!F177)</f>
        <v/>
      </c>
      <c r="BA187" s="111" t="str">
        <f t="shared" si="144"/>
        <v/>
      </c>
      <c r="BB187" s="111"/>
      <c r="BC187" s="111" t="str">
        <f t="shared" si="145"/>
        <v/>
      </c>
      <c r="BD187" s="111"/>
      <c r="BE187" s="111" t="s">
        <v>2477</v>
      </c>
      <c r="BF187" s="111"/>
      <c r="BG187" s="111" t="s">
        <v>2477</v>
      </c>
      <c r="BH187" s="164"/>
      <c r="BI187" s="111" t="str">
        <f>IF([12]NDCs!V189="",IF([12]NDCs!X189="","",[12]NDCs!X189),[12]NDCs!V189)</f>
        <v/>
      </c>
      <c r="BJ187" s="111" t="str">
        <f>IF([12]NDCs!V189="",IF([12]NDCs!X189="","",[12]NDCs!X189),[12]NDCs!V189)</f>
        <v/>
      </c>
      <c r="BK187" s="111" t="str">
        <f>IF([12]NDCs!Z189="",IF([12]NDCs!AB189="",IF('input site'!BE187="","",'input site'!BE187),[12]NDCs!AB189),[12]NDCs!Z189)</f>
        <v/>
      </c>
      <c r="BL187" s="111" t="str">
        <f>IF([12]NDCs!AA189="",IF([12]NDCs!AC189="",IF('input site'!BF187="","",'input site'!BF187),[12]NDCs!AC189),[12]NDCs!AA189)</f>
        <v/>
      </c>
      <c r="BM187" s="111">
        <f>IF($BI$8=2015,VLOOKUP($L187,'[12]IMAGE CurPol SSP'!$AZ$3:$BD$29,4,FALSE)*$AM187,IF($BI$8=2018,VLOOKUP($L187,'[12]IMAGE CurPol SSP'!$BJ$3:$BN$29,4,FALSE)*$AP187,$AR187))</f>
        <v>29.33838997284149</v>
      </c>
      <c r="BN187" s="111">
        <f t="shared" ref="BN187:BO190" si="146">IF($BI$8=2015,"",IF($BI$8=2018,"",$AR187))</f>
        <v>29.33838997284149</v>
      </c>
      <c r="BO187" s="111">
        <f t="shared" si="146"/>
        <v>29.33838997284149</v>
      </c>
      <c r="BP187" s="111">
        <f>IF($BI$8=2015,VLOOKUP($L187,'[12]IMAGE CurPol SSP'!$AZ$3:$BD$29,5,FALSE)*$AM187,IF($BI$8=2018,VLOOKUP($L187,'[12]IMAGE CurPol SSP'!$BJ$3:$BN$29,5,FALSE)*$AP187,VLOOKUP($L187,'[12]IMAGE CurPol SSP'!$BU$3:$BZ$29,5,FALSE)*$AS187))</f>
        <v>26.570398509427672</v>
      </c>
      <c r="BQ187" s="111">
        <f>IF($BI$8=2015,"",IF($BI$8=2018,"",VLOOKUP($L187,'[12]IMAGE CurPol SSP'!$CQ$3:$CV$29,5,FALSE)*$AS187))</f>
        <v>26.570398509427672</v>
      </c>
      <c r="BR187" s="111">
        <f>IF($BI$8=2015,"",IF($BI$8=2018,"",VLOOKUP($L187,'[12]IMAGE CurPol SSP'!$CF$3:$CK$29,5,FALSE)*$AS187))</f>
        <v>27.419848248620742</v>
      </c>
      <c r="BS187" s="111">
        <f>IF($BI$8=2015,VLOOKUP($L187,'[12]IMAGE CurPol SSP'!$AZ$3:$BE$29,6,FALSE)*$AM187,IF($BI$8=2018,VLOOKUP($L187,'[12]IMAGE CurPol SSP'!$BJ$3:$BO$29,6,FALSE)*$AP187,VLOOKUP($L187,'[12]IMAGE CurPol SSP'!$BU$3:$BZ$29,6,FALSE)*$AS187))</f>
        <v>17.118924778901732</v>
      </c>
      <c r="BT187" s="111">
        <f>IF($BI$8=2015,"",IF($BI$8=2018,"",VLOOKUP($L187,'[12]IMAGE CurPol SSP'!$CQ$3:$CV$29,6,FALSE)*$AS187))</f>
        <v>17.118924778901732</v>
      </c>
      <c r="BU187" s="164">
        <f>IF($BI$8=2015,"",IF($BI$8=2018,"",VLOOKUP($L187,'[12]IMAGE CurPol SSP'!$CF$3:$CK$29,6,FALSE)*$AS187))</f>
        <v>17.983967270165632</v>
      </c>
      <c r="CN187" t="s">
        <v>403</v>
      </c>
      <c r="CO187" s="165" t="str">
        <f t="shared" si="114"/>
        <v/>
      </c>
      <c r="CP187" s="165" t="str">
        <f t="shared" si="114"/>
        <v/>
      </c>
      <c r="CQ187" s="165" t="str">
        <f t="shared" si="114"/>
        <v/>
      </c>
      <c r="CR187" s="165" t="str">
        <f t="shared" si="114"/>
        <v/>
      </c>
      <c r="CV187" s="125" t="s">
        <v>621</v>
      </c>
      <c r="CW187" s="125" t="s">
        <v>621</v>
      </c>
      <c r="CX187"/>
      <c r="CY187" s="167">
        <f t="shared" si="115"/>
        <v>6.9978329355245066</v>
      </c>
      <c r="DB187" s="106"/>
      <c r="DC187" s="106"/>
      <c r="DD187" s="106"/>
      <c r="DE187" s="106"/>
      <c r="DF187" s="106"/>
      <c r="DG187" s="105" t="str">
        <f t="shared" si="116"/>
        <v>incl</v>
      </c>
      <c r="DH187" t="s">
        <v>403</v>
      </c>
      <c r="DI187" s="111">
        <f t="shared" si="137"/>
        <v>0</v>
      </c>
      <c r="DJ187" s="111">
        <f t="shared" si="137"/>
        <v>0</v>
      </c>
      <c r="DK187" s="111">
        <f t="shared" si="138"/>
        <v>0</v>
      </c>
      <c r="DL187" s="111">
        <f t="shared" si="139"/>
        <v>0</v>
      </c>
      <c r="DM187" s="111">
        <f t="shared" si="140"/>
        <v>0</v>
      </c>
      <c r="DN187" s="111">
        <f t="shared" si="141"/>
        <v>0</v>
      </c>
      <c r="DO187" s="111">
        <f t="shared" si="142"/>
        <v>0</v>
      </c>
      <c r="DP187" s="111">
        <f t="shared" si="143"/>
        <v>0</v>
      </c>
      <c r="DQ187" s="106"/>
      <c r="DR187" s="106"/>
      <c r="DS187" s="111"/>
      <c r="DT187" s="168"/>
      <c r="DW187" s="111">
        <f t="shared" si="117"/>
        <v>17.118924778901732</v>
      </c>
      <c r="DX187" s="111">
        <f t="shared" si="117"/>
        <v>17.118924778901732</v>
      </c>
      <c r="DY187" s="111">
        <f t="shared" si="117"/>
        <v>17.118924778901732</v>
      </c>
      <c r="DZ187" s="111">
        <f t="shared" si="117"/>
        <v>17.118924778901732</v>
      </c>
      <c r="EP187" t="s">
        <v>403</v>
      </c>
      <c r="ER187" s="111">
        <f t="shared" si="118"/>
        <v>37.353800467306407</v>
      </c>
      <c r="ES187" s="111">
        <f>IF($BI$8=2015,VLOOKUP($L187,'[12]IMAGE CDLINKS CurPol'!$P$3:$Y$29,10,FALSE)*$AM187,VLOOKUP($L187,'[12]IMAGE CDLINKS CurPol'!$Z$3:$AI$29,10,FALSE)*$AP187)</f>
        <v>39.268664584790535</v>
      </c>
      <c r="ET187" s="111">
        <f t="shared" si="124"/>
        <v>39.268664584790535</v>
      </c>
      <c r="EU187" s="111">
        <f t="shared" si="120"/>
        <v>8.502020293867929</v>
      </c>
      <c r="EV187" s="111">
        <f>IF($BI$8=2015,VLOOKUP($L187,'[12]IMAGE CDLINKS 2C'!$P$3:$Y$29,10,FALSE)*$AM187,VLOOKUP($L187,'[12]IMAGE CDLINKS 2C'!$Z$3:$AI$29,10,FALSE)*$AP187)</f>
        <v>8.502020293867929</v>
      </c>
      <c r="EY187" s="111">
        <f t="shared" si="121"/>
        <v>4.1476624697763329</v>
      </c>
      <c r="EZ187" s="111">
        <f>IF($BI$8=2015,VLOOKUP($L187,'[12]IMAGE CDLINKS 1_5C'!$P$3:$Y$29,10,FALSE)*$AM187,VLOOKUP($L187,'[12]IMAGE CDLINKS 1_5C'!$Z$3:$AI$29,10,FALSE)*$AP187)</f>
        <v>4.1476624697763329</v>
      </c>
      <c r="FA187" s="192" t="s">
        <v>2338</v>
      </c>
    </row>
    <row r="188" spans="1:157" x14ac:dyDescent="0.25">
      <c r="A188" t="str">
        <f>IF([12]NDCs!C190="","",[12]NDCs!C190)</f>
        <v>A</v>
      </c>
      <c r="B188" s="159" t="str">
        <f t="shared" si="112"/>
        <v>v</v>
      </c>
      <c r="C188">
        <v>0</v>
      </c>
      <c r="D188">
        <v>1</v>
      </c>
      <c r="E188">
        <v>0</v>
      </c>
      <c r="F188">
        <v>1</v>
      </c>
      <c r="G188" t="b">
        <f t="shared" si="113"/>
        <v>1</v>
      </c>
      <c r="H188" t="s">
        <v>2335</v>
      </c>
      <c r="I188" t="s">
        <v>405</v>
      </c>
      <c r="J188">
        <v>705</v>
      </c>
      <c r="K188">
        <v>184</v>
      </c>
      <c r="L188">
        <v>12</v>
      </c>
      <c r="M188" t="str">
        <f>IF([12]NDCs!AL190="Excluding","excl","incl")</f>
        <v>incl</v>
      </c>
      <c r="N188" s="160">
        <f>[12]GHG_hist!BA178+IF($M188="incl",[12]LULUCF_hist!CR178,0)</f>
        <v>14.191262855681245</v>
      </c>
      <c r="O188" s="111">
        <f>[12]GHG_hist!BB178+IF($M188="incl",[12]LULUCF_hist!CS178,0)</f>
        <v>12.485636275289563</v>
      </c>
      <c r="P188" s="111">
        <f>[12]GHG_hist!BC178+IF($M188="incl",[12]LULUCF_hist!CT178,0)</f>
        <v>12.359047228575145</v>
      </c>
      <c r="Q188" s="111">
        <f>[12]GHG_hist!BD178+IF($M188="incl",[12]LULUCF_hist!CU178,0)</f>
        <v>12.606149165545407</v>
      </c>
      <c r="R188" s="111">
        <f>[12]GHG_hist!BE178+IF($M188="incl",[12]LULUCF_hist!CV178,0)</f>
        <v>12.838811940465543</v>
      </c>
      <c r="S188" s="111">
        <f>[12]GHG_hist!BF178+IF($M188="incl",[12]LULUCF_hist!CW178,0)</f>
        <v>13.534087801294506</v>
      </c>
      <c r="T188" s="111">
        <f>[12]GHG_hist!BG178+IF($M188="incl",[12]LULUCF_hist!CX178,0)</f>
        <v>13.566427640397189</v>
      </c>
      <c r="U188" s="111">
        <f>[12]GHG_hist!BH178+IF($M188="incl",[12]LULUCF_hist!CY178,0)</f>
        <v>13.894753886312998</v>
      </c>
      <c r="V188" s="111">
        <f>[12]GHG_hist!BI178+IF($M188="incl",[12]LULUCF_hist!CZ178,0)</f>
        <v>13.342454191562057</v>
      </c>
      <c r="W188" s="111">
        <f>[12]GHG_hist!BJ178+IF($M188="incl",[12]LULUCF_hist!DA178,0)</f>
        <v>12.690231226658685</v>
      </c>
      <c r="X188" s="111">
        <f>[12]GHG_hist!BK178+IF($M188="incl",[12]LULUCF_hist!DB178,0)</f>
        <v>12.367367858022813</v>
      </c>
      <c r="Y188" s="111">
        <f>[12]GHG_hist!BL178+IF($M188="incl",[12]LULUCF_hist!DC178,0)</f>
        <v>13.591074572188743</v>
      </c>
      <c r="Z188" s="111">
        <f>[12]GHG_hist!BM178+IF($M188="incl",[12]LULUCF_hist!DD178,0)</f>
        <v>12.746940479862022</v>
      </c>
      <c r="AA188" s="111">
        <f>[12]GHG_hist!BN178+IF($M188="incl",[12]LULUCF_hist!DE178,0)</f>
        <v>12.724951289587136</v>
      </c>
      <c r="AB188" s="111">
        <f>[12]GHG_hist!BO178+IF($M188="incl",[12]LULUCF_hist!DF178,0)</f>
        <v>13.001440483946139</v>
      </c>
      <c r="AC188" s="111">
        <f>[12]GHG_hist!BP178+IF($M188="incl",[12]LULUCF_hist!DG178,0)</f>
        <v>13.221540517118914</v>
      </c>
      <c r="AD188" s="111">
        <f>[12]GHG_hist!BQ178+IF($M188="incl",[12]LULUCF_hist!DH178,0)</f>
        <v>13.405039587877269</v>
      </c>
      <c r="AE188" s="111">
        <f>[12]GHG_hist!BR178+IF($M188="incl",[12]LULUCF_hist!DI178,0)</f>
        <v>13.274552273835578</v>
      </c>
      <c r="AF188" s="111">
        <f>[12]GHG_hist!BS178+IF($M188="incl",[12]LULUCF_hist!DJ178,0)</f>
        <v>14.250982451308893</v>
      </c>
      <c r="AG188" s="111">
        <f>[12]GHG_hist!BT178+IF($M188="incl",[12]LULUCF_hist!DK178,0)</f>
        <v>12.149794110195742</v>
      </c>
      <c r="AH188" s="111">
        <f>[12]GHG_hist!BU178+IF($M188="incl",[12]LULUCF_hist!DL178,0)</f>
        <v>12.457350655668566</v>
      </c>
      <c r="AI188" s="111">
        <f>[12]GHG_hist!BV178+IF($M188="incl",[12]LULUCF_hist!DM178,0)</f>
        <v>12.478371834273904</v>
      </c>
      <c r="AJ188" s="111">
        <f>[12]GHG_hist!BW178+IF($M188="incl",[12]LULUCF_hist!DN178,0)</f>
        <v>11.913132355763555</v>
      </c>
      <c r="AK188" s="111">
        <f>[12]GHG_hist!BX178+IF($M188="incl",[12]LULUCF_hist!DO178,0)</f>
        <v>12.9153139241437</v>
      </c>
      <c r="AL188" s="111">
        <f>[12]GHG_hist!BY178+IF($M188="incl",[12]LULUCF_hist!DP178,0)</f>
        <v>17.288912536591287</v>
      </c>
      <c r="AM188" s="111">
        <f>[12]GHG_hist!BZ178+IF($M188="incl",[12]LULUCF_hist!DQ178,0)</f>
        <v>17.570644456660311</v>
      </c>
      <c r="AN188" s="111">
        <f>[12]GHG_hist!CA178+IF($M188="incl",[12]LULUCF_hist!DR178,0)</f>
        <v>18.592958580651356</v>
      </c>
      <c r="AO188" s="111">
        <f>[12]GHG_hist!CB178+IF($M188="incl",[12]LULUCF_hist!DS178,0)</f>
        <v>18.668731576001626</v>
      </c>
      <c r="AP188" s="111">
        <f>[12]GHG_hist!CC178+IF($M188="incl",[12]LULUCF_hist!DT178,0)</f>
        <v>18.592595667139094</v>
      </c>
      <c r="AQ188" s="111">
        <f>[12]GHG_hist!CD178+IF($M188="incl",[12]LULUCF_hist!DU178,0)</f>
        <v>13.722360140875457</v>
      </c>
      <c r="AR188" s="111">
        <f>[12]GHG_hist!CE178+IF($M188="incl",[12]LULUCF_hist!DV178,0)</f>
        <v>12.696821109776639</v>
      </c>
      <c r="AS188" s="111">
        <f>[12]GHG_hist!CF178+IF($M188="incl",[12]LULUCF_hist!DW178,0)</f>
        <v>12.86879045080644</v>
      </c>
      <c r="AT188" s="161">
        <f>VLOOKUP($L188,'[12]IMAGE SSP2'!$AF$3:$AK$29,4,FALSE)*$AM188</f>
        <v>18.281189200279943</v>
      </c>
      <c r="AU188" s="162">
        <f>VLOOKUP($L188,'[12]IMAGE SSP2'!$AF$3:$AK$29,5,FALSE)*$AM188</f>
        <v>18.671239826018084</v>
      </c>
      <c r="AV188" s="163">
        <f>VLOOKUP($L188,'[12]IMAGE SSP2'!$AF$3:$AK$29,6,FALSE)*$AM188</f>
        <v>19.170374857948374</v>
      </c>
      <c r="AW188" s="111" t="str">
        <f t="shared" si="119"/>
        <v/>
      </c>
      <c r="AX188" s="164" t="str">
        <f>IF(A188="B",IF(M188="excl",[12]NatCom!CO178,[12]NatCom!AX178),"")</f>
        <v/>
      </c>
      <c r="AY188" s="111" t="str">
        <f>IF('[12]Pledge 2020'!E178="","",'[12]Pledge 2020'!E178)</f>
        <v/>
      </c>
      <c r="AZ188" s="164" t="str">
        <f>IF('[12]Pledge 2020'!F178="","",'[12]Pledge 2020'!F178)</f>
        <v/>
      </c>
      <c r="BA188" s="111" t="str">
        <f t="shared" si="144"/>
        <v/>
      </c>
      <c r="BB188" s="111"/>
      <c r="BC188" s="111" t="str">
        <f t="shared" si="145"/>
        <v/>
      </c>
      <c r="BD188" s="111"/>
      <c r="BE188" s="111" t="s">
        <v>2477</v>
      </c>
      <c r="BF188" s="111"/>
      <c r="BG188" s="111" t="s">
        <v>2477</v>
      </c>
      <c r="BH188" s="164"/>
      <c r="BI188" s="111" t="str">
        <f>IF([12]NDCs!V190="",IF([12]NDCs!X190="","",[12]NDCs!X190),[12]NDCs!V190)</f>
        <v/>
      </c>
      <c r="BJ188" s="111" t="str">
        <f>IF([12]NDCs!V190="",IF([12]NDCs!X190="","",[12]NDCs!X190),[12]NDCs!V190)</f>
        <v/>
      </c>
      <c r="BK188" s="111" t="str">
        <f>IF([12]NDCs!Z190="",IF([12]NDCs!AB190="",IF('input site'!BE188="","",'input site'!BE188),[12]NDCs!AB190),[12]NDCs!Z190)</f>
        <v/>
      </c>
      <c r="BL188" s="111" t="str">
        <f>IF([12]NDCs!AA190="",IF([12]NDCs!AC190="",IF('input site'!BF188="","",'input site'!BF188),[12]NDCs!AC190),[12]NDCs!AA190)</f>
        <v/>
      </c>
      <c r="BM188" s="111">
        <f>IF($BI$8=2015,VLOOKUP($L188,'[12]IMAGE CurPol SSP'!$AZ$3:$BD$29,4,FALSE)*$AM188,IF($BI$8=2018,VLOOKUP($L188,'[12]IMAGE CurPol SSP'!$BJ$3:$BN$29,4,FALSE)*$AP188,$AR188))</f>
        <v>12.696821109776639</v>
      </c>
      <c r="BN188" s="111">
        <f t="shared" si="146"/>
        <v>12.696821109776639</v>
      </c>
      <c r="BO188" s="111">
        <f t="shared" si="146"/>
        <v>12.696821109776639</v>
      </c>
      <c r="BP188" s="111">
        <f>IF($BI$8=2015,VLOOKUP($L188,'[12]IMAGE CurPol SSP'!$AZ$3:$BD$29,5,FALSE)*$AM188,IF($BI$8=2018,VLOOKUP($L188,'[12]IMAGE CurPol SSP'!$BJ$3:$BN$29,5,FALSE)*$AP188,VLOOKUP($L188,'[12]IMAGE CurPol SSP'!$BU$3:$BZ$29,5,FALSE)*$AS188))</f>
        <v>10.234406632827332</v>
      </c>
      <c r="BQ188" s="111">
        <f>IF($BI$8=2015,"",IF($BI$8=2018,"",VLOOKUP($L188,'[12]IMAGE CurPol SSP'!$CQ$3:$CV$29,5,FALSE)*$AS188))</f>
        <v>10.234406632827332</v>
      </c>
      <c r="BR188" s="111">
        <f>IF($BI$8=2015,"",IF($BI$8=2018,"",VLOOKUP($L188,'[12]IMAGE CurPol SSP'!$CF$3:$CK$29,5,FALSE)*$AS188))</f>
        <v>10.561598339868018</v>
      </c>
      <c r="BS188" s="111">
        <f>IF($BI$8=2015,VLOOKUP($L188,'[12]IMAGE CurPol SSP'!$AZ$3:$BE$29,6,FALSE)*$AM188,IF($BI$8=2018,VLOOKUP($L188,'[12]IMAGE CurPol SSP'!$BJ$3:$BO$29,6,FALSE)*$AP188,VLOOKUP($L188,'[12]IMAGE CurPol SSP'!$BU$3:$BZ$29,6,FALSE)*$AS188))</f>
        <v>6.5938806767199631</v>
      </c>
      <c r="BT188" s="111">
        <f>IF($BI$8=2015,"",IF($BI$8=2018,"",VLOOKUP($L188,'[12]IMAGE CurPol SSP'!$CQ$3:$CV$29,6,FALSE)*$AS188))</f>
        <v>6.5938806767199631</v>
      </c>
      <c r="BU188" s="164">
        <f>IF($BI$8=2015,"",IF($BI$8=2018,"",VLOOKUP($L188,'[12]IMAGE CurPol SSP'!$CF$3:$CK$29,6,FALSE)*$AS188))</f>
        <v>6.927078412054172</v>
      </c>
      <c r="CN188" t="s">
        <v>405</v>
      </c>
      <c r="CO188" s="165" t="str">
        <f t="shared" si="114"/>
        <v/>
      </c>
      <c r="CP188" s="165" t="str">
        <f t="shared" si="114"/>
        <v/>
      </c>
      <c r="CQ188" s="165" t="str">
        <f t="shared" si="114"/>
        <v/>
      </c>
      <c r="CR188" s="165" t="str">
        <f t="shared" si="114"/>
        <v/>
      </c>
      <c r="CV188" s="125" t="s">
        <v>621</v>
      </c>
      <c r="CW188" s="125" t="s">
        <v>621</v>
      </c>
      <c r="CX188"/>
      <c r="CY188" s="167">
        <f t="shared" si="115"/>
        <v>5.584368090503304</v>
      </c>
      <c r="DB188" s="106"/>
      <c r="DC188" s="106"/>
      <c r="DD188" s="106"/>
      <c r="DE188" s="106"/>
      <c r="DF188" s="106"/>
      <c r="DG188" s="105" t="str">
        <f t="shared" si="116"/>
        <v>incl</v>
      </c>
      <c r="DH188" t="s">
        <v>405</v>
      </c>
      <c r="DI188" s="111">
        <f t="shared" si="137"/>
        <v>0</v>
      </c>
      <c r="DJ188" s="111">
        <f t="shared" si="137"/>
        <v>0</v>
      </c>
      <c r="DK188" s="111">
        <f t="shared" si="138"/>
        <v>0</v>
      </c>
      <c r="DL188" s="111">
        <f t="shared" si="139"/>
        <v>0</v>
      </c>
      <c r="DM188" s="111">
        <f t="shared" si="140"/>
        <v>0</v>
      </c>
      <c r="DN188" s="111">
        <f t="shared" si="141"/>
        <v>0</v>
      </c>
      <c r="DO188" s="111">
        <f t="shared" si="142"/>
        <v>0</v>
      </c>
      <c r="DP188" s="111">
        <f t="shared" si="143"/>
        <v>0</v>
      </c>
      <c r="DQ188" s="106"/>
      <c r="DR188" s="106"/>
      <c r="DS188" s="111"/>
      <c r="DT188" s="168"/>
      <c r="DW188" s="111">
        <f t="shared" si="117"/>
        <v>6.5938806767199631</v>
      </c>
      <c r="DX188" s="111">
        <f t="shared" si="117"/>
        <v>6.5938806767199631</v>
      </c>
      <c r="DY188" s="111">
        <f t="shared" si="117"/>
        <v>6.5938806767199631</v>
      </c>
      <c r="DZ188" s="111">
        <f t="shared" si="117"/>
        <v>6.5938806767199631</v>
      </c>
      <c r="EP188" t="s">
        <v>405</v>
      </c>
      <c r="ER188" s="111">
        <f t="shared" si="118"/>
        <v>18.592595667139094</v>
      </c>
      <c r="ES188" s="111">
        <f>IF($BI$8=2015,VLOOKUP($L188,'[12]IMAGE CDLINKS CurPol'!$P$3:$Y$29,10,FALSE)*$AM188,VLOOKUP($L188,'[12]IMAGE CDLINKS CurPol'!$Z$3:$AI$29,10,FALSE)*$AP188)</f>
        <v>19.545706029364649</v>
      </c>
      <c r="ET188" s="111">
        <f t="shared" si="124"/>
        <v>19.545706029364649</v>
      </c>
      <c r="EU188" s="111">
        <f t="shared" si="120"/>
        <v>4.2318217611097149</v>
      </c>
      <c r="EV188" s="111">
        <f>IF($BI$8=2015,VLOOKUP($L188,'[12]IMAGE CDLINKS 2C'!$P$3:$Y$29,10,FALSE)*$AM188,VLOOKUP($L188,'[12]IMAGE CDLINKS 2C'!$Z$3:$AI$29,10,FALSE)*$AP188)</f>
        <v>4.2318217611097149</v>
      </c>
      <c r="EY188" s="111">
        <f t="shared" si="121"/>
        <v>2.0644702894907261</v>
      </c>
      <c r="EZ188" s="111">
        <f>IF($BI$8=2015,VLOOKUP($L188,'[12]IMAGE CDLINKS 1_5C'!$P$3:$Y$29,10,FALSE)*$AM188,VLOOKUP($L188,'[12]IMAGE CDLINKS 1_5C'!$Z$3:$AI$29,10,FALSE)*$AP188)</f>
        <v>2.0644702894907261</v>
      </c>
      <c r="FA188" s="192" t="s">
        <v>2338</v>
      </c>
    </row>
    <row r="189" spans="1:157" x14ac:dyDescent="0.25">
      <c r="A189" t="str">
        <f>IF([12]NDCs!C191="","",[12]NDCs!C191)</f>
        <v>A</v>
      </c>
      <c r="B189" s="159" t="str">
        <f t="shared" si="112"/>
        <v>v</v>
      </c>
      <c r="C189">
        <v>0</v>
      </c>
      <c r="D189">
        <v>0</v>
      </c>
      <c r="E189">
        <v>0</v>
      </c>
      <c r="F189">
        <v>1</v>
      </c>
      <c r="G189" t="b">
        <f t="shared" si="113"/>
        <v>1</v>
      </c>
      <c r="H189" t="s">
        <v>2328</v>
      </c>
      <c r="I189" t="s">
        <v>407</v>
      </c>
      <c r="J189">
        <v>90</v>
      </c>
      <c r="K189">
        <v>24</v>
      </c>
      <c r="L189">
        <v>24</v>
      </c>
      <c r="M189" t="str">
        <f>IF([12]NDCs!AL191="Excluding","excl","incl")</f>
        <v>incl</v>
      </c>
      <c r="N189" s="160">
        <f>[12]GHG_hist!BA179+IF($M189="incl",[12]LULUCF_hist!CR179,0)</f>
        <v>0.45654109999999998</v>
      </c>
      <c r="O189" s="111">
        <f>[12]GHG_hist!BB179+IF($M189="incl",[12]LULUCF_hist!CS179,0)</f>
        <v>0.48201697000000004</v>
      </c>
      <c r="P189" s="111">
        <f>[12]GHG_hist!BC179+IF($M189="incl",[12]LULUCF_hist!CT179,0)</f>
        <v>0.49652609999999997</v>
      </c>
      <c r="Q189" s="111">
        <f>[12]GHG_hist!BD179+IF($M189="incl",[12]LULUCF_hist!CU179,0)</f>
        <v>0.52202009000000005</v>
      </c>
      <c r="R189" s="111">
        <f>[12]GHG_hist!BE179+IF($M189="incl",[12]LULUCF_hist!CV179,0)</f>
        <v>0.54624686</v>
      </c>
      <c r="S189" s="111">
        <f>[12]GHG_hist!BF179+IF($M189="incl",[12]LULUCF_hist!CW179,0)</f>
        <v>0.53975265000000006</v>
      </c>
      <c r="T189" s="111">
        <f>[12]GHG_hist!BG179+IF($M189="incl",[12]LULUCF_hist!CX179,0)</f>
        <v>0.53052584999999997</v>
      </c>
      <c r="U189" s="111">
        <f>[12]GHG_hist!BH179+IF($M189="incl",[12]LULUCF_hist!CY179,0)</f>
        <v>0.51868875999999997</v>
      </c>
      <c r="V189" s="111">
        <f>[12]GHG_hist!BI179+IF($M189="incl",[12]LULUCF_hist!CZ179,0)</f>
        <v>0.51102906000000003</v>
      </c>
      <c r="W189" s="111">
        <f>[12]GHG_hist!BJ179+IF($M189="incl",[12]LULUCF_hist!DA179,0)</f>
        <v>0.49414535000000004</v>
      </c>
      <c r="X189" s="111">
        <f>[12]GHG_hist!BK179+IF($M189="incl",[12]LULUCF_hist!DB179,0)</f>
        <v>0.4796725</v>
      </c>
      <c r="Y189" s="111">
        <f>[12]GHG_hist!BL179+IF($M189="incl",[12]LULUCF_hist!DC179,0)</f>
        <v>0.48767306999999999</v>
      </c>
      <c r="Z189" s="111">
        <f>[12]GHG_hist!BM179+IF($M189="incl",[12]LULUCF_hist!DD179,0)</f>
        <v>0.49971261</v>
      </c>
      <c r="AA189" s="111">
        <f>[12]GHG_hist!BN179+IF($M189="incl",[12]LULUCF_hist!DE179,0)</f>
        <v>0.51678667</v>
      </c>
      <c r="AB189" s="111">
        <f>[12]GHG_hist!BO179+IF($M189="incl",[12]LULUCF_hist!DF179,0)</f>
        <v>0.54254864000000003</v>
      </c>
      <c r="AC189" s="111">
        <f>[12]GHG_hist!BP179+IF($M189="incl",[12]LULUCF_hist!DG179,0)</f>
        <v>0.55755218000000006</v>
      </c>
      <c r="AD189" s="111">
        <f>[12]GHG_hist!BQ179+IF($M189="incl",[12]LULUCF_hist!DH179,0)</f>
        <v>0.58285869000000001</v>
      </c>
      <c r="AE189" s="111">
        <f>[12]GHG_hist!BR179+IF($M189="incl",[12]LULUCF_hist!DI179,0)</f>
        <v>0.61117058999999996</v>
      </c>
      <c r="AF189" s="111">
        <f>[12]GHG_hist!BS179+IF($M189="incl",[12]LULUCF_hist!DJ179,0)</f>
        <v>0.63632453999999994</v>
      </c>
      <c r="AG189" s="111">
        <f>[12]GHG_hist!BT179+IF($M189="incl",[12]LULUCF_hist!DK179,0)</f>
        <v>0.6590527100000001</v>
      </c>
      <c r="AH189" s="111">
        <f>[12]GHG_hist!BU179+IF($M189="incl",[12]LULUCF_hist!DL179,0)</f>
        <v>0.68676576</v>
      </c>
      <c r="AI189" s="111">
        <f>[12]GHG_hist!BV179+IF($M189="incl",[12]LULUCF_hist!DM179,0)</f>
        <v>0.7168681400000001</v>
      </c>
      <c r="AJ189" s="111">
        <f>[12]GHG_hist!BW179+IF($M189="incl",[12]LULUCF_hist!DN179,0)</f>
        <v>0.73455914</v>
      </c>
      <c r="AK189" s="111">
        <f>[12]GHG_hist!BX179+IF($M189="incl",[12]LULUCF_hist!DO179,0)</f>
        <v>0.77502853000000005</v>
      </c>
      <c r="AL189" s="111">
        <f>[12]GHG_hist!BY179+IF($M189="incl",[12]LULUCF_hist!DP179,0)</f>
        <v>0.7411382700000001</v>
      </c>
      <c r="AM189" s="111">
        <f>[12]GHG_hist!BZ179+IF($M189="incl",[12]LULUCF_hist!DQ179,0)</f>
        <v>0.71444789000000009</v>
      </c>
      <c r="AN189" s="111">
        <f>[12]GHG_hist!CA179+IF($M189="incl",[12]LULUCF_hist!DR179,0)</f>
        <v>0.72110383</v>
      </c>
      <c r="AO189" s="111">
        <f>[12]GHG_hist!CB179+IF($M189="incl",[12]LULUCF_hist!DS179,0)</f>
        <v>0.73171397999999999</v>
      </c>
      <c r="AP189" s="111">
        <f>[12]GHG_hist!CC179+IF($M189="incl",[12]LULUCF_hist!DT179,0)</f>
        <v>0.75388494000000006</v>
      </c>
      <c r="AQ189" s="111">
        <f>[12]GHG_hist!CD179+IF($M189="incl",[12]LULUCF_hist!DU179,0)</f>
        <v>0.78819952999999998</v>
      </c>
      <c r="AR189" s="111">
        <f>[12]GHG_hist!CE179+IF($M189="incl",[12]LULUCF_hist!DV179,0)</f>
        <v>0.8015920700000001</v>
      </c>
      <c r="AS189" s="111">
        <f>[12]GHG_hist!CF179+IF($M189="incl",[12]LULUCF_hist!DW179,0)</f>
        <v>0.82347943999999995</v>
      </c>
      <c r="AT189" s="161">
        <f>VLOOKUP($L189,'[12]IMAGE SSP2'!$AF$3:$AK$29,4,FALSE)*$AM189</f>
        <v>0.76695207328247528</v>
      </c>
      <c r="AU189" s="162">
        <f>VLOOKUP($L189,'[12]IMAGE SSP2'!$AF$3:$AK$29,5,FALSE)*$AM189</f>
        <v>0.7873858883822562</v>
      </c>
      <c r="AV189" s="163">
        <f>VLOOKUP($L189,'[12]IMAGE SSP2'!$AF$3:$AK$29,6,FALSE)*$AM189</f>
        <v>0.79660710565475412</v>
      </c>
      <c r="AW189" s="111" t="str">
        <f t="shared" si="119"/>
        <v/>
      </c>
      <c r="AX189" s="164" t="str">
        <f>IF(A189="B",IF(M189="excl",[12]NatCom!CO179,[12]NatCom!AX179),"")</f>
        <v/>
      </c>
      <c r="AY189" s="111" t="str">
        <f>IF('[12]Pledge 2020'!E179="","",'[12]Pledge 2020'!E179)</f>
        <v/>
      </c>
      <c r="AZ189" s="164" t="str">
        <f>IF('[12]Pledge 2020'!F179="","",'[12]Pledge 2020'!F179)</f>
        <v/>
      </c>
      <c r="BA189" s="111">
        <f t="shared" si="144"/>
        <v>3.47165328</v>
      </c>
      <c r="BB189" s="111">
        <f>IF(BF189="","",(BF189-AH189)*0.75+AH189)</f>
        <v>3.47165328</v>
      </c>
      <c r="BC189" s="111">
        <f t="shared" si="145"/>
        <v>2.7645186000000002</v>
      </c>
      <c r="BD189" s="111">
        <f>IF(BH189="","",(BH189-AH189)*0.75+AH189)</f>
        <v>2.7645186000000002</v>
      </c>
      <c r="BE189" s="111">
        <v>4.3999491199999996</v>
      </c>
      <c r="BF189" s="111">
        <v>4.3999491199999996</v>
      </c>
      <c r="BG189" s="111">
        <v>3.4571028800000003</v>
      </c>
      <c r="BH189" s="164">
        <v>3.4571028800000003</v>
      </c>
      <c r="BI189" s="111">
        <f>IF([12]NDCs!V191="",IF([12]NDCs!X191="","",[12]NDCs!X191),[12]NDCs!V191)</f>
        <v>4.3999491199999996</v>
      </c>
      <c r="BJ189" s="111">
        <f>IF([12]NDCs!V191="",IF([12]NDCs!X191="","",[12]NDCs!X191),[12]NDCs!V191)</f>
        <v>4.3999491199999996</v>
      </c>
      <c r="BK189" s="111">
        <f>IF([12]NDCs!Z191="",IF([12]NDCs!AB191="",IF('input site'!BE189="","",'input site'!BE189),[12]NDCs!AB191),[12]NDCs!Z191)</f>
        <v>3.4571028800000003</v>
      </c>
      <c r="BL189" s="111">
        <f>IF([12]NDCs!AA191="",IF([12]NDCs!AC191="",IF('input site'!BF189="","",'input site'!BF189),[12]NDCs!AC191),[12]NDCs!AA191)</f>
        <v>3.4571028800000003</v>
      </c>
      <c r="BM189" s="111">
        <f>IF($BI$8=2015,VLOOKUP($L189,'[12]IMAGE CurPol SSP'!$AZ$3:$BD$29,4,FALSE)*$AM189,IF($BI$8=2018,VLOOKUP($L189,'[12]IMAGE CurPol SSP'!$BJ$3:$BN$29,4,FALSE)*$AP189,$AR189))</f>
        <v>0.8015920700000001</v>
      </c>
      <c r="BN189" s="111">
        <f t="shared" si="146"/>
        <v>0.8015920700000001</v>
      </c>
      <c r="BO189" s="111">
        <f t="shared" si="146"/>
        <v>0.8015920700000001</v>
      </c>
      <c r="BP189" s="111">
        <f>IF($BI$8=2015,VLOOKUP($L189,'[12]IMAGE CurPol SSP'!$AZ$3:$BD$29,5,FALSE)*$AM189,IF($BI$8=2018,VLOOKUP($L189,'[12]IMAGE CurPol SSP'!$BJ$3:$BN$29,5,FALSE)*$AP189,VLOOKUP($L189,'[12]IMAGE CurPol SSP'!$BU$3:$BZ$29,5,FALSE)*$AS189))</f>
        <v>0.83868357212948086</v>
      </c>
      <c r="BQ189" s="111">
        <f>IF($BI$8=2015,"",IF($BI$8=2018,"",VLOOKUP($L189,'[12]IMAGE CurPol SSP'!$CQ$3:$CV$29,5,FALSE)*$AS189))</f>
        <v>0.8165325728121724</v>
      </c>
      <c r="BR189" s="111">
        <f>IF($BI$8=2015,"",IF($BI$8=2018,"",VLOOKUP($L189,'[12]IMAGE CurPol SSP'!$CF$3:$CK$29,5,FALSE)*$AS189))</f>
        <v>0.83868357212948086</v>
      </c>
      <c r="BS189" s="111">
        <f>IF($BI$8=2015,VLOOKUP($L189,'[12]IMAGE CurPol SSP'!$AZ$3:$BE$29,6,FALSE)*$AM189,IF($BI$8=2018,VLOOKUP($L189,'[12]IMAGE CurPol SSP'!$BJ$3:$BO$29,6,FALSE)*$AP189,VLOOKUP($L189,'[12]IMAGE CurPol SSP'!$BU$3:$BZ$29,6,FALSE)*$AS189))</f>
        <v>0.86327707324427472</v>
      </c>
      <c r="BT189" s="111">
        <f>IF($BI$8=2015,"",IF($BI$8=2018,"",VLOOKUP($L189,'[12]IMAGE CurPol SSP'!$CQ$3:$CV$29,6,FALSE)*$AS189))</f>
        <v>0.79735579089786468</v>
      </c>
      <c r="BU189" s="164">
        <f>IF($BI$8=2015,"",IF($BI$8=2018,"",VLOOKUP($L189,'[12]IMAGE CurPol SSP'!$CF$3:$CK$29,6,FALSE)*$AS189))</f>
        <v>0.86327707324427472</v>
      </c>
      <c r="CN189" t="s">
        <v>407</v>
      </c>
      <c r="CO189" s="165">
        <f t="shared" si="114"/>
        <v>4.0967983007640711</v>
      </c>
      <c r="CP189" s="165">
        <f t="shared" si="114"/>
        <v>4.0967983007640711</v>
      </c>
      <c r="CQ189" s="165">
        <f t="shared" si="114"/>
        <v>3.0046272363146276</v>
      </c>
      <c r="CR189" s="165">
        <f t="shared" si="114"/>
        <v>3.0046272363146276</v>
      </c>
      <c r="CV189" s="125" t="s">
        <v>621</v>
      </c>
      <c r="CW189" s="125" t="s">
        <v>621</v>
      </c>
      <c r="CX189"/>
      <c r="CY189" s="167">
        <f t="shared" si="115"/>
        <v>-3.4639996717524824E-2</v>
      </c>
      <c r="DB189" s="106"/>
      <c r="DC189" s="106"/>
      <c r="DD189" s="106"/>
      <c r="DE189" s="106"/>
      <c r="DF189" s="106"/>
      <c r="DG189" s="105" t="str">
        <f t="shared" si="116"/>
        <v>incl</v>
      </c>
      <c r="DH189" t="s">
        <v>407</v>
      </c>
      <c r="DI189" s="111">
        <f t="shared" si="137"/>
        <v>0</v>
      </c>
      <c r="DJ189" s="111">
        <f t="shared" si="137"/>
        <v>0</v>
      </c>
      <c r="DK189" s="111">
        <f t="shared" si="138"/>
        <v>2.6329697078705192</v>
      </c>
      <c r="DL189" s="111">
        <f t="shared" si="139"/>
        <v>1.9258350278705194</v>
      </c>
      <c r="DM189" s="111">
        <f t="shared" si="140"/>
        <v>3.5366720467557249</v>
      </c>
      <c r="DN189" s="111">
        <f t="shared" si="141"/>
        <v>2.5938258067557256</v>
      </c>
      <c r="DO189" s="111">
        <f t="shared" si="142"/>
        <v>3.5366720467557249</v>
      </c>
      <c r="DP189" s="111">
        <f t="shared" si="143"/>
        <v>2.5938258067557256</v>
      </c>
      <c r="DQ189" s="106"/>
      <c r="DR189" s="106"/>
      <c r="DS189" s="111">
        <f>[12]GHG_hist!BZ179+IF($M189="incl",[12]LULUCF_hist!DQ179,0)</f>
        <v>0.71444789000000009</v>
      </c>
      <c r="DT189" s="168">
        <f>IF($M189="incl",'[12]IIASA Proj'!EQ179,0)</f>
        <v>-0.54246319999999892</v>
      </c>
      <c r="DW189" s="111">
        <f t="shared" si="117"/>
        <v>4.3999491199999996</v>
      </c>
      <c r="DX189" s="111">
        <f t="shared" si="117"/>
        <v>4.3999491199999996</v>
      </c>
      <c r="DY189" s="111">
        <f t="shared" si="117"/>
        <v>3.4571028800000003</v>
      </c>
      <c r="DZ189" s="111">
        <f t="shared" si="117"/>
        <v>3.4571028800000003</v>
      </c>
      <c r="EP189" t="s">
        <v>407</v>
      </c>
      <c r="EQ189">
        <v>4</v>
      </c>
      <c r="ER189" s="111">
        <f t="shared" si="118"/>
        <v>0.75388494000000006</v>
      </c>
      <c r="ES189" s="111">
        <f>IF($BI$8=2015,VLOOKUP($L189,'[12]IMAGE CDLINKS CurPol'!$P$3:$Y$29,10,FALSE)*$AM189,VLOOKUP($L189,'[12]IMAGE CDLINKS CurPol'!$Z$3:$AI$29,10,FALSE)*$AP189)</f>
        <v>0.7772601554670947</v>
      </c>
      <c r="ET189" s="111">
        <f t="shared" si="124"/>
        <v>0</v>
      </c>
      <c r="EU189" s="111">
        <f t="shared" si="120"/>
        <v>0</v>
      </c>
      <c r="EV189" s="111">
        <f>IF($BI$8=2015,VLOOKUP($L189,'[12]IMAGE CDLINKS 2C'!$P$3:$Y$29,10,FALSE)*$AM189,VLOOKUP($L189,'[12]IMAGE CDLINKS 2C'!$Z$3:$AI$29,10,FALSE)*$AP189)</f>
        <v>0.29872995458272561</v>
      </c>
      <c r="EW189">
        <v>0</v>
      </c>
      <c r="EX189" s="111">
        <f>EW189-EV189</f>
        <v>-0.29872995458272561</v>
      </c>
      <c r="EY189" s="111">
        <f t="shared" si="121"/>
        <v>0</v>
      </c>
      <c r="EZ189" s="111">
        <f>IF($BI$8=2015,VLOOKUP($L189,'[12]IMAGE CDLINKS 1_5C'!$P$3:$Y$29,10,FALSE)*$AM189,VLOOKUP($L189,'[12]IMAGE CDLINKS 1_5C'!$Z$3:$AI$29,10,FALSE)*$AP189)</f>
        <v>0.12921972865088502</v>
      </c>
      <c r="FA189" s="192">
        <v>2050</v>
      </c>
    </row>
    <row r="190" spans="1:157" x14ac:dyDescent="0.25">
      <c r="A190" t="str">
        <f>IF([12]NDCs!C192="","",[12]NDCs!C192)</f>
        <v>G</v>
      </c>
      <c r="B190" s="159" t="str">
        <f t="shared" si="112"/>
        <v>v</v>
      </c>
      <c r="C190">
        <v>0</v>
      </c>
      <c r="D190">
        <v>0</v>
      </c>
      <c r="E190">
        <v>0</v>
      </c>
      <c r="F190">
        <v>1</v>
      </c>
      <c r="G190" t="b">
        <f t="shared" si="113"/>
        <v>0</v>
      </c>
      <c r="H190" t="s">
        <v>2328</v>
      </c>
      <c r="I190" t="s">
        <v>409</v>
      </c>
      <c r="J190">
        <v>706</v>
      </c>
      <c r="K190">
        <v>185</v>
      </c>
      <c r="L190">
        <v>9</v>
      </c>
      <c r="M190" t="str">
        <f>IF([12]NDCs!AL192="Excluding","excl","incl")</f>
        <v>excl</v>
      </c>
      <c r="N190" s="160">
        <f>[12]GHG_hist!BA180+IF($M190="incl",[12]LULUCF_hist!CR180,0)</f>
        <v>28.876900000000003</v>
      </c>
      <c r="O190" s="111">
        <f>[12]GHG_hist!BB180+IF($M190="incl",[12]LULUCF_hist!CS180,0)</f>
        <v>25.650667000000002</v>
      </c>
      <c r="P190" s="111">
        <f>[12]GHG_hist!BC180+IF($M190="incl",[12]LULUCF_hist!CT180,0)</f>
        <v>23.451765999999999</v>
      </c>
      <c r="Q190" s="111">
        <f>[12]GHG_hist!BD180+IF($M190="incl",[12]LULUCF_hist!CU180,0)</f>
        <v>25.525948</v>
      </c>
      <c r="R190" s="111">
        <f>[12]GHG_hist!BE180+IF($M190="incl",[12]LULUCF_hist!CV180,0)</f>
        <v>27.559716000000002</v>
      </c>
      <c r="S190" s="111">
        <f>[12]GHG_hist!BF180+IF($M190="incl",[12]LULUCF_hist!CW180,0)</f>
        <v>28.245037</v>
      </c>
      <c r="T190" s="111">
        <f>[12]GHG_hist!BG180+IF($M190="incl",[12]LULUCF_hist!CX180,0)</f>
        <v>28.847985000000001</v>
      </c>
      <c r="U190" s="111">
        <f>[12]GHG_hist!BH180+IF($M190="incl",[12]LULUCF_hist!CY180,0)</f>
        <v>29.382655</v>
      </c>
      <c r="V190" s="111">
        <f>[12]GHG_hist!BI180+IF($M190="incl",[12]LULUCF_hist!CZ180,0)</f>
        <v>29.357330999999999</v>
      </c>
      <c r="W190" s="111">
        <f>[12]GHG_hist!BJ180+IF($M190="incl",[12]LULUCF_hist!DA180,0)</f>
        <v>29.691388</v>
      </c>
      <c r="X190" s="111">
        <f>[12]GHG_hist!BK180+IF($M190="incl",[12]LULUCF_hist!DB180,0)</f>
        <v>30.110436000000004</v>
      </c>
      <c r="Y190" s="111">
        <f>[12]GHG_hist!BL180+IF($M190="incl",[12]LULUCF_hist!DC180,0)</f>
        <v>30.856577000000001</v>
      </c>
      <c r="Z190" s="111">
        <f>[12]GHG_hist!BM180+IF($M190="incl",[12]LULUCF_hist!DD180,0)</f>
        <v>31.517611000000002</v>
      </c>
      <c r="AA190" s="111">
        <f>[12]GHG_hist!BN180+IF($M190="incl",[12]LULUCF_hist!DE180,0)</f>
        <v>31.921026999999999</v>
      </c>
      <c r="AB190" s="111">
        <f>[12]GHG_hist!BO180+IF($M190="incl",[12]LULUCF_hist!DF180,0)</f>
        <v>32.380153</v>
      </c>
      <c r="AC190" s="111">
        <f>[12]GHG_hist!BP180+IF($M190="incl",[12]LULUCF_hist!DG180,0)</f>
        <v>33.028036999999998</v>
      </c>
      <c r="AD190" s="111">
        <f>[12]GHG_hist!BQ180+IF($M190="incl",[12]LULUCF_hist!DH180,0)</f>
        <v>31.788941000000001</v>
      </c>
      <c r="AE190" s="111">
        <f>[12]GHG_hist!BR180+IF($M190="incl",[12]LULUCF_hist!DI180,0)</f>
        <v>30.586600000000001</v>
      </c>
      <c r="AF190" s="111">
        <f>[12]GHG_hist!BS180+IF($M190="incl",[12]LULUCF_hist!DJ180,0)</f>
        <v>30.853304000000001</v>
      </c>
      <c r="AG190" s="111">
        <f>[12]GHG_hist!BT180+IF($M190="incl",[12]LULUCF_hist!DK180,0)</f>
        <v>31.060362000000001</v>
      </c>
      <c r="AH190" s="111">
        <f>[12]GHG_hist!BU180+IF($M190="incl",[12]LULUCF_hist!DL180,0)</f>
        <v>31.376773</v>
      </c>
      <c r="AI190" s="111">
        <f>[12]GHG_hist!BV180+IF($M190="incl",[12]LULUCF_hist!DM180,0)</f>
        <v>31.735080999999997</v>
      </c>
      <c r="AJ190" s="111">
        <f>[12]GHG_hist!BW180+IF($M190="incl",[12]LULUCF_hist!DN180,0)</f>
        <v>32.167957000000001</v>
      </c>
      <c r="AK190" s="111">
        <f>[12]GHG_hist!BX180+IF($M190="incl",[12]LULUCF_hist!DO180,0)</f>
        <v>32.302616999999998</v>
      </c>
      <c r="AL190" s="111">
        <f>[12]GHG_hist!BY180+IF($M190="incl",[12]LULUCF_hist!DP180,0)</f>
        <v>32.607115</v>
      </c>
      <c r="AM190" s="111">
        <f>[12]GHG_hist!BZ180+IF($M190="incl",[12]LULUCF_hist!DQ180,0)</f>
        <v>32.828181000000001</v>
      </c>
      <c r="AN190" s="111">
        <f>[12]GHG_hist!CA180+IF($M190="incl",[12]LULUCF_hist!DR180,0)</f>
        <v>33.209241000000006</v>
      </c>
      <c r="AO190" s="111">
        <f>[12]GHG_hist!CB180+IF($M190="incl",[12]LULUCF_hist!DS180,0)</f>
        <v>33.348735999999995</v>
      </c>
      <c r="AP190" s="111">
        <f>[12]GHG_hist!CC180+IF($M190="incl",[12]LULUCF_hist!DT180,0)</f>
        <v>33.661491000000005</v>
      </c>
      <c r="AQ190" s="111">
        <f>[12]GHG_hist!CD180+IF($M190="incl",[12]LULUCF_hist!DU180,0)</f>
        <v>34.536540000000002</v>
      </c>
      <c r="AR190" s="111">
        <f>[12]GHG_hist!CE180+IF($M190="incl",[12]LULUCF_hist!DV180,0)</f>
        <v>34.970976</v>
      </c>
      <c r="AS190" s="111">
        <f>[12]GHG_hist!CF180+IF($M190="incl",[12]LULUCF_hist!DW180,0)</f>
        <v>35.121103000000005</v>
      </c>
      <c r="AT190" s="161">
        <f>VLOOKUP($L190,'[12]IMAGE SSP2'!$AF$3:$AK$29,4,FALSE)*$AM190</f>
        <v>37.548916257741105</v>
      </c>
      <c r="AU190" s="162">
        <f>VLOOKUP($L190,'[12]IMAGE SSP2'!$AF$3:$AK$29,5,FALSE)*$AM190</f>
        <v>43.014986743464014</v>
      </c>
      <c r="AV190" s="163">
        <f>VLOOKUP($L190,'[12]IMAGE SSP2'!$AF$3:$AK$29,6,FALSE)*$AM190</f>
        <v>49.8761787198587</v>
      </c>
      <c r="AW190" s="111" t="str">
        <f t="shared" si="119"/>
        <v/>
      </c>
      <c r="AX190" s="164" t="str">
        <f>IF(A190="B",IF(M190="excl",[12]NatCom!CO180,[12]NatCom!AX180),"")</f>
        <v/>
      </c>
      <c r="AY190" s="111" t="str">
        <f>IF('[12]Pledge 2020'!E180="","",'[12]Pledge 2020'!E180)</f>
        <v/>
      </c>
      <c r="AZ190" s="164" t="str">
        <f>IF('[12]Pledge 2020'!F180="","",'[12]Pledge 2020'!F180)</f>
        <v/>
      </c>
      <c r="BA190" s="111" t="str">
        <f t="shared" si="144"/>
        <v/>
      </c>
      <c r="BB190" s="111"/>
      <c r="BC190" s="111" t="str">
        <f t="shared" si="145"/>
        <v/>
      </c>
      <c r="BD190" s="111"/>
      <c r="BE190" s="111" t="s">
        <v>2477</v>
      </c>
      <c r="BF190" s="111"/>
      <c r="BG190" s="111" t="s">
        <v>2477</v>
      </c>
      <c r="BH190" s="164"/>
      <c r="BI190" s="111" t="str">
        <f>IF([12]NDCs!V192="",IF([12]NDCs!X192="","",[12]NDCs!X192),[12]NDCs!V192)</f>
        <v/>
      </c>
      <c r="BJ190" s="111" t="str">
        <f>IF([12]NDCs!V192="",IF([12]NDCs!X192="","",[12]NDCs!X192),[12]NDCs!V192)</f>
        <v/>
      </c>
      <c r="BK190" s="111" t="str">
        <f>IF([12]NDCs!Z192="",IF([12]NDCs!AB192="",IF('input site'!BE190="","",'input site'!BE190),[12]NDCs!AB192),[12]NDCs!Z192)</f>
        <v/>
      </c>
      <c r="BL190" s="111" t="str">
        <f>IF([12]NDCs!AA192="",IF([12]NDCs!AC192="",IF('input site'!BF190="","",'input site'!BF190),[12]NDCs!AC192),[12]NDCs!AA192)</f>
        <v/>
      </c>
      <c r="BM190" s="111">
        <f>IF($BI$8=2015,VLOOKUP($L190,'[12]IMAGE CurPol SSP'!$AZ$3:$BD$29,4,FALSE)*$AM190,IF($BI$8=2018,VLOOKUP($L190,'[12]IMAGE CurPol SSP'!$BJ$3:$BN$29,4,FALSE)*$AP190,$AR190))</f>
        <v>34.970976</v>
      </c>
      <c r="BN190" s="111">
        <f t="shared" si="146"/>
        <v>34.970976</v>
      </c>
      <c r="BO190" s="111">
        <f t="shared" si="146"/>
        <v>34.970976</v>
      </c>
      <c r="BP190" s="111">
        <f>IF($BI$8=2015,VLOOKUP($L190,'[12]IMAGE CurPol SSP'!$AZ$3:$BD$29,5,FALSE)*$AM190,IF($BI$8=2018,VLOOKUP($L190,'[12]IMAGE CurPol SSP'!$BJ$3:$BN$29,5,FALSE)*$AP190,VLOOKUP($L190,'[12]IMAGE CurPol SSP'!$BU$3:$BZ$29,5,FALSE)*$AS190))</f>
        <v>43.870305844673354</v>
      </c>
      <c r="BQ190" s="111">
        <f>IF($BI$8=2015,"",IF($BI$8=2018,"",VLOOKUP($L190,'[12]IMAGE CurPol SSP'!$CQ$3:$CV$29,5,FALSE)*$AS190))</f>
        <v>43.560738600507122</v>
      </c>
      <c r="BR190" s="111">
        <f>IF($BI$8=2015,"",IF($BI$8=2018,"",VLOOKUP($L190,'[12]IMAGE CurPol SSP'!$CF$3:$CK$29,5,FALSE)*$AS190))</f>
        <v>44.517295179499165</v>
      </c>
      <c r="BS190" s="111">
        <f>IF($BI$8=2015,VLOOKUP($L190,'[12]IMAGE CurPol SSP'!$AZ$3:$BE$29,6,FALSE)*$AM190,IF($BI$8=2018,VLOOKUP($L190,'[12]IMAGE CurPol SSP'!$BJ$3:$BO$29,6,FALSE)*$AP190,VLOOKUP($L190,'[12]IMAGE CurPol SSP'!$BU$3:$BZ$29,6,FALSE)*$AS190))</f>
        <v>55.276969241876735</v>
      </c>
      <c r="BT190" s="111">
        <f>IF($BI$8=2015,"",IF($BI$8=2018,"",VLOOKUP($L190,'[12]IMAGE CurPol SSP'!$CQ$3:$CV$29,6,FALSE)*$AS190))</f>
        <v>54.50156644440051</v>
      </c>
      <c r="BU190" s="164">
        <f>IF($BI$8=2015,"",IF($BI$8=2018,"",VLOOKUP($L190,'[12]IMAGE CurPol SSP'!$CF$3:$CK$29,6,FALSE)*$AS190))</f>
        <v>56.857652728376038</v>
      </c>
      <c r="CN190" t="s">
        <v>409</v>
      </c>
      <c r="CO190" s="165" t="str">
        <f t="shared" si="114"/>
        <v/>
      </c>
      <c r="CP190" s="165" t="str">
        <f t="shared" si="114"/>
        <v/>
      </c>
      <c r="CQ190" s="165" t="str">
        <f t="shared" si="114"/>
        <v/>
      </c>
      <c r="CR190" s="165" t="str">
        <f t="shared" si="114"/>
        <v/>
      </c>
      <c r="CV190" s="125" t="s">
        <v>621</v>
      </c>
      <c r="CW190" s="125" t="s">
        <v>621</v>
      </c>
      <c r="CX190"/>
      <c r="CY190" s="167">
        <f t="shared" si="115"/>
        <v>2.5779402577411048</v>
      </c>
      <c r="DB190" s="106"/>
      <c r="DC190" s="106"/>
      <c r="DD190" s="106"/>
      <c r="DE190" s="106"/>
      <c r="DF190" s="106"/>
      <c r="DG190" s="105" t="str">
        <f t="shared" si="116"/>
        <v>excl</v>
      </c>
      <c r="DH190" t="s">
        <v>409</v>
      </c>
      <c r="DI190" s="111">
        <f t="shared" si="137"/>
        <v>0</v>
      </c>
      <c r="DJ190" s="111">
        <f t="shared" si="137"/>
        <v>0</v>
      </c>
      <c r="DK190" s="111">
        <f t="shared" si="138"/>
        <v>0</v>
      </c>
      <c r="DL190" s="111">
        <f t="shared" si="139"/>
        <v>0</v>
      </c>
      <c r="DM190" s="111">
        <f t="shared" si="140"/>
        <v>0</v>
      </c>
      <c r="DN190" s="111">
        <f t="shared" si="141"/>
        <v>0</v>
      </c>
      <c r="DO190" s="111">
        <f t="shared" si="142"/>
        <v>0</v>
      </c>
      <c r="DP190" s="111">
        <f t="shared" si="143"/>
        <v>0</v>
      </c>
      <c r="DQ190" s="106"/>
      <c r="DR190" s="106"/>
      <c r="DS190" s="111"/>
      <c r="DT190" s="168"/>
      <c r="DW190" s="111">
        <f t="shared" si="117"/>
        <v>55.276969241876735</v>
      </c>
      <c r="DX190" s="111">
        <f t="shared" si="117"/>
        <v>55.276969241876735</v>
      </c>
      <c r="DY190" s="111">
        <f t="shared" si="117"/>
        <v>55.276969241876735</v>
      </c>
      <c r="DZ190" s="111">
        <f t="shared" si="117"/>
        <v>55.276969241876735</v>
      </c>
      <c r="EP190" t="s">
        <v>409</v>
      </c>
      <c r="EQ190">
        <v>-1</v>
      </c>
      <c r="ER190" s="111">
        <f t="shared" si="118"/>
        <v>33.661491000000005</v>
      </c>
      <c r="ES190" s="111">
        <f>IF($BI$8=2015,VLOOKUP($L190,'[12]IMAGE CDLINKS CurPol'!$P$3:$Y$29,10,FALSE)*$AM190,VLOOKUP($L190,'[12]IMAGE CDLINKS CurPol'!$Z$3:$AI$29,10,FALSE)*$AP190)</f>
        <v>73.394271572529846</v>
      </c>
      <c r="ET190" s="111">
        <f t="shared" si="124"/>
        <v>73.394271572529846</v>
      </c>
      <c r="EU190" s="111">
        <f t="shared" si="120"/>
        <v>39.446038005732674</v>
      </c>
      <c r="EV190" s="111">
        <f>IF($BI$8=2015,VLOOKUP($L190,'[12]IMAGE CDLINKS 2C'!$P$3:$Y$29,10,FALSE)*$AM190,VLOOKUP($L190,'[12]IMAGE CDLINKS 2C'!$Z$3:$AI$29,10,FALSE)*$AP190)</f>
        <v>39.446038005732674</v>
      </c>
      <c r="EX190" s="111"/>
      <c r="EY190" s="111">
        <f t="shared" si="121"/>
        <v>36.040784146800036</v>
      </c>
      <c r="EZ190" s="111">
        <f>IF($BI$8=2015,VLOOKUP($L190,'[12]IMAGE CDLINKS 1_5C'!$P$3:$Y$29,10,FALSE)*$AM190,VLOOKUP($L190,'[12]IMAGE CDLINKS 1_5C'!$Z$3:$AI$29,10,FALSE)*$AP190)</f>
        <v>36.040784146800036</v>
      </c>
      <c r="FA190" s="192">
        <v>2050</v>
      </c>
    </row>
    <row r="191" spans="1:157" x14ac:dyDescent="0.25">
      <c r="A191" t="str">
        <f>IF([12]NDCs!C193="","",[12]NDCs!C193)</f>
        <v>F</v>
      </c>
      <c r="B191" s="159" t="str">
        <f t="shared" si="112"/>
        <v>iii</v>
      </c>
      <c r="C191">
        <v>1</v>
      </c>
      <c r="D191">
        <v>0</v>
      </c>
      <c r="E191">
        <v>1</v>
      </c>
      <c r="F191">
        <v>1</v>
      </c>
      <c r="G191" t="b">
        <f t="shared" si="113"/>
        <v>1</v>
      </c>
      <c r="H191" t="s">
        <v>2339</v>
      </c>
      <c r="I191" t="s">
        <v>411</v>
      </c>
      <c r="J191">
        <v>710</v>
      </c>
      <c r="K191">
        <v>186</v>
      </c>
      <c r="L191">
        <v>10</v>
      </c>
      <c r="M191" t="str">
        <f>IF([12]NDCs!AL193="Excluding","excl","incl")</f>
        <v>excl</v>
      </c>
      <c r="N191" s="195">
        <f>[12]SAF!$A$24*IF($M191="incl",[12]SAF!E$41,[12]SAF!E$37)</f>
        <v>355</v>
      </c>
      <c r="O191" s="195">
        <f>[12]SAF!$A$24*IF($M191="incl",[12]SAF!F$41,[12]SAF!F$37)</f>
        <v>363</v>
      </c>
      <c r="P191" s="195">
        <f>[12]SAF!$A$24*IF($M191="incl",[12]SAF!G$41,[12]SAF!G$37)</f>
        <v>371</v>
      </c>
      <c r="Q191" s="195">
        <f>[12]SAF!$A$24*IF($M191="incl",[12]SAF!H$41,[12]SAF!H$37)</f>
        <v>379</v>
      </c>
      <c r="R191" s="195">
        <f>[12]SAF!$A$24*IF($M191="incl",[12]SAF!I$41,[12]SAF!I$37)</f>
        <v>387</v>
      </c>
      <c r="S191" s="195">
        <f>[12]SAF!$A$24*IF($M191="incl",[12]SAF!J$41,[12]SAF!J$37)</f>
        <v>399</v>
      </c>
      <c r="T191" s="195">
        <f>[12]SAF!$A$24*IF($M191="incl",[12]SAF!K$41,[12]SAF!K$37)</f>
        <v>410</v>
      </c>
      <c r="U191" s="195">
        <f>[12]SAF!$A$24*IF($M191="incl",[12]SAF!L$41,[12]SAF!L$37)</f>
        <v>422</v>
      </c>
      <c r="V191" s="195">
        <f>[12]SAF!$A$24*IF($M191="incl",[12]SAF!M$41,[12]SAF!M$37)</f>
        <v>433</v>
      </c>
      <c r="W191" s="195">
        <f>[12]SAF!$A$24*IF($M191="incl",[12]SAF!N$41,[12]SAF!N$37)</f>
        <v>445</v>
      </c>
      <c r="X191" s="195">
        <f>[12]SAF!$A$24*IF($M191="incl",[12]SAF!O$41,[12]SAF!O$37)</f>
        <v>456</v>
      </c>
      <c r="Y191" s="195">
        <f>[12]SAF!$A$24*IF($M191="incl",[12]SAF!P$41,[12]SAF!P$37)</f>
        <v>453</v>
      </c>
      <c r="Z191" s="195">
        <f>[12]SAF!$A$24*IF($M191="incl",[12]SAF!Q$41,[12]SAF!Q$37)</f>
        <v>463</v>
      </c>
      <c r="AA191" s="195">
        <f>[12]SAF!$A$24*IF($M191="incl",[12]SAF!R$41,[12]SAF!R$37)</f>
        <v>481</v>
      </c>
      <c r="AB191" s="195">
        <f>[12]SAF!$A$24*IF($M191="incl",[12]SAF!S$41,[12]SAF!S$37)</f>
        <v>496</v>
      </c>
      <c r="AC191" s="195">
        <f>[12]SAF!$A$24*IF($M191="incl",[12]SAF!T$41,[12]SAF!T$37)</f>
        <v>493</v>
      </c>
      <c r="AD191" s="195">
        <f>[12]SAF!$A$24*IF($M191="incl",[12]SAF!U$41,[12]SAF!U$37)</f>
        <v>497</v>
      </c>
      <c r="AE191" s="195">
        <f>[12]SAF!$A$24*IF($M191="incl",[12]SAF!V$41,[12]SAF!V$37)</f>
        <v>532</v>
      </c>
      <c r="AF191" s="195">
        <f>[12]SAF!$A$24*IF($M191="incl",[12]SAF!W$41,[12]SAF!W$37)</f>
        <v>526</v>
      </c>
      <c r="AG191" s="195">
        <f>[12]SAF!$A$24*IF($M191="incl",[12]SAF!X$41,[12]SAF!X$37)</f>
        <v>544</v>
      </c>
      <c r="AH191" s="195">
        <f>[12]SAF!$A$24*IF($M191="incl",[12]SAF!Y$41,[12]SAF!Y$37)</f>
        <v>530</v>
      </c>
      <c r="AI191" s="195">
        <f>[12]SAF!$A$24*IF($M191="incl",[12]SAF!Z$41,[12]SAF!Z$37)</f>
        <v>521</v>
      </c>
      <c r="AJ191" s="195">
        <f>[12]SAF!$A$24*IF($M191="incl",[12]SAF!AA$41,[12]SAF!AA$37)</f>
        <v>534</v>
      </c>
      <c r="AK191" s="195">
        <f>[12]SAF!$A$24*IF($M191="incl",[12]SAF!AB$41,[12]SAF!AB$37)</f>
        <v>537</v>
      </c>
      <c r="AL191" s="195">
        <f>[12]SAF!$A$24*IF($M191="incl",[12]SAF!AC$41,[12]SAF!AC$37)</f>
        <v>537</v>
      </c>
      <c r="AM191" s="195">
        <f>[12]SAF!$A$24*IF($M191="incl",[12]SAF!AD$41,[12]SAF!AD$37)</f>
        <v>536</v>
      </c>
      <c r="AN191" s="195">
        <f>[12]SAF!$A$24*IF($M191="incl",[12]SAF!AE$41,[12]SAF!AE$37)</f>
        <v>523</v>
      </c>
      <c r="AO191" s="195">
        <f>[12]SAF!$A$24*IF($M191="incl",[12]SAF!AF$41,[12]SAF!AF$37)</f>
        <v>521</v>
      </c>
      <c r="AP191" s="195">
        <f>[12]SAF!$A$24*IF($M191="incl",[12]SAF!AG$41,[12]SAF!AG$37)</f>
        <v>529.68043499999999</v>
      </c>
      <c r="AQ191" s="195">
        <f>[12]SAF!$A$24*IF($M191="incl",[12]SAF!AH$41,[12]SAF!AH$37)</f>
        <v>520.25878999999998</v>
      </c>
      <c r="AR191" s="195">
        <f>[12]SAF!$A$24*IF($M191="incl",[12]SAF!AI$41,[12]SAF!AI$37)</f>
        <v>491.64366499999898</v>
      </c>
      <c r="AS191" s="195">
        <f>[12]SAF!$A$24*IF($M191="incl",[12]SAF!AJ$41,[12]SAF!AJ$37)</f>
        <v>495.245751699999</v>
      </c>
      <c r="AT191" s="179">
        <f>[12]SAF!$A$24*[12]SAF!AI23</f>
        <v>639.04330000000004</v>
      </c>
      <c r="AU191" s="177">
        <f>[12]SAF!$A$24*[12]SAF!AN23</f>
        <v>711.84339999999997</v>
      </c>
      <c r="AV191" s="180">
        <f>[12]SAF!$A$24*[12]SAF!AS23</f>
        <v>785.74270000000001</v>
      </c>
      <c r="AW191" s="111" t="str">
        <f t="shared" si="119"/>
        <v/>
      </c>
      <c r="AX191" s="164" t="str">
        <f>IF(A191="B",IF(M191="excl",[12]NatCom!CO181,[12]NatCom!AX181),"")</f>
        <v/>
      </c>
      <c r="AY191" s="177">
        <f>[12]SAF!$A$24*IF('[12]Pledge 2020'!F181="","",'[12]Pledge 2020'!F181)</f>
        <v>583</v>
      </c>
      <c r="AZ191" s="180">
        <f>[12]SAF!$A$24*IF('[12]Pledge 2020'!E181="","",'[12]Pledge 2020'!E181)</f>
        <v>398</v>
      </c>
      <c r="BA191" s="106">
        <f>[12]SAF!$R$13</f>
        <v>398</v>
      </c>
      <c r="BB191" s="106">
        <f>[12]SAF!$R$17</f>
        <v>510</v>
      </c>
      <c r="BC191" s="106">
        <f>BA191</f>
        <v>398</v>
      </c>
      <c r="BD191" s="106">
        <f>BB191</f>
        <v>510</v>
      </c>
      <c r="BE191" s="199">
        <v>420</v>
      </c>
      <c r="BF191" s="199">
        <v>420</v>
      </c>
      <c r="BG191" s="199">
        <v>350</v>
      </c>
      <c r="BH191" s="200">
        <v>350</v>
      </c>
      <c r="BI191" s="111">
        <f>IF([12]NDCs!V193="",IF([12]NDCs!X193="","",[12]NDCs!X193),[12]NDCs!V193)</f>
        <v>614</v>
      </c>
      <c r="BJ191" s="111">
        <f>IF([12]NDCs!V193="",IF([12]NDCs!X193="","",[12]NDCs!X193),[12]NDCs!V193)</f>
        <v>614</v>
      </c>
      <c r="BK191" s="111">
        <f>IF([12]NDCs!Z193="",IF([12]NDCs!AB193="",IF('input site'!BE191="","",'input site'!BE191),[12]NDCs!AB193),[12]NDCs!Z193)</f>
        <v>398</v>
      </c>
      <c r="BL191" s="111">
        <f>IF([12]NDCs!AA193="",IF([12]NDCs!AC193="",IF('input site'!BF191="","",'input site'!BF191),[12]NDCs!AC193),[12]NDCs!AA193)</f>
        <v>398</v>
      </c>
      <c r="BM191" s="191">
        <f>[12]SAF!$A$24*[12]SAF!AB$5</f>
        <v>525.42173609080305</v>
      </c>
      <c r="BN191" s="127">
        <f>[12]SAF!$A$24*[12]SAF!AB7</f>
        <v>491.64366499999898</v>
      </c>
      <c r="BO191" s="127">
        <f>[12]SAF!$A$24*[12]SAF!AB6</f>
        <v>525.42173609080305</v>
      </c>
      <c r="BP191" s="127">
        <f>[12]SAF!$A$24*[12]SAF!AC$5</f>
        <v>472.51394942069101</v>
      </c>
      <c r="BQ191" s="127">
        <f>[12]SAF!$A$24*[12]SAF!AC7</f>
        <v>472.51394942069101</v>
      </c>
      <c r="BR191" s="127">
        <f>[12]SAF!$A$24*[12]SAF!AC6</f>
        <v>508.30299020000001</v>
      </c>
      <c r="BS191" s="127">
        <f>[12]SAF!$A$24*[12]SAF!AD$5</f>
        <v>477.68951848837003</v>
      </c>
      <c r="BT191" s="127">
        <f>[12]SAF!$A$24*[12]SAF!AD7</f>
        <v>474.05237349999902</v>
      </c>
      <c r="BU191" s="184">
        <f>[12]SAF!$A$24*[12]SAF!AD6</f>
        <v>513.58077330000003</v>
      </c>
      <c r="CN191" t="s">
        <v>411</v>
      </c>
      <c r="CO191" s="165">
        <f t="shared" si="114"/>
        <v>-0.12076781309945062</v>
      </c>
      <c r="CP191" s="165">
        <f t="shared" si="114"/>
        <v>-0.12076781309945062</v>
      </c>
      <c r="CQ191" s="165">
        <f t="shared" si="114"/>
        <v>-0.26730651091620883</v>
      </c>
      <c r="CR191" s="165">
        <f t="shared" si="114"/>
        <v>-0.26730651091620883</v>
      </c>
      <c r="CS191" s="185">
        <f>IF(BE191&lt;=MIN(BS191:BU191),0,1)</f>
        <v>0</v>
      </c>
      <c r="CT191" s="185">
        <f>IF(BG191&lt;=MIN(BS191:BU191),0,1)</f>
        <v>0</v>
      </c>
      <c r="CU191">
        <f>IF(BS191&lt;=MAX(AN191,AP191),1,0)</f>
        <v>1</v>
      </c>
      <c r="CV191" s="126" t="str">
        <f>IF(CS191=1,IF(CU191=1,"i","ii"),IF(CU191=1,"iii","iv"))</f>
        <v>iii</v>
      </c>
      <c r="CW191" s="126" t="str">
        <f>IF(CT191=1,IF(CU191=1,"i","ii"),IF(CU191=1,"iii","iv"))</f>
        <v>iii</v>
      </c>
      <c r="CX191"/>
      <c r="CY191" s="167">
        <f t="shared" si="115"/>
        <v>113.62156390919699</v>
      </c>
      <c r="DA191" s="187">
        <f>[12]SAF!P18</f>
        <v>0</v>
      </c>
      <c r="DB191" s="187">
        <f>[12]SAF!Q18</f>
        <v>57.578263909196949</v>
      </c>
      <c r="DC191" s="187">
        <f>[12]SAF!R18</f>
        <v>0</v>
      </c>
      <c r="DD191" s="187">
        <f>[12]SAF!S18</f>
        <v>0</v>
      </c>
      <c r="DE191" s="187">
        <f>[12]SAF!T18</f>
        <v>0</v>
      </c>
      <c r="DF191" s="187">
        <f>[12]SAF!U18</f>
        <v>0</v>
      </c>
      <c r="DG191" s="105" t="str">
        <f t="shared" si="116"/>
        <v>excl</v>
      </c>
      <c r="DH191" t="s">
        <v>411</v>
      </c>
      <c r="DI191" s="127"/>
      <c r="DJ191" s="127"/>
      <c r="DK191" s="127"/>
      <c r="DL191" s="127"/>
      <c r="DM191" s="127"/>
      <c r="DN191" s="127"/>
      <c r="DO191" s="127"/>
      <c r="DP191" s="127"/>
      <c r="DQ191" s="187">
        <f>[12]SAF!BA$18</f>
        <v>0</v>
      </c>
      <c r="DR191" s="187">
        <f>[12]SAF!BB$18</f>
        <v>0</v>
      </c>
      <c r="DS191" s="111"/>
      <c r="DT191" s="168"/>
      <c r="DW191" s="111">
        <f t="shared" si="117"/>
        <v>420</v>
      </c>
      <c r="DX191" s="111">
        <f t="shared" si="117"/>
        <v>420</v>
      </c>
      <c r="DY191" s="111">
        <f t="shared" si="117"/>
        <v>350</v>
      </c>
      <c r="DZ191" s="111">
        <f t="shared" si="117"/>
        <v>350</v>
      </c>
      <c r="EP191" t="s">
        <v>411</v>
      </c>
      <c r="EQ191">
        <v>1</v>
      </c>
      <c r="ER191" s="111">
        <f t="shared" si="118"/>
        <v>529.68043499999999</v>
      </c>
      <c r="ES191" s="111">
        <f>IF($BI$8=2015,VLOOKUP($L191,'[12]IMAGE CDLINKS CurPol'!$P$3:$Y$29,10,FALSE)*$AM191,VLOOKUP($L191,'[12]IMAGE CDLINKS CurPol'!$Z$3:$AI$29,10,FALSE)*$AP191)</f>
        <v>907.84633986434835</v>
      </c>
      <c r="ET191" s="111">
        <f t="shared" si="124"/>
        <v>75</v>
      </c>
      <c r="EU191" s="111">
        <f t="shared" si="120"/>
        <v>98.616444026976296</v>
      </c>
      <c r="EV191" s="111">
        <f>IF($BI$8=2015,VLOOKUP($L191,'[12]IMAGE CDLINKS 2C'!$P$3:$Y$29,10,FALSE)*$AM191,VLOOKUP($L191,'[12]IMAGE CDLINKS 2C'!$Z$3:$AI$29,10,FALSE)*$AP191)</f>
        <v>98.616444026976296</v>
      </c>
      <c r="EW191">
        <v>75</v>
      </c>
      <c r="EX191" s="111">
        <f>EW191-EV191</f>
        <v>-23.616444026976296</v>
      </c>
      <c r="EY191" s="111">
        <f t="shared" si="121"/>
        <v>75</v>
      </c>
      <c r="EZ191" s="111">
        <f>IF($BI$8=2015,VLOOKUP($L191,'[12]IMAGE CDLINKS 1_5C'!$P$3:$Y$29,10,FALSE)*$AM191,VLOOKUP($L191,'[12]IMAGE CDLINKS 1_5C'!$Z$3:$AI$29,10,FALSE)*$AP191)</f>
        <v>-59.326830346404471</v>
      </c>
      <c r="FA191" s="192" t="s">
        <v>2349</v>
      </c>
    </row>
    <row r="192" spans="1:157" x14ac:dyDescent="0.25">
      <c r="A192" t="str">
        <f>IF([12]NDCs!C194="","",[12]NDCs!C194)</f>
        <v>A</v>
      </c>
      <c r="B192" s="159" t="str">
        <f t="shared" si="112"/>
        <v>v</v>
      </c>
      <c r="C192">
        <v>0</v>
      </c>
      <c r="D192">
        <v>1</v>
      </c>
      <c r="E192">
        <v>0</v>
      </c>
      <c r="F192">
        <v>1</v>
      </c>
      <c r="G192" t="b">
        <f t="shared" si="113"/>
        <v>1</v>
      </c>
      <c r="H192" t="s">
        <v>2335</v>
      </c>
      <c r="I192" t="s">
        <v>413</v>
      </c>
      <c r="J192">
        <v>724</v>
      </c>
      <c r="K192">
        <v>188</v>
      </c>
      <c r="L192">
        <v>11</v>
      </c>
      <c r="M192" t="str">
        <f>IF([12]NDCs!AL194="Excluding","excl","incl")</f>
        <v>incl</v>
      </c>
      <c r="N192" s="160">
        <f>[12]GHG_hist!BA182+IF($M192="incl",[12]LULUCF_hist!CR182,0)</f>
        <v>253.07275370188211</v>
      </c>
      <c r="O192" s="111">
        <f>[12]GHG_hist!BB182+IF($M192="incl",[12]LULUCF_hist!CS182,0)</f>
        <v>260.735185086782</v>
      </c>
      <c r="P192" s="111">
        <f>[12]GHG_hist!BC182+IF($M192="incl",[12]LULUCF_hist!CT182,0)</f>
        <v>270.04248008976924</v>
      </c>
      <c r="Q192" s="111">
        <f>[12]GHG_hist!BD182+IF($M192="incl",[12]LULUCF_hist!CU182,0)</f>
        <v>258.56024264465611</v>
      </c>
      <c r="R192" s="111">
        <f>[12]GHG_hist!BE182+IF($M192="incl",[12]LULUCF_hist!CV182,0)</f>
        <v>276.31489244193625</v>
      </c>
      <c r="S192" s="111">
        <f>[12]GHG_hist!BF182+IF($M192="incl",[12]LULUCF_hist!CW182,0)</f>
        <v>290.41191575220392</v>
      </c>
      <c r="T192" s="111">
        <f>[12]GHG_hist!BG182+IF($M192="incl",[12]LULUCF_hist!CX182,0)</f>
        <v>281.19403898074478</v>
      </c>
      <c r="U192" s="111">
        <f>[12]GHG_hist!BH182+IF($M192="incl",[12]LULUCF_hist!CY182,0)</f>
        <v>295.34269840959445</v>
      </c>
      <c r="V192" s="111">
        <f>[12]GHG_hist!BI182+IF($M192="incl",[12]LULUCF_hist!CZ182,0)</f>
        <v>304.21824187728203</v>
      </c>
      <c r="W192" s="111">
        <f>[12]GHG_hist!BJ182+IF($M192="incl",[12]LULUCF_hist!DA182,0)</f>
        <v>327.10574325495065</v>
      </c>
      <c r="X192" s="111">
        <f>[12]GHG_hist!BK182+IF($M192="incl",[12]LULUCF_hist!DB182,0)</f>
        <v>339.991297659775</v>
      </c>
      <c r="Y192" s="111">
        <f>[12]GHG_hist!BL182+IF($M192="incl",[12]LULUCF_hist!DC182,0)</f>
        <v>336.071396899663</v>
      </c>
      <c r="Z192" s="111">
        <f>[12]GHG_hist!BM182+IF($M192="incl",[12]LULUCF_hist!DD182,0)</f>
        <v>355.37212593905713</v>
      </c>
      <c r="AA192" s="111">
        <f>[12]GHG_hist!BN182+IF($M192="incl",[12]LULUCF_hist!DE182,0)</f>
        <v>363.26074142895391</v>
      </c>
      <c r="AB192" s="111">
        <f>[12]GHG_hist!BO182+IF($M192="incl",[12]LULUCF_hist!DF182,0)</f>
        <v>378.07747128376593</v>
      </c>
      <c r="AC192" s="111">
        <f>[12]GHG_hist!BP182+IF($M192="incl",[12]LULUCF_hist!DG182,0)</f>
        <v>393.58453942965565</v>
      </c>
      <c r="AD192" s="111">
        <f>[12]GHG_hist!BQ182+IF($M192="incl",[12]LULUCF_hist!DH182,0)</f>
        <v>384.67217693235324</v>
      </c>
      <c r="AE192" s="111">
        <f>[12]GHG_hist!BR182+IF($M192="incl",[12]LULUCF_hist!DI182,0)</f>
        <v>397.89124053798764</v>
      </c>
      <c r="AF192" s="111">
        <f>[12]GHG_hist!BS182+IF($M192="incl",[12]LULUCF_hist!DJ182,0)</f>
        <v>364.28822819466109</v>
      </c>
      <c r="AG192" s="111">
        <f>[12]GHG_hist!BT182+IF($M192="incl",[12]LULUCF_hist!DK182,0)</f>
        <v>326.90240123912378</v>
      </c>
      <c r="AH192" s="111">
        <f>[12]GHG_hist!BU182+IF($M192="incl",[12]LULUCF_hist!DL182,0)</f>
        <v>309.49829186919806</v>
      </c>
      <c r="AI192" s="111">
        <f>[12]GHG_hist!BV182+IF($M192="incl",[12]LULUCF_hist!DM182,0)</f>
        <v>309.63481400799878</v>
      </c>
      <c r="AJ192" s="111">
        <f>[12]GHG_hist!BW182+IF($M192="incl",[12]LULUCF_hist!DN182,0)</f>
        <v>304.69805154310353</v>
      </c>
      <c r="AK192" s="111">
        <f>[12]GHG_hist!BX182+IF($M192="incl",[12]LULUCF_hist!DO182,0)</f>
        <v>278.27540606999247</v>
      </c>
      <c r="AL192" s="111">
        <f>[12]GHG_hist!BY182+IF($M192="incl",[12]LULUCF_hist!DP182,0)</f>
        <v>278.08555067907326</v>
      </c>
      <c r="AM192" s="111">
        <f>[12]GHG_hist!BZ182+IF($M192="incl",[12]LULUCF_hist!DQ182,0)</f>
        <v>287.01587791315569</v>
      </c>
      <c r="AN192" s="111">
        <f>[12]GHG_hist!CA182+IF($M192="incl",[12]LULUCF_hist!DR182,0)</f>
        <v>274.74358383624252</v>
      </c>
      <c r="AO192" s="111">
        <f>[12]GHG_hist!CB182+IF($M192="incl",[12]LULUCF_hist!DS182,0)</f>
        <v>287.0199813427061</v>
      </c>
      <c r="AP192" s="111">
        <f>[12]GHG_hist!CC182+IF($M192="incl",[12]LULUCF_hist!DT182,0)</f>
        <v>279.57260191160105</v>
      </c>
      <c r="AQ192" s="111">
        <f>[12]GHG_hist!CD182+IF($M192="incl",[12]LULUCF_hist!DU182,0)</f>
        <v>261.35688099030506</v>
      </c>
      <c r="AR192" s="111">
        <f>[12]GHG_hist!CE182+IF($M192="incl",[12]LULUCF_hist!DV182,0)</f>
        <v>224.83762965611794</v>
      </c>
      <c r="AS192" s="111">
        <f>[12]GHG_hist!CF182+IF($M192="incl",[12]LULUCF_hist!DW182,0)</f>
        <v>241.03935845363964</v>
      </c>
      <c r="AT192" s="161">
        <f>VLOOKUP($L192,'[12]IMAGE SSP2'!$AF$3:$AK$29,4,FALSE)*$AM192</f>
        <v>279.09350778069876</v>
      </c>
      <c r="AU192" s="162">
        <f>VLOOKUP($L192,'[12]IMAGE SSP2'!$AF$3:$AK$29,5,FALSE)*$AM192</f>
        <v>269.85513933320988</v>
      </c>
      <c r="AV192" s="163">
        <f>VLOOKUP($L192,'[12]IMAGE SSP2'!$AF$3:$AK$29,6,FALSE)*$AM192</f>
        <v>268.35362964967436</v>
      </c>
      <c r="AW192" s="111" t="str">
        <f t="shared" si="119"/>
        <v/>
      </c>
      <c r="AX192" s="164" t="str">
        <f>IF(A192="B",IF(M192="excl",[12]NatCom!CO182,[12]NatCom!AX182),"")</f>
        <v/>
      </c>
      <c r="AY192" s="111" t="str">
        <f>IF('[12]Pledge 2020'!E182="","",'[12]Pledge 2020'!E182)</f>
        <v/>
      </c>
      <c r="AZ192" s="164" t="str">
        <f>IF('[12]Pledge 2020'!F182="","",'[12]Pledge 2020'!F182)</f>
        <v/>
      </c>
      <c r="BA192" s="111" t="str">
        <f t="shared" si="144"/>
        <v/>
      </c>
      <c r="BB192" s="111"/>
      <c r="BC192" s="111" t="str">
        <f t="shared" si="145"/>
        <v/>
      </c>
      <c r="BD192" s="111"/>
      <c r="BE192" s="111" t="s">
        <v>2477</v>
      </c>
      <c r="BF192" s="111"/>
      <c r="BG192" s="111" t="s">
        <v>2477</v>
      </c>
      <c r="BH192" s="164"/>
      <c r="BI192" s="111" t="str">
        <f>IF([12]NDCs!V194="",IF([12]NDCs!X194="","",[12]NDCs!X194),[12]NDCs!V194)</f>
        <v/>
      </c>
      <c r="BJ192" s="111" t="str">
        <f>IF([12]NDCs!V194="",IF([12]NDCs!X194="","",[12]NDCs!X194),[12]NDCs!V194)</f>
        <v/>
      </c>
      <c r="BK192" s="111" t="str">
        <f>IF([12]NDCs!Z194="",IF([12]NDCs!AB194="",IF('input site'!BE192="","",'input site'!BE192),[12]NDCs!AB194),[12]NDCs!Z194)</f>
        <v/>
      </c>
      <c r="BL192" s="111" t="str">
        <f>IF([12]NDCs!AA194="",IF([12]NDCs!AC194="",IF('input site'!BF192="","",'input site'!BF192),[12]NDCs!AC194),[12]NDCs!AA194)</f>
        <v/>
      </c>
      <c r="BM192" s="111">
        <f>IF($BI$8=2015,VLOOKUP($L192,'[12]IMAGE CurPol SSP'!$AZ$3:$BD$29,4,FALSE)*$AM192,IF($BI$8=2018,VLOOKUP($L192,'[12]IMAGE CurPol SSP'!$BJ$3:$BN$29,4,FALSE)*$AP192,$AR192))</f>
        <v>224.83762965611794</v>
      </c>
      <c r="BN192" s="111">
        <f t="shared" ref="BN192:BO207" si="147">IF($BI$8=2015,"",IF($BI$8=2018,"",$AR192))</f>
        <v>224.83762965611794</v>
      </c>
      <c r="BO192" s="111">
        <f t="shared" si="147"/>
        <v>224.83762965611794</v>
      </c>
      <c r="BP192" s="111">
        <f>IF($BI$8=2015,VLOOKUP($L192,'[12]IMAGE CurPol SSP'!$AZ$3:$BD$29,5,FALSE)*$AM192,IF($BI$8=2018,VLOOKUP($L192,'[12]IMAGE CurPol SSP'!$BJ$3:$BN$29,5,FALSE)*$AP192,VLOOKUP($L192,'[12]IMAGE CurPol SSP'!$BU$3:$BZ$29,5,FALSE)*$AS192))</f>
        <v>195.51658073508466</v>
      </c>
      <c r="BQ192" s="111">
        <f>IF($BI$8=2015,"",IF($BI$8=2018,"",VLOOKUP($L192,'[12]IMAGE CurPol SSP'!$CQ$3:$CV$29,5,FALSE)*$AS192))</f>
        <v>190.01896371017781</v>
      </c>
      <c r="BR192" s="111">
        <f>IF($BI$8=2015,"",IF($BI$8=2018,"",VLOOKUP($L192,'[12]IMAGE CurPol SSP'!$CF$3:$CK$29,5,FALSE)*$AS192))</f>
        <v>198.8554522500873</v>
      </c>
      <c r="BS192" s="111">
        <f>IF($BI$8=2015,VLOOKUP($L192,'[12]IMAGE CurPol SSP'!$AZ$3:$BE$29,6,FALSE)*$AM192,IF($BI$8=2018,VLOOKUP($L192,'[12]IMAGE CurPol SSP'!$BJ$3:$BO$29,6,FALSE)*$AP192,VLOOKUP($L192,'[12]IMAGE CurPol SSP'!$BU$3:$BZ$29,6,FALSE)*$AS192))</f>
        <v>134.48779145762126</v>
      </c>
      <c r="BT192" s="111">
        <f>IF($BI$8=2015,"",IF($BI$8=2018,"",VLOOKUP($L192,'[12]IMAGE CurPol SSP'!$CQ$3:$CV$29,6,FALSE)*$AS192))</f>
        <v>125.7673172919057</v>
      </c>
      <c r="BU192" s="164">
        <f>IF($BI$8=2015,"",IF($BI$8=2018,"",VLOOKUP($L192,'[12]IMAGE CurPol SSP'!$CF$3:$CK$29,6,FALSE)*$AS192))</f>
        <v>141.33972604228066</v>
      </c>
      <c r="CN192" t="s">
        <v>413</v>
      </c>
      <c r="CO192" s="165" t="str">
        <f t="shared" si="114"/>
        <v/>
      </c>
      <c r="CP192" s="165" t="str">
        <f t="shared" si="114"/>
        <v/>
      </c>
      <c r="CQ192" s="165" t="str">
        <f t="shared" si="114"/>
        <v/>
      </c>
      <c r="CR192" s="165" t="str">
        <f t="shared" si="114"/>
        <v/>
      </c>
      <c r="CV192" s="125" t="s">
        <v>621</v>
      </c>
      <c r="CW192" s="125" t="s">
        <v>621</v>
      </c>
      <c r="CX192"/>
      <c r="CY192" s="167">
        <f t="shared" si="115"/>
        <v>54.255878124580818</v>
      </c>
      <c r="DB192" s="106"/>
      <c r="DC192" s="106"/>
      <c r="DD192" s="106"/>
      <c r="DE192" s="106"/>
      <c r="DF192" s="106"/>
      <c r="DG192" s="105" t="str">
        <f t="shared" si="116"/>
        <v>incl</v>
      </c>
      <c r="DH192" t="s">
        <v>413</v>
      </c>
      <c r="DI192" s="111">
        <f t="shared" ref="DI192:DJ214" si="148">IF(AY192="",$BM192,AY192)-$BM192</f>
        <v>0</v>
      </c>
      <c r="DJ192" s="111">
        <f t="shared" si="148"/>
        <v>0</v>
      </c>
      <c r="DK192" s="111">
        <f t="shared" ref="DK192:DK214" si="149">IF(BA192="",$BP192,BA192)-$BP192</f>
        <v>0</v>
      </c>
      <c r="DL192" s="111">
        <f t="shared" ref="DL192:DL214" si="150">IF(BC192="",$BP192,BC192)-$BP192</f>
        <v>0</v>
      </c>
      <c r="DM192" s="111">
        <f t="shared" ref="DM192:DM214" si="151">IF(BE192="",$BS192,BE192)-$BS192</f>
        <v>0</v>
      </c>
      <c r="DN192" s="111">
        <f t="shared" ref="DN192:DN214" si="152">IF(BG192="",$BS192,BG192)-$BS192</f>
        <v>0</v>
      </c>
      <c r="DO192" s="111">
        <f t="shared" ref="DO192:DO214" si="153">IF(BI192="",$BS192,BI192)-$BS192</f>
        <v>0</v>
      </c>
      <c r="DP192" s="111">
        <f t="shared" ref="DP192:DP214" si="154">IF(BK192="",$BS192,BK192)-$BS192</f>
        <v>0</v>
      </c>
      <c r="DQ192" s="106"/>
      <c r="DR192" s="106"/>
      <c r="DS192" s="111"/>
      <c r="DT192" s="168"/>
      <c r="DW192" s="111">
        <f t="shared" si="117"/>
        <v>134.48779145762126</v>
      </c>
      <c r="DX192" s="111">
        <f t="shared" si="117"/>
        <v>134.48779145762126</v>
      </c>
      <c r="DY192" s="111">
        <f t="shared" si="117"/>
        <v>134.48779145762126</v>
      </c>
      <c r="DZ192" s="111">
        <f t="shared" si="117"/>
        <v>134.48779145762126</v>
      </c>
      <c r="EP192" t="s">
        <v>413</v>
      </c>
      <c r="ER192" s="111">
        <f t="shared" si="118"/>
        <v>279.57260191160105</v>
      </c>
      <c r="ES192" s="111">
        <f>IF($BI$8=2015,VLOOKUP($L192,'[12]IMAGE CDLINKS CurPol'!$P$3:$Y$29,10,FALSE)*$AM192,VLOOKUP($L192,'[12]IMAGE CDLINKS CurPol'!$Z$3:$AI$29,10,FALSE)*$AP192)</f>
        <v>267.89856634299355</v>
      </c>
      <c r="ET192" s="111">
        <f t="shared" si="124"/>
        <v>267.89856634299355</v>
      </c>
      <c r="EU192" s="111">
        <f t="shared" si="120"/>
        <v>57.07827808994913</v>
      </c>
      <c r="EV192" s="111">
        <f>IF($BI$8=2015,VLOOKUP($L192,'[12]IMAGE CDLINKS 2C'!$P$3:$Y$29,10,FALSE)*$AM192,VLOOKUP($L192,'[12]IMAGE CDLINKS 2C'!$Z$3:$AI$29,10,FALSE)*$AP192)</f>
        <v>57.07827808994913</v>
      </c>
      <c r="EY192" s="111">
        <f t="shared" si="121"/>
        <v>31.571359979955627</v>
      </c>
      <c r="EZ192" s="111">
        <f>IF($BI$8=2015,VLOOKUP($L192,'[12]IMAGE CDLINKS 1_5C'!$P$3:$Y$29,10,FALSE)*$AM192,VLOOKUP($L192,'[12]IMAGE CDLINKS 1_5C'!$Z$3:$AI$29,10,FALSE)*$AP192)</f>
        <v>31.571359979955627</v>
      </c>
      <c r="FA192" s="192" t="s">
        <v>2338</v>
      </c>
    </row>
    <row r="193" spans="1:157" x14ac:dyDescent="0.25">
      <c r="A193" t="str">
        <f>IF([12]NDCs!C195="","",[12]NDCs!C195)</f>
        <v>G</v>
      </c>
      <c r="B193" s="159" t="str">
        <f t="shared" si="112"/>
        <v>v</v>
      </c>
      <c r="C193">
        <v>0</v>
      </c>
      <c r="D193">
        <v>0</v>
      </c>
      <c r="E193">
        <v>0</v>
      </c>
      <c r="F193">
        <v>1</v>
      </c>
      <c r="G193" t="b">
        <f t="shared" si="113"/>
        <v>0</v>
      </c>
      <c r="H193" t="s">
        <v>2328</v>
      </c>
      <c r="I193" t="s">
        <v>415</v>
      </c>
      <c r="J193">
        <v>144</v>
      </c>
      <c r="K193">
        <v>37</v>
      </c>
      <c r="L193">
        <v>25</v>
      </c>
      <c r="M193" t="str">
        <f>IF([12]NDCs!AL195="Excluding","excl","incl")</f>
        <v>excl</v>
      </c>
      <c r="N193" s="160">
        <f>[12]GHG_hist!BA183+IF($M193="incl",[12]LULUCF_hist!CR183,0)</f>
        <v>16.636806</v>
      </c>
      <c r="O193" s="111">
        <f>[12]GHG_hist!BB183+IF($M193="incl",[12]LULUCF_hist!CS183,0)</f>
        <v>16.457229999999999</v>
      </c>
      <c r="P193" s="111">
        <f>[12]GHG_hist!BC183+IF($M193="incl",[12]LULUCF_hist!CT183,0)</f>
        <v>17.744937999999998</v>
      </c>
      <c r="Q193" s="111">
        <f>[12]GHG_hist!BD183+IF($M193="incl",[12]LULUCF_hist!CU183,0)</f>
        <v>17.914411000000001</v>
      </c>
      <c r="R193" s="111">
        <f>[12]GHG_hist!BE183+IF($M193="incl",[12]LULUCF_hist!CV183,0)</f>
        <v>18.726731000000001</v>
      </c>
      <c r="S193" s="111">
        <f>[12]GHG_hist!BF183+IF($M193="incl",[12]LULUCF_hist!CW183,0)</f>
        <v>19.048697000000001</v>
      </c>
      <c r="T193" s="111">
        <f>[12]GHG_hist!BG183+IF($M193="incl",[12]LULUCF_hist!CX183,0)</f>
        <v>19.668564999999997</v>
      </c>
      <c r="U193" s="111">
        <f>[12]GHG_hist!BH183+IF($M193="incl",[12]LULUCF_hist!CY183,0)</f>
        <v>20.274321</v>
      </c>
      <c r="V193" s="111">
        <f>[12]GHG_hist!BI183+IF($M193="incl",[12]LULUCF_hist!CZ183,0)</f>
        <v>19.717694999999999</v>
      </c>
      <c r="W193" s="111">
        <f>[12]GHG_hist!BJ183+IF($M193="incl",[12]LULUCF_hist!DA183,0)</f>
        <v>21.068257000000003</v>
      </c>
      <c r="X193" s="111">
        <f>[12]GHG_hist!BK183+IF($M193="incl",[12]LULUCF_hist!DB183,0)</f>
        <v>22.665631000000001</v>
      </c>
      <c r="Y193" s="111">
        <f>[12]GHG_hist!BL183+IF($M193="incl",[12]LULUCF_hist!DC183,0)</f>
        <v>22.641180000000002</v>
      </c>
      <c r="Z193" s="111">
        <f>[12]GHG_hist!BM183+IF($M193="incl",[12]LULUCF_hist!DD183,0)</f>
        <v>23.605886999999999</v>
      </c>
      <c r="AA193" s="111">
        <f>[12]GHG_hist!BN183+IF($M193="incl",[12]LULUCF_hist!DE183,0)</f>
        <v>23.718450000000001</v>
      </c>
      <c r="AB193" s="111">
        <f>[12]GHG_hist!BO183+IF($M193="incl",[12]LULUCF_hist!DF183,0)</f>
        <v>24.744811000000002</v>
      </c>
      <c r="AC193" s="111">
        <f>[12]GHG_hist!BP183+IF($M193="incl",[12]LULUCF_hist!DG183,0)</f>
        <v>25.430941999999998</v>
      </c>
      <c r="AD193" s="111">
        <f>[12]GHG_hist!BQ183+IF($M193="incl",[12]LULUCF_hist!DH183,0)</f>
        <v>25.326231</v>
      </c>
      <c r="AE193" s="111">
        <f>[12]GHG_hist!BR183+IF($M193="incl",[12]LULUCF_hist!DI183,0)</f>
        <v>25.513299</v>
      </c>
      <c r="AF193" s="111">
        <f>[12]GHG_hist!BS183+IF($M193="incl",[12]LULUCF_hist!DJ183,0)</f>
        <v>26.611722000000004</v>
      </c>
      <c r="AG193" s="111">
        <f>[12]GHG_hist!BT183+IF($M193="incl",[12]LULUCF_hist!DK183,0)</f>
        <v>27.067008999999999</v>
      </c>
      <c r="AH193" s="111">
        <f>[12]GHG_hist!BU183+IF($M193="incl",[12]LULUCF_hist!DL183,0)</f>
        <v>27.829266000000001</v>
      </c>
      <c r="AI193" s="111">
        <f>[12]GHG_hist!BV183+IF($M193="incl",[12]LULUCF_hist!DM183,0)</f>
        <v>30.091537000000002</v>
      </c>
      <c r="AJ193" s="111">
        <f>[12]GHG_hist!BW183+IF($M193="incl",[12]LULUCF_hist!DN183,0)</f>
        <v>31.274160999999999</v>
      </c>
      <c r="AK193" s="111">
        <f>[12]GHG_hist!BX183+IF($M193="incl",[12]LULUCF_hist!DO183,0)</f>
        <v>29.949725999999998</v>
      </c>
      <c r="AL193" s="111">
        <f>[12]GHG_hist!BY183+IF($M193="incl",[12]LULUCF_hist!DP183,0)</f>
        <v>32.695544000000005</v>
      </c>
      <c r="AM193" s="111">
        <f>[12]GHG_hist!BZ183+IF($M193="incl",[12]LULUCF_hist!DQ183,0)</f>
        <v>35.715215000000001</v>
      </c>
      <c r="AN193" s="111">
        <f>[12]GHG_hist!CA183+IF($M193="incl",[12]LULUCF_hist!DR183,0)</f>
        <v>38.212052999999997</v>
      </c>
      <c r="AO193" s="111">
        <f>[12]GHG_hist!CB183+IF($M193="incl",[12]LULUCF_hist!DS183,0)</f>
        <v>37.281375999999995</v>
      </c>
      <c r="AP193" s="111">
        <f>[12]GHG_hist!CC183+IF($M193="incl",[12]LULUCF_hist!DT183,0)</f>
        <v>37.315190000000001</v>
      </c>
      <c r="AQ193" s="111">
        <f>[12]GHG_hist!CD183+IF($M193="incl",[12]LULUCF_hist!DU183,0)</f>
        <v>39.459362999999996</v>
      </c>
      <c r="AR193" s="111">
        <f>[12]GHG_hist!CE183+IF($M193="incl",[12]LULUCF_hist!DV183,0)</f>
        <v>39.934747999999999</v>
      </c>
      <c r="AS193" s="111">
        <f>[12]GHG_hist!CF183+IF($M193="incl",[12]LULUCF_hist!DW183,0)</f>
        <v>39.036408000000002</v>
      </c>
      <c r="AT193" s="161">
        <f>VLOOKUP($L193,'[12]IMAGE SSP2'!$AF$3:$AK$29,4,FALSE)*$AM193</f>
        <v>41.898654715268982</v>
      </c>
      <c r="AU193" s="162">
        <f>VLOOKUP($L193,'[12]IMAGE SSP2'!$AF$3:$AK$29,5,FALSE)*$AM193</f>
        <v>48.669874955395883</v>
      </c>
      <c r="AV193" s="163">
        <f>VLOOKUP($L193,'[12]IMAGE SSP2'!$AF$3:$AK$29,6,FALSE)*$AM193</f>
        <v>54.710485750521705</v>
      </c>
      <c r="AW193" s="111" t="str">
        <f t="shared" si="119"/>
        <v/>
      </c>
      <c r="AX193" s="164" t="str">
        <f>IF(A193="B",IF(M193="excl",[12]NatCom!CO183,[12]NatCom!AX183),"")</f>
        <v/>
      </c>
      <c r="AY193" s="111" t="str">
        <f>IF('[12]Pledge 2020'!E183="","",'[12]Pledge 2020'!E183)</f>
        <v/>
      </c>
      <c r="AZ193" s="164" t="str">
        <f>IF('[12]Pledge 2020'!F183="","",'[12]Pledge 2020'!F183)</f>
        <v/>
      </c>
      <c r="BA193" s="111" t="str">
        <f t="shared" si="144"/>
        <v/>
      </c>
      <c r="BB193" s="111"/>
      <c r="BC193" s="111" t="str">
        <f t="shared" si="145"/>
        <v/>
      </c>
      <c r="BD193" s="111"/>
      <c r="BE193" s="111" t="s">
        <v>2477</v>
      </c>
      <c r="BF193" s="111"/>
      <c r="BG193" s="111" t="s">
        <v>2477</v>
      </c>
      <c r="BH193" s="164"/>
      <c r="BI193" s="111" t="str">
        <f>IF([12]NDCs!V195="",IF([12]NDCs!X195="","",[12]NDCs!X195),[12]NDCs!V195)</f>
        <v/>
      </c>
      <c r="BJ193" s="111" t="str">
        <f>IF([12]NDCs!V195="",IF([12]NDCs!X195="","",[12]NDCs!X195),[12]NDCs!V195)</f>
        <v/>
      </c>
      <c r="BK193" s="111" t="str">
        <f>IF([12]NDCs!Z195="",IF([12]NDCs!AB195="",IF('input site'!BE193="","",'input site'!BE193),[12]NDCs!AB195),[12]NDCs!Z195)</f>
        <v/>
      </c>
      <c r="BL193" s="111" t="str">
        <f>IF([12]NDCs!AA195="",IF([12]NDCs!AC195="",IF('input site'!BF193="","",'input site'!BF193),[12]NDCs!AC195),[12]NDCs!AA195)</f>
        <v/>
      </c>
      <c r="BM193" s="111">
        <f>IF($BI$8=2015,VLOOKUP($L193,'[12]IMAGE CurPol SSP'!$AZ$3:$BD$29,4,FALSE)*$AM193,IF($BI$8=2018,VLOOKUP($L193,'[12]IMAGE CurPol SSP'!$BJ$3:$BN$29,4,FALSE)*$AP193,$AR193))</f>
        <v>39.934747999999999</v>
      </c>
      <c r="BN193" s="111">
        <f t="shared" si="147"/>
        <v>39.934747999999999</v>
      </c>
      <c r="BO193" s="111">
        <f t="shared" si="147"/>
        <v>39.934747999999999</v>
      </c>
      <c r="BP193" s="111">
        <f>IF($BI$8=2015,VLOOKUP($L193,'[12]IMAGE CurPol SSP'!$AZ$3:$BD$29,5,FALSE)*$AM193,IF($BI$8=2018,VLOOKUP($L193,'[12]IMAGE CurPol SSP'!$BJ$3:$BN$29,5,FALSE)*$AP193,VLOOKUP($L193,'[12]IMAGE CurPol SSP'!$BU$3:$BZ$29,5,FALSE)*$AS193))</f>
        <v>41.815577654854231</v>
      </c>
      <c r="BQ193" s="111">
        <f>IF($BI$8=2015,"",IF($BI$8=2018,"",VLOOKUP($L193,'[12]IMAGE CurPol SSP'!$CQ$3:$CV$29,5,FALSE)*$AS193))</f>
        <v>41.436475259418614</v>
      </c>
      <c r="BR193" s="111">
        <f>IF($BI$8=2015,"",IF($BI$8=2018,"",VLOOKUP($L193,'[12]IMAGE CurPol SSP'!$CF$3:$CK$29,5,FALSE)*$AS193))</f>
        <v>42.119235181930783</v>
      </c>
      <c r="BS193" s="111">
        <f>IF($BI$8=2015,VLOOKUP($L193,'[12]IMAGE CurPol SSP'!$AZ$3:$BE$29,6,FALSE)*$AM193,IF($BI$8=2018,VLOOKUP($L193,'[12]IMAGE CurPol SSP'!$BJ$3:$BO$29,6,FALSE)*$AP193,VLOOKUP($L193,'[12]IMAGE CurPol SSP'!$BU$3:$BZ$29,6,FALSE)*$AS193))</f>
        <v>47.485031175853706</v>
      </c>
      <c r="BT193" s="111">
        <f>IF($BI$8=2015,"",IF($BI$8=2018,"",VLOOKUP($L193,'[12]IMAGE CurPol SSP'!$CQ$3:$CV$29,6,FALSE)*$AS193))</f>
        <v>46.606217417949317</v>
      </c>
      <c r="BU193" s="164">
        <f>IF($BI$8=2015,"",IF($BI$8=2018,"",VLOOKUP($L193,'[12]IMAGE CurPol SSP'!$CF$3:$CK$29,6,FALSE)*$AS193))</f>
        <v>47.485031175853706</v>
      </c>
      <c r="CN193" t="s">
        <v>415</v>
      </c>
      <c r="CO193" s="165" t="str">
        <f t="shared" si="114"/>
        <v/>
      </c>
      <c r="CP193" s="165" t="str">
        <f t="shared" si="114"/>
        <v/>
      </c>
      <c r="CQ193" s="165" t="str">
        <f t="shared" si="114"/>
        <v/>
      </c>
      <c r="CR193" s="165" t="str">
        <f t="shared" si="114"/>
        <v/>
      </c>
      <c r="CV193" s="125" t="s">
        <v>621</v>
      </c>
      <c r="CW193" s="125" t="s">
        <v>621</v>
      </c>
      <c r="CX193"/>
      <c r="CY193" s="167">
        <f t="shared" si="115"/>
        <v>1.9639067152689833</v>
      </c>
      <c r="DB193" s="106"/>
      <c r="DC193" s="106"/>
      <c r="DD193" s="106"/>
      <c r="DE193" s="106"/>
      <c r="DF193" s="106"/>
      <c r="DG193" s="105" t="str">
        <f t="shared" si="116"/>
        <v>excl</v>
      </c>
      <c r="DH193" t="s">
        <v>415</v>
      </c>
      <c r="DI193" s="111">
        <f t="shared" si="148"/>
        <v>0</v>
      </c>
      <c r="DJ193" s="111">
        <f t="shared" si="148"/>
        <v>0</v>
      </c>
      <c r="DK193" s="111">
        <f t="shared" si="149"/>
        <v>0</v>
      </c>
      <c r="DL193" s="111">
        <f t="shared" si="150"/>
        <v>0</v>
      </c>
      <c r="DM193" s="111">
        <f t="shared" si="151"/>
        <v>0</v>
      </c>
      <c r="DN193" s="111">
        <f t="shared" si="152"/>
        <v>0</v>
      </c>
      <c r="DO193" s="111">
        <f t="shared" si="153"/>
        <v>0</v>
      </c>
      <c r="DP193" s="111">
        <f t="shared" si="154"/>
        <v>0</v>
      </c>
      <c r="DQ193" s="106"/>
      <c r="DR193" s="106"/>
      <c r="DS193" s="111"/>
      <c r="DT193" s="168"/>
      <c r="DW193" s="111">
        <f t="shared" si="117"/>
        <v>47.485031175853706</v>
      </c>
      <c r="DX193" s="111">
        <f t="shared" si="117"/>
        <v>47.485031175853706</v>
      </c>
      <c r="DY193" s="111">
        <f t="shared" si="117"/>
        <v>47.485031175853706</v>
      </c>
      <c r="DZ193" s="111">
        <f t="shared" si="117"/>
        <v>47.485031175853706</v>
      </c>
      <c r="EP193" t="s">
        <v>415</v>
      </c>
      <c r="EQ193">
        <v>4</v>
      </c>
      <c r="ER193" s="111">
        <f t="shared" si="118"/>
        <v>37.315190000000001</v>
      </c>
      <c r="ES193" s="111">
        <f>IF($BI$8=2015,VLOOKUP($L193,'[12]IMAGE CDLINKS CurPol'!$P$3:$Y$29,10,FALSE)*$AM193,VLOOKUP($L193,'[12]IMAGE CDLINKS CurPol'!$Z$3:$AI$29,10,FALSE)*$AP193)</f>
        <v>85.375748237039431</v>
      </c>
      <c r="ET193" s="111">
        <f t="shared" si="124"/>
        <v>0</v>
      </c>
      <c r="EU193" s="111">
        <f t="shared" si="120"/>
        <v>0</v>
      </c>
      <c r="EV193" s="111">
        <f>IF($BI$8=2015,VLOOKUP($L193,'[12]IMAGE CDLINKS 2C'!$P$3:$Y$29,10,FALSE)*$AM193,VLOOKUP($L193,'[12]IMAGE CDLINKS 2C'!$Z$3:$AI$29,10,FALSE)*$AP193)</f>
        <v>24.277284952117284</v>
      </c>
      <c r="EY193" s="111">
        <f t="shared" si="121"/>
        <v>0</v>
      </c>
      <c r="EZ193" s="111">
        <f>IF($BI$8=2015,VLOOKUP($L193,'[12]IMAGE CDLINKS 1_5C'!$P$3:$Y$29,10,FALSE)*$AM193,VLOOKUP($L193,'[12]IMAGE CDLINKS 1_5C'!$Z$3:$AI$29,10,FALSE)*$AP193)</f>
        <v>10.174402540203461</v>
      </c>
      <c r="FA193" s="192"/>
    </row>
    <row r="194" spans="1:157" x14ac:dyDescent="0.25">
      <c r="A194" t="str">
        <f>IF([12]NDCs!C196="","",[12]NDCs!C196)</f>
        <v/>
      </c>
      <c r="B194" s="159" t="str">
        <f t="shared" si="112"/>
        <v>v</v>
      </c>
      <c r="C194">
        <v>0</v>
      </c>
      <c r="D194">
        <v>0</v>
      </c>
      <c r="E194">
        <v>0</v>
      </c>
      <c r="F194">
        <v>0</v>
      </c>
      <c r="G194" t="b">
        <f t="shared" si="113"/>
        <v>0</v>
      </c>
      <c r="H194" t="s">
        <v>2328</v>
      </c>
      <c r="I194" t="s">
        <v>417</v>
      </c>
      <c r="J194">
        <v>654</v>
      </c>
      <c r="K194">
        <v>169</v>
      </c>
      <c r="L194">
        <v>8</v>
      </c>
      <c r="M194" t="str">
        <f>IF([12]NDCs!AL196="Excluding","excl","incl")</f>
        <v>excl</v>
      </c>
      <c r="N194" s="160">
        <f>[12]GHG_hist!BA184+IF($M194="incl",[12]LULUCF_hist!CR184,0)</f>
        <v>8.4876210000000007E-3</v>
      </c>
      <c r="O194" s="111">
        <f>[12]GHG_hist!BB184+IF($M194="incl",[12]LULUCF_hist!CS184,0)</f>
        <v>8.3940795000000002E-3</v>
      </c>
      <c r="P194" s="111">
        <f>[12]GHG_hist!BC184+IF($M194="incl",[12]LULUCF_hist!CT184,0)</f>
        <v>8.3760484000000007E-3</v>
      </c>
      <c r="Q194" s="111">
        <f>[12]GHG_hist!BD184+IF($M194="incl",[12]LULUCF_hist!CU184,0)</f>
        <v>1.2090169E-2</v>
      </c>
      <c r="R194" s="111">
        <f>[12]GHG_hist!BE184+IF($M194="incl",[12]LULUCF_hist!CV184,0)</f>
        <v>1.2053223E-2</v>
      </c>
      <c r="S194" s="111">
        <f>[12]GHG_hist!BF184+IF($M194="incl",[12]LULUCF_hist!CW184,0)</f>
        <v>1.2076274E-2</v>
      </c>
      <c r="T194" s="111">
        <f>[12]GHG_hist!BG184+IF($M194="incl",[12]LULUCF_hist!CX184,0)</f>
        <v>1.2018280000000001E-2</v>
      </c>
      <c r="U194" s="111">
        <f>[12]GHG_hist!BH184+IF($M194="incl",[12]LULUCF_hist!CY184,0)</f>
        <v>1.2037818E-2</v>
      </c>
      <c r="V194" s="111">
        <f>[12]GHG_hist!BI184+IF($M194="incl",[12]LULUCF_hist!CZ184,0)</f>
        <v>1.2035130000000002E-2</v>
      </c>
      <c r="W194" s="111">
        <f>[12]GHG_hist!BJ184+IF($M194="incl",[12]LULUCF_hist!DA184,0)</f>
        <v>1.2039385E-2</v>
      </c>
      <c r="X194" s="111">
        <f>[12]GHG_hist!BK184+IF($M194="incl",[12]LULUCF_hist!DB184,0)</f>
        <v>1.2386583999999999E-2</v>
      </c>
      <c r="Y194" s="111">
        <f>[12]GHG_hist!BL184+IF($M194="incl",[12]LULUCF_hist!DC184,0)</f>
        <v>1.2209424999999999E-2</v>
      </c>
      <c r="Z194" s="111">
        <f>[12]GHG_hist!BM184+IF($M194="incl",[12]LULUCF_hist!DD184,0)</f>
        <v>1.2213364000000001E-2</v>
      </c>
      <c r="AA194" s="111">
        <f>[12]GHG_hist!BN184+IF($M194="incl",[12]LULUCF_hist!DE184,0)</f>
        <v>1.2218537E-2</v>
      </c>
      <c r="AB194" s="111">
        <f>[12]GHG_hist!BO184+IF($M194="incl",[12]LULUCF_hist!DF184,0)</f>
        <v>1.2399871E-2</v>
      </c>
      <c r="AC194" s="111">
        <f>[12]GHG_hist!BP184+IF($M194="incl",[12]LULUCF_hist!DG184,0)</f>
        <v>1.2443355999999999E-2</v>
      </c>
      <c r="AD194" s="111">
        <f>[12]GHG_hist!BQ184+IF($M194="incl",[12]LULUCF_hist!DH184,0)</f>
        <v>1.2358650000000001E-2</v>
      </c>
      <c r="AE194" s="111">
        <f>[12]GHG_hist!BR184+IF($M194="incl",[12]LULUCF_hist!DI184,0)</f>
        <v>1.2486842E-2</v>
      </c>
      <c r="AF194" s="111">
        <f>[12]GHG_hist!BS184+IF($M194="incl",[12]LULUCF_hist!DJ184,0)</f>
        <v>1.2645221E-2</v>
      </c>
      <c r="AG194" s="111">
        <f>[12]GHG_hist!BT184+IF($M194="incl",[12]LULUCF_hist!DK184,0)</f>
        <v>1.2638994000000001E-2</v>
      </c>
      <c r="AH194" s="111">
        <f>[12]GHG_hist!BU184+IF($M194="incl",[12]LULUCF_hist!DL184,0)</f>
        <v>1.2654045999999999E-2</v>
      </c>
      <c r="AI194" s="111">
        <f>[12]GHG_hist!BV184+IF($M194="incl",[12]LULUCF_hist!DM184,0)</f>
        <v>1.2663256000000001E-2</v>
      </c>
      <c r="AJ194" s="111">
        <f>[12]GHG_hist!BW184+IF($M194="incl",[12]LULUCF_hist!DN184,0)</f>
        <v>1.2648218000000001E-2</v>
      </c>
      <c r="AK194" s="111">
        <f>[12]GHG_hist!BX184+IF($M194="incl",[12]LULUCF_hist!DO184,0)</f>
        <v>1.2846029E-2</v>
      </c>
      <c r="AL194" s="111">
        <f>[12]GHG_hist!BY184+IF($M194="incl",[12]LULUCF_hist!DP184,0)</f>
        <v>1.2838559999999999E-2</v>
      </c>
      <c r="AM194" s="111">
        <f>[12]GHG_hist!BZ184+IF($M194="incl",[12]LULUCF_hist!DQ184,0)</f>
        <v>1.2841734E-2</v>
      </c>
      <c r="AN194" s="111">
        <f>[12]GHG_hist!CA184+IF($M194="incl",[12]LULUCF_hist!DR184,0)</f>
        <v>1.2931606999999999E-2</v>
      </c>
      <c r="AO194" s="111">
        <f>[12]GHG_hist!CB184+IF($M194="incl",[12]LULUCF_hist!DS184,0)</f>
        <v>1.2972460999999999E-2</v>
      </c>
      <c r="AP194" s="111">
        <f>[12]GHG_hist!CC184+IF($M194="incl",[12]LULUCF_hist!DT184,0)</f>
        <v>1.3591639000000001E-2</v>
      </c>
      <c r="AQ194" s="111">
        <f>[12]GHG_hist!CD184+IF($M194="incl",[12]LULUCF_hist!DU184,0)</f>
        <v>1.3402213E-2</v>
      </c>
      <c r="AR194" s="111">
        <f>[12]GHG_hist!CE184+IF($M194="incl",[12]LULUCF_hist!DV184,0)</f>
        <v>1.2536697999999999E-2</v>
      </c>
      <c r="AS194" s="111">
        <f>[12]GHG_hist!CF184+IF($M194="incl",[12]LULUCF_hist!DW184,0)</f>
        <v>1.2932973E-2</v>
      </c>
      <c r="AT194" s="161">
        <f>VLOOKUP($L194,'[12]IMAGE SSP2'!$AF$3:$AK$29,4,FALSE)*$AM194</f>
        <v>1.6941929348912678E-2</v>
      </c>
      <c r="AU194" s="162">
        <f>VLOOKUP($L194,'[12]IMAGE SSP2'!$AF$3:$AK$29,5,FALSE)*$AM194</f>
        <v>1.9656129896927322E-2</v>
      </c>
      <c r="AV194" s="163">
        <f>VLOOKUP($L194,'[12]IMAGE SSP2'!$AF$3:$AK$29,6,FALSE)*$AM194</f>
        <v>2.3563211042461903E-2</v>
      </c>
      <c r="AW194" s="111" t="str">
        <f t="shared" si="119"/>
        <v/>
      </c>
      <c r="AX194" s="164" t="str">
        <f>IF(A194="B",IF(M194="excl",[12]NatCom!CO184,[12]NatCom!AX184),"")</f>
        <v/>
      </c>
      <c r="AY194" s="111" t="str">
        <f>IF('[12]Pledge 2020'!E184="","",'[12]Pledge 2020'!E184)</f>
        <v/>
      </c>
      <c r="AZ194" s="164" t="str">
        <f>IF('[12]Pledge 2020'!F184="","",'[12]Pledge 2020'!F184)</f>
        <v/>
      </c>
      <c r="BA194" s="111" t="str">
        <f t="shared" si="144"/>
        <v/>
      </c>
      <c r="BB194" s="111"/>
      <c r="BC194" s="111" t="str">
        <f t="shared" si="145"/>
        <v/>
      </c>
      <c r="BD194" s="111"/>
      <c r="BE194" s="111" t="s">
        <v>2477</v>
      </c>
      <c r="BF194" s="111"/>
      <c r="BG194" s="111" t="s">
        <v>2477</v>
      </c>
      <c r="BH194" s="164"/>
      <c r="BI194" s="111" t="str">
        <f>IF([12]NDCs!V196="",IF([12]NDCs!X196="","",[12]NDCs!X196),[12]NDCs!V196)</f>
        <v/>
      </c>
      <c r="BJ194" s="111" t="str">
        <f>IF([12]NDCs!V196="",IF([12]NDCs!X196="","",[12]NDCs!X196),[12]NDCs!V196)</f>
        <v/>
      </c>
      <c r="BK194" s="111" t="str">
        <f>IF([12]NDCs!Z196="",IF([12]NDCs!AB196="",IF('input site'!BE194="","",'input site'!BE194),[12]NDCs!AB196),[12]NDCs!Z196)</f>
        <v/>
      </c>
      <c r="BL194" s="111" t="str">
        <f>IF([12]NDCs!AA196="",IF([12]NDCs!AC196="",IF('input site'!BF194="","",'input site'!BF194),[12]NDCs!AC196),[12]NDCs!AA196)</f>
        <v/>
      </c>
      <c r="BM194" s="111">
        <f>IF($BI$8=2015,VLOOKUP($L194,'[12]IMAGE CurPol SSP'!$AZ$3:$BD$29,4,FALSE)*$AM194,IF($BI$8=2018,VLOOKUP($L194,'[12]IMAGE CurPol SSP'!$BJ$3:$BN$29,4,FALSE)*$AP194,$AR194))</f>
        <v>1.2536697999999999E-2</v>
      </c>
      <c r="BN194" s="111">
        <f t="shared" si="147"/>
        <v>1.2536697999999999E-2</v>
      </c>
      <c r="BO194" s="111">
        <f t="shared" si="147"/>
        <v>1.2536697999999999E-2</v>
      </c>
      <c r="BP194" s="111">
        <f>IF($BI$8=2015,VLOOKUP($L194,'[12]IMAGE CurPol SSP'!$AZ$3:$BD$29,5,FALSE)*$AM194,IF($BI$8=2018,VLOOKUP($L194,'[12]IMAGE CurPol SSP'!$BJ$3:$BN$29,5,FALSE)*$AP194,VLOOKUP($L194,'[12]IMAGE CurPol SSP'!$BU$3:$BZ$29,5,FALSE)*$AS194))</f>
        <v>1.3395288884642947E-2</v>
      </c>
      <c r="BQ194" s="111">
        <f>IF($BI$8=2015,"",IF($BI$8=2018,"",VLOOKUP($L194,'[12]IMAGE CurPol SSP'!$CQ$3:$CV$29,5,FALSE)*$AS194))</f>
        <v>1.3246463084678143E-2</v>
      </c>
      <c r="BR194" s="111">
        <f>IF($BI$8=2015,"",IF($BI$8=2018,"",VLOOKUP($L194,'[12]IMAGE CurPol SSP'!$CF$3:$CK$29,5,FALSE)*$AS194))</f>
        <v>1.3520507396771526E-2</v>
      </c>
      <c r="BS194" s="111">
        <f>IF($BI$8=2015,VLOOKUP($L194,'[12]IMAGE CurPol SSP'!$AZ$3:$BE$29,6,FALSE)*$AM194,IF($BI$8=2018,VLOOKUP($L194,'[12]IMAGE CurPol SSP'!$BJ$3:$BO$29,6,FALSE)*$AP194,VLOOKUP($L194,'[12]IMAGE CurPol SSP'!$BU$3:$BZ$29,6,FALSE)*$AS194))</f>
        <v>1.5402997066742471E-2</v>
      </c>
      <c r="BT194" s="111">
        <f>IF($BI$8=2015,"",IF($BI$8=2018,"",VLOOKUP($L194,'[12]IMAGE CurPol SSP'!$CQ$3:$CV$29,6,FALSE)*$AS194))</f>
        <v>1.5004020823458907E-2</v>
      </c>
      <c r="BU194" s="164">
        <f>IF($BI$8=2015,"",IF($BI$8=2018,"",VLOOKUP($L194,'[12]IMAGE CurPol SSP'!$CF$3:$CK$29,6,FALSE)*$AS194))</f>
        <v>1.5402997066742471E-2</v>
      </c>
      <c r="CN194" t="s">
        <v>417</v>
      </c>
      <c r="CO194" s="165" t="str">
        <f t="shared" si="114"/>
        <v/>
      </c>
      <c r="CP194" s="165" t="str">
        <f t="shared" si="114"/>
        <v/>
      </c>
      <c r="CQ194" s="165" t="str">
        <f t="shared" si="114"/>
        <v/>
      </c>
      <c r="CR194" s="165" t="str">
        <f t="shared" si="114"/>
        <v/>
      </c>
      <c r="CV194" s="125" t="s">
        <v>621</v>
      </c>
      <c r="CW194" s="125" t="s">
        <v>621</v>
      </c>
      <c r="CX194" s="208">
        <f>AP194/$AP$255</f>
        <v>2.9745947502701418E-7</v>
      </c>
      <c r="CY194" s="167">
        <f t="shared" si="115"/>
        <v>4.405231348912679E-3</v>
      </c>
      <c r="DB194" s="106"/>
      <c r="DC194" s="106"/>
      <c r="DD194" s="106"/>
      <c r="DE194" s="106"/>
      <c r="DF194" s="106"/>
      <c r="DG194" s="105" t="str">
        <f t="shared" si="116"/>
        <v>excl</v>
      </c>
      <c r="DH194" t="s">
        <v>417</v>
      </c>
      <c r="DI194" s="111">
        <f t="shared" si="148"/>
        <v>0</v>
      </c>
      <c r="DJ194" s="111">
        <f t="shared" si="148"/>
        <v>0</v>
      </c>
      <c r="DK194" s="111">
        <f t="shared" si="149"/>
        <v>0</v>
      </c>
      <c r="DL194" s="111">
        <f t="shared" si="150"/>
        <v>0</v>
      </c>
      <c r="DM194" s="111">
        <f t="shared" si="151"/>
        <v>0</v>
      </c>
      <c r="DN194" s="111">
        <f t="shared" si="152"/>
        <v>0</v>
      </c>
      <c r="DO194" s="111">
        <f t="shared" si="153"/>
        <v>0</v>
      </c>
      <c r="DP194" s="111">
        <f t="shared" si="154"/>
        <v>0</v>
      </c>
      <c r="DQ194" s="106"/>
      <c r="DR194" s="106"/>
      <c r="DS194" s="111"/>
      <c r="DT194" s="168"/>
      <c r="DW194" s="111">
        <f t="shared" si="117"/>
        <v>1.5402997066742471E-2</v>
      </c>
      <c r="DX194" s="111">
        <f t="shared" si="117"/>
        <v>1.5402997066742471E-2</v>
      </c>
      <c r="DY194" s="111">
        <f t="shared" si="117"/>
        <v>1.5402997066742471E-2</v>
      </c>
      <c r="DZ194" s="111">
        <f t="shared" si="117"/>
        <v>1.5402997066742471E-2</v>
      </c>
      <c r="EP194" t="s">
        <v>417</v>
      </c>
      <c r="EQ194">
        <v>0</v>
      </c>
      <c r="ER194" s="111">
        <f t="shared" si="118"/>
        <v>1.3591639000000001E-2</v>
      </c>
      <c r="ES194" s="111">
        <f>IF($BI$8=2015,VLOOKUP($L194,'[12]IMAGE CDLINKS CurPol'!$P$3:$Y$29,10,FALSE)*$AM194,VLOOKUP($L194,'[12]IMAGE CDLINKS CurPol'!$Z$3:$AI$29,10,FALSE)*$AP194)</f>
        <v>2.8377643818414289E-2</v>
      </c>
      <c r="ET194" s="111">
        <f t="shared" si="124"/>
        <v>2.8377643818414289E-2</v>
      </c>
      <c r="EU194" s="111">
        <f t="shared" si="120"/>
        <v>1.2951420298064665E-2</v>
      </c>
      <c r="EV194" s="111">
        <f>IF($BI$8=2015,VLOOKUP($L194,'[12]IMAGE CDLINKS 2C'!$P$3:$Y$29,10,FALSE)*$AM194,VLOOKUP($L194,'[12]IMAGE CDLINKS 2C'!$Z$3:$AI$29,10,FALSE)*$AP194)</f>
        <v>1.2951420298064665E-2</v>
      </c>
      <c r="EY194" s="111">
        <f t="shared" si="121"/>
        <v>7.3771326922532389E-3</v>
      </c>
      <c r="EZ194" s="111">
        <f>IF($BI$8=2015,VLOOKUP($L194,'[12]IMAGE CDLINKS 1_5C'!$P$3:$Y$29,10,FALSE)*$AM194,VLOOKUP($L194,'[12]IMAGE CDLINKS 1_5C'!$Z$3:$AI$29,10,FALSE)*$AP194)</f>
        <v>7.3771326922532389E-3</v>
      </c>
      <c r="FA194" s="192"/>
    </row>
    <row r="195" spans="1:157" x14ac:dyDescent="0.25">
      <c r="A195" t="str">
        <f>IF([12]NDCs!C197="","",[12]NDCs!C197)</f>
        <v>B</v>
      </c>
      <c r="B195" s="159" t="str">
        <f t="shared" si="112"/>
        <v>v</v>
      </c>
      <c r="C195">
        <v>0</v>
      </c>
      <c r="D195">
        <v>0</v>
      </c>
      <c r="E195">
        <v>0</v>
      </c>
      <c r="F195">
        <v>1</v>
      </c>
      <c r="G195" t="b">
        <f t="shared" si="113"/>
        <v>1</v>
      </c>
      <c r="H195" t="s">
        <v>2328</v>
      </c>
      <c r="I195" t="s">
        <v>419</v>
      </c>
      <c r="J195">
        <v>659</v>
      </c>
      <c r="K195">
        <v>170</v>
      </c>
      <c r="L195">
        <v>4</v>
      </c>
      <c r="M195" t="str">
        <f>IF([12]NDCs!AL197="Excluding","excl","incl")</f>
        <v>incl</v>
      </c>
      <c r="N195" s="160">
        <f>[12]GHG_hist!BA185+IF($M195="incl",[12]LULUCF_hist!CR185,0)</f>
        <v>8.5656649999999973E-2</v>
      </c>
      <c r="O195" s="111">
        <f>[12]GHG_hist!BB185+IF($M195="incl",[12]LULUCF_hist!CS185,0)</f>
        <v>8.6610149999999997E-2</v>
      </c>
      <c r="P195" s="111">
        <f>[12]GHG_hist!BC185+IF($M195="incl",[12]LULUCF_hist!CT185,0)</f>
        <v>9.0870379999999973E-2</v>
      </c>
      <c r="Q195" s="111">
        <f>[12]GHG_hist!BD185+IF($M195="incl",[12]LULUCF_hist!CU185,0)</f>
        <v>9.6350339999999979E-2</v>
      </c>
      <c r="R195" s="111">
        <f>[12]GHG_hist!BE185+IF($M195="incl",[12]LULUCF_hist!CV185,0)</f>
        <v>0.10373014</v>
      </c>
      <c r="S195" s="111">
        <f>[12]GHG_hist!BF185+IF($M195="incl",[12]LULUCF_hist!CW185,0)</f>
        <v>0.11060327999999997</v>
      </c>
      <c r="T195" s="111">
        <f>[12]GHG_hist!BG185+IF($M195="incl",[12]LULUCF_hist!CX185,0)</f>
        <v>0.11546087999999999</v>
      </c>
      <c r="U195" s="111">
        <f>[12]GHG_hist!BH185+IF($M195="incl",[12]LULUCF_hist!CY185,0)</f>
        <v>0.12874991</v>
      </c>
      <c r="V195" s="111">
        <f>[12]GHG_hist!BI185+IF($M195="incl",[12]LULUCF_hist!CZ185,0)</f>
        <v>0.13679322999999999</v>
      </c>
      <c r="W195" s="111">
        <f>[12]GHG_hist!BJ185+IF($M195="incl",[12]LULUCF_hist!DA185,0)</f>
        <v>0.14855357</v>
      </c>
      <c r="X195" s="111">
        <f>[12]GHG_hist!BK185+IF($M195="incl",[12]LULUCF_hist!DB185,0)</f>
        <v>0.16303967</v>
      </c>
      <c r="Y195" s="111">
        <f>[12]GHG_hist!BL185+IF($M195="incl",[12]LULUCF_hist!DC185,0)</f>
        <v>0.1672708</v>
      </c>
      <c r="Z195" s="111">
        <f>[12]GHG_hist!BM185+IF($M195="incl",[12]LULUCF_hist!DD185,0)</f>
        <v>0.18526507999999997</v>
      </c>
      <c r="AA195" s="111">
        <f>[12]GHG_hist!BN185+IF($M195="incl",[12]LULUCF_hist!DE185,0)</f>
        <v>0.18636578999999998</v>
      </c>
      <c r="AB195" s="111">
        <f>[12]GHG_hist!BO185+IF($M195="incl",[12]LULUCF_hist!DF185,0)</f>
        <v>0.20245950000000001</v>
      </c>
      <c r="AC195" s="111">
        <f>[12]GHG_hist!BP185+IF($M195="incl",[12]LULUCF_hist!DG185,0)</f>
        <v>0.18773462000000002</v>
      </c>
      <c r="AD195" s="111">
        <f>[12]GHG_hist!BQ185+IF($M195="incl",[12]LULUCF_hist!DH185,0)</f>
        <v>0.18997765</v>
      </c>
      <c r="AE195" s="111">
        <f>[12]GHG_hist!BR185+IF($M195="incl",[12]LULUCF_hist!DI185,0)</f>
        <v>0.20682351999999998</v>
      </c>
      <c r="AF195" s="111">
        <f>[12]GHG_hist!BS185+IF($M195="incl",[12]LULUCF_hist!DJ185,0)</f>
        <v>0.20912342</v>
      </c>
      <c r="AG195" s="111">
        <f>[12]GHG_hist!BT185+IF($M195="incl",[12]LULUCF_hist!DK185,0)</f>
        <v>0.21654873999999996</v>
      </c>
      <c r="AH195" s="111">
        <f>[12]GHG_hist!BU185+IF($M195="incl",[12]LULUCF_hist!DL185,0)</f>
        <v>0.21384234999999996</v>
      </c>
      <c r="AI195" s="111">
        <f>[12]GHG_hist!BV185+IF($M195="incl",[12]LULUCF_hist!DM185,0)</f>
        <v>0.20101526000000003</v>
      </c>
      <c r="AJ195" s="111">
        <f>[12]GHG_hist!BW185+IF($M195="incl",[12]LULUCF_hist!DN185,0)</f>
        <v>0.18208666999999995</v>
      </c>
      <c r="AK195" s="111">
        <f>[12]GHG_hist!BX185+IF($M195="incl",[12]LULUCF_hist!DO185,0)</f>
        <v>0.18504780999999998</v>
      </c>
      <c r="AL195" s="111">
        <f>[12]GHG_hist!BY185+IF($M195="incl",[12]LULUCF_hist!DP185,0)</f>
        <v>0.16935589000000006</v>
      </c>
      <c r="AM195" s="111">
        <f>[12]GHG_hist!BZ185+IF($M195="incl",[12]LULUCF_hist!DQ185,0)</f>
        <v>0.17388293999999999</v>
      </c>
      <c r="AN195" s="111">
        <f>[12]GHG_hist!CA185+IF($M195="incl",[12]LULUCF_hist!DR185,0)</f>
        <v>0.17778624000000004</v>
      </c>
      <c r="AO195" s="111">
        <f>[12]GHG_hist!CB185+IF($M195="incl",[12]LULUCF_hist!DS185,0)</f>
        <v>0.17814800000000003</v>
      </c>
      <c r="AP195" s="111">
        <f>[12]GHG_hist!CC185+IF($M195="incl",[12]LULUCF_hist!DT185,0)</f>
        <v>0.18497563</v>
      </c>
      <c r="AQ195" s="111">
        <f>[12]GHG_hist!CD185+IF($M195="incl",[12]LULUCF_hist!DU185,0)</f>
        <v>0.20314854620689654</v>
      </c>
      <c r="AR195" s="111">
        <f>[12]GHG_hist!CE185+IF($M195="incl",[12]LULUCF_hist!DV185,0)</f>
        <v>0.17899852034482722</v>
      </c>
      <c r="AS195" s="111">
        <f>[12]GHG_hist!CF185+IF($M195="incl",[12]LULUCF_hist!DW185,0)</f>
        <v>0.17605542448275835</v>
      </c>
      <c r="AT195" s="161">
        <f>VLOOKUP($L195,'[12]IMAGE SSP2'!$AF$3:$AK$29,4,FALSE)*$AM195</f>
        <v>0.19770679609783659</v>
      </c>
      <c r="AU195" s="162">
        <f>VLOOKUP($L195,'[12]IMAGE SSP2'!$AF$3:$AK$29,5,FALSE)*$AM195</f>
        <v>0.22118616224033</v>
      </c>
      <c r="AV195" s="163">
        <f>VLOOKUP($L195,'[12]IMAGE SSP2'!$AF$3:$AK$29,6,FALSE)*$AM195</f>
        <v>0.2334877228933466</v>
      </c>
      <c r="AW195" s="111">
        <f>IF(A195="B",AM195+(AX195-AM195)*0.33333,"")</f>
        <v>0.39458641960980001</v>
      </c>
      <c r="AX195" s="164">
        <f>IF(A195="B",IF(M195="excl",[12]NatCom!CO185,[12]NatCom!AX185),"")</f>
        <v>0.83599999999999997</v>
      </c>
      <c r="AY195" s="111" t="str">
        <f>IF('[12]Pledge 2020'!E185="","",'[12]Pledge 2020'!E185)</f>
        <v/>
      </c>
      <c r="AZ195" s="164" t="str">
        <f>IF('[12]Pledge 2020'!F185="","",'[12]Pledge 2020'!F185)</f>
        <v/>
      </c>
      <c r="BA195" s="111" t="str">
        <f t="shared" si="144"/>
        <v/>
      </c>
      <c r="BB195" s="111"/>
      <c r="BC195" s="111">
        <f t="shared" si="145"/>
        <v>0.46101058750000001</v>
      </c>
      <c r="BD195" s="111">
        <f>IF(BH195="","",(BH195-AH195)*0.75+AH195)</f>
        <v>0.46101058750000001</v>
      </c>
      <c r="BE195" s="111" t="s">
        <v>2477</v>
      </c>
      <c r="BF195" s="111"/>
      <c r="BG195" s="111">
        <v>0.54339999999999999</v>
      </c>
      <c r="BH195" s="111">
        <v>0.54339999999999999</v>
      </c>
      <c r="BI195" s="111" t="str">
        <f>IF([12]NDCs!V197="",IF([12]NDCs!X197="","",[12]NDCs!X197),[12]NDCs!V197)</f>
        <v/>
      </c>
      <c r="BJ195" s="111" t="str">
        <f>IF([12]NDCs!V197="",IF([12]NDCs!X197="","",[12]NDCs!X197),[12]NDCs!V197)</f>
        <v/>
      </c>
      <c r="BK195" s="111">
        <f>IF([12]NDCs!Z197="",IF([12]NDCs!AB197="",IF('input site'!BE195="","",'input site'!BE195),[12]NDCs!AB197),[12]NDCs!Z197)</f>
        <v>0.54339999999999999</v>
      </c>
      <c r="BL195" s="111">
        <f>IF([12]NDCs!AA197="",IF([12]NDCs!AC197="",IF('input site'!BF195="","",'input site'!BF195),[12]NDCs!AC197),[12]NDCs!AA197)</f>
        <v>0.54339999999999999</v>
      </c>
      <c r="BM195" s="111">
        <f>IF($BI$8=2015,VLOOKUP($L195,'[12]IMAGE CurPol SSP'!$AZ$3:$BD$29,4,FALSE)*$AM195,IF($BI$8=2018,VLOOKUP($L195,'[12]IMAGE CurPol SSP'!$BJ$3:$BN$29,4,FALSE)*$AP195,$AR195))</f>
        <v>0.17899852034482722</v>
      </c>
      <c r="BN195" s="111">
        <f t="shared" si="147"/>
        <v>0.17899852034482722</v>
      </c>
      <c r="BO195" s="111">
        <f t="shared" si="147"/>
        <v>0.17899852034482722</v>
      </c>
      <c r="BP195" s="111">
        <f>IF($BI$8=2015,VLOOKUP($L195,'[12]IMAGE CurPol SSP'!$AZ$3:$BD$29,5,FALSE)*$AM195,IF($BI$8=2018,VLOOKUP($L195,'[12]IMAGE CurPol SSP'!$BJ$3:$BN$29,5,FALSE)*$AP195,VLOOKUP($L195,'[12]IMAGE CurPol SSP'!$BU$3:$BZ$29,5,FALSE)*$AS195))</f>
        <v>0.19292238339467635</v>
      </c>
      <c r="BQ195" s="111">
        <f>IF($BI$8=2015,"",IF($BI$8=2018,"",VLOOKUP($L195,'[12]IMAGE CurPol SSP'!$CQ$3:$CV$29,5,FALSE)*$AS195))</f>
        <v>0.18963942750394605</v>
      </c>
      <c r="BR195" s="111">
        <f>IF($BI$8=2015,"",IF($BI$8=2018,"",VLOOKUP($L195,'[12]IMAGE CurPol SSP'!$CF$3:$CK$29,5,FALSE)*$AS195))</f>
        <v>0.20051071039835158</v>
      </c>
      <c r="BS195" s="111">
        <f>IF($BI$8=2015,VLOOKUP($L195,'[12]IMAGE CurPol SSP'!$AZ$3:$BE$29,6,FALSE)*$AM195,IF($BI$8=2018,VLOOKUP($L195,'[12]IMAGE CurPol SSP'!$BJ$3:$BO$29,6,FALSE)*$AP195,VLOOKUP($L195,'[12]IMAGE CurPol SSP'!$BU$3:$BZ$29,6,FALSE)*$AS195))</f>
        <v>0.21708851946267763</v>
      </c>
      <c r="BT195" s="111">
        <f>IF($BI$8=2015,"",IF($BI$8=2018,"",VLOOKUP($L195,'[12]IMAGE CurPol SSP'!$CQ$3:$CV$29,6,FALSE)*$AS195))</f>
        <v>0.21209972982187641</v>
      </c>
      <c r="BU195" s="164">
        <f>IF($BI$8=2015,"",IF($BI$8=2018,"",VLOOKUP($L195,'[12]IMAGE CurPol SSP'!$CF$3:$CK$29,6,FALSE)*$AS195))</f>
        <v>0.23226613427217999</v>
      </c>
      <c r="CN195" t="s">
        <v>419</v>
      </c>
      <c r="CO195" s="165" t="str">
        <f t="shared" si="114"/>
        <v/>
      </c>
      <c r="CP195" s="165" t="str">
        <f t="shared" si="114"/>
        <v/>
      </c>
      <c r="CQ195" s="165">
        <f t="shared" si="114"/>
        <v>1.5031263806348942</v>
      </c>
      <c r="CR195" s="165">
        <f t="shared" si="114"/>
        <v>1.5031263806348942</v>
      </c>
      <c r="CS195" s="159"/>
      <c r="CU195" s="159"/>
      <c r="CV195" s="125" t="s">
        <v>621</v>
      </c>
      <c r="CW195" s="125" t="s">
        <v>621</v>
      </c>
      <c r="CX195" s="159"/>
      <c r="CY195" s="167">
        <f t="shared" si="115"/>
        <v>1.8708275753009374E-2</v>
      </c>
      <c r="CZ195" s="159"/>
      <c r="DB195" s="106"/>
      <c r="DC195" s="106"/>
      <c r="DD195" s="106"/>
      <c r="DE195" s="106"/>
      <c r="DF195" s="106"/>
      <c r="DG195" s="105" t="str">
        <f t="shared" si="116"/>
        <v>incl</v>
      </c>
      <c r="DH195" t="s">
        <v>419</v>
      </c>
      <c r="DI195" s="111">
        <f t="shared" si="148"/>
        <v>0</v>
      </c>
      <c r="DJ195" s="111">
        <f t="shared" si="148"/>
        <v>0</v>
      </c>
      <c r="DK195" s="111">
        <f t="shared" si="149"/>
        <v>0</v>
      </c>
      <c r="DL195" s="111">
        <f t="shared" si="150"/>
        <v>0.26808820410532364</v>
      </c>
      <c r="DM195" s="111">
        <f t="shared" si="151"/>
        <v>0</v>
      </c>
      <c r="DN195" s="111">
        <f t="shared" si="152"/>
        <v>0.3263114805373224</v>
      </c>
      <c r="DO195" s="111">
        <f t="shared" si="153"/>
        <v>0</v>
      </c>
      <c r="DP195" s="111">
        <f t="shared" si="154"/>
        <v>0.3263114805373224</v>
      </c>
      <c r="DQ195" s="106"/>
      <c r="DR195" s="106"/>
      <c r="DS195" s="111">
        <f>[12]GHG_hist!BZ185+IF($M195="incl",[12]LULUCF_hist!DQ185,0)</f>
        <v>0.17388293999999999</v>
      </c>
      <c r="DT195" s="168">
        <f>IF($M195="incl",'[12]IIASA Proj'!EQ185,0)</f>
        <v>-0.11085248275862067</v>
      </c>
      <c r="DW195" s="111">
        <f t="shared" si="117"/>
        <v>0.21708851946267763</v>
      </c>
      <c r="DX195" s="111">
        <f t="shared" si="117"/>
        <v>0.21708851946267763</v>
      </c>
      <c r="DY195" s="111">
        <f t="shared" si="117"/>
        <v>0.54339999999999999</v>
      </c>
      <c r="DZ195" s="111">
        <f t="shared" si="117"/>
        <v>0.54339999999999999</v>
      </c>
      <c r="EP195" t="s">
        <v>419</v>
      </c>
      <c r="EQ195">
        <v>1</v>
      </c>
      <c r="ER195" s="111">
        <f t="shared" si="118"/>
        <v>0.18497563</v>
      </c>
      <c r="ES195" s="111">
        <f>IF($BI$8=2015,VLOOKUP($L195,'[12]IMAGE CDLINKS CurPol'!$P$3:$Y$29,10,FALSE)*$AM195,VLOOKUP($L195,'[12]IMAGE CDLINKS CurPol'!$Z$3:$AI$29,10,FALSE)*$AP195)</f>
        <v>0.35033977236226216</v>
      </c>
      <c r="ET195" s="111">
        <f t="shared" si="124"/>
        <v>0</v>
      </c>
      <c r="EU195" s="111">
        <f t="shared" si="120"/>
        <v>9.7201870499370055E-2</v>
      </c>
      <c r="EV195" s="111">
        <f>IF($BI$8=2015,VLOOKUP($L195,'[12]IMAGE CDLINKS 2C'!$P$3:$Y$29,10,FALSE)*$AM195,VLOOKUP($L195,'[12]IMAGE CDLINKS 2C'!$Z$3:$AI$29,10,FALSE)*$AP195)</f>
        <v>9.7201870499370055E-2</v>
      </c>
      <c r="EW195">
        <v>0</v>
      </c>
      <c r="EX195" s="111">
        <f>EW195-EV195</f>
        <v>-9.7201870499370055E-2</v>
      </c>
      <c r="EY195" s="111">
        <f t="shared" si="121"/>
        <v>0</v>
      </c>
      <c r="EZ195" s="111">
        <f>IF($BI$8=2015,VLOOKUP($L195,'[12]IMAGE CDLINKS 1_5C'!$P$3:$Y$29,10,FALSE)*$AM195,VLOOKUP($L195,'[12]IMAGE CDLINKS 1_5C'!$Z$3:$AI$29,10,FALSE)*$AP195)</f>
        <v>1.9768955595628426E-2</v>
      </c>
      <c r="FA195" s="192">
        <v>2050</v>
      </c>
    </row>
    <row r="196" spans="1:157" x14ac:dyDescent="0.25">
      <c r="A196" t="str">
        <f>IF([12]NDCs!C198="","",[12]NDCs!C198)</f>
        <v>B</v>
      </c>
      <c r="B196" s="159" t="str">
        <f t="shared" si="112"/>
        <v>v</v>
      </c>
      <c r="C196">
        <v>0</v>
      </c>
      <c r="D196">
        <v>0</v>
      </c>
      <c r="E196">
        <v>0</v>
      </c>
      <c r="F196">
        <v>1</v>
      </c>
      <c r="G196" t="b">
        <f t="shared" si="113"/>
        <v>1</v>
      </c>
      <c r="H196" t="s">
        <v>2328</v>
      </c>
      <c r="I196" t="s">
        <v>421</v>
      </c>
      <c r="J196">
        <v>662</v>
      </c>
      <c r="K196">
        <v>172</v>
      </c>
      <c r="L196">
        <v>4</v>
      </c>
      <c r="M196" t="str">
        <f>IF([12]NDCs!AL198="Excluding","excl","incl")</f>
        <v>excl</v>
      </c>
      <c r="N196" s="160">
        <f>[12]GHG_hist!BA186+IF($M196="incl",[12]LULUCF_hist!CR186,0)</f>
        <v>0.24376841999999999</v>
      </c>
      <c r="O196" s="111">
        <f>[12]GHG_hist!BB186+IF($M196="incl",[12]LULUCF_hist!CS186,0)</f>
        <v>0.25336992000000003</v>
      </c>
      <c r="P196" s="111">
        <f>[12]GHG_hist!BC186+IF($M196="incl",[12]LULUCF_hist!CT186,0)</f>
        <v>0.23592345000000001</v>
      </c>
      <c r="Q196" s="111">
        <f>[12]GHG_hist!BD186+IF($M196="incl",[12]LULUCF_hist!CU186,0)</f>
        <v>0.31969913000000005</v>
      </c>
      <c r="R196" s="111">
        <f>[12]GHG_hist!BE186+IF($M196="incl",[12]LULUCF_hist!CV186,0)</f>
        <v>0.34757231</v>
      </c>
      <c r="S196" s="111">
        <f>[12]GHG_hist!BF186+IF($M196="incl",[12]LULUCF_hist!CW186,0)</f>
        <v>0.39366618000000003</v>
      </c>
      <c r="T196" s="111">
        <f>[12]GHG_hist!BG186+IF($M196="incl",[12]LULUCF_hist!CX186,0)</f>
        <v>0.40463526000000005</v>
      </c>
      <c r="U196" s="111">
        <f>[12]GHG_hist!BH186+IF($M196="incl",[12]LULUCF_hist!CY186,0)</f>
        <v>0.38445028000000003</v>
      </c>
      <c r="V196" s="111">
        <f>[12]GHG_hist!BI186+IF($M196="incl",[12]LULUCF_hist!CZ186,0)</f>
        <v>0.37656811000000001</v>
      </c>
      <c r="W196" s="111">
        <f>[12]GHG_hist!BJ186+IF($M196="incl",[12]LULUCF_hist!DA186,0)</f>
        <v>0.42203280999999998</v>
      </c>
      <c r="X196" s="111">
        <f>[12]GHG_hist!BK186+IF($M196="incl",[12]LULUCF_hist!DB186,0)</f>
        <v>0.44112876000000001</v>
      </c>
      <c r="Y196" s="111">
        <f>[12]GHG_hist!BL186+IF($M196="incl",[12]LULUCF_hist!DC186,0)</f>
        <v>0.46187184000000003</v>
      </c>
      <c r="Z196" s="111">
        <f>[12]GHG_hist!BM186+IF($M196="incl",[12]LULUCF_hist!DD186,0)</f>
        <v>0.42496616000000004</v>
      </c>
      <c r="AA196" s="111">
        <f>[12]GHG_hist!BN186+IF($M196="incl",[12]LULUCF_hist!DE186,0)</f>
        <v>0.53075080000000008</v>
      </c>
      <c r="AB196" s="111">
        <f>[12]GHG_hist!BO186+IF($M196="incl",[12]LULUCF_hist!DF186,0)</f>
        <v>0.55509768999999998</v>
      </c>
      <c r="AC196" s="111">
        <f>[12]GHG_hist!BP186+IF($M196="incl",[12]LULUCF_hist!DG186,0)</f>
        <v>0.54013522000000003</v>
      </c>
      <c r="AD196" s="111">
        <f>[12]GHG_hist!BQ186+IF($M196="incl",[12]LULUCF_hist!DH186,0)</f>
        <v>0.58820716000000006</v>
      </c>
      <c r="AE196" s="111">
        <f>[12]GHG_hist!BR186+IF($M196="incl",[12]LULUCF_hist!DI186,0)</f>
        <v>0.52048759</v>
      </c>
      <c r="AF196" s="111">
        <f>[12]GHG_hist!BS186+IF($M196="incl",[12]LULUCF_hist!DJ186,0)</f>
        <v>0.53914571999999994</v>
      </c>
      <c r="AG196" s="111">
        <f>[12]GHG_hist!BT186+IF($M196="incl",[12]LULUCF_hist!DK186,0)</f>
        <v>0.58914187000000007</v>
      </c>
      <c r="AH196" s="111">
        <f>[12]GHG_hist!BU186+IF($M196="incl",[12]LULUCF_hist!DL186,0)</f>
        <v>0.65248513000000008</v>
      </c>
      <c r="AI196" s="111">
        <f>[12]GHG_hist!BV186+IF($M196="incl",[12]LULUCF_hist!DM186,0)</f>
        <v>0.62303710999999995</v>
      </c>
      <c r="AJ196" s="111">
        <f>[12]GHG_hist!BW186+IF($M196="incl",[12]LULUCF_hist!DN186,0)</f>
        <v>0.62800570000000011</v>
      </c>
      <c r="AK196" s="111">
        <f>[12]GHG_hist!BX186+IF($M196="incl",[12]LULUCF_hist!DO186,0)</f>
        <v>0.60282616</v>
      </c>
      <c r="AL196" s="111">
        <f>[12]GHG_hist!BY186+IF($M196="incl",[12]LULUCF_hist!DP186,0)</f>
        <v>0.67210690000000006</v>
      </c>
      <c r="AM196" s="111">
        <f>[12]GHG_hist!BZ186+IF($M196="incl",[12]LULUCF_hist!DQ186,0)</f>
        <v>0.68713707000000002</v>
      </c>
      <c r="AN196" s="111">
        <f>[12]GHG_hist!CA186+IF($M196="incl",[12]LULUCF_hist!DR186,0)</f>
        <v>0.69783943999999998</v>
      </c>
      <c r="AO196" s="111">
        <f>[12]GHG_hist!CB186+IF($M196="incl",[12]LULUCF_hist!DS186,0)</f>
        <v>0.72280139999999993</v>
      </c>
      <c r="AP196" s="111">
        <f>[12]GHG_hist!CC186+IF($M196="incl",[12]LULUCF_hist!DT186,0)</f>
        <v>0.77053920000000009</v>
      </c>
      <c r="AQ196" s="111">
        <f>[12]GHG_hist!CD186+IF($M196="incl",[12]LULUCF_hist!DU186,0)</f>
        <v>0.79128461999999999</v>
      </c>
      <c r="AR196" s="111">
        <f>[12]GHG_hist!CE186+IF($M196="incl",[12]LULUCF_hist!DV186,0)</f>
        <v>0.74541431000000002</v>
      </c>
      <c r="AS196" s="111">
        <f>[12]GHG_hist!CF186+IF($M196="incl",[12]LULUCF_hist!DW186,0)</f>
        <v>0.74932493999999994</v>
      </c>
      <c r="AT196" s="161">
        <f>VLOOKUP($L196,'[12]IMAGE SSP2'!$AF$3:$AK$29,4,FALSE)*$AM196</f>
        <v>0.78128233045608086</v>
      </c>
      <c r="AU196" s="162">
        <f>VLOOKUP($L196,'[12]IMAGE SSP2'!$AF$3:$AK$29,5,FALSE)*$AM196</f>
        <v>0.87406626231627438</v>
      </c>
      <c r="AV196" s="163">
        <f>VLOOKUP($L196,'[12]IMAGE SSP2'!$AF$3:$AK$29,6,FALSE)*$AM196</f>
        <v>0.92267861234636428</v>
      </c>
      <c r="AW196" s="111">
        <f>IF(A196="B",AM196+(AX196-AM196)*0.33333,"")</f>
        <v>0.73009095045689998</v>
      </c>
      <c r="AX196" s="164">
        <f>IF(A196="B",IF(M196="excl",[12]NatCom!CO186,[12]NatCom!AX186),"")</f>
        <v>0.81599999999999995</v>
      </c>
      <c r="AY196" s="111" t="str">
        <f>IF('[12]Pledge 2020'!E186="","",'[12]Pledge 2020'!E186)</f>
        <v/>
      </c>
      <c r="AZ196" s="164" t="str">
        <f>IF('[12]Pledge 2020'!F186="","",'[12]Pledge 2020'!F186)</f>
        <v/>
      </c>
      <c r="BA196" s="111" t="str">
        <f t="shared" si="144"/>
        <v/>
      </c>
      <c r="BB196" s="111"/>
      <c r="BC196" s="111">
        <f t="shared" si="145"/>
        <v>0.73237128249999994</v>
      </c>
      <c r="BD196" s="111">
        <f>IF(BH196="","",(BH196-AH196)*0.75+AH196)</f>
        <v>0.73237128249999994</v>
      </c>
      <c r="BE196" s="111" t="s">
        <v>2477</v>
      </c>
      <c r="BF196" s="111"/>
      <c r="BG196" s="111">
        <v>0.7589999999999999</v>
      </c>
      <c r="BH196" s="111">
        <v>0.7589999999999999</v>
      </c>
      <c r="BI196" s="111" t="str">
        <f>IF([12]NDCs!V198="",IF([12]NDCs!X198="","",[12]NDCs!X198),[12]NDCs!V198)</f>
        <v/>
      </c>
      <c r="BJ196" s="111" t="str">
        <f>IF([12]NDCs!V198="",IF([12]NDCs!X198="","",[12]NDCs!X198),[12]NDCs!V198)</f>
        <v/>
      </c>
      <c r="BK196" s="111">
        <f>IF([12]NDCs!Z198="",IF([12]NDCs!AB198="",IF('input site'!BE196="","",'input site'!BE196),[12]NDCs!AB198),[12]NDCs!Z198)</f>
        <v>0.7589999999999999</v>
      </c>
      <c r="BL196" s="111">
        <f>IF([12]NDCs!AA198="",IF([12]NDCs!AC198="",IF('input site'!BF196="","",'input site'!BF196),[12]NDCs!AC198),[12]NDCs!AA198)</f>
        <v>0.7589999999999999</v>
      </c>
      <c r="BM196" s="111">
        <f>IF($BI$8=2015,VLOOKUP($L196,'[12]IMAGE CurPol SSP'!$AZ$3:$BD$29,4,FALSE)*$AM196,IF($BI$8=2018,VLOOKUP($L196,'[12]IMAGE CurPol SSP'!$BJ$3:$BN$29,4,FALSE)*$AP196,$AR196))</f>
        <v>0.74541431000000002</v>
      </c>
      <c r="BN196" s="111">
        <f t="shared" si="147"/>
        <v>0.74541431000000002</v>
      </c>
      <c r="BO196" s="111">
        <f t="shared" si="147"/>
        <v>0.74541431000000002</v>
      </c>
      <c r="BP196" s="111">
        <f>IF($BI$8=2015,VLOOKUP($L196,'[12]IMAGE CurPol SSP'!$AZ$3:$BD$29,5,FALSE)*$AM196,IF($BI$8=2018,VLOOKUP($L196,'[12]IMAGE CurPol SSP'!$BJ$3:$BN$29,5,FALSE)*$AP196,VLOOKUP($L196,'[12]IMAGE CurPol SSP'!$BU$3:$BZ$29,5,FALSE)*$AS196))</f>
        <v>0.8211138838044163</v>
      </c>
      <c r="BQ196" s="111">
        <f>IF($BI$8=2015,"",IF($BI$8=2018,"",VLOOKUP($L196,'[12]IMAGE CurPol SSP'!$CQ$3:$CV$29,5,FALSE)*$AS196))</f>
        <v>0.80714100717723214</v>
      </c>
      <c r="BR196" s="111">
        <f>IF($BI$8=2015,"",IF($BI$8=2018,"",VLOOKUP($L196,'[12]IMAGE CurPol SSP'!$CF$3:$CK$29,5,FALSE)*$AS196))</f>
        <v>0.85341122819715431</v>
      </c>
      <c r="BS196" s="111">
        <f>IF($BI$8=2015,VLOOKUP($L196,'[12]IMAGE CurPol SSP'!$AZ$3:$BE$29,6,FALSE)*$AM196,IF($BI$8=2018,VLOOKUP($L196,'[12]IMAGE CurPol SSP'!$BJ$3:$BO$29,6,FALSE)*$AP196,VLOOKUP($L196,'[12]IMAGE CurPol SSP'!$BU$3:$BZ$29,6,FALSE)*$AS196))</f>
        <v>0.92396949596398537</v>
      </c>
      <c r="BT196" s="111">
        <f>IF($BI$8=2015,"",IF($BI$8=2018,"",VLOOKUP($L196,'[12]IMAGE CurPol SSP'!$CQ$3:$CV$29,6,FALSE)*$AS196))</f>
        <v>0.9027362706359463</v>
      </c>
      <c r="BU196" s="164">
        <f>IF($BI$8=2015,"",IF($BI$8=2018,"",VLOOKUP($L196,'[12]IMAGE CurPol SSP'!$CF$3:$CK$29,6,FALSE)*$AS196))</f>
        <v>0.98856827410380499</v>
      </c>
      <c r="CN196" t="s">
        <v>421</v>
      </c>
      <c r="CO196" s="165" t="str">
        <f t="shared" si="114"/>
        <v/>
      </c>
      <c r="CP196" s="165" t="str">
        <f t="shared" si="114"/>
        <v/>
      </c>
      <c r="CQ196" s="165">
        <f t="shared" si="114"/>
        <v>-0.17854430983337966</v>
      </c>
      <c r="CR196" s="165">
        <f t="shared" si="114"/>
        <v>-0.17854430983337966</v>
      </c>
      <c r="CS196" s="159"/>
      <c r="CU196" s="159"/>
      <c r="CV196" s="125" t="s">
        <v>621</v>
      </c>
      <c r="CW196" s="125" t="s">
        <v>621</v>
      </c>
      <c r="CX196" s="159"/>
      <c r="CY196" s="167">
        <f t="shared" si="115"/>
        <v>3.586802045608084E-2</v>
      </c>
      <c r="CZ196" s="159"/>
      <c r="DB196" s="106"/>
      <c r="DC196" s="106"/>
      <c r="DD196" s="106"/>
      <c r="DE196" s="106"/>
      <c r="DF196" s="106"/>
      <c r="DG196" s="105" t="str">
        <f t="shared" si="116"/>
        <v>excl</v>
      </c>
      <c r="DH196" t="s">
        <v>421</v>
      </c>
      <c r="DI196" s="111">
        <f t="shared" si="148"/>
        <v>0</v>
      </c>
      <c r="DJ196" s="111">
        <f t="shared" si="148"/>
        <v>0</v>
      </c>
      <c r="DK196" s="111">
        <f t="shared" si="149"/>
        <v>0</v>
      </c>
      <c r="DL196" s="111">
        <f t="shared" si="150"/>
        <v>-8.8742601304416358E-2</v>
      </c>
      <c r="DM196" s="111">
        <f t="shared" si="151"/>
        <v>0</v>
      </c>
      <c r="DN196" s="111">
        <f t="shared" si="152"/>
        <v>-0.16496949596398547</v>
      </c>
      <c r="DO196" s="111">
        <f t="shared" si="153"/>
        <v>0</v>
      </c>
      <c r="DP196" s="111">
        <f t="shared" si="154"/>
        <v>-0.16496949596398547</v>
      </c>
      <c r="DQ196" s="106"/>
      <c r="DR196" s="106"/>
      <c r="DS196" s="111"/>
      <c r="DT196" s="168"/>
      <c r="DW196" s="111">
        <f t="shared" si="117"/>
        <v>0.92396949596398537</v>
      </c>
      <c r="DX196" s="111">
        <f t="shared" si="117"/>
        <v>0.92396949596398537</v>
      </c>
      <c r="DY196" s="111">
        <f t="shared" si="117"/>
        <v>0.7589999999999999</v>
      </c>
      <c r="DZ196" s="111">
        <f t="shared" si="117"/>
        <v>0.7589999999999999</v>
      </c>
      <c r="EP196" t="s">
        <v>421</v>
      </c>
      <c r="EQ196">
        <v>1</v>
      </c>
      <c r="ER196" s="111">
        <f t="shared" si="118"/>
        <v>0.77053920000000009</v>
      </c>
      <c r="ES196" s="111">
        <f>IF($BI$8=2015,VLOOKUP($L196,'[12]IMAGE CDLINKS CurPol'!$P$3:$Y$29,10,FALSE)*$AM196,VLOOKUP($L196,'[12]IMAGE CDLINKS CurPol'!$Z$3:$AI$29,10,FALSE)*$AP196)</f>
        <v>1.459384287131227</v>
      </c>
      <c r="ET196" s="111">
        <f t="shared" si="124"/>
        <v>0</v>
      </c>
      <c r="EU196" s="111">
        <f t="shared" si="120"/>
        <v>0.40490658976584215</v>
      </c>
      <c r="EV196" s="111">
        <f>IF($BI$8=2015,VLOOKUP($L196,'[12]IMAGE CDLINKS 2C'!$P$3:$Y$29,10,FALSE)*$AM196,VLOOKUP($L196,'[12]IMAGE CDLINKS 2C'!$Z$3:$AI$29,10,FALSE)*$AP196)</f>
        <v>0.40490658976584215</v>
      </c>
      <c r="EW196">
        <v>0</v>
      </c>
      <c r="EX196" s="111">
        <f>EW196-EV196</f>
        <v>-0.40490658976584215</v>
      </c>
      <c r="EY196" s="111">
        <f t="shared" si="121"/>
        <v>0</v>
      </c>
      <c r="EZ196" s="111">
        <f>IF($BI$8=2015,VLOOKUP($L196,'[12]IMAGE CDLINKS 1_5C'!$P$3:$Y$29,10,FALSE)*$AM196,VLOOKUP($L196,'[12]IMAGE CDLINKS 1_5C'!$Z$3:$AI$29,10,FALSE)*$AP196)</f>
        <v>8.2350065408567902E-2</v>
      </c>
      <c r="FA196" s="192">
        <v>2050</v>
      </c>
    </row>
    <row r="197" spans="1:157" x14ac:dyDescent="0.25">
      <c r="A197" t="str">
        <f>IF([12]NDCs!C199="","",[12]NDCs!C199)</f>
        <v/>
      </c>
      <c r="B197" s="159" t="str">
        <f t="shared" si="112"/>
        <v>v</v>
      </c>
      <c r="C197">
        <v>0</v>
      </c>
      <c r="D197">
        <v>0</v>
      </c>
      <c r="E197">
        <v>0</v>
      </c>
      <c r="F197">
        <v>0</v>
      </c>
      <c r="G197" t="b">
        <f t="shared" si="113"/>
        <v>0</v>
      </c>
      <c r="H197" t="s">
        <v>2328</v>
      </c>
      <c r="I197" t="s">
        <v>423</v>
      </c>
      <c r="J197">
        <v>666</v>
      </c>
      <c r="K197">
        <v>173</v>
      </c>
      <c r="L197">
        <v>2</v>
      </c>
      <c r="M197" t="str">
        <f>IF([12]NDCs!AL199="Excluding","excl","incl")</f>
        <v>excl</v>
      </c>
      <c r="N197" s="160">
        <f>[12]GHG_hist!BA187+IF($M197="incl",[12]LULUCF_hist!CR187,0)</f>
        <v>0</v>
      </c>
      <c r="O197" s="111">
        <f>[12]GHG_hist!BB187+IF($M197="incl",[12]LULUCF_hist!CS187,0)</f>
        <v>0</v>
      </c>
      <c r="P197" s="111">
        <f>[12]GHG_hist!BC187+IF($M197="incl",[12]LULUCF_hist!CT187,0)</f>
        <v>0</v>
      </c>
      <c r="Q197" s="111">
        <f>[12]GHG_hist!BD187+IF($M197="incl",[12]LULUCF_hist!CU187,0)</f>
        <v>0</v>
      </c>
      <c r="R197" s="111">
        <f>[12]GHG_hist!BE187+IF($M197="incl",[12]LULUCF_hist!CV187,0)</f>
        <v>0</v>
      </c>
      <c r="S197" s="111">
        <f>[12]GHG_hist!BF187+IF($M197="incl",[12]LULUCF_hist!CW187,0)</f>
        <v>0</v>
      </c>
      <c r="T197" s="111">
        <f>[12]GHG_hist!BG187+IF($M197="incl",[12]LULUCF_hist!CX187,0)</f>
        <v>0</v>
      </c>
      <c r="U197" s="111">
        <f>[12]GHG_hist!BH187+IF($M197="incl",[12]LULUCF_hist!CY187,0)</f>
        <v>0</v>
      </c>
      <c r="V197" s="111">
        <f>[12]GHG_hist!BI187+IF($M197="incl",[12]LULUCF_hist!CZ187,0)</f>
        <v>0</v>
      </c>
      <c r="W197" s="111">
        <f>[12]GHG_hist!BJ187+IF($M197="incl",[12]LULUCF_hist!DA187,0)</f>
        <v>0</v>
      </c>
      <c r="X197" s="111">
        <f>[12]GHG_hist!BK187+IF($M197="incl",[12]LULUCF_hist!DB187,0)</f>
        <v>0</v>
      </c>
      <c r="Y197" s="111">
        <f>[12]GHG_hist!BL187+IF($M197="incl",[12]LULUCF_hist!DC187,0)</f>
        <v>0</v>
      </c>
      <c r="Z197" s="111">
        <f>[12]GHG_hist!BM187+IF($M197="incl",[12]LULUCF_hist!DD187,0)</f>
        <v>0</v>
      </c>
      <c r="AA197" s="111">
        <f>[12]GHG_hist!BN187+IF($M197="incl",[12]LULUCF_hist!DE187,0)</f>
        <v>0</v>
      </c>
      <c r="AB197" s="111">
        <f>[12]GHG_hist!BO187+IF($M197="incl",[12]LULUCF_hist!DF187,0)</f>
        <v>0</v>
      </c>
      <c r="AC197" s="111">
        <f>[12]GHG_hist!BP187+IF($M197="incl",[12]LULUCF_hist!DG187,0)</f>
        <v>0</v>
      </c>
      <c r="AD197" s="111">
        <f>[12]GHG_hist!BQ187+IF($M197="incl",[12]LULUCF_hist!DH187,0)</f>
        <v>0</v>
      </c>
      <c r="AE197" s="111">
        <f>[12]GHG_hist!BR187+IF($M197="incl",[12]LULUCF_hist!DI187,0)</f>
        <v>0</v>
      </c>
      <c r="AF197" s="111">
        <f>[12]GHG_hist!BS187+IF($M197="incl",[12]LULUCF_hist!DJ187,0)</f>
        <v>0</v>
      </c>
      <c r="AG197" s="111">
        <f>[12]GHG_hist!BT187+IF($M197="incl",[12]LULUCF_hist!DK187,0)</f>
        <v>0</v>
      </c>
      <c r="AH197" s="111">
        <f>[12]GHG_hist!BU187+IF($M197="incl",[12]LULUCF_hist!DL187,0)</f>
        <v>0</v>
      </c>
      <c r="AI197" s="111">
        <f>[12]GHG_hist!BV187+IF($M197="incl",[12]LULUCF_hist!DM187,0)</f>
        <v>0</v>
      </c>
      <c r="AJ197" s="111">
        <f>[12]GHG_hist!BW187+IF($M197="incl",[12]LULUCF_hist!DN187,0)</f>
        <v>0</v>
      </c>
      <c r="AK197" s="111">
        <f>[12]GHG_hist!BX187+IF($M197="incl",[12]LULUCF_hist!DO187,0)</f>
        <v>0</v>
      </c>
      <c r="AL197" s="111">
        <f>[12]GHG_hist!BY187+IF($M197="incl",[12]LULUCF_hist!DP187,0)</f>
        <v>0</v>
      </c>
      <c r="AM197" s="111">
        <f>[12]GHG_hist!BZ187+IF($M197="incl",[12]LULUCF_hist!DQ187,0)</f>
        <v>0</v>
      </c>
      <c r="AN197" s="111">
        <f>[12]GHG_hist!CA187+IF($M197="incl",[12]LULUCF_hist!DR187,0)</f>
        <v>0</v>
      </c>
      <c r="AO197" s="111">
        <f>[12]GHG_hist!CB187+IF($M197="incl",[12]LULUCF_hist!DS187,0)</f>
        <v>0</v>
      </c>
      <c r="AP197" s="111">
        <f>[12]GHG_hist!CC187+IF($M197="incl",[12]LULUCF_hist!DT187,0)</f>
        <v>0</v>
      </c>
      <c r="AQ197" s="111">
        <f>[12]GHG_hist!CD187+IF($M197="incl",[12]LULUCF_hist!DU187,0)</f>
        <v>0</v>
      </c>
      <c r="AR197" s="111">
        <f>[12]GHG_hist!CE187+IF($M197="incl",[12]LULUCF_hist!DV187,0)</f>
        <v>0</v>
      </c>
      <c r="AS197" s="111">
        <f>[12]GHG_hist!CF187+IF($M197="incl",[12]LULUCF_hist!DW187,0)</f>
        <v>0</v>
      </c>
      <c r="AT197" s="161">
        <f>VLOOKUP($L197,'[12]IMAGE SSP2'!$AF$3:$AK$29,4,FALSE)*$AM197</f>
        <v>0</v>
      </c>
      <c r="AU197" s="162">
        <f>VLOOKUP($L197,'[12]IMAGE SSP2'!$AF$3:$AK$29,5,FALSE)*$AM197</f>
        <v>0</v>
      </c>
      <c r="AV197" s="163">
        <f>VLOOKUP($L197,'[12]IMAGE SSP2'!$AF$3:$AK$29,6,FALSE)*$AM197</f>
        <v>0</v>
      </c>
      <c r="AW197" s="111" t="str">
        <f t="shared" si="119"/>
        <v/>
      </c>
      <c r="AX197" s="164" t="str">
        <f>IF(A197="B",IF(M197="excl",[12]NatCom!CO187,[12]NatCom!AX187),"")</f>
        <v/>
      </c>
      <c r="AY197" s="111" t="str">
        <f>IF('[12]Pledge 2020'!E187="","",'[12]Pledge 2020'!E187)</f>
        <v/>
      </c>
      <c r="AZ197" s="164" t="str">
        <f>IF('[12]Pledge 2020'!F187="","",'[12]Pledge 2020'!F187)</f>
        <v/>
      </c>
      <c r="BA197" s="111" t="str">
        <f t="shared" si="144"/>
        <v/>
      </c>
      <c r="BB197" s="111"/>
      <c r="BC197" s="111" t="str">
        <f t="shared" si="145"/>
        <v/>
      </c>
      <c r="BD197" s="111"/>
      <c r="BE197" s="111" t="s">
        <v>2477</v>
      </c>
      <c r="BF197" s="111"/>
      <c r="BG197" s="111" t="s">
        <v>2477</v>
      </c>
      <c r="BH197" s="164"/>
      <c r="BI197" s="111" t="str">
        <f>IF([12]NDCs!V199="",IF([12]NDCs!X199="","",[12]NDCs!X199),[12]NDCs!V199)</f>
        <v/>
      </c>
      <c r="BJ197" s="111" t="str">
        <f>IF([12]NDCs!V199="",IF([12]NDCs!X199="","",[12]NDCs!X199),[12]NDCs!V199)</f>
        <v/>
      </c>
      <c r="BK197" s="111" t="str">
        <f>IF([12]NDCs!Z199="",IF([12]NDCs!AB199="",IF('input site'!BE197="","",'input site'!BE197),[12]NDCs!AB199),[12]NDCs!Z199)</f>
        <v/>
      </c>
      <c r="BL197" s="111" t="str">
        <f>IF([12]NDCs!AA199="",IF([12]NDCs!AC199="",IF('input site'!BF197="","",'input site'!BF197),[12]NDCs!AC199),[12]NDCs!AA199)</f>
        <v/>
      </c>
      <c r="BM197" s="111">
        <f>IF($BI$8=2015,VLOOKUP($L197,'[12]IMAGE CurPol SSP'!$AZ$3:$BD$29,4,FALSE)*$AM197,IF($BI$8=2018,VLOOKUP($L197,'[12]IMAGE CurPol SSP'!$BJ$3:$BN$29,4,FALSE)*$AP197,$AR197))</f>
        <v>0</v>
      </c>
      <c r="BN197" s="111">
        <f t="shared" si="147"/>
        <v>0</v>
      </c>
      <c r="BO197" s="111">
        <f t="shared" si="147"/>
        <v>0</v>
      </c>
      <c r="BP197" s="111">
        <f>IF($BI$8=2015,VLOOKUP($L197,'[12]IMAGE CurPol SSP'!$AZ$3:$BD$29,5,FALSE)*$AM197,IF($BI$8=2018,VLOOKUP($L197,'[12]IMAGE CurPol SSP'!$BJ$3:$BN$29,5,FALSE)*$AP197,VLOOKUP($L197,'[12]IMAGE CurPol SSP'!$BU$3:$BZ$29,5,FALSE)*$AS197))</f>
        <v>0</v>
      </c>
      <c r="BQ197" s="111">
        <f>IF($BI$8=2015,"",IF($BI$8=2018,"",VLOOKUP($L197,'[12]IMAGE CurPol SSP'!$CQ$3:$CV$29,5,FALSE)*$AS197))</f>
        <v>0</v>
      </c>
      <c r="BR197" s="111">
        <f>IF($BI$8=2015,"",IF($BI$8=2018,"",VLOOKUP($L197,'[12]IMAGE CurPol SSP'!$CF$3:$CK$29,5,FALSE)*$AS197))</f>
        <v>0</v>
      </c>
      <c r="BS197" s="111">
        <f>IF($BI$8=2015,VLOOKUP($L197,'[12]IMAGE CurPol SSP'!$AZ$3:$BE$29,6,FALSE)*$AM197,IF($BI$8=2018,VLOOKUP($L197,'[12]IMAGE CurPol SSP'!$BJ$3:$BO$29,6,FALSE)*$AP197,VLOOKUP($L197,'[12]IMAGE CurPol SSP'!$BU$3:$BZ$29,6,FALSE)*$AS197))</f>
        <v>0</v>
      </c>
      <c r="BT197" s="111">
        <f>IF($BI$8=2015,"",IF($BI$8=2018,"",VLOOKUP($L197,'[12]IMAGE CurPol SSP'!$CQ$3:$CV$29,6,FALSE)*$AS197))</f>
        <v>0</v>
      </c>
      <c r="BU197" s="164">
        <f>IF($BI$8=2015,"",IF($BI$8=2018,"",VLOOKUP($L197,'[12]IMAGE CurPol SSP'!$CF$3:$CK$29,6,FALSE)*$AS197))</f>
        <v>0</v>
      </c>
      <c r="CN197" t="s">
        <v>423</v>
      </c>
      <c r="CO197" s="165" t="str">
        <f t="shared" si="114"/>
        <v/>
      </c>
      <c r="CP197" s="165" t="str">
        <f t="shared" si="114"/>
        <v/>
      </c>
      <c r="CQ197" s="165" t="str">
        <f t="shared" si="114"/>
        <v/>
      </c>
      <c r="CR197" s="165" t="str">
        <f t="shared" si="114"/>
        <v/>
      </c>
      <c r="CV197" s="125" t="s">
        <v>621</v>
      </c>
      <c r="CW197" s="125" t="s">
        <v>621</v>
      </c>
      <c r="CX197" s="208">
        <f>AP197/$AP$255</f>
        <v>0</v>
      </c>
      <c r="CY197" s="167">
        <f t="shared" si="115"/>
        <v>0</v>
      </c>
      <c r="DB197" s="106"/>
      <c r="DC197" s="106"/>
      <c r="DD197" s="106"/>
      <c r="DE197" s="106"/>
      <c r="DF197" s="106"/>
      <c r="DG197" s="105" t="str">
        <f t="shared" si="116"/>
        <v>excl</v>
      </c>
      <c r="DH197" t="s">
        <v>423</v>
      </c>
      <c r="DI197" s="111">
        <f t="shared" si="148"/>
        <v>0</v>
      </c>
      <c r="DJ197" s="111">
        <f t="shared" si="148"/>
        <v>0</v>
      </c>
      <c r="DK197" s="111">
        <f t="shared" si="149"/>
        <v>0</v>
      </c>
      <c r="DL197" s="111">
        <f t="shared" si="150"/>
        <v>0</v>
      </c>
      <c r="DM197" s="111">
        <f t="shared" si="151"/>
        <v>0</v>
      </c>
      <c r="DN197" s="111">
        <f t="shared" si="152"/>
        <v>0</v>
      </c>
      <c r="DO197" s="111">
        <f t="shared" si="153"/>
        <v>0</v>
      </c>
      <c r="DP197" s="111">
        <f t="shared" si="154"/>
        <v>0</v>
      </c>
      <c r="DQ197" s="106"/>
      <c r="DR197" s="106"/>
      <c r="DS197" s="111"/>
      <c r="DT197" s="168"/>
      <c r="DW197" s="111">
        <f t="shared" si="117"/>
        <v>0</v>
      </c>
      <c r="DX197" s="111">
        <f t="shared" si="117"/>
        <v>0</v>
      </c>
      <c r="DY197" s="111">
        <f t="shared" si="117"/>
        <v>0</v>
      </c>
      <c r="DZ197" s="111">
        <f t="shared" si="117"/>
        <v>0</v>
      </c>
      <c r="EP197" t="s">
        <v>423</v>
      </c>
      <c r="EQ197">
        <v>0</v>
      </c>
      <c r="ER197" s="111">
        <f t="shared" si="118"/>
        <v>0</v>
      </c>
      <c r="ES197" s="111">
        <f>IF($BI$8=2015,VLOOKUP($L197,'[12]IMAGE CDLINKS CurPol'!$P$3:$Y$29,10,FALSE)*$AM197,VLOOKUP($L197,'[12]IMAGE CDLINKS CurPol'!$Z$3:$AI$29,10,FALSE)*$AP197)</f>
        <v>0</v>
      </c>
      <c r="ET197" s="111">
        <f t="shared" si="124"/>
        <v>0</v>
      </c>
      <c r="EU197" s="111">
        <f t="shared" si="120"/>
        <v>0</v>
      </c>
      <c r="EV197" s="111">
        <f>IF($BI$8=2015,VLOOKUP($L197,'[12]IMAGE CDLINKS 2C'!$P$3:$Y$29,10,FALSE)*$AM197,VLOOKUP($L197,'[12]IMAGE CDLINKS 2C'!$Z$3:$AI$29,10,FALSE)*$AP197)</f>
        <v>0</v>
      </c>
      <c r="EY197" s="111">
        <f t="shared" si="121"/>
        <v>0</v>
      </c>
      <c r="EZ197" s="111">
        <f>IF($BI$8=2015,VLOOKUP($L197,'[12]IMAGE CDLINKS 1_5C'!$P$3:$Y$29,10,FALSE)*$AM197,VLOOKUP($L197,'[12]IMAGE CDLINKS 1_5C'!$Z$3:$AI$29,10,FALSE)*$AP197)</f>
        <v>0</v>
      </c>
      <c r="FA197" s="192"/>
    </row>
    <row r="198" spans="1:157" x14ac:dyDescent="0.25">
      <c r="A198" t="str">
        <f>IF([12]NDCs!C200="","",[12]NDCs!C200)</f>
        <v>G</v>
      </c>
      <c r="B198" s="159" t="str">
        <f t="shared" si="112"/>
        <v>v</v>
      </c>
      <c r="C198">
        <v>0</v>
      </c>
      <c r="D198">
        <v>0</v>
      </c>
      <c r="E198">
        <v>0</v>
      </c>
      <c r="F198">
        <v>1</v>
      </c>
      <c r="G198" t="b">
        <f t="shared" si="113"/>
        <v>0</v>
      </c>
      <c r="H198" t="s">
        <v>2328</v>
      </c>
      <c r="I198" t="s">
        <v>425</v>
      </c>
      <c r="J198">
        <v>670</v>
      </c>
      <c r="K198">
        <v>174</v>
      </c>
      <c r="L198">
        <v>4</v>
      </c>
      <c r="M198" t="str">
        <f>IF([12]NDCs!AL200="Excluding","excl","incl")</f>
        <v>excl</v>
      </c>
      <c r="N198" s="160">
        <f>[12]GHG_hist!BA188+IF($M198="incl",[12]LULUCF_hist!CR188,0)</f>
        <v>0.14868819999999999</v>
      </c>
      <c r="O198" s="111">
        <f>[12]GHG_hist!BB188+IF($M198="incl",[12]LULUCF_hist!CS188,0)</f>
        <v>0.14520740000000001</v>
      </c>
      <c r="P198" s="111">
        <f>[12]GHG_hist!BC188+IF($M198="incl",[12]LULUCF_hist!CT188,0)</f>
        <v>0.14158748000000002</v>
      </c>
      <c r="Q198" s="111">
        <f>[12]GHG_hist!BD188+IF($M198="incl",[12]LULUCF_hist!CU188,0)</f>
        <v>0.15346903000000001</v>
      </c>
      <c r="R198" s="111">
        <f>[12]GHG_hist!BE188+IF($M198="incl",[12]LULUCF_hist!CV188,0)</f>
        <v>0.16500113</v>
      </c>
      <c r="S198" s="111">
        <f>[12]GHG_hist!BF188+IF($M198="incl",[12]LULUCF_hist!CW188,0)</f>
        <v>0.17266387</v>
      </c>
      <c r="T198" s="111">
        <f>[12]GHG_hist!BG188+IF($M198="incl",[12]LULUCF_hist!CX188,0)</f>
        <v>0.17630496000000001</v>
      </c>
      <c r="U198" s="111">
        <f>[12]GHG_hist!BH188+IF($M198="incl",[12]LULUCF_hist!CY188,0)</f>
        <v>0.17749318</v>
      </c>
      <c r="V198" s="111">
        <f>[12]GHG_hist!BI188+IF($M198="incl",[12]LULUCF_hist!CZ188,0)</f>
        <v>0.22398590999999998</v>
      </c>
      <c r="W198" s="111">
        <f>[12]GHG_hist!BJ188+IF($M198="incl",[12]LULUCF_hist!DA188,0)</f>
        <v>0.25456972</v>
      </c>
      <c r="X198" s="111">
        <f>[12]GHG_hist!BK188+IF($M198="incl",[12]LULUCF_hist!DB188,0)</f>
        <v>0.25507273000000003</v>
      </c>
      <c r="Y198" s="111">
        <f>[12]GHG_hist!BL188+IF($M198="incl",[12]LULUCF_hist!DC188,0)</f>
        <v>0.28571739000000002</v>
      </c>
      <c r="Z198" s="111">
        <f>[12]GHG_hist!BM188+IF($M198="incl",[12]LULUCF_hist!DD188,0)</f>
        <v>0.28965116000000002</v>
      </c>
      <c r="AA198" s="111">
        <f>[12]GHG_hist!BN188+IF($M198="incl",[12]LULUCF_hist!DE188,0)</f>
        <v>0.29728049000000001</v>
      </c>
      <c r="AB198" s="111">
        <f>[12]GHG_hist!BO188+IF($M198="incl",[12]LULUCF_hist!DF188,0)</f>
        <v>0.31695193999999999</v>
      </c>
      <c r="AC198" s="111">
        <f>[12]GHG_hist!BP188+IF($M198="incl",[12]LULUCF_hist!DG188,0)</f>
        <v>0.31828942999999998</v>
      </c>
      <c r="AD198" s="111">
        <f>[12]GHG_hist!BQ188+IF($M198="incl",[12]LULUCF_hist!DH188,0)</f>
        <v>0.31643343000000002</v>
      </c>
      <c r="AE198" s="111">
        <f>[12]GHG_hist!BR188+IF($M198="incl",[12]LULUCF_hist!DI188,0)</f>
        <v>0.36186780000000002</v>
      </c>
      <c r="AF198" s="111">
        <f>[12]GHG_hist!BS188+IF($M198="incl",[12]LULUCF_hist!DJ188,0)</f>
        <v>0.29428638000000001</v>
      </c>
      <c r="AG198" s="111">
        <f>[12]GHG_hist!BT188+IF($M198="incl",[12]LULUCF_hist!DK188,0)</f>
        <v>0.41654728999999996</v>
      </c>
      <c r="AH198" s="111">
        <f>[12]GHG_hist!BU188+IF($M198="incl",[12]LULUCF_hist!DL188,0)</f>
        <v>0.32487394999999997</v>
      </c>
      <c r="AI198" s="111">
        <f>[12]GHG_hist!BV188+IF($M198="incl",[12]LULUCF_hist!DM188,0)</f>
        <v>0.30552163999999998</v>
      </c>
      <c r="AJ198" s="111">
        <f>[12]GHG_hist!BW188+IF($M198="incl",[12]LULUCF_hist!DN188,0)</f>
        <v>0.36080741999999999</v>
      </c>
      <c r="AK198" s="111">
        <f>[12]GHG_hist!BX188+IF($M198="incl",[12]LULUCF_hist!DO188,0)</f>
        <v>0.31520852000000005</v>
      </c>
      <c r="AL198" s="111">
        <f>[12]GHG_hist!BY188+IF($M198="incl",[12]LULUCF_hist!DP188,0)</f>
        <v>0.38069932000000001</v>
      </c>
      <c r="AM198" s="111">
        <f>[12]GHG_hist!BZ188+IF($M198="incl",[12]LULUCF_hist!DQ188,0)</f>
        <v>0.32002721000000001</v>
      </c>
      <c r="AN198" s="111">
        <f>[12]GHG_hist!CA188+IF($M198="incl",[12]LULUCF_hist!DR188,0)</f>
        <v>0.35997646999999999</v>
      </c>
      <c r="AO198" s="111">
        <f>[12]GHG_hist!CB188+IF($M198="incl",[12]LULUCF_hist!DS188,0)</f>
        <v>0.36268819000000002</v>
      </c>
      <c r="AP198" s="111">
        <f>[12]GHG_hist!CC188+IF($M198="incl",[12]LULUCF_hist!DT188,0)</f>
        <v>0.36959600999999997</v>
      </c>
      <c r="AQ198" s="111">
        <f>[12]GHG_hist!CD188+IF($M198="incl",[12]LULUCF_hist!DU188,0)</f>
        <v>0.37721294</v>
      </c>
      <c r="AR198" s="111">
        <f>[12]GHG_hist!CE188+IF($M198="incl",[12]LULUCF_hist!DV188,0)</f>
        <v>0.35494036000000001</v>
      </c>
      <c r="AS198" s="111">
        <f>[12]GHG_hist!CF188+IF($M198="incl",[12]LULUCF_hist!DW188,0)</f>
        <v>0.35376380000000002</v>
      </c>
      <c r="AT198" s="161">
        <f>VLOOKUP($L198,'[12]IMAGE SSP2'!$AF$3:$AK$29,4,FALSE)*$AM198</f>
        <v>0.36387442237421069</v>
      </c>
      <c r="AU198" s="162">
        <f>VLOOKUP($L198,'[12]IMAGE SSP2'!$AF$3:$AK$29,5,FALSE)*$AM198</f>
        <v>0.40708760958596724</v>
      </c>
      <c r="AV198" s="163">
        <f>VLOOKUP($L198,'[12]IMAGE SSP2'!$AF$3:$AK$29,6,FALSE)*$AM198</f>
        <v>0.42972832485355289</v>
      </c>
      <c r="AW198" s="111" t="str">
        <f t="shared" si="119"/>
        <v/>
      </c>
      <c r="AX198" s="164" t="str">
        <f>IF(A198="B",IF(M198="excl",[12]NatCom!CO188,[12]NatCom!AX188),"")</f>
        <v/>
      </c>
      <c r="AY198" s="111" t="str">
        <f>IF('[12]Pledge 2020'!E188="","",'[12]Pledge 2020'!E188)</f>
        <v/>
      </c>
      <c r="AZ198" s="164" t="str">
        <f>IF('[12]Pledge 2020'!F188="","",'[12]Pledge 2020'!F188)</f>
        <v/>
      </c>
      <c r="BA198" s="111" t="str">
        <f t="shared" si="144"/>
        <v/>
      </c>
      <c r="BB198" s="111"/>
      <c r="BC198" s="111" t="str">
        <f t="shared" si="145"/>
        <v/>
      </c>
      <c r="BD198" s="111"/>
      <c r="BE198" s="111" t="s">
        <v>2477</v>
      </c>
      <c r="BF198" s="111"/>
      <c r="BG198" s="111" t="s">
        <v>2477</v>
      </c>
      <c r="BH198" s="164"/>
      <c r="BI198" s="111" t="str">
        <f>IF([12]NDCs!V200="",IF([12]NDCs!X200="","",[12]NDCs!X200),[12]NDCs!V200)</f>
        <v/>
      </c>
      <c r="BJ198" s="111" t="str">
        <f>IF([12]NDCs!V200="",IF([12]NDCs!X200="","",[12]NDCs!X200),[12]NDCs!V200)</f>
        <v/>
      </c>
      <c r="BK198" s="111" t="str">
        <f>IF([12]NDCs!Z200="",IF([12]NDCs!AB200="",IF('input site'!BE198="","",'input site'!BE198),[12]NDCs!AB200),[12]NDCs!Z200)</f>
        <v/>
      </c>
      <c r="BL198" s="111" t="str">
        <f>IF([12]NDCs!AA200="",IF([12]NDCs!AC200="",IF('input site'!BF198="","",'input site'!BF198),[12]NDCs!AC200),[12]NDCs!AA200)</f>
        <v/>
      </c>
      <c r="BM198" s="111">
        <f>IF($BI$8=2015,VLOOKUP($L198,'[12]IMAGE CurPol SSP'!$AZ$3:$BD$29,4,FALSE)*$AM198,IF($BI$8=2018,VLOOKUP($L198,'[12]IMAGE CurPol SSP'!$BJ$3:$BN$29,4,FALSE)*$AP198,$AR198))</f>
        <v>0.35494036000000001</v>
      </c>
      <c r="BN198" s="111">
        <f t="shared" si="147"/>
        <v>0.35494036000000001</v>
      </c>
      <c r="BO198" s="111">
        <f t="shared" si="147"/>
        <v>0.35494036000000001</v>
      </c>
      <c r="BP198" s="111">
        <f>IF($BI$8=2015,VLOOKUP($L198,'[12]IMAGE CurPol SSP'!$AZ$3:$BD$29,5,FALSE)*$AM198,IF($BI$8=2018,VLOOKUP($L198,'[12]IMAGE CurPol SSP'!$BJ$3:$BN$29,5,FALSE)*$AP198,VLOOKUP($L198,'[12]IMAGE CurPol SSP'!$BU$3:$BZ$29,5,FALSE)*$AS198))</f>
        <v>0.38765607850635375</v>
      </c>
      <c r="BQ198" s="111">
        <f>IF($BI$8=2015,"",IF($BI$8=2018,"",VLOOKUP($L198,'[12]IMAGE CurPol SSP'!$CQ$3:$CV$29,5,FALSE)*$AS198))</f>
        <v>0.38105934367384725</v>
      </c>
      <c r="BR198" s="111">
        <f>IF($BI$8=2015,"",IF($BI$8=2018,"",VLOOKUP($L198,'[12]IMAGE CurPol SSP'!$CF$3:$CK$29,5,FALSE)*$AS198))</f>
        <v>0.40290397787866572</v>
      </c>
      <c r="BS198" s="111">
        <f>IF($BI$8=2015,VLOOKUP($L198,'[12]IMAGE CurPol SSP'!$AZ$3:$BE$29,6,FALSE)*$AM198,IF($BI$8=2018,VLOOKUP($L198,'[12]IMAGE CurPol SSP'!$BJ$3:$BO$29,6,FALSE)*$AP198,VLOOKUP($L198,'[12]IMAGE CurPol SSP'!$BU$3:$BZ$29,6,FALSE)*$AS198))</f>
        <v>0.43621524191668326</v>
      </c>
      <c r="BT198" s="111">
        <f>IF($BI$8=2015,"",IF($BI$8=2018,"",VLOOKUP($L198,'[12]IMAGE CurPol SSP'!$CQ$3:$CV$29,6,FALSE)*$AS198))</f>
        <v>0.42619082383405099</v>
      </c>
      <c r="BU198" s="164">
        <f>IF($BI$8=2015,"",IF($BI$8=2018,"",VLOOKUP($L198,'[12]IMAGE CurPol SSP'!$CF$3:$CK$29,6,FALSE)*$AS198))</f>
        <v>0.46671297128640038</v>
      </c>
      <c r="CN198" t="s">
        <v>425</v>
      </c>
      <c r="CO198" s="165" t="str">
        <f t="shared" si="114"/>
        <v/>
      </c>
      <c r="CP198" s="165" t="str">
        <f t="shared" si="114"/>
        <v/>
      </c>
      <c r="CQ198" s="165" t="str">
        <f t="shared" si="114"/>
        <v/>
      </c>
      <c r="CR198" s="165" t="str">
        <f t="shared" si="114"/>
        <v/>
      </c>
      <c r="CV198" s="125" t="s">
        <v>621</v>
      </c>
      <c r="CW198" s="125" t="s">
        <v>621</v>
      </c>
      <c r="CX198"/>
      <c r="CY198" s="167">
        <f t="shared" si="115"/>
        <v>8.9340623742106828E-3</v>
      </c>
      <c r="DB198" s="106"/>
      <c r="DC198" s="106"/>
      <c r="DD198" s="106"/>
      <c r="DE198" s="106"/>
      <c r="DF198" s="106"/>
      <c r="DG198" s="105" t="str">
        <f t="shared" si="116"/>
        <v>excl</v>
      </c>
      <c r="DH198" t="s">
        <v>425</v>
      </c>
      <c r="DI198" s="111">
        <f t="shared" si="148"/>
        <v>0</v>
      </c>
      <c r="DJ198" s="111">
        <f t="shared" si="148"/>
        <v>0</v>
      </c>
      <c r="DK198" s="111">
        <f t="shared" si="149"/>
        <v>0</v>
      </c>
      <c r="DL198" s="111">
        <f t="shared" si="150"/>
        <v>0</v>
      </c>
      <c r="DM198" s="111">
        <f t="shared" si="151"/>
        <v>0</v>
      </c>
      <c r="DN198" s="111">
        <f t="shared" si="152"/>
        <v>0</v>
      </c>
      <c r="DO198" s="111">
        <f t="shared" si="153"/>
        <v>0</v>
      </c>
      <c r="DP198" s="111">
        <f t="shared" si="154"/>
        <v>0</v>
      </c>
      <c r="DQ198" s="106"/>
      <c r="DR198" s="106"/>
      <c r="DS198" s="111"/>
      <c r="DT198" s="168"/>
      <c r="DW198" s="111">
        <f t="shared" si="117"/>
        <v>0.43621524191668326</v>
      </c>
      <c r="DX198" s="111">
        <f t="shared" si="117"/>
        <v>0.43621524191668326</v>
      </c>
      <c r="DY198" s="111">
        <f t="shared" si="117"/>
        <v>0.43621524191668326</v>
      </c>
      <c r="DZ198" s="111">
        <f t="shared" si="117"/>
        <v>0.43621524191668326</v>
      </c>
      <c r="EP198" t="s">
        <v>425</v>
      </c>
      <c r="EQ198">
        <v>0</v>
      </c>
      <c r="ER198" s="111">
        <f t="shared" si="118"/>
        <v>0.36959600999999997</v>
      </c>
      <c r="ES198" s="111">
        <f>IF($BI$8=2015,VLOOKUP($L198,'[12]IMAGE CDLINKS CurPol'!$P$3:$Y$29,10,FALSE)*$AM198,VLOOKUP($L198,'[12]IMAGE CDLINKS CurPol'!$Z$3:$AI$29,10,FALSE)*$AP198)</f>
        <v>0.70000670904270124</v>
      </c>
      <c r="ET198" s="111">
        <f t="shared" si="124"/>
        <v>0.70000670904270124</v>
      </c>
      <c r="EU198" s="111">
        <f t="shared" si="120"/>
        <v>0.19421706254550331</v>
      </c>
      <c r="EV198" s="111">
        <f>IF($BI$8=2015,VLOOKUP($L198,'[12]IMAGE CDLINKS 2C'!$P$3:$Y$29,10,FALSE)*$AM198,VLOOKUP($L198,'[12]IMAGE CDLINKS 2C'!$Z$3:$AI$29,10,FALSE)*$AP198)</f>
        <v>0.19421706254550331</v>
      </c>
      <c r="EW198">
        <v>0</v>
      </c>
      <c r="EX198" s="111">
        <f>EW198-EV198</f>
        <v>-0.19421706254550331</v>
      </c>
      <c r="EY198" s="111">
        <f t="shared" si="121"/>
        <v>3.9499944452203999E-2</v>
      </c>
      <c r="EZ198" s="111">
        <f>IF($BI$8=2015,VLOOKUP($L198,'[12]IMAGE CDLINKS 1_5C'!$P$3:$Y$29,10,FALSE)*$AM198,VLOOKUP($L198,'[12]IMAGE CDLINKS 1_5C'!$Z$3:$AI$29,10,FALSE)*$AP198)</f>
        <v>3.9499944452203999E-2</v>
      </c>
      <c r="FA198" s="192">
        <v>2050</v>
      </c>
    </row>
    <row r="199" spans="1:157" x14ac:dyDescent="0.25">
      <c r="A199" t="str">
        <f>IF([12]NDCs!C201="","",[12]NDCs!C201)</f>
        <v>G</v>
      </c>
      <c r="B199" s="159" t="str">
        <f t="shared" si="112"/>
        <v>v</v>
      </c>
      <c r="C199">
        <v>0</v>
      </c>
      <c r="D199">
        <v>0</v>
      </c>
      <c r="E199">
        <v>0</v>
      </c>
      <c r="F199">
        <v>1</v>
      </c>
      <c r="G199" t="b">
        <f t="shared" si="113"/>
        <v>0</v>
      </c>
      <c r="H199" t="s">
        <v>2328</v>
      </c>
      <c r="I199" t="s">
        <v>427</v>
      </c>
      <c r="J199">
        <v>736</v>
      </c>
      <c r="K199">
        <v>190</v>
      </c>
      <c r="L199">
        <v>9</v>
      </c>
      <c r="M199" t="str">
        <f>IF([12]NDCs!AL201="Excluding","excl","incl")</f>
        <v>excl</v>
      </c>
      <c r="N199" s="160">
        <f>[12]GHG_hist!BA189+IF($M199="incl",[12]LULUCF_hist!CR189,0)</f>
        <v>48.771190000000004</v>
      </c>
      <c r="O199" s="111">
        <f>[12]GHG_hist!BB189+IF($M199="incl",[12]LULUCF_hist!CS189,0)</f>
        <v>50.297053999999996</v>
      </c>
      <c r="P199" s="111">
        <f>[12]GHG_hist!BC189+IF($M199="incl",[12]LULUCF_hist!CT189,0)</f>
        <v>54.60089</v>
      </c>
      <c r="Q199" s="111">
        <f>[12]GHG_hist!BD189+IF($M199="incl",[12]LULUCF_hist!CU189,0)</f>
        <v>57.363968999999997</v>
      </c>
      <c r="R199" s="111">
        <f>[12]GHG_hist!BE189+IF($M199="incl",[12]LULUCF_hist!CV189,0)</f>
        <v>62.767113000000002</v>
      </c>
      <c r="S199" s="111">
        <f>[12]GHG_hist!BF189+IF($M199="incl",[12]LULUCF_hist!CW189,0)</f>
        <v>64.445277000000004</v>
      </c>
      <c r="T199" s="111">
        <f>[12]GHG_hist!BG189+IF($M199="incl",[12]LULUCF_hist!CX189,0)</f>
        <v>67.000314000000003</v>
      </c>
      <c r="U199" s="111">
        <f>[12]GHG_hist!BH189+IF($M199="incl",[12]LULUCF_hist!CY189,0)</f>
        <v>70.046191000000007</v>
      </c>
      <c r="V199" s="111">
        <f>[12]GHG_hist!BI189+IF($M199="incl",[12]LULUCF_hist!CZ189,0)</f>
        <v>71.742965999999996</v>
      </c>
      <c r="W199" s="111">
        <f>[12]GHG_hist!BJ189+IF($M199="incl",[12]LULUCF_hist!DA189,0)</f>
        <v>74.634448000000006</v>
      </c>
      <c r="X199" s="111">
        <f>[12]GHG_hist!BK189+IF($M199="incl",[12]LULUCF_hist!DB189,0)</f>
        <v>78.546455000000009</v>
      </c>
      <c r="Y199" s="111">
        <f>[12]GHG_hist!BL189+IF($M199="incl",[12]LULUCF_hist!DC189,0)</f>
        <v>80.365687999999992</v>
      </c>
      <c r="Z199" s="111">
        <f>[12]GHG_hist!BM189+IF($M199="incl",[12]LULUCF_hist!DD189,0)</f>
        <v>83.976128000000003</v>
      </c>
      <c r="AA199" s="111">
        <f>[12]GHG_hist!BN189+IF($M199="incl",[12]LULUCF_hist!DE189,0)</f>
        <v>87.485153000000011</v>
      </c>
      <c r="AB199" s="111">
        <f>[12]GHG_hist!BO189+IF($M199="incl",[12]LULUCF_hist!DF189,0)</f>
        <v>90.787824000000001</v>
      </c>
      <c r="AC199" s="111">
        <f>[12]GHG_hist!BP189+IF($M199="incl",[12]LULUCF_hist!DG189,0)</f>
        <v>92.381083000000004</v>
      </c>
      <c r="AD199" s="111">
        <f>[12]GHG_hist!BQ189+IF($M199="incl",[12]LULUCF_hist!DH189,0)</f>
        <v>93.200868</v>
      </c>
      <c r="AE199" s="111">
        <f>[12]GHG_hist!BR189+IF($M199="incl",[12]LULUCF_hist!DI189,0)</f>
        <v>96.734453999999999</v>
      </c>
      <c r="AF199" s="111">
        <f>[12]GHG_hist!BS189+IF($M199="incl",[12]LULUCF_hist!DJ189,0)</f>
        <v>97.725773000000004</v>
      </c>
      <c r="AG199" s="111">
        <f>[12]GHG_hist!BT189+IF($M199="incl",[12]LULUCF_hist!DK189,0)</f>
        <v>99.425857000000008</v>
      </c>
      <c r="AH199" s="111">
        <f>[12]GHG_hist!BU189+IF($M199="incl",[12]LULUCF_hist!DL189,0)</f>
        <v>99.548701000000008</v>
      </c>
      <c r="AI199" s="111">
        <f>[12]GHG_hist!BV189+IF($M199="incl",[12]LULUCF_hist!DM189,0)</f>
        <v>97.352951000000004</v>
      </c>
      <c r="AJ199" s="111">
        <f>[12]GHG_hist!BW189+IF($M199="incl",[12]LULUCF_hist!DN189,0)</f>
        <v>101.91141</v>
      </c>
      <c r="AK199" s="111">
        <f>[12]GHG_hist!BX189+IF($M199="incl",[12]LULUCF_hist!DO189,0)</f>
        <v>105.20028000000001</v>
      </c>
      <c r="AL199" s="111">
        <f>[12]GHG_hist!BY189+IF($M199="incl",[12]LULUCF_hist!DP189,0)</f>
        <v>106.20516000000001</v>
      </c>
      <c r="AM199" s="111">
        <f>[12]GHG_hist!BZ189+IF($M199="incl",[12]LULUCF_hist!DQ189,0)</f>
        <v>110.82464</v>
      </c>
      <c r="AN199" s="111">
        <f>[12]GHG_hist!CA189+IF($M199="incl",[12]LULUCF_hist!DR189,0)</f>
        <v>111.90758000000001</v>
      </c>
      <c r="AO199" s="111">
        <f>[12]GHG_hist!CB189+IF($M199="incl",[12]LULUCF_hist!DS189,0)</f>
        <v>114.33314</v>
      </c>
      <c r="AP199" s="111">
        <f>[12]GHG_hist!CC189+IF($M199="incl",[12]LULUCF_hist!DT189,0)</f>
        <v>116.30150999999999</v>
      </c>
      <c r="AQ199" s="111">
        <f>[12]GHG_hist!CD189+IF($M199="incl",[12]LULUCF_hist!DU189,0)</f>
        <v>116.21133</v>
      </c>
      <c r="AR199" s="111">
        <f>[12]GHG_hist!CE189+IF($M199="incl",[12]LULUCF_hist!DV189,0)</f>
        <v>116.08962</v>
      </c>
      <c r="AS199" s="111">
        <f>[12]GHG_hist!CF189+IF($M199="incl",[12]LULUCF_hist!DW189,0)</f>
        <v>117.68113000000001</v>
      </c>
      <c r="AT199" s="161">
        <f>VLOOKUP($L199,'[12]IMAGE SSP2'!$AF$3:$AK$29,4,FALSE)*$AM199</f>
        <v>126.76136782157698</v>
      </c>
      <c r="AU199" s="162">
        <f>VLOOKUP($L199,'[12]IMAGE SSP2'!$AF$3:$AK$29,5,FALSE)*$AM199</f>
        <v>145.21427247063039</v>
      </c>
      <c r="AV199" s="163">
        <f>VLOOKUP($L199,'[12]IMAGE SSP2'!$AF$3:$AK$29,6,FALSE)*$AM199</f>
        <v>168.3769670699696</v>
      </c>
      <c r="AW199" s="111" t="str">
        <f t="shared" si="119"/>
        <v/>
      </c>
      <c r="AX199" s="164" t="str">
        <f>IF(A199="B",IF(M199="excl",[12]NatCom!CO189,[12]NatCom!AX189),"")</f>
        <v/>
      </c>
      <c r="AY199" s="111" t="str">
        <f>IF('[12]Pledge 2020'!E189="","",'[12]Pledge 2020'!E189)</f>
        <v/>
      </c>
      <c r="AZ199" s="164" t="str">
        <f>IF('[12]Pledge 2020'!F189="","",'[12]Pledge 2020'!F189)</f>
        <v/>
      </c>
      <c r="BA199" s="111" t="str">
        <f t="shared" si="144"/>
        <v/>
      </c>
      <c r="BB199" s="111"/>
      <c r="BC199" s="111" t="str">
        <f t="shared" si="145"/>
        <v/>
      </c>
      <c r="BD199" s="111"/>
      <c r="BE199" s="111" t="s">
        <v>2477</v>
      </c>
      <c r="BF199" s="111"/>
      <c r="BG199" s="111" t="s">
        <v>2477</v>
      </c>
      <c r="BH199" s="164"/>
      <c r="BI199" s="111" t="str">
        <f>IF([12]NDCs!V201="",IF([12]NDCs!X201="","",[12]NDCs!X201),[12]NDCs!V201)</f>
        <v/>
      </c>
      <c r="BJ199" s="111" t="str">
        <f>IF([12]NDCs!V201="",IF([12]NDCs!X201="","",[12]NDCs!X201),[12]NDCs!V201)</f>
        <v/>
      </c>
      <c r="BK199" s="111" t="str">
        <f>IF([12]NDCs!Z201="",IF([12]NDCs!AB201="",IF('input site'!BE199="","",'input site'!BE199),[12]NDCs!AB201),[12]NDCs!Z201)</f>
        <v/>
      </c>
      <c r="BL199" s="111" t="str">
        <f>IF([12]NDCs!AA201="",IF([12]NDCs!AC201="",IF('input site'!BF199="","",'input site'!BF199),[12]NDCs!AC201),[12]NDCs!AA201)</f>
        <v/>
      </c>
      <c r="BM199" s="111">
        <f>IF($BI$8=2015,VLOOKUP($L199,'[12]IMAGE CurPol SSP'!$AZ$3:$BD$29,4,FALSE)*$AM199,IF($BI$8=2018,VLOOKUP($L199,'[12]IMAGE CurPol SSP'!$BJ$3:$BN$29,4,FALSE)*$AP199,$AR199))</f>
        <v>116.08962</v>
      </c>
      <c r="BN199" s="111">
        <f t="shared" si="147"/>
        <v>116.08962</v>
      </c>
      <c r="BO199" s="111">
        <f t="shared" si="147"/>
        <v>116.08962</v>
      </c>
      <c r="BP199" s="111">
        <f>IF($BI$8=2015,VLOOKUP($L199,'[12]IMAGE CurPol SSP'!$AZ$3:$BD$29,5,FALSE)*$AM199,IF($BI$8=2018,VLOOKUP($L199,'[12]IMAGE CurPol SSP'!$BJ$3:$BN$29,5,FALSE)*$AP199,VLOOKUP($L199,'[12]IMAGE CurPol SSP'!$BU$3:$BZ$29,5,FALSE)*$AS199))</f>
        <v>146.99729576393898</v>
      </c>
      <c r="BQ199" s="111">
        <f>IF($BI$8=2015,"",IF($BI$8=2018,"",VLOOKUP($L199,'[12]IMAGE CurPol SSP'!$CQ$3:$CV$29,5,FALSE)*$AS199))</f>
        <v>145.96002130520492</v>
      </c>
      <c r="BR199" s="111">
        <f>IF($BI$8=2015,"",IF($BI$8=2018,"",VLOOKUP($L199,'[12]IMAGE CurPol SSP'!$CF$3:$CK$29,5,FALSE)*$AS199))</f>
        <v>149.1651785898357</v>
      </c>
      <c r="BS199" s="111">
        <f>IF($BI$8=2015,VLOOKUP($L199,'[12]IMAGE CurPol SSP'!$AZ$3:$BE$29,6,FALSE)*$AM199,IF($BI$8=2018,VLOOKUP($L199,'[12]IMAGE CurPol SSP'!$BJ$3:$BO$29,6,FALSE)*$AP199,VLOOKUP($L199,'[12]IMAGE CurPol SSP'!$BU$3:$BZ$29,6,FALSE)*$AS199))</f>
        <v>185.2178789304908</v>
      </c>
      <c r="BT199" s="111">
        <f>IF($BI$8=2015,"",IF($BI$8=2018,"",VLOOKUP($L199,'[12]IMAGE CurPol SSP'!$CQ$3:$CV$29,6,FALSE)*$AS199))</f>
        <v>182.61971800678168</v>
      </c>
      <c r="BU199" s="164">
        <f>IF($BI$8=2015,"",IF($BI$8=2018,"",VLOOKUP($L199,'[12]IMAGE CurPol SSP'!$CF$3:$CK$29,6,FALSE)*$AS199))</f>
        <v>190.51431335237038</v>
      </c>
      <c r="CN199" t="s">
        <v>427</v>
      </c>
      <c r="CO199" s="165" t="str">
        <f t="shared" si="114"/>
        <v/>
      </c>
      <c r="CP199" s="165" t="str">
        <f t="shared" si="114"/>
        <v/>
      </c>
      <c r="CQ199" s="165" t="str">
        <f t="shared" si="114"/>
        <v/>
      </c>
      <c r="CR199" s="165" t="str">
        <f t="shared" si="114"/>
        <v/>
      </c>
      <c r="CV199" s="125" t="s">
        <v>621</v>
      </c>
      <c r="CW199" s="125" t="s">
        <v>621</v>
      </c>
      <c r="CX199"/>
      <c r="CY199" s="167">
        <f t="shared" si="115"/>
        <v>10.671747821576986</v>
      </c>
      <c r="DB199" s="106"/>
      <c r="DC199" s="106"/>
      <c r="DD199" s="106"/>
      <c r="DE199" s="106"/>
      <c r="DF199" s="106"/>
      <c r="DG199" s="105" t="str">
        <f t="shared" si="116"/>
        <v>excl</v>
      </c>
      <c r="DH199" t="s">
        <v>427</v>
      </c>
      <c r="DI199" s="111">
        <f t="shared" si="148"/>
        <v>0</v>
      </c>
      <c r="DJ199" s="111">
        <f t="shared" si="148"/>
        <v>0</v>
      </c>
      <c r="DK199" s="111">
        <f t="shared" si="149"/>
        <v>0</v>
      </c>
      <c r="DL199" s="111">
        <f t="shared" si="150"/>
        <v>0</v>
      </c>
      <c r="DM199" s="111">
        <f t="shared" si="151"/>
        <v>0</v>
      </c>
      <c r="DN199" s="111">
        <f t="shared" si="152"/>
        <v>0</v>
      </c>
      <c r="DO199" s="111">
        <f t="shared" si="153"/>
        <v>0</v>
      </c>
      <c r="DP199" s="111">
        <f t="shared" si="154"/>
        <v>0</v>
      </c>
      <c r="DQ199" s="106"/>
      <c r="DR199" s="106"/>
      <c r="DS199" s="111"/>
      <c r="DT199" s="168"/>
      <c r="DW199" s="111">
        <f t="shared" si="117"/>
        <v>185.2178789304908</v>
      </c>
      <c r="DX199" s="111">
        <f t="shared" si="117"/>
        <v>185.2178789304908</v>
      </c>
      <c r="DY199" s="111">
        <f t="shared" si="117"/>
        <v>185.2178789304908</v>
      </c>
      <c r="DZ199" s="111">
        <f t="shared" si="117"/>
        <v>185.2178789304908</v>
      </c>
      <c r="EP199" t="s">
        <v>427</v>
      </c>
      <c r="EQ199">
        <v>-1</v>
      </c>
      <c r="ER199" s="111">
        <f t="shared" si="118"/>
        <v>116.30150999999999</v>
      </c>
      <c r="ES199" s="111">
        <f>IF($BI$8=2015,VLOOKUP($L199,'[12]IMAGE CDLINKS CurPol'!$P$3:$Y$29,10,FALSE)*$AM199,VLOOKUP($L199,'[12]IMAGE CDLINKS CurPol'!$Z$3:$AI$29,10,FALSE)*$AP199)</f>
        <v>253.57951640452572</v>
      </c>
      <c r="ET199" s="111">
        <f t="shared" si="124"/>
        <v>253.57951640452572</v>
      </c>
      <c r="EU199" s="111">
        <f t="shared" si="120"/>
        <v>136.28730181868943</v>
      </c>
      <c r="EV199" s="111">
        <f>IF($BI$8=2015,VLOOKUP($L199,'[12]IMAGE CDLINKS 2C'!$P$3:$Y$29,10,FALSE)*$AM199,VLOOKUP($L199,'[12]IMAGE CDLINKS 2C'!$Z$3:$AI$29,10,FALSE)*$AP199)</f>
        <v>136.28730181868943</v>
      </c>
      <c r="EX199" s="111"/>
      <c r="EY199" s="111">
        <f t="shared" si="121"/>
        <v>124.52204264680091</v>
      </c>
      <c r="EZ199" s="111">
        <f>IF($BI$8=2015,VLOOKUP($L199,'[12]IMAGE CDLINKS 1_5C'!$P$3:$Y$29,10,FALSE)*$AM199,VLOOKUP($L199,'[12]IMAGE CDLINKS 1_5C'!$Z$3:$AI$29,10,FALSE)*$AP199)</f>
        <v>124.52204264680091</v>
      </c>
      <c r="FA199" s="192">
        <v>2050</v>
      </c>
    </row>
    <row r="200" spans="1:157" x14ac:dyDescent="0.25">
      <c r="A200" t="str">
        <f>IF([12]NDCs!C202="","",[12]NDCs!C202)</f>
        <v>G</v>
      </c>
      <c r="B200" s="159" t="str">
        <f t="shared" si="112"/>
        <v>v</v>
      </c>
      <c r="C200">
        <v>0</v>
      </c>
      <c r="D200">
        <v>0</v>
      </c>
      <c r="E200">
        <v>0</v>
      </c>
      <c r="F200">
        <v>1</v>
      </c>
      <c r="G200" t="b">
        <f t="shared" si="113"/>
        <v>0</v>
      </c>
      <c r="H200" t="s">
        <v>2328</v>
      </c>
      <c r="I200" t="s">
        <v>429</v>
      </c>
      <c r="J200">
        <v>740</v>
      </c>
      <c r="K200">
        <v>191</v>
      </c>
      <c r="L200">
        <v>6</v>
      </c>
      <c r="M200" t="str">
        <f>IF([12]NDCs!AL202="Excluding","excl","incl")</f>
        <v>excl</v>
      </c>
      <c r="N200" s="160">
        <f>[12]GHG_hist!BA190+IF($M200="incl",[12]LULUCF_hist!CR190,0)</f>
        <v>2.9181118000000001</v>
      </c>
      <c r="O200" s="111">
        <f>[12]GHG_hist!BB190+IF($M200="incl",[12]LULUCF_hist!CS190,0)</f>
        <v>3.2571641000000002</v>
      </c>
      <c r="P200" s="111">
        <f>[12]GHG_hist!BC190+IF($M200="incl",[12]LULUCF_hist!CT190,0)</f>
        <v>3.3955704</v>
      </c>
      <c r="Q200" s="111">
        <f>[12]GHG_hist!BD190+IF($M200="incl",[12]LULUCF_hist!CU190,0)</f>
        <v>3.3256307000000001</v>
      </c>
      <c r="R200" s="111">
        <f>[12]GHG_hist!BE190+IF($M200="incl",[12]LULUCF_hist!CV190,0)</f>
        <v>3.3325522999999997</v>
      </c>
      <c r="S200" s="111">
        <f>[12]GHG_hist!BF190+IF($M200="incl",[12]LULUCF_hist!CW190,0)</f>
        <v>3.3575729000000001</v>
      </c>
      <c r="T200" s="111">
        <f>[12]GHG_hist!BG190+IF($M200="incl",[12]LULUCF_hist!CX190,0)</f>
        <v>3.4039915999999999</v>
      </c>
      <c r="U200" s="111">
        <f>[12]GHG_hist!BH190+IF($M200="incl",[12]LULUCF_hist!CY190,0)</f>
        <v>3.3415300999999999</v>
      </c>
      <c r="V200" s="111">
        <f>[12]GHG_hist!BI190+IF($M200="incl",[12]LULUCF_hist!CZ190,0)</f>
        <v>3.3382846000000002</v>
      </c>
      <c r="W200" s="111">
        <f>[12]GHG_hist!BJ190+IF($M200="incl",[12]LULUCF_hist!DA190,0)</f>
        <v>3.2810725999999999</v>
      </c>
      <c r="X200" s="111">
        <f>[12]GHG_hist!BK190+IF($M200="incl",[12]LULUCF_hist!DB190,0)</f>
        <v>3.2904704000000002</v>
      </c>
      <c r="Y200" s="111">
        <f>[12]GHG_hist!BL190+IF($M200="incl",[12]LULUCF_hist!DC190,0)</f>
        <v>3.4828368000000003</v>
      </c>
      <c r="Z200" s="111">
        <f>[12]GHG_hist!BM190+IF($M200="incl",[12]LULUCF_hist!DD190,0)</f>
        <v>2.5154486999999999</v>
      </c>
      <c r="AA200" s="111">
        <f>[12]GHG_hist!BN190+IF($M200="incl",[12]LULUCF_hist!DE190,0)</f>
        <v>2.5734158000000003</v>
      </c>
      <c r="AB200" s="111">
        <f>[12]GHG_hist!BO190+IF($M200="incl",[12]LULUCF_hist!DF190,0)</f>
        <v>2.6314891</v>
      </c>
      <c r="AC200" s="111">
        <f>[12]GHG_hist!BP190+IF($M200="incl",[12]LULUCF_hist!DG190,0)</f>
        <v>2.6070981999999998</v>
      </c>
      <c r="AD200" s="111">
        <f>[12]GHG_hist!BQ190+IF($M200="incl",[12]LULUCF_hist!DH190,0)</f>
        <v>2.8036183000000001</v>
      </c>
      <c r="AE200" s="111">
        <f>[12]GHG_hist!BR190+IF($M200="incl",[12]LULUCF_hist!DI190,0)</f>
        <v>2.7956221000000001</v>
      </c>
      <c r="AF200" s="111">
        <f>[12]GHG_hist!BS190+IF($M200="incl",[12]LULUCF_hist!DJ190,0)</f>
        <v>3.0669236</v>
      </c>
      <c r="AG200" s="111">
        <f>[12]GHG_hist!BT190+IF($M200="incl",[12]LULUCF_hist!DK190,0)</f>
        <v>3.1968519</v>
      </c>
      <c r="AH200" s="111">
        <f>[12]GHG_hist!BU190+IF($M200="incl",[12]LULUCF_hist!DL190,0)</f>
        <v>3.6114861999999999</v>
      </c>
      <c r="AI200" s="111">
        <f>[12]GHG_hist!BV190+IF($M200="incl",[12]LULUCF_hist!DM190,0)</f>
        <v>3.4184358000000001</v>
      </c>
      <c r="AJ200" s="111">
        <f>[12]GHG_hist!BW190+IF($M200="incl",[12]LULUCF_hist!DN190,0)</f>
        <v>3.8527756000000002</v>
      </c>
      <c r="AK200" s="111">
        <f>[12]GHG_hist!BX190+IF($M200="incl",[12]LULUCF_hist!DO190,0)</f>
        <v>3.9632844</v>
      </c>
      <c r="AL200" s="111">
        <f>[12]GHG_hist!BY190+IF($M200="incl",[12]LULUCF_hist!DP190,0)</f>
        <v>4.0845158000000001</v>
      </c>
      <c r="AM200" s="111">
        <f>[12]GHG_hist!BZ190+IF($M200="incl",[12]LULUCF_hist!DQ190,0)</f>
        <v>3.9487844000000001</v>
      </c>
      <c r="AN200" s="111">
        <f>[12]GHG_hist!CA190+IF($M200="incl",[12]LULUCF_hist!DR190,0)</f>
        <v>3.5774051</v>
      </c>
      <c r="AO200" s="111">
        <f>[12]GHG_hist!CB190+IF($M200="incl",[12]LULUCF_hist!DS190,0)</f>
        <v>3.7597961</v>
      </c>
      <c r="AP200" s="111">
        <f>[12]GHG_hist!CC190+IF($M200="incl",[12]LULUCF_hist!DT190,0)</f>
        <v>4.0989366</v>
      </c>
      <c r="AQ200" s="111">
        <f>[12]GHG_hist!CD190+IF($M200="incl",[12]LULUCF_hist!DU190,0)</f>
        <v>4.2079876999999994</v>
      </c>
      <c r="AR200" s="111">
        <f>[12]GHG_hist!CE190+IF($M200="incl",[12]LULUCF_hist!DV190,0)</f>
        <v>3.7416071000000004</v>
      </c>
      <c r="AS200" s="111">
        <f>[12]GHG_hist!CF190+IF($M200="incl",[12]LULUCF_hist!DW190,0)</f>
        <v>4.2932157000000002</v>
      </c>
      <c r="AT200" s="161">
        <f>VLOOKUP($L200,'[12]IMAGE SSP2'!$AF$3:$AK$29,4,FALSE)*$AM200</f>
        <v>4.4419918838921157</v>
      </c>
      <c r="AU200" s="162">
        <f>VLOOKUP($L200,'[12]IMAGE SSP2'!$AF$3:$AK$29,5,FALSE)*$AM200</f>
        <v>4.9028927447803223</v>
      </c>
      <c r="AV200" s="163">
        <f>VLOOKUP($L200,'[12]IMAGE SSP2'!$AF$3:$AK$29,6,FALSE)*$AM200</f>
        <v>5.3186006083712476</v>
      </c>
      <c r="AW200" s="111" t="str">
        <f t="shared" si="119"/>
        <v/>
      </c>
      <c r="AX200" s="164" t="str">
        <f>IF(A200="B",IF(M200="excl",[12]NatCom!CO190,[12]NatCom!AX190),"")</f>
        <v/>
      </c>
      <c r="AY200" s="111" t="str">
        <f>IF('[12]Pledge 2020'!E190="","",'[12]Pledge 2020'!E190)</f>
        <v/>
      </c>
      <c r="AZ200" s="164" t="str">
        <f>IF('[12]Pledge 2020'!F190="","",'[12]Pledge 2020'!F190)</f>
        <v/>
      </c>
      <c r="BA200" s="111" t="str">
        <f t="shared" si="144"/>
        <v/>
      </c>
      <c r="BB200" s="111"/>
      <c r="BC200" s="111" t="str">
        <f t="shared" si="145"/>
        <v/>
      </c>
      <c r="BD200" s="111"/>
      <c r="BE200" s="111" t="s">
        <v>2477</v>
      </c>
      <c r="BF200" s="111"/>
      <c r="BG200" s="111" t="s">
        <v>2477</v>
      </c>
      <c r="BH200" s="164"/>
      <c r="BI200" s="111" t="str">
        <f>IF([12]NDCs!V202="",IF([12]NDCs!X202="","",[12]NDCs!X202),[12]NDCs!V202)</f>
        <v/>
      </c>
      <c r="BJ200" s="111" t="str">
        <f>IF([12]NDCs!V202="",IF([12]NDCs!X202="","",[12]NDCs!X202),[12]NDCs!V202)</f>
        <v/>
      </c>
      <c r="BK200" s="111" t="str">
        <f>IF([12]NDCs!Z202="",IF([12]NDCs!AB202="",IF('input site'!BE200="","",'input site'!BE200),[12]NDCs!AB202),[12]NDCs!Z202)</f>
        <v/>
      </c>
      <c r="BL200" s="111" t="str">
        <f>IF([12]NDCs!AA202="",IF([12]NDCs!AC202="",IF('input site'!BF200="","",'input site'!BF200),[12]NDCs!AC202),[12]NDCs!AA202)</f>
        <v/>
      </c>
      <c r="BM200" s="111">
        <f>IF($BI$8=2015,VLOOKUP($L200,'[12]IMAGE CurPol SSP'!$AZ$3:$BD$29,4,FALSE)*$AM200,IF($BI$8=2018,VLOOKUP($L200,'[12]IMAGE CurPol SSP'!$BJ$3:$BN$29,4,FALSE)*$AP200,$AR200))</f>
        <v>3.7416071000000004</v>
      </c>
      <c r="BN200" s="111">
        <f t="shared" si="147"/>
        <v>3.7416071000000004</v>
      </c>
      <c r="BO200" s="111">
        <f t="shared" si="147"/>
        <v>3.7416071000000004</v>
      </c>
      <c r="BP200" s="111">
        <f>IF($BI$8=2015,VLOOKUP($L200,'[12]IMAGE CurPol SSP'!$AZ$3:$BD$29,5,FALSE)*$AM200,IF($BI$8=2018,VLOOKUP($L200,'[12]IMAGE CurPol SSP'!$BJ$3:$BN$29,5,FALSE)*$AP200,VLOOKUP($L200,'[12]IMAGE CurPol SSP'!$BU$3:$BZ$29,5,FALSE)*$AS200))</f>
        <v>4.4741866186367947</v>
      </c>
      <c r="BQ200" s="111">
        <f>IF($BI$8=2015,"",IF($BI$8=2018,"",VLOOKUP($L200,'[12]IMAGE CurPol SSP'!$CQ$3:$CV$29,5,FALSE)*$AS200))</f>
        <v>4.4017020310976216</v>
      </c>
      <c r="BR200" s="111">
        <f>IF($BI$8=2015,"",IF($BI$8=2018,"",VLOOKUP($L200,'[12]IMAGE CurPol SSP'!$CF$3:$CK$29,5,FALSE)*$AS200))</f>
        <v>4.5473455597992887</v>
      </c>
      <c r="BS200" s="111">
        <f>IF($BI$8=2015,VLOOKUP($L200,'[12]IMAGE CurPol SSP'!$AZ$3:$BE$29,6,FALSE)*$AM200,IF($BI$8=2018,VLOOKUP($L200,'[12]IMAGE CurPol SSP'!$BJ$3:$BO$29,6,FALSE)*$AP200,VLOOKUP($L200,'[12]IMAGE CurPol SSP'!$BU$3:$BZ$29,6,FALSE)*$AS200))</f>
        <v>4.771681583649241</v>
      </c>
      <c r="BT200" s="111">
        <f>IF($BI$8=2015,"",IF($BI$8=2018,"",VLOOKUP($L200,'[12]IMAGE CurPol SSP'!$CQ$3:$CV$29,6,FALSE)*$AS200))</f>
        <v>4.6877593637758057</v>
      </c>
      <c r="BU200" s="164">
        <f>IF($BI$8=2015,"",IF($BI$8=2018,"",VLOOKUP($L200,'[12]IMAGE CurPol SSP'!$CF$3:$CK$29,6,FALSE)*$AS200))</f>
        <v>4.7984992200483934</v>
      </c>
      <c r="CN200" t="s">
        <v>429</v>
      </c>
      <c r="CO200" s="165" t="str">
        <f t="shared" si="114"/>
        <v/>
      </c>
      <c r="CP200" s="165" t="str">
        <f t="shared" si="114"/>
        <v/>
      </c>
      <c r="CQ200" s="165" t="str">
        <f t="shared" si="114"/>
        <v/>
      </c>
      <c r="CR200" s="165" t="str">
        <f t="shared" si="114"/>
        <v/>
      </c>
      <c r="CV200" s="125" t="s">
        <v>621</v>
      </c>
      <c r="CW200" s="125" t="s">
        <v>621</v>
      </c>
      <c r="CX200"/>
      <c r="CY200" s="167">
        <f t="shared" si="115"/>
        <v>0.70038478389211534</v>
      </c>
      <c r="DB200" s="106"/>
      <c r="DC200" s="106"/>
      <c r="DD200" s="106"/>
      <c r="DE200" s="106"/>
      <c r="DF200" s="106"/>
      <c r="DG200" s="105" t="str">
        <f t="shared" si="116"/>
        <v>excl</v>
      </c>
      <c r="DH200" t="s">
        <v>429</v>
      </c>
      <c r="DI200" s="111">
        <f t="shared" si="148"/>
        <v>0</v>
      </c>
      <c r="DJ200" s="111">
        <f t="shared" si="148"/>
        <v>0</v>
      </c>
      <c r="DK200" s="111">
        <f t="shared" si="149"/>
        <v>0</v>
      </c>
      <c r="DL200" s="111">
        <f t="shared" si="150"/>
        <v>0</v>
      </c>
      <c r="DM200" s="111">
        <f t="shared" si="151"/>
        <v>0</v>
      </c>
      <c r="DN200" s="111">
        <f t="shared" si="152"/>
        <v>0</v>
      </c>
      <c r="DO200" s="111">
        <f t="shared" si="153"/>
        <v>0</v>
      </c>
      <c r="DP200" s="111">
        <f t="shared" si="154"/>
        <v>0</v>
      </c>
      <c r="DQ200" s="106"/>
      <c r="DR200" s="106"/>
      <c r="DS200" s="111"/>
      <c r="DT200" s="168"/>
      <c r="DW200" s="111">
        <f t="shared" si="117"/>
        <v>4.771681583649241</v>
      </c>
      <c r="DX200" s="111">
        <f t="shared" si="117"/>
        <v>4.771681583649241</v>
      </c>
      <c r="DY200" s="111">
        <f t="shared" si="117"/>
        <v>4.771681583649241</v>
      </c>
      <c r="DZ200" s="111">
        <f t="shared" si="117"/>
        <v>4.771681583649241</v>
      </c>
      <c r="EP200" t="s">
        <v>429</v>
      </c>
      <c r="EQ200">
        <v>5</v>
      </c>
      <c r="ER200" s="111">
        <f t="shared" si="118"/>
        <v>4.0989366</v>
      </c>
      <c r="ES200" s="111">
        <f>IF($BI$8=2015,VLOOKUP($L200,'[12]IMAGE CDLINKS CurPol'!$P$3:$Y$29,10,FALSE)*$AM200,VLOOKUP($L200,'[12]IMAGE CDLINKS CurPol'!$Z$3:$AI$29,10,FALSE)*$AP200)</f>
        <v>6.6909254043139388</v>
      </c>
      <c r="ET200" s="111">
        <f t="shared" si="124"/>
        <v>0</v>
      </c>
      <c r="EU200" s="111">
        <f t="shared" si="120"/>
        <v>0</v>
      </c>
      <c r="EV200" s="111">
        <f>IF($BI$8=2015,VLOOKUP($L200,'[12]IMAGE CDLINKS 2C'!$P$3:$Y$29,10,FALSE)*$AM200,VLOOKUP($L200,'[12]IMAGE CDLINKS 2C'!$Z$3:$AI$29,10,FALSE)*$AP200)</f>
        <v>2.6273825929291204</v>
      </c>
      <c r="EW200">
        <v>0</v>
      </c>
      <c r="EX200" s="111">
        <f>EW200-EV200</f>
        <v>-2.6273825929291204</v>
      </c>
      <c r="EY200" s="111">
        <f t="shared" si="121"/>
        <v>0</v>
      </c>
      <c r="EZ200" s="111">
        <f>IF($BI$8=2015,VLOOKUP($L200,'[12]IMAGE CDLINKS 1_5C'!$P$3:$Y$29,10,FALSE)*$AM200,VLOOKUP($L200,'[12]IMAGE CDLINKS 1_5C'!$Z$3:$AI$29,10,FALSE)*$AP200)</f>
        <v>1.5544285739063688</v>
      </c>
      <c r="FA200" s="192"/>
    </row>
    <row r="201" spans="1:157" x14ac:dyDescent="0.25">
      <c r="A201" t="str">
        <f>IF([12]NDCs!C203="","",[12]NDCs!C203)</f>
        <v>G</v>
      </c>
      <c r="B201" s="159" t="str">
        <f t="shared" si="112"/>
        <v>v</v>
      </c>
      <c r="C201">
        <v>0</v>
      </c>
      <c r="D201">
        <v>0</v>
      </c>
      <c r="E201">
        <v>0</v>
      </c>
      <c r="F201">
        <v>1</v>
      </c>
      <c r="G201" t="b">
        <f t="shared" si="113"/>
        <v>0</v>
      </c>
      <c r="H201" t="s">
        <v>2333</v>
      </c>
      <c r="I201" t="s">
        <v>431</v>
      </c>
      <c r="J201">
        <v>748</v>
      </c>
      <c r="K201">
        <v>192</v>
      </c>
      <c r="L201">
        <v>26</v>
      </c>
      <c r="M201" t="str">
        <f>IF([12]NDCs!AL203="Excluding","excl","incl")</f>
        <v>excl</v>
      </c>
      <c r="N201" s="160">
        <f>[12]GHG_hist!BA191+IF($M201="incl",[12]LULUCF_hist!CR191,0)</f>
        <v>2.6037988999999997</v>
      </c>
      <c r="O201" s="111">
        <f>[12]GHG_hist!BB191+IF($M201="incl",[12]LULUCF_hist!CS191,0)</f>
        <v>2.6260936000000004</v>
      </c>
      <c r="P201" s="111">
        <f>[12]GHG_hist!BC191+IF($M201="incl",[12]LULUCF_hist!CT191,0)</f>
        <v>2.6320686000000002</v>
      </c>
      <c r="Q201" s="111">
        <f>[12]GHG_hist!BD191+IF($M201="incl",[12]LULUCF_hist!CU191,0)</f>
        <v>2.3333692999999998</v>
      </c>
      <c r="R201" s="111">
        <f>[12]GHG_hist!BE191+IF($M201="incl",[12]LULUCF_hist!CV191,0)</f>
        <v>2.7599117999999998</v>
      </c>
      <c r="S201" s="111">
        <f>[12]GHG_hist!BF191+IF($M201="incl",[12]LULUCF_hist!CW191,0)</f>
        <v>2.7733675</v>
      </c>
      <c r="T201" s="111">
        <f>[12]GHG_hist!BG191+IF($M201="incl",[12]LULUCF_hist!CX191,0)</f>
        <v>2.5351981000000001</v>
      </c>
      <c r="U201" s="111">
        <f>[12]GHG_hist!BH191+IF($M201="incl",[12]LULUCF_hist!CY191,0)</f>
        <v>2.8418272000000004</v>
      </c>
      <c r="V201" s="111">
        <f>[12]GHG_hist!BI191+IF($M201="incl",[12]LULUCF_hist!CZ191,0)</f>
        <v>2.8206358000000002</v>
      </c>
      <c r="W201" s="111">
        <f>[12]GHG_hist!BJ191+IF($M201="incl",[12]LULUCF_hist!DA191,0)</f>
        <v>2.9432860999999999</v>
      </c>
      <c r="X201" s="111">
        <f>[12]GHG_hist!BK191+IF($M201="incl",[12]LULUCF_hist!DB191,0)</f>
        <v>2.8528993000000002</v>
      </c>
      <c r="Y201" s="111">
        <f>[12]GHG_hist!BL191+IF($M201="incl",[12]LULUCF_hist!DC191,0)</f>
        <v>2.6675672000000001</v>
      </c>
      <c r="Z201" s="111">
        <f>[12]GHG_hist!BM191+IF($M201="incl",[12]LULUCF_hist!DD191,0)</f>
        <v>2.7243944999999998</v>
      </c>
      <c r="AA201" s="111">
        <f>[12]GHG_hist!BN191+IF($M201="incl",[12]LULUCF_hist!DE191,0)</f>
        <v>2.6984414999999999</v>
      </c>
      <c r="AB201" s="111">
        <f>[12]GHG_hist!BO191+IF($M201="incl",[12]LULUCF_hist!DF191,0)</f>
        <v>2.7214468000000003</v>
      </c>
      <c r="AC201" s="111">
        <f>[12]GHG_hist!BP191+IF($M201="incl",[12]LULUCF_hist!DG191,0)</f>
        <v>2.7553991</v>
      </c>
      <c r="AD201" s="111">
        <f>[12]GHG_hist!BQ191+IF($M201="incl",[12]LULUCF_hist!DH191,0)</f>
        <v>2.6659842</v>
      </c>
      <c r="AE201" s="111">
        <f>[12]GHG_hist!BR191+IF($M201="incl",[12]LULUCF_hist!DI191,0)</f>
        <v>2.7988716</v>
      </c>
      <c r="AF201" s="111">
        <f>[12]GHG_hist!BS191+IF($M201="incl",[12]LULUCF_hist!DJ191,0)</f>
        <v>2.7289509999999999</v>
      </c>
      <c r="AG201" s="111">
        <f>[12]GHG_hist!BT191+IF($M201="incl",[12]LULUCF_hist!DK191,0)</f>
        <v>2.6676550000000003</v>
      </c>
      <c r="AH201" s="111">
        <f>[12]GHG_hist!BU191+IF($M201="incl",[12]LULUCF_hist!DL191,0)</f>
        <v>2.5534976</v>
      </c>
      <c r="AI201" s="111">
        <f>[12]GHG_hist!BV191+IF($M201="incl",[12]LULUCF_hist!DM191,0)</f>
        <v>2.5329805000000003</v>
      </c>
      <c r="AJ201" s="111">
        <f>[12]GHG_hist!BW191+IF($M201="incl",[12]LULUCF_hist!DN191,0)</f>
        <v>2.7148048</v>
      </c>
      <c r="AK201" s="111">
        <f>[12]GHG_hist!BX191+IF($M201="incl",[12]LULUCF_hist!DO191,0)</f>
        <v>3.0514256999999998</v>
      </c>
      <c r="AL201" s="111">
        <f>[12]GHG_hist!BY191+IF($M201="incl",[12]LULUCF_hist!DP191,0)</f>
        <v>2.4405743000000002</v>
      </c>
      <c r="AM201" s="111">
        <f>[12]GHG_hist!BZ191+IF($M201="incl",[12]LULUCF_hist!DQ191,0)</f>
        <v>2.4869560000000002</v>
      </c>
      <c r="AN201" s="111">
        <f>[12]GHG_hist!CA191+IF($M201="incl",[12]LULUCF_hist!DR191,0)</f>
        <v>2.7366573999999999</v>
      </c>
      <c r="AO201" s="111">
        <f>[12]GHG_hist!CB191+IF($M201="incl",[12]LULUCF_hist!DS191,0)</f>
        <v>2.5101212999999998</v>
      </c>
      <c r="AP201" s="111">
        <f>[12]GHG_hist!CC191+IF($M201="incl",[12]LULUCF_hist!DT191,0)</f>
        <v>2.5863820999999998</v>
      </c>
      <c r="AQ201" s="111">
        <f>[12]GHG_hist!CD191+IF($M201="incl",[12]LULUCF_hist!DU191,0)</f>
        <v>2.4893779</v>
      </c>
      <c r="AR201" s="111">
        <f>[12]GHG_hist!CE191+IF($M201="incl",[12]LULUCF_hist!DV191,0)</f>
        <v>2.2442901000000002</v>
      </c>
      <c r="AS201" s="111">
        <f>[12]GHG_hist!CF191+IF($M201="incl",[12]LULUCF_hist!DW191,0)</f>
        <v>2.3593416999999999</v>
      </c>
      <c r="AT201" s="161">
        <f>VLOOKUP($L201,'[12]IMAGE SSP2'!$AF$3:$AK$29,4,FALSE)*$AM201</f>
        <v>2.7621166488233992</v>
      </c>
      <c r="AU201" s="162">
        <f>VLOOKUP($L201,'[12]IMAGE SSP2'!$AF$3:$AK$29,5,FALSE)*$AM201</f>
        <v>2.9146905679018862</v>
      </c>
      <c r="AV201" s="163">
        <f>VLOOKUP($L201,'[12]IMAGE SSP2'!$AF$3:$AK$29,6,FALSE)*$AM201</f>
        <v>3.4117410975274134</v>
      </c>
      <c r="AW201" s="111" t="str">
        <f t="shared" si="119"/>
        <v/>
      </c>
      <c r="AX201" s="164" t="str">
        <f>IF(A201="B",IF(M201="excl",[12]NatCom!CO191,[12]NatCom!AX191),"")</f>
        <v/>
      </c>
      <c r="AY201" s="111" t="str">
        <f>IF('[12]Pledge 2020'!E191="","",'[12]Pledge 2020'!E191)</f>
        <v/>
      </c>
      <c r="AZ201" s="164" t="str">
        <f>IF('[12]Pledge 2020'!F191="","",'[12]Pledge 2020'!F191)</f>
        <v/>
      </c>
      <c r="BA201" s="111" t="str">
        <f t="shared" si="144"/>
        <v/>
      </c>
      <c r="BB201" s="111"/>
      <c r="BC201" s="111" t="str">
        <f t="shared" si="145"/>
        <v/>
      </c>
      <c r="BD201" s="111"/>
      <c r="BE201" s="111" t="s">
        <v>2477</v>
      </c>
      <c r="BF201" s="111"/>
      <c r="BG201" s="111" t="s">
        <v>2477</v>
      </c>
      <c r="BH201" s="164"/>
      <c r="BI201" s="111" t="str">
        <f>IF([12]NDCs!V203="",IF([12]NDCs!X203="","",[12]NDCs!X203),[12]NDCs!V203)</f>
        <v/>
      </c>
      <c r="BJ201" s="111" t="str">
        <f>IF([12]NDCs!V203="",IF([12]NDCs!X203="","",[12]NDCs!X203),[12]NDCs!V203)</f>
        <v/>
      </c>
      <c r="BK201" s="111" t="str">
        <f>IF([12]NDCs!Z203="",IF([12]NDCs!AB203="",IF('input site'!BE201="","",'input site'!BE201),[12]NDCs!AB203),[12]NDCs!Z203)</f>
        <v/>
      </c>
      <c r="BL201" s="111" t="str">
        <f>IF([12]NDCs!AA203="",IF([12]NDCs!AC203="",IF('input site'!BF201="","",'input site'!BF201),[12]NDCs!AC203),[12]NDCs!AA203)</f>
        <v/>
      </c>
      <c r="BM201" s="111">
        <f>IF($BI$8=2015,VLOOKUP($L201,'[12]IMAGE CurPol SSP'!$AZ$3:$BD$29,4,FALSE)*$AM201,IF($BI$8=2018,VLOOKUP($L201,'[12]IMAGE CurPol SSP'!$BJ$3:$BN$29,4,FALSE)*$AP201,$AR201))</f>
        <v>2.2442901000000002</v>
      </c>
      <c r="BN201" s="111">
        <f t="shared" si="147"/>
        <v>2.2442901000000002</v>
      </c>
      <c r="BO201" s="111">
        <f t="shared" si="147"/>
        <v>2.2442901000000002</v>
      </c>
      <c r="BP201" s="111">
        <f>IF($BI$8=2015,VLOOKUP($L201,'[12]IMAGE CurPol SSP'!$AZ$3:$BD$29,5,FALSE)*$AM201,IF($BI$8=2018,VLOOKUP($L201,'[12]IMAGE CurPol SSP'!$BJ$3:$BN$29,5,FALSE)*$AP201,VLOOKUP($L201,'[12]IMAGE CurPol SSP'!$BU$3:$BZ$29,5,FALSE)*$AS201))</f>
        <v>2.524099815804465</v>
      </c>
      <c r="BQ201" s="111">
        <f>IF($BI$8=2015,"",IF($BI$8=2018,"",VLOOKUP($L201,'[12]IMAGE CurPol SSP'!$CQ$3:$CV$29,5,FALSE)*$AS201))</f>
        <v>2.524099815804465</v>
      </c>
      <c r="BR201" s="111">
        <f>IF($BI$8=2015,"",IF($BI$8=2018,"",VLOOKUP($L201,'[12]IMAGE CurPol SSP'!$CF$3:$CK$29,5,FALSE)*$AS201))</f>
        <v>2.5985158290159496</v>
      </c>
      <c r="BS201" s="111">
        <f>IF($BI$8=2015,VLOOKUP($L201,'[12]IMAGE CurPol SSP'!$AZ$3:$BE$29,6,FALSE)*$AM201,IF($BI$8=2018,VLOOKUP($L201,'[12]IMAGE CurPol SSP'!$BJ$3:$BO$29,6,FALSE)*$AP201,VLOOKUP($L201,'[12]IMAGE CurPol SSP'!$BU$3:$BZ$29,6,FALSE)*$AS201))</f>
        <v>2.8714110920394131</v>
      </c>
      <c r="BT201" s="111">
        <f>IF($BI$8=2015,"",IF($BI$8=2018,"",VLOOKUP($L201,'[12]IMAGE CurPol SSP'!$CQ$3:$CV$29,6,FALSE)*$AS201))</f>
        <v>2.8714110920394131</v>
      </c>
      <c r="BU201" s="164">
        <f>IF($BI$8=2015,"",IF($BI$8=2018,"",VLOOKUP($L201,'[12]IMAGE CurPol SSP'!$CF$3:$CK$29,6,FALSE)*$AS201))</f>
        <v>2.9870199328270992</v>
      </c>
      <c r="CN201" t="s">
        <v>431</v>
      </c>
      <c r="CO201" s="165" t="str">
        <f t="shared" si="114"/>
        <v/>
      </c>
      <c r="CP201" s="165" t="str">
        <f t="shared" si="114"/>
        <v/>
      </c>
      <c r="CQ201" s="165" t="str">
        <f t="shared" si="114"/>
        <v/>
      </c>
      <c r="CR201" s="165" t="str">
        <f t="shared" si="114"/>
        <v/>
      </c>
      <c r="CV201" s="125" t="s">
        <v>621</v>
      </c>
      <c r="CW201" s="125" t="s">
        <v>621</v>
      </c>
      <c r="CX201"/>
      <c r="CY201" s="167">
        <f t="shared" si="115"/>
        <v>0.51782654882339907</v>
      </c>
      <c r="DB201" s="106"/>
      <c r="DC201" s="106"/>
      <c r="DD201" s="106"/>
      <c r="DE201" s="106"/>
      <c r="DF201" s="106"/>
      <c r="DG201" s="105" t="str">
        <f t="shared" si="116"/>
        <v>excl</v>
      </c>
      <c r="DH201" t="s">
        <v>431</v>
      </c>
      <c r="DI201" s="111">
        <f t="shared" si="148"/>
        <v>0</v>
      </c>
      <c r="DJ201" s="111">
        <f t="shared" si="148"/>
        <v>0</v>
      </c>
      <c r="DK201" s="111">
        <f t="shared" si="149"/>
        <v>0</v>
      </c>
      <c r="DL201" s="111">
        <f t="shared" si="150"/>
        <v>0</v>
      </c>
      <c r="DM201" s="111">
        <f t="shared" si="151"/>
        <v>0</v>
      </c>
      <c r="DN201" s="111">
        <f t="shared" si="152"/>
        <v>0</v>
      </c>
      <c r="DO201" s="111">
        <f t="shared" si="153"/>
        <v>0</v>
      </c>
      <c r="DP201" s="111">
        <f t="shared" si="154"/>
        <v>0</v>
      </c>
      <c r="DQ201" s="106"/>
      <c r="DR201" s="106"/>
      <c r="DS201" s="111"/>
      <c r="DT201" s="168"/>
      <c r="DW201" s="111">
        <f t="shared" si="117"/>
        <v>2.8714110920394131</v>
      </c>
      <c r="DX201" s="111">
        <f t="shared" si="117"/>
        <v>2.8714110920394131</v>
      </c>
      <c r="DY201" s="111">
        <f t="shared" si="117"/>
        <v>2.8714110920394131</v>
      </c>
      <c r="DZ201" s="111">
        <f t="shared" si="117"/>
        <v>2.8714110920394131</v>
      </c>
      <c r="EP201" t="s">
        <v>431</v>
      </c>
      <c r="EQ201">
        <v>0</v>
      </c>
      <c r="ER201" s="111">
        <f t="shared" si="118"/>
        <v>2.5863820999999998</v>
      </c>
      <c r="ES201" s="111">
        <f>IF($BI$8=2015,VLOOKUP($L201,'[12]IMAGE CDLINKS CurPol'!$P$3:$Y$29,10,FALSE)*$AM201,VLOOKUP($L201,'[12]IMAGE CDLINKS CurPol'!$Z$3:$AI$29,10,FALSE)*$AP201)</f>
        <v>5.2453552480433361</v>
      </c>
      <c r="ET201" s="111">
        <f t="shared" si="124"/>
        <v>5.2453552480433361</v>
      </c>
      <c r="EU201" s="111">
        <f t="shared" si="120"/>
        <v>1.8388492515724348</v>
      </c>
      <c r="EV201" s="111">
        <f>IF($BI$8=2015,VLOOKUP($L201,'[12]IMAGE CDLINKS 2C'!$P$3:$Y$29,10,FALSE)*$AM201,VLOOKUP($L201,'[12]IMAGE CDLINKS 2C'!$Z$3:$AI$29,10,FALSE)*$AP201)</f>
        <v>1.8388492515724348</v>
      </c>
      <c r="EY201" s="111">
        <f t="shared" si="121"/>
        <v>1.7147078424772844</v>
      </c>
      <c r="EZ201" s="111">
        <f>IF($BI$8=2015,VLOOKUP($L201,'[12]IMAGE CDLINKS 1_5C'!$P$3:$Y$29,10,FALSE)*$AM201,VLOOKUP($L201,'[12]IMAGE CDLINKS 1_5C'!$Z$3:$AI$29,10,FALSE)*$AP201)</f>
        <v>1.7147078424772844</v>
      </c>
      <c r="FA201" s="192"/>
    </row>
    <row r="202" spans="1:157" x14ac:dyDescent="0.25">
      <c r="A202" t="str">
        <f>IF([12]NDCs!C204="","",[12]NDCs!C204)</f>
        <v>A</v>
      </c>
      <c r="B202" s="159" t="str">
        <f t="shared" si="112"/>
        <v>v</v>
      </c>
      <c r="C202">
        <v>0</v>
      </c>
      <c r="D202">
        <v>1</v>
      </c>
      <c r="E202">
        <v>0</v>
      </c>
      <c r="F202">
        <v>1</v>
      </c>
      <c r="G202" t="b">
        <f t="shared" si="113"/>
        <v>1</v>
      </c>
      <c r="H202" t="s">
        <v>2335</v>
      </c>
      <c r="I202" t="s">
        <v>433</v>
      </c>
      <c r="J202">
        <v>752</v>
      </c>
      <c r="K202">
        <v>193</v>
      </c>
      <c r="L202">
        <v>11</v>
      </c>
      <c r="M202" t="str">
        <f>IF([12]NDCs!AL204="Excluding","excl","incl")</f>
        <v>incl</v>
      </c>
      <c r="N202" s="160">
        <f>[12]GHG_hist!BA192+IF($M202="incl",[12]LULUCF_hist!CR192,0)</f>
        <v>25.500192228692647</v>
      </c>
      <c r="O202" s="111">
        <f>[12]GHG_hist!BB192+IF($M202="incl",[12]LULUCF_hist!CS192,0)</f>
        <v>25.864611526824298</v>
      </c>
      <c r="P202" s="111">
        <f>[12]GHG_hist!BC192+IF($M202="incl",[12]LULUCF_hist!CT192,0)</f>
        <v>26.481742876579631</v>
      </c>
      <c r="Q202" s="111">
        <f>[12]GHG_hist!BD192+IF($M202="incl",[12]LULUCF_hist!CU192,0)</f>
        <v>30.721625841158982</v>
      </c>
      <c r="R202" s="111">
        <f>[12]GHG_hist!BE192+IF($M202="incl",[12]LULUCF_hist!CV192,0)</f>
        <v>31.714522377075639</v>
      </c>
      <c r="S202" s="111">
        <f>[12]GHG_hist!BF192+IF($M202="incl",[12]LULUCF_hist!CW192,0)</f>
        <v>31.068924269609973</v>
      </c>
      <c r="T202" s="111">
        <f>[12]GHG_hist!BG192+IF($M202="incl",[12]LULUCF_hist!CX192,0)</f>
        <v>32.422244863859639</v>
      </c>
      <c r="U202" s="111">
        <f>[12]GHG_hist!BH192+IF($M202="incl",[12]LULUCF_hist!CY192,0)</f>
        <v>26.710310569413302</v>
      </c>
      <c r="V202" s="111">
        <f>[12]GHG_hist!BI192+IF($M202="incl",[12]LULUCF_hist!CZ192,0)</f>
        <v>26.535427959323968</v>
      </c>
      <c r="W202" s="111">
        <f>[12]GHG_hist!BJ192+IF($M202="incl",[12]LULUCF_hist!DA192,0)</f>
        <v>22.992763929236311</v>
      </c>
      <c r="X202" s="111">
        <f>[12]GHG_hist!BK192+IF($M202="incl",[12]LULUCF_hist!DB192,0)</f>
        <v>20.495756101362311</v>
      </c>
      <c r="Y202" s="111">
        <f>[12]GHG_hist!BL192+IF($M202="incl",[12]LULUCF_hist!DC192,0)</f>
        <v>20.349249719044323</v>
      </c>
      <c r="Z202" s="111">
        <f>[12]GHG_hist!BM192+IF($M202="incl",[12]LULUCF_hist!DD192,0)</f>
        <v>21.981364356058975</v>
      </c>
      <c r="AA202" s="111">
        <f>[12]GHG_hist!BN192+IF($M202="incl",[12]LULUCF_hist!DE192,0)</f>
        <v>25.113339169056985</v>
      </c>
      <c r="AB202" s="111">
        <f>[12]GHG_hist!BO192+IF($M202="incl",[12]LULUCF_hist!DF192,0)</f>
        <v>26.844568986177649</v>
      </c>
      <c r="AC202" s="111">
        <f>[12]GHG_hist!BP192+IF($M202="incl",[12]LULUCF_hist!DG192,0)</f>
        <v>23.478187584240985</v>
      </c>
      <c r="AD202" s="111">
        <f>[12]GHG_hist!BQ192+IF($M202="incl",[12]LULUCF_hist!DH192,0)</f>
        <v>16.096043933442303</v>
      </c>
      <c r="AE202" s="111">
        <f>[12]GHG_hist!BR192+IF($M202="incl",[12]LULUCF_hist!DI192,0)</f>
        <v>17.039765576190312</v>
      </c>
      <c r="AF202" s="111">
        <f>[12]GHG_hist!BS192+IF($M202="incl",[12]LULUCF_hist!DJ192,0)</f>
        <v>14.912984881976982</v>
      </c>
      <c r="AG202" s="111">
        <f>[12]GHG_hist!BT192+IF($M202="incl",[12]LULUCF_hist!DK192,0)</f>
        <v>10.758343932225984</v>
      </c>
      <c r="AH202" s="111">
        <f>[12]GHG_hist!BU192+IF($M202="incl",[12]LULUCF_hist!DL192,0)</f>
        <v>14.442443908434299</v>
      </c>
      <c r="AI202" s="111">
        <f>[12]GHG_hist!BV192+IF($M202="incl",[12]LULUCF_hist!DM192,0)</f>
        <v>9.1503444522283033</v>
      </c>
      <c r="AJ202" s="111">
        <f>[12]GHG_hist!BW192+IF($M202="incl",[12]LULUCF_hist!DN192,0)</f>
        <v>6.1421172610673054</v>
      </c>
      <c r="AK202" s="111">
        <f>[12]GHG_hist!BX192+IF($M202="incl",[12]LULUCF_hist!DO192,0)</f>
        <v>6.3026358891452929</v>
      </c>
      <c r="AL202" s="111">
        <f>[12]GHG_hist!BY192+IF($M202="incl",[12]LULUCF_hist!DP192,0)</f>
        <v>6.113695319086311</v>
      </c>
      <c r="AM202" s="111">
        <f>[12]GHG_hist!BZ192+IF($M202="incl",[12]LULUCF_hist!DQ192,0)</f>
        <v>6.6789542293989825</v>
      </c>
      <c r="AN202" s="111">
        <f>[12]GHG_hist!CA192+IF($M202="incl",[12]LULUCF_hist!DR192,0)</f>
        <v>7.9702085788373154</v>
      </c>
      <c r="AO202" s="111">
        <f>[12]GHG_hist!CB192+IF($M202="incl",[12]LULUCF_hist!DS192,0)</f>
        <v>13.32360889092665</v>
      </c>
      <c r="AP202" s="111">
        <f>[12]GHG_hist!CC192+IF($M202="incl",[12]LULUCF_hist!DT192,0)</f>
        <v>15.826686790288313</v>
      </c>
      <c r="AQ202" s="111">
        <f>[12]GHG_hist!CD192+IF($M202="incl",[12]LULUCF_hist!DU192,0)</f>
        <v>12.161276091958982</v>
      </c>
      <c r="AR202" s="111">
        <f>[12]GHG_hist!CE192+IF($M202="incl",[12]LULUCF_hist!DV192,0)</f>
        <v>4.8062839620989948</v>
      </c>
      <c r="AS202" s="111">
        <f>[12]GHG_hist!CF192+IF($M202="incl",[12]LULUCF_hist!DW192,0)</f>
        <v>6.388138954415993</v>
      </c>
      <c r="AT202" s="161">
        <f>VLOOKUP($L202,'[12]IMAGE SSP2'!$AF$3:$AK$29,4,FALSE)*$AM202</f>
        <v>6.4945980610651608</v>
      </c>
      <c r="AU202" s="162">
        <f>VLOOKUP($L202,'[12]IMAGE SSP2'!$AF$3:$AK$29,5,FALSE)*$AM202</f>
        <v>6.2796181775000717</v>
      </c>
      <c r="AV202" s="163">
        <f>VLOOKUP($L202,'[12]IMAGE SSP2'!$AF$3:$AK$29,6,FALSE)*$AM202</f>
        <v>6.2446775514822761</v>
      </c>
      <c r="AW202" s="111" t="str">
        <f t="shared" si="119"/>
        <v/>
      </c>
      <c r="AX202" s="164" t="str">
        <f>IF(A202="B",IF(M202="excl",[12]NatCom!CO192,[12]NatCom!AX192),"")</f>
        <v/>
      </c>
      <c r="AY202" s="111" t="str">
        <f>IF('[12]Pledge 2020'!E192="","",'[12]Pledge 2020'!E192)</f>
        <v/>
      </c>
      <c r="AZ202" s="164" t="str">
        <f>IF('[12]Pledge 2020'!F192="","",'[12]Pledge 2020'!F192)</f>
        <v/>
      </c>
      <c r="BA202" s="111" t="str">
        <f t="shared" si="144"/>
        <v/>
      </c>
      <c r="BB202" s="111"/>
      <c r="BC202" s="111" t="str">
        <f t="shared" si="145"/>
        <v/>
      </c>
      <c r="BD202" s="111"/>
      <c r="BE202" s="111" t="s">
        <v>2477</v>
      </c>
      <c r="BF202" s="111"/>
      <c r="BG202" s="111" t="s">
        <v>2477</v>
      </c>
      <c r="BH202" s="164"/>
      <c r="BI202" s="111" t="str">
        <f>IF([12]NDCs!V204="",IF([12]NDCs!X204="","",[12]NDCs!X204),[12]NDCs!V204)</f>
        <v/>
      </c>
      <c r="BJ202" s="111" t="str">
        <f>IF([12]NDCs!V204="",IF([12]NDCs!X204="","",[12]NDCs!X204),[12]NDCs!V204)</f>
        <v/>
      </c>
      <c r="BK202" s="111" t="str">
        <f>IF([12]NDCs!Z204="",IF([12]NDCs!AB204="",IF('input site'!BE202="","",'input site'!BE202),[12]NDCs!AB204),[12]NDCs!Z204)</f>
        <v/>
      </c>
      <c r="BL202" s="111" t="str">
        <f>IF([12]NDCs!AA204="",IF([12]NDCs!AC204="",IF('input site'!BF202="","",'input site'!BF202),[12]NDCs!AC204),[12]NDCs!AA204)</f>
        <v/>
      </c>
      <c r="BM202" s="111">
        <f>IF($BI$8=2015,VLOOKUP($L202,'[12]IMAGE CurPol SSP'!$AZ$3:$BD$29,4,FALSE)*$AM202,IF($BI$8=2018,VLOOKUP($L202,'[12]IMAGE CurPol SSP'!$BJ$3:$BN$29,4,FALSE)*$AP202,$AR202))</f>
        <v>4.8062839620989948</v>
      </c>
      <c r="BN202" s="111">
        <f t="shared" si="147"/>
        <v>4.8062839620989948</v>
      </c>
      <c r="BO202" s="111">
        <f t="shared" si="147"/>
        <v>4.8062839620989948</v>
      </c>
      <c r="BP202" s="111">
        <f>IF($BI$8=2015,VLOOKUP($L202,'[12]IMAGE CurPol SSP'!$AZ$3:$BD$29,5,FALSE)*$AM202,IF($BI$8=2018,VLOOKUP($L202,'[12]IMAGE CurPol SSP'!$BJ$3:$BN$29,5,FALSE)*$AP202,VLOOKUP($L202,'[12]IMAGE CurPol SSP'!$BU$3:$BZ$29,5,FALSE)*$AS202))</f>
        <v>5.1816727925295982</v>
      </c>
      <c r="BQ202" s="111">
        <f>IF($BI$8=2015,"",IF($BI$8=2018,"",VLOOKUP($L202,'[12]IMAGE CurPol SSP'!$CQ$3:$CV$29,5,FALSE)*$AS202))</f>
        <v>5.0359723488403461</v>
      </c>
      <c r="BR202" s="111">
        <f>IF($BI$8=2015,"",IF($BI$8=2018,"",VLOOKUP($L202,'[12]IMAGE CurPol SSP'!$CF$3:$CK$29,5,FALSE)*$AS202))</f>
        <v>5.2701611428372539</v>
      </c>
      <c r="BS202" s="111">
        <f>IF($BI$8=2015,VLOOKUP($L202,'[12]IMAGE CurPol SSP'!$AZ$3:$BE$29,6,FALSE)*$AM202,IF($BI$8=2018,VLOOKUP($L202,'[12]IMAGE CurPol SSP'!$BJ$3:$BO$29,6,FALSE)*$AP202,VLOOKUP($L202,'[12]IMAGE CurPol SSP'!$BU$3:$BZ$29,6,FALSE)*$AS202))</f>
        <v>3.5642589866461374</v>
      </c>
      <c r="BT202" s="111">
        <f>IF($BI$8=2015,"",IF($BI$8=2018,"",VLOOKUP($L202,'[12]IMAGE CurPol SSP'!$CQ$3:$CV$29,6,FALSE)*$AS202))</f>
        <v>3.3331448604039688</v>
      </c>
      <c r="BU202" s="164">
        <f>IF($BI$8=2015,"",IF($BI$8=2018,"",VLOOKUP($L202,'[12]IMAGE CurPol SSP'!$CF$3:$CK$29,6,FALSE)*$AS202))</f>
        <v>3.7458521941379828</v>
      </c>
      <c r="CN202" t="s">
        <v>433</v>
      </c>
      <c r="CO202" s="165" t="str">
        <f t="shared" si="114"/>
        <v/>
      </c>
      <c r="CP202" s="165" t="str">
        <f t="shared" si="114"/>
        <v/>
      </c>
      <c r="CQ202" s="165" t="str">
        <f t="shared" si="114"/>
        <v/>
      </c>
      <c r="CR202" s="165" t="str">
        <f t="shared" si="114"/>
        <v/>
      </c>
      <c r="CV202" s="125" t="s">
        <v>621</v>
      </c>
      <c r="CW202" s="125" t="s">
        <v>621</v>
      </c>
      <c r="CX202"/>
      <c r="CY202" s="167">
        <f t="shared" si="115"/>
        <v>1.688314098966166</v>
      </c>
      <c r="DB202" s="106"/>
      <c r="DC202" s="106"/>
      <c r="DD202" s="106"/>
      <c r="DE202" s="106"/>
      <c r="DF202" s="106"/>
      <c r="DG202" s="105" t="str">
        <f t="shared" si="116"/>
        <v>incl</v>
      </c>
      <c r="DH202" t="s">
        <v>433</v>
      </c>
      <c r="DI202" s="111">
        <f t="shared" si="148"/>
        <v>0</v>
      </c>
      <c r="DJ202" s="111">
        <f t="shared" si="148"/>
        <v>0</v>
      </c>
      <c r="DK202" s="111">
        <f t="shared" si="149"/>
        <v>0</v>
      </c>
      <c r="DL202" s="111">
        <f t="shared" si="150"/>
        <v>0</v>
      </c>
      <c r="DM202" s="111">
        <f t="shared" si="151"/>
        <v>0</v>
      </c>
      <c r="DN202" s="111">
        <f t="shared" si="152"/>
        <v>0</v>
      </c>
      <c r="DO202" s="111">
        <f t="shared" si="153"/>
        <v>0</v>
      </c>
      <c r="DP202" s="111">
        <f t="shared" si="154"/>
        <v>0</v>
      </c>
      <c r="DQ202" s="106"/>
      <c r="DR202" s="106"/>
      <c r="DS202" s="111"/>
      <c r="DT202" s="168"/>
      <c r="DW202" s="111">
        <f t="shared" si="117"/>
        <v>3.5642589866461374</v>
      </c>
      <c r="DX202" s="111">
        <f t="shared" si="117"/>
        <v>3.5642589866461374</v>
      </c>
      <c r="DY202" s="111">
        <f t="shared" si="117"/>
        <v>3.5642589866461374</v>
      </c>
      <c r="DZ202" s="111">
        <f t="shared" si="117"/>
        <v>3.5642589866461374</v>
      </c>
      <c r="EP202" t="s">
        <v>433</v>
      </c>
      <c r="ER202" s="111">
        <f t="shared" si="118"/>
        <v>15.826686790288313</v>
      </c>
      <c r="ES202" s="111">
        <f>IF($BI$8=2015,VLOOKUP($L202,'[12]IMAGE CDLINKS CurPol'!$P$3:$Y$29,10,FALSE)*$AM202,VLOOKUP($L202,'[12]IMAGE CDLINKS CurPol'!$Z$3:$AI$29,10,FALSE)*$AP202)</f>
        <v>15.165816221213534</v>
      </c>
      <c r="ET202" s="111">
        <f t="shared" si="124"/>
        <v>15.165816221213534</v>
      </c>
      <c r="EU202" s="111">
        <f t="shared" si="120"/>
        <v>3.2312180223734406</v>
      </c>
      <c r="EV202" s="111">
        <f>IF($BI$8=2015,VLOOKUP($L202,'[12]IMAGE CDLINKS 2C'!$P$3:$Y$29,10,FALSE)*$AM202,VLOOKUP($L202,'[12]IMAGE CDLINKS 2C'!$Z$3:$AI$29,10,FALSE)*$AP202)</f>
        <v>3.2312180223734406</v>
      </c>
      <c r="EY202" s="111">
        <f t="shared" si="121"/>
        <v>1.7872639254693243</v>
      </c>
      <c r="EZ202" s="111">
        <f>IF($BI$8=2015,VLOOKUP($L202,'[12]IMAGE CDLINKS 1_5C'!$P$3:$Y$29,10,FALSE)*$AM202,VLOOKUP($L202,'[12]IMAGE CDLINKS 1_5C'!$Z$3:$AI$29,10,FALSE)*$AP202)</f>
        <v>1.7872639254693243</v>
      </c>
      <c r="FA202" s="192" t="s">
        <v>2350</v>
      </c>
    </row>
    <row r="203" spans="1:157" x14ac:dyDescent="0.25">
      <c r="A203" t="str">
        <f>IF([12]NDCs!C205="","",[12]NDCs!C205)</f>
        <v>A</v>
      </c>
      <c r="B203" s="159" t="str">
        <f t="shared" si="112"/>
        <v>v</v>
      </c>
      <c r="C203">
        <v>0</v>
      </c>
      <c r="D203">
        <v>0</v>
      </c>
      <c r="E203">
        <v>0</v>
      </c>
      <c r="F203">
        <v>1</v>
      </c>
      <c r="G203" t="b">
        <f t="shared" si="113"/>
        <v>1</v>
      </c>
      <c r="H203" t="s">
        <v>2335</v>
      </c>
      <c r="I203" t="s">
        <v>435</v>
      </c>
      <c r="J203">
        <v>756</v>
      </c>
      <c r="K203">
        <v>194</v>
      </c>
      <c r="L203">
        <v>11</v>
      </c>
      <c r="M203" t="str">
        <f>IF([12]NDCs!AL205="Excluding","excl","incl")</f>
        <v>excl</v>
      </c>
      <c r="N203" s="160">
        <f>[12]GHG_hist!BA193+IF($M203="incl",[12]LULUCF_hist!CR193,0)</f>
        <v>54.743512000000003</v>
      </c>
      <c r="O203" s="111">
        <f>[12]GHG_hist!BB193+IF($M203="incl",[12]LULUCF_hist!CS193,0)</f>
        <v>56.633010000000006</v>
      </c>
      <c r="P203" s="111">
        <f>[12]GHG_hist!BC193+IF($M203="incl",[12]LULUCF_hist!CT193,0)</f>
        <v>56.382894</v>
      </c>
      <c r="Q203" s="111">
        <f>[12]GHG_hist!BD193+IF($M203="incl",[12]LULUCF_hist!CU193,0)</f>
        <v>53.803353999999999</v>
      </c>
      <c r="R203" s="111">
        <f>[12]GHG_hist!BE193+IF($M203="incl",[12]LULUCF_hist!CV193,0)</f>
        <v>52.755603000000001</v>
      </c>
      <c r="S203" s="111">
        <f>[12]GHG_hist!BF193+IF($M203="incl",[12]LULUCF_hist!CW193,0)</f>
        <v>53.656565999999998</v>
      </c>
      <c r="T203" s="111">
        <f>[12]GHG_hist!BG193+IF($M203="incl",[12]LULUCF_hist!CX193,0)</f>
        <v>54.310645000000001</v>
      </c>
      <c r="U203" s="111">
        <f>[12]GHG_hist!BH193+IF($M203="incl",[12]LULUCF_hist!CY193,0)</f>
        <v>53.104529000000007</v>
      </c>
      <c r="V203" s="111">
        <f>[12]GHG_hist!BI193+IF($M203="incl",[12]LULUCF_hist!CZ193,0)</f>
        <v>54.635983000000003</v>
      </c>
      <c r="W203" s="111">
        <f>[12]GHG_hist!BJ193+IF($M203="incl",[12]LULUCF_hist!DA193,0)</f>
        <v>54.451084000000002</v>
      </c>
      <c r="X203" s="111">
        <f>[12]GHG_hist!BK193+IF($M203="incl",[12]LULUCF_hist!DB193,0)</f>
        <v>53.715403000000002</v>
      </c>
      <c r="Y203" s="111">
        <f>[12]GHG_hist!BL193+IF($M203="incl",[12]LULUCF_hist!DC193,0)</f>
        <v>55.233455999999997</v>
      </c>
      <c r="Z203" s="111">
        <f>[12]GHG_hist!BM193+IF($M203="incl",[12]LULUCF_hist!DD193,0)</f>
        <v>53.686759000000002</v>
      </c>
      <c r="AA203" s="111">
        <f>[12]GHG_hist!BN193+IF($M203="incl",[12]LULUCF_hist!DE193,0)</f>
        <v>54.741872999999998</v>
      </c>
      <c r="AB203" s="111">
        <f>[12]GHG_hist!BO193+IF($M203="incl",[12]LULUCF_hist!DF193,0)</f>
        <v>55.333373000000002</v>
      </c>
      <c r="AC203" s="111">
        <f>[12]GHG_hist!BP193+IF($M203="incl",[12]LULUCF_hist!DG193,0)</f>
        <v>55.956451000000001</v>
      </c>
      <c r="AD203" s="111">
        <f>[12]GHG_hist!BQ193+IF($M203="incl",[12]LULUCF_hist!DH193,0)</f>
        <v>55.623548000000007</v>
      </c>
      <c r="AE203" s="111">
        <f>[12]GHG_hist!BR193+IF($M203="incl",[12]LULUCF_hist!DI193,0)</f>
        <v>53.688112000000004</v>
      </c>
      <c r="AF203" s="111">
        <f>[12]GHG_hist!BS193+IF($M203="incl",[12]LULUCF_hist!DJ193,0)</f>
        <v>55.058135</v>
      </c>
      <c r="AG203" s="111">
        <f>[12]GHG_hist!BT193+IF($M203="incl",[12]LULUCF_hist!DK193,0)</f>
        <v>53.574055999999999</v>
      </c>
      <c r="AH203" s="111">
        <f>[12]GHG_hist!BU193+IF($M203="incl",[12]LULUCF_hist!DL193,0)</f>
        <v>55.172688999999998</v>
      </c>
      <c r="AI203" s="111">
        <f>[12]GHG_hist!BV193+IF($M203="incl",[12]LULUCF_hist!DM193,0)</f>
        <v>51.055576000000002</v>
      </c>
      <c r="AJ203" s="111">
        <f>[12]GHG_hist!BW193+IF($M203="incl",[12]LULUCF_hist!DN193,0)</f>
        <v>52.389160000000004</v>
      </c>
      <c r="AK203" s="111">
        <f>[12]GHG_hist!BX193+IF($M203="incl",[12]LULUCF_hist!DO193,0)</f>
        <v>53.239114999999998</v>
      </c>
      <c r="AL203" s="111">
        <f>[12]GHG_hist!BY193+IF($M203="incl",[12]LULUCF_hist!DP193,0)</f>
        <v>49.305726999999997</v>
      </c>
      <c r="AM203" s="111">
        <f>[12]GHG_hist!BZ193+IF($M203="incl",[12]LULUCF_hist!DQ193,0)</f>
        <v>48.782443000000001</v>
      </c>
      <c r="AN203" s="111">
        <f>[12]GHG_hist!CA193+IF($M203="incl",[12]LULUCF_hist!DR193,0)</f>
        <v>49.091763</v>
      </c>
      <c r="AO203" s="111">
        <f>[12]GHG_hist!CB193+IF($M203="incl",[12]LULUCF_hist!DS193,0)</f>
        <v>48.150347000000004</v>
      </c>
      <c r="AP203" s="111">
        <f>[12]GHG_hist!CC193+IF($M203="incl",[12]LULUCF_hist!DT193,0)</f>
        <v>46.636833000000003</v>
      </c>
      <c r="AQ203" s="111">
        <f>[12]GHG_hist!CD193+IF($M203="incl",[12]LULUCF_hist!DU193,0)</f>
        <v>46.374053999999994</v>
      </c>
      <c r="AR203" s="111">
        <f>[12]GHG_hist!CE193+IF($M203="incl",[12]LULUCF_hist!DV193,0)</f>
        <v>43.685924</v>
      </c>
      <c r="AS203" s="111">
        <f>[12]GHG_hist!CF193+IF($M203="incl",[12]LULUCF_hist!DW193,0)</f>
        <v>45.013359999999999</v>
      </c>
      <c r="AT203" s="161">
        <f>VLOOKUP($L203,'[12]IMAGE SSP2'!$AF$3:$AK$29,4,FALSE)*$AM203</f>
        <v>47.435923176004692</v>
      </c>
      <c r="AU203" s="162">
        <f>VLOOKUP($L203,'[12]IMAGE SSP2'!$AF$3:$AK$29,5,FALSE)*$AM203</f>
        <v>45.865730664428767</v>
      </c>
      <c r="AV203" s="163">
        <f>VLOOKUP($L203,'[12]IMAGE SSP2'!$AF$3:$AK$29,6,FALSE)*$AM203</f>
        <v>45.610527673278639</v>
      </c>
      <c r="AW203" s="111" t="str">
        <f t="shared" si="119"/>
        <v/>
      </c>
      <c r="AX203" s="164" t="str">
        <f>IF(A203="B",IF(M203="excl",[12]NatCom!CO193,[12]NatCom!AX193),"")</f>
        <v/>
      </c>
      <c r="AY203" s="111">
        <f>IF('[12]Pledge 2020'!E193="","",'[12]Pledge 2020'!E193)</f>
        <v>43.947102920890899</v>
      </c>
      <c r="AZ203" s="164">
        <f>IF('[12]Pledge 2020'!F193="","",'[12]Pledge 2020'!F193)</f>
        <v>38.453715055779526</v>
      </c>
      <c r="BA203" s="111">
        <f t="shared" si="144"/>
        <v>33.780672249999995</v>
      </c>
      <c r="BB203" s="111">
        <f>IF(BF203="","",(BF203-AH203)*0.75+AH203)</f>
        <v>33.780672249999995</v>
      </c>
      <c r="BC203" s="111">
        <f t="shared" si="145"/>
        <v>33.780672249999995</v>
      </c>
      <c r="BD203" s="111">
        <f>IF(BH203="","",(BH203-AH203)*0.75+AH203)</f>
        <v>33.780672249999995</v>
      </c>
      <c r="BE203" s="169">
        <v>26.65</v>
      </c>
      <c r="BF203" s="169">
        <v>26.65</v>
      </c>
      <c r="BG203" s="169">
        <v>26.65</v>
      </c>
      <c r="BH203" s="170">
        <v>26.65</v>
      </c>
      <c r="BI203" s="111">
        <f>IF([12]NDCs!V205="",IF([12]NDCs!X205="","",[12]NDCs!X205),[12]NDCs!V205)</f>
        <v>26.65</v>
      </c>
      <c r="BJ203" s="111">
        <f>IF([12]NDCs!V205="",IF([12]NDCs!X205="","",[12]NDCs!X205),[12]NDCs!V205)</f>
        <v>26.65</v>
      </c>
      <c r="BK203" s="111">
        <f>IF([12]NDCs!Z205="",IF([12]NDCs!AB205="",IF('input site'!BE203="","",'input site'!BE203),[12]NDCs!AB205),[12]NDCs!Z205)</f>
        <v>26.65</v>
      </c>
      <c r="BL203" s="111">
        <f>IF([12]NDCs!AA205="",IF([12]NDCs!AC205="",IF('input site'!BF203="","",'input site'!BF203),[12]NDCs!AC205),[12]NDCs!AA205)</f>
        <v>26.65</v>
      </c>
      <c r="BM203" s="205">
        <f>AR203</f>
        <v>43.685924</v>
      </c>
      <c r="BN203" s="111">
        <f t="shared" si="147"/>
        <v>43.685924</v>
      </c>
      <c r="BO203" s="111">
        <f t="shared" si="147"/>
        <v>43.685924</v>
      </c>
      <c r="BP203" s="205">
        <f>[12]NatCom!$CJ193</f>
        <v>42</v>
      </c>
      <c r="BQ203" s="111">
        <f>IF($BI$8=2015,"",IF($BI$8=2018,"",VLOOKUP($L203,'[12]IMAGE CurPol SSP'!$CQ$3:$CV$29,5,FALSE)*$AS203))</f>
        <v>35.485457956685892</v>
      </c>
      <c r="BR203" s="111">
        <f>IF($BI$8=2015,"",IF($BI$8=2018,"",VLOOKUP($L203,'[12]IMAGE CurPol SSP'!$CF$3:$CK$29,5,FALSE)*$AS203))</f>
        <v>37.135645056148</v>
      </c>
      <c r="BS203" s="205">
        <f>[12]NatCom!$CO193</f>
        <v>39</v>
      </c>
      <c r="BT203" s="111">
        <f>IF($BI$8=2015,"",IF($BI$8=2018,"",VLOOKUP($L203,'[12]IMAGE CurPol SSP'!$CQ$3:$CV$29,6,FALSE)*$AS203))</f>
        <v>23.486660294043332</v>
      </c>
      <c r="BU203" s="164">
        <f>IF($BI$8=2015,"",IF($BI$8=2018,"",VLOOKUP($L203,'[12]IMAGE CurPol SSP'!$CF$3:$CK$29,6,FALSE)*$AS203))</f>
        <v>26.394759807934957</v>
      </c>
      <c r="CN203" t="s">
        <v>435</v>
      </c>
      <c r="CO203" s="165">
        <f t="shared" si="114"/>
        <v>-0.31666666666666665</v>
      </c>
      <c r="CP203" s="165">
        <f t="shared" si="114"/>
        <v>-0.31666666666666665</v>
      </c>
      <c r="CQ203" s="165">
        <f t="shared" si="114"/>
        <v>-0.31666666666666665</v>
      </c>
      <c r="CR203" s="165">
        <f t="shared" si="114"/>
        <v>-0.31666666666666665</v>
      </c>
      <c r="CS203" s="159"/>
      <c r="CU203" s="159"/>
      <c r="CV203" s="125" t="s">
        <v>621</v>
      </c>
      <c r="CW203" s="125" t="s">
        <v>621</v>
      </c>
      <c r="CX203"/>
      <c r="CY203" s="167">
        <f t="shared" si="115"/>
        <v>3.7499991760046925</v>
      </c>
      <c r="DB203" s="106"/>
      <c r="DC203" s="106"/>
      <c r="DD203" s="106"/>
      <c r="DE203" s="106"/>
      <c r="DF203" s="106"/>
      <c r="DG203" s="105" t="str">
        <f t="shared" si="116"/>
        <v>excl</v>
      </c>
      <c r="DH203" t="s">
        <v>435</v>
      </c>
      <c r="DI203" s="111">
        <f t="shared" si="148"/>
        <v>0.26117892089089878</v>
      </c>
      <c r="DJ203" s="111">
        <f t="shared" si="148"/>
        <v>-5.2322089442204742</v>
      </c>
      <c r="DK203" s="111">
        <f t="shared" si="149"/>
        <v>-8.219327750000005</v>
      </c>
      <c r="DL203" s="111">
        <f t="shared" si="150"/>
        <v>-8.219327750000005</v>
      </c>
      <c r="DM203" s="111">
        <f t="shared" si="151"/>
        <v>-12.350000000000001</v>
      </c>
      <c r="DN203" s="111">
        <f t="shared" si="152"/>
        <v>-12.350000000000001</v>
      </c>
      <c r="DO203" s="111">
        <f t="shared" si="153"/>
        <v>-12.350000000000001</v>
      </c>
      <c r="DP203" s="111">
        <f t="shared" si="154"/>
        <v>-12.350000000000001</v>
      </c>
      <c r="DQ203" s="106"/>
      <c r="DR203" s="106"/>
      <c r="DS203" s="111"/>
      <c r="DT203" s="168"/>
      <c r="DW203" s="111">
        <f t="shared" si="117"/>
        <v>26.65</v>
      </c>
      <c r="DX203" s="111">
        <f t="shared" si="117"/>
        <v>26.65</v>
      </c>
      <c r="DY203" s="111">
        <f t="shared" si="117"/>
        <v>26.65</v>
      </c>
      <c r="DZ203" s="111">
        <f t="shared" si="117"/>
        <v>26.65</v>
      </c>
      <c r="EP203" t="s">
        <v>435</v>
      </c>
      <c r="EQ203">
        <v>4</v>
      </c>
      <c r="ER203" s="111">
        <f t="shared" si="118"/>
        <v>46.636833000000003</v>
      </c>
      <c r="ES203" s="111">
        <f>IF($BI$8=2015,VLOOKUP($L203,'[12]IMAGE CDLINKS CurPol'!$P$3:$Y$29,10,FALSE)*$AM203,VLOOKUP($L203,'[12]IMAGE CDLINKS CurPol'!$Z$3:$AI$29,10,FALSE)*$AP203)</f>
        <v>44.689431704141413</v>
      </c>
      <c r="ET203" s="111">
        <f t="shared" si="124"/>
        <v>0</v>
      </c>
      <c r="EU203" s="111">
        <f t="shared" si="120"/>
        <v>0</v>
      </c>
      <c r="EV203" s="111">
        <f>IF($BI$8=2015,VLOOKUP($L203,'[12]IMAGE CDLINKS 2C'!$P$3:$Y$29,10,FALSE)*$AM203,VLOOKUP($L203,'[12]IMAGE CDLINKS 2C'!$Z$3:$AI$29,10,FALSE)*$AP203)</f>
        <v>9.5214985481667735</v>
      </c>
      <c r="EW203">
        <v>0</v>
      </c>
      <c r="EX203" s="111">
        <f>EW203-EV203</f>
        <v>-9.5214985481667735</v>
      </c>
      <c r="EY203" s="111">
        <f t="shared" si="121"/>
        <v>0</v>
      </c>
      <c r="EZ203" s="111">
        <f>IF($BI$8=2015,VLOOKUP($L203,'[12]IMAGE CDLINKS 1_5C'!$P$3:$Y$29,10,FALSE)*$AM203,VLOOKUP($L203,'[12]IMAGE CDLINKS 1_5C'!$Z$3:$AI$29,10,FALSE)*$AP203)</f>
        <v>5.2665684437620008</v>
      </c>
      <c r="FA203" s="192">
        <v>2050</v>
      </c>
    </row>
    <row r="204" spans="1:157" x14ac:dyDescent="0.25">
      <c r="A204" t="str">
        <f>IF([12]NDCs!C206="","",[12]NDCs!C206)</f>
        <v/>
      </c>
      <c r="B204" s="159" t="str">
        <f t="shared" si="112"/>
        <v>v</v>
      </c>
      <c r="C204">
        <v>0</v>
      </c>
      <c r="D204">
        <v>0</v>
      </c>
      <c r="E204">
        <v>0</v>
      </c>
      <c r="F204">
        <v>1</v>
      </c>
      <c r="G204" t="b">
        <f t="shared" si="113"/>
        <v>0</v>
      </c>
      <c r="H204" t="s">
        <v>2328</v>
      </c>
      <c r="I204" t="s">
        <v>437</v>
      </c>
      <c r="J204">
        <v>760</v>
      </c>
      <c r="K204">
        <v>195</v>
      </c>
      <c r="L204">
        <v>17</v>
      </c>
      <c r="M204" t="str">
        <f>IF([12]NDCs!AL206="Excluding","excl","incl")</f>
        <v>excl</v>
      </c>
      <c r="N204" s="160">
        <f>[12]GHG_hist!BA194+IF($M204="incl",[12]LULUCF_hist!CR194,0)</f>
        <v>62.236368000000006</v>
      </c>
      <c r="O204" s="111">
        <f>[12]GHG_hist!BB194+IF($M204="incl",[12]LULUCF_hist!CS194,0)</f>
        <v>70.65374700000001</v>
      </c>
      <c r="P204" s="111">
        <f>[12]GHG_hist!BC194+IF($M204="incl",[12]LULUCF_hist!CT194,0)</f>
        <v>70.026437000000001</v>
      </c>
      <c r="Q204" s="111">
        <f>[12]GHG_hist!BD194+IF($M204="incl",[12]LULUCF_hist!CU194,0)</f>
        <v>73.891166999999996</v>
      </c>
      <c r="R204" s="111">
        <f>[12]GHG_hist!BE194+IF($M204="incl",[12]LULUCF_hist!CV194,0)</f>
        <v>75.34393</v>
      </c>
      <c r="S204" s="111">
        <f>[12]GHG_hist!BF194+IF($M204="incl",[12]LULUCF_hist!CW194,0)</f>
        <v>76.26971300000001</v>
      </c>
      <c r="T204" s="111">
        <f>[12]GHG_hist!BG194+IF($M204="incl",[12]LULUCF_hist!CX194,0)</f>
        <v>77.665543000000014</v>
      </c>
      <c r="U204" s="111">
        <f>[12]GHG_hist!BH194+IF($M204="incl",[12]LULUCF_hist!CY194,0)</f>
        <v>79.831017000000003</v>
      </c>
      <c r="V204" s="111">
        <f>[12]GHG_hist!BI194+IF($M204="incl",[12]LULUCF_hist!CZ194,0)</f>
        <v>84.009308000000004</v>
      </c>
      <c r="W204" s="111">
        <f>[12]GHG_hist!BJ194+IF($M204="incl",[12]LULUCF_hist!DA194,0)</f>
        <v>86.123463000000001</v>
      </c>
      <c r="X204" s="111">
        <f>[12]GHG_hist!BK194+IF($M204="incl",[12]LULUCF_hist!DB194,0)</f>
        <v>86.111928000000006</v>
      </c>
      <c r="Y204" s="111">
        <f>[12]GHG_hist!BL194+IF($M204="incl",[12]LULUCF_hist!DC194,0)</f>
        <v>78.300166000000004</v>
      </c>
      <c r="Z204" s="111">
        <f>[12]GHG_hist!BM194+IF($M204="incl",[12]LULUCF_hist!DD194,0)</f>
        <v>65.946083000000002</v>
      </c>
      <c r="AA204" s="111">
        <f>[12]GHG_hist!BN194+IF($M204="incl",[12]LULUCF_hist!DE194,0)</f>
        <v>81.511373000000006</v>
      </c>
      <c r="AB204" s="111">
        <f>[12]GHG_hist!BO194+IF($M204="incl",[12]LULUCF_hist!DF194,0)</f>
        <v>77.431395000000009</v>
      </c>
      <c r="AC204" s="111">
        <f>[12]GHG_hist!BP194+IF($M204="incl",[12]LULUCF_hist!DG194,0)</f>
        <v>78.447187999999997</v>
      </c>
      <c r="AD204" s="111">
        <f>[12]GHG_hist!BQ194+IF($M204="incl",[12]LULUCF_hist!DH194,0)</f>
        <v>81.946060000000003</v>
      </c>
      <c r="AE204" s="111">
        <f>[12]GHG_hist!BR194+IF($M204="incl",[12]LULUCF_hist!DI194,0)</f>
        <v>95.037840000000003</v>
      </c>
      <c r="AF204" s="111">
        <f>[12]GHG_hist!BS194+IF($M204="incl",[12]LULUCF_hist!DJ194,0)</f>
        <v>94.755291999999997</v>
      </c>
      <c r="AG204" s="111">
        <f>[12]GHG_hist!BT194+IF($M204="incl",[12]LULUCF_hist!DK194,0)</f>
        <v>90.632416000000006</v>
      </c>
      <c r="AH204" s="111">
        <f>[12]GHG_hist!BU194+IF($M204="incl",[12]LULUCF_hist!DL194,0)</f>
        <v>89.303690000000003</v>
      </c>
      <c r="AI204" s="111">
        <f>[12]GHG_hist!BV194+IF($M204="incl",[12]LULUCF_hist!DM194,0)</f>
        <v>83.460161999999997</v>
      </c>
      <c r="AJ204" s="111">
        <f>[12]GHG_hist!BW194+IF($M204="incl",[12]LULUCF_hist!DN194,0)</f>
        <v>66.819895000000002</v>
      </c>
      <c r="AK204" s="111">
        <f>[12]GHG_hist!BX194+IF($M204="incl",[12]LULUCF_hist!DO194,0)</f>
        <v>55.435120000000005</v>
      </c>
      <c r="AL204" s="111">
        <f>[12]GHG_hist!BY194+IF($M204="incl",[12]LULUCF_hist!DP194,0)</f>
        <v>48.587296000000002</v>
      </c>
      <c r="AM204" s="111">
        <f>[12]GHG_hist!BZ194+IF($M204="incl",[12]LULUCF_hist!DQ194,0)</f>
        <v>46.876095999999997</v>
      </c>
      <c r="AN204" s="111">
        <f>[12]GHG_hist!CA194+IF($M204="incl",[12]LULUCF_hist!DR194,0)</f>
        <v>47.092731000000001</v>
      </c>
      <c r="AO204" s="111">
        <f>[12]GHG_hist!CB194+IF($M204="incl",[12]LULUCF_hist!DS194,0)</f>
        <v>44.788644999999995</v>
      </c>
      <c r="AP204" s="111">
        <f>[12]GHG_hist!CC194+IF($M204="incl",[12]LULUCF_hist!DT194,0)</f>
        <v>54.071078</v>
      </c>
      <c r="AQ204" s="111">
        <f>[12]GHG_hist!CD194+IF($M204="incl",[12]LULUCF_hist!DU194,0)</f>
        <v>56.663916</v>
      </c>
      <c r="AR204" s="111">
        <f>[12]GHG_hist!CE194+IF($M204="incl",[12]LULUCF_hist!DV194,0)</f>
        <v>55.247116000000005</v>
      </c>
      <c r="AS204" s="111">
        <f>[12]GHG_hist!CF194+IF($M204="incl",[12]LULUCF_hist!DW194,0)</f>
        <v>55.924931000000001</v>
      </c>
      <c r="AT204" s="161">
        <f>VLOOKUP($L204,'[12]IMAGE SSP2'!$AF$3:$AK$29,4,FALSE)*$AM204</f>
        <v>52.127224400727791</v>
      </c>
      <c r="AU204" s="162">
        <f>VLOOKUP($L204,'[12]IMAGE SSP2'!$AF$3:$AK$29,5,FALSE)*$AM204</f>
        <v>56.496667565649808</v>
      </c>
      <c r="AV204" s="163">
        <f>VLOOKUP($L204,'[12]IMAGE SSP2'!$AF$3:$AK$29,6,FALSE)*$AM204</f>
        <v>59.818360991619585</v>
      </c>
      <c r="AW204" s="111" t="str">
        <f t="shared" si="119"/>
        <v/>
      </c>
      <c r="AX204" s="164" t="str">
        <f>IF(A204="B",IF(M204="excl",[12]NatCom!CO194,[12]NatCom!AX194),"")</f>
        <v/>
      </c>
      <c r="AY204" s="111" t="str">
        <f>IF('[12]Pledge 2020'!E194="","",'[12]Pledge 2020'!E194)</f>
        <v/>
      </c>
      <c r="AZ204" s="164" t="str">
        <f>IF('[12]Pledge 2020'!F194="","",'[12]Pledge 2020'!F194)</f>
        <v/>
      </c>
      <c r="BA204" s="111" t="str">
        <f t="shared" si="144"/>
        <v/>
      </c>
      <c r="BB204" s="111"/>
      <c r="BC204" s="111" t="str">
        <f t="shared" si="145"/>
        <v/>
      </c>
      <c r="BD204" s="111"/>
      <c r="BE204" s="111" t="s">
        <v>2477</v>
      </c>
      <c r="BF204" s="111"/>
      <c r="BG204" s="111" t="s">
        <v>2477</v>
      </c>
      <c r="BH204" s="164"/>
      <c r="BI204" s="111" t="str">
        <f>IF([12]NDCs!V206="",IF([12]NDCs!X206="","",[12]NDCs!X206),[12]NDCs!V206)</f>
        <v/>
      </c>
      <c r="BJ204" s="111" t="str">
        <f>IF([12]NDCs!V206="",IF([12]NDCs!X206="","",[12]NDCs!X206),[12]NDCs!V206)</f>
        <v/>
      </c>
      <c r="BK204" s="111" t="str">
        <f>IF([12]NDCs!Z206="",IF([12]NDCs!AB206="",IF('input site'!BE204="","",'input site'!BE204),[12]NDCs!AB206),[12]NDCs!Z206)</f>
        <v/>
      </c>
      <c r="BL204" s="111" t="str">
        <f>IF([12]NDCs!AA206="",IF([12]NDCs!AC206="",IF('input site'!BF204="","",'input site'!BF204),[12]NDCs!AC206),[12]NDCs!AA206)</f>
        <v/>
      </c>
      <c r="BM204" s="111">
        <f>IF($BI$8=2015,VLOOKUP($L204,'[12]IMAGE CurPol SSP'!$AZ$3:$BD$29,4,FALSE)*$AM204,IF($BI$8=2018,VLOOKUP($L204,'[12]IMAGE CurPol SSP'!$BJ$3:$BN$29,4,FALSE)*$AP204,$AR204))</f>
        <v>55.247116000000005</v>
      </c>
      <c r="BN204" s="111">
        <f t="shared" si="147"/>
        <v>55.247116000000005</v>
      </c>
      <c r="BO204" s="111">
        <f t="shared" si="147"/>
        <v>55.247116000000005</v>
      </c>
      <c r="BP204" s="111">
        <f>IF($BI$8=2015,VLOOKUP($L204,'[12]IMAGE CurPol SSP'!$AZ$3:$BD$29,5,FALSE)*$AM204,IF($BI$8=2018,VLOOKUP($L204,'[12]IMAGE CurPol SSP'!$BJ$3:$BN$29,5,FALSE)*$AP204,VLOOKUP($L204,'[12]IMAGE CurPol SSP'!$BU$3:$BZ$29,5,FALSE)*$AS204))</f>
        <v>55.551107178820935</v>
      </c>
      <c r="BQ204" s="111">
        <f>IF($BI$8=2015,"",IF($BI$8=2018,"",VLOOKUP($L204,'[12]IMAGE CurPol SSP'!$CQ$3:$CV$29,5,FALSE)*$AS204))</f>
        <v>55.008947887461083</v>
      </c>
      <c r="BR204" s="111">
        <f>IF($BI$8=2015,"",IF($BI$8=2018,"",VLOOKUP($L204,'[12]IMAGE CurPol SSP'!$CF$3:$CK$29,5,FALSE)*$AS204))</f>
        <v>56.580612669974066</v>
      </c>
      <c r="BS204" s="111">
        <f>IF($BI$8=2015,VLOOKUP($L204,'[12]IMAGE CurPol SSP'!$AZ$3:$BE$29,6,FALSE)*$AM204,IF($BI$8=2018,VLOOKUP($L204,'[12]IMAGE CurPol SSP'!$BJ$3:$BO$29,6,FALSE)*$AP204,VLOOKUP($L204,'[12]IMAGE CurPol SSP'!$BU$3:$BZ$29,6,FALSE)*$AS204))</f>
        <v>55.5318815062124</v>
      </c>
      <c r="BT204" s="111">
        <f>IF($BI$8=2015,"",IF($BI$8=2018,"",VLOOKUP($L204,'[12]IMAGE CurPol SSP'!$CQ$3:$CV$29,6,FALSE)*$AS204))</f>
        <v>54.244457599650254</v>
      </c>
      <c r="BU204" s="164">
        <f>IF($BI$8=2015,"",IF($BI$8=2018,"",VLOOKUP($L204,'[12]IMAGE CurPol SSP'!$CF$3:$CK$29,6,FALSE)*$AS204))</f>
        <v>57.59276679216299</v>
      </c>
      <c r="CN204" t="s">
        <v>437</v>
      </c>
      <c r="CO204" s="165" t="str">
        <f t="shared" si="114"/>
        <v/>
      </c>
      <c r="CP204" s="165" t="str">
        <f t="shared" si="114"/>
        <v/>
      </c>
      <c r="CQ204" s="165" t="str">
        <f t="shared" si="114"/>
        <v/>
      </c>
      <c r="CR204" s="165" t="str">
        <f t="shared" ref="CR204:CR234" si="155">IF(BH204="","",BH204/$BS204-1)</f>
        <v/>
      </c>
      <c r="CV204" s="125" t="s">
        <v>621</v>
      </c>
      <c r="CW204" s="125" t="s">
        <v>621</v>
      </c>
      <c r="CX204" s="208">
        <f>AP204/$AP$255</f>
        <v>1.1833712237372352E-3</v>
      </c>
      <c r="CY204" s="167">
        <f t="shared" si="115"/>
        <v>-3.1198915992722149</v>
      </c>
      <c r="DB204" s="106"/>
      <c r="DC204" s="106"/>
      <c r="DD204" s="106"/>
      <c r="DE204" s="106"/>
      <c r="DF204" s="106"/>
      <c r="DG204" s="105" t="str">
        <f t="shared" si="116"/>
        <v>excl</v>
      </c>
      <c r="DH204" t="s">
        <v>437</v>
      </c>
      <c r="DI204" s="111">
        <f t="shared" si="148"/>
        <v>0</v>
      </c>
      <c r="DJ204" s="111">
        <f t="shared" si="148"/>
        <v>0</v>
      </c>
      <c r="DK204" s="111">
        <f t="shared" si="149"/>
        <v>0</v>
      </c>
      <c r="DL204" s="111">
        <f t="shared" si="150"/>
        <v>0</v>
      </c>
      <c r="DM204" s="111">
        <f t="shared" si="151"/>
        <v>0</v>
      </c>
      <c r="DN204" s="111">
        <f t="shared" si="152"/>
        <v>0</v>
      </c>
      <c r="DO204" s="111">
        <f t="shared" si="153"/>
        <v>0</v>
      </c>
      <c r="DP204" s="111">
        <f t="shared" si="154"/>
        <v>0</v>
      </c>
      <c r="DQ204" s="106"/>
      <c r="DR204" s="106"/>
      <c r="DS204" s="111"/>
      <c r="DT204" s="168"/>
      <c r="DW204" s="111">
        <f t="shared" si="117"/>
        <v>55.5318815062124</v>
      </c>
      <c r="DX204" s="111">
        <f t="shared" si="117"/>
        <v>55.5318815062124</v>
      </c>
      <c r="DY204" s="111">
        <f t="shared" si="117"/>
        <v>55.5318815062124</v>
      </c>
      <c r="DZ204" s="111">
        <f t="shared" ref="DZ204:DZ236" si="156">IF(BH204="",$BS204,BH204)</f>
        <v>55.5318815062124</v>
      </c>
      <c r="EP204" t="s">
        <v>437</v>
      </c>
      <c r="EQ204">
        <v>0</v>
      </c>
      <c r="ER204" s="111">
        <f t="shared" si="118"/>
        <v>54.071078</v>
      </c>
      <c r="ES204" s="111">
        <f>IF($BI$8=2015,VLOOKUP($L204,'[12]IMAGE CDLINKS CurPol'!$P$3:$Y$29,10,FALSE)*$AM204,VLOOKUP($L204,'[12]IMAGE CDLINKS CurPol'!$Z$3:$AI$29,10,FALSE)*$AP204)</f>
        <v>80.905907644087762</v>
      </c>
      <c r="ET204" s="111">
        <f t="shared" si="124"/>
        <v>80.905907644087762</v>
      </c>
      <c r="EU204" s="111">
        <f t="shared" si="120"/>
        <v>27.223282456871349</v>
      </c>
      <c r="EV204" s="111">
        <f>IF($BI$8=2015,VLOOKUP($L204,'[12]IMAGE CDLINKS 2C'!$P$3:$Y$29,10,FALSE)*$AM204,VLOOKUP($L204,'[12]IMAGE CDLINKS 2C'!$Z$3:$AI$29,10,FALSE)*$AP204)</f>
        <v>27.223282456871349</v>
      </c>
      <c r="EY204" s="111">
        <f t="shared" si="121"/>
        <v>4.741996093153209</v>
      </c>
      <c r="EZ204" s="111">
        <f>IF($BI$8=2015,VLOOKUP($L204,'[12]IMAGE CDLINKS 1_5C'!$P$3:$Y$29,10,FALSE)*$AM204,VLOOKUP($L204,'[12]IMAGE CDLINKS 1_5C'!$Z$3:$AI$29,10,FALSE)*$AP204)</f>
        <v>4.741996093153209</v>
      </c>
      <c r="FA204" s="192"/>
    </row>
    <row r="205" spans="1:157" x14ac:dyDescent="0.25">
      <c r="A205" t="str">
        <f>IF([12]NDCs!C207="","",[12]NDCs!C207)</f>
        <v>B</v>
      </c>
      <c r="B205" s="159" t="str">
        <f t="shared" ref="B205:B236" si="157">CV205</f>
        <v>v</v>
      </c>
      <c r="C205">
        <v>0</v>
      </c>
      <c r="D205">
        <v>0</v>
      </c>
      <c r="E205">
        <v>0</v>
      </c>
      <c r="F205">
        <v>1</v>
      </c>
      <c r="G205" t="b">
        <f t="shared" ref="G205:G236" si="158">IF(OR(A205="",A205="G"),FALSE,TRUE)</f>
        <v>1</v>
      </c>
      <c r="H205" t="s">
        <v>2328</v>
      </c>
      <c r="I205" t="s">
        <v>439</v>
      </c>
      <c r="J205">
        <v>158</v>
      </c>
      <c r="K205">
        <v>41</v>
      </c>
      <c r="L205">
        <v>20</v>
      </c>
      <c r="M205" t="str">
        <f>IF([12]NDCs!AL207="Excluding","excl","incl")</f>
        <v>incl</v>
      </c>
      <c r="N205" s="160">
        <f>[12]GHG_hist!BA195+IF($M205="incl",[12]LULUCF_hist!CR195,0)</f>
        <v>139.31491</v>
      </c>
      <c r="O205" s="111">
        <f>[12]GHG_hist!BB195+IF($M205="incl",[12]LULUCF_hist!CS195,0)</f>
        <v>149.25604999999999</v>
      </c>
      <c r="P205" s="111">
        <f>[12]GHG_hist!BC195+IF($M205="incl",[12]LULUCF_hist!CT195,0)</f>
        <v>157.95274000000001</v>
      </c>
      <c r="Q205" s="111">
        <f>[12]GHG_hist!BD195+IF($M205="incl",[12]LULUCF_hist!CU195,0)</f>
        <v>170.93035999999998</v>
      </c>
      <c r="R205" s="111">
        <f>[12]GHG_hist!BE195+IF($M205="incl",[12]LULUCF_hist!CV195,0)</f>
        <v>179.23455999999999</v>
      </c>
      <c r="S205" s="111">
        <f>[12]GHG_hist!BF195+IF($M205="incl",[12]LULUCF_hist!CW195,0)</f>
        <v>188.50175000000002</v>
      </c>
      <c r="T205" s="111">
        <f>[12]GHG_hist!BG195+IF($M205="incl",[12]LULUCF_hist!CX195,0)</f>
        <v>197.68908999999999</v>
      </c>
      <c r="U205" s="111">
        <f>[12]GHG_hist!BH195+IF($M205="incl",[12]LULUCF_hist!CY195,0)</f>
        <v>212.20804000000001</v>
      </c>
      <c r="V205" s="111">
        <f>[12]GHG_hist!BI195+IF($M205="incl",[12]LULUCF_hist!CZ195,0)</f>
        <v>222.14931000000001</v>
      </c>
      <c r="W205" s="111">
        <f>[12]GHG_hist!BJ195+IF($M205="incl",[12]LULUCF_hist!DA195,0)</f>
        <v>229.63009</v>
      </c>
      <c r="X205" s="111">
        <f>[12]GHG_hist!BK195+IF($M205="incl",[12]LULUCF_hist!DB195,0)</f>
        <v>249.08544000000001</v>
      </c>
      <c r="Y205" s="111">
        <f>[12]GHG_hist!BL195+IF($M205="incl",[12]LULUCF_hist!DC195,0)</f>
        <v>256.08273000000003</v>
      </c>
      <c r="Z205" s="111">
        <f>[12]GHG_hist!BM195+IF($M205="incl",[12]LULUCF_hist!DD195,0)</f>
        <v>266.89400000000001</v>
      </c>
      <c r="AA205" s="111">
        <f>[12]GHG_hist!BN195+IF($M205="incl",[12]LULUCF_hist!DE195,0)</f>
        <v>278.42240000000004</v>
      </c>
      <c r="AB205" s="111">
        <f>[12]GHG_hist!BO195+IF($M205="incl",[12]LULUCF_hist!DF195,0)</f>
        <v>288.49941999999999</v>
      </c>
      <c r="AC205" s="111">
        <f>[12]GHG_hist!BP195+IF($M205="incl",[12]LULUCF_hist!DG195,0)</f>
        <v>294.37475000000001</v>
      </c>
      <c r="AD205" s="111">
        <f>[12]GHG_hist!BQ195+IF($M205="incl",[12]LULUCF_hist!DH195,0)</f>
        <v>302.69729000000001</v>
      </c>
      <c r="AE205" s="111">
        <f>[12]GHG_hist!BR195+IF($M205="incl",[12]LULUCF_hist!DI195,0)</f>
        <v>305.10777000000002</v>
      </c>
      <c r="AF205" s="111">
        <f>[12]GHG_hist!BS195+IF($M205="incl",[12]LULUCF_hist!DJ195,0)</f>
        <v>288.19494000000003</v>
      </c>
      <c r="AG205" s="111">
        <f>[12]GHG_hist!BT195+IF($M205="incl",[12]LULUCF_hist!DK195,0)</f>
        <v>272.60927000000004</v>
      </c>
      <c r="AH205" s="111">
        <f>[12]GHG_hist!BU195+IF($M205="incl",[12]LULUCF_hist!DL195,0)</f>
        <v>289.86959000000002</v>
      </c>
      <c r="AI205" s="111">
        <f>[12]GHG_hist!BV195+IF($M205="incl",[12]LULUCF_hist!DM195,0)</f>
        <v>297.29019</v>
      </c>
      <c r="AJ205" s="111">
        <f>[12]GHG_hist!BW195+IF($M205="incl",[12]LULUCF_hist!DN195,0)</f>
        <v>292.14652000000001</v>
      </c>
      <c r="AK205" s="111">
        <f>[12]GHG_hist!BX195+IF($M205="incl",[12]LULUCF_hist!DO195,0)</f>
        <v>294.94439</v>
      </c>
      <c r="AL205" s="111">
        <f>[12]GHG_hist!BY195+IF($M205="incl",[12]LULUCF_hist!DP195,0)</f>
        <v>297.66796000000005</v>
      </c>
      <c r="AM205" s="111">
        <f>[12]GHG_hist!BZ195+IF($M205="incl",[12]LULUCF_hist!DQ195,0)</f>
        <v>294.88276000000002</v>
      </c>
      <c r="AN205" s="111">
        <f>[12]GHG_hist!CA195+IF($M205="incl",[12]LULUCF_hist!DR195,0)</f>
        <v>299.00890000000004</v>
      </c>
      <c r="AO205" s="111">
        <f>[12]GHG_hist!CB195+IF($M205="incl",[12]LULUCF_hist!DS195,0)</f>
        <v>304.72496000000001</v>
      </c>
      <c r="AP205" s="111">
        <f>[12]GHG_hist!CC195+IF($M205="incl",[12]LULUCF_hist!DT195,0)</f>
        <v>302.35631000000001</v>
      </c>
      <c r="AQ205" s="111">
        <f>[12]GHG_hist!CD195+IF($M205="incl",[12]LULUCF_hist!DU195,0)</f>
        <v>290.43064000000004</v>
      </c>
      <c r="AR205" s="111">
        <f>[12]GHG_hist!CE195+IF($M205="incl",[12]LULUCF_hist!DV195,0)</f>
        <v>288.01866999999999</v>
      </c>
      <c r="AS205" s="111">
        <f>[12]GHG_hist!CF195+IF($M205="incl",[12]LULUCF_hist!DW195,0)</f>
        <v>303.75721999999996</v>
      </c>
      <c r="AT205" s="161">
        <f>VLOOKUP($L205,'[12]IMAGE SSP2'!$AF$3:$AK$29,4,FALSE)*$AM205</f>
        <v>319.20296267998083</v>
      </c>
      <c r="AU205" s="162">
        <f>VLOOKUP($L205,'[12]IMAGE SSP2'!$AF$3:$AK$29,5,FALSE)*$AM205</f>
        <v>351.37408133530658</v>
      </c>
      <c r="AV205" s="163">
        <f>VLOOKUP($L205,'[12]IMAGE SSP2'!$AF$3:$AK$29,6,FALSE)*$AM205</f>
        <v>362.07814855890695</v>
      </c>
      <c r="AW205" s="111">
        <f>IF(A205="B",AM205+(AX205-AM205)*0.33333,"")</f>
        <v>339.25472960920001</v>
      </c>
      <c r="AX205" s="164">
        <f>IF(A205="B",IF(M205="excl",[12]NatCom!CO195,[12]NatCom!AX195),"")</f>
        <v>428</v>
      </c>
      <c r="AY205" s="111" t="str">
        <f>IF('[12]Pledge 2020'!E195="","",'[12]Pledge 2020'!E195)</f>
        <v/>
      </c>
      <c r="AZ205" s="164" t="str">
        <f>IF('[12]Pledge 2020'!F195="","",'[12]Pledge 2020'!F195)</f>
        <v/>
      </c>
      <c r="BA205" s="111">
        <f t="shared" si="144"/>
        <v>232.9673975</v>
      </c>
      <c r="BB205" s="111">
        <f t="shared" ref="BB205:BB210" si="159">IF(BF205="","",(BF205-AH205)*0.75+AH205)</f>
        <v>232.9673975</v>
      </c>
      <c r="BC205" s="111">
        <f t="shared" si="145"/>
        <v>232.9673975</v>
      </c>
      <c r="BD205" s="111">
        <f>IF(BH205="","",(BH205-AH205)*0.75+AH205)</f>
        <v>232.9673975</v>
      </c>
      <c r="BE205" s="111">
        <v>214</v>
      </c>
      <c r="BF205" s="111">
        <v>214</v>
      </c>
      <c r="BG205" s="111">
        <v>214</v>
      </c>
      <c r="BH205" s="111">
        <v>214</v>
      </c>
      <c r="BI205" s="111">
        <f>IF([12]NDCs!V207="",IF([12]NDCs!X207="","",[12]NDCs!X207),[12]NDCs!V207)</f>
        <v>214</v>
      </c>
      <c r="BJ205" s="111">
        <f>IF([12]NDCs!V207="",IF([12]NDCs!X207="","",[12]NDCs!X207),[12]NDCs!V207)</f>
        <v>214</v>
      </c>
      <c r="BK205" s="111">
        <f>IF([12]NDCs!Z207="",IF([12]NDCs!AB207="",IF('input site'!BE205="","",'input site'!BE205),[12]NDCs!AB207),[12]NDCs!Z207)</f>
        <v>214</v>
      </c>
      <c r="BL205" s="111">
        <f>IF([12]NDCs!AA207="",IF([12]NDCs!AC207="",IF('input site'!BF205="","",'input site'!BF205),[12]NDCs!AC207),[12]NDCs!AA207)</f>
        <v>214</v>
      </c>
      <c r="BM205" s="111">
        <f>IF($BI$8=2015,VLOOKUP($L205,'[12]IMAGE CurPol SSP'!$AZ$3:$BD$29,4,FALSE)*$AM205,IF($BI$8=2018,VLOOKUP($L205,'[12]IMAGE CurPol SSP'!$BJ$3:$BN$29,4,FALSE)*$AP205,$AR205))</f>
        <v>288.01866999999999</v>
      </c>
      <c r="BN205" s="111">
        <f t="shared" si="147"/>
        <v>288.01866999999999</v>
      </c>
      <c r="BO205" s="111">
        <f t="shared" si="147"/>
        <v>288.01866999999999</v>
      </c>
      <c r="BP205" s="111">
        <f>IF($BI$8=2015,VLOOKUP($L205,'[12]IMAGE CurPol SSP'!$AZ$3:$BD$29,5,FALSE)*$AM205,IF($BI$8=2018,VLOOKUP($L205,'[12]IMAGE CurPol SSP'!$BJ$3:$BN$29,5,FALSE)*$AP205,VLOOKUP($L205,'[12]IMAGE CurPol SSP'!$BU$3:$BZ$29,5,FALSE)*$AS205))</f>
        <v>302.44711947409809</v>
      </c>
      <c r="BQ205" s="111">
        <f>IF($BI$8=2015,"",IF($BI$8=2018,"",VLOOKUP($L205,'[12]IMAGE CurPol SSP'!$CQ$3:$CV$29,5,FALSE)*$AS205))</f>
        <v>298.07331306273562</v>
      </c>
      <c r="BR205" s="111">
        <f>IF($BI$8=2015,"",IF($BI$8=2018,"",VLOOKUP($L205,'[12]IMAGE CurPol SSP'!$CF$3:$CK$29,5,FALSE)*$AS205))</f>
        <v>311.64672097577102</v>
      </c>
      <c r="BS205" s="111">
        <f>IF($BI$8=2015,VLOOKUP($L205,'[12]IMAGE CurPol SSP'!$AZ$3:$BE$29,6,FALSE)*$AM205,IF($BI$8=2018,VLOOKUP($L205,'[12]IMAGE CurPol SSP'!$BJ$3:$BO$29,6,FALSE)*$AP205,VLOOKUP($L205,'[12]IMAGE CurPol SSP'!$BU$3:$BZ$29,6,FALSE)*$AS205))</f>
        <v>305.07648351210202</v>
      </c>
      <c r="BT205" s="111">
        <f>IF($BI$8=2015,"",IF($BI$8=2018,"",VLOOKUP($L205,'[12]IMAGE CurPol SSP'!$CQ$3:$CV$29,6,FALSE)*$AS205))</f>
        <v>297.86292130659257</v>
      </c>
      <c r="BU205" s="164">
        <f>IF($BI$8=2015,"",IF($BI$8=2018,"",VLOOKUP($L205,'[12]IMAGE CurPol SSP'!$CF$3:$CK$29,6,FALSE)*$AS205))</f>
        <v>323.15084459119839</v>
      </c>
      <c r="CN205" t="s">
        <v>439</v>
      </c>
      <c r="CO205" s="165">
        <f t="shared" ref="CO205:CQ234" si="160">IF(BE205="","",BE205/$BS205-1)</f>
        <v>-0.29853655864788775</v>
      </c>
      <c r="CP205" s="165">
        <f t="shared" si="160"/>
        <v>-0.29853655864788775</v>
      </c>
      <c r="CQ205" s="165">
        <f t="shared" si="160"/>
        <v>-0.29853655864788775</v>
      </c>
      <c r="CR205" s="165">
        <f t="shared" si="155"/>
        <v>-0.29853655864788775</v>
      </c>
      <c r="CS205" s="159"/>
      <c r="CU205" s="159"/>
      <c r="CV205" s="125" t="s">
        <v>621</v>
      </c>
      <c r="CW205" s="125" t="s">
        <v>621</v>
      </c>
      <c r="CX205" s="159"/>
      <c r="CY205" s="167">
        <f t="shared" ref="CY205:CY237" si="161">AT205-BM205</f>
        <v>31.184292679980842</v>
      </c>
      <c r="CZ205" s="159"/>
      <c r="DB205" s="106"/>
      <c r="DC205" s="106"/>
      <c r="DD205" s="106"/>
      <c r="DE205" s="106"/>
      <c r="DF205" s="106"/>
      <c r="DG205" s="105" t="str">
        <f t="shared" ref="DG205:DG237" si="162">M205</f>
        <v>incl</v>
      </c>
      <c r="DH205" t="s">
        <v>439</v>
      </c>
      <c r="DI205" s="111">
        <f t="shared" si="148"/>
        <v>0</v>
      </c>
      <c r="DJ205" s="111">
        <f t="shared" si="148"/>
        <v>0</v>
      </c>
      <c r="DK205" s="111">
        <f t="shared" si="149"/>
        <v>-69.479721974098084</v>
      </c>
      <c r="DL205" s="111">
        <f t="shared" si="150"/>
        <v>-69.479721974098084</v>
      </c>
      <c r="DM205" s="111">
        <f t="shared" si="151"/>
        <v>-91.076483512102016</v>
      </c>
      <c r="DN205" s="111">
        <f t="shared" si="152"/>
        <v>-91.076483512102016</v>
      </c>
      <c r="DO205" s="111">
        <f t="shared" si="153"/>
        <v>-91.076483512102016</v>
      </c>
      <c r="DP205" s="111">
        <f t="shared" si="154"/>
        <v>-91.076483512102016</v>
      </c>
      <c r="DQ205" s="106"/>
      <c r="DR205" s="106"/>
      <c r="DS205" s="111">
        <f>[12]GHG_hist!BZ195+IF($M205="incl",[12]LULUCF_hist!DQ195,0)</f>
        <v>294.88276000000002</v>
      </c>
      <c r="DT205" s="168">
        <f>IF($M205="incl",'[12]IIASA Proj'!EQ195,0)</f>
        <v>0</v>
      </c>
      <c r="DW205" s="111">
        <f t="shared" ref="DW205:DY236" si="163">IF(BE205="",$BS205,BE205)</f>
        <v>214</v>
      </c>
      <c r="DX205" s="111">
        <f t="shared" si="163"/>
        <v>214</v>
      </c>
      <c r="DY205" s="111">
        <f t="shared" si="163"/>
        <v>214</v>
      </c>
      <c r="DZ205" s="111">
        <f t="shared" si="156"/>
        <v>214</v>
      </c>
      <c r="EP205" t="s">
        <v>439</v>
      </c>
      <c r="EQ205">
        <v>0</v>
      </c>
      <c r="ER205" s="111">
        <f t="shared" ref="ER205:ER236" si="164">AP205</f>
        <v>302.35631000000001</v>
      </c>
      <c r="ES205" s="111">
        <f>IF($BI$8=2015,VLOOKUP($L205,'[12]IMAGE CDLINKS CurPol'!$P$3:$Y$29,10,FALSE)*$AM205,VLOOKUP($L205,'[12]IMAGE CDLINKS CurPol'!$Z$3:$AI$29,10,FALSE)*$AP205)</f>
        <v>352.71858572846128</v>
      </c>
      <c r="ET205" s="111">
        <f t="shared" si="124"/>
        <v>352.71858572846128</v>
      </c>
      <c r="EU205" s="111">
        <f t="shared" si="120"/>
        <v>53.434083448752517</v>
      </c>
      <c r="EV205" s="111">
        <f>IF($BI$8=2015,VLOOKUP($L205,'[12]IMAGE CDLINKS 2C'!$P$3:$Y$29,10,FALSE)*$AM205,VLOOKUP($L205,'[12]IMAGE CDLINKS 2C'!$Z$3:$AI$29,10,FALSE)*$AP205)</f>
        <v>53.434083448752517</v>
      </c>
      <c r="EY205" s="111">
        <f t="shared" si="121"/>
        <v>25.136877926668458</v>
      </c>
      <c r="EZ205" s="111">
        <f>IF($BI$8=2015,VLOOKUP($L205,'[12]IMAGE CDLINKS 1_5C'!$P$3:$Y$29,10,FALSE)*$AM205,VLOOKUP($L205,'[12]IMAGE CDLINKS 1_5C'!$Z$3:$AI$29,10,FALSE)*$AP205)</f>
        <v>25.136877926668458</v>
      </c>
      <c r="FA205" s="192"/>
    </row>
    <row r="206" spans="1:157" x14ac:dyDescent="0.25">
      <c r="A206" t="str">
        <f>IF([12]NDCs!C208="","",[12]NDCs!C208)</f>
        <v>A</v>
      </c>
      <c r="B206" s="159" t="str">
        <f t="shared" si="157"/>
        <v>v</v>
      </c>
      <c r="C206">
        <v>0</v>
      </c>
      <c r="D206">
        <v>0</v>
      </c>
      <c r="E206">
        <v>0</v>
      </c>
      <c r="F206">
        <v>1</v>
      </c>
      <c r="G206" t="b">
        <f t="shared" si="158"/>
        <v>1</v>
      </c>
      <c r="H206" t="s">
        <v>2333</v>
      </c>
      <c r="I206" t="s">
        <v>441</v>
      </c>
      <c r="J206">
        <v>762</v>
      </c>
      <c r="K206">
        <v>196</v>
      </c>
      <c r="L206">
        <v>15</v>
      </c>
      <c r="M206" t="str">
        <f>IF([12]NDCs!AL208="Excluding","excl","incl")</f>
        <v>incl</v>
      </c>
      <c r="N206" s="160">
        <f>[12]GHG_hist!BA196+IF($M206="incl",[12]LULUCF_hist!CR196,0)</f>
        <v>26.926304000000002</v>
      </c>
      <c r="O206" s="111">
        <f>[12]GHG_hist!BB196+IF($M206="incl",[12]LULUCF_hist!CS196,0)</f>
        <v>28.533099999999997</v>
      </c>
      <c r="P206" s="111">
        <f>[12]GHG_hist!BC196+IF($M206="incl",[12]LULUCF_hist!CT196,0)</f>
        <v>23.973848000000004</v>
      </c>
      <c r="Q206" s="111">
        <f>[12]GHG_hist!BD196+IF($M206="incl",[12]LULUCF_hist!CU196,0)</f>
        <v>20.422999000000001</v>
      </c>
      <c r="R206" s="111">
        <f>[12]GHG_hist!BE196+IF($M206="incl",[12]LULUCF_hist!CV196,0)</f>
        <v>14.220361</v>
      </c>
      <c r="S206" s="111">
        <f>[12]GHG_hist!BF196+IF($M206="incl",[12]LULUCF_hist!CW196,0)</f>
        <v>11.864887</v>
      </c>
      <c r="T206" s="111">
        <f>[12]GHG_hist!BG196+IF($M206="incl",[12]LULUCF_hist!CX196,0)</f>
        <v>9.6266360000000013</v>
      </c>
      <c r="U206" s="111">
        <f>[12]GHG_hist!BH196+IF($M206="incl",[12]LULUCF_hist!CY196,0)</f>
        <v>9.5352690000000013</v>
      </c>
      <c r="V206" s="111">
        <f>[12]GHG_hist!BI196+IF($M206="incl",[12]LULUCF_hist!CZ196,0)</f>
        <v>8.7023469999999996</v>
      </c>
      <c r="W206" s="111">
        <f>[12]GHG_hist!BJ196+IF($M206="incl",[12]LULUCF_hist!DA196,0)</f>
        <v>8.5862000000000016</v>
      </c>
      <c r="X206" s="111">
        <f>[12]GHG_hist!BK196+IF($M206="incl",[12]LULUCF_hist!DB196,0)</f>
        <v>9.1381910000000008</v>
      </c>
      <c r="Y206" s="111">
        <f>[12]GHG_hist!BL196+IF($M206="incl",[12]LULUCF_hist!DC196,0)</f>
        <v>8.7975020000000015</v>
      </c>
      <c r="Z206" s="111">
        <f>[12]GHG_hist!BM196+IF($M206="incl",[12]LULUCF_hist!DD196,0)</f>
        <v>9.6537830000000007</v>
      </c>
      <c r="AA206" s="111">
        <f>[12]GHG_hist!BN196+IF($M206="incl",[12]LULUCF_hist!DE196,0)</f>
        <v>8.9551990000000004</v>
      </c>
      <c r="AB206" s="111">
        <f>[12]GHG_hist!BO196+IF($M206="incl",[12]LULUCF_hist!DF196,0)</f>
        <v>11.797737</v>
      </c>
      <c r="AC206" s="111">
        <f>[12]GHG_hist!BP196+IF($M206="incl",[12]LULUCF_hist!DG196,0)</f>
        <v>10.58451</v>
      </c>
      <c r="AD206" s="111">
        <f>[12]GHG_hist!BQ196+IF($M206="incl",[12]LULUCF_hist!DH196,0)</f>
        <v>11.294844000000001</v>
      </c>
      <c r="AE206" s="111">
        <f>[12]GHG_hist!BR196+IF($M206="incl",[12]LULUCF_hist!DI196,0)</f>
        <v>11.224033</v>
      </c>
      <c r="AF206" s="111">
        <f>[12]GHG_hist!BS196+IF($M206="incl",[12]LULUCF_hist!DJ196,0)</f>
        <v>9.3864909999999995</v>
      </c>
      <c r="AG206" s="111">
        <f>[12]GHG_hist!BT196+IF($M206="incl",[12]LULUCF_hist!DK196,0)</f>
        <v>9.4652609999999999</v>
      </c>
      <c r="AH206" s="111">
        <f>[12]GHG_hist!BU196+IF($M206="incl",[12]LULUCF_hist!DL196,0)</f>
        <v>9.1036099999999998</v>
      </c>
      <c r="AI206" s="111">
        <f>[12]GHG_hist!BV196+IF($M206="incl",[12]LULUCF_hist!DM196,0)</f>
        <v>8.4504314999999988</v>
      </c>
      <c r="AJ206" s="111">
        <f>[12]GHG_hist!BW196+IF($M206="incl",[12]LULUCF_hist!DN196,0)</f>
        <v>8.7424060000000008</v>
      </c>
      <c r="AK206" s="111">
        <f>[12]GHG_hist!BX196+IF($M206="incl",[12]LULUCF_hist!DO196,0)</f>
        <v>8.2155152999999999</v>
      </c>
      <c r="AL206" s="111">
        <f>[12]GHG_hist!BY196+IF($M206="incl",[12]LULUCF_hist!DP196,0)</f>
        <v>8.9660469999999997</v>
      </c>
      <c r="AM206" s="111">
        <f>[12]GHG_hist!BZ196+IF($M206="incl",[12]LULUCF_hist!DQ196,0)</f>
        <v>9.6994120000000006</v>
      </c>
      <c r="AN206" s="111">
        <f>[12]GHG_hist!CA196+IF($M206="incl",[12]LULUCF_hist!DR196,0)</f>
        <v>10.622935</v>
      </c>
      <c r="AO206" s="111">
        <f>[12]GHG_hist!CB196+IF($M206="incl",[12]LULUCF_hist!DS196,0)</f>
        <v>12.108446518518521</v>
      </c>
      <c r="AP206" s="111">
        <f>[12]GHG_hist!CC196+IF($M206="incl",[12]LULUCF_hist!DT196,0)</f>
        <v>11.616190883597884</v>
      </c>
      <c r="AQ206" s="111">
        <f>[12]GHG_hist!CD196+IF($M206="incl",[12]LULUCF_hist!DU196,0)</f>
        <v>11.856101248677248</v>
      </c>
      <c r="AR206" s="111">
        <f>[12]GHG_hist!CE196+IF($M206="incl",[12]LULUCF_hist!DV196,0)</f>
        <v>11.70637061375662</v>
      </c>
      <c r="AS206" s="111">
        <f>[12]GHG_hist!CF196+IF($M206="incl",[12]LULUCF_hist!DW196,0)</f>
        <v>11.902433978835976</v>
      </c>
      <c r="AT206" s="161">
        <f>VLOOKUP($L206,'[12]IMAGE SSP2'!$AF$3:$AK$29,4,FALSE)*$AM206</f>
        <v>10.584773313431564</v>
      </c>
      <c r="AU206" s="162">
        <f>VLOOKUP($L206,'[12]IMAGE SSP2'!$AF$3:$AK$29,5,FALSE)*$AM206</f>
        <v>11.67767422017679</v>
      </c>
      <c r="AV206" s="163">
        <f>VLOOKUP($L206,'[12]IMAGE SSP2'!$AF$3:$AK$29,6,FALSE)*$AM206</f>
        <v>12.371794950548896</v>
      </c>
      <c r="AW206" s="111" t="str">
        <f t="shared" ref="AW206:AW236" si="165">IF(A206="B",AH206+(AX206-AH206)*0.5,"")</f>
        <v/>
      </c>
      <c r="AX206" s="164" t="str">
        <f>IF(A206="B",IF(M206="excl",[12]NatCom!CO196,[12]NatCom!AX196),"")</f>
        <v/>
      </c>
      <c r="AY206" s="111" t="str">
        <f>IF('[12]Pledge 2020'!E196="","",'[12]Pledge 2020'!E196)</f>
        <v/>
      </c>
      <c r="AZ206" s="164" t="str">
        <f>IF('[12]Pledge 2020'!F196="","",'[12]Pledge 2020'!F196)</f>
        <v/>
      </c>
      <c r="BA206" s="111">
        <f t="shared" si="144"/>
        <v>21.744457700000002</v>
      </c>
      <c r="BB206" s="111">
        <f t="shared" si="159"/>
        <v>21.744457700000002</v>
      </c>
      <c r="BC206" s="111">
        <f t="shared" si="145"/>
        <v>18.499698500000001</v>
      </c>
      <c r="BD206" s="111">
        <f>IF(BH206="","",(BH206-AH206)*0.75+AH206)</f>
        <v>18.499698500000001</v>
      </c>
      <c r="BE206" s="111">
        <v>25.958073600000002</v>
      </c>
      <c r="BF206" s="111">
        <v>25.958073600000002</v>
      </c>
      <c r="BG206" s="111">
        <v>21.631728000000003</v>
      </c>
      <c r="BH206" s="111">
        <v>21.631728000000003</v>
      </c>
      <c r="BI206" s="111">
        <f>IF([12]NDCs!V208="",IF([12]NDCs!X208="","",[12]NDCs!X208),[12]NDCs!V208)</f>
        <v>25.958073600000002</v>
      </c>
      <c r="BJ206" s="111">
        <f>IF([12]NDCs!V208="",IF([12]NDCs!X208="","",[12]NDCs!X208),[12]NDCs!V208)</f>
        <v>25.958073600000002</v>
      </c>
      <c r="BK206" s="111">
        <f>IF([12]NDCs!Z208="",IF([12]NDCs!AB208="",IF('input site'!BE206="","",'input site'!BE206),[12]NDCs!AB208),[12]NDCs!Z208)</f>
        <v>21.631728000000003</v>
      </c>
      <c r="BL206" s="111">
        <f>IF([12]NDCs!AA208="",IF([12]NDCs!AC208="",IF('input site'!BF206="","",'input site'!BF206),[12]NDCs!AC208),[12]NDCs!AA208)</f>
        <v>21.631728000000003</v>
      </c>
      <c r="BM206" s="111">
        <f>IF($BI$8=2015,VLOOKUP($L206,'[12]IMAGE CurPol SSP'!$AZ$3:$BD$29,4,FALSE)*$AM206,IF($BI$8=2018,VLOOKUP($L206,'[12]IMAGE CurPol SSP'!$BJ$3:$BN$29,4,FALSE)*$AP206,$AR206))</f>
        <v>11.70637061375662</v>
      </c>
      <c r="BN206" s="111">
        <f t="shared" si="147"/>
        <v>11.70637061375662</v>
      </c>
      <c r="BO206" s="111">
        <f t="shared" si="147"/>
        <v>11.70637061375662</v>
      </c>
      <c r="BP206" s="111">
        <f>IF($BI$8=2015,VLOOKUP($L206,'[12]IMAGE CurPol SSP'!$AZ$3:$BD$29,5,FALSE)*$AM206,IF($BI$8=2018,VLOOKUP($L206,'[12]IMAGE CurPol SSP'!$BJ$3:$BN$29,5,FALSE)*$AP206,VLOOKUP($L206,'[12]IMAGE CurPol SSP'!$BU$3:$BZ$29,5,FALSE)*$AS206))</f>
        <v>12.969190825756128</v>
      </c>
      <c r="BQ206" s="111">
        <f>IF($BI$8=2015,"",IF($BI$8=2018,"",VLOOKUP($L206,'[12]IMAGE CurPol SSP'!$CQ$3:$CV$29,5,FALSE)*$AS206))</f>
        <v>12.605091541453408</v>
      </c>
      <c r="BR206" s="111">
        <f>IF($BI$8=2015,"",IF($BI$8=2018,"",VLOOKUP($L206,'[12]IMAGE CurPol SSP'!$CF$3:$CK$29,5,FALSE)*$AS206))</f>
        <v>13.227122580234802</v>
      </c>
      <c r="BS206" s="111">
        <f>IF($BI$8=2015,VLOOKUP($L206,'[12]IMAGE CurPol SSP'!$AZ$3:$BE$29,6,FALSE)*$AM206,IF($BI$8=2018,VLOOKUP($L206,'[12]IMAGE CurPol SSP'!$BJ$3:$BO$29,6,FALSE)*$AP206,VLOOKUP($L206,'[12]IMAGE CurPol SSP'!$BU$3:$BZ$29,6,FALSE)*$AS206))</f>
        <v>14.631996825555365</v>
      </c>
      <c r="BT206" s="111">
        <f>IF($BI$8=2015,"",IF($BI$8=2018,"",VLOOKUP($L206,'[12]IMAGE CurPol SSP'!$CQ$3:$CV$29,6,FALSE)*$AS206))</f>
        <v>13.925617434777948</v>
      </c>
      <c r="BU206" s="164">
        <f>IF($BI$8=2015,"",IF($BI$8=2018,"",VLOOKUP($L206,'[12]IMAGE CurPol SSP'!$CF$3:$CK$29,6,FALSE)*$AS206))</f>
        <v>15.428669766740366</v>
      </c>
      <c r="CN206" t="s">
        <v>441</v>
      </c>
      <c r="CO206" s="165">
        <f t="shared" si="160"/>
        <v>0.77406227663084182</v>
      </c>
      <c r="CP206" s="165">
        <f t="shared" si="160"/>
        <v>0.77406227663084182</v>
      </c>
      <c r="CQ206" s="165">
        <f t="shared" si="160"/>
        <v>0.47838523052570148</v>
      </c>
      <c r="CR206" s="165">
        <f t="shared" si="155"/>
        <v>0.47838523052570148</v>
      </c>
      <c r="CV206" s="125" t="s">
        <v>621</v>
      </c>
      <c r="CW206" s="125" t="s">
        <v>621</v>
      </c>
      <c r="CX206"/>
      <c r="CY206" s="167">
        <f t="shared" si="161"/>
        <v>-1.1215973003250568</v>
      </c>
      <c r="DB206" s="106"/>
      <c r="DC206" s="106"/>
      <c r="DD206" s="106"/>
      <c r="DE206" s="106"/>
      <c r="DF206" s="106"/>
      <c r="DG206" s="105" t="str">
        <f t="shared" si="162"/>
        <v>incl</v>
      </c>
      <c r="DH206" t="s">
        <v>441</v>
      </c>
      <c r="DI206" s="111">
        <f t="shared" si="148"/>
        <v>0</v>
      </c>
      <c r="DJ206" s="111">
        <f t="shared" si="148"/>
        <v>0</v>
      </c>
      <c r="DK206" s="111">
        <f t="shared" si="149"/>
        <v>8.775266874243874</v>
      </c>
      <c r="DL206" s="111">
        <f t="shared" si="150"/>
        <v>5.5305076742438732</v>
      </c>
      <c r="DM206" s="111">
        <f t="shared" si="151"/>
        <v>11.326076774444637</v>
      </c>
      <c r="DN206" s="111">
        <f t="shared" si="152"/>
        <v>6.9997311744446371</v>
      </c>
      <c r="DO206" s="111">
        <f t="shared" si="153"/>
        <v>11.326076774444637</v>
      </c>
      <c r="DP206" s="111">
        <f t="shared" si="154"/>
        <v>6.9997311744446371</v>
      </c>
      <c r="DQ206" s="106"/>
      <c r="DR206" s="106"/>
      <c r="DS206" s="111">
        <f>[12]GHG_hist!BZ196+IF($M206="incl",[12]LULUCF_hist!DQ196,0)</f>
        <v>9.6994120000000006</v>
      </c>
      <c r="DT206" s="168">
        <f>IF($M206="incl",'[12]IIASA Proj'!EQ196,0)</f>
        <v>-1.4967789498412698</v>
      </c>
      <c r="DW206" s="111">
        <f t="shared" si="163"/>
        <v>25.958073600000002</v>
      </c>
      <c r="DX206" s="111">
        <f t="shared" si="163"/>
        <v>25.958073600000002</v>
      </c>
      <c r="DY206" s="111">
        <f t="shared" si="163"/>
        <v>21.631728000000003</v>
      </c>
      <c r="DZ206" s="111">
        <f t="shared" si="156"/>
        <v>21.631728000000003</v>
      </c>
      <c r="EP206" t="s">
        <v>441</v>
      </c>
      <c r="EQ206">
        <v>0</v>
      </c>
      <c r="ER206" s="111">
        <f t="shared" si="164"/>
        <v>11.616190883597884</v>
      </c>
      <c r="ES206" s="111">
        <f>IF($BI$8=2015,VLOOKUP($L206,'[12]IMAGE CDLINKS CurPol'!$P$3:$Y$29,10,FALSE)*$AM206,VLOOKUP($L206,'[12]IMAGE CDLINKS CurPol'!$Z$3:$AI$29,10,FALSE)*$AP206)</f>
        <v>15.588466577310539</v>
      </c>
      <c r="ET206" s="111">
        <f t="shared" si="124"/>
        <v>15.588466577310539</v>
      </c>
      <c r="EU206" s="111">
        <f t="shared" ref="EU206:EU236" si="166">IF(EQ206&gt;=1.5,EW206,EV206)</f>
        <v>5.2516084163686134</v>
      </c>
      <c r="EV206" s="111">
        <f>IF($BI$8=2015,VLOOKUP($L206,'[12]IMAGE CDLINKS 2C'!$P$3:$Y$29,10,FALSE)*$AM206,VLOOKUP($L206,'[12]IMAGE CDLINKS 2C'!$Z$3:$AI$29,10,FALSE)*$AP206)</f>
        <v>5.2516084163686134</v>
      </c>
      <c r="EY206" s="111">
        <f t="shared" ref="EY206:EY236" si="167">IF(EQ206&gt;=1,EW206,EZ206)</f>
        <v>3.3363798870476642</v>
      </c>
      <c r="EZ206" s="111">
        <f>IF($BI$8=2015,VLOOKUP($L206,'[12]IMAGE CDLINKS 1_5C'!$P$3:$Y$29,10,FALSE)*$AM206,VLOOKUP($L206,'[12]IMAGE CDLINKS 1_5C'!$Z$3:$AI$29,10,FALSE)*$AP206)</f>
        <v>3.3363798870476642</v>
      </c>
      <c r="FA206" s="192"/>
    </row>
    <row r="207" spans="1:157" x14ac:dyDescent="0.25">
      <c r="A207" t="str">
        <f>IF([12]NDCs!C209="","",[12]NDCs!C209)</f>
        <v>B</v>
      </c>
      <c r="B207" s="159" t="str">
        <f t="shared" si="157"/>
        <v>v</v>
      </c>
      <c r="C207">
        <v>0</v>
      </c>
      <c r="D207">
        <v>0</v>
      </c>
      <c r="E207">
        <v>0</v>
      </c>
      <c r="F207">
        <v>1</v>
      </c>
      <c r="G207" t="b">
        <f t="shared" si="158"/>
        <v>1</v>
      </c>
      <c r="H207" t="s">
        <v>2328</v>
      </c>
      <c r="I207" t="s">
        <v>443</v>
      </c>
      <c r="J207">
        <v>834</v>
      </c>
      <c r="K207">
        <v>213</v>
      </c>
      <c r="L207">
        <v>26</v>
      </c>
      <c r="M207" t="str">
        <f>IF([12]NDCs!AL209="Excluding","excl","incl")</f>
        <v>excl</v>
      </c>
      <c r="N207" s="160">
        <f>[12]GHG_hist!BA197+IF($M207="incl",[12]LULUCF_hist!CR197,0)</f>
        <v>41.802135999999997</v>
      </c>
      <c r="O207" s="111">
        <f>[12]GHG_hist!BB197+IF($M207="incl",[12]LULUCF_hist!CS197,0)</f>
        <v>42.368406999999998</v>
      </c>
      <c r="P207" s="111">
        <f>[12]GHG_hist!BC197+IF($M207="incl",[12]LULUCF_hist!CT197,0)</f>
        <v>42.540343999999997</v>
      </c>
      <c r="Q207" s="111">
        <f>[12]GHG_hist!BD197+IF($M207="incl",[12]LULUCF_hist!CU197,0)</f>
        <v>43.502790000000005</v>
      </c>
      <c r="R207" s="111">
        <f>[12]GHG_hist!BE197+IF($M207="incl",[12]LULUCF_hist!CV197,0)</f>
        <v>44.113783000000005</v>
      </c>
      <c r="S207" s="111">
        <f>[12]GHG_hist!BF197+IF($M207="incl",[12]LULUCF_hist!CW197,0)</f>
        <v>47.851959000000001</v>
      </c>
      <c r="T207" s="111">
        <f>[12]GHG_hist!BG197+IF($M207="incl",[12]LULUCF_hist!CX197,0)</f>
        <v>46.012667</v>
      </c>
      <c r="U207" s="111">
        <f>[12]GHG_hist!BH197+IF($M207="incl",[12]LULUCF_hist!CY197,0)</f>
        <v>46.189343999999998</v>
      </c>
      <c r="V207" s="111">
        <f>[12]GHG_hist!BI197+IF($M207="incl",[12]LULUCF_hist!CZ197,0)</f>
        <v>49.902457000000005</v>
      </c>
      <c r="W207" s="111">
        <f>[12]GHG_hist!BJ197+IF($M207="incl",[12]LULUCF_hist!DA197,0)</f>
        <v>51.475991999999998</v>
      </c>
      <c r="X207" s="111">
        <f>[12]GHG_hist!BK197+IF($M207="incl",[12]LULUCF_hist!DB197,0)</f>
        <v>49.661800999999997</v>
      </c>
      <c r="Y207" s="111">
        <f>[12]GHG_hist!BL197+IF($M207="incl",[12]LULUCF_hist!DC197,0)</f>
        <v>51.475994</v>
      </c>
      <c r="Z207" s="111">
        <f>[12]GHG_hist!BM197+IF($M207="incl",[12]LULUCF_hist!DD197,0)</f>
        <v>56.205283000000001</v>
      </c>
      <c r="AA207" s="111">
        <f>[12]GHG_hist!BN197+IF($M207="incl",[12]LULUCF_hist!DE197,0)</f>
        <v>60.910544999999999</v>
      </c>
      <c r="AB207" s="111">
        <f>[12]GHG_hist!BO197+IF($M207="incl",[12]LULUCF_hist!DF197,0)</f>
        <v>60.512156000000004</v>
      </c>
      <c r="AC207" s="111">
        <f>[12]GHG_hist!BP197+IF($M207="incl",[12]LULUCF_hist!DG197,0)</f>
        <v>64.593558000000002</v>
      </c>
      <c r="AD207" s="111">
        <f>[12]GHG_hist!BQ197+IF($M207="incl",[12]LULUCF_hist!DH197,0)</f>
        <v>62.446445000000004</v>
      </c>
      <c r="AE207" s="111">
        <f>[12]GHG_hist!BR197+IF($M207="incl",[12]LULUCF_hist!DI197,0)</f>
        <v>65.008279000000002</v>
      </c>
      <c r="AF207" s="111">
        <f>[12]GHG_hist!BS197+IF($M207="incl",[12]LULUCF_hist!DJ197,0)</f>
        <v>67.287183999999996</v>
      </c>
      <c r="AG207" s="111">
        <f>[12]GHG_hist!BT197+IF($M207="incl",[12]LULUCF_hist!DK197,0)</f>
        <v>68.109566000000001</v>
      </c>
      <c r="AH207" s="111">
        <f>[12]GHG_hist!BU197+IF($M207="incl",[12]LULUCF_hist!DL197,0)</f>
        <v>72.231356000000005</v>
      </c>
      <c r="AI207" s="111">
        <f>[12]GHG_hist!BV197+IF($M207="incl",[12]LULUCF_hist!DM197,0)</f>
        <v>75.397266000000002</v>
      </c>
      <c r="AJ207" s="111">
        <f>[12]GHG_hist!BW197+IF($M207="incl",[12]LULUCF_hist!DN197,0)</f>
        <v>78.719582000000003</v>
      </c>
      <c r="AK207" s="111">
        <f>[12]GHG_hist!BX197+IF($M207="incl",[12]LULUCF_hist!DO197,0)</f>
        <v>82.492229999999992</v>
      </c>
      <c r="AL207" s="111">
        <f>[12]GHG_hist!BY197+IF($M207="incl",[12]LULUCF_hist!DP197,0)</f>
        <v>83.735063999999994</v>
      </c>
      <c r="AM207" s="111">
        <f>[12]GHG_hist!BZ197+IF($M207="incl",[12]LULUCF_hist!DQ197,0)</f>
        <v>87.349038000000007</v>
      </c>
      <c r="AN207" s="111">
        <f>[12]GHG_hist!CA197+IF($M207="incl",[12]LULUCF_hist!DR197,0)</f>
        <v>87.994472999999999</v>
      </c>
      <c r="AO207" s="111">
        <f>[12]GHG_hist!CB197+IF($M207="incl",[12]LULUCF_hist!DS197,0)</f>
        <v>87.144279999999995</v>
      </c>
      <c r="AP207" s="111">
        <f>[12]GHG_hist!CC197+IF($M207="incl",[12]LULUCF_hist!DT197,0)</f>
        <v>88.348749999999995</v>
      </c>
      <c r="AQ207" s="111">
        <f>[12]GHG_hist!CD197+IF($M207="incl",[12]LULUCF_hist!DU197,0)</f>
        <v>91.349729999999994</v>
      </c>
      <c r="AR207" s="111">
        <f>[12]GHG_hist!CE197+IF($M207="incl",[12]LULUCF_hist!DV197,0)</f>
        <v>93.961731</v>
      </c>
      <c r="AS207" s="111">
        <f>[12]GHG_hist!CF197+IF($M207="incl",[12]LULUCF_hist!DW197,0)</f>
        <v>96.240530000000007</v>
      </c>
      <c r="AT207" s="161">
        <f>VLOOKUP($L207,'[12]IMAGE SSP2'!$AF$3:$AK$29,4,FALSE)*$AM207</f>
        <v>97.013470330197933</v>
      </c>
      <c r="AU207" s="162">
        <f>VLOOKUP($L207,'[12]IMAGE SSP2'!$AF$3:$AK$29,5,FALSE)*$AM207</f>
        <v>102.37230460607402</v>
      </c>
      <c r="AV207" s="163">
        <f>VLOOKUP($L207,'[12]IMAGE SSP2'!$AF$3:$AK$29,6,FALSE)*$AM207</f>
        <v>119.83014688401553</v>
      </c>
      <c r="AW207" s="111">
        <f>IF(A207="B",AM207+(AX207-AM207)*0.33333,"")</f>
        <v>106.73249816346001</v>
      </c>
      <c r="AX207" s="164">
        <f>IF(A207="B",IF(M207="excl",[12]NatCom!CO197,[12]NatCom!AX197),"")</f>
        <v>145.5</v>
      </c>
      <c r="AY207" s="111" t="str">
        <f>IF('[12]Pledge 2020'!E197="","",'[12]Pledge 2020'!E197)</f>
        <v/>
      </c>
      <c r="AZ207" s="164" t="str">
        <f>IF('[12]Pledge 2020'!F197="","",'[12]Pledge 2020'!F197)</f>
        <v/>
      </c>
      <c r="BA207" s="111">
        <f t="shared" si="144"/>
        <v>94.44533899999999</v>
      </c>
      <c r="BB207" s="111">
        <f t="shared" si="159"/>
        <v>94.44533899999999</v>
      </c>
      <c r="BC207" s="111">
        <f t="shared" si="145"/>
        <v>88.989089000000007</v>
      </c>
      <c r="BD207" s="111">
        <f>IF(BH207="","",(BH207-AH207)*0.75+AH207)</f>
        <v>88.989089000000007</v>
      </c>
      <c r="BE207" s="169">
        <v>101.85</v>
      </c>
      <c r="BF207" s="169">
        <v>101.85</v>
      </c>
      <c r="BG207" s="169">
        <v>94.575000000000003</v>
      </c>
      <c r="BH207" s="170">
        <v>94.575000000000003</v>
      </c>
      <c r="BI207" s="111">
        <f>IF([12]NDCs!V209="",IF([12]NDCs!X209="","",[12]NDCs!X209),[12]NDCs!V209)</f>
        <v>130.95000000000002</v>
      </c>
      <c r="BJ207" s="111">
        <f>IF([12]NDCs!V209="",IF([12]NDCs!X209="","",[12]NDCs!X209),[12]NDCs!V209)</f>
        <v>130.95000000000002</v>
      </c>
      <c r="BK207" s="111">
        <f>IF([12]NDCs!Z209="",IF([12]NDCs!AB209="",IF('input site'!BE207="","",'input site'!BE207),[12]NDCs!AB209),[12]NDCs!Z209)</f>
        <v>116.4</v>
      </c>
      <c r="BL207" s="111">
        <f>IF([12]NDCs!AA209="",IF([12]NDCs!AC209="",IF('input site'!BF207="","",'input site'!BF207),[12]NDCs!AC209),[12]NDCs!AA209)</f>
        <v>116.4</v>
      </c>
      <c r="BM207" s="111">
        <f>IF($BI$8=2015,VLOOKUP($L207,'[12]IMAGE CurPol SSP'!$AZ$3:$BD$29,4,FALSE)*$AM207,IF($BI$8=2018,VLOOKUP($L207,'[12]IMAGE CurPol SSP'!$BJ$3:$BN$29,4,FALSE)*$AP207,$AR207))</f>
        <v>93.961731</v>
      </c>
      <c r="BN207" s="111">
        <f t="shared" si="147"/>
        <v>93.961731</v>
      </c>
      <c r="BO207" s="111">
        <f t="shared" si="147"/>
        <v>93.961731</v>
      </c>
      <c r="BP207" s="111">
        <f>IF($BI$8=2015,VLOOKUP($L207,'[12]IMAGE CurPol SSP'!$AZ$3:$BD$29,5,FALSE)*$AM207,IF($BI$8=2018,VLOOKUP($L207,'[12]IMAGE CurPol SSP'!$BJ$3:$BN$29,5,FALSE)*$AP207,VLOOKUP($L207,'[12]IMAGE CurPol SSP'!$BU$3:$BZ$29,5,FALSE)*$AS207))</f>
        <v>102.9612217873842</v>
      </c>
      <c r="BQ207" s="111">
        <f>IF($BI$8=2015,"",IF($BI$8=2018,"",VLOOKUP($L207,'[12]IMAGE CurPol SSP'!$CQ$3:$CV$29,5,FALSE)*$AS207))</f>
        <v>102.9612217873842</v>
      </c>
      <c r="BR207" s="111">
        <f>IF($BI$8=2015,"",IF($BI$8=2018,"",VLOOKUP($L207,'[12]IMAGE CurPol SSP'!$CF$3:$CK$29,5,FALSE)*$AS207))</f>
        <v>105.99674502336156</v>
      </c>
      <c r="BS207" s="111">
        <f>IF($BI$8=2015,VLOOKUP($L207,'[12]IMAGE CurPol SSP'!$AZ$3:$BE$29,6,FALSE)*$AM207,IF($BI$8=2018,VLOOKUP($L207,'[12]IMAGE CurPol SSP'!$BJ$3:$BO$29,6,FALSE)*$AP207,VLOOKUP($L207,'[12]IMAGE CurPol SSP'!$BU$3:$BZ$29,6,FALSE)*$AS207))</f>
        <v>117.12848772424611</v>
      </c>
      <c r="BT207" s="111">
        <f>IF($BI$8=2015,"",IF($BI$8=2018,"",VLOOKUP($L207,'[12]IMAGE CurPol SSP'!$CQ$3:$CV$29,6,FALSE)*$AS207))</f>
        <v>117.12848772424611</v>
      </c>
      <c r="BU207" s="164">
        <f>IF($BI$8=2015,"",IF($BI$8=2018,"",VLOOKUP($L207,'[12]IMAGE CurPol SSP'!$CF$3:$CK$29,6,FALSE)*$AS207))</f>
        <v>121.84431846215597</v>
      </c>
      <c r="CN207" t="s">
        <v>443</v>
      </c>
      <c r="CO207" s="165">
        <f t="shared" si="160"/>
        <v>-0.13044211550153395</v>
      </c>
      <c r="CP207" s="165">
        <f t="shared" si="160"/>
        <v>-0.13044211550153395</v>
      </c>
      <c r="CQ207" s="165">
        <f t="shared" si="160"/>
        <v>-0.19255339296571006</v>
      </c>
      <c r="CR207" s="165">
        <f t="shared" si="155"/>
        <v>-0.19255339296571006</v>
      </c>
      <c r="CS207" s="159"/>
      <c r="CU207" s="159"/>
      <c r="CV207" s="125" t="s">
        <v>621</v>
      </c>
      <c r="CW207" s="125" t="s">
        <v>621</v>
      </c>
      <c r="CX207" s="159"/>
      <c r="CY207" s="167">
        <f t="shared" si="161"/>
        <v>3.0517393301979325</v>
      </c>
      <c r="CZ207" s="159"/>
      <c r="DB207" s="106"/>
      <c r="DC207" s="106"/>
      <c r="DD207" s="106"/>
      <c r="DE207" s="106"/>
      <c r="DF207" s="106"/>
      <c r="DG207" s="105" t="str">
        <f t="shared" si="162"/>
        <v>excl</v>
      </c>
      <c r="DH207" t="s">
        <v>443</v>
      </c>
      <c r="DI207" s="111">
        <f t="shared" si="148"/>
        <v>0</v>
      </c>
      <c r="DJ207" s="111">
        <f t="shared" si="148"/>
        <v>0</v>
      </c>
      <c r="DK207" s="111">
        <f t="shared" si="149"/>
        <v>-8.5158827873842142</v>
      </c>
      <c r="DL207" s="111">
        <f t="shared" si="150"/>
        <v>-13.972132787384197</v>
      </c>
      <c r="DM207" s="111">
        <f t="shared" si="151"/>
        <v>-15.278487724246119</v>
      </c>
      <c r="DN207" s="111">
        <f t="shared" si="152"/>
        <v>-22.553487724246111</v>
      </c>
      <c r="DO207" s="111">
        <f t="shared" si="153"/>
        <v>13.821512275753904</v>
      </c>
      <c r="DP207" s="111">
        <f t="shared" si="154"/>
        <v>-0.72848772424610786</v>
      </c>
      <c r="DQ207" s="106"/>
      <c r="DR207" s="106"/>
      <c r="DS207" s="111"/>
      <c r="DT207" s="168"/>
      <c r="DW207" s="111">
        <f t="shared" si="163"/>
        <v>101.85</v>
      </c>
      <c r="DX207" s="111">
        <f t="shared" si="163"/>
        <v>101.85</v>
      </c>
      <c r="DY207" s="111">
        <f t="shared" si="163"/>
        <v>94.575000000000003</v>
      </c>
      <c r="DZ207" s="111">
        <f t="shared" si="156"/>
        <v>94.575000000000003</v>
      </c>
      <c r="EP207" t="s">
        <v>443</v>
      </c>
      <c r="EQ207">
        <v>-1</v>
      </c>
      <c r="ER207" s="111">
        <f t="shared" si="164"/>
        <v>88.348749999999995</v>
      </c>
      <c r="ES207" s="111">
        <f>IF($BI$8=2015,VLOOKUP($L207,'[12]IMAGE CDLINKS CurPol'!$P$3:$Y$29,10,FALSE)*$AM207,VLOOKUP($L207,'[12]IMAGE CDLINKS CurPol'!$Z$3:$AI$29,10,FALSE)*$AP207)</f>
        <v>179.17715231271075</v>
      </c>
      <c r="ET207" s="111">
        <f t="shared" si="124"/>
        <v>179.17715231271075</v>
      </c>
      <c r="EU207" s="111">
        <f t="shared" si="166"/>
        <v>62.813624025181802</v>
      </c>
      <c r="EV207" s="111">
        <f>IF($BI$8=2015,VLOOKUP($L207,'[12]IMAGE CDLINKS 2C'!$P$3:$Y$29,10,FALSE)*$AM207,VLOOKUP($L207,'[12]IMAGE CDLINKS 2C'!$Z$3:$AI$29,10,FALSE)*$AP207)</f>
        <v>62.813624025181802</v>
      </c>
      <c r="EX207" s="111"/>
      <c r="EY207" s="111">
        <f t="shared" si="167"/>
        <v>58.573052488286628</v>
      </c>
      <c r="EZ207" s="111">
        <f>IF($BI$8=2015,VLOOKUP($L207,'[12]IMAGE CDLINKS 1_5C'!$P$3:$Y$29,10,FALSE)*$AM207,VLOOKUP($L207,'[12]IMAGE CDLINKS 1_5C'!$Z$3:$AI$29,10,FALSE)*$AP207)</f>
        <v>58.573052488286628</v>
      </c>
      <c r="FA207" s="192">
        <v>2050</v>
      </c>
    </row>
    <row r="208" spans="1:157" x14ac:dyDescent="0.25">
      <c r="A208" t="str">
        <f>IF([12]NDCs!C210="","",[12]NDCs!C210)</f>
        <v>B</v>
      </c>
      <c r="B208" s="159" t="str">
        <f t="shared" si="157"/>
        <v>iv</v>
      </c>
      <c r="C208">
        <v>1</v>
      </c>
      <c r="D208">
        <v>0</v>
      </c>
      <c r="E208">
        <v>0</v>
      </c>
      <c r="F208">
        <v>1</v>
      </c>
      <c r="G208" t="b">
        <f t="shared" si="158"/>
        <v>1</v>
      </c>
      <c r="H208" t="s">
        <v>2328</v>
      </c>
      <c r="I208" t="s">
        <v>445</v>
      </c>
      <c r="J208">
        <v>764</v>
      </c>
      <c r="K208">
        <v>197</v>
      </c>
      <c r="L208">
        <v>21</v>
      </c>
      <c r="M208" t="str">
        <f>IF([12]NDCs!AL210="Excluding","excl","incl")</f>
        <v>excl</v>
      </c>
      <c r="N208" s="195">
        <f>[12]THA!$A$24*IF($M208="incl",[12]THA!E$41,[12]THA!E$37)</f>
        <v>205.76547389999999</v>
      </c>
      <c r="O208" s="195">
        <f>[12]THA!$A$24*IF($M208="incl",[12]THA!F$41,[12]THA!F$37)</f>
        <v>213.26703567499999</v>
      </c>
      <c r="P208" s="195">
        <f>[12]THA!$A$24*IF($M208="incl",[12]THA!G$41,[12]THA!G$37)</f>
        <v>220.76859744999999</v>
      </c>
      <c r="Q208" s="195">
        <f>[12]THA!$A$24*IF($M208="incl",[12]THA!H$41,[12]THA!H$37)</f>
        <v>228.27015922499999</v>
      </c>
      <c r="R208" s="195">
        <f>[12]THA!$A$24*IF($M208="incl",[12]THA!I$41,[12]THA!I$37)</f>
        <v>235.77172099999899</v>
      </c>
      <c r="S208" s="195">
        <f>[12]THA!$A$24*IF($M208="incl",[12]THA!J$41,[12]THA!J$37)</f>
        <v>237.45960083333301</v>
      </c>
      <c r="T208" s="195">
        <f>[12]THA!$A$24*IF($M208="incl",[12]THA!K$41,[12]THA!K$37)</f>
        <v>239.14748066666601</v>
      </c>
      <c r="U208" s="195">
        <f>[12]THA!$A$24*IF($M208="incl",[12]THA!L$41,[12]THA!L$37)</f>
        <v>240.83536049999901</v>
      </c>
      <c r="V208" s="195">
        <f>[12]THA!$A$24*IF($M208="incl",[12]THA!M$41,[12]THA!M$37)</f>
        <v>242.52324033333301</v>
      </c>
      <c r="W208" s="195">
        <f>[12]THA!$A$24*IF($M208="incl",[12]THA!N$41,[12]THA!N$37)</f>
        <v>244.21112016666601</v>
      </c>
      <c r="X208" s="195">
        <f>[12]THA!$A$24*IF($M208="incl",[12]THA!O$41,[12]THA!O$37)</f>
        <v>245.899</v>
      </c>
      <c r="Y208" s="195">
        <f>[12]THA!$A$24*IF($M208="incl",[12]THA!P$41,[12]THA!P$37)</f>
        <v>257.08099999999899</v>
      </c>
      <c r="Z208" s="195">
        <f>[12]THA!$A$24*IF($M208="incl",[12]THA!Q$41,[12]THA!Q$37)</f>
        <v>268.767</v>
      </c>
      <c r="AA208" s="195">
        <f>[12]THA!$A$24*IF($M208="incl",[12]THA!R$41,[12]THA!R$37)</f>
        <v>282.07</v>
      </c>
      <c r="AB208" s="195">
        <f>[12]THA!$A$24*IF($M208="incl",[12]THA!S$41,[12]THA!S$37)</f>
        <v>301.02499999999998</v>
      </c>
      <c r="AC208" s="195">
        <f>[12]THA!$A$24*IF($M208="incl",[12]THA!T$41,[12]THA!T$37)</f>
        <v>306.78300000000002</v>
      </c>
      <c r="AD208" s="195">
        <f>[12]THA!$A$24*IF($M208="incl",[12]THA!U$41,[12]THA!U$37)</f>
        <v>311.85000000000002</v>
      </c>
      <c r="AE208" s="195">
        <f>[12]THA!$A$24*IF($M208="incl",[12]THA!V$41,[12]THA!V$37)</f>
        <v>323.53399999999999</v>
      </c>
      <c r="AF208" s="195">
        <f>[12]THA!$A$24*IF($M208="incl",[12]THA!W$41,[12]THA!W$37)</f>
        <v>327.32499999999999</v>
      </c>
      <c r="AG208" s="195">
        <f>[12]THA!$A$24*IF($M208="incl",[12]THA!X$41,[12]THA!X$37)</f>
        <v>328.28899999999999</v>
      </c>
      <c r="AH208" s="195">
        <f>[12]THA!$A$24*IF($M208="incl",[12]THA!Y$41,[12]THA!Y$37)</f>
        <v>339.54</v>
      </c>
      <c r="AI208" s="195">
        <f>[12]THA!$A$24*IF($M208="incl",[12]THA!Z$41,[12]THA!Z$37)</f>
        <v>337.27099999999899</v>
      </c>
      <c r="AJ208" s="195">
        <f>[12]THA!$A$24*IF($M208="incl",[12]THA!AA$41,[12]THA!AA$37)</f>
        <v>352.46899999999999</v>
      </c>
      <c r="AK208" s="195">
        <f>[12]THA!$A$24*IF($M208="incl",[12]THA!AB$41,[12]THA!AB$37)</f>
        <v>348.07499999999999</v>
      </c>
      <c r="AL208" s="195">
        <f>[12]THA!$A$24*IF($M208="incl",[12]THA!AC$41,[12]THA!AC$37)</f>
        <v>346.77600000000001</v>
      </c>
      <c r="AM208" s="195">
        <f>[12]THA!$A$24*IF($M208="incl",[12]THA!AD$41,[12]THA!AD$37)</f>
        <v>345.91699999999997</v>
      </c>
      <c r="AN208" s="195">
        <f>[12]THA!$A$24*IF($M208="incl",[12]THA!AE$41,[12]THA!AE$37)</f>
        <v>360.80399999999997</v>
      </c>
      <c r="AO208" s="195">
        <f>[12]THA!$A$24*IF($M208="incl",[12]THA!AF$41,[12]THA!AF$37)</f>
        <v>368.01799999999997</v>
      </c>
      <c r="AP208" s="195">
        <f>[12]THA!$A$24*IF($M208="incl",[12]THA!AG$41,[12]THA!AG$37)</f>
        <v>372.64800000000002</v>
      </c>
      <c r="AQ208" s="195">
        <f>[12]THA!$A$24*IF($M208="incl",[12]THA!AH$41,[12]THA!AH$37)</f>
        <v>372.71600000000001</v>
      </c>
      <c r="AR208" s="195">
        <f>[12]THA!$A$24*IF($M208="incl",[12]THA!AI$41,[12]THA!AI$37)</f>
        <v>361.71600000000001</v>
      </c>
      <c r="AS208" s="195">
        <f>[12]THA!$A$24*IF($M208="incl",[12]THA!AJ$41,[12]THA!AJ$37)</f>
        <v>359.71600000000001</v>
      </c>
      <c r="AT208" s="179">
        <f>[12]THA!$A$24*[12]THA!AI23</f>
        <v>389.56835999999998</v>
      </c>
      <c r="AU208" s="177">
        <f>[12]THA!$A$24*[12]THA!AN23</f>
        <v>481.95176000000004</v>
      </c>
      <c r="AV208" s="180">
        <f>[12]THA!$A$24*[12]THA!AS23</f>
        <v>563.50995999999998</v>
      </c>
      <c r="AW208" s="177">
        <f>[12]THA!$A$24*IF(A208="B",AM208+(AX208-AM208)*0.33333,"")</f>
        <v>415.61063638999997</v>
      </c>
      <c r="AX208" s="180">
        <f>[12]THA!$A$24*IF(A208="B",IF(M208="excl",[12]NatCom!CO198,[12]NatCom!AX198),"")</f>
        <v>555</v>
      </c>
      <c r="AY208" s="111" t="str">
        <f>IF('[12]Pledge 2020'!E198="","",'[12]Pledge 2020'!E198)</f>
        <v/>
      </c>
      <c r="AZ208" s="164" t="str">
        <f>IF('[12]Pledge 2020'!F198="","",'[12]Pledge 2020'!F198)</f>
        <v/>
      </c>
      <c r="BA208" s="111">
        <f>IF(BE208="","",(BE208-AH208)*0.75+AH208)</f>
        <v>376.26</v>
      </c>
      <c r="BB208" s="111">
        <f>IF(BF208="","",(BF208-AH208)*0.75+AH208)</f>
        <v>376.26</v>
      </c>
      <c r="BC208" s="111">
        <f>IF(BG208="","",(BG208-AH208)*0.75+AH208)</f>
        <v>334.63499999999999</v>
      </c>
      <c r="BD208" s="111">
        <f>IF(BH208="","",(BH208-AH208)*0.75+AH208)</f>
        <v>334.63499999999999</v>
      </c>
      <c r="BE208" s="169">
        <v>388.5</v>
      </c>
      <c r="BF208" s="169">
        <v>388.5</v>
      </c>
      <c r="BG208" s="169">
        <v>333</v>
      </c>
      <c r="BH208" s="170">
        <v>333</v>
      </c>
      <c r="BI208" s="111">
        <f>IF([12]NDCs!V210="",IF([12]NDCs!X210="","",[12]NDCs!X210),[12]NDCs!V210)</f>
        <v>444</v>
      </c>
      <c r="BJ208" s="111">
        <f>IF([12]NDCs!V210="",IF([12]NDCs!X210="","",[12]NDCs!X210),[12]NDCs!V210)</f>
        <v>444</v>
      </c>
      <c r="BK208" s="111">
        <f>IF([12]NDCs!Z210="",IF([12]NDCs!AB210="",IF('input site'!BE208="","",'input site'!BE208),[12]NDCs!AB210),[12]NDCs!Z210)</f>
        <v>416.25</v>
      </c>
      <c r="BL208" s="111">
        <f>IF([12]NDCs!AA210="",IF([12]NDCs!AC210="",IF('input site'!BF208="","",'input site'!BF208),[12]NDCs!AC210),[12]NDCs!AA210)</f>
        <v>416.25</v>
      </c>
      <c r="BM208" s="215">
        <f>MEDIAN(BN208:BO208)</f>
        <v>361.71600000000001</v>
      </c>
      <c r="BN208" s="177">
        <f>[12]THA!$A$24*[12]THA!AB$7</f>
        <v>361.71600000000001</v>
      </c>
      <c r="BO208" s="177">
        <f>[12]THA!$A$24*[12]THA!AB$6</f>
        <v>361.71600000000001</v>
      </c>
      <c r="BP208" s="215">
        <f>MEDIAN(BQ208:BR208)</f>
        <v>381.66169109999998</v>
      </c>
      <c r="BQ208" s="177">
        <f>[12]THA!$A$24*[12]THA!AC$7</f>
        <v>370.08612840000001</v>
      </c>
      <c r="BR208" s="177">
        <f>[12]THA!$A$24*[12]THA!AC$6</f>
        <v>393.23725380000002</v>
      </c>
      <c r="BS208" s="215">
        <f>MEDIAN(BT208:BU208)</f>
        <v>403.73009665000001</v>
      </c>
      <c r="BT208" s="177">
        <f>[12]THA!$A$24*[12]THA!AD$7</f>
        <v>380.5673453</v>
      </c>
      <c r="BU208" s="177">
        <f>[12]THA!$A$24*[12]THA!AD$6</f>
        <v>426.89284800000001</v>
      </c>
      <c r="CN208" t="s">
        <v>445</v>
      </c>
      <c r="CO208" s="165">
        <f t="shared" si="160"/>
        <v>-3.7723461234061118E-2</v>
      </c>
      <c r="CP208" s="165">
        <f t="shared" si="160"/>
        <v>-3.7723461234061118E-2</v>
      </c>
      <c r="CQ208" s="165">
        <f t="shared" si="160"/>
        <v>-0.17519153820062383</v>
      </c>
      <c r="CR208" s="165">
        <f t="shared" si="155"/>
        <v>-0.17519153820062383</v>
      </c>
      <c r="CS208">
        <f>IF(BE208&lt;=BS208,0,1)</f>
        <v>0</v>
      </c>
      <c r="CT208">
        <f>IF(BG208&lt;=BS208,0,1)</f>
        <v>0</v>
      </c>
      <c r="CU208">
        <f>IF(BS208&lt;=AP208,1,0)</f>
        <v>0</v>
      </c>
      <c r="CV208" s="126" t="str">
        <f>IF(CS208=1,IF(CU208=1,"i","ii"),IF(CU208=1,"iii","iv"))</f>
        <v>iv</v>
      </c>
      <c r="CW208" s="126" t="str">
        <f>IF(CT208=1,IF(CU208=1,"i","ii"),IF(CU208=1,"iii","iv"))</f>
        <v>iv</v>
      </c>
      <c r="CX208"/>
      <c r="CY208" s="167">
        <f t="shared" si="161"/>
        <v>27.852359999999976</v>
      </c>
      <c r="DB208" s="106"/>
      <c r="DC208" s="106"/>
      <c r="DD208" s="106"/>
      <c r="DE208" s="106"/>
      <c r="DF208" s="106"/>
      <c r="DG208" s="105" t="str">
        <f t="shared" si="162"/>
        <v>excl</v>
      </c>
      <c r="DH208" t="s">
        <v>445</v>
      </c>
      <c r="DI208" s="111">
        <f t="shared" si="148"/>
        <v>0</v>
      </c>
      <c r="DJ208" s="111">
        <f t="shared" si="148"/>
        <v>0</v>
      </c>
      <c r="DK208" s="111">
        <f t="shared" si="149"/>
        <v>-5.4016910999999936</v>
      </c>
      <c r="DL208" s="111">
        <f t="shared" si="150"/>
        <v>-47.026691099999994</v>
      </c>
      <c r="DM208" s="111">
        <f t="shared" si="151"/>
        <v>-15.230096650000007</v>
      </c>
      <c r="DN208" s="111">
        <f t="shared" si="152"/>
        <v>-70.730096650000007</v>
      </c>
      <c r="DO208" s="111">
        <f t="shared" si="153"/>
        <v>40.269903349999993</v>
      </c>
      <c r="DP208" s="111">
        <f t="shared" si="154"/>
        <v>12.519903349999993</v>
      </c>
      <c r="DQ208" s="106"/>
      <c r="DR208" s="106"/>
      <c r="DS208" s="111"/>
      <c r="DT208" s="168"/>
      <c r="DW208" s="111">
        <f t="shared" si="163"/>
        <v>388.5</v>
      </c>
      <c r="DX208" s="111">
        <f t="shared" si="163"/>
        <v>388.5</v>
      </c>
      <c r="DY208" s="111">
        <f t="shared" si="163"/>
        <v>333</v>
      </c>
      <c r="DZ208" s="111">
        <f t="shared" si="156"/>
        <v>333</v>
      </c>
      <c r="EP208" t="s">
        <v>445</v>
      </c>
      <c r="EQ208">
        <v>4</v>
      </c>
      <c r="ER208" s="111">
        <f t="shared" si="164"/>
        <v>372.64800000000002</v>
      </c>
      <c r="ES208" s="111">
        <f>IF($BI$8=2015,VLOOKUP($L208,'[12]IMAGE CDLINKS CurPol'!$P$3:$Y$29,10,FALSE)*$AM208,VLOOKUP($L208,'[12]IMAGE CDLINKS CurPol'!$Z$3:$AI$29,10,FALSE)*$AP208)</f>
        <v>619.61443991343799</v>
      </c>
      <c r="ET208" s="111">
        <f t="shared" si="124"/>
        <v>0</v>
      </c>
      <c r="EU208" s="111">
        <f t="shared" si="166"/>
        <v>0</v>
      </c>
      <c r="EV208" s="111">
        <f>IF($BI$8=2015,VLOOKUP($L208,'[12]IMAGE CDLINKS 2C'!$P$3:$Y$29,10,FALSE)*$AM208,VLOOKUP($L208,'[12]IMAGE CDLINKS 2C'!$Z$3:$AI$29,10,FALSE)*$AP208)</f>
        <v>120.76084209217444</v>
      </c>
      <c r="EY208" s="111">
        <f t="shared" si="167"/>
        <v>0</v>
      </c>
      <c r="EZ208" s="111">
        <f>IF($BI$8=2015,VLOOKUP($L208,'[12]IMAGE CDLINKS 1_5C'!$P$3:$Y$29,10,FALSE)*$AM208,VLOOKUP($L208,'[12]IMAGE CDLINKS 1_5C'!$Z$3:$AI$29,10,FALSE)*$AP208)</f>
        <v>8.1084555095284614</v>
      </c>
      <c r="FA208" s="192"/>
    </row>
    <row r="209" spans="1:157" x14ac:dyDescent="0.25">
      <c r="A209" t="str">
        <f>IF([12]NDCs!C211="","",[12]NDCs!C211)</f>
        <v/>
      </c>
      <c r="B209" s="159" t="str">
        <f t="shared" si="157"/>
        <v>v</v>
      </c>
      <c r="C209">
        <v>0</v>
      </c>
      <c r="D209">
        <v>0</v>
      </c>
      <c r="E209">
        <v>0</v>
      </c>
      <c r="F209">
        <v>1</v>
      </c>
      <c r="G209" t="b">
        <f t="shared" si="158"/>
        <v>0</v>
      </c>
      <c r="H209" t="s">
        <v>2328</v>
      </c>
      <c r="I209" t="s">
        <v>447</v>
      </c>
      <c r="J209">
        <v>626</v>
      </c>
      <c r="K209">
        <v>162</v>
      </c>
      <c r="L209">
        <v>22</v>
      </c>
      <c r="M209" t="str">
        <f>IF([12]NDCs!AL211="Excluding","excl","incl")</f>
        <v>excl</v>
      </c>
      <c r="N209" s="160">
        <f>[12]GHG_hist!BA199+IF($M209="incl",[12]LULUCF_hist!CR199,0)</f>
        <v>0.62729894000000008</v>
      </c>
      <c r="O209" s="111">
        <f>[12]GHG_hist!BB199+IF($M209="incl",[12]LULUCF_hist!CS199,0)</f>
        <v>0.72424294</v>
      </c>
      <c r="P209" s="111">
        <f>[12]GHG_hist!BC199+IF($M209="incl",[12]LULUCF_hist!CT199,0)</f>
        <v>0.74200706000000005</v>
      </c>
      <c r="Q209" s="111">
        <f>[12]GHG_hist!BD199+IF($M209="incl",[12]LULUCF_hist!CU199,0)</f>
        <v>0.77626782999999999</v>
      </c>
      <c r="R209" s="111">
        <f>[12]GHG_hist!BE199+IF($M209="incl",[12]LULUCF_hist!CV199,0)</f>
        <v>0.8538656200000001</v>
      </c>
      <c r="S209" s="111">
        <f>[12]GHG_hist!BF199+IF($M209="incl",[12]LULUCF_hist!CW199,0)</f>
        <v>0.88042701000000001</v>
      </c>
      <c r="T209" s="111">
        <f>[12]GHG_hist!BG199+IF($M209="incl",[12]LULUCF_hist!CX199,0)</f>
        <v>0.91965653000000003</v>
      </c>
      <c r="U209" s="111">
        <f>[12]GHG_hist!BH199+IF($M209="incl",[12]LULUCF_hist!CY199,0)</f>
        <v>0.93673677</v>
      </c>
      <c r="V209" s="111">
        <f>[12]GHG_hist!BI199+IF($M209="incl",[12]LULUCF_hist!CZ199,0)</f>
        <v>0.99485581000000001</v>
      </c>
      <c r="W209" s="111">
        <f>[12]GHG_hist!BJ199+IF($M209="incl",[12]LULUCF_hist!DA199,0)</f>
        <v>0.97204822000000002</v>
      </c>
      <c r="X209" s="111">
        <f>[12]GHG_hist!BK199+IF($M209="incl",[12]LULUCF_hist!DB199,0)</f>
        <v>1.1604955000000001</v>
      </c>
      <c r="Y209" s="111">
        <f>[12]GHG_hist!BL199+IF($M209="incl",[12]LULUCF_hist!DC199,0)</f>
        <v>1.2440614000000001</v>
      </c>
      <c r="Z209" s="111">
        <f>[12]GHG_hist!BM199+IF($M209="incl",[12]LULUCF_hist!DD199,0)</f>
        <v>1.2432981999999999</v>
      </c>
      <c r="AA209" s="111">
        <f>[12]GHG_hist!BN199+IF($M209="incl",[12]LULUCF_hist!DE199,0)</f>
        <v>1.2432532000000001</v>
      </c>
      <c r="AB209" s="111">
        <f>[12]GHG_hist!BO199+IF($M209="incl",[12]LULUCF_hist!DF199,0)</f>
        <v>1.6798143000000001</v>
      </c>
      <c r="AC209" s="111">
        <f>[12]GHG_hist!BP199+IF($M209="incl",[12]LULUCF_hist!DG199,0)</f>
        <v>1.8654907000000001</v>
      </c>
      <c r="AD209" s="111">
        <f>[12]GHG_hist!BQ199+IF($M209="incl",[12]LULUCF_hist!DH199,0)</f>
        <v>3.2904432000000003</v>
      </c>
      <c r="AE209" s="111">
        <f>[12]GHG_hist!BR199+IF($M209="incl",[12]LULUCF_hist!DI199,0)</f>
        <v>3.5672773000000002</v>
      </c>
      <c r="AF209" s="111">
        <f>[12]GHG_hist!BS199+IF($M209="incl",[12]LULUCF_hist!DJ199,0)</f>
        <v>3.9781995000000001</v>
      </c>
      <c r="AG209" s="111">
        <f>[12]GHG_hist!BT199+IF($M209="incl",[12]LULUCF_hist!DK199,0)</f>
        <v>3.9972194000000001</v>
      </c>
      <c r="AH209" s="111">
        <f>[12]GHG_hist!BU199+IF($M209="incl",[12]LULUCF_hist!DL199,0)</f>
        <v>3.6970707000000003</v>
      </c>
      <c r="AI209" s="111">
        <f>[12]GHG_hist!BV199+IF($M209="incl",[12]LULUCF_hist!DM199,0)</f>
        <v>3.6810800000000001</v>
      </c>
      <c r="AJ209" s="111">
        <f>[12]GHG_hist!BW199+IF($M209="incl",[12]LULUCF_hist!DN199,0)</f>
        <v>4.0291407000000001</v>
      </c>
      <c r="AK209" s="111">
        <f>[12]GHG_hist!BX199+IF($M209="incl",[12]LULUCF_hist!DO199,0)</f>
        <v>4.1672853999999999</v>
      </c>
      <c r="AL209" s="111">
        <f>[12]GHG_hist!BY199+IF($M209="incl",[12]LULUCF_hist!DP199,0)</f>
        <v>3.4482292999999999</v>
      </c>
      <c r="AM209" s="111">
        <f>[12]GHG_hist!BZ199+IF($M209="incl",[12]LULUCF_hist!DQ199,0)</f>
        <v>3.5479579999999999</v>
      </c>
      <c r="AN209" s="111">
        <f>[12]GHG_hist!CA199+IF($M209="incl",[12]LULUCF_hist!DR199,0)</f>
        <v>3.0370854</v>
      </c>
      <c r="AO209" s="111">
        <f>[12]GHG_hist!CB199+IF($M209="incl",[12]LULUCF_hist!DS199,0)</f>
        <v>2.915727</v>
      </c>
      <c r="AP209" s="111">
        <f>[12]GHG_hist!CC199+IF($M209="incl",[12]LULUCF_hist!DT199,0)</f>
        <v>2.9300644999999998</v>
      </c>
      <c r="AQ209" s="111">
        <f>[12]GHG_hist!CD199+IF($M209="incl",[12]LULUCF_hist!DU199,0)</f>
        <v>2.8871289999999998</v>
      </c>
      <c r="AR209" s="111">
        <f>[12]GHG_hist!CE199+IF($M209="incl",[12]LULUCF_hist!DV199,0)</f>
        <v>2.6092415</v>
      </c>
      <c r="AS209" s="111">
        <f>[12]GHG_hist!CF199+IF($M209="incl",[12]LULUCF_hist!DW199,0)</f>
        <v>2.4731975000000004</v>
      </c>
      <c r="AT209" s="161">
        <f>VLOOKUP($L209,'[12]IMAGE SSP2'!$AF$3:$AK$29,4,FALSE)*$AM209</f>
        <v>4.3081877781212299</v>
      </c>
      <c r="AU209" s="162">
        <f>VLOOKUP($L209,'[12]IMAGE SSP2'!$AF$3:$AK$29,5,FALSE)*$AM209</f>
        <v>5.0895595823402653</v>
      </c>
      <c r="AV209" s="163">
        <f>VLOOKUP($L209,'[12]IMAGE SSP2'!$AF$3:$AK$29,6,FALSE)*$AM209</f>
        <v>5.73455375158695</v>
      </c>
      <c r="AW209" s="111" t="str">
        <f t="shared" si="165"/>
        <v/>
      </c>
      <c r="AX209" s="164" t="str">
        <f>IF(A209="B",IF(M209="excl",[12]NatCom!CO199,[12]NatCom!AX199),"")</f>
        <v/>
      </c>
      <c r="AY209" s="111" t="str">
        <f>IF('[12]Pledge 2020'!E199="","",'[12]Pledge 2020'!E199)</f>
        <v/>
      </c>
      <c r="AZ209" s="164" t="str">
        <f>IF('[12]Pledge 2020'!F199="","",'[12]Pledge 2020'!F199)</f>
        <v/>
      </c>
      <c r="BA209" s="111" t="str">
        <f t="shared" si="144"/>
        <v/>
      </c>
      <c r="BB209" s="111"/>
      <c r="BC209" s="111" t="str">
        <f t="shared" si="145"/>
        <v/>
      </c>
      <c r="BD209" s="111"/>
      <c r="BE209" s="111" t="s">
        <v>2477</v>
      </c>
      <c r="BF209" s="111"/>
      <c r="BG209" s="111" t="s">
        <v>2477</v>
      </c>
      <c r="BH209" s="164"/>
      <c r="BI209" s="111" t="str">
        <f>IF([12]NDCs!V211="",IF([12]NDCs!X211="","",[12]NDCs!X211),[12]NDCs!V211)</f>
        <v/>
      </c>
      <c r="BJ209" s="111" t="str">
        <f>IF([12]NDCs!V211="",IF([12]NDCs!X211="","",[12]NDCs!X211),[12]NDCs!V211)</f>
        <v/>
      </c>
      <c r="BK209" s="111" t="str">
        <f>IF([12]NDCs!Z211="",IF([12]NDCs!AB211="",IF('input site'!BE209="","",'input site'!BE209),[12]NDCs!AB211),[12]NDCs!Z211)</f>
        <v/>
      </c>
      <c r="BL209" s="111" t="str">
        <f>IF([12]NDCs!AA211="",IF([12]NDCs!AC211="",IF('input site'!BF209="","",'input site'!BF209),[12]NDCs!AC211),[12]NDCs!AA211)</f>
        <v/>
      </c>
      <c r="BM209" s="111">
        <f>IF($BI$8=2015,VLOOKUP($L209,'[12]IMAGE CurPol SSP'!$AZ$3:$BD$29,4,FALSE)*$AM209,IF($BI$8=2018,VLOOKUP($L209,'[12]IMAGE CurPol SSP'!$BJ$3:$BN$29,4,FALSE)*$AP209,$AR209))</f>
        <v>2.6092415</v>
      </c>
      <c r="BN209" s="111">
        <f t="shared" ref="BN209:BO214" si="168">IF($BI$8=2015,"",IF($BI$8=2018,"",$AR209))</f>
        <v>2.6092415</v>
      </c>
      <c r="BO209" s="111">
        <f t="shared" si="168"/>
        <v>2.6092415</v>
      </c>
      <c r="BP209" s="111">
        <f>IF($BI$8=2015,VLOOKUP($L209,'[12]IMAGE CurPol SSP'!$AZ$3:$BD$29,5,FALSE)*$AM209,IF($BI$8=2018,VLOOKUP($L209,'[12]IMAGE CurPol SSP'!$BJ$3:$BN$29,5,FALSE)*$AP209,VLOOKUP($L209,'[12]IMAGE CurPol SSP'!$BU$3:$BZ$29,5,FALSE)*$AS209))</f>
        <v>2.5909130454986333</v>
      </c>
      <c r="BQ209" s="111">
        <f>IF($BI$8=2015,"",IF($BI$8=2018,"",VLOOKUP($L209,'[12]IMAGE CurPol SSP'!$CQ$3:$CV$29,5,FALSE)*$AS209))</f>
        <v>2.5163979754885313</v>
      </c>
      <c r="BR209" s="111">
        <f>IF($BI$8=2015,"",IF($BI$8=2018,"",VLOOKUP($L209,'[12]IMAGE CurPol SSP'!$CF$3:$CK$29,5,FALSE)*$AS209))</f>
        <v>2.5909130454986333</v>
      </c>
      <c r="BS209" s="111">
        <f>IF($BI$8=2015,VLOOKUP($L209,'[12]IMAGE CurPol SSP'!$AZ$3:$BE$29,6,FALSE)*$AM209,IF($BI$8=2018,VLOOKUP($L209,'[12]IMAGE CurPol SSP'!$BJ$3:$BO$29,6,FALSE)*$AP209,VLOOKUP($L209,'[12]IMAGE CurPol SSP'!$BU$3:$BZ$29,6,FALSE)*$AS209))</f>
        <v>2.8184304613217495</v>
      </c>
      <c r="BT209" s="111">
        <f>IF($BI$8=2015,"",IF($BI$8=2018,"",VLOOKUP($L209,'[12]IMAGE CurPol SSP'!$CQ$3:$CV$29,6,FALSE)*$AS209))</f>
        <v>2.5896808356382177</v>
      </c>
      <c r="BU209" s="164">
        <f>IF($BI$8=2015,"",IF($BI$8=2018,"",VLOOKUP($L209,'[12]IMAGE CurPol SSP'!$CF$3:$CK$29,6,FALSE)*$AS209))</f>
        <v>2.8184304613217495</v>
      </c>
      <c r="CN209" t="s">
        <v>447</v>
      </c>
      <c r="CO209" s="165" t="str">
        <f t="shared" si="160"/>
        <v/>
      </c>
      <c r="CP209" s="165" t="str">
        <f t="shared" si="160"/>
        <v/>
      </c>
      <c r="CQ209" s="165" t="str">
        <f t="shared" si="160"/>
        <v/>
      </c>
      <c r="CR209" s="165" t="str">
        <f t="shared" si="155"/>
        <v/>
      </c>
      <c r="CV209" s="125" t="s">
        <v>621</v>
      </c>
      <c r="CW209" s="125" t="s">
        <v>621</v>
      </c>
      <c r="CX209" s="208">
        <f>AP209/$AP$255</f>
        <v>6.4125853251788885E-5</v>
      </c>
      <c r="CY209" s="167">
        <f t="shared" si="161"/>
        <v>1.6989462781212299</v>
      </c>
      <c r="DB209" s="106"/>
      <c r="DC209" s="106"/>
      <c r="DD209" s="106"/>
      <c r="DE209" s="106"/>
      <c r="DF209" s="106"/>
      <c r="DG209" s="105" t="str">
        <f t="shared" si="162"/>
        <v>excl</v>
      </c>
      <c r="DH209" t="s">
        <v>447</v>
      </c>
      <c r="DI209" s="111">
        <f t="shared" si="148"/>
        <v>0</v>
      </c>
      <c r="DJ209" s="111">
        <f t="shared" si="148"/>
        <v>0</v>
      </c>
      <c r="DK209" s="111">
        <f t="shared" si="149"/>
        <v>0</v>
      </c>
      <c r="DL209" s="111">
        <f t="shared" si="150"/>
        <v>0</v>
      </c>
      <c r="DM209" s="111">
        <f t="shared" si="151"/>
        <v>0</v>
      </c>
      <c r="DN209" s="111">
        <f t="shared" si="152"/>
        <v>0</v>
      </c>
      <c r="DO209" s="111">
        <f t="shared" si="153"/>
        <v>0</v>
      </c>
      <c r="DP209" s="111">
        <f t="shared" si="154"/>
        <v>0</v>
      </c>
      <c r="DQ209" s="106"/>
      <c r="DR209" s="106"/>
      <c r="DS209" s="111"/>
      <c r="DT209" s="168"/>
      <c r="DW209" s="111">
        <f t="shared" si="163"/>
        <v>2.8184304613217495</v>
      </c>
      <c r="DX209" s="111">
        <f t="shared" si="163"/>
        <v>2.8184304613217495</v>
      </c>
      <c r="DY209" s="111">
        <f t="shared" si="163"/>
        <v>2.8184304613217495</v>
      </c>
      <c r="DZ209" s="111">
        <f t="shared" si="156"/>
        <v>2.8184304613217495</v>
      </c>
      <c r="EP209" t="s">
        <v>447</v>
      </c>
      <c r="EQ209">
        <v>1</v>
      </c>
      <c r="ER209" s="111">
        <f t="shared" si="164"/>
        <v>2.9300644999999998</v>
      </c>
      <c r="ES209" s="111">
        <f>IF($BI$8=2015,VLOOKUP($L209,'[12]IMAGE CDLINKS CurPol'!$P$3:$Y$29,10,FALSE)*$AM209,VLOOKUP($L209,'[12]IMAGE CDLINKS CurPol'!$Z$3:$AI$29,10,FALSE)*$AP209)</f>
        <v>5.5664915619783555</v>
      </c>
      <c r="ET209" s="111">
        <f t="shared" si="124"/>
        <v>0</v>
      </c>
      <c r="EU209" s="111">
        <f t="shared" si="166"/>
        <v>1.2212826029281758</v>
      </c>
      <c r="EV209" s="111">
        <f>IF($BI$8=2015,VLOOKUP($L209,'[12]IMAGE CDLINKS 2C'!$P$3:$Y$29,10,FALSE)*$AM209,VLOOKUP($L209,'[12]IMAGE CDLINKS 2C'!$Z$3:$AI$29,10,FALSE)*$AP209)</f>
        <v>1.2212826029281758</v>
      </c>
      <c r="EW209">
        <v>0</v>
      </c>
      <c r="EX209" s="111">
        <f>EW209-EV209</f>
        <v>-1.2212826029281758</v>
      </c>
      <c r="EY209" s="111">
        <f t="shared" si="167"/>
        <v>0</v>
      </c>
      <c r="EZ209" s="111">
        <f>IF($BI$8=2015,VLOOKUP($L209,'[12]IMAGE CDLINKS 1_5C'!$P$3:$Y$29,10,FALSE)*$AM209,VLOOKUP($L209,'[12]IMAGE CDLINKS 1_5C'!$Z$3:$AI$29,10,FALSE)*$AP209)</f>
        <v>-0.31627054477363437</v>
      </c>
      <c r="FA209" s="192">
        <v>2050</v>
      </c>
    </row>
    <row r="210" spans="1:157" x14ac:dyDescent="0.25">
      <c r="A210" t="str">
        <f>IF([12]NDCs!C212="","",[12]NDCs!C212)</f>
        <v>B</v>
      </c>
      <c r="B210" s="159" t="str">
        <f t="shared" si="157"/>
        <v>v</v>
      </c>
      <c r="C210">
        <v>0</v>
      </c>
      <c r="D210">
        <v>0</v>
      </c>
      <c r="E210">
        <v>0</v>
      </c>
      <c r="F210">
        <v>1</v>
      </c>
      <c r="G210" t="b">
        <f t="shared" si="158"/>
        <v>1</v>
      </c>
      <c r="H210" t="s">
        <v>2333</v>
      </c>
      <c r="I210" t="s">
        <v>449</v>
      </c>
      <c r="J210">
        <v>768</v>
      </c>
      <c r="K210">
        <v>198</v>
      </c>
      <c r="L210">
        <v>8</v>
      </c>
      <c r="M210" t="str">
        <f>IF([12]NDCs!AL212="Excluding","excl","incl")</f>
        <v>incl</v>
      </c>
      <c r="N210" s="160">
        <f>[12]GHG_hist!BA200+IF($M210="incl",[12]LULUCF_hist!CR200,0)</f>
        <v>13.1821397</v>
      </c>
      <c r="O210" s="111">
        <f>[12]GHG_hist!BB200+IF($M210="incl",[12]LULUCF_hist!CS200,0)</f>
        <v>13.0120933</v>
      </c>
      <c r="P210" s="111">
        <f>[12]GHG_hist!BC200+IF($M210="incl",[12]LULUCF_hist!CT200,0)</f>
        <v>12.706404600000001</v>
      </c>
      <c r="Q210" s="111">
        <f>[12]GHG_hist!BD200+IF($M210="incl",[12]LULUCF_hist!CU200,0)</f>
        <v>12.750921399999999</v>
      </c>
      <c r="R210" s="111">
        <f>[12]GHG_hist!BE200+IF($M210="incl",[12]LULUCF_hist!CV200,0)</f>
        <v>12.6974505</v>
      </c>
      <c r="S210" s="111">
        <f>[12]GHG_hist!BF200+IF($M210="incl",[12]LULUCF_hist!CW200,0)</f>
        <v>12.3518031</v>
      </c>
      <c r="T210" s="111">
        <f>[12]GHG_hist!BG200+IF($M210="incl",[12]LULUCF_hist!CX200,0)</f>
        <v>13.772287500000001</v>
      </c>
      <c r="U210" s="111">
        <f>[12]GHG_hist!BH200+IF($M210="incl",[12]LULUCF_hist!CY200,0)</f>
        <v>14.9305725</v>
      </c>
      <c r="V210" s="111">
        <f>[12]GHG_hist!BI200+IF($M210="incl",[12]LULUCF_hist!CZ200,0)</f>
        <v>15.035417299999999</v>
      </c>
      <c r="W210" s="111">
        <f>[12]GHG_hist!BJ200+IF($M210="incl",[12]LULUCF_hist!DA200,0)</f>
        <v>16.707558200000001</v>
      </c>
      <c r="X210" s="111">
        <f>[12]GHG_hist!BK200+IF($M210="incl",[12]LULUCF_hist!DB200,0)</f>
        <v>16.647023000000001</v>
      </c>
      <c r="Y210" s="111">
        <f>[12]GHG_hist!BL200+IF($M210="incl",[12]LULUCF_hist!DC200,0)</f>
        <v>17.431577300000001</v>
      </c>
      <c r="Z210" s="111">
        <f>[12]GHG_hist!BM200+IF($M210="incl",[12]LULUCF_hist!DD200,0)</f>
        <v>18.4009541</v>
      </c>
      <c r="AA210" s="111">
        <f>[12]GHG_hist!BN200+IF($M210="incl",[12]LULUCF_hist!DE200,0)</f>
        <v>19.5012188</v>
      </c>
      <c r="AB210" s="111">
        <f>[12]GHG_hist!BO200+IF($M210="incl",[12]LULUCF_hist!DF200,0)</f>
        <v>20.272607499999999</v>
      </c>
      <c r="AC210" s="111">
        <f>[12]GHG_hist!BP200+IF($M210="incl",[12]LULUCF_hist!DG200,0)</f>
        <v>20.8429821</v>
      </c>
      <c r="AD210" s="111">
        <f>[12]GHG_hist!BQ200+IF($M210="incl",[12]LULUCF_hist!DH200,0)</f>
        <v>21.123417400000001</v>
      </c>
      <c r="AE210" s="111">
        <f>[12]GHG_hist!BR200+IF($M210="incl",[12]LULUCF_hist!DI200,0)</f>
        <v>21.803862800000001</v>
      </c>
      <c r="AF210" s="111">
        <f>[12]GHG_hist!BS200+IF($M210="incl",[12]LULUCF_hist!DJ200,0)</f>
        <v>22.699543999999999</v>
      </c>
      <c r="AG210" s="111">
        <f>[12]GHG_hist!BT200+IF($M210="incl",[12]LULUCF_hist!DK200,0)</f>
        <v>25.091773000000003</v>
      </c>
      <c r="AH210" s="111">
        <f>[12]GHG_hist!BU200+IF($M210="incl",[12]LULUCF_hist!DL200,0)</f>
        <v>26.337693999999999</v>
      </c>
      <c r="AI210" s="111">
        <f>[12]GHG_hist!BV200+IF($M210="incl",[12]LULUCF_hist!DM200,0)</f>
        <v>26.764374000000004</v>
      </c>
      <c r="AJ210" s="111">
        <f>[12]GHG_hist!BW200+IF($M210="incl",[12]LULUCF_hist!DN200,0)</f>
        <v>28.753004000000004</v>
      </c>
      <c r="AK210" s="111">
        <f>[12]GHG_hist!BX200+IF($M210="incl",[12]LULUCF_hist!DO200,0)</f>
        <v>28.982938000000004</v>
      </c>
      <c r="AL210" s="111">
        <f>[12]GHG_hist!BY200+IF($M210="incl",[12]LULUCF_hist!DP200,0)</f>
        <v>30.508676999999999</v>
      </c>
      <c r="AM210" s="111">
        <f>[12]GHG_hist!BZ200+IF($M210="incl",[12]LULUCF_hist!DQ200,0)</f>
        <v>31.595321999999996</v>
      </c>
      <c r="AN210" s="111">
        <f>[12]GHG_hist!CA200+IF($M210="incl",[12]LULUCF_hist!DR200,0)</f>
        <v>35.376066000000002</v>
      </c>
      <c r="AO210" s="111">
        <f>[12]GHG_hist!CB200+IF($M210="incl",[12]LULUCF_hist!DS200,0)</f>
        <v>40.216279999999998</v>
      </c>
      <c r="AP210" s="111">
        <f>[12]GHG_hist!CC200+IF($M210="incl",[12]LULUCF_hist!DT200,0)</f>
        <v>44.210363000000001</v>
      </c>
      <c r="AQ210" s="111">
        <f>[12]GHG_hist!CD200+IF($M210="incl",[12]LULUCF_hist!DU200,0)</f>
        <v>45.339551748768429</v>
      </c>
      <c r="AR210" s="111">
        <f>[12]GHG_hist!CE200+IF($M210="incl",[12]LULUCF_hist!DV200,0)</f>
        <v>48.448601497536934</v>
      </c>
      <c r="AS210" s="111">
        <f>[12]GHG_hist!CF200+IF($M210="incl",[12]LULUCF_hist!DW200,0)</f>
        <v>49.933387246305443</v>
      </c>
      <c r="AT210" s="161">
        <f>VLOOKUP($L210,'[12]IMAGE SSP2'!$AF$3:$AK$29,4,FALSE)*$AM210</f>
        <v>41.683289272316827</v>
      </c>
      <c r="AU210" s="162">
        <f>VLOOKUP($L210,'[12]IMAGE SSP2'!$AF$3:$AK$29,5,FALSE)*$AM210</f>
        <v>48.361206778402781</v>
      </c>
      <c r="AV210" s="163">
        <f>VLOOKUP($L210,'[12]IMAGE SSP2'!$AF$3:$AK$29,6,FALSE)*$AM210</f>
        <v>57.974043087992584</v>
      </c>
      <c r="AW210" s="111">
        <f>IF(A210="B",AM210+(AX210-AM210)*0.33333,"")</f>
        <v>34.017310446539994</v>
      </c>
      <c r="AX210" s="164">
        <f>IF(A210="B",IF(M210="excl",[12]NatCom!CO200,[12]NatCom!AX200),"")</f>
        <v>38.861359999999998</v>
      </c>
      <c r="AY210" s="111" t="str">
        <f>IF('[12]Pledge 2020'!E200="","",'[12]Pledge 2020'!E200)</f>
        <v/>
      </c>
      <c r="AZ210" s="164" t="str">
        <f>IF('[12]Pledge 2020'!F200="","",'[12]Pledge 2020'!F200)</f>
        <v/>
      </c>
      <c r="BA210" s="111">
        <f t="shared" si="144"/>
        <v>32.483576872</v>
      </c>
      <c r="BB210" s="111">
        <f t="shared" si="159"/>
        <v>32.483576872</v>
      </c>
      <c r="BC210" s="111">
        <f t="shared" si="145"/>
        <v>26.654372871999996</v>
      </c>
      <c r="BD210" s="111">
        <f>IF(BH210="","",(BH210-AH210)*0.75+AH210)</f>
        <v>26.654372871999996</v>
      </c>
      <c r="BE210" s="111">
        <v>34.532204495999999</v>
      </c>
      <c r="BF210" s="111">
        <v>34.532204495999999</v>
      </c>
      <c r="BG210" s="111">
        <v>26.759932495999998</v>
      </c>
      <c r="BH210" s="111">
        <v>26.759932495999998</v>
      </c>
      <c r="BI210" s="111">
        <f>IF([12]NDCs!V212="",IF([12]NDCs!X212="","",[12]NDCs!X212),[12]NDCs!V212)</f>
        <v>34.532204495999999</v>
      </c>
      <c r="BJ210" s="111">
        <f>IF([12]NDCs!V212="",IF([12]NDCs!X212="","",[12]NDCs!X212),[12]NDCs!V212)</f>
        <v>34.532204495999999</v>
      </c>
      <c r="BK210" s="111">
        <f>IF([12]NDCs!Z212="",IF([12]NDCs!AB212="",IF('input site'!BE210="","",'input site'!BE210),[12]NDCs!AB212),[12]NDCs!Z212)</f>
        <v>26.759932495999998</v>
      </c>
      <c r="BL210" s="111">
        <f>IF([12]NDCs!AA212="",IF([12]NDCs!AC212="",IF('input site'!BF210="","",'input site'!BF210),[12]NDCs!AC212),[12]NDCs!AA212)</f>
        <v>26.759932495999998</v>
      </c>
      <c r="BM210" s="111">
        <f>IF($BI$8=2015,VLOOKUP($L210,'[12]IMAGE CurPol SSP'!$AZ$3:$BD$29,4,FALSE)*$AM210,IF($BI$8=2018,VLOOKUP($L210,'[12]IMAGE CurPol SSP'!$BJ$3:$BN$29,4,FALSE)*$AP210,$AR210))</f>
        <v>48.448601497536934</v>
      </c>
      <c r="BN210" s="111">
        <f t="shared" si="168"/>
        <v>48.448601497536934</v>
      </c>
      <c r="BO210" s="111">
        <f t="shared" si="168"/>
        <v>48.448601497536934</v>
      </c>
      <c r="BP210" s="111">
        <f>IF($BI$8=2015,VLOOKUP($L210,'[12]IMAGE CurPol SSP'!$AZ$3:$BD$29,5,FALSE)*$AM210,IF($BI$8=2018,VLOOKUP($L210,'[12]IMAGE CurPol SSP'!$BJ$3:$BN$29,5,FALSE)*$AP210,VLOOKUP($L210,'[12]IMAGE CurPol SSP'!$BU$3:$BZ$29,5,FALSE)*$AS210))</f>
        <v>51.71835951045496</v>
      </c>
      <c r="BQ210" s="111">
        <f>IF($BI$8=2015,"",IF($BI$8=2018,"",VLOOKUP($L210,'[12]IMAGE CurPol SSP'!$CQ$3:$CV$29,5,FALSE)*$AS210))</f>
        <v>51.143752550254561</v>
      </c>
      <c r="BR210" s="111">
        <f>IF($BI$8=2015,"",IF($BI$8=2018,"",VLOOKUP($L210,'[12]IMAGE CurPol SSP'!$CF$3:$CK$29,5,FALSE)*$AS210))</f>
        <v>52.201820231862371</v>
      </c>
      <c r="BS210" s="111">
        <f>IF($BI$8=2015,VLOOKUP($L210,'[12]IMAGE CurPol SSP'!$AZ$3:$BE$29,6,FALSE)*$AM210,IF($BI$8=2018,VLOOKUP($L210,'[12]IMAGE CurPol SSP'!$BJ$3:$BO$29,6,FALSE)*$AP210,VLOOKUP($L210,'[12]IMAGE CurPol SSP'!$BU$3:$BZ$29,6,FALSE)*$AS210))</f>
        <v>59.469993271257785</v>
      </c>
      <c r="BT210" s="111">
        <f>IF($BI$8=2015,"",IF($BI$8=2018,"",VLOOKUP($L210,'[12]IMAGE CurPol SSP'!$CQ$3:$CV$29,6,FALSE)*$AS210))</f>
        <v>57.92957133904202</v>
      </c>
      <c r="BU210" s="164">
        <f>IF($BI$8=2015,"",IF($BI$8=2018,"",VLOOKUP($L210,'[12]IMAGE CurPol SSP'!$CF$3:$CK$29,6,FALSE)*$AS210))</f>
        <v>59.469993271257785</v>
      </c>
      <c r="CN210" t="s">
        <v>449</v>
      </c>
      <c r="CO210" s="165">
        <f t="shared" si="160"/>
        <v>-0.41933397674202144</v>
      </c>
      <c r="CP210" s="165">
        <f t="shared" si="160"/>
        <v>-0.41933397674202144</v>
      </c>
      <c r="CQ210" s="165">
        <f t="shared" si="160"/>
        <v>-0.55002630698239474</v>
      </c>
      <c r="CR210" s="165">
        <f t="shared" si="155"/>
        <v>-0.55002630698239474</v>
      </c>
      <c r="CS210" s="159"/>
      <c r="CU210" s="159"/>
      <c r="CV210" s="125" t="s">
        <v>621</v>
      </c>
      <c r="CW210" s="125" t="s">
        <v>621</v>
      </c>
      <c r="CX210" s="159"/>
      <c r="CY210" s="167">
        <f t="shared" si="161"/>
        <v>-6.7653122252201072</v>
      </c>
      <c r="CZ210" s="159"/>
      <c r="DB210" s="106"/>
      <c r="DC210" s="106"/>
      <c r="DD210" s="106"/>
      <c r="DE210" s="106"/>
      <c r="DF210" s="106"/>
      <c r="DG210" s="105" t="str">
        <f t="shared" si="162"/>
        <v>incl</v>
      </c>
      <c r="DH210" t="s">
        <v>449</v>
      </c>
      <c r="DI210" s="111">
        <f t="shared" si="148"/>
        <v>0</v>
      </c>
      <c r="DJ210" s="111">
        <f t="shared" si="148"/>
        <v>0</v>
      </c>
      <c r="DK210" s="111">
        <f t="shared" si="149"/>
        <v>-19.234782638454959</v>
      </c>
      <c r="DL210" s="111">
        <f t="shared" si="150"/>
        <v>-25.063986638454963</v>
      </c>
      <c r="DM210" s="111">
        <f t="shared" si="151"/>
        <v>-24.937788775257786</v>
      </c>
      <c r="DN210" s="111">
        <f t="shared" si="152"/>
        <v>-32.710060775257787</v>
      </c>
      <c r="DO210" s="111">
        <f t="shared" si="153"/>
        <v>-24.937788775257786</v>
      </c>
      <c r="DP210" s="111">
        <f t="shared" si="154"/>
        <v>-32.710060775257787</v>
      </c>
      <c r="DQ210" s="106"/>
      <c r="DR210" s="106"/>
      <c r="DS210" s="111">
        <f>[12]GHG_hist!BZ200+IF($M210="incl",[12]LULUCF_hist!DQ200,0)</f>
        <v>31.595321999999996</v>
      </c>
      <c r="DT210" s="168">
        <f>IF($M210="incl",'[12]IIASA Proj'!EQ200,0)</f>
        <v>19.037284949753683</v>
      </c>
      <c r="DW210" s="111">
        <f t="shared" si="163"/>
        <v>34.532204495999999</v>
      </c>
      <c r="DX210" s="111">
        <f t="shared" si="163"/>
        <v>34.532204495999999</v>
      </c>
      <c r="DY210" s="111">
        <f t="shared" si="163"/>
        <v>26.759932495999998</v>
      </c>
      <c r="DZ210" s="111">
        <f t="shared" si="156"/>
        <v>26.759932495999998</v>
      </c>
      <c r="EP210" t="s">
        <v>449</v>
      </c>
      <c r="EQ210">
        <v>-1</v>
      </c>
      <c r="ER210" s="111">
        <f t="shared" si="164"/>
        <v>44.210363000000001</v>
      </c>
      <c r="ES210" s="111">
        <f>IF($BI$8=2015,VLOOKUP($L210,'[12]IMAGE CDLINKS CurPol'!$P$3:$Y$29,10,FALSE)*$AM210,VLOOKUP($L210,'[12]IMAGE CDLINKS CurPol'!$Z$3:$AI$29,10,FALSE)*$AP210)</f>
        <v>92.305713409310073</v>
      </c>
      <c r="ET210" s="111">
        <f t="shared" si="124"/>
        <v>92.305713409310073</v>
      </c>
      <c r="EU210" s="111">
        <f t="shared" si="166"/>
        <v>42.127884116331153</v>
      </c>
      <c r="EV210" s="111">
        <f>IF($BI$8=2015,VLOOKUP($L210,'[12]IMAGE CDLINKS 2C'!$P$3:$Y$29,10,FALSE)*$AM210,VLOOKUP($L210,'[12]IMAGE CDLINKS 2C'!$Z$3:$AI$29,10,FALSE)*$AP210)</f>
        <v>42.127884116331153</v>
      </c>
      <c r="EX210" s="111"/>
      <c r="EY210" s="111">
        <f t="shared" si="167"/>
        <v>23.996054796899987</v>
      </c>
      <c r="EZ210" s="111">
        <f>IF($BI$8=2015,VLOOKUP($L210,'[12]IMAGE CDLINKS 1_5C'!$P$3:$Y$29,10,FALSE)*$AM210,VLOOKUP($L210,'[12]IMAGE CDLINKS 1_5C'!$Z$3:$AI$29,10,FALSE)*$AP210)</f>
        <v>23.996054796899987</v>
      </c>
      <c r="FA210" s="192">
        <v>2050</v>
      </c>
    </row>
    <row r="211" spans="1:157" x14ac:dyDescent="0.25">
      <c r="A211" t="str">
        <f>IF([12]NDCs!C213="","",[12]NDCs!C213)</f>
        <v/>
      </c>
      <c r="B211" s="159" t="str">
        <f t="shared" si="157"/>
        <v>v</v>
      </c>
      <c r="C211">
        <v>0</v>
      </c>
      <c r="D211">
        <v>0</v>
      </c>
      <c r="E211">
        <v>0</v>
      </c>
      <c r="F211">
        <v>0</v>
      </c>
      <c r="G211" t="b">
        <f t="shared" si="158"/>
        <v>0</v>
      </c>
      <c r="H211" t="s">
        <v>2328</v>
      </c>
      <c r="I211" t="s">
        <v>451</v>
      </c>
      <c r="J211">
        <v>772</v>
      </c>
      <c r="K211">
        <v>199</v>
      </c>
      <c r="L211">
        <v>24</v>
      </c>
      <c r="M211" t="str">
        <f>IF([12]NDCs!AL213="Excluding","excl","incl")</f>
        <v>excl</v>
      </c>
      <c r="N211" s="160">
        <f>[12]GHG_hist!BA201+IF($M211="incl",[12]LULUCF_hist!CR201,0)</f>
        <v>6.4439999999999994E-4</v>
      </c>
      <c r="O211" s="111">
        <f>[12]GHG_hist!BB201+IF($M211="incl",[12]LULUCF_hist!CS201,0)</f>
        <v>6.3939999999999993E-4</v>
      </c>
      <c r="P211" s="111">
        <f>[12]GHG_hist!BC201+IF($M211="incl",[12]LULUCF_hist!CT201,0)</f>
        <v>6.3690000000000003E-4</v>
      </c>
      <c r="Q211" s="111">
        <f>[12]GHG_hist!BD201+IF($M211="incl",[12]LULUCF_hist!CU201,0)</f>
        <v>6.3440000000000002E-4</v>
      </c>
      <c r="R211" s="111">
        <f>[12]GHG_hist!BE201+IF($M211="incl",[12]LULUCF_hist!CV201,0)</f>
        <v>6.3440000000000002E-4</v>
      </c>
      <c r="S211" s="111">
        <f>[12]GHG_hist!BF201+IF($M211="incl",[12]LULUCF_hist!CW201,0)</f>
        <v>6.3440000000000002E-4</v>
      </c>
      <c r="T211" s="111">
        <f>[12]GHG_hist!BG201+IF($M211="incl",[12]LULUCF_hist!CX201,0)</f>
        <v>6.3440000000000002E-4</v>
      </c>
      <c r="U211" s="111">
        <f>[12]GHG_hist!BH201+IF($M211="incl",[12]LULUCF_hist!CY201,0)</f>
        <v>6.3690000000000003E-4</v>
      </c>
      <c r="V211" s="111">
        <f>[12]GHG_hist!BI201+IF($M211="incl",[12]LULUCF_hist!CZ201,0)</f>
        <v>6.3939999999999993E-4</v>
      </c>
      <c r="W211" s="111">
        <f>[12]GHG_hist!BJ201+IF($M211="incl",[12]LULUCF_hist!DA201,0)</f>
        <v>6.3939999999999993E-4</v>
      </c>
      <c r="X211" s="111">
        <f>[12]GHG_hist!BK201+IF($M211="incl",[12]LULUCF_hist!DB201,0)</f>
        <v>6.3690000000000003E-4</v>
      </c>
      <c r="Y211" s="111">
        <f>[12]GHG_hist!BL201+IF($M211="incl",[12]LULUCF_hist!DC201,0)</f>
        <v>6.3190000000000002E-4</v>
      </c>
      <c r="Z211" s="111">
        <f>[12]GHG_hist!BM201+IF($M211="incl",[12]LULUCF_hist!DD201,0)</f>
        <v>6.244E-4</v>
      </c>
      <c r="AA211" s="111">
        <f>[12]GHG_hist!BN201+IF($M211="incl",[12]LULUCF_hist!DE201,0)</f>
        <v>6.1689999999999998E-4</v>
      </c>
      <c r="AB211" s="111">
        <f>[12]GHG_hist!BO201+IF($M211="incl",[12]LULUCF_hist!DF201,0)</f>
        <v>6.0690000000000006E-4</v>
      </c>
      <c r="AC211" s="111">
        <f>[12]GHG_hist!BP201+IF($M211="incl",[12]LULUCF_hist!DG201,0)</f>
        <v>5.9940000000000004E-4</v>
      </c>
      <c r="AD211" s="111">
        <f>[12]GHG_hist!BQ201+IF($M211="incl",[12]LULUCF_hist!DH201,0)</f>
        <v>5.9690000000000003E-4</v>
      </c>
      <c r="AE211" s="111">
        <f>[12]GHG_hist!BR201+IF($M211="incl",[12]LULUCF_hist!DI201,0)</f>
        <v>5.9440000000000003E-4</v>
      </c>
      <c r="AF211" s="111">
        <f>[12]GHG_hist!BS201+IF($M211="incl",[12]LULUCF_hist!DJ201,0)</f>
        <v>5.9190000000000002E-4</v>
      </c>
      <c r="AG211" s="111">
        <f>[12]GHG_hist!BT201+IF($M211="incl",[12]LULUCF_hist!DK201,0)</f>
        <v>5.9190000000000002E-4</v>
      </c>
      <c r="AH211" s="111">
        <f>[12]GHG_hist!BU201+IF($M211="incl",[12]LULUCF_hist!DL201,0)</f>
        <v>5.9440000000000003E-4</v>
      </c>
      <c r="AI211" s="111">
        <f>[12]GHG_hist!BV201+IF($M211="incl",[12]LULUCF_hist!DM201,0)</f>
        <v>5.9440000000000003E-4</v>
      </c>
      <c r="AJ211" s="111">
        <f>[12]GHG_hist!BW201+IF($M211="incl",[12]LULUCF_hist!DN201,0)</f>
        <v>5.9690000000000003E-4</v>
      </c>
      <c r="AK211" s="111">
        <f>[12]GHG_hist!BX201+IF($M211="incl",[12]LULUCF_hist!DO201,0)</f>
        <v>5.9940000000000004E-4</v>
      </c>
      <c r="AL211" s="111">
        <f>[12]GHG_hist!BY201+IF($M211="incl",[12]LULUCF_hist!DP201,0)</f>
        <v>6.0190000000000005E-4</v>
      </c>
      <c r="AM211" s="111">
        <f>[12]GHG_hist!BZ201+IF($M211="incl",[12]LULUCF_hist!DQ201,0)</f>
        <v>6.0440000000000005E-4</v>
      </c>
      <c r="AN211" s="111">
        <f>[12]GHG_hist!CA201+IF($M211="incl",[12]LULUCF_hist!DR201,0)</f>
        <v>6.0940000000000007E-4</v>
      </c>
      <c r="AO211" s="111">
        <f>[12]GHG_hist!CB201+IF($M211="incl",[12]LULUCF_hist!DS201,0)</f>
        <v>6.0940000000000007E-4</v>
      </c>
      <c r="AP211" s="111">
        <f>[12]GHG_hist!CC201+IF($M211="incl",[12]LULUCF_hist!DT201,0)</f>
        <v>6.1189999999999997E-4</v>
      </c>
      <c r="AQ211" s="111">
        <f>[12]GHG_hist!CD201+IF($M211="incl",[12]LULUCF_hist!DU201,0)</f>
        <v>6.0690000000000006E-4</v>
      </c>
      <c r="AR211" s="111">
        <f>[12]GHG_hist!CE201+IF($M211="incl",[12]LULUCF_hist!DV201,0)</f>
        <v>6.0690000000000006E-4</v>
      </c>
      <c r="AS211" s="111">
        <f>[12]GHG_hist!CF201+IF($M211="incl",[12]LULUCF_hist!DW201,0)</f>
        <v>6.1173333000000003E-4</v>
      </c>
      <c r="AT211" s="161">
        <f>VLOOKUP($L211,'[12]IMAGE SSP2'!$AF$3:$AK$29,4,FALSE)*$AM211</f>
        <v>6.4881685505702603E-4</v>
      </c>
      <c r="AU211" s="162">
        <f>VLOOKUP($L211,'[12]IMAGE SSP2'!$AF$3:$AK$29,5,FALSE)*$AM211</f>
        <v>6.6610320724473778E-4</v>
      </c>
      <c r="AV211" s="163">
        <f>VLOOKUP($L211,'[12]IMAGE SSP2'!$AF$3:$AK$29,6,FALSE)*$AM211</f>
        <v>6.7390406129932501E-4</v>
      </c>
      <c r="AW211" s="111" t="str">
        <f t="shared" si="165"/>
        <v/>
      </c>
      <c r="AX211" s="164" t="str">
        <f>IF(A211="B",IF(M211="excl",[12]NatCom!CO201,[12]NatCom!AX201),"")</f>
        <v/>
      </c>
      <c r="AY211" s="111" t="str">
        <f>IF('[12]Pledge 2020'!E201="","",'[12]Pledge 2020'!E201)</f>
        <v/>
      </c>
      <c r="AZ211" s="164" t="str">
        <f>IF('[12]Pledge 2020'!F201="","",'[12]Pledge 2020'!F201)</f>
        <v/>
      </c>
      <c r="BA211" s="111" t="str">
        <f t="shared" si="144"/>
        <v/>
      </c>
      <c r="BB211" s="111"/>
      <c r="BC211" s="111" t="str">
        <f t="shared" si="145"/>
        <v/>
      </c>
      <c r="BD211" s="111"/>
      <c r="BE211" s="111" t="s">
        <v>2477</v>
      </c>
      <c r="BF211" s="111" t="s">
        <v>2477</v>
      </c>
      <c r="BG211" s="111" t="s">
        <v>2477</v>
      </c>
      <c r="BH211" s="111" t="s">
        <v>2477</v>
      </c>
      <c r="BI211" s="111" t="str">
        <f>IF([12]NDCs!V213="",IF([12]NDCs!X213="","",[12]NDCs!X213),[12]NDCs!V213)</f>
        <v/>
      </c>
      <c r="BJ211" s="111" t="str">
        <f>IF([12]NDCs!V213="",IF([12]NDCs!X213="","",[12]NDCs!X213),[12]NDCs!V213)</f>
        <v/>
      </c>
      <c r="BK211" s="111" t="str">
        <f>IF([12]NDCs!Z213="",IF([12]NDCs!AB213="",IF('input site'!BE211="","",'input site'!BE211),[12]NDCs!AB213),[12]NDCs!Z213)</f>
        <v/>
      </c>
      <c r="BL211" s="111" t="str">
        <f>IF([12]NDCs!AA213="",IF([12]NDCs!AC213="",IF('input site'!BF211="","",'input site'!BF211),[12]NDCs!AC213),[12]NDCs!AA213)</f>
        <v/>
      </c>
      <c r="BM211" s="111">
        <f>IF($BI$8=2015,VLOOKUP($L211,'[12]IMAGE CurPol SSP'!$AZ$3:$BD$29,4,FALSE)*$AM211,IF($BI$8=2018,VLOOKUP($L211,'[12]IMAGE CurPol SSP'!$BJ$3:$BN$29,4,FALSE)*$AP211,$AR211))</f>
        <v>6.0690000000000006E-4</v>
      </c>
      <c r="BN211" s="111">
        <f t="shared" si="168"/>
        <v>6.0690000000000006E-4</v>
      </c>
      <c r="BO211" s="111">
        <f t="shared" si="168"/>
        <v>6.0690000000000006E-4</v>
      </c>
      <c r="BP211" s="111">
        <f>IF($BI$8=2015,VLOOKUP($L211,'[12]IMAGE CurPol SSP'!$AZ$3:$BD$29,5,FALSE)*$AM211,IF($BI$8=2018,VLOOKUP($L211,'[12]IMAGE CurPol SSP'!$BJ$3:$BN$29,5,FALSE)*$AP211,VLOOKUP($L211,'[12]IMAGE CurPol SSP'!$BU$3:$BZ$29,5,FALSE)*$AS211))</f>
        <v>6.230279342433402E-4</v>
      </c>
      <c r="BQ211" s="111">
        <f>IF($BI$8=2015,"",IF($BI$8=2018,"",VLOOKUP($L211,'[12]IMAGE CurPol SSP'!$CQ$3:$CV$29,5,FALSE)*$AS211))</f>
        <v>6.0657275161582383E-4</v>
      </c>
      <c r="BR211" s="111">
        <f>IF($BI$8=2015,"",IF($BI$8=2018,"",VLOOKUP($L211,'[12]IMAGE CurPol SSP'!$CF$3:$CK$29,5,FALSE)*$AS211))</f>
        <v>6.230279342433402E-4</v>
      </c>
      <c r="BS211" s="111">
        <f>IF($BI$8=2015,VLOOKUP($L211,'[12]IMAGE CurPol SSP'!$AZ$3:$BE$29,6,FALSE)*$AM211,IF($BI$8=2018,VLOOKUP($L211,'[12]IMAGE CurPol SSP'!$BJ$3:$BO$29,6,FALSE)*$AP211,VLOOKUP($L211,'[12]IMAGE CurPol SSP'!$BU$3:$BZ$29,6,FALSE)*$AS211))</f>
        <v>6.4129756382062689E-4</v>
      </c>
      <c r="BT211" s="111">
        <f>IF($BI$8=2015,"",IF($BI$8=2018,"",VLOOKUP($L211,'[12]IMAGE CurPol SSP'!$CQ$3:$CV$29,6,FALSE)*$AS211))</f>
        <v>5.9232700838376061E-4</v>
      </c>
      <c r="BU211" s="164">
        <f>IF($BI$8=2015,"",IF($BI$8=2018,"",VLOOKUP($L211,'[12]IMAGE CurPol SSP'!$CF$3:$CK$29,6,FALSE)*$AS211))</f>
        <v>6.4129756382062689E-4</v>
      </c>
      <c r="CN211" t="s">
        <v>451</v>
      </c>
      <c r="CO211" s="165" t="str">
        <f t="shared" si="160"/>
        <v/>
      </c>
      <c r="CP211" s="165" t="str">
        <f t="shared" si="160"/>
        <v/>
      </c>
      <c r="CQ211" s="165" t="str">
        <f t="shared" si="160"/>
        <v/>
      </c>
      <c r="CR211" s="165" t="str">
        <f t="shared" si="155"/>
        <v/>
      </c>
      <c r="CV211" s="125" t="s">
        <v>621</v>
      </c>
      <c r="CW211" s="125" t="s">
        <v>621</v>
      </c>
      <c r="CX211" s="208">
        <f>AP211/$AP$255</f>
        <v>1.3391722129246512E-8</v>
      </c>
      <c r="CY211" s="167">
        <f t="shared" si="161"/>
        <v>4.1916855057025967E-5</v>
      </c>
      <c r="DB211" s="106"/>
      <c r="DC211" s="106"/>
      <c r="DD211" s="106"/>
      <c r="DE211" s="106"/>
      <c r="DF211" s="106"/>
      <c r="DG211" s="105" t="str">
        <f t="shared" si="162"/>
        <v>excl</v>
      </c>
      <c r="DH211" t="s">
        <v>451</v>
      </c>
      <c r="DI211" s="111">
        <f t="shared" si="148"/>
        <v>0</v>
      </c>
      <c r="DJ211" s="111">
        <f t="shared" si="148"/>
        <v>0</v>
      </c>
      <c r="DK211" s="111">
        <f t="shared" si="149"/>
        <v>0</v>
      </c>
      <c r="DL211" s="111">
        <f t="shared" si="150"/>
        <v>0</v>
      </c>
      <c r="DM211" s="111">
        <f t="shared" si="151"/>
        <v>0</v>
      </c>
      <c r="DN211" s="111">
        <f t="shared" si="152"/>
        <v>0</v>
      </c>
      <c r="DO211" s="111">
        <f t="shared" si="153"/>
        <v>0</v>
      </c>
      <c r="DP211" s="111">
        <f t="shared" si="154"/>
        <v>0</v>
      </c>
      <c r="DQ211" s="106"/>
      <c r="DR211" s="106"/>
      <c r="DS211" s="111"/>
      <c r="DT211" s="168"/>
      <c r="DW211" s="111">
        <f t="shared" si="163"/>
        <v>6.4129756382062689E-4</v>
      </c>
      <c r="DX211" s="111">
        <f t="shared" si="163"/>
        <v>6.4129756382062689E-4</v>
      </c>
      <c r="DY211" s="111">
        <f t="shared" si="163"/>
        <v>6.4129756382062689E-4</v>
      </c>
      <c r="DZ211" s="111">
        <f t="shared" si="156"/>
        <v>6.4129756382062689E-4</v>
      </c>
      <c r="EP211" t="s">
        <v>451</v>
      </c>
      <c r="EQ211">
        <v>0</v>
      </c>
      <c r="ER211" s="111">
        <f t="shared" si="164"/>
        <v>6.1189999999999997E-4</v>
      </c>
      <c r="ES211" s="111">
        <f>IF($BI$8=2015,VLOOKUP($L211,'[12]IMAGE CDLINKS CurPol'!$P$3:$Y$29,10,FALSE)*$AM211,VLOOKUP($L211,'[12]IMAGE CDLINKS CurPol'!$Z$3:$AI$29,10,FALSE)*$AP211)</f>
        <v>6.3087278163470833E-4</v>
      </c>
      <c r="ET211" s="111">
        <f t="shared" si="124"/>
        <v>6.3087278163470833E-4</v>
      </c>
      <c r="EU211" s="111">
        <f t="shared" si="166"/>
        <v>2.4246784822252819E-4</v>
      </c>
      <c r="EV211" s="111">
        <f>IF($BI$8=2015,VLOOKUP($L211,'[12]IMAGE CDLINKS 2C'!$P$3:$Y$29,10,FALSE)*$AM211,VLOOKUP($L211,'[12]IMAGE CDLINKS 2C'!$Z$3:$AI$29,10,FALSE)*$AP211)</f>
        <v>2.4246784822252819E-4</v>
      </c>
      <c r="EY211" s="111">
        <f t="shared" si="167"/>
        <v>1.0488278484708361E-4</v>
      </c>
      <c r="EZ211" s="111">
        <f>IF($BI$8=2015,VLOOKUP($L211,'[12]IMAGE CDLINKS 1_5C'!$P$3:$Y$29,10,FALSE)*$AM211,VLOOKUP($L211,'[12]IMAGE CDLINKS 1_5C'!$Z$3:$AI$29,10,FALSE)*$AP211)</f>
        <v>1.0488278484708361E-4</v>
      </c>
      <c r="FA211" s="192"/>
    </row>
    <row r="212" spans="1:157" x14ac:dyDescent="0.25">
      <c r="A212" t="str">
        <f>IF([12]NDCs!C214="","",[12]NDCs!C214)</f>
        <v>G</v>
      </c>
      <c r="B212" s="159" t="str">
        <f t="shared" si="157"/>
        <v>v</v>
      </c>
      <c r="C212">
        <v>0</v>
      </c>
      <c r="D212">
        <v>0</v>
      </c>
      <c r="E212">
        <v>0</v>
      </c>
      <c r="F212">
        <v>1</v>
      </c>
      <c r="G212" t="b">
        <f t="shared" si="158"/>
        <v>0</v>
      </c>
      <c r="H212" t="s">
        <v>2328</v>
      </c>
      <c r="I212" t="s">
        <v>453</v>
      </c>
      <c r="J212">
        <v>776</v>
      </c>
      <c r="K212">
        <v>200</v>
      </c>
      <c r="L212">
        <v>24</v>
      </c>
      <c r="M212" t="str">
        <f>IF([12]NDCs!AL214="Excluding","excl","incl")</f>
        <v>excl</v>
      </c>
      <c r="N212" s="160">
        <f>[12]GHG_hist!BA202+IF($M212="incl",[12]LULUCF_hist!CR202,0)</f>
        <v>0.23659928</v>
      </c>
      <c r="O212" s="111">
        <f>[12]GHG_hist!BB202+IF($M212="incl",[12]LULUCF_hist!CS202,0)</f>
        <v>0.25361308999999999</v>
      </c>
      <c r="P212" s="111">
        <f>[12]GHG_hist!BC202+IF($M212="incl",[12]LULUCF_hist!CT202,0)</f>
        <v>0.23496686</v>
      </c>
      <c r="Q212" s="111">
        <f>[12]GHG_hist!BD202+IF($M212="incl",[12]LULUCF_hist!CU202,0)</f>
        <v>0.24817500000000001</v>
      </c>
      <c r="R212" s="111">
        <f>[12]GHG_hist!BE202+IF($M212="incl",[12]LULUCF_hist!CV202,0)</f>
        <v>0.25560152000000003</v>
      </c>
      <c r="S212" s="111">
        <f>[12]GHG_hist!BF202+IF($M212="incl",[12]LULUCF_hist!CW202,0)</f>
        <v>0.25541829999999999</v>
      </c>
      <c r="T212" s="111">
        <f>[12]GHG_hist!BG202+IF($M212="incl",[12]LULUCF_hist!CX202,0)</f>
        <v>0.24092498000000001</v>
      </c>
      <c r="U212" s="111">
        <f>[12]GHG_hist!BH202+IF($M212="incl",[12]LULUCF_hist!CY202,0)</f>
        <v>0.26220791000000004</v>
      </c>
      <c r="V212" s="111">
        <f>[12]GHG_hist!BI202+IF($M212="incl",[12]LULUCF_hist!CZ202,0)</f>
        <v>0.25358259</v>
      </c>
      <c r="W212" s="111">
        <f>[12]GHG_hist!BJ202+IF($M212="incl",[12]LULUCF_hist!DA202,0)</f>
        <v>0.27886698000000004</v>
      </c>
      <c r="X212" s="111">
        <f>[12]GHG_hist!BK202+IF($M212="incl",[12]LULUCF_hist!DB202,0)</f>
        <v>0.26833312999999998</v>
      </c>
      <c r="Y212" s="111">
        <f>[12]GHG_hist!BL202+IF($M212="incl",[12]LULUCF_hist!DC202,0)</f>
        <v>0.24413281000000001</v>
      </c>
      <c r="Z212" s="111">
        <f>[12]GHG_hist!BM202+IF($M212="incl",[12]LULUCF_hist!DD202,0)</f>
        <v>0.24289648999999999</v>
      </c>
      <c r="AA212" s="111">
        <f>[12]GHG_hist!BN202+IF($M212="incl",[12]LULUCF_hist!DE202,0)</f>
        <v>0.24167608999999998</v>
      </c>
      <c r="AB212" s="111">
        <f>[12]GHG_hist!BO202+IF($M212="incl",[12]LULUCF_hist!DF202,0)</f>
        <v>0.21846073000000002</v>
      </c>
      <c r="AC212" s="111">
        <f>[12]GHG_hist!BP202+IF($M212="incl",[12]LULUCF_hist!DG202,0)</f>
        <v>0.20670482000000001</v>
      </c>
      <c r="AD212" s="111">
        <f>[12]GHG_hist!BQ202+IF($M212="incl",[12]LULUCF_hist!DH202,0)</f>
        <v>0.2046674</v>
      </c>
      <c r="AE212" s="111">
        <f>[12]GHG_hist!BR202+IF($M212="incl",[12]LULUCF_hist!DI202,0)</f>
        <v>0.18999984</v>
      </c>
      <c r="AF212" s="111">
        <f>[12]GHG_hist!BS202+IF($M212="incl",[12]LULUCF_hist!DJ202,0)</f>
        <v>0.19777566999999999</v>
      </c>
      <c r="AG212" s="111">
        <f>[12]GHG_hist!BT202+IF($M212="incl",[12]LULUCF_hist!DK202,0)</f>
        <v>0.20779565999999999</v>
      </c>
      <c r="AH212" s="111">
        <f>[12]GHG_hist!BU202+IF($M212="incl",[12]LULUCF_hist!DL202,0)</f>
        <v>0.19405950000000002</v>
      </c>
      <c r="AI212" s="111">
        <f>[12]GHG_hist!BV202+IF($M212="incl",[12]LULUCF_hist!DM202,0)</f>
        <v>0.18099146999999999</v>
      </c>
      <c r="AJ212" s="111">
        <f>[12]GHG_hist!BW202+IF($M212="incl",[12]LULUCF_hist!DN202,0)</f>
        <v>0.18480916</v>
      </c>
      <c r="AK212" s="111">
        <f>[12]GHG_hist!BX202+IF($M212="incl",[12]LULUCF_hist!DO202,0)</f>
        <v>0.19106021000000001</v>
      </c>
      <c r="AL212" s="111">
        <f>[12]GHG_hist!BY202+IF($M212="incl",[12]LULUCF_hist!DP202,0)</f>
        <v>0.19130846000000001</v>
      </c>
      <c r="AM212" s="111">
        <f>[12]GHG_hist!BZ202+IF($M212="incl",[12]LULUCF_hist!DQ202,0)</f>
        <v>0.19829561000000001</v>
      </c>
      <c r="AN212" s="111">
        <f>[12]GHG_hist!CA202+IF($M212="incl",[12]LULUCF_hist!DR202,0)</f>
        <v>0.20544631999999999</v>
      </c>
      <c r="AO212" s="111">
        <f>[12]GHG_hist!CB202+IF($M212="incl",[12]LULUCF_hist!DS202,0)</f>
        <v>0.23206526999999999</v>
      </c>
      <c r="AP212" s="111">
        <f>[12]GHG_hist!CC202+IF($M212="incl",[12]LULUCF_hist!DT202,0)</f>
        <v>0.23612386000000002</v>
      </c>
      <c r="AQ212" s="111">
        <f>[12]GHG_hist!CD202+IF($M212="incl",[12]LULUCF_hist!DU202,0)</f>
        <v>0.24823625999999999</v>
      </c>
      <c r="AR212" s="111">
        <f>[12]GHG_hist!CE202+IF($M212="incl",[12]LULUCF_hist!DV202,0)</f>
        <v>0.24903708000000002</v>
      </c>
      <c r="AS212" s="111">
        <f>[12]GHG_hist!CF202+IF($M212="incl",[12]LULUCF_hist!DW202,0)</f>
        <v>0.25389497999999999</v>
      </c>
      <c r="AT212" s="161">
        <f>VLOOKUP($L212,'[12]IMAGE SSP2'!$AF$3:$AK$29,4,FALSE)*$AM212</f>
        <v>0.21286819002616572</v>
      </c>
      <c r="AU212" s="162">
        <f>VLOOKUP($L212,'[12]IMAGE SSP2'!$AF$3:$AK$29,5,FALSE)*$AM212</f>
        <v>0.21853961251414905</v>
      </c>
      <c r="AV212" s="163">
        <f>VLOOKUP($L212,'[12]IMAGE SSP2'!$AF$3:$AK$29,6,FALSE)*$AM212</f>
        <v>0.22109896908806592</v>
      </c>
      <c r="AW212" s="111" t="str">
        <f t="shared" si="165"/>
        <v/>
      </c>
      <c r="AX212" s="164" t="str">
        <f>IF(A212="B",IF(M212="excl",[12]NatCom!CO202,[12]NatCom!AX202),"")</f>
        <v/>
      </c>
      <c r="AY212" s="111" t="str">
        <f>IF('[12]Pledge 2020'!E202="","",'[12]Pledge 2020'!E202)</f>
        <v/>
      </c>
      <c r="AZ212" s="164" t="str">
        <f>IF('[12]Pledge 2020'!F202="","",'[12]Pledge 2020'!F202)</f>
        <v/>
      </c>
      <c r="BA212" s="111" t="str">
        <f t="shared" si="144"/>
        <v/>
      </c>
      <c r="BB212" s="111"/>
      <c r="BC212" s="111" t="str">
        <f t="shared" si="145"/>
        <v/>
      </c>
      <c r="BD212" s="111"/>
      <c r="BE212" s="111" t="s">
        <v>2477</v>
      </c>
      <c r="BF212" s="111" t="s">
        <v>2477</v>
      </c>
      <c r="BG212" s="111" t="s">
        <v>2477</v>
      </c>
      <c r="BH212" s="111" t="s">
        <v>2477</v>
      </c>
      <c r="BI212" s="111" t="str">
        <f>IF([12]NDCs!V214="",IF([12]NDCs!X214="","",[12]NDCs!X214),[12]NDCs!V214)</f>
        <v/>
      </c>
      <c r="BJ212" s="111" t="str">
        <f>IF([12]NDCs!V214="",IF([12]NDCs!X214="","",[12]NDCs!X214),[12]NDCs!V214)</f>
        <v/>
      </c>
      <c r="BK212" s="111" t="str">
        <f>IF([12]NDCs!Z214="",IF([12]NDCs!AB214="",IF('input site'!BE212="","",'input site'!BE212),[12]NDCs!AB214),[12]NDCs!Z214)</f>
        <v/>
      </c>
      <c r="BL212" s="111" t="str">
        <f>IF([12]NDCs!AA214="",IF([12]NDCs!AC214="",IF('input site'!BF212="","",'input site'!BF212),[12]NDCs!AC214),[12]NDCs!AA214)</f>
        <v/>
      </c>
      <c r="BM212" s="111">
        <f>IF($BI$8=2015,VLOOKUP($L212,'[12]IMAGE CurPol SSP'!$AZ$3:$BD$29,4,FALSE)*$AM212,IF($BI$8=2018,VLOOKUP($L212,'[12]IMAGE CurPol SSP'!$BJ$3:$BN$29,4,FALSE)*$AP212,$AR212))</f>
        <v>0.24903708000000002</v>
      </c>
      <c r="BN212" s="111">
        <f t="shared" si="168"/>
        <v>0.24903708000000002</v>
      </c>
      <c r="BO212" s="111">
        <f t="shared" si="168"/>
        <v>0.24903708000000002</v>
      </c>
      <c r="BP212" s="111">
        <f>IF($BI$8=2015,VLOOKUP($L212,'[12]IMAGE CurPol SSP'!$AZ$3:$BD$29,5,FALSE)*$AM212,IF($BI$8=2018,VLOOKUP($L212,'[12]IMAGE CurPol SSP'!$BJ$3:$BN$29,5,FALSE)*$AP212,VLOOKUP($L212,'[12]IMAGE CurPol SSP'!$BU$3:$BZ$29,5,FALSE)*$AS212))</f>
        <v>0.25858271430813512</v>
      </c>
      <c r="BQ212" s="111">
        <f>IF($BI$8=2015,"",IF($BI$8=2018,"",VLOOKUP($L212,'[12]IMAGE CurPol SSP'!$CQ$3:$CV$29,5,FALSE)*$AS212))</f>
        <v>0.25175312360378427</v>
      </c>
      <c r="BR212" s="111">
        <f>IF($BI$8=2015,"",IF($BI$8=2018,"",VLOOKUP($L212,'[12]IMAGE CurPol SSP'!$CF$3:$CK$29,5,FALSE)*$AS212))</f>
        <v>0.25858271430813512</v>
      </c>
      <c r="BS212" s="111">
        <f>IF($BI$8=2015,VLOOKUP($L212,'[12]IMAGE CurPol SSP'!$AZ$3:$BE$29,6,FALSE)*$AM212,IF($BI$8=2018,VLOOKUP($L212,'[12]IMAGE CurPol SSP'!$BJ$3:$BO$29,6,FALSE)*$AP212,VLOOKUP($L212,'[12]IMAGE CurPol SSP'!$BU$3:$BZ$29,6,FALSE)*$AS212))</f>
        <v>0.26616537657068118</v>
      </c>
      <c r="BT212" s="111">
        <f>IF($BI$8=2015,"",IF($BI$8=2018,"",VLOOKUP($L212,'[12]IMAGE CurPol SSP'!$CQ$3:$CV$29,6,FALSE)*$AS212))</f>
        <v>0.24584054288337487</v>
      </c>
      <c r="BU212" s="164">
        <f>IF($BI$8=2015,"",IF($BI$8=2018,"",VLOOKUP($L212,'[12]IMAGE CurPol SSP'!$CF$3:$CK$29,6,FALSE)*$AS212))</f>
        <v>0.26616537657068118</v>
      </c>
      <c r="CN212" t="s">
        <v>453</v>
      </c>
      <c r="CO212" s="165" t="str">
        <f t="shared" si="160"/>
        <v/>
      </c>
      <c r="CP212" s="165" t="str">
        <f t="shared" si="160"/>
        <v/>
      </c>
      <c r="CQ212" s="165" t="str">
        <f t="shared" si="160"/>
        <v/>
      </c>
      <c r="CR212" s="165" t="str">
        <f t="shared" si="155"/>
        <v/>
      </c>
      <c r="CV212" s="125" t="s">
        <v>621</v>
      </c>
      <c r="CW212" s="125" t="s">
        <v>621</v>
      </c>
      <c r="CX212"/>
      <c r="CY212" s="167">
        <f t="shared" si="161"/>
        <v>-3.6168889973834301E-2</v>
      </c>
      <c r="DB212" s="106"/>
      <c r="DC212" s="106"/>
      <c r="DD212" s="106"/>
      <c r="DE212" s="106"/>
      <c r="DF212" s="106"/>
      <c r="DG212" s="105" t="str">
        <f t="shared" si="162"/>
        <v>excl</v>
      </c>
      <c r="DH212" t="s">
        <v>453</v>
      </c>
      <c r="DI212" s="111">
        <f t="shared" si="148"/>
        <v>0</v>
      </c>
      <c r="DJ212" s="111">
        <f t="shared" si="148"/>
        <v>0</v>
      </c>
      <c r="DK212" s="111">
        <f t="shared" si="149"/>
        <v>0</v>
      </c>
      <c r="DL212" s="111">
        <f t="shared" si="150"/>
        <v>0</v>
      </c>
      <c r="DM212" s="111">
        <f t="shared" si="151"/>
        <v>0</v>
      </c>
      <c r="DN212" s="111">
        <f t="shared" si="152"/>
        <v>0</v>
      </c>
      <c r="DO212" s="111">
        <f t="shared" si="153"/>
        <v>0</v>
      </c>
      <c r="DP212" s="111">
        <f t="shared" si="154"/>
        <v>0</v>
      </c>
      <c r="DQ212" s="106"/>
      <c r="DR212" s="106"/>
      <c r="DS212" s="111"/>
      <c r="DT212" s="168"/>
      <c r="DW212" s="111">
        <f t="shared" si="163"/>
        <v>0.26616537657068118</v>
      </c>
      <c r="DX212" s="111">
        <f t="shared" si="163"/>
        <v>0.26616537657068118</v>
      </c>
      <c r="DY212" s="111">
        <f t="shared" si="163"/>
        <v>0.26616537657068118</v>
      </c>
      <c r="DZ212" s="111">
        <f t="shared" si="156"/>
        <v>0.26616537657068118</v>
      </c>
      <c r="EP212" t="s">
        <v>453</v>
      </c>
      <c r="EQ212">
        <v>1</v>
      </c>
      <c r="ER212" s="111">
        <f t="shared" si="164"/>
        <v>0.23612386000000002</v>
      </c>
      <c r="ES212" s="111">
        <f>IF($BI$8=2015,VLOOKUP($L212,'[12]IMAGE CDLINKS CurPol'!$P$3:$Y$29,10,FALSE)*$AM212,VLOOKUP($L212,'[12]IMAGE CDLINKS CurPol'!$Z$3:$AI$29,10,FALSE)*$AP212)</f>
        <v>0.2434451975298651</v>
      </c>
      <c r="ET212" s="111">
        <f t="shared" si="124"/>
        <v>0</v>
      </c>
      <c r="EU212" s="111">
        <f t="shared" si="166"/>
        <v>9.3565033907824002E-2</v>
      </c>
      <c r="EV212" s="111">
        <f>IF($BI$8=2015,VLOOKUP($L212,'[12]IMAGE CDLINKS 2C'!$P$3:$Y$29,10,FALSE)*$AM212,VLOOKUP($L212,'[12]IMAGE CDLINKS 2C'!$Z$3:$AI$29,10,FALSE)*$AP212)</f>
        <v>9.3565033907824002E-2</v>
      </c>
      <c r="EW212">
        <v>0</v>
      </c>
      <c r="EX212" s="111">
        <f>EW212-EV212</f>
        <v>-9.3565033907824002E-2</v>
      </c>
      <c r="EY212" s="111">
        <f t="shared" si="167"/>
        <v>0</v>
      </c>
      <c r="EZ212" s="111">
        <f>IF($BI$8=2015,VLOOKUP($L212,'[12]IMAGE CDLINKS 1_5C'!$P$3:$Y$29,10,FALSE)*$AM212,VLOOKUP($L212,'[12]IMAGE CDLINKS 1_5C'!$Z$3:$AI$29,10,FALSE)*$AP212)</f>
        <v>4.0472835439847837E-2</v>
      </c>
      <c r="FA212" s="192">
        <v>2050</v>
      </c>
    </row>
    <row r="213" spans="1:157" x14ac:dyDescent="0.25">
      <c r="A213" t="str">
        <f>IF([12]NDCs!C215="","",[12]NDCs!C215)</f>
        <v>C</v>
      </c>
      <c r="B213" s="159" t="str">
        <f t="shared" si="157"/>
        <v>v</v>
      </c>
      <c r="C213">
        <v>0</v>
      </c>
      <c r="D213">
        <v>0</v>
      </c>
      <c r="E213">
        <v>0</v>
      </c>
      <c r="F213">
        <v>1</v>
      </c>
      <c r="G213" t="b">
        <f t="shared" si="158"/>
        <v>1</v>
      </c>
      <c r="H213" t="s">
        <v>2328</v>
      </c>
      <c r="I213" t="s">
        <v>455</v>
      </c>
      <c r="J213">
        <v>780</v>
      </c>
      <c r="K213">
        <v>201</v>
      </c>
      <c r="L213">
        <v>4</v>
      </c>
      <c r="M213" t="str">
        <f>IF([12]NDCs!AL215="Excluding","excl","incl")</f>
        <v>excl</v>
      </c>
      <c r="N213" s="160">
        <f>[12]GHG_hist!BA203+IF($M213="incl",[12]LULUCF_hist!CR203,0)</f>
        <v>21.721948000000001</v>
      </c>
      <c r="O213" s="111">
        <f>[12]GHG_hist!BB203+IF($M213="incl",[12]LULUCF_hist!CS203,0)</f>
        <v>21.881758000000001</v>
      </c>
      <c r="P213" s="111">
        <f>[12]GHG_hist!BC203+IF($M213="incl",[12]LULUCF_hist!CT203,0)</f>
        <v>22.403775000000003</v>
      </c>
      <c r="Q213" s="111">
        <f>[12]GHG_hist!BD203+IF($M213="incl",[12]LULUCF_hist!CU203,0)</f>
        <v>21.028115000000003</v>
      </c>
      <c r="R213" s="111">
        <f>[12]GHG_hist!BE203+IF($M213="incl",[12]LULUCF_hist!CV203,0)</f>
        <v>22.944789</v>
      </c>
      <c r="S213" s="111">
        <f>[12]GHG_hist!BF203+IF($M213="incl",[12]LULUCF_hist!CW203,0)</f>
        <v>22.976516</v>
      </c>
      <c r="T213" s="111">
        <f>[12]GHG_hist!BG203+IF($M213="incl",[12]LULUCF_hist!CX203,0)</f>
        <v>25.362491000000002</v>
      </c>
      <c r="U213" s="111">
        <f>[12]GHG_hist!BH203+IF($M213="incl",[12]LULUCF_hist!CY203,0)</f>
        <v>25.279434000000002</v>
      </c>
      <c r="V213" s="111">
        <f>[12]GHG_hist!BI203+IF($M213="incl",[12]LULUCF_hist!CZ203,0)</f>
        <v>28.864373000000001</v>
      </c>
      <c r="W213" s="111">
        <f>[12]GHG_hist!BJ203+IF($M213="incl",[12]LULUCF_hist!DA203,0)</f>
        <v>31.642372999999999</v>
      </c>
      <c r="X213" s="111">
        <f>[12]GHG_hist!BK203+IF($M213="incl",[12]LULUCF_hist!DB203,0)</f>
        <v>31.420617999999997</v>
      </c>
      <c r="Y213" s="111">
        <f>[12]GHG_hist!BL203+IF($M213="incl",[12]LULUCF_hist!DC203,0)</f>
        <v>34.579281000000002</v>
      </c>
      <c r="Z213" s="111">
        <f>[12]GHG_hist!BM203+IF($M213="incl",[12]LULUCF_hist!DD203,0)</f>
        <v>36.760118000000006</v>
      </c>
      <c r="AA213" s="111">
        <f>[12]GHG_hist!BN203+IF($M213="incl",[12]LULUCF_hist!DE203,0)</f>
        <v>41.509743999999998</v>
      </c>
      <c r="AB213" s="111">
        <f>[12]GHG_hist!BO203+IF($M213="incl",[12]LULUCF_hist!DF203,0)</f>
        <v>44.794692000000005</v>
      </c>
      <c r="AC213" s="111">
        <f>[12]GHG_hist!BP203+IF($M213="incl",[12]LULUCF_hist!DG203,0)</f>
        <v>54.228012000000007</v>
      </c>
      <c r="AD213" s="111">
        <f>[12]GHG_hist!BQ203+IF($M213="incl",[12]LULUCF_hist!DH203,0)</f>
        <v>57.852175000000003</v>
      </c>
      <c r="AE213" s="111">
        <f>[12]GHG_hist!BR203+IF($M213="incl",[12]LULUCF_hist!DI203,0)</f>
        <v>58.965942000000005</v>
      </c>
      <c r="AF213" s="111">
        <f>[12]GHG_hist!BS203+IF($M213="incl",[12]LULUCF_hist!DJ203,0)</f>
        <v>57.053075</v>
      </c>
      <c r="AG213" s="111">
        <f>[12]GHG_hist!BT203+IF($M213="incl",[12]LULUCF_hist!DK203,0)</f>
        <v>58.87388</v>
      </c>
      <c r="AH213" s="111">
        <f>[12]GHG_hist!BU203+IF($M213="incl",[12]LULUCF_hist!DL203,0)</f>
        <v>62.079069000000004</v>
      </c>
      <c r="AI213" s="111">
        <f>[12]GHG_hist!BV203+IF($M213="incl",[12]LULUCF_hist!DM203,0)</f>
        <v>60.412179999999999</v>
      </c>
      <c r="AJ213" s="111">
        <f>[12]GHG_hist!BW203+IF($M213="incl",[12]LULUCF_hist!DN203,0)</f>
        <v>59.768699000000005</v>
      </c>
      <c r="AK213" s="111">
        <f>[12]GHG_hist!BX203+IF($M213="incl",[12]LULUCF_hist!DO203,0)</f>
        <v>58.838252000000004</v>
      </c>
      <c r="AL213" s="111">
        <f>[12]GHG_hist!BY203+IF($M213="incl",[12]LULUCF_hist!DP203,0)</f>
        <v>58.434716000000002</v>
      </c>
      <c r="AM213" s="111">
        <f>[12]GHG_hist!BZ203+IF($M213="incl",[12]LULUCF_hist!DQ203,0)</f>
        <v>57.09731</v>
      </c>
      <c r="AN213" s="111">
        <f>[12]GHG_hist!CA203+IF($M213="incl",[12]LULUCF_hist!DR203,0)</f>
        <v>53.113388</v>
      </c>
      <c r="AO213" s="111">
        <f>[12]GHG_hist!CB203+IF($M213="incl",[12]LULUCF_hist!DS203,0)</f>
        <v>53.479312</v>
      </c>
      <c r="AP213" s="111">
        <f>[12]GHG_hist!CC203+IF($M213="incl",[12]LULUCF_hist!DT203,0)</f>
        <v>53.495298000000005</v>
      </c>
      <c r="AQ213" s="111">
        <f>[12]GHG_hist!CD203+IF($M213="incl",[12]LULUCF_hist!DU203,0)</f>
        <v>53.424317000000002</v>
      </c>
      <c r="AR213" s="111">
        <f>[12]GHG_hist!CE203+IF($M213="incl",[12]LULUCF_hist!DV203,0)</f>
        <v>44.060434000000001</v>
      </c>
      <c r="AS213" s="111">
        <f>[12]GHG_hist!CF203+IF($M213="incl",[12]LULUCF_hist!DW203,0)</f>
        <v>42.832557999999999</v>
      </c>
      <c r="AT213" s="161">
        <f>VLOOKUP($L213,'[12]IMAGE SSP2'!$AF$3:$AK$29,4,FALSE)*$AM213</f>
        <v>64.920263171907308</v>
      </c>
      <c r="AU213" s="162">
        <f>VLOOKUP($L213,'[12]IMAGE SSP2'!$AF$3:$AK$29,5,FALSE)*$AM213</f>
        <v>72.630097427306069</v>
      </c>
      <c r="AV213" s="163">
        <f>VLOOKUP($L213,'[12]IMAGE SSP2'!$AF$3:$AK$29,6,FALSE)*$AM213</f>
        <v>76.669516257520769</v>
      </c>
      <c r="AW213" s="111" t="str">
        <f t="shared" si="165"/>
        <v/>
      </c>
      <c r="AX213" s="164" t="str">
        <f>IF(A213="B",IF(M213="excl",[12]NatCom!CO203,[12]NatCom!AX203),"")</f>
        <v/>
      </c>
      <c r="AY213" s="111" t="str">
        <f>IF('[12]Pledge 2020'!E203="","",'[12]Pledge 2020'!E203)</f>
        <v/>
      </c>
      <c r="AZ213" s="164" t="str">
        <f>IF('[12]Pledge 2020'!F203="","",'[12]Pledge 2020'!F203)</f>
        <v/>
      </c>
      <c r="BA213" s="111" t="str">
        <f t="shared" si="144"/>
        <v/>
      </c>
      <c r="BB213" s="111"/>
      <c r="BC213" s="111">
        <f t="shared" si="145"/>
        <v>81.444024750000011</v>
      </c>
      <c r="BD213" s="111">
        <f>IF(BH213="","",(BH213-AH213)*0.75+AH213)</f>
        <v>81.444024750000011</v>
      </c>
      <c r="BE213" s="111" t="s">
        <v>2477</v>
      </c>
      <c r="BF213" s="111" t="s">
        <v>2477</v>
      </c>
      <c r="BG213" s="111">
        <v>87.899010000000004</v>
      </c>
      <c r="BH213" s="111">
        <v>87.899010000000004</v>
      </c>
      <c r="BI213" s="111" t="str">
        <f>IF([12]NDCs!V215="",IF([12]NDCs!X215="","",[12]NDCs!X215),[12]NDCs!V215)</f>
        <v/>
      </c>
      <c r="BJ213" s="111" t="str">
        <f>IF([12]NDCs!V215="",IF([12]NDCs!X215="","",[12]NDCs!X215),[12]NDCs!V215)</f>
        <v/>
      </c>
      <c r="BK213" s="111">
        <f>IF([12]NDCs!Z215="",IF([12]NDCs!AB215="",IF('input site'!BE213="","",'input site'!BE213),[12]NDCs!AB215),[12]NDCs!Z215)</f>
        <v>87.899010000000004</v>
      </c>
      <c r="BL213" s="111">
        <f>IF([12]NDCs!AA215="",IF([12]NDCs!AC215="",IF('input site'!BF213="","",'input site'!BF213),[12]NDCs!AC215),[12]NDCs!AA215)</f>
        <v>87.899010000000004</v>
      </c>
      <c r="BM213" s="111">
        <f>IF($BI$8=2015,VLOOKUP($L213,'[12]IMAGE CurPol SSP'!$AZ$3:$BD$29,4,FALSE)*$AM213,IF($BI$8=2018,VLOOKUP($L213,'[12]IMAGE CurPol SSP'!$BJ$3:$BN$29,4,FALSE)*$AP213,$AR213))</f>
        <v>44.060434000000001</v>
      </c>
      <c r="BN213" s="111">
        <f t="shared" si="168"/>
        <v>44.060434000000001</v>
      </c>
      <c r="BO213" s="111">
        <f t="shared" si="168"/>
        <v>44.060434000000001</v>
      </c>
      <c r="BP213" s="111">
        <f>IF($BI$8=2015,VLOOKUP($L213,'[12]IMAGE CurPol SSP'!$AZ$3:$BD$29,5,FALSE)*$AM213,IF($BI$8=2018,VLOOKUP($L213,'[12]IMAGE CurPol SSP'!$BJ$3:$BN$29,5,FALSE)*$AP213,VLOOKUP($L213,'[12]IMAGE CurPol SSP'!$BU$3:$BZ$29,5,FALSE)*$AS213))</f>
        <v>46.936123669736553</v>
      </c>
      <c r="BQ213" s="111">
        <f>IF($BI$8=2015,"",IF($BI$8=2018,"",VLOOKUP($L213,'[12]IMAGE CurPol SSP'!$CQ$3:$CV$29,5,FALSE)*$AS213))</f>
        <v>46.137412701220399</v>
      </c>
      <c r="BR213" s="111">
        <f>IF($BI$8=2015,"",IF($BI$8=2018,"",VLOOKUP($L213,'[12]IMAGE CurPol SSP'!$CF$3:$CK$29,5,FALSE)*$AS213))</f>
        <v>48.782289202339712</v>
      </c>
      <c r="BS213" s="111">
        <f>IF($BI$8=2015,VLOOKUP($L213,'[12]IMAGE CurPol SSP'!$AZ$3:$BE$29,6,FALSE)*$AM213,IF($BI$8=2018,VLOOKUP($L213,'[12]IMAGE CurPol SSP'!$BJ$3:$BO$29,6,FALSE)*$AP213,VLOOKUP($L213,'[12]IMAGE CurPol SSP'!$BU$3:$BZ$29,6,FALSE)*$AS213))</f>
        <v>52.815507550179994</v>
      </c>
      <c r="BT213" s="111">
        <f>IF($BI$8=2015,"",IF($BI$8=2018,"",VLOOKUP($L213,'[12]IMAGE CurPol SSP'!$CQ$3:$CV$29,6,FALSE)*$AS213))</f>
        <v>51.601783961331741</v>
      </c>
      <c r="BU213" s="164">
        <f>IF($BI$8=2015,"",IF($BI$8=2018,"",VLOOKUP($L213,'[12]IMAGE CurPol SSP'!$CF$3:$CK$29,6,FALSE)*$AS213))</f>
        <v>56.508072369126175</v>
      </c>
      <c r="CN213" t="s">
        <v>455</v>
      </c>
      <c r="CO213" s="165" t="str">
        <f t="shared" si="160"/>
        <v/>
      </c>
      <c r="CP213" s="165" t="str">
        <f t="shared" si="160"/>
        <v/>
      </c>
      <c r="CQ213" s="165">
        <f t="shared" si="160"/>
        <v>0.66426517659585471</v>
      </c>
      <c r="CR213" s="165">
        <f t="shared" si="155"/>
        <v>0.66426517659585471</v>
      </c>
      <c r="CV213" s="125" t="s">
        <v>621</v>
      </c>
      <c r="CW213" s="125" t="s">
        <v>621</v>
      </c>
      <c r="CX213"/>
      <c r="CY213" s="167">
        <f t="shared" si="161"/>
        <v>20.859829171907307</v>
      </c>
      <c r="DB213" s="106"/>
      <c r="DC213" s="106"/>
      <c r="DD213" s="106"/>
      <c r="DE213" s="106"/>
      <c r="DF213" s="106"/>
      <c r="DG213" s="105" t="str">
        <f t="shared" si="162"/>
        <v>excl</v>
      </c>
      <c r="DH213" t="s">
        <v>455</v>
      </c>
      <c r="DI213" s="111">
        <f t="shared" si="148"/>
        <v>0</v>
      </c>
      <c r="DJ213" s="111">
        <f t="shared" si="148"/>
        <v>0</v>
      </c>
      <c r="DK213" s="111">
        <f t="shared" si="149"/>
        <v>0</v>
      </c>
      <c r="DL213" s="111">
        <f t="shared" si="150"/>
        <v>34.507901080263458</v>
      </c>
      <c r="DM213" s="111">
        <f t="shared" si="151"/>
        <v>0</v>
      </c>
      <c r="DN213" s="111">
        <f t="shared" si="152"/>
        <v>35.08350244982001</v>
      </c>
      <c r="DO213" s="111">
        <f t="shared" si="153"/>
        <v>0</v>
      </c>
      <c r="DP213" s="111">
        <f t="shared" si="154"/>
        <v>35.08350244982001</v>
      </c>
      <c r="DQ213" s="106"/>
      <c r="DR213" s="106"/>
      <c r="DS213" s="111"/>
      <c r="DT213" s="168"/>
      <c r="DW213" s="111">
        <f t="shared" si="163"/>
        <v>52.815507550179994</v>
      </c>
      <c r="DX213" s="111">
        <f t="shared" si="163"/>
        <v>52.815507550179994</v>
      </c>
      <c r="DY213" s="111">
        <f t="shared" si="163"/>
        <v>87.899010000000004</v>
      </c>
      <c r="DZ213" s="111">
        <f t="shared" si="156"/>
        <v>87.899010000000004</v>
      </c>
      <c r="EP213" t="s">
        <v>455</v>
      </c>
      <c r="EQ213">
        <v>1</v>
      </c>
      <c r="ER213" s="111">
        <f t="shared" si="164"/>
        <v>53.495298000000005</v>
      </c>
      <c r="ES213" s="111">
        <f>IF($BI$8=2015,VLOOKUP($L213,'[12]IMAGE CDLINKS CurPol'!$P$3:$Y$29,10,FALSE)*$AM213,VLOOKUP($L213,'[12]IMAGE CDLINKS CurPol'!$Z$3:$AI$29,10,FALSE)*$AP213)</f>
        <v>101.31891711233193</v>
      </c>
      <c r="ET213" s="111">
        <f t="shared" si="124"/>
        <v>0</v>
      </c>
      <c r="EU213" s="111">
        <f t="shared" si="166"/>
        <v>28.110962663142221</v>
      </c>
      <c r="EV213" s="111">
        <f>IF($BI$8=2015,VLOOKUP($L213,'[12]IMAGE CDLINKS 2C'!$P$3:$Y$29,10,FALSE)*$AM213,VLOOKUP($L213,'[12]IMAGE CDLINKS 2C'!$Z$3:$AI$29,10,FALSE)*$AP213)</f>
        <v>28.110962663142221</v>
      </c>
      <c r="EW213">
        <v>0</v>
      </c>
      <c r="EX213" s="111">
        <f>EW213-EV213</f>
        <v>-28.110962663142221</v>
      </c>
      <c r="EY213" s="111">
        <f t="shared" si="167"/>
        <v>0</v>
      </c>
      <c r="EZ213" s="111">
        <f>IF($BI$8=2015,VLOOKUP($L213,'[12]IMAGE CDLINKS 1_5C'!$P$3:$Y$29,10,FALSE)*$AM213,VLOOKUP($L213,'[12]IMAGE CDLINKS 1_5C'!$Z$3:$AI$29,10,FALSE)*$AP213)</f>
        <v>5.7172189154696236</v>
      </c>
      <c r="FA213" s="192">
        <v>2050</v>
      </c>
    </row>
    <row r="214" spans="1:157" x14ac:dyDescent="0.25">
      <c r="A214" t="str">
        <f>IF([12]NDCs!C216="","",[12]NDCs!C216)</f>
        <v>D</v>
      </c>
      <c r="B214" s="159" t="str">
        <f t="shared" si="157"/>
        <v>v</v>
      </c>
      <c r="C214">
        <v>0</v>
      </c>
      <c r="D214">
        <v>0</v>
      </c>
      <c r="E214">
        <v>0</v>
      </c>
      <c r="F214">
        <v>1</v>
      </c>
      <c r="G214" t="b">
        <f t="shared" si="158"/>
        <v>1</v>
      </c>
      <c r="H214" t="s">
        <v>2333</v>
      </c>
      <c r="I214" t="s">
        <v>457</v>
      </c>
      <c r="J214">
        <v>788</v>
      </c>
      <c r="K214">
        <v>203</v>
      </c>
      <c r="L214">
        <v>7</v>
      </c>
      <c r="M214" t="str">
        <f>IF([12]NDCs!AL216="Excluding","excl","incl")</f>
        <v>excl</v>
      </c>
      <c r="N214" s="160">
        <f>[12]GHG_hist!BA204+IF($M214="incl",[12]LULUCF_hist!CR204,0)</f>
        <v>21.414598999999999</v>
      </c>
      <c r="O214" s="111">
        <f>[12]GHG_hist!BB204+IF($M214="incl",[12]LULUCF_hist!CS204,0)</f>
        <v>24.454013</v>
      </c>
      <c r="P214" s="111">
        <f>[12]GHG_hist!BC204+IF($M214="incl",[12]LULUCF_hist!CT204,0)</f>
        <v>24.162181</v>
      </c>
      <c r="Q214" s="111">
        <f>[12]GHG_hist!BD204+IF($M214="incl",[12]LULUCF_hist!CU204,0)</f>
        <v>25.678497</v>
      </c>
      <c r="R214" s="111">
        <f>[12]GHG_hist!BE204+IF($M214="incl",[12]LULUCF_hist!CV204,0)</f>
        <v>24.647863000000001</v>
      </c>
      <c r="S214" s="111">
        <f>[12]GHG_hist!BF204+IF($M214="incl",[12]LULUCF_hist!CW204,0)</f>
        <v>24.804254</v>
      </c>
      <c r="T214" s="111">
        <f>[12]GHG_hist!BG204+IF($M214="incl",[12]LULUCF_hist!CX204,0)</f>
        <v>26.998643000000001</v>
      </c>
      <c r="U214" s="111">
        <f>[12]GHG_hist!BH204+IF($M214="incl",[12]LULUCF_hist!CY204,0)</f>
        <v>27.501027000000001</v>
      </c>
      <c r="V214" s="111">
        <f>[12]GHG_hist!BI204+IF($M214="incl",[12]LULUCF_hist!CZ204,0)</f>
        <v>29.568517</v>
      </c>
      <c r="W214" s="111">
        <f>[12]GHG_hist!BJ204+IF($M214="incl",[12]LULUCF_hist!DA204,0)</f>
        <v>30.824313999999998</v>
      </c>
      <c r="X214" s="111">
        <f>[12]GHG_hist!BK204+IF($M214="incl",[12]LULUCF_hist!DB204,0)</f>
        <v>32.939771</v>
      </c>
      <c r="Y214" s="111">
        <f>[12]GHG_hist!BL204+IF($M214="incl",[12]LULUCF_hist!DC204,0)</f>
        <v>33.999156999999997</v>
      </c>
      <c r="Z214" s="111">
        <f>[12]GHG_hist!BM204+IF($M214="incl",[12]LULUCF_hist!DD204,0)</f>
        <v>33.909317000000001</v>
      </c>
      <c r="AA214" s="111">
        <f>[12]GHG_hist!BN204+IF($M214="incl",[12]LULUCF_hist!DE204,0)</f>
        <v>34.417671999999996</v>
      </c>
      <c r="AB214" s="111">
        <f>[12]GHG_hist!BO204+IF($M214="incl",[12]LULUCF_hist!DF204,0)</f>
        <v>35.935061000000005</v>
      </c>
      <c r="AC214" s="111">
        <f>[12]GHG_hist!BP204+IF($M214="incl",[12]LULUCF_hist!DG204,0)</f>
        <v>36.860718999999996</v>
      </c>
      <c r="AD214" s="111">
        <f>[12]GHG_hist!BQ204+IF($M214="incl",[12]LULUCF_hist!DH204,0)</f>
        <v>37.827256999999996</v>
      </c>
      <c r="AE214" s="111">
        <f>[12]GHG_hist!BR204+IF($M214="incl",[12]LULUCF_hist!DI204,0)</f>
        <v>39.199756999999998</v>
      </c>
      <c r="AF214" s="111">
        <f>[12]GHG_hist!BS204+IF($M214="incl",[12]LULUCF_hist!DJ204,0)</f>
        <v>40.908841000000002</v>
      </c>
      <c r="AG214" s="111">
        <f>[12]GHG_hist!BT204+IF($M214="incl",[12]LULUCF_hist!DK204,0)</f>
        <v>41.258014000000003</v>
      </c>
      <c r="AH214" s="111">
        <f>[12]GHG_hist!BU204+IF($M214="incl",[12]LULUCF_hist!DL204,0)</f>
        <v>43.911814</v>
      </c>
      <c r="AI214" s="111">
        <f>[12]GHG_hist!BV204+IF($M214="incl",[12]LULUCF_hist!DM204,0)</f>
        <v>41.735337000000001</v>
      </c>
      <c r="AJ214" s="111">
        <f>[12]GHG_hist!BW204+IF($M214="incl",[12]LULUCF_hist!DN204,0)</f>
        <v>44.129961999999999</v>
      </c>
      <c r="AK214" s="111">
        <f>[12]GHG_hist!BX204+IF($M214="incl",[12]LULUCF_hist!DO204,0)</f>
        <v>43.489197999999995</v>
      </c>
      <c r="AL214" s="111">
        <f>[12]GHG_hist!BY204+IF($M214="incl",[12]LULUCF_hist!DP204,0)</f>
        <v>44.626890000000003</v>
      </c>
      <c r="AM214" s="111">
        <f>[12]GHG_hist!BZ204+IF($M214="incl",[12]LULUCF_hist!DQ204,0)</f>
        <v>45.833656000000005</v>
      </c>
      <c r="AN214" s="111">
        <f>[12]GHG_hist!CA204+IF($M214="incl",[12]LULUCF_hist!DR204,0)</f>
        <v>44.888122000000003</v>
      </c>
      <c r="AO214" s="111">
        <f>[12]GHG_hist!CB204+IF($M214="incl",[12]LULUCF_hist!DS204,0)</f>
        <v>44.764628999999999</v>
      </c>
      <c r="AP214" s="111">
        <f>[12]GHG_hist!CC204+IF($M214="incl",[12]LULUCF_hist!DT204,0)</f>
        <v>40.685936000000005</v>
      </c>
      <c r="AQ214" s="111">
        <f>[12]GHG_hist!CD204+IF($M214="incl",[12]LULUCF_hist!DU204,0)</f>
        <v>40.210115999999999</v>
      </c>
      <c r="AR214" s="111">
        <f>[12]GHG_hist!CE204+IF($M214="incl",[12]LULUCF_hist!DV204,0)</f>
        <v>37.271872999999999</v>
      </c>
      <c r="AS214" s="111">
        <f>[12]GHG_hist!CF204+IF($M214="incl",[12]LULUCF_hist!DW204,0)</f>
        <v>43.363604000000002</v>
      </c>
      <c r="AT214" s="161">
        <f>VLOOKUP($L214,'[12]IMAGE SSP2'!$AF$3:$AK$29,4,FALSE)*$AM214</f>
        <v>53.452056847544981</v>
      </c>
      <c r="AU214" s="162">
        <f>VLOOKUP($L214,'[12]IMAGE SSP2'!$AF$3:$AK$29,5,FALSE)*$AM214</f>
        <v>59.534741114192904</v>
      </c>
      <c r="AV214" s="163">
        <f>VLOOKUP($L214,'[12]IMAGE SSP2'!$AF$3:$AK$29,6,FALSE)*$AM214</f>
        <v>62.799410960150148</v>
      </c>
      <c r="AW214" s="111" t="str">
        <f t="shared" si="165"/>
        <v/>
      </c>
      <c r="AX214" s="164" t="str">
        <f>IF(A214="B",IF(M214="excl",[12]NatCom!CO204,[12]NatCom!AX204),"")</f>
        <v/>
      </c>
      <c r="AY214" s="111" t="str">
        <f>IF('[12]Pledge 2020'!E204="","",'[12]Pledge 2020'!E204)</f>
        <v/>
      </c>
      <c r="AZ214" s="164" t="str">
        <f>IF('[12]Pledge 2020'!F204="","",'[12]Pledge 2020'!F204)</f>
        <v/>
      </c>
      <c r="BA214" s="111">
        <f t="shared" si="144"/>
        <v>41.837044409090907</v>
      </c>
      <c r="BB214" s="111">
        <f>IF(BF214="","",(BF214-AH214)*0.75+AH214)</f>
        <v>41.837044409090907</v>
      </c>
      <c r="BC214" s="111">
        <f t="shared" si="145"/>
        <v>34.227953499999998</v>
      </c>
      <c r="BD214" s="111">
        <f>IF(BH214="","",(BH214-AH214)*0.75+AH214)</f>
        <v>34.227953499999998</v>
      </c>
      <c r="BE214" s="169">
        <v>41.145454545454541</v>
      </c>
      <c r="BF214" s="169">
        <v>41.145454545454541</v>
      </c>
      <c r="BG214" s="169">
        <v>31</v>
      </c>
      <c r="BH214" s="170">
        <v>31</v>
      </c>
      <c r="BI214" s="111">
        <f>IF([12]NDCs!V216="",IF([12]NDCs!X216="","",[12]NDCs!X216),[12]NDCs!V216)</f>
        <v>62.2</v>
      </c>
      <c r="BJ214" s="111">
        <f>IF([12]NDCs!V216="",IF([12]NDCs!X216="","",[12]NDCs!X216),[12]NDCs!V216)</f>
        <v>62.2</v>
      </c>
      <c r="BK214" s="111">
        <f>IF([12]NDCs!Z216="",IF([12]NDCs!AB216="",IF('input site'!BE214="","",'input site'!BE214),[12]NDCs!AB216),[12]NDCs!Z216)</f>
        <v>42.4</v>
      </c>
      <c r="BL214" s="111">
        <f>IF([12]NDCs!AA216="",IF([12]NDCs!AC216="",IF('input site'!BF214="","",'input site'!BF214),[12]NDCs!AC216),[12]NDCs!AA216)</f>
        <v>42.4</v>
      </c>
      <c r="BM214" s="111">
        <f>IF($BI$8=2015,VLOOKUP($L214,'[12]IMAGE CurPol SSP'!$AZ$3:$BD$29,4,FALSE)*$AM214,IF($BI$8=2018,VLOOKUP($L214,'[12]IMAGE CurPol SSP'!$BJ$3:$BN$29,4,FALSE)*$AP214,$AR214))</f>
        <v>37.271872999999999</v>
      </c>
      <c r="BN214" s="111">
        <f t="shared" si="168"/>
        <v>37.271872999999999</v>
      </c>
      <c r="BO214" s="111">
        <f t="shared" si="168"/>
        <v>37.271872999999999</v>
      </c>
      <c r="BP214" s="111">
        <f>IF($BI$8=2015,VLOOKUP($L214,'[12]IMAGE CurPol SSP'!$AZ$3:$BD$29,5,FALSE)*$AM214,IF($BI$8=2018,VLOOKUP($L214,'[12]IMAGE CurPol SSP'!$BJ$3:$BN$29,5,FALSE)*$AP214,VLOOKUP($L214,'[12]IMAGE CurPol SSP'!$BU$3:$BZ$29,5,FALSE)*$AS214))</f>
        <v>41.935074634551476</v>
      </c>
      <c r="BQ214" s="111">
        <f>IF($BI$8=2015,"",IF($BI$8=2018,"",VLOOKUP($L214,'[12]IMAGE CurPol SSP'!$CQ$3:$CV$29,5,FALSE)*$AS214))</f>
        <v>41.502513186610848</v>
      </c>
      <c r="BR214" s="111">
        <f>IF($BI$8=2015,"",IF($BI$8=2018,"",VLOOKUP($L214,'[12]IMAGE CurPol SSP'!$CF$3:$CK$29,5,FALSE)*$AS214))</f>
        <v>42.757171686671484</v>
      </c>
      <c r="BS214" s="111">
        <f>IF($BI$8=2015,VLOOKUP($L214,'[12]IMAGE CurPol SSP'!$AZ$3:$BE$29,6,FALSE)*$AM214,IF($BI$8=2018,VLOOKUP($L214,'[12]IMAGE CurPol SSP'!$BJ$3:$BO$29,6,FALSE)*$AP214,VLOOKUP($L214,'[12]IMAGE CurPol SSP'!$BU$3:$BZ$29,6,FALSE)*$AS214))</f>
        <v>43.239664409746638</v>
      </c>
      <c r="BT214" s="111">
        <f>IF($BI$8=2015,"",IF($BI$8=2018,"",VLOOKUP($L214,'[12]IMAGE CurPol SSP'!$CQ$3:$CV$29,6,FALSE)*$AS214))</f>
        <v>42.160243850540098</v>
      </c>
      <c r="BU214" s="164">
        <f>IF($BI$8=2015,"",IF($BI$8=2018,"",VLOOKUP($L214,'[12]IMAGE CurPol SSP'!$CF$3:$CK$29,6,FALSE)*$AS214))</f>
        <v>43.834961829048424</v>
      </c>
      <c r="CN214" t="s">
        <v>457</v>
      </c>
      <c r="CO214" s="165">
        <f t="shared" si="160"/>
        <v>-4.8432611420084037E-2</v>
      </c>
      <c r="CP214" s="165">
        <f t="shared" si="160"/>
        <v>-4.8432611420084037E-2</v>
      </c>
      <c r="CQ214" s="165">
        <f t="shared" si="160"/>
        <v>-0.28306566613841944</v>
      </c>
      <c r="CR214" s="165">
        <f t="shared" si="155"/>
        <v>-0.28306566613841944</v>
      </c>
      <c r="CV214" s="125" t="s">
        <v>621</v>
      </c>
      <c r="CW214" s="125" t="s">
        <v>621</v>
      </c>
      <c r="CX214"/>
      <c r="CY214" s="167">
        <f t="shared" si="161"/>
        <v>16.180183847544981</v>
      </c>
      <c r="DB214" s="106"/>
      <c r="DC214" s="106"/>
      <c r="DD214" s="106"/>
      <c r="DE214" s="106"/>
      <c r="DF214" s="106"/>
      <c r="DG214" s="105" t="str">
        <f t="shared" si="162"/>
        <v>excl</v>
      </c>
      <c r="DH214" t="s">
        <v>457</v>
      </c>
      <c r="DI214" s="111">
        <f t="shared" si="148"/>
        <v>0</v>
      </c>
      <c r="DJ214" s="111">
        <f t="shared" si="148"/>
        <v>0</v>
      </c>
      <c r="DK214" s="111">
        <f t="shared" si="149"/>
        <v>-9.8030225460568943E-2</v>
      </c>
      <c r="DL214" s="111">
        <f t="shared" si="150"/>
        <v>-7.7071211345514783</v>
      </c>
      <c r="DM214" s="111">
        <f t="shared" si="151"/>
        <v>-2.0942098642920968</v>
      </c>
      <c r="DN214" s="111">
        <f t="shared" si="152"/>
        <v>-12.239664409746638</v>
      </c>
      <c r="DO214" s="111">
        <f t="shared" si="153"/>
        <v>18.960335590253365</v>
      </c>
      <c r="DP214" s="111">
        <f t="shared" si="154"/>
        <v>-0.83966440974663925</v>
      </c>
      <c r="DQ214" s="106"/>
      <c r="DR214" s="106"/>
      <c r="DS214" s="111"/>
      <c r="DT214" s="168"/>
      <c r="DW214" s="111">
        <f t="shared" si="163"/>
        <v>41.145454545454541</v>
      </c>
      <c r="DX214" s="111">
        <f t="shared" si="163"/>
        <v>41.145454545454541</v>
      </c>
      <c r="DY214" s="111">
        <f t="shared" si="163"/>
        <v>31</v>
      </c>
      <c r="DZ214" s="111">
        <f t="shared" si="156"/>
        <v>31</v>
      </c>
      <c r="EP214" t="s">
        <v>457</v>
      </c>
      <c r="EQ214">
        <v>0</v>
      </c>
      <c r="ER214" s="111">
        <f t="shared" si="164"/>
        <v>40.685936000000005</v>
      </c>
      <c r="ES214" s="111">
        <f>IF($BI$8=2015,VLOOKUP($L214,'[12]IMAGE CDLINKS CurPol'!$P$3:$Y$29,10,FALSE)*$AM214,VLOOKUP($L214,'[12]IMAGE CDLINKS CurPol'!$Z$3:$AI$29,10,FALSE)*$AP214)</f>
        <v>57.054362507855672</v>
      </c>
      <c r="ET214" s="111">
        <f t="shared" si="124"/>
        <v>57.054362507855672</v>
      </c>
      <c r="EU214" s="111">
        <f t="shared" si="166"/>
        <v>19.019395907860204</v>
      </c>
      <c r="EV214" s="111">
        <f>IF($BI$8=2015,VLOOKUP($L214,'[12]IMAGE CDLINKS 2C'!$P$3:$Y$29,10,FALSE)*$AM214,VLOOKUP($L214,'[12]IMAGE CDLINKS 2C'!$Z$3:$AI$29,10,FALSE)*$AP214)</f>
        <v>19.019395907860204</v>
      </c>
      <c r="EY214" s="111">
        <f t="shared" si="167"/>
        <v>5.6636109350026596</v>
      </c>
      <c r="EZ214" s="111">
        <f>IF($BI$8=2015,VLOOKUP($L214,'[12]IMAGE CDLINKS 1_5C'!$P$3:$Y$29,10,FALSE)*$AM214,VLOOKUP($L214,'[12]IMAGE CDLINKS 1_5C'!$Z$3:$AI$29,10,FALSE)*$AP214)</f>
        <v>5.6636109350026596</v>
      </c>
      <c r="FA214" s="192"/>
    </row>
    <row r="215" spans="1:157" x14ac:dyDescent="0.25">
      <c r="A215" t="str">
        <f>IF([12]NDCs!C217="","",[12]NDCs!C217)</f>
        <v>B</v>
      </c>
      <c r="B215" s="159" t="str">
        <f t="shared" si="157"/>
        <v>ii</v>
      </c>
      <c r="C215">
        <v>1</v>
      </c>
      <c r="D215">
        <v>0</v>
      </c>
      <c r="E215">
        <v>1</v>
      </c>
      <c r="F215">
        <v>1</v>
      </c>
      <c r="G215" t="b">
        <f t="shared" si="158"/>
        <v>1</v>
      </c>
      <c r="H215" t="s">
        <v>2328</v>
      </c>
      <c r="I215" t="s">
        <v>459</v>
      </c>
      <c r="J215">
        <v>792</v>
      </c>
      <c r="K215">
        <v>204</v>
      </c>
      <c r="L215">
        <v>13</v>
      </c>
      <c r="M215" t="str">
        <f>IF([12]NDCs!AL217="Excluding","excl","incl")</f>
        <v>incl</v>
      </c>
      <c r="N215" s="188">
        <f>IF($M215="incl",[12]TUR!E$41,[12]TUR!E$37)</f>
        <v>153.01519535</v>
      </c>
      <c r="O215" s="188">
        <f>IF($M215="incl",[12]TUR!F$41,[12]TUR!F$37)</f>
        <v>159.42158153</v>
      </c>
      <c r="P215" s="188">
        <f>IF($M215="incl",[12]TUR!G$41,[12]TUR!G$37)</f>
        <v>165.658914559999</v>
      </c>
      <c r="Q215" s="188">
        <f>IF($M215="incl",[12]TUR!H$41,[12]TUR!H$37)</f>
        <v>174.168634599999</v>
      </c>
      <c r="R215" s="188">
        <f>IF($M215="incl",[12]TUR!I$41,[12]TUR!I$37)</f>
        <v>166.37420211</v>
      </c>
      <c r="S215" s="188">
        <f>IF($M215="incl",[12]TUR!J$41,[12]TUR!J$37)</f>
        <v>180.48314769999999</v>
      </c>
      <c r="T215" s="188">
        <f>IF($M215="incl",[12]TUR!K$41,[12]TUR!K$37)</f>
        <v>200.45345445999899</v>
      </c>
      <c r="U215" s="188">
        <f>IF($M215="incl",[12]TUR!L$41,[12]TUR!L$37)</f>
        <v>208.36532552999901</v>
      </c>
      <c r="V215" s="188">
        <f>IF($M215="incl",[12]TUR!M$41,[12]TUR!M$37)</f>
        <v>209.70676257</v>
      </c>
      <c r="W215" s="188">
        <f>IF($M215="incl",[12]TUR!N$41,[12]TUR!N$37)</f>
        <v>206.58447913000001</v>
      </c>
      <c r="X215" s="188">
        <f>IF($M215="incl",[12]TUR!O$41,[12]TUR!O$37)</f>
        <v>230.865091059999</v>
      </c>
      <c r="Y215" s="188">
        <f>IF($M215="incl",[12]TUR!P$41,[12]TUR!P$37)</f>
        <v>208.95656065</v>
      </c>
      <c r="Z215" s="188">
        <f>IF($M215="incl",[12]TUR!Q$41,[12]TUR!Q$37)</f>
        <v>216.34181662999899</v>
      </c>
      <c r="AA215" s="188">
        <f>IF($M215="incl",[12]TUR!R$41,[12]TUR!R$37)</f>
        <v>233.63614605999999</v>
      </c>
      <c r="AB215" s="188">
        <f>IF($M215="incl",[12]TUR!S$41,[12]TUR!S$37)</f>
        <v>244.73692181000001</v>
      </c>
      <c r="AC215" s="188">
        <f>IF($M215="incl",[12]TUR!T$41,[12]TUR!T$37)</f>
        <v>265.79656103999997</v>
      </c>
      <c r="AD215" s="188">
        <f>IF($M215="incl",[12]TUR!U$41,[12]TUR!U$37)</f>
        <v>286.54750245999998</v>
      </c>
      <c r="AE215" s="188">
        <f>IF($M215="incl",[12]TUR!V$41,[12]TUR!V$37)</f>
        <v>319.91730010999999</v>
      </c>
      <c r="AF215" s="188">
        <f>IF($M215="incl",[12]TUR!W$41,[12]TUR!W$37)</f>
        <v>320.57780657000001</v>
      </c>
      <c r="AG215" s="188">
        <f>IF($M215="incl",[12]TUR!X$41,[12]TUR!X$37)</f>
        <v>324.32764687999997</v>
      </c>
      <c r="AH215" s="188">
        <f>IF($M215="incl",[12]TUR!Y$41,[12]TUR!Y$37)</f>
        <v>326.91268548999898</v>
      </c>
      <c r="AI215" s="188">
        <f>IF($M215="incl",[12]TUR!Z$41,[12]TUR!Z$37)</f>
        <v>353.035730389999</v>
      </c>
      <c r="AJ215" s="188">
        <f>IF($M215="incl",[12]TUR!AA$41,[12]TUR!AA$37)</f>
        <v>374.79934731999998</v>
      </c>
      <c r="AK215" s="188">
        <f>IF($M215="incl",[12]TUR!AB$41,[12]TUR!AB$37)</f>
        <v>363.70747664999999</v>
      </c>
      <c r="AL215" s="188">
        <f>IF($M215="incl",[12]TUR!AC$41,[12]TUR!AC$37)</f>
        <v>382.61201574</v>
      </c>
      <c r="AM215" s="188">
        <f>IF($M215="incl",[12]TUR!AD$41,[12]TUR!AD$37)</f>
        <v>402.16096759999999</v>
      </c>
      <c r="AN215" s="188">
        <f>IF($M215="incl",[12]TUR!AE$41,[12]TUR!AE$37)</f>
        <v>427.99760778999899</v>
      </c>
      <c r="AO215" s="188">
        <f>IF($M215="incl",[12]TUR!AF$41,[12]TUR!AF$37)</f>
        <v>453.60679389000001</v>
      </c>
      <c r="AP215" s="188">
        <f>IF($M215="incl",[12]TUR!AG$41,[12]TUR!AG$37)</f>
        <v>453.35578644999998</v>
      </c>
      <c r="AQ215" s="188">
        <f>IF($M215="incl",[12]TUR!AH$41,[12]TUR!AH$37)</f>
        <v>446.00558895</v>
      </c>
      <c r="AR215" s="188">
        <f>IF($M215="incl",[12]TUR!AI$41,[12]TUR!AI$37)</f>
        <v>467.043205459999</v>
      </c>
      <c r="AS215" s="188">
        <f>IF($M215="incl",[12]TUR!AJ$41,[12]TUR!AJ$37)</f>
        <v>517.24399047999998</v>
      </c>
      <c r="AT215" s="189">
        <f>AR215</f>
        <v>467.043205459999</v>
      </c>
      <c r="AU215" s="177">
        <f>[12]TUR!AN23</f>
        <v>563.75085389000003</v>
      </c>
      <c r="AV215" s="180">
        <f>[12]TUR!AS23</f>
        <v>621.12275389000001</v>
      </c>
      <c r="AW215" s="111">
        <f>IF(A215="B",AM215+(AX215-AM215)*0.33333,"")</f>
        <v>659.77140226989195</v>
      </c>
      <c r="AX215" s="164">
        <f>IF(A215="B",IF(M215="excl",[12]NatCom!CO205,[12]NatCom!AX205),"")</f>
        <v>1175</v>
      </c>
      <c r="AY215" s="111" t="str">
        <f>IF('[12]Pledge 2020'!E205="","",'[12]Pledge 2020'!E205)</f>
        <v/>
      </c>
      <c r="AZ215" s="164" t="str">
        <f>IF('[12]Pledge 2020'!F205="","",'[12]Pledge 2020'!F205)</f>
        <v/>
      </c>
      <c r="BA215" s="127">
        <f>[12]TUR!X10</f>
        <v>601.6656713724999</v>
      </c>
      <c r="BB215" s="106">
        <f>IF(BF215="","",(BF215-AH215)*0.75+AH215)</f>
        <v>601.6656713724999</v>
      </c>
      <c r="BC215" s="127">
        <f>[12]TUR!Y10</f>
        <v>601.6656713724999</v>
      </c>
      <c r="BD215" s="106">
        <f>IF(BH215="","",(BH215-AH215)*0.75+AH215)</f>
        <v>601.6656713724999</v>
      </c>
      <c r="BE215" s="169">
        <v>693.25000000000011</v>
      </c>
      <c r="BF215" s="169">
        <v>693.25000000000011</v>
      </c>
      <c r="BG215" s="169">
        <v>693.25000000000011</v>
      </c>
      <c r="BH215" s="170">
        <v>693.25000000000011</v>
      </c>
      <c r="BI215" s="111">
        <f>IF([12]NDCs!V217="",IF([12]NDCs!X217="","",[12]NDCs!X217),[12]NDCs!V217)</f>
        <v>693.25000000000011</v>
      </c>
      <c r="BJ215" s="111">
        <f>IF([12]NDCs!V217="",IF([12]NDCs!X217="","",[12]NDCs!X217),[12]NDCs!V217)</f>
        <v>693.25000000000011</v>
      </c>
      <c r="BK215" s="111">
        <f>IF([12]NDCs!Z217="",IF([12]NDCs!AB217="",IF('input site'!BE215="","",'input site'!BE215),[12]NDCs!AB217),[12]NDCs!Z217)</f>
        <v>693.25000000000011</v>
      </c>
      <c r="BL215" s="111">
        <f>IF([12]NDCs!AA217="",IF([12]NDCs!AC217="",IF('input site'!BF215="","",'input site'!BF215),[12]NDCs!AC217),[12]NDCs!AA217)</f>
        <v>693.25000000000011</v>
      </c>
      <c r="BM215" s="190">
        <f>[12]TUR!AB$5</f>
        <v>467.043205459999</v>
      </c>
      <c r="BN215" s="127">
        <f>[12]TUR!AB7</f>
        <v>467.043205459999</v>
      </c>
      <c r="BO215" s="127">
        <f>[12]TUR!AB6</f>
        <v>467.043205459999</v>
      </c>
      <c r="BP215" s="190">
        <f>[12]TUR!AC$5</f>
        <v>522.16198469989399</v>
      </c>
      <c r="BQ215" s="127">
        <f>[12]TUR!AC7</f>
        <v>522.16198469989399</v>
      </c>
      <c r="BR215" s="127">
        <f>[12]TUR!AC6</f>
        <v>615.90833099999998</v>
      </c>
      <c r="BS215" s="190">
        <f>[12]TUR!AD$5</f>
        <v>548.41404172390696</v>
      </c>
      <c r="BT215" s="127">
        <f>[12]TUR!AD7</f>
        <v>548.41404172390696</v>
      </c>
      <c r="BU215" s="127">
        <f>[12]TUR!AD6</f>
        <v>739.238756649999</v>
      </c>
      <c r="CN215" t="s">
        <v>459</v>
      </c>
      <c r="CO215" s="165">
        <f t="shared" si="160"/>
        <v>0.26409965328533525</v>
      </c>
      <c r="CP215" s="165">
        <f t="shared" si="160"/>
        <v>0.26409965328533525</v>
      </c>
      <c r="CQ215" s="165">
        <f t="shared" si="160"/>
        <v>0.26409965328533525</v>
      </c>
      <c r="CR215" s="165">
        <f t="shared" si="155"/>
        <v>0.26409965328533525</v>
      </c>
      <c r="CS215">
        <f>IF(BE215&lt;=BS215,0,1)</f>
        <v>1</v>
      </c>
      <c r="CT215">
        <f>IF(BG215&lt;=BS215,0,1)</f>
        <v>1</v>
      </c>
      <c r="CU215">
        <f>IF(BS215&lt;=MAX(AN215,AP215),1,0)</f>
        <v>0</v>
      </c>
      <c r="CV215" s="121" t="str">
        <f>IF(CS215=1,IF(CU215=1,"i","ii"),IF(CU215=1,"iii","iv"))</f>
        <v>ii</v>
      </c>
      <c r="CW215" s="121" t="str">
        <f>IF(CT215=1,IF(CU215=1,"i","ii"),IF(CU215=1,"iii","iv"))</f>
        <v>ii</v>
      </c>
      <c r="CX215"/>
      <c r="CY215" s="167">
        <f t="shared" si="161"/>
        <v>0</v>
      </c>
      <c r="DA215" s="187">
        <f>[12]TUR!P18</f>
        <v>0</v>
      </c>
      <c r="DB215" s="187">
        <f>[12]TUR!Q18</f>
        <v>0</v>
      </c>
      <c r="DC215" s="187">
        <f>[12]TUR!R18</f>
        <v>0</v>
      </c>
      <c r="DD215" s="187">
        <f>[12]TUR!S18</f>
        <v>0</v>
      </c>
      <c r="DE215" s="187">
        <f>[12]TUR!T18</f>
        <v>144.83595827609315</v>
      </c>
      <c r="DF215" s="187">
        <f>[12]TUR!U18</f>
        <v>144.83595827609315</v>
      </c>
      <c r="DG215" s="105" t="str">
        <f t="shared" si="162"/>
        <v>incl</v>
      </c>
      <c r="DH215" t="s">
        <v>459</v>
      </c>
      <c r="DI215" s="127"/>
      <c r="DJ215" s="127"/>
      <c r="DK215" s="127"/>
      <c r="DL215" s="127"/>
      <c r="DM215" s="127"/>
      <c r="DN215" s="127"/>
      <c r="DO215" s="127"/>
      <c r="DP215" s="127"/>
      <c r="DQ215" s="187">
        <f>[12]TUR!BA$18</f>
        <v>420.76044968917</v>
      </c>
      <c r="DR215" s="187">
        <f>[12]TUR!BB$18</f>
        <v>420.76044968917</v>
      </c>
      <c r="DS215" s="111"/>
      <c r="DT215" s="168"/>
      <c r="DW215" s="111">
        <f t="shared" si="163"/>
        <v>693.25000000000011</v>
      </c>
      <c r="DX215" s="111">
        <f t="shared" si="163"/>
        <v>693.25000000000011</v>
      </c>
      <c r="DY215" s="111">
        <f t="shared" si="163"/>
        <v>693.25000000000011</v>
      </c>
      <c r="DZ215" s="111">
        <f t="shared" si="156"/>
        <v>693.25000000000011</v>
      </c>
      <c r="EP215" t="s">
        <v>459</v>
      </c>
      <c r="EQ215">
        <v>4</v>
      </c>
      <c r="ER215" s="111">
        <f t="shared" si="164"/>
        <v>453.35578644999998</v>
      </c>
      <c r="ES215" s="111">
        <f>IF($BI$8=2015,VLOOKUP($L215,'[12]IMAGE CDLINKS CurPol'!$P$3:$Y$29,10,FALSE)*$AM215,VLOOKUP($L215,'[12]IMAGE CDLINKS CurPol'!$Z$3:$AI$29,10,FALSE)*$AP215)</f>
        <v>619.95344652960682</v>
      </c>
      <c r="ET215" s="111">
        <f t="shared" si="124"/>
        <v>346.62500000000006</v>
      </c>
      <c r="EU215" s="111">
        <f t="shared" si="166"/>
        <v>346.62500000000006</v>
      </c>
      <c r="EV215" s="111">
        <f>IF($BI$8=2015,VLOOKUP($L215,'[12]IMAGE CDLINKS 2C'!$P$3:$Y$29,10,FALSE)*$AM215,VLOOKUP($L215,'[12]IMAGE CDLINKS 2C'!$Z$3:$AI$29,10,FALSE)*$AP215)</f>
        <v>198.45929505778599</v>
      </c>
      <c r="EW215" s="211">
        <f>[12]TUR!$AM$9</f>
        <v>346.62500000000006</v>
      </c>
      <c r="EY215" s="111">
        <f t="shared" si="167"/>
        <v>346.62500000000006</v>
      </c>
      <c r="EZ215" s="111">
        <f>IF($BI$8=2015,VLOOKUP($L215,'[12]IMAGE CDLINKS 1_5C'!$P$3:$Y$29,10,FALSE)*$AM215,VLOOKUP($L215,'[12]IMAGE CDLINKS 1_5C'!$Z$3:$AI$29,10,FALSE)*$AP215)</f>
        <v>39.754210150857055</v>
      </c>
      <c r="FA215" s="192"/>
    </row>
    <row r="216" spans="1:157" x14ac:dyDescent="0.25">
      <c r="A216" t="str">
        <f>IF([12]NDCs!C218="","",[12]NDCs!C218)</f>
        <v>G</v>
      </c>
      <c r="B216" s="159" t="str">
        <f t="shared" si="157"/>
        <v>v</v>
      </c>
      <c r="C216">
        <v>0</v>
      </c>
      <c r="D216">
        <v>0</v>
      </c>
      <c r="E216">
        <v>0</v>
      </c>
      <c r="F216">
        <v>1</v>
      </c>
      <c r="G216" t="b">
        <f t="shared" si="158"/>
        <v>0</v>
      </c>
      <c r="H216" t="s">
        <v>2328</v>
      </c>
      <c r="I216" t="s">
        <v>461</v>
      </c>
      <c r="J216">
        <v>795</v>
      </c>
      <c r="K216">
        <v>205</v>
      </c>
      <c r="L216">
        <v>15</v>
      </c>
      <c r="M216" t="str">
        <f>IF([12]NDCs!AL218="Excluding","excl","incl")</f>
        <v>excl</v>
      </c>
      <c r="N216" s="160">
        <f>[12]GHG_hist!BA206+IF($M216="incl",[12]LULUCF_hist!CR206,0)</f>
        <v>58.962381999999998</v>
      </c>
      <c r="O216" s="111">
        <f>[12]GHG_hist!BB206+IF($M216="incl",[12]LULUCF_hist!CS206,0)</f>
        <v>58.756411999999997</v>
      </c>
      <c r="P216" s="111">
        <f>[12]GHG_hist!BC206+IF($M216="incl",[12]LULUCF_hist!CT206,0)</f>
        <v>46.225783000000007</v>
      </c>
      <c r="Q216" s="111">
        <f>[12]GHG_hist!BD206+IF($M216="incl",[12]LULUCF_hist!CU206,0)</f>
        <v>48.709927000000008</v>
      </c>
      <c r="R216" s="111">
        <f>[12]GHG_hist!BE206+IF($M216="incl",[12]LULUCF_hist!CV206,0)</f>
        <v>39.210251</v>
      </c>
      <c r="S216" s="111">
        <f>[12]GHG_hist!BF206+IF($M216="incl",[12]LULUCF_hist!CW206,0)</f>
        <v>39.326466000000003</v>
      </c>
      <c r="T216" s="111">
        <f>[12]GHG_hist!BG206+IF($M216="incl",[12]LULUCF_hist!CX206,0)</f>
        <v>39.932684000000002</v>
      </c>
      <c r="U216" s="111">
        <f>[12]GHG_hist!BH206+IF($M216="incl",[12]LULUCF_hist!CY206,0)</f>
        <v>31.47467</v>
      </c>
      <c r="V216" s="111">
        <f>[12]GHG_hist!BI206+IF($M216="incl",[12]LULUCF_hist!CZ206,0)</f>
        <v>35.150512999999997</v>
      </c>
      <c r="W216" s="111">
        <f>[12]GHG_hist!BJ206+IF($M216="incl",[12]LULUCF_hist!DA206,0)</f>
        <v>46.766805999999995</v>
      </c>
      <c r="X216" s="111">
        <f>[12]GHG_hist!BK206+IF($M216="incl",[12]LULUCF_hist!DB206,0)</f>
        <v>55.859597999999998</v>
      </c>
      <c r="Y216" s="111">
        <f>[12]GHG_hist!BL206+IF($M216="incl",[12]LULUCF_hist!DC206,0)</f>
        <v>55.819327000000001</v>
      </c>
      <c r="Z216" s="111">
        <f>[12]GHG_hist!BM206+IF($M216="incl",[12]LULUCF_hist!DD206,0)</f>
        <v>59.714021000000002</v>
      </c>
      <c r="AA216" s="111">
        <f>[12]GHG_hist!BN206+IF($M216="incl",[12]LULUCF_hist!DE206,0)</f>
        <v>66.952355999999995</v>
      </c>
      <c r="AB216" s="111">
        <f>[12]GHG_hist!BO206+IF($M216="incl",[12]LULUCF_hist!DF206,0)</f>
        <v>68.248554999999996</v>
      </c>
      <c r="AC216" s="111">
        <f>[12]GHG_hist!BP206+IF($M216="incl",[12]LULUCF_hist!DG206,0)</f>
        <v>70.405937999999992</v>
      </c>
      <c r="AD216" s="111">
        <f>[12]GHG_hist!BQ206+IF($M216="incl",[12]LULUCF_hist!DH206,0)</f>
        <v>73.253001999999995</v>
      </c>
      <c r="AE216" s="111">
        <f>[12]GHG_hist!BR206+IF($M216="incl",[12]LULUCF_hist!DI206,0)</f>
        <v>78.515169999999998</v>
      </c>
      <c r="AF216" s="111">
        <f>[12]GHG_hist!BS206+IF($M216="incl",[12]LULUCF_hist!DJ206,0)</f>
        <v>84.472553000000005</v>
      </c>
      <c r="AG216" s="111">
        <f>[12]GHG_hist!BT206+IF($M216="incl",[12]LULUCF_hist!DK206,0)</f>
        <v>67.118080000000006</v>
      </c>
      <c r="AH216" s="111">
        <f>[12]GHG_hist!BU206+IF($M216="incl",[12]LULUCF_hist!DL206,0)</f>
        <v>73.645961</v>
      </c>
      <c r="AI216" s="111">
        <f>[12]GHG_hist!BV206+IF($M216="incl",[12]LULUCF_hist!DM206,0)</f>
        <v>84.86018700000001</v>
      </c>
      <c r="AJ216" s="111">
        <f>[12]GHG_hist!BW206+IF($M216="incl",[12]LULUCF_hist!DN206,0)</f>
        <v>88.936571999999998</v>
      </c>
      <c r="AK216" s="111">
        <f>[12]GHG_hist!BX206+IF($M216="incl",[12]LULUCF_hist!DO206,0)</f>
        <v>97.057514999999995</v>
      </c>
      <c r="AL216" s="111">
        <f>[12]GHG_hist!BY206+IF($M216="incl",[12]LULUCF_hist!DP206,0)</f>
        <v>98.468806999999998</v>
      </c>
      <c r="AM216" s="111">
        <f>[12]GHG_hist!BZ206+IF($M216="incl",[12]LULUCF_hist!DQ206,0)</f>
        <v>101.73298</v>
      </c>
      <c r="AN216" s="111">
        <f>[12]GHG_hist!CA206+IF($M216="incl",[12]LULUCF_hist!DR206,0)</f>
        <v>99.387861999999998</v>
      </c>
      <c r="AO216" s="111">
        <f>[12]GHG_hist!CB206+IF($M216="incl",[12]LULUCF_hist!DS206,0)</f>
        <v>98.835618000000011</v>
      </c>
      <c r="AP216" s="111">
        <f>[12]GHG_hist!CC206+IF($M216="incl",[12]LULUCF_hist!DT206,0)</f>
        <v>103.57823</v>
      </c>
      <c r="AQ216" s="111">
        <f>[12]GHG_hist!CD206+IF($M216="incl",[12]LULUCF_hist!DU206,0)</f>
        <v>103.05383999999999</v>
      </c>
      <c r="AR216" s="111">
        <f>[12]GHG_hist!CE206+IF($M216="incl",[12]LULUCF_hist!DV206,0)</f>
        <v>120.90983</v>
      </c>
      <c r="AS216" s="111">
        <f>[12]GHG_hist!CF206+IF($M216="incl",[12]LULUCF_hist!DW206,0)</f>
        <v>109.66130000000001</v>
      </c>
      <c r="AT216" s="161">
        <f>VLOOKUP($L216,'[12]IMAGE SSP2'!$AF$3:$AK$29,4,FALSE)*$AM216</f>
        <v>111.0191557797387</v>
      </c>
      <c r="AU216" s="177">
        <f>VLOOKUP($L216,'[12]IMAGE SSP2'!$AF$3:$AK$29,5,FALSE)*$AM216</f>
        <v>122.48212550284089</v>
      </c>
      <c r="AV216" s="177">
        <f>VLOOKUP($L216,'[12]IMAGE SSP2'!$AF$3:$AK$29,6,FALSE)*$AM216</f>
        <v>129.7624606799146</v>
      </c>
      <c r="AW216" s="111" t="str">
        <f t="shared" si="165"/>
        <v/>
      </c>
      <c r="AX216" s="164" t="str">
        <f>IF(A216="B",IF(M216="excl",[12]NatCom!CO206,[12]NatCom!AX206),"")</f>
        <v/>
      </c>
      <c r="AY216" s="111" t="str">
        <f>IF('[12]Pledge 2020'!E206="","",'[12]Pledge 2020'!E206)</f>
        <v/>
      </c>
      <c r="AZ216" s="164" t="str">
        <f>IF('[12]Pledge 2020'!F206="","",'[12]Pledge 2020'!F206)</f>
        <v/>
      </c>
      <c r="BA216" s="111" t="str">
        <f t="shared" si="144"/>
        <v/>
      </c>
      <c r="BB216" s="111"/>
      <c r="BC216" s="111" t="str">
        <f t="shared" si="145"/>
        <v/>
      </c>
      <c r="BD216" s="111"/>
      <c r="BE216" s="111" t="s">
        <v>2477</v>
      </c>
      <c r="BF216" s="111"/>
      <c r="BG216" s="111" t="s">
        <v>2477</v>
      </c>
      <c r="BH216" s="164"/>
      <c r="BI216" s="111" t="str">
        <f>IF([12]NDCs!V218="",IF([12]NDCs!X218="","",[12]NDCs!X218),[12]NDCs!V218)</f>
        <v/>
      </c>
      <c r="BJ216" s="111" t="str">
        <f>IF([12]NDCs!V218="",IF([12]NDCs!X218="","",[12]NDCs!X218),[12]NDCs!V218)</f>
        <v/>
      </c>
      <c r="BK216" s="111" t="str">
        <f>IF([12]NDCs!Z218="",IF([12]NDCs!AB218="",IF('input site'!BE216="","",'input site'!BE216),[12]NDCs!AB218),[12]NDCs!Z218)</f>
        <v/>
      </c>
      <c r="BL216" s="111" t="str">
        <f>IF([12]NDCs!AA218="",IF([12]NDCs!AC218="",IF('input site'!BF216="","",'input site'!BF216),[12]NDCs!AC218),[12]NDCs!AA218)</f>
        <v/>
      </c>
      <c r="BM216" s="111">
        <f>IF($BI$8=2015,VLOOKUP($L216,'[12]IMAGE CurPol SSP'!$AZ$3:$BD$29,4,FALSE)*$AM216,IF($BI$8=2018,VLOOKUP($L216,'[12]IMAGE CurPol SSP'!$BJ$3:$BN$29,4,FALSE)*$AP216,$AR216))</f>
        <v>120.90983</v>
      </c>
      <c r="BN216" s="111">
        <f t="shared" ref="BN216:BO219" si="169">IF($BI$8=2015,"",IF($BI$8=2018,"",$AR216))</f>
        <v>120.90983</v>
      </c>
      <c r="BO216" s="111">
        <f t="shared" si="169"/>
        <v>120.90983</v>
      </c>
      <c r="BP216" s="111">
        <f>IF($BI$8=2015,VLOOKUP($L216,'[12]IMAGE CurPol SSP'!$AZ$3:$BD$29,5,FALSE)*$AM216,IF($BI$8=2018,VLOOKUP($L216,'[12]IMAGE CurPol SSP'!$BJ$3:$BN$29,5,FALSE)*$AP216,VLOOKUP($L216,'[12]IMAGE CurPol SSP'!$BU$3:$BZ$29,5,FALSE)*$AS216))</f>
        <v>119.48970508295812</v>
      </c>
      <c r="BQ216" s="111">
        <f>IF($BI$8=2015,"",IF($BI$8=2018,"",VLOOKUP($L216,'[12]IMAGE CurPol SSP'!$CQ$3:$CV$29,5,FALSE)*$AS216))</f>
        <v>116.13513063905009</v>
      </c>
      <c r="BR216" s="111">
        <f>IF($BI$8=2015,"",IF($BI$8=2018,"",VLOOKUP($L216,'[12]IMAGE CurPol SSP'!$CF$3:$CK$29,5,FALSE)*$AS216))</f>
        <v>121.86612082764587</v>
      </c>
      <c r="BS216" s="111">
        <f>IF($BI$8=2015,VLOOKUP($L216,'[12]IMAGE CurPol SSP'!$AZ$3:$BE$29,6,FALSE)*$AM216,IF($BI$8=2018,VLOOKUP($L216,'[12]IMAGE CurPol SSP'!$BJ$3:$BO$29,6,FALSE)*$AP216,VLOOKUP($L216,'[12]IMAGE CurPol SSP'!$BU$3:$BZ$29,6,FALSE)*$AS216))</f>
        <v>134.80972012442086</v>
      </c>
      <c r="BT216" s="111">
        <f>IF($BI$8=2015,"",IF($BI$8=2018,"",VLOOKUP($L216,'[12]IMAGE CurPol SSP'!$CQ$3:$CV$29,6,FALSE)*$AS216))</f>
        <v>128.30159897679695</v>
      </c>
      <c r="BU216" s="164">
        <f>IF($BI$8=2015,"",IF($BI$8=2018,"",VLOOKUP($L216,'[12]IMAGE CurPol SSP'!$CF$3:$CK$29,6,FALSE)*$AS216))</f>
        <v>142.14974742980354</v>
      </c>
      <c r="CN216" t="s">
        <v>461</v>
      </c>
      <c r="CO216" s="165" t="str">
        <f t="shared" si="160"/>
        <v/>
      </c>
      <c r="CP216" s="165" t="str">
        <f t="shared" si="160"/>
        <v/>
      </c>
      <c r="CQ216" s="165" t="str">
        <f t="shared" si="160"/>
        <v/>
      </c>
      <c r="CR216" s="165" t="str">
        <f t="shared" si="155"/>
        <v/>
      </c>
      <c r="CV216" s="125" t="s">
        <v>621</v>
      </c>
      <c r="CW216" s="125" t="s">
        <v>621</v>
      </c>
      <c r="CX216"/>
      <c r="CY216" s="167">
        <f t="shared" si="161"/>
        <v>-9.8906742202613032</v>
      </c>
      <c r="DB216" s="106"/>
      <c r="DC216" s="106"/>
      <c r="DD216" s="106"/>
      <c r="DE216" s="106"/>
      <c r="DF216" s="106"/>
      <c r="DG216" s="105" t="str">
        <f t="shared" si="162"/>
        <v>excl</v>
      </c>
      <c r="DH216" t="s">
        <v>461</v>
      </c>
      <c r="DI216" s="111">
        <f t="shared" ref="DI216:DJ219" si="170">IF(AY216="",$BM216,AY216)-$BM216</f>
        <v>0</v>
      </c>
      <c r="DJ216" s="111">
        <f t="shared" si="170"/>
        <v>0</v>
      </c>
      <c r="DK216" s="111">
        <f>IF(BA216="",$BP216,BA216)-$BP216</f>
        <v>0</v>
      </c>
      <c r="DL216" s="111">
        <f>IF(BC216="",$BP216,BC216)-$BP216</f>
        <v>0</v>
      </c>
      <c r="DM216" s="111">
        <f>IF(BE216="",$BS216,BE216)-$BS216</f>
        <v>0</v>
      </c>
      <c r="DN216" s="111">
        <f>IF(BG216="",$BS216,BG216)-$BS216</f>
        <v>0</v>
      </c>
      <c r="DO216" s="111">
        <f>IF(BI216="",$BS216,BI216)-$BS216</f>
        <v>0</v>
      </c>
      <c r="DP216" s="111">
        <f>IF(BK216="",$BS216,BK216)-$BS216</f>
        <v>0</v>
      </c>
      <c r="DQ216" s="106"/>
      <c r="DR216" s="106"/>
      <c r="DS216" s="111"/>
      <c r="DT216" s="168"/>
      <c r="DW216" s="111">
        <f t="shared" si="163"/>
        <v>134.80972012442086</v>
      </c>
      <c r="DX216" s="111">
        <f t="shared" si="163"/>
        <v>134.80972012442086</v>
      </c>
      <c r="DY216" s="111">
        <f t="shared" si="163"/>
        <v>134.80972012442086</v>
      </c>
      <c r="DZ216" s="111">
        <f t="shared" si="156"/>
        <v>134.80972012442086</v>
      </c>
      <c r="EP216" t="s">
        <v>461</v>
      </c>
      <c r="EQ216">
        <v>0</v>
      </c>
      <c r="ER216" s="111">
        <f t="shared" si="164"/>
        <v>103.57823</v>
      </c>
      <c r="ES216" s="111">
        <f>IF($BI$8=2015,VLOOKUP($L216,'[12]IMAGE CDLINKS CurPol'!$P$3:$Y$29,10,FALSE)*$AM216,VLOOKUP($L216,'[12]IMAGE CDLINKS CurPol'!$Z$3:$AI$29,10,FALSE)*$AP216)</f>
        <v>138.99786880842694</v>
      </c>
      <c r="ET216" s="111">
        <f t="shared" si="124"/>
        <v>138.99786880842694</v>
      </c>
      <c r="EU216" s="111">
        <f t="shared" si="166"/>
        <v>46.827080397639406</v>
      </c>
      <c r="EV216" s="111">
        <f>IF($BI$8=2015,VLOOKUP($L216,'[12]IMAGE CDLINKS 2C'!$P$3:$Y$29,10,FALSE)*$AM216,VLOOKUP($L216,'[12]IMAGE CDLINKS 2C'!$Z$3:$AI$29,10,FALSE)*$AP216)</f>
        <v>46.827080397639406</v>
      </c>
      <c r="EY216" s="111">
        <f t="shared" si="167"/>
        <v>29.749538964270329</v>
      </c>
      <c r="EZ216" s="111">
        <f>IF($BI$8=2015,VLOOKUP($L216,'[12]IMAGE CDLINKS 1_5C'!$P$3:$Y$29,10,FALSE)*$AM216,VLOOKUP($L216,'[12]IMAGE CDLINKS 1_5C'!$Z$3:$AI$29,10,FALSE)*$AP216)</f>
        <v>29.749538964270329</v>
      </c>
      <c r="FA216" s="192"/>
    </row>
    <row r="217" spans="1:157" x14ac:dyDescent="0.25">
      <c r="A217" t="str">
        <f>IF([12]NDCs!C219="","",[12]NDCs!C219)</f>
        <v/>
      </c>
      <c r="B217" s="159" t="str">
        <f t="shared" si="157"/>
        <v>v</v>
      </c>
      <c r="C217">
        <v>0</v>
      </c>
      <c r="D217">
        <v>0</v>
      </c>
      <c r="E217">
        <v>0</v>
      </c>
      <c r="F217">
        <v>0</v>
      </c>
      <c r="G217" t="b">
        <f t="shared" si="158"/>
        <v>0</v>
      </c>
      <c r="H217" t="s">
        <v>2328</v>
      </c>
      <c r="I217" t="s">
        <v>463</v>
      </c>
      <c r="J217">
        <v>796</v>
      </c>
      <c r="K217">
        <v>206</v>
      </c>
      <c r="L217">
        <v>4</v>
      </c>
      <c r="M217" t="str">
        <f>IF([12]NDCs!AL219="Excluding","excl","incl")</f>
        <v>excl</v>
      </c>
      <c r="N217" s="160">
        <f>[12]GHG_hist!BA207+IF($M217="incl",[12]LULUCF_hist!CR207,0)</f>
        <v>3.4354478000000001E-2</v>
      </c>
      <c r="O217" s="111">
        <f>[12]GHG_hist!BB207+IF($M217="incl",[12]LULUCF_hist!CS207,0)</f>
        <v>3.4681398000000002E-2</v>
      </c>
      <c r="P217" s="111">
        <f>[12]GHG_hist!BC207+IF($M217="incl",[12]LULUCF_hist!CT207,0)</f>
        <v>3.8711480999999999E-2</v>
      </c>
      <c r="Q217" s="111">
        <f>[12]GHG_hist!BD207+IF($M217="incl",[12]LULUCF_hist!CU207,0)</f>
        <v>4.6574562999999999E-2</v>
      </c>
      <c r="R217" s="111">
        <f>[12]GHG_hist!BE207+IF($M217="incl",[12]LULUCF_hist!CV207,0)</f>
        <v>5.0698235000000001E-2</v>
      </c>
      <c r="S217" s="111">
        <f>[12]GHG_hist!BF207+IF($M217="incl",[12]LULUCF_hist!CW207,0)</f>
        <v>5.4865409999999996E-2</v>
      </c>
      <c r="T217" s="111">
        <f>[12]GHG_hist!BG207+IF($M217="incl",[12]LULUCF_hist!CX207,0)</f>
        <v>5.5153145000000001E-2</v>
      </c>
      <c r="U217" s="111">
        <f>[12]GHG_hist!BH207+IF($M217="incl",[12]LULUCF_hist!CY207,0)</f>
        <v>6.2657619999999997E-2</v>
      </c>
      <c r="V217" s="111">
        <f>[12]GHG_hist!BI207+IF($M217="incl",[12]LULUCF_hist!CZ207,0)</f>
        <v>6.6669328E-2</v>
      </c>
      <c r="W217" s="111">
        <f>[12]GHG_hist!BJ207+IF($M217="incl",[12]LULUCF_hist!DA207,0)</f>
        <v>7.4601017000000006E-2</v>
      </c>
      <c r="X217" s="111">
        <f>[12]GHG_hist!BK207+IF($M217="incl",[12]LULUCF_hist!DB207,0)</f>
        <v>7.9869356000000002E-2</v>
      </c>
      <c r="Y217" s="111">
        <f>[12]GHG_hist!BL207+IF($M217="incl",[12]LULUCF_hist!DC207,0)</f>
        <v>8.418253199999999E-2</v>
      </c>
      <c r="Z217" s="111">
        <f>[12]GHG_hist!BM207+IF($M217="incl",[12]LULUCF_hist!DD207,0)</f>
        <v>0.11109595</v>
      </c>
      <c r="AA217" s="111">
        <f>[12]GHG_hist!BN207+IF($M217="incl",[12]LULUCF_hist!DE207,0)</f>
        <v>0.11147923</v>
      </c>
      <c r="AB217" s="111">
        <f>[12]GHG_hist!BO207+IF($M217="incl",[12]LULUCF_hist!DF207,0)</f>
        <v>0.11441266</v>
      </c>
      <c r="AC217" s="111">
        <f>[12]GHG_hist!BP207+IF($M217="incl",[12]LULUCF_hist!DG207,0)</f>
        <v>0.13399762000000001</v>
      </c>
      <c r="AD217" s="111">
        <f>[12]GHG_hist!BQ207+IF($M217="incl",[12]LULUCF_hist!DH207,0)</f>
        <v>0.15624980999999999</v>
      </c>
      <c r="AE217" s="111">
        <f>[12]GHG_hist!BR207+IF($M217="incl",[12]LULUCF_hist!DI207,0)</f>
        <v>0.17889375999999999</v>
      </c>
      <c r="AF217" s="111">
        <f>[12]GHG_hist!BS207+IF($M217="incl",[12]LULUCF_hist!DJ207,0)</f>
        <v>0.18737856999999999</v>
      </c>
      <c r="AG217" s="111">
        <f>[12]GHG_hist!BT207+IF($M217="incl",[12]LULUCF_hist!DK207,0)</f>
        <v>0.19527052</v>
      </c>
      <c r="AH217" s="111">
        <f>[12]GHG_hist!BU207+IF($M217="incl",[12]LULUCF_hist!DL207,0)</f>
        <v>0.19893657000000001</v>
      </c>
      <c r="AI217" s="111">
        <f>[12]GHG_hist!BV207+IF($M217="incl",[12]LULUCF_hist!DM207,0)</f>
        <v>0.20073317000000002</v>
      </c>
      <c r="AJ217" s="111">
        <f>[12]GHG_hist!BW207+IF($M217="incl",[12]LULUCF_hist!DN207,0)</f>
        <v>0.20134316999999999</v>
      </c>
      <c r="AK217" s="111">
        <f>[12]GHG_hist!BX207+IF($M217="incl",[12]LULUCF_hist!DO207,0)</f>
        <v>0.20513018999999999</v>
      </c>
      <c r="AL217" s="111">
        <f>[12]GHG_hist!BY207+IF($M217="incl",[12]LULUCF_hist!DP207,0)</f>
        <v>0.21531771000000002</v>
      </c>
      <c r="AM217" s="111">
        <f>[12]GHG_hist!BZ207+IF($M217="incl",[12]LULUCF_hist!DQ207,0)</f>
        <v>0.22294430000000001</v>
      </c>
      <c r="AN217" s="111">
        <f>[12]GHG_hist!CA207+IF($M217="incl",[12]LULUCF_hist!DR207,0)</f>
        <v>0.23311367999999999</v>
      </c>
      <c r="AO217" s="111">
        <f>[12]GHG_hist!CB207+IF($M217="incl",[12]LULUCF_hist!DS207,0)</f>
        <v>0.24672011000000002</v>
      </c>
      <c r="AP217" s="111">
        <f>[12]GHG_hist!CC207+IF($M217="incl",[12]LULUCF_hist!DT207,0)</f>
        <v>0.25270086000000003</v>
      </c>
      <c r="AQ217" s="111">
        <f>[12]GHG_hist!CD207+IF($M217="incl",[12]LULUCF_hist!DU207,0)</f>
        <v>0.25918698000000001</v>
      </c>
      <c r="AR217" s="111">
        <f>[12]GHG_hist!CE207+IF($M217="incl",[12]LULUCF_hist!DV207,0)</f>
        <v>0.23808342999999998</v>
      </c>
      <c r="AS217" s="111">
        <f>[12]GHG_hist!CF207+IF($M217="incl",[12]LULUCF_hist!DW207,0)</f>
        <v>0.23557052000000001</v>
      </c>
      <c r="AT217" s="161">
        <f>VLOOKUP($L217,'[12]IMAGE SSP2'!$AF$3:$AK$29,4,FALSE)*$AM217</f>
        <v>0.25349009662060534</v>
      </c>
      <c r="AU217" s="177">
        <f>VLOOKUP($L217,'[12]IMAGE SSP2'!$AF$3:$AK$29,5,FALSE)*$AM217</f>
        <v>0.28359420487344422</v>
      </c>
      <c r="AV217" s="177">
        <f>VLOOKUP($L217,'[12]IMAGE SSP2'!$AF$3:$AK$29,6,FALSE)*$AM217</f>
        <v>0.29936667127350813</v>
      </c>
      <c r="AW217" s="111" t="str">
        <f t="shared" si="165"/>
        <v/>
      </c>
      <c r="AX217" s="164" t="str">
        <f>IF(A217="B",IF(M217="excl",[12]NatCom!CO207,[12]NatCom!AX207),"")</f>
        <v/>
      </c>
      <c r="AY217" s="111" t="str">
        <f>IF('[12]Pledge 2020'!E207="","",'[12]Pledge 2020'!E207)</f>
        <v/>
      </c>
      <c r="AZ217" s="164" t="str">
        <f>IF('[12]Pledge 2020'!F207="","",'[12]Pledge 2020'!F207)</f>
        <v/>
      </c>
      <c r="BA217" s="111" t="str">
        <f t="shared" si="144"/>
        <v/>
      </c>
      <c r="BB217" s="111"/>
      <c r="BC217" s="111" t="str">
        <f t="shared" si="145"/>
        <v/>
      </c>
      <c r="BD217" s="111"/>
      <c r="BE217" s="111" t="s">
        <v>2477</v>
      </c>
      <c r="BF217" s="111"/>
      <c r="BG217" s="111" t="s">
        <v>2477</v>
      </c>
      <c r="BH217" s="164"/>
      <c r="BI217" s="111" t="str">
        <f>IF([12]NDCs!V219="",IF([12]NDCs!X219="","",[12]NDCs!X219),[12]NDCs!V219)</f>
        <v/>
      </c>
      <c r="BJ217" s="111" t="str">
        <f>IF([12]NDCs!V219="",IF([12]NDCs!X219="","",[12]NDCs!X219),[12]NDCs!V219)</f>
        <v/>
      </c>
      <c r="BK217" s="111" t="str">
        <f>IF([12]NDCs!Z219="",IF([12]NDCs!AB219="",IF('input site'!BE217="","",'input site'!BE217),[12]NDCs!AB219),[12]NDCs!Z219)</f>
        <v/>
      </c>
      <c r="BL217" s="111" t="str">
        <f>IF([12]NDCs!AA219="",IF([12]NDCs!AC219="",IF('input site'!BF217="","",'input site'!BF217),[12]NDCs!AC219),[12]NDCs!AA219)</f>
        <v/>
      </c>
      <c r="BM217" s="111">
        <f>IF($BI$8=2015,VLOOKUP($L217,'[12]IMAGE CurPol SSP'!$AZ$3:$BD$29,4,FALSE)*$AM217,IF($BI$8=2018,VLOOKUP($L217,'[12]IMAGE CurPol SSP'!$BJ$3:$BN$29,4,FALSE)*$AP217,$AR217))</f>
        <v>0.23808342999999998</v>
      </c>
      <c r="BN217" s="111">
        <f t="shared" si="169"/>
        <v>0.23808342999999998</v>
      </c>
      <c r="BO217" s="111">
        <f t="shared" si="169"/>
        <v>0.23808342999999998</v>
      </c>
      <c r="BP217" s="111">
        <f>IF($BI$8=2015,VLOOKUP($L217,'[12]IMAGE CurPol SSP'!$AZ$3:$BD$29,5,FALSE)*$AM217,IF($BI$8=2018,VLOOKUP($L217,'[12]IMAGE CurPol SSP'!$BJ$3:$BN$29,5,FALSE)*$AP217,VLOOKUP($L217,'[12]IMAGE CurPol SSP'!$BU$3:$BZ$29,5,FALSE)*$AS217))</f>
        <v>0.25813931214811286</v>
      </c>
      <c r="BQ217" s="111">
        <f>IF($BI$8=2015,"",IF($BI$8=2018,"",VLOOKUP($L217,'[12]IMAGE CurPol SSP'!$CQ$3:$CV$29,5,FALSE)*$AS217))</f>
        <v>0.25374656123692391</v>
      </c>
      <c r="BR217" s="111">
        <f>IF($BI$8=2015,"",IF($BI$8=2018,"",VLOOKUP($L217,'[12]IMAGE CurPol SSP'!$CF$3:$CK$29,5,FALSE)*$AS217))</f>
        <v>0.2682928540991073</v>
      </c>
      <c r="BS217" s="111">
        <f>IF($BI$8=2015,VLOOKUP($L217,'[12]IMAGE CurPol SSP'!$AZ$3:$BE$29,6,FALSE)*$AM217,IF($BI$8=2018,VLOOKUP($L217,'[12]IMAGE CurPol SSP'!$BJ$3:$BO$29,6,FALSE)*$AP217,VLOOKUP($L217,'[12]IMAGE CurPol SSP'!$BU$3:$BZ$29,6,FALSE)*$AS217))</f>
        <v>0.29047475001749434</v>
      </c>
      <c r="BT217" s="111">
        <f>IF($BI$8=2015,"",IF($BI$8=2018,"",VLOOKUP($L217,'[12]IMAGE CurPol SSP'!$CQ$3:$CV$29,6,FALSE)*$AS217))</f>
        <v>0.28379951252732977</v>
      </c>
      <c r="BU217" s="164">
        <f>IF($BI$8=2015,"",IF($BI$8=2018,"",VLOOKUP($L217,'[12]IMAGE CurPol SSP'!$CF$3:$CK$29,6,FALSE)*$AS217))</f>
        <v>0.31078311951839732</v>
      </c>
      <c r="CN217" t="s">
        <v>463</v>
      </c>
      <c r="CO217" s="165" t="str">
        <f t="shared" si="160"/>
        <v/>
      </c>
      <c r="CP217" s="165" t="str">
        <f t="shared" si="160"/>
        <v/>
      </c>
      <c r="CQ217" s="165" t="str">
        <f t="shared" si="160"/>
        <v/>
      </c>
      <c r="CR217" s="165" t="str">
        <f t="shared" si="155"/>
        <v/>
      </c>
      <c r="CV217" s="125" t="s">
        <v>621</v>
      </c>
      <c r="CW217" s="125" t="s">
        <v>621</v>
      </c>
      <c r="CX217" s="208">
        <f>AP217/$AP$255</f>
        <v>5.5304783444053366E-6</v>
      </c>
      <c r="CY217" s="167">
        <f t="shared" si="161"/>
        <v>1.5406666620605358E-2</v>
      </c>
      <c r="DB217" s="106"/>
      <c r="DC217" s="106"/>
      <c r="DD217" s="106"/>
      <c r="DE217" s="106"/>
      <c r="DF217" s="106"/>
      <c r="DG217" s="105" t="str">
        <f t="shared" si="162"/>
        <v>excl</v>
      </c>
      <c r="DH217" t="s">
        <v>463</v>
      </c>
      <c r="DI217" s="111">
        <f t="shared" si="170"/>
        <v>0</v>
      </c>
      <c r="DJ217" s="111">
        <f t="shared" si="170"/>
        <v>0</v>
      </c>
      <c r="DK217" s="111">
        <f>IF(BA217="",$BP217,BA217)-$BP217</f>
        <v>0</v>
      </c>
      <c r="DL217" s="111">
        <f>IF(BC217="",$BP217,BC217)-$BP217</f>
        <v>0</v>
      </c>
      <c r="DM217" s="111">
        <f>IF(BE217="",$BS217,BE217)-$BS217</f>
        <v>0</v>
      </c>
      <c r="DN217" s="111">
        <f>IF(BG217="",$BS217,BG217)-$BS217</f>
        <v>0</v>
      </c>
      <c r="DO217" s="111">
        <f>IF(BI217="",$BS217,BI217)-$BS217</f>
        <v>0</v>
      </c>
      <c r="DP217" s="111">
        <f>IF(BK217="",$BS217,BK217)-$BS217</f>
        <v>0</v>
      </c>
      <c r="DQ217" s="106"/>
      <c r="DR217" s="106"/>
      <c r="DS217" s="111"/>
      <c r="DT217" s="168"/>
      <c r="DW217" s="111">
        <f t="shared" si="163"/>
        <v>0.29047475001749434</v>
      </c>
      <c r="DX217" s="111">
        <f t="shared" si="163"/>
        <v>0.29047475001749434</v>
      </c>
      <c r="DY217" s="111">
        <f t="shared" si="163"/>
        <v>0.29047475001749434</v>
      </c>
      <c r="DZ217" s="111">
        <f t="shared" si="156"/>
        <v>0.29047475001749434</v>
      </c>
      <c r="EP217" t="s">
        <v>463</v>
      </c>
      <c r="EQ217">
        <v>0</v>
      </c>
      <c r="ER217" s="111">
        <f t="shared" si="164"/>
        <v>0.25270086000000003</v>
      </c>
      <c r="ES217" s="111">
        <f>IF($BI$8=2015,VLOOKUP($L217,'[12]IMAGE CDLINKS CurPol'!$P$3:$Y$29,10,FALSE)*$AM217,VLOOKUP($L217,'[12]IMAGE CDLINKS CurPol'!$Z$3:$AI$29,10,FALSE)*$AP217)</f>
        <v>0.47860986751686097</v>
      </c>
      <c r="ET217" s="111">
        <f t="shared" si="124"/>
        <v>0.47860986751686097</v>
      </c>
      <c r="EU217" s="111">
        <f t="shared" si="166"/>
        <v>0.13279044525378528</v>
      </c>
      <c r="EV217" s="111">
        <f>IF($BI$8=2015,VLOOKUP($L217,'[12]IMAGE CDLINKS 2C'!$P$3:$Y$29,10,FALSE)*$AM217,VLOOKUP($L217,'[12]IMAGE CDLINKS 2C'!$Z$3:$AI$29,10,FALSE)*$AP217)</f>
        <v>0.13279044525378528</v>
      </c>
      <c r="EY217" s="111">
        <f t="shared" si="167"/>
        <v>2.7006974271784431E-2</v>
      </c>
      <c r="EZ217" s="111">
        <f>IF($BI$8=2015,VLOOKUP($L217,'[12]IMAGE CDLINKS 1_5C'!$P$3:$Y$29,10,FALSE)*$AM217,VLOOKUP($L217,'[12]IMAGE CDLINKS 1_5C'!$Z$3:$AI$29,10,FALSE)*$AP217)</f>
        <v>2.7006974271784431E-2</v>
      </c>
      <c r="FA217" s="192"/>
    </row>
    <row r="218" spans="1:157" x14ac:dyDescent="0.25">
      <c r="A218" t="str">
        <f>IF([12]NDCs!C220="","",[12]NDCs!C220)</f>
        <v>G</v>
      </c>
      <c r="B218" s="159" t="str">
        <f t="shared" si="157"/>
        <v>v</v>
      </c>
      <c r="C218">
        <v>0</v>
      </c>
      <c r="D218">
        <v>0</v>
      </c>
      <c r="E218">
        <v>0</v>
      </c>
      <c r="F218">
        <v>1</v>
      </c>
      <c r="G218" t="b">
        <f t="shared" si="158"/>
        <v>0</v>
      </c>
      <c r="H218" t="s">
        <v>2328</v>
      </c>
      <c r="I218" t="s">
        <v>465</v>
      </c>
      <c r="J218">
        <v>798</v>
      </c>
      <c r="K218">
        <v>207</v>
      </c>
      <c r="L218">
        <v>24</v>
      </c>
      <c r="M218" t="str">
        <f>IF([12]NDCs!AL220="Excluding","excl","incl")</f>
        <v>excl</v>
      </c>
      <c r="N218" s="160">
        <f>[12]GHG_hist!BA208+IF($M218="incl",[12]LULUCF_hist!CR208,0)</f>
        <v>1.4627000000000001E-2</v>
      </c>
      <c r="O218" s="111">
        <f>[12]GHG_hist!BB208+IF($M218="incl",[12]LULUCF_hist!CS208,0)</f>
        <v>1.53987E-2</v>
      </c>
      <c r="P218" s="111">
        <f>[12]GHG_hist!BC208+IF($M218="incl",[12]LULUCF_hist!CT208,0)</f>
        <v>1.54985E-2</v>
      </c>
      <c r="Q218" s="111">
        <f>[12]GHG_hist!BD208+IF($M218="incl",[12]LULUCF_hist!CU208,0)</f>
        <v>1.5336199999999999E-2</v>
      </c>
      <c r="R218" s="111">
        <f>[12]GHG_hist!BE208+IF($M218="incl",[12]LULUCF_hist!CV208,0)</f>
        <v>1.5453699999999999E-2</v>
      </c>
      <c r="S218" s="111">
        <f>[12]GHG_hist!BF208+IF($M218="incl",[12]LULUCF_hist!CW208,0)</f>
        <v>1.5500999999999999E-2</v>
      </c>
      <c r="T218" s="111">
        <f>[12]GHG_hist!BG208+IF($M218="incl",[12]LULUCF_hist!CX208,0)</f>
        <v>1.5503500000000002E-2</v>
      </c>
      <c r="U218" s="111">
        <f>[12]GHG_hist!BH208+IF($M218="incl",[12]LULUCF_hist!CY208,0)</f>
        <v>1.5606E-2</v>
      </c>
      <c r="V218" s="111">
        <f>[12]GHG_hist!BI208+IF($M218="incl",[12]LULUCF_hist!CZ208,0)</f>
        <v>1.5646E-2</v>
      </c>
      <c r="W218" s="111">
        <f>[12]GHG_hist!BJ208+IF($M218="incl",[12]LULUCF_hist!DA208,0)</f>
        <v>1.58056E-2</v>
      </c>
      <c r="X218" s="111">
        <f>[12]GHG_hist!BK208+IF($M218="incl",[12]LULUCF_hist!DB208,0)</f>
        <v>1.58306E-2</v>
      </c>
      <c r="Y218" s="111">
        <f>[12]GHG_hist!BL208+IF($M218="incl",[12]LULUCF_hist!DC208,0)</f>
        <v>1.5865600000000001E-2</v>
      </c>
      <c r="Z218" s="111">
        <f>[12]GHG_hist!BM208+IF($M218="incl",[12]LULUCF_hist!DD208,0)</f>
        <v>1.9732099999999999E-2</v>
      </c>
      <c r="AA218" s="111">
        <f>[12]GHG_hist!BN208+IF($M218="incl",[12]LULUCF_hist!DE208,0)</f>
        <v>1.9777100000000002E-2</v>
      </c>
      <c r="AB218" s="111">
        <f>[12]GHG_hist!BO208+IF($M218="incl",[12]LULUCF_hist!DF208,0)</f>
        <v>1.9834599999999997E-2</v>
      </c>
      <c r="AC218" s="111">
        <f>[12]GHG_hist!BP208+IF($M218="incl",[12]LULUCF_hist!DG208,0)</f>
        <v>1.9859600000000002E-2</v>
      </c>
      <c r="AD218" s="111">
        <f>[12]GHG_hist!BQ208+IF($M218="incl",[12]LULUCF_hist!DH208,0)</f>
        <v>1.6242899999999998E-2</v>
      </c>
      <c r="AE218" s="111">
        <f>[12]GHG_hist!BR208+IF($M218="incl",[12]LULUCF_hist!DI208,0)</f>
        <v>2.00246E-2</v>
      </c>
      <c r="AF218" s="111">
        <f>[12]GHG_hist!BS208+IF($M218="incl",[12]LULUCF_hist!DJ208,0)</f>
        <v>2.0144600000000002E-2</v>
      </c>
      <c r="AG218" s="111">
        <f>[12]GHG_hist!BT208+IF($M218="incl",[12]LULUCF_hist!DK208,0)</f>
        <v>2.0269200000000001E-2</v>
      </c>
      <c r="AH218" s="111">
        <f>[12]GHG_hist!BU208+IF($M218="incl",[12]LULUCF_hist!DL208,0)</f>
        <v>1.6660000000000001E-2</v>
      </c>
      <c r="AI218" s="111">
        <f>[12]GHG_hist!BV208+IF($M218="incl",[12]LULUCF_hist!DM208,0)</f>
        <v>1.6760000000000001E-2</v>
      </c>
      <c r="AJ218" s="111">
        <f>[12]GHG_hist!BW208+IF($M218="incl",[12]LULUCF_hist!DN208,0)</f>
        <v>2.0501700000000001E-2</v>
      </c>
      <c r="AK218" s="111">
        <f>[12]GHG_hist!BX208+IF($M218="incl",[12]LULUCF_hist!DO208,0)</f>
        <v>2.0574200000000001E-2</v>
      </c>
      <c r="AL218" s="111">
        <f>[12]GHG_hist!BY208+IF($M218="incl",[12]LULUCF_hist!DP208,0)</f>
        <v>2.0664200000000001E-2</v>
      </c>
      <c r="AM218" s="111">
        <f>[12]GHG_hist!BZ208+IF($M218="incl",[12]LULUCF_hist!DQ208,0)</f>
        <v>2.0779200000000001E-2</v>
      </c>
      <c r="AN218" s="111">
        <f>[12]GHG_hist!CA208+IF($M218="incl",[12]LULUCF_hist!DR208,0)</f>
        <v>2.0903999999999999E-2</v>
      </c>
      <c r="AO218" s="111">
        <f>[12]GHG_hist!CB208+IF($M218="incl",[12]LULUCF_hist!DS208,0)</f>
        <v>2.0984000000000003E-2</v>
      </c>
      <c r="AP218" s="111">
        <f>[12]GHG_hist!CC208+IF($M218="incl",[12]LULUCF_hist!DT208,0)</f>
        <v>2.1436804E-2</v>
      </c>
      <c r="AQ218" s="111">
        <f>[12]GHG_hist!CD208+IF($M218="incl",[12]LULUCF_hist!DU208,0)</f>
        <v>2.2458791999999998E-2</v>
      </c>
      <c r="AR218" s="111">
        <f>[12]GHG_hist!CE208+IF($M218="incl",[12]LULUCF_hist!DV208,0)</f>
        <v>2.2583037E-2</v>
      </c>
      <c r="AS218" s="111">
        <f>[12]GHG_hist!CF208+IF($M218="incl",[12]LULUCF_hist!DW208,0)</f>
        <v>2.3062172000000002E-2</v>
      </c>
      <c r="AT218" s="161">
        <f>VLOOKUP($L218,'[12]IMAGE SSP2'!$AF$3:$AK$29,4,FALSE)*$AM218</f>
        <v>2.2306246185640231E-2</v>
      </c>
      <c r="AU218" s="177">
        <f>VLOOKUP($L218,'[12]IMAGE SSP2'!$AF$3:$AK$29,5,FALSE)*$AM218</f>
        <v>2.2900548914592745E-2</v>
      </c>
      <c r="AV218" s="177">
        <f>VLOOKUP($L218,'[12]IMAGE SSP2'!$AF$3:$AK$29,6,FALSE)*$AM218</f>
        <v>2.3168741347701742E-2</v>
      </c>
      <c r="AW218" s="111" t="str">
        <f t="shared" si="165"/>
        <v/>
      </c>
      <c r="AX218" s="164" t="str">
        <f>IF(A218="B",IF(M218="excl",[12]NatCom!CO208,[12]NatCom!AX208),"")</f>
        <v/>
      </c>
      <c r="AY218" s="111" t="str">
        <f>IF('[12]Pledge 2020'!E208="","",'[12]Pledge 2020'!E208)</f>
        <v/>
      </c>
      <c r="AZ218" s="164" t="str">
        <f>IF('[12]Pledge 2020'!F208="","",'[12]Pledge 2020'!F208)</f>
        <v/>
      </c>
      <c r="BA218" s="111" t="str">
        <f t="shared" si="144"/>
        <v/>
      </c>
      <c r="BB218" s="111"/>
      <c r="BC218" s="111" t="str">
        <f t="shared" si="145"/>
        <v/>
      </c>
      <c r="BD218" s="111"/>
      <c r="BE218" s="111" t="s">
        <v>2477</v>
      </c>
      <c r="BF218" s="111"/>
      <c r="BG218" s="111" t="s">
        <v>2477</v>
      </c>
      <c r="BH218" s="164"/>
      <c r="BI218" s="111" t="str">
        <f>IF([12]NDCs!V220="",IF([12]NDCs!X220="","",[12]NDCs!X220),[12]NDCs!V220)</f>
        <v/>
      </c>
      <c r="BJ218" s="111" t="str">
        <f>IF([12]NDCs!V220="",IF([12]NDCs!X220="","",[12]NDCs!X220),[12]NDCs!V220)</f>
        <v/>
      </c>
      <c r="BK218" s="111" t="str">
        <f>IF([12]NDCs!Z220="",IF([12]NDCs!AB220="",IF('input site'!BE218="","",'input site'!BE218),[12]NDCs!AB220),[12]NDCs!Z220)</f>
        <v/>
      </c>
      <c r="BL218" s="111" t="str">
        <f>IF([12]NDCs!AA220="",IF([12]NDCs!AC220="",IF('input site'!BF218="","",'input site'!BF218),[12]NDCs!AC220),[12]NDCs!AA220)</f>
        <v/>
      </c>
      <c r="BM218" s="111">
        <f>IF($BI$8=2015,VLOOKUP($L218,'[12]IMAGE CurPol SSP'!$AZ$3:$BD$29,4,FALSE)*$AM218,IF($BI$8=2018,VLOOKUP($L218,'[12]IMAGE CurPol SSP'!$BJ$3:$BN$29,4,FALSE)*$AP218,$AR218))</f>
        <v>2.2583037E-2</v>
      </c>
      <c r="BN218" s="111">
        <f t="shared" si="169"/>
        <v>2.2583037E-2</v>
      </c>
      <c r="BO218" s="111">
        <f t="shared" si="169"/>
        <v>2.2583037E-2</v>
      </c>
      <c r="BP218" s="111">
        <f>IF($BI$8=2015,VLOOKUP($L218,'[12]IMAGE CurPol SSP'!$AZ$3:$BD$29,5,FALSE)*$AM218,IF($BI$8=2018,VLOOKUP($L218,'[12]IMAGE CurPol SSP'!$BJ$3:$BN$29,5,FALSE)*$AP218,VLOOKUP($L218,'[12]IMAGE CurPol SSP'!$BU$3:$BZ$29,5,FALSE)*$AS218))</f>
        <v>2.3487975357374433E-2</v>
      </c>
      <c r="BQ218" s="111">
        <f>IF($BI$8=2015,"",IF($BI$8=2018,"",VLOOKUP($L218,'[12]IMAGE CurPol SSP'!$CQ$3:$CV$29,5,FALSE)*$AS218))</f>
        <v>2.2867619667343297E-2</v>
      </c>
      <c r="BR218" s="111">
        <f>IF($BI$8=2015,"",IF($BI$8=2018,"",VLOOKUP($L218,'[12]IMAGE CurPol SSP'!$CF$3:$CK$29,5,FALSE)*$AS218))</f>
        <v>2.3487975357374433E-2</v>
      </c>
      <c r="BS218" s="111">
        <f>IF($BI$8=2015,VLOOKUP($L218,'[12]IMAGE CurPol SSP'!$AZ$3:$BE$29,6,FALSE)*$AM218,IF($BI$8=2018,VLOOKUP($L218,'[12]IMAGE CurPol SSP'!$BJ$3:$BO$29,6,FALSE)*$AP218,VLOOKUP($L218,'[12]IMAGE CurPol SSP'!$BU$3:$BZ$29,6,FALSE)*$AS218))</f>
        <v>2.417673517971021E-2</v>
      </c>
      <c r="BT218" s="111">
        <f>IF($BI$8=2015,"",IF($BI$8=2018,"",VLOOKUP($L218,'[12]IMAGE CurPol SSP'!$CQ$3:$CV$29,6,FALSE)*$AS218))</f>
        <v>2.2330559212118996E-2</v>
      </c>
      <c r="BU218" s="164">
        <f>IF($BI$8=2015,"",IF($BI$8=2018,"",VLOOKUP($L218,'[12]IMAGE CurPol SSP'!$CF$3:$CK$29,6,FALSE)*$AS218))</f>
        <v>2.417673517971021E-2</v>
      </c>
      <c r="CN218" t="s">
        <v>465</v>
      </c>
      <c r="CO218" s="165" t="str">
        <f t="shared" si="160"/>
        <v/>
      </c>
      <c r="CP218" s="165" t="str">
        <f t="shared" si="160"/>
        <v/>
      </c>
      <c r="CQ218" s="165" t="str">
        <f t="shared" si="160"/>
        <v/>
      </c>
      <c r="CR218" s="165" t="str">
        <f t="shared" si="155"/>
        <v/>
      </c>
      <c r="CV218" s="125" t="s">
        <v>621</v>
      </c>
      <c r="CW218" s="125" t="s">
        <v>621</v>
      </c>
      <c r="CX218"/>
      <c r="CY218" s="167">
        <f t="shared" si="161"/>
        <v>-2.7679081435976957E-4</v>
      </c>
      <c r="DB218" s="106"/>
      <c r="DC218" s="106"/>
      <c r="DD218" s="106"/>
      <c r="DE218" s="106"/>
      <c r="DF218" s="106"/>
      <c r="DG218" s="105" t="str">
        <f t="shared" si="162"/>
        <v>excl</v>
      </c>
      <c r="DH218" t="s">
        <v>465</v>
      </c>
      <c r="DI218" s="111">
        <f t="shared" si="170"/>
        <v>0</v>
      </c>
      <c r="DJ218" s="111">
        <f t="shared" si="170"/>
        <v>0</v>
      </c>
      <c r="DK218" s="111">
        <f>IF(BA218="",$BP218,BA218)-$BP218</f>
        <v>0</v>
      </c>
      <c r="DL218" s="111">
        <f>IF(BC218="",$BP218,BC218)-$BP218</f>
        <v>0</v>
      </c>
      <c r="DM218" s="111">
        <f>IF(BE218="",$BS218,BE218)-$BS218</f>
        <v>0</v>
      </c>
      <c r="DN218" s="111">
        <f>IF(BG218="",$BS218,BG218)-$BS218</f>
        <v>0</v>
      </c>
      <c r="DO218" s="111">
        <f>IF(BI218="",$BS218,BI218)-$BS218</f>
        <v>0</v>
      </c>
      <c r="DP218" s="111">
        <f>IF(BK218="",$BS218,BK218)-$BS218</f>
        <v>0</v>
      </c>
      <c r="DQ218" s="106"/>
      <c r="DR218" s="106"/>
      <c r="DS218" s="111"/>
      <c r="DT218" s="168"/>
      <c r="DW218" s="111">
        <f t="shared" si="163"/>
        <v>2.417673517971021E-2</v>
      </c>
      <c r="DX218" s="111">
        <f t="shared" si="163"/>
        <v>2.417673517971021E-2</v>
      </c>
      <c r="DY218" s="111">
        <f t="shared" si="163"/>
        <v>2.417673517971021E-2</v>
      </c>
      <c r="DZ218" s="111">
        <f t="shared" si="156"/>
        <v>2.417673517971021E-2</v>
      </c>
      <c r="EP218" t="s">
        <v>465</v>
      </c>
      <c r="EQ218">
        <v>1</v>
      </c>
      <c r="ER218" s="111">
        <f t="shared" si="164"/>
        <v>2.1436804E-2</v>
      </c>
      <c r="ES218" s="111">
        <f>IF($BI$8=2015,VLOOKUP($L218,'[12]IMAGE CDLINKS CurPol'!$P$3:$Y$29,10,FALSE)*$AM218,VLOOKUP($L218,'[12]IMAGE CDLINKS CurPol'!$Z$3:$AI$29,10,FALSE)*$AP218)</f>
        <v>2.2101480910014775E-2</v>
      </c>
      <c r="ET218" s="111">
        <f t="shared" si="124"/>
        <v>0</v>
      </c>
      <c r="EU218" s="111">
        <f t="shared" si="166"/>
        <v>8.4944202298546916E-3</v>
      </c>
      <c r="EV218" s="111">
        <f>IF($BI$8=2015,VLOOKUP($L218,'[12]IMAGE CDLINKS 2C'!$P$3:$Y$29,10,FALSE)*$AM218,VLOOKUP($L218,'[12]IMAGE CDLINKS 2C'!$Z$3:$AI$29,10,FALSE)*$AP218)</f>
        <v>8.4944202298546916E-3</v>
      </c>
      <c r="EW218">
        <v>0</v>
      </c>
      <c r="EX218" s="111">
        <f>EW218-EV218</f>
        <v>-8.4944202298546916E-3</v>
      </c>
      <c r="EY218" s="111">
        <f t="shared" si="167"/>
        <v>0</v>
      </c>
      <c r="EZ218" s="111">
        <f>IF($BI$8=2015,VLOOKUP($L218,'[12]IMAGE CDLINKS 1_5C'!$P$3:$Y$29,10,FALSE)*$AM218,VLOOKUP($L218,'[12]IMAGE CDLINKS 1_5C'!$Z$3:$AI$29,10,FALSE)*$AP218)</f>
        <v>3.6743776789362661E-3</v>
      </c>
      <c r="FA218" s="192">
        <v>2050</v>
      </c>
    </row>
    <row r="219" spans="1:157" x14ac:dyDescent="0.25">
      <c r="A219" t="str">
        <f>IF([12]NDCs!C221="","",[12]NDCs!C221)</f>
        <v>B</v>
      </c>
      <c r="B219" s="159" t="str">
        <f t="shared" si="157"/>
        <v>v</v>
      </c>
      <c r="C219">
        <v>0</v>
      </c>
      <c r="D219">
        <v>0</v>
      </c>
      <c r="E219">
        <v>0</v>
      </c>
      <c r="F219">
        <v>1</v>
      </c>
      <c r="G219" t="b">
        <f t="shared" si="158"/>
        <v>1</v>
      </c>
      <c r="H219" t="s">
        <v>2328</v>
      </c>
      <c r="I219" t="s">
        <v>467</v>
      </c>
      <c r="J219">
        <v>800</v>
      </c>
      <c r="K219">
        <v>208</v>
      </c>
      <c r="L219">
        <v>9</v>
      </c>
      <c r="M219" t="str">
        <f>IF([12]NDCs!AL221="Excluding","excl","incl")</f>
        <v>excl</v>
      </c>
      <c r="N219" s="160">
        <f>[12]GHG_hist!BA209+IF($M219="incl",[12]LULUCF_hist!CR209,0)</f>
        <v>18.014383000000002</v>
      </c>
      <c r="O219" s="111">
        <f>[12]GHG_hist!BB209+IF($M219="incl",[12]LULUCF_hist!CS209,0)</f>
        <v>18.573606999999999</v>
      </c>
      <c r="P219" s="111">
        <f>[12]GHG_hist!BC209+IF($M219="incl",[12]LULUCF_hist!CT209,0)</f>
        <v>18.974262</v>
      </c>
      <c r="Q219" s="111">
        <f>[12]GHG_hist!BD209+IF($M219="incl",[12]LULUCF_hist!CU209,0)</f>
        <v>19.403129</v>
      </c>
      <c r="R219" s="111">
        <f>[12]GHG_hist!BE209+IF($M219="incl",[12]LULUCF_hist!CV209,0)</f>
        <v>19.143556</v>
      </c>
      <c r="S219" s="111">
        <f>[12]GHG_hist!BF209+IF($M219="incl",[12]LULUCF_hist!CW209,0)</f>
        <v>19.795930000000002</v>
      </c>
      <c r="T219" s="111">
        <f>[12]GHG_hist!BG209+IF($M219="incl",[12]LULUCF_hist!CX209,0)</f>
        <v>20.385266999999999</v>
      </c>
      <c r="U219" s="111">
        <f>[12]GHG_hist!BH209+IF($M219="incl",[12]LULUCF_hist!CY209,0)</f>
        <v>21.243025000000003</v>
      </c>
      <c r="V219" s="111">
        <f>[12]GHG_hist!BI209+IF($M219="incl",[12]LULUCF_hist!CZ209,0)</f>
        <v>22.499276000000002</v>
      </c>
      <c r="W219" s="111">
        <f>[12]GHG_hist!BJ209+IF($M219="incl",[12]LULUCF_hist!DA209,0)</f>
        <v>22.242673</v>
      </c>
      <c r="X219" s="111">
        <f>[12]GHG_hist!BK209+IF($M219="incl",[12]LULUCF_hist!DB209,0)</f>
        <v>22.712662000000002</v>
      </c>
      <c r="Y219" s="111">
        <f>[12]GHG_hist!BL209+IF($M219="incl",[12]LULUCF_hist!DC209,0)</f>
        <v>23.133603000000001</v>
      </c>
      <c r="Z219" s="111">
        <f>[12]GHG_hist!BM209+IF($M219="incl",[12]LULUCF_hist!DD209,0)</f>
        <v>23.881754000000001</v>
      </c>
      <c r="AA219" s="111">
        <f>[12]GHG_hist!BN209+IF($M219="incl",[12]LULUCF_hist!DE209,0)</f>
        <v>25.740471000000003</v>
      </c>
      <c r="AB219" s="111">
        <f>[12]GHG_hist!BO209+IF($M219="incl",[12]LULUCF_hist!DF209,0)</f>
        <v>25.928023000000003</v>
      </c>
      <c r="AC219" s="111">
        <f>[12]GHG_hist!BP209+IF($M219="incl",[12]LULUCF_hist!DG209,0)</f>
        <v>28.093523000000001</v>
      </c>
      <c r="AD219" s="111">
        <f>[12]GHG_hist!BQ209+IF($M219="incl",[12]LULUCF_hist!DH209,0)</f>
        <v>26.793479999999999</v>
      </c>
      <c r="AE219" s="111">
        <f>[12]GHG_hist!BR209+IF($M219="incl",[12]LULUCF_hist!DI209,0)</f>
        <v>29.598380000000002</v>
      </c>
      <c r="AF219" s="111">
        <f>[12]GHG_hist!BS209+IF($M219="incl",[12]LULUCF_hist!DJ209,0)</f>
        <v>35.899438000000004</v>
      </c>
      <c r="AG219" s="111">
        <f>[12]GHG_hist!BT209+IF($M219="incl",[12]LULUCF_hist!DK209,0)</f>
        <v>36.301223</v>
      </c>
      <c r="AH219" s="111">
        <f>[12]GHG_hist!BU209+IF($M219="incl",[12]LULUCF_hist!DL209,0)</f>
        <v>38.569504000000002</v>
      </c>
      <c r="AI219" s="111">
        <f>[12]GHG_hist!BV209+IF($M219="incl",[12]LULUCF_hist!DM209,0)</f>
        <v>38.929042000000003</v>
      </c>
      <c r="AJ219" s="111">
        <f>[12]GHG_hist!BW209+IF($M219="incl",[12]LULUCF_hist!DN209,0)</f>
        <v>40.617834999999999</v>
      </c>
      <c r="AK219" s="111">
        <f>[12]GHG_hist!BX209+IF($M219="incl",[12]LULUCF_hist!DO209,0)</f>
        <v>40.895245000000003</v>
      </c>
      <c r="AL219" s="111">
        <f>[12]GHG_hist!BY209+IF($M219="incl",[12]LULUCF_hist!DP209,0)</f>
        <v>42.103637000000006</v>
      </c>
      <c r="AM219" s="111">
        <f>[12]GHG_hist!BZ209+IF($M219="incl",[12]LULUCF_hist!DQ209,0)</f>
        <v>43.774422000000001</v>
      </c>
      <c r="AN219" s="111">
        <f>[12]GHG_hist!CA209+IF($M219="incl",[12]LULUCF_hist!DR209,0)</f>
        <v>44.139760000000003</v>
      </c>
      <c r="AO219" s="111">
        <f>[12]GHG_hist!CB209+IF($M219="incl",[12]LULUCF_hist!DS209,0)</f>
        <v>45.390149000000001</v>
      </c>
      <c r="AP219" s="111">
        <f>[12]GHG_hist!CC209+IF($M219="incl",[12]LULUCF_hist!DT209,0)</f>
        <v>46.626572000000003</v>
      </c>
      <c r="AQ219" s="111">
        <f>[12]GHG_hist!CD209+IF($M219="incl",[12]LULUCF_hist!DU209,0)</f>
        <v>47.433774</v>
      </c>
      <c r="AR219" s="111">
        <f>[12]GHG_hist!CE209+IF($M219="incl",[12]LULUCF_hist!DV209,0)</f>
        <v>48.462394000000003</v>
      </c>
      <c r="AS219" s="111">
        <f>[12]GHG_hist!CF209+IF($M219="incl",[12]LULUCF_hist!DW209,0)</f>
        <v>49.951321000000007</v>
      </c>
      <c r="AT219" s="161">
        <f>VLOOKUP($L219,'[12]IMAGE SSP2'!$AF$3:$AK$29,4,FALSE)*$AM219</f>
        <v>50.069240994772748</v>
      </c>
      <c r="AU219" s="177">
        <f>VLOOKUP($L219,'[12]IMAGE SSP2'!$AF$3:$AK$29,5,FALSE)*$AM219</f>
        <v>57.357920075827515</v>
      </c>
      <c r="AV219" s="177">
        <f>VLOOKUP($L219,'[12]IMAGE SSP2'!$AF$3:$AK$29,6,FALSE)*$AM219</f>
        <v>66.506910481287846</v>
      </c>
      <c r="AW219" s="111">
        <f>IF(A219="B",AM219+(AX219-AM219)*0.33333,"")</f>
        <v>54.949502914740002</v>
      </c>
      <c r="AX219" s="164">
        <f>IF(A219="B",IF(M219="excl",[12]NatCom!CO209,[12]NatCom!AX209),"")</f>
        <v>77.3</v>
      </c>
      <c r="AY219" s="111" t="str">
        <f>IF('[12]Pledge 2020'!E209="","",'[12]Pledge 2020'!E209)</f>
        <v/>
      </c>
      <c r="AZ219" s="164" t="str">
        <f>IF('[12]Pledge 2020'!F209="","",'[12]Pledge 2020'!F209)</f>
        <v/>
      </c>
      <c r="BA219" s="111" t="str">
        <f t="shared" si="144"/>
        <v/>
      </c>
      <c r="BB219" s="111"/>
      <c r="BC219" s="111">
        <f t="shared" si="145"/>
        <v>54.862876</v>
      </c>
      <c r="BD219" s="111">
        <f>IF(BH219="","",(BH219-AH219)*0.75+AH219)</f>
        <v>54.862876</v>
      </c>
      <c r="BE219" s="111" t="s">
        <v>2477</v>
      </c>
      <c r="BF219" s="111"/>
      <c r="BG219" s="111">
        <v>60.293999999999997</v>
      </c>
      <c r="BH219" s="111">
        <v>60.293999999999997</v>
      </c>
      <c r="BI219" s="111" t="str">
        <f>IF([12]NDCs!V221="",IF([12]NDCs!X221="","",[12]NDCs!X221),[12]NDCs!V221)</f>
        <v/>
      </c>
      <c r="BJ219" s="111" t="str">
        <f>IF([12]NDCs!V221="",IF([12]NDCs!X221="","",[12]NDCs!X221),[12]NDCs!V221)</f>
        <v/>
      </c>
      <c r="BK219" s="111">
        <f>IF([12]NDCs!Z221="",IF([12]NDCs!AB221="",IF('input site'!BE219="","",'input site'!BE219),[12]NDCs!AB221),[12]NDCs!Z221)</f>
        <v>60.293999999999997</v>
      </c>
      <c r="BL219" s="111">
        <f>IF([12]NDCs!AA221="",IF([12]NDCs!AC221="",IF('input site'!BF219="","",'input site'!BF219),[12]NDCs!AC221),[12]NDCs!AA221)</f>
        <v>60.293999999999997</v>
      </c>
      <c r="BM219" s="111">
        <f>IF($BI$8=2015,VLOOKUP($L219,'[12]IMAGE CurPol SSP'!$AZ$3:$BD$29,4,FALSE)*$AM219,IF($BI$8=2018,VLOOKUP($L219,'[12]IMAGE CurPol SSP'!$BJ$3:$BN$29,4,FALSE)*$AP219,$AR219))</f>
        <v>48.462394000000003</v>
      </c>
      <c r="BN219" s="111">
        <f t="shared" si="169"/>
        <v>48.462394000000003</v>
      </c>
      <c r="BO219" s="111">
        <f t="shared" si="169"/>
        <v>48.462394000000003</v>
      </c>
      <c r="BP219" s="111">
        <f>IF($BI$8=2015,VLOOKUP($L219,'[12]IMAGE CurPol SSP'!$AZ$3:$BD$29,5,FALSE)*$AM219,IF($BI$8=2018,VLOOKUP($L219,'[12]IMAGE CurPol SSP'!$BJ$3:$BN$29,5,FALSE)*$AP219,VLOOKUP($L219,'[12]IMAGE CurPol SSP'!$BU$3:$BZ$29,5,FALSE)*$AS219))</f>
        <v>62.394957516438332</v>
      </c>
      <c r="BQ219" s="111">
        <f>IF($BI$8=2015,"",IF($BI$8=2018,"",VLOOKUP($L219,'[12]IMAGE CurPol SSP'!$CQ$3:$CV$29,5,FALSE)*$AS219))</f>
        <v>61.954672574805578</v>
      </c>
      <c r="BR219" s="111">
        <f>IF($BI$8=2015,"",IF($BI$8=2018,"",VLOOKUP($L219,'[12]IMAGE CurPol SSP'!$CF$3:$CK$29,5,FALSE)*$AS219))</f>
        <v>63.315144218645848</v>
      </c>
      <c r="BS219" s="111">
        <f>IF($BI$8=2015,VLOOKUP($L219,'[12]IMAGE CurPol SSP'!$AZ$3:$BE$29,6,FALSE)*$AM219,IF($BI$8=2018,VLOOKUP($L219,'[12]IMAGE CurPol SSP'!$BJ$3:$BO$29,6,FALSE)*$AP219,VLOOKUP($L219,'[12]IMAGE CurPol SSP'!$BU$3:$BZ$29,6,FALSE)*$AS219))</f>
        <v>78.618192444243888</v>
      </c>
      <c r="BT219" s="111">
        <f>IF($BI$8=2015,"",IF($BI$8=2018,"",VLOOKUP($L219,'[12]IMAGE CurPol SSP'!$CQ$3:$CV$29,6,FALSE)*$AS219))</f>
        <v>77.515368479944343</v>
      </c>
      <c r="BU219" s="164">
        <f>IF($BI$8=2015,"",IF($BI$8=2018,"",VLOOKUP($L219,'[12]IMAGE CurPol SSP'!$CF$3:$CK$29,6,FALSE)*$AS219))</f>
        <v>80.8663344867511</v>
      </c>
      <c r="CN219" t="s">
        <v>467</v>
      </c>
      <c r="CO219" s="165" t="str">
        <f t="shared" si="160"/>
        <v/>
      </c>
      <c r="CP219" s="165" t="str">
        <f t="shared" si="160"/>
        <v/>
      </c>
      <c r="CQ219" s="165">
        <f t="shared" si="160"/>
        <v>-0.23307827202004716</v>
      </c>
      <c r="CR219" s="165">
        <f t="shared" si="155"/>
        <v>-0.23307827202004716</v>
      </c>
      <c r="CS219" s="159"/>
      <c r="CU219" s="159"/>
      <c r="CV219" s="125" t="s">
        <v>621</v>
      </c>
      <c r="CW219" s="125" t="s">
        <v>621</v>
      </c>
      <c r="CX219" s="159"/>
      <c r="CY219" s="167">
        <f t="shared" si="161"/>
        <v>1.6068469947727451</v>
      </c>
      <c r="CZ219" s="159"/>
      <c r="DB219" s="106"/>
      <c r="DC219" s="106"/>
      <c r="DD219" s="106"/>
      <c r="DE219" s="106"/>
      <c r="DF219" s="106"/>
      <c r="DG219" s="105" t="str">
        <f t="shared" si="162"/>
        <v>excl</v>
      </c>
      <c r="DH219" t="s">
        <v>467</v>
      </c>
      <c r="DI219" s="111">
        <f t="shared" si="170"/>
        <v>0</v>
      </c>
      <c r="DJ219" s="111">
        <f t="shared" si="170"/>
        <v>0</v>
      </c>
      <c r="DK219" s="111">
        <f>IF(BA219="",$BP219,BA219)-$BP219</f>
        <v>0</v>
      </c>
      <c r="DL219" s="111">
        <f>IF(BC219="",$BP219,BC219)-$BP219</f>
        <v>-7.5320815164383319</v>
      </c>
      <c r="DM219" s="111">
        <f>IF(BE219="",$BS219,BE219)-$BS219</f>
        <v>0</v>
      </c>
      <c r="DN219" s="111">
        <f>IF(BG219="",$BS219,BG219)-$BS219</f>
        <v>-18.324192444243891</v>
      </c>
      <c r="DO219" s="111">
        <f>IF(BI219="",$BS219,BI219)-$BS219</f>
        <v>0</v>
      </c>
      <c r="DP219" s="111">
        <f>IF(BK219="",$BS219,BK219)-$BS219</f>
        <v>-18.324192444243891</v>
      </c>
      <c r="DQ219" s="106"/>
      <c r="DR219" s="106"/>
      <c r="DS219" s="111"/>
      <c r="DT219" s="168"/>
      <c r="DW219" s="111">
        <f t="shared" si="163"/>
        <v>78.618192444243888</v>
      </c>
      <c r="DX219" s="111">
        <f t="shared" si="163"/>
        <v>78.618192444243888</v>
      </c>
      <c r="DY219" s="111">
        <f t="shared" si="163"/>
        <v>60.293999999999997</v>
      </c>
      <c r="DZ219" s="111">
        <f t="shared" si="156"/>
        <v>60.293999999999997</v>
      </c>
      <c r="EP219" t="s">
        <v>467</v>
      </c>
      <c r="EQ219">
        <v>-1</v>
      </c>
      <c r="ER219" s="111">
        <f t="shared" si="164"/>
        <v>46.626572000000003</v>
      </c>
      <c r="ES219" s="111">
        <f>IF($BI$8=2015,VLOOKUP($L219,'[12]IMAGE CDLINKS CurPol'!$P$3:$Y$29,10,FALSE)*$AM219,VLOOKUP($L219,'[12]IMAGE CDLINKS CurPol'!$Z$3:$AI$29,10,FALSE)*$AP219)</f>
        <v>101.66285527471484</v>
      </c>
      <c r="ET219" s="111">
        <f t="shared" si="124"/>
        <v>101.66285527471484</v>
      </c>
      <c r="EU219" s="111">
        <f t="shared" si="166"/>
        <v>54.639098760926267</v>
      </c>
      <c r="EV219" s="111">
        <f>IF($BI$8=2015,VLOOKUP($L219,'[12]IMAGE CDLINKS 2C'!$P$3:$Y$29,10,FALSE)*$AM219,VLOOKUP($L219,'[12]IMAGE CDLINKS 2C'!$Z$3:$AI$29,10,FALSE)*$AP219)</f>
        <v>54.639098760926267</v>
      </c>
      <c r="EX219" s="111"/>
      <c r="EY219" s="111">
        <f t="shared" si="167"/>
        <v>49.922275188500429</v>
      </c>
      <c r="EZ219" s="111">
        <f>IF($BI$8=2015,VLOOKUP($L219,'[12]IMAGE CDLINKS 1_5C'!$P$3:$Y$29,10,FALSE)*$AM219,VLOOKUP($L219,'[12]IMAGE CDLINKS 1_5C'!$Z$3:$AI$29,10,FALSE)*$AP219)</f>
        <v>49.922275188500429</v>
      </c>
      <c r="FA219" s="192">
        <v>2050</v>
      </c>
    </row>
    <row r="220" spans="1:157" x14ac:dyDescent="0.25">
      <c r="A220" t="str">
        <f>IF([12]NDCs!C222="","",[12]NDCs!C222)</f>
        <v>A</v>
      </c>
      <c r="B220" s="159" t="str">
        <f t="shared" si="157"/>
        <v>iv</v>
      </c>
      <c r="C220">
        <v>1</v>
      </c>
      <c r="D220">
        <v>0</v>
      </c>
      <c r="E220">
        <v>0</v>
      </c>
      <c r="F220">
        <v>1</v>
      </c>
      <c r="G220" t="b">
        <f t="shared" si="158"/>
        <v>1</v>
      </c>
      <c r="H220" t="s">
        <v>2335</v>
      </c>
      <c r="I220" t="s">
        <v>469</v>
      </c>
      <c r="J220">
        <v>804</v>
      </c>
      <c r="K220">
        <v>209</v>
      </c>
      <c r="L220">
        <v>14</v>
      </c>
      <c r="M220" t="str">
        <f>IF([12]NDCs!AL222="Excluding","excl","incl")</f>
        <v>incl</v>
      </c>
      <c r="N220" s="188">
        <f>IF($M220="incl",[12]UKR!E$41,[12]UKR!E$37)</f>
        <v>911.39397172999895</v>
      </c>
      <c r="O220" s="188">
        <f>IF($M220="incl",[12]UKR!F$41,[12]UKR!F$37)</f>
        <v>816.83207914000002</v>
      </c>
      <c r="P220" s="188">
        <f>IF($M220="incl",[12]UKR!G$41,[12]UKR!G$37)</f>
        <v>761.95425906000003</v>
      </c>
      <c r="Q220" s="188">
        <f>IF($M220="incl",[12]UKR!H$41,[12]UKR!H$37)</f>
        <v>678.27014572999997</v>
      </c>
      <c r="R220" s="188">
        <f>IF($M220="incl",[12]UKR!I$41,[12]UKR!I$37)</f>
        <v>567.92751277999901</v>
      </c>
      <c r="S220" s="188">
        <f>IF($M220="incl",[12]UKR!J$41,[12]UKR!J$37)</f>
        <v>529.98233548999997</v>
      </c>
      <c r="T220" s="188">
        <f>IF($M220="incl",[12]UKR!K$41,[12]UKR!K$37)</f>
        <v>487.696773309999</v>
      </c>
      <c r="U220" s="188">
        <f>IF($M220="incl",[12]UKR!L$41,[12]UKR!L$37)</f>
        <v>477.16514927999998</v>
      </c>
      <c r="V220" s="188">
        <f>IF($M220="incl",[12]UKR!M$41,[12]UKR!M$37)</f>
        <v>452.81470983999998</v>
      </c>
      <c r="W220" s="188">
        <f>IF($M220="incl",[12]UKR!N$41,[12]UKR!N$37)</f>
        <v>418.75255116</v>
      </c>
      <c r="X220" s="188">
        <f>IF($M220="incl",[12]UKR!O$41,[12]UKR!O$37)</f>
        <v>405.00498570000002</v>
      </c>
      <c r="Y220" s="188">
        <f>IF($M220="incl",[12]UKR!P$41,[12]UKR!P$37)</f>
        <v>428.63181499000001</v>
      </c>
      <c r="Z220" s="188">
        <f>IF($M220="incl",[12]UKR!Q$41,[12]UKR!Q$37)</f>
        <v>416.23324601000002</v>
      </c>
      <c r="AA220" s="188">
        <f>IF($M220="incl",[12]UKR!R$41,[12]UKR!R$37)</f>
        <v>419.058424889999</v>
      </c>
      <c r="AB220" s="188">
        <f>IF($M220="incl",[12]UKR!S$41,[12]UKR!S$37)</f>
        <v>433.54563600400002</v>
      </c>
      <c r="AC220" s="188">
        <f>IF($M220="incl",[12]UKR!T$41,[12]UKR!T$37)</f>
        <v>433.45573065399998</v>
      </c>
      <c r="AD220" s="188">
        <f>IF($M220="incl",[12]UKR!U$41,[12]UKR!U$37)</f>
        <v>448.037286609999</v>
      </c>
      <c r="AE220" s="188">
        <f>IF($M220="incl",[12]UKR!V$41,[12]UKR!V$37)</f>
        <v>449.344362109999</v>
      </c>
      <c r="AF220" s="188">
        <f>IF($M220="incl",[12]UKR!W$41,[12]UKR!W$37)</f>
        <v>451.991108023999</v>
      </c>
      <c r="AG220" s="188">
        <f>IF($M220="incl",[12]UKR!X$41,[12]UKR!X$37)</f>
        <v>385.78526982</v>
      </c>
      <c r="AH220" s="188">
        <f>IF($M220="incl",[12]UKR!Y$41,[12]UKR!Y$37)</f>
        <v>398.34895462399999</v>
      </c>
      <c r="AI220" s="188">
        <f>IF($M220="incl",[12]UKR!Z$41,[12]UKR!Z$37)</f>
        <v>437.35872897199999</v>
      </c>
      <c r="AJ220" s="188">
        <f>IF($M220="incl",[12]UKR!AA$41,[12]UKR!AA$37)</f>
        <v>422.86348159999898</v>
      </c>
      <c r="AK220" s="188">
        <f>IF($M220="incl",[12]UKR!AB$41,[12]UKR!AB$37)</f>
        <v>428.22992185999999</v>
      </c>
      <c r="AL220" s="188">
        <f>IF($M220="incl",[12]UKR!AC$41,[12]UKR!AC$37)</f>
        <v>382.82346476999999</v>
      </c>
      <c r="AM220" s="188">
        <f>IF($M220="incl",[12]UKR!AD$41,[12]UKR!AD$37)</f>
        <v>338.90873133000002</v>
      </c>
      <c r="AN220" s="188">
        <f>IF($M220="incl",[12]UKR!AE$41,[12]UKR!AE$37)</f>
        <v>361.957604099999</v>
      </c>
      <c r="AO220" s="188">
        <f>IF($M220="incl",[12]UKR!AF$41,[12]UKR!AF$37)</f>
        <v>336.72630557000002</v>
      </c>
      <c r="AP220" s="188">
        <f>IF($M220="incl",[12]UKR!AG$41,[12]UKR!AG$37)</f>
        <v>364.73131635999999</v>
      </c>
      <c r="AQ220" s="188">
        <f>IF($M220="incl",[12]UKR!AH$41,[12]UKR!AH$37)</f>
        <v>357.44986290999998</v>
      </c>
      <c r="AR220" s="188">
        <f>IF($M220="incl",[12]UKR!AI$41,[12]UKR!AI$37)</f>
        <v>317.63204433599998</v>
      </c>
      <c r="AS220" s="188">
        <f>IF($M220="incl",[12]UKR!AJ$41,[12]UKR!AJ$37)</f>
        <v>341.489125309999</v>
      </c>
      <c r="AT220" s="189">
        <f>AR220</f>
        <v>317.63204433599998</v>
      </c>
      <c r="AU220" s="177">
        <f>[12]UKR!AN23</f>
        <v>392.67141237852837</v>
      </c>
      <c r="AV220" s="177">
        <f>[12]UKR!AS23</f>
        <v>428.67411237852832</v>
      </c>
      <c r="AW220" s="111" t="str">
        <f t="shared" si="165"/>
        <v/>
      </c>
      <c r="AX220" s="164" t="str">
        <f>IF(A220="B",IF(M220="excl",[12]NatCom!CO210,[12]NatCom!AX210),"")</f>
        <v/>
      </c>
      <c r="AY220" s="111">
        <f>IF('[12]Pledge 2020'!E210="","",'[12]Pledge 2020'!E210)</f>
        <v>754.24037504518844</v>
      </c>
      <c r="AZ220" s="164">
        <f>IF('[12]Pledge 2020'!F210="","",'[12]Pledge 2020'!F210)</f>
        <v>754.24037504518844</v>
      </c>
      <c r="BA220" s="111">
        <f>IF(BE220="","",(BE220-AH220)*0.75+AH220)</f>
        <v>331.69498865599996</v>
      </c>
      <c r="BB220" s="111">
        <f>IF(BF220="","",(BF220-AH220)*0.75+AH220)</f>
        <v>331.69498865599996</v>
      </c>
      <c r="BC220" s="111">
        <f>IF(BG220="","",(BG220-AH220)*0.75+AH220)</f>
        <v>331.69498865599996</v>
      </c>
      <c r="BD220" s="111">
        <f>IF(BH220="","",(BH220-AH220)*0.75+AH220)</f>
        <v>331.69498865599996</v>
      </c>
      <c r="BE220" s="169">
        <v>309.47699999999998</v>
      </c>
      <c r="BF220" s="169">
        <v>309.47699999999998</v>
      </c>
      <c r="BG220" s="169">
        <v>309.47699999999998</v>
      </c>
      <c r="BH220" s="170">
        <v>309.47699999999998</v>
      </c>
      <c r="BI220" s="111">
        <f>IF([12]NDCs!V222="",IF([12]NDCs!X222="","",[12]NDCs!X222),[12]NDCs!V222)</f>
        <v>530.53200000000004</v>
      </c>
      <c r="BJ220" s="111">
        <f>IF([12]NDCs!V222="",IF([12]NDCs!X222="","",[12]NDCs!X222),[12]NDCs!V222)</f>
        <v>530.53200000000004</v>
      </c>
      <c r="BK220" s="222">
        <f>BI220</f>
        <v>530.53200000000004</v>
      </c>
      <c r="BL220" s="222">
        <f>BJ220</f>
        <v>530.53200000000004</v>
      </c>
      <c r="BM220" s="215">
        <f>IF(M220="incl",[12]PBLMax!AN210,[12]PBLMax!CE210)</f>
        <v>335.76297</v>
      </c>
      <c r="BN220" s="177">
        <f>IF(M220="incl",MIN([12]PBLMax!AN210,[12]NCMin!AN210,[12]NCMax!AN210),MIN([12]PBLMax!CE210,[12]NCMin!CE210,[12]NCMax!CE210))</f>
        <v>335.76297</v>
      </c>
      <c r="BO220" s="177">
        <f>IF(M220="incl",MAX([12]PBLMax!AN210,[12]NCMin!AN210,[12]NCMax!AN210),MAX([12]PBLMax!CE210,[12]NCMin!CE210,[12]NCMax!CE210))</f>
        <v>440.25468148481008</v>
      </c>
      <c r="BP220" s="215">
        <f>MEDIAN(BQ220:BR220)</f>
        <v>420.39193179048107</v>
      </c>
      <c r="BQ220" s="177">
        <f>IF(M220="incl",MIN([12]PBLMax!AS210,[12]NCMin!AS210,[12]NCMax!AS210),MIN([12]PBLMax!CJ210,[12]NCMin!CJ210,[12]NCMax!CJ210))</f>
        <v>362.67241999999999</v>
      </c>
      <c r="BR220" s="177">
        <f>IF(M220="incl",MAX([12]PBLMax!AS210,[12]NCMin!AS210,[12]NCMax!AS210),MAX([12]PBLMax!CJ210,[12]NCMin!CJ210,[12]NCMax!CJ210))</f>
        <v>478.11144358096215</v>
      </c>
      <c r="BS220" s="215">
        <f>MEDIAN(BT220:BU220)</f>
        <v>399.35365855999999</v>
      </c>
      <c r="BT220" s="202">
        <f>[12]UKR!AD$7</f>
        <v>394.04062570999997</v>
      </c>
      <c r="BU220" s="202">
        <f>[12]UKR!AD$6</f>
        <v>404.66669141</v>
      </c>
      <c r="CN220" t="s">
        <v>469</v>
      </c>
      <c r="CO220" s="165">
        <f t="shared" si="160"/>
        <v>-0.22505530282126285</v>
      </c>
      <c r="CP220" s="165">
        <f t="shared" si="160"/>
        <v>-0.22505530282126285</v>
      </c>
      <c r="CQ220" s="165">
        <f t="shared" si="160"/>
        <v>-0.22505530282126285</v>
      </c>
      <c r="CR220" s="165">
        <f t="shared" si="155"/>
        <v>-0.22505530282126285</v>
      </c>
      <c r="CS220" s="185">
        <f>IF(BE220&lt;=MIN(BS220:BU220),0,1)</f>
        <v>0</v>
      </c>
      <c r="CT220" s="185">
        <f>IF(BG220&lt;=MIN(BS220:BU220),0,1)</f>
        <v>0</v>
      </c>
      <c r="CU220">
        <f>IF(BS220&lt;=AP220,1,0)</f>
        <v>0</v>
      </c>
      <c r="CV220" s="121" t="str">
        <f>IF(CS220=1,IF(CU220=1,"i","ii"),IF(CU220=1,"iii","iv"))</f>
        <v>iv</v>
      </c>
      <c r="CW220" s="121" t="str">
        <f>IF(CT220=1,IF(CU220=1,"i","ii"),IF(CU220=1,"iii","iv"))</f>
        <v>iv</v>
      </c>
      <c r="CX220"/>
      <c r="CY220" s="167">
        <f t="shared" si="161"/>
        <v>-18.130925664000017</v>
      </c>
      <c r="DA220" s="187">
        <f>MAX(AY220-$AT220,0)</f>
        <v>436.60833070918846</v>
      </c>
      <c r="DB220" s="187">
        <f>MAX(AZ220-$AT220,0)</f>
        <v>436.60833070918846</v>
      </c>
      <c r="DC220" s="187">
        <f>[12]UKR!R18</f>
        <v>0</v>
      </c>
      <c r="DD220" s="187">
        <f>[12]UKR!S18</f>
        <v>0</v>
      </c>
      <c r="DE220" s="187">
        <f>[12]UKR!T18</f>
        <v>0</v>
      </c>
      <c r="DF220" s="187">
        <f>[12]UKR!U18</f>
        <v>0</v>
      </c>
      <c r="DG220" s="105" t="str">
        <f t="shared" si="162"/>
        <v>incl</v>
      </c>
      <c r="DH220" t="s">
        <v>469</v>
      </c>
      <c r="DI220" s="127"/>
      <c r="DJ220" s="127"/>
      <c r="DK220" s="111"/>
      <c r="DL220" s="111"/>
      <c r="DM220" s="127"/>
      <c r="DN220" s="127"/>
      <c r="DO220" s="127"/>
      <c r="DP220" s="127"/>
      <c r="DQ220" s="187">
        <f>[12]UKR!BA$18</f>
        <v>138.16128869999989</v>
      </c>
      <c r="DR220" s="187">
        <f>[12]UKR!BB$18</f>
        <v>138.16128869999989</v>
      </c>
      <c r="DS220" s="111"/>
      <c r="DT220" s="168"/>
      <c r="DW220" s="111">
        <f t="shared" si="163"/>
        <v>309.47699999999998</v>
      </c>
      <c r="DX220" s="111">
        <f t="shared" si="163"/>
        <v>309.47699999999998</v>
      </c>
      <c r="DY220" s="111">
        <f t="shared" si="163"/>
        <v>309.47699999999998</v>
      </c>
      <c r="DZ220" s="111">
        <f t="shared" si="156"/>
        <v>309.47699999999998</v>
      </c>
      <c r="EP220" t="s">
        <v>469</v>
      </c>
      <c r="EQ220">
        <v>4</v>
      </c>
      <c r="ER220" s="111">
        <f t="shared" si="164"/>
        <v>364.73131635999999</v>
      </c>
      <c r="ES220" s="111">
        <f>IF($BI$8=2015,VLOOKUP($L220,'[12]IMAGE CDLINKS CurPol'!$P$3:$Y$29,10,FALSE)*$AM220,VLOOKUP($L220,'[12]IMAGE CDLINKS CurPol'!$Z$3:$AI$29,10,FALSE)*$AP220)</f>
        <v>506.31718395220025</v>
      </c>
      <c r="ET220" s="111">
        <f t="shared" si="124"/>
        <v>0</v>
      </c>
      <c r="EU220" s="111">
        <f t="shared" si="166"/>
        <v>0</v>
      </c>
      <c r="EV220" s="111">
        <f>IF($BI$8=2015,VLOOKUP($L220,'[12]IMAGE CDLINKS 2C'!$P$3:$Y$29,10,FALSE)*$AM220,VLOOKUP($L220,'[12]IMAGE CDLINKS 2C'!$Z$3:$AI$29,10,FALSE)*$AP220)</f>
        <v>53.662377382744324</v>
      </c>
      <c r="EY220" s="111">
        <f t="shared" si="167"/>
        <v>0</v>
      </c>
      <c r="EZ220" s="111">
        <f>IF($BI$8=2015,VLOOKUP($L220,'[12]IMAGE CDLINKS 1_5C'!$P$3:$Y$29,10,FALSE)*$AM220,VLOOKUP($L220,'[12]IMAGE CDLINKS 1_5C'!$Z$3:$AI$29,10,FALSE)*$AP220)</f>
        <v>-64.330289378432781</v>
      </c>
      <c r="FA220" s="192"/>
    </row>
    <row r="221" spans="1:157" x14ac:dyDescent="0.25">
      <c r="A221" t="str">
        <f>IF([12]NDCs!C223="","",[12]NDCs!C223)</f>
        <v>A</v>
      </c>
      <c r="B221" s="159" t="str">
        <f t="shared" si="157"/>
        <v>iii</v>
      </c>
      <c r="C221">
        <v>1</v>
      </c>
      <c r="D221">
        <v>0</v>
      </c>
      <c r="E221">
        <v>0</v>
      </c>
      <c r="F221">
        <v>1</v>
      </c>
      <c r="G221" t="b">
        <f t="shared" si="158"/>
        <v>1</v>
      </c>
      <c r="H221" t="s">
        <v>2328</v>
      </c>
      <c r="I221" t="s">
        <v>471</v>
      </c>
      <c r="J221">
        <v>784</v>
      </c>
      <c r="K221">
        <v>202</v>
      </c>
      <c r="L221">
        <v>17</v>
      </c>
      <c r="M221" t="str">
        <f>IF([12]NDCs!AL223="Excluding","excl","incl")</f>
        <v>incl</v>
      </c>
      <c r="N221" s="177">
        <f>IF($M221="incl",[12]UAE!E$41,[12]UAE!E$37)</f>
        <v>57.50619600000001</v>
      </c>
      <c r="O221" s="177">
        <f>IF($M221="incl",[12]UAE!F$41,[12]UAE!F$37)</f>
        <v>62.866713000000004</v>
      </c>
      <c r="P221" s="177">
        <f>IF($M221="incl",[12]UAE!G$41,[12]UAE!G$37)</f>
        <v>64.664409999999904</v>
      </c>
      <c r="Q221" s="177">
        <f>IF($M221="incl",[12]UAE!H$41,[12]UAE!H$37)</f>
        <v>72.905881999999991</v>
      </c>
      <c r="R221" s="177">
        <f>IF($M221="incl",[12]UAE!I$41,[12]UAE!I$37)</f>
        <v>79.383335000000002</v>
      </c>
      <c r="S221" s="177">
        <f>IF($M221="incl",[12]UAE!J$41,[12]UAE!J$37)</f>
        <v>80.037716666666597</v>
      </c>
      <c r="T221" s="177">
        <f>IF($M221="incl",[12]UAE!K$41,[12]UAE!K$37)</f>
        <v>85.770837333333304</v>
      </c>
      <c r="U221" s="177">
        <f>IF($M221="incl",[12]UAE!L$41,[12]UAE!L$37)</f>
        <v>88.759537999999992</v>
      </c>
      <c r="V221" s="177">
        <f>IF($M221="incl",[12]UAE!M$41,[12]UAE!M$37)</f>
        <v>97.335706666666994</v>
      </c>
      <c r="W221" s="177">
        <f>IF($M221="incl",[12]UAE!N$41,[12]UAE!N$37)</f>
        <v>97.082763333332991</v>
      </c>
      <c r="X221" s="177">
        <f>IF($M221="incl",[12]UAE!O$41,[12]UAE!O$37)</f>
        <v>130.37151000000003</v>
      </c>
      <c r="Y221" s="177">
        <f>IF($M221="incl",[12]UAE!P$41,[12]UAE!P$37)</f>
        <v>129.70157000000003</v>
      </c>
      <c r="Z221" s="177">
        <f>IF($M221="incl",[12]UAE!Q$41,[12]UAE!Q$37)</f>
        <v>119.41052999999999</v>
      </c>
      <c r="AA221" s="177">
        <f>IF($M221="incl",[12]UAE!R$41,[12]UAE!R$37)</f>
        <v>149.67505</v>
      </c>
      <c r="AB221" s="177">
        <f>IF($M221="incl",[12]UAE!S$41,[12]UAE!S$37)</f>
        <v>163.96605999999997</v>
      </c>
      <c r="AC221" s="177">
        <f>IF($M221="incl",[12]UAE!T$41,[12]UAE!T$37)</f>
        <v>176.52923999999999</v>
      </c>
      <c r="AD221" s="177">
        <f>IF($M221="incl",[12]UAE!U$41,[12]UAE!U$37)</f>
        <v>179.311990888888</v>
      </c>
      <c r="AE221" s="177">
        <f>IF($M221="incl",[12]UAE!V$41,[12]UAE!V$37)</f>
        <v>186.303941777777</v>
      </c>
      <c r="AF221" s="177">
        <f>IF($M221="incl",[12]UAE!W$41,[12]UAE!W$37)</f>
        <v>203.46165266666597</v>
      </c>
      <c r="AG221" s="177">
        <f>IF($M221="incl",[12]UAE!X$41,[12]UAE!X$37)</f>
        <v>207.870803555555</v>
      </c>
      <c r="AH221" s="177">
        <f>IF($M221="incl",[12]UAE!Y$41,[12]UAE!Y$37)</f>
        <v>194.81390444444401</v>
      </c>
      <c r="AI221" s="177">
        <f>IF($M221="incl",[12]UAE!Z$41,[12]UAE!Z$37)</f>
        <v>204.23281533333403</v>
      </c>
      <c r="AJ221" s="177">
        <f>IF($M221="incl",[12]UAE!AA$41,[12]UAE!AA$37)</f>
        <v>242.309006222222</v>
      </c>
      <c r="AK221" s="177">
        <f>IF($M221="incl",[12]UAE!AB$41,[12]UAE!AB$37)</f>
        <v>242.21445711111102</v>
      </c>
      <c r="AL221" s="177">
        <f>IF($M221="incl",[12]UAE!AC$41,[12]UAE!AC$37)</f>
        <v>236.195368</v>
      </c>
      <c r="AM221" s="177">
        <f>IF($M221="incl",[12]UAE!AD$41,[12]UAE!AD$37)</f>
        <v>260.00538000000006</v>
      </c>
      <c r="AN221" s="177">
        <f>IF($M221="incl",[12]UAE!AE$41,[12]UAE!AE$37)</f>
        <v>251.49593113999998</v>
      </c>
      <c r="AO221" s="177">
        <f>IF($M221="incl",[12]UAE!AF$41,[12]UAE!AF$37)</f>
        <v>218.48073227999998</v>
      </c>
      <c r="AP221" s="177">
        <f>IF($M221="incl",[12]UAE!AG$41,[12]UAE!AG$37)</f>
        <v>216.59142341999902</v>
      </c>
      <c r="AQ221" s="177">
        <f>IF($M221="incl",[12]UAE!AH$41,[12]UAE!AH$37)</f>
        <v>223.55117455999999</v>
      </c>
      <c r="AR221" s="177">
        <f>IF($M221="incl",[12]UAE!AI$41,[12]UAE!AI$37)</f>
        <v>215.19587570000002</v>
      </c>
      <c r="AS221" s="177">
        <f>IF($M221="incl",[12]UAE!AJ$41,[12]UAE!AJ$37)</f>
        <v>229.33015636000002</v>
      </c>
      <c r="AT221" s="161">
        <f>VLOOKUP($L221,'[12]IMAGE SSP2'!$AF$3:$AK$29,4,FALSE)*$AM221</f>
        <v>289.13156054327789</v>
      </c>
      <c r="AU221" s="177">
        <f>VLOOKUP($L221,'[12]IMAGE SSP2'!$AF$3:$AK$29,5,FALSE)*$AM221</f>
        <v>313.3673401287611</v>
      </c>
      <c r="AV221" s="177">
        <f>VLOOKUP($L221,'[12]IMAGE SSP2'!$AF$3:$AK$29,6,FALSE)*$AM221</f>
        <v>331.79161678914625</v>
      </c>
      <c r="AW221" s="111"/>
      <c r="AX221" s="164"/>
      <c r="AY221" s="111" t="str">
        <f>IF('[12]Pledge 2020'!E211="","",'[12]Pledge 2020'!E211)</f>
        <v/>
      </c>
      <c r="AZ221" s="164" t="str">
        <f>IF('[12]Pledge 2020'!F211="","",'[12]Pledge 2020'!F211)</f>
        <v/>
      </c>
      <c r="BA221" s="111">
        <f t="shared" si="144"/>
        <v>184.510814656311</v>
      </c>
      <c r="BB221" s="111">
        <f>IF(BF221="","",(BF221-AH221)*0.75+AH221)</f>
        <v>184.510814656311</v>
      </c>
      <c r="BC221" s="111">
        <f t="shared" si="145"/>
        <v>184.510814656311</v>
      </c>
      <c r="BD221" s="111">
        <f>IF(BH221="","",(BH221-AH221)*0.75+AH221)</f>
        <v>184.510814656311</v>
      </c>
      <c r="BE221" s="169">
        <v>181.0764513936</v>
      </c>
      <c r="BF221" s="169">
        <v>181.0764513936</v>
      </c>
      <c r="BG221" s="169">
        <v>181.0764513936</v>
      </c>
      <c r="BH221" s="170">
        <v>181.0764513936</v>
      </c>
      <c r="BI221" s="111">
        <f>[12]UAE!BA9</f>
        <v>308</v>
      </c>
      <c r="BJ221" s="111">
        <f>[12]UAE!BB9</f>
        <v>308</v>
      </c>
      <c r="BK221" s="202">
        <f>[12]UAE!BA9</f>
        <v>308</v>
      </c>
      <c r="BL221" s="202">
        <f>[12]UAE!BB9</f>
        <v>308</v>
      </c>
      <c r="BM221" s="207">
        <f>[12]UAE!$A$24*[12]UAE!AB$5</f>
        <v>215.19587570000002</v>
      </c>
      <c r="BN221" s="177">
        <f>[12]UAE!$A$24*[12]UAE!AB$7</f>
        <v>215.19587570000002</v>
      </c>
      <c r="BO221" s="177">
        <f>[12]UAE!$A$24*[12]UAE!AB$6</f>
        <v>215.19587570000002</v>
      </c>
      <c r="BP221" s="207">
        <f>[12]UAE!$A$24*[12]UAE!AC$5</f>
        <v>186.52174024999948</v>
      </c>
      <c r="BQ221" s="177">
        <f>[12]UAE!$A$24*[12]UAE!AC$7</f>
        <v>183.71915149999899</v>
      </c>
      <c r="BR221" s="177">
        <f>[12]UAE!$A$24*[12]UAE!AC$6</f>
        <v>189.32432900000001</v>
      </c>
      <c r="BS221" s="160">
        <f>[12]UAE!$A$24*[12]UAE!AD$5</f>
        <v>216.11209984999999</v>
      </c>
      <c r="BT221" s="177">
        <f>[12]UAE!$A$24*[12]UAE!AD$7</f>
        <v>210.9642614</v>
      </c>
      <c r="BU221" s="177">
        <f>[12]UAE!$A$24*[12]UAE!AD$6</f>
        <v>221.25993829999999</v>
      </c>
      <c r="CN221" t="s">
        <v>471</v>
      </c>
      <c r="CO221" s="165">
        <f t="shared" si="160"/>
        <v>-0.16211794009089586</v>
      </c>
      <c r="CP221" s="165">
        <f t="shared" si="160"/>
        <v>-0.16211794009089586</v>
      </c>
      <c r="CQ221" s="165">
        <f t="shared" si="160"/>
        <v>-0.16211794009089586</v>
      </c>
      <c r="CR221" s="165">
        <f t="shared" si="155"/>
        <v>-0.16211794009089586</v>
      </c>
      <c r="CS221" s="185">
        <f>IF(BE221&lt;=MIN(BS221:BU221),0,1)</f>
        <v>0</v>
      </c>
      <c r="CT221" s="185">
        <f>IF(BG221&lt;=MIN(BS221:BU221),0,1)</f>
        <v>0</v>
      </c>
      <c r="CU221">
        <f>IF(BS221&lt;=AP221,1,0)</f>
        <v>1</v>
      </c>
      <c r="CV221" s="121" t="str">
        <f>IF(CS221=1,IF(CU221=1,"i","ii"),IF(CU221=1,"iii","iv"))</f>
        <v>iii</v>
      </c>
      <c r="CW221" s="121" t="str">
        <f>IF(CT221=1,IF(CU221=1,"i","ii"),IF(CU221=1,"iii","iv"))</f>
        <v>iii</v>
      </c>
      <c r="CX221"/>
      <c r="CY221" s="167">
        <f t="shared" si="161"/>
        <v>73.935684843277869</v>
      </c>
      <c r="DB221" s="106"/>
      <c r="DC221" s="127">
        <f>MAX(BA221-$BS221,0)</f>
        <v>0</v>
      </c>
      <c r="DD221" s="127">
        <f>MAX(BC221-$BS221,0)</f>
        <v>0</v>
      </c>
      <c r="DE221" s="127">
        <f>MAX(BE221-$BS221,0)</f>
        <v>0</v>
      </c>
      <c r="DF221" s="127">
        <f>MAX(BG221-$BS221,0)</f>
        <v>0</v>
      </c>
      <c r="DG221" s="105" t="str">
        <f t="shared" si="162"/>
        <v>incl</v>
      </c>
      <c r="DH221" t="s">
        <v>471</v>
      </c>
      <c r="DI221" s="111">
        <f>IF(AY221="",$BM221,AY221)-$BM221</f>
        <v>0</v>
      </c>
      <c r="DJ221" s="111">
        <f>IF(AZ221="",$BM221,AZ221)-$BM221</f>
        <v>0</v>
      </c>
      <c r="DK221" s="127"/>
      <c r="DL221" s="127"/>
      <c r="DM221" s="127"/>
      <c r="DN221" s="127"/>
      <c r="DO221" s="127"/>
      <c r="DP221" s="127"/>
      <c r="DQ221" s="127">
        <f>MAX(BE221-$BS221,0)</f>
        <v>0</v>
      </c>
      <c r="DR221" s="127">
        <f>MAX(BF221-$BS221,0)</f>
        <v>0</v>
      </c>
      <c r="DS221" s="111"/>
      <c r="DT221" s="168"/>
      <c r="DW221" s="111">
        <f t="shared" si="163"/>
        <v>181.0764513936</v>
      </c>
      <c r="DX221" s="111">
        <f t="shared" si="163"/>
        <v>181.0764513936</v>
      </c>
      <c r="DY221" s="111">
        <f t="shared" si="163"/>
        <v>181.0764513936</v>
      </c>
      <c r="DZ221" s="111">
        <f t="shared" si="156"/>
        <v>181.0764513936</v>
      </c>
      <c r="EP221" t="s">
        <v>471</v>
      </c>
      <c r="EQ221">
        <v>4</v>
      </c>
      <c r="ER221" s="111">
        <f t="shared" si="164"/>
        <v>216.59142341999902</v>
      </c>
      <c r="ES221" s="111">
        <f>IF($BI$8=2015,VLOOKUP($L221,'[12]IMAGE CDLINKS CurPol'!$P$3:$Y$29,10,FALSE)*$AM221,VLOOKUP($L221,'[12]IMAGE CDLINKS CurPol'!$Z$3:$AI$29,10,FALSE)*$AP221)</f>
        <v>324.08315772287631</v>
      </c>
      <c r="ET221" s="111">
        <f t="shared" si="124"/>
        <v>0</v>
      </c>
      <c r="EU221" s="111">
        <f t="shared" si="166"/>
        <v>0</v>
      </c>
      <c r="EV221" s="111">
        <f>IF($BI$8=2015,VLOOKUP($L221,'[12]IMAGE CDLINKS 2C'!$P$3:$Y$29,10,FALSE)*$AM221,VLOOKUP($L221,'[12]IMAGE CDLINKS 2C'!$Z$3:$AI$29,10,FALSE)*$AP221)</f>
        <v>109.0477518776018</v>
      </c>
      <c r="EY221" s="111">
        <f t="shared" si="167"/>
        <v>0</v>
      </c>
      <c r="EZ221" s="111">
        <f>IF($BI$8=2015,VLOOKUP($L221,'[12]IMAGE CDLINKS 1_5C'!$P$3:$Y$29,10,FALSE)*$AM221,VLOOKUP($L221,'[12]IMAGE CDLINKS 1_5C'!$Z$3:$AI$29,10,FALSE)*$AP221)</f>
        <v>18.994917831453773</v>
      </c>
      <c r="FA221" s="192"/>
    </row>
    <row r="222" spans="1:157" x14ac:dyDescent="0.25">
      <c r="A222" t="str">
        <f>IF([12]NDCs!C224="","",[12]NDCs!C224)</f>
        <v>A</v>
      </c>
      <c r="B222" s="159" t="str">
        <f t="shared" si="157"/>
        <v>iii</v>
      </c>
      <c r="C222">
        <v>1</v>
      </c>
      <c r="D222">
        <v>0</v>
      </c>
      <c r="E222">
        <v>0</v>
      </c>
      <c r="F222">
        <v>1</v>
      </c>
      <c r="G222" t="b">
        <f t="shared" si="158"/>
        <v>1</v>
      </c>
      <c r="H222" t="s">
        <v>2335</v>
      </c>
      <c r="I222" t="s">
        <v>473</v>
      </c>
      <c r="J222">
        <v>826</v>
      </c>
      <c r="K222">
        <v>212</v>
      </c>
      <c r="L222">
        <v>11</v>
      </c>
      <c r="M222" t="str">
        <f>IF([12]NDCs!AL224="Excluding","excl","incl")</f>
        <v>incl</v>
      </c>
      <c r="N222" s="177">
        <f>[12]UK!$A$24*IF($M222="incl",[12]UK!E$41,[12]UK!E$37)</f>
        <v>817.45431984000004</v>
      </c>
      <c r="O222" s="177">
        <f>[12]UK!$A$24*IF($M222="incl",[12]UK!F$41,[12]UK!F$37)</f>
        <v>825.81354274</v>
      </c>
      <c r="P222" s="177">
        <f>[12]UK!$A$24*IF($M222="incl",[12]UK!G$41,[12]UK!G$37)</f>
        <v>804.70009366099998</v>
      </c>
      <c r="Q222" s="177">
        <f>[12]UK!$A$24*IF($M222="incl",[12]UK!H$41,[12]UK!H$37)</f>
        <v>785.14847144700002</v>
      </c>
      <c r="R222" s="177">
        <f>[12]UK!$A$24*IF($M222="incl",[12]UK!I$41,[12]UK!I$37)</f>
        <v>772.52612510200004</v>
      </c>
      <c r="S222" s="177">
        <f>[12]UK!$A$24*IF($M222="incl",[12]UK!J$41,[12]UK!J$37)</f>
        <v>766.46263129500005</v>
      </c>
      <c r="T222" s="177">
        <f>[12]UK!$A$24*IF($M222="incl",[12]UK!K$41,[12]UK!K$37)</f>
        <v>786.18448831199998</v>
      </c>
      <c r="U222" s="177">
        <f>[12]UK!$A$24*IF($M222="incl",[12]UK!L$41,[12]UK!L$37)</f>
        <v>761.47290527200005</v>
      </c>
      <c r="V222" s="177">
        <f>[12]UK!$A$24*IF($M222="incl",[12]UK!M$41,[12]UK!M$37)</f>
        <v>759.25533011399898</v>
      </c>
      <c r="W222" s="177">
        <f>[12]UK!$A$24*IF($M222="incl",[12]UK!N$41,[12]UK!N$37)</f>
        <v>730.37189939499899</v>
      </c>
      <c r="X222" s="177">
        <f>[12]UK!$A$24*IF($M222="incl",[12]UK!O$41,[12]UK!O$37)</f>
        <v>730.24628629599999</v>
      </c>
      <c r="Y222" s="177">
        <f>[12]UK!$A$24*IF($M222="incl",[12]UK!P$41,[12]UK!P$37)</f>
        <v>732.74322427699997</v>
      </c>
      <c r="Z222" s="177">
        <f>[12]UK!$A$24*IF($M222="incl",[12]UK!Q$41,[12]UK!Q$37)</f>
        <v>710.72817805299997</v>
      </c>
      <c r="AA222" s="177">
        <f>[12]UK!$A$24*IF($M222="incl",[12]UK!R$41,[12]UK!R$37)</f>
        <v>716.01862635299995</v>
      </c>
      <c r="AB222" s="177">
        <f>[12]UK!$A$24*IF($M222="incl",[12]UK!S$41,[12]UK!S$37)</f>
        <v>711.783829341</v>
      </c>
      <c r="AC222" s="177">
        <f>[12]UK!$A$24*IF($M222="incl",[12]UK!T$41,[12]UK!T$37)</f>
        <v>703.07706162399995</v>
      </c>
      <c r="AD222" s="177">
        <f>[12]UK!$A$24*IF($M222="incl",[12]UK!U$41,[12]UK!U$37)</f>
        <v>695.26932673299996</v>
      </c>
      <c r="AE222" s="177">
        <f>[12]UK!$A$24*IF($M222="incl",[12]UK!V$41,[12]UK!V$37)</f>
        <v>682.76261706999901</v>
      </c>
      <c r="AF222" s="177">
        <f>[12]UK!$A$24*IF($M222="incl",[12]UK!W$41,[12]UK!W$37)</f>
        <v>660.62704309599997</v>
      </c>
      <c r="AG222" s="177">
        <f>[12]UK!$A$24*IF($M222="incl",[12]UK!X$41,[12]UK!X$37)</f>
        <v>603.71673303099897</v>
      </c>
      <c r="AH222" s="177">
        <f>[12]UK!$A$24*IF($M222="incl",[12]UK!Y$41,[12]UK!Y$37)</f>
        <v>617.48194659499995</v>
      </c>
      <c r="AI222" s="177">
        <f>[12]UK!$A$24*IF($M222="incl",[12]UK!Z$41,[12]UK!Z$37)</f>
        <v>571.39376857699995</v>
      </c>
      <c r="AJ222" s="177">
        <f>[12]UK!$A$24*IF($M222="incl",[12]UK!AA$41,[12]UK!AA$37)</f>
        <v>587.66205422799999</v>
      </c>
      <c r="AK222" s="177">
        <f>[12]UK!$A$24*IF($M222="incl",[12]UK!AB$41,[12]UK!AB$37)</f>
        <v>573.31894124099995</v>
      </c>
      <c r="AL222" s="177">
        <f>[12]UK!$A$24*IF($M222="incl",[12]UK!AC$41,[12]UK!AC$37)</f>
        <v>532.31518384000003</v>
      </c>
      <c r="AM222" s="177">
        <f>[12]UK!$A$24*IF($M222="incl",[12]UK!AD$41,[12]UK!AD$37)</f>
        <v>514.96971076199998</v>
      </c>
      <c r="AN222" s="177">
        <f>[12]UK!$A$24*IF($M222="incl",[12]UK!AE$41,[12]UK!AE$37)</f>
        <v>489.45828905799999</v>
      </c>
      <c r="AO222" s="177">
        <f>[12]UK!$A$24*IF($M222="incl",[12]UK!AF$41,[12]UK!AF$37)</f>
        <v>477.76327029800001</v>
      </c>
      <c r="AP222" s="177">
        <f>[12]UK!$A$24*IF($M222="incl",[12]UK!AG$41,[12]UK!AG$37)</f>
        <v>469.37703413999998</v>
      </c>
      <c r="AQ222" s="177">
        <f>[12]UK!$A$24*IF($M222="incl",[12]UK!AH$41,[12]UK!AH$37)</f>
        <v>455.06301821900001</v>
      </c>
      <c r="AR222" s="177">
        <f>[12]UK!$A$24*IF($M222="incl",[12]UK!AI$41,[12]UK!AI$37)</f>
        <v>410.224039194</v>
      </c>
      <c r="AS222" s="177">
        <f>[12]UK!$A$24*IF($M222="incl",[12]UK!AJ$41,[12]UK!AJ$37)</f>
        <v>430.65374372500003</v>
      </c>
      <c r="AT222" s="161">
        <f>VLOOKUP($L222,'[12]IMAGE SSP2'!$AF$3:$AK$29,4,FALSE)*$AM222</f>
        <v>500.75523355145594</v>
      </c>
      <c r="AU222" s="177">
        <f>VLOOKUP($L222,'[12]IMAGE SSP2'!$AF$3:$AK$29,5,FALSE)*$AM222</f>
        <v>484.1795654667946</v>
      </c>
      <c r="AV222" s="177">
        <f>VLOOKUP($L222,'[12]IMAGE SSP2'!$AF$3:$AK$29,6,FALSE)*$AM222</f>
        <v>481.48552633189149</v>
      </c>
      <c r="AW222" s="111" t="str">
        <f t="shared" si="165"/>
        <v/>
      </c>
      <c r="AX222" s="164" t="str">
        <f>IF(A222="B",IF(M222="excl",[12]NatCom!CO212,[12]NatCom!AX212),"")</f>
        <v/>
      </c>
      <c r="AY222" s="169">
        <f>0.8*N222</f>
        <v>653.96345587200005</v>
      </c>
      <c r="AZ222" s="170">
        <f>0.7*N222</f>
        <v>572.21802388799995</v>
      </c>
      <c r="BA222" s="111">
        <f>IF(BE222="","",(BE222-AH222)*0.75+AH222)</f>
        <v>350.55952341471573</v>
      </c>
      <c r="BB222" s="111">
        <f>IF(BF222="","",(BF222-AH222)*0.75+AH222)</f>
        <v>350.55952341471573</v>
      </c>
      <c r="BC222" s="111">
        <f>IF(BG222="","",(BG222-AH222)*0.75+AH222)</f>
        <v>350.55952341471573</v>
      </c>
      <c r="BD222" s="111">
        <f>IF(BH222="","",(BH222-AH222)*0.75+AH222)</f>
        <v>350.55952341471573</v>
      </c>
      <c r="BE222" s="169">
        <v>261.585382354621</v>
      </c>
      <c r="BF222" s="169">
        <v>261.585382354621</v>
      </c>
      <c r="BG222" s="169">
        <v>261.585382354621</v>
      </c>
      <c r="BH222" s="170">
        <v>261.585382354621</v>
      </c>
      <c r="BI222" s="111">
        <f>IF([12]NDCs!V224="",IF([12]NDCs!X224="","",[12]NDCs!X224),[12]NDCs!V224)</f>
        <v>440.74509642456803</v>
      </c>
      <c r="BJ222" s="111">
        <f>IF([12]NDCs!V224="",IF([12]NDCs!X224="","",[12]NDCs!X224),[12]NDCs!V224)</f>
        <v>440.74509642456803</v>
      </c>
      <c r="BK222" s="111">
        <f>IF([12]NDCs!Z224="",IF([12]NDCs!AB224="",IF('input site'!BE222="","",'input site'!BE222),[12]NDCs!AB224),[12]NDCs!Z224)</f>
        <v>440.74509642456803</v>
      </c>
      <c r="BL222" s="111">
        <f>IF([12]NDCs!AA224="",IF([12]NDCs!AC224="",IF('input site'!BF222="","",'input site'!BF222),[12]NDCs!AC224),[12]NDCs!AA224)</f>
        <v>440.74509642456803</v>
      </c>
      <c r="BM222" s="207">
        <f>[12]UK!$A$24*[12]UK!AB$5</f>
        <v>410.224039194</v>
      </c>
      <c r="BN222" s="177">
        <f>[12]UK!$A$24*[12]UK!AB$7</f>
        <v>410.224039194</v>
      </c>
      <c r="BO222" s="177">
        <f>[12]UK!$A$24*[12]UK!AB$6</f>
        <v>410.224039194</v>
      </c>
      <c r="BP222" s="207">
        <f>[12]UK!$A$24*[12]UK!AC$5</f>
        <v>388.68711582499998</v>
      </c>
      <c r="BQ222" s="177">
        <f>[12]UK!$A$24*[12]UK!AC$7</f>
        <v>388.68711582499998</v>
      </c>
      <c r="BR222" s="177">
        <f>[12]UK!$A$24*[12]UK!AC$6</f>
        <v>404.87151112499998</v>
      </c>
      <c r="BS222" s="160">
        <f>[12]UK!$A$24*[12]UK!AD$5</f>
        <v>349.05918402499998</v>
      </c>
      <c r="BT222" s="177">
        <f>[12]UK!$A$24*[12]UK!AD$7</f>
        <v>349.05918402499998</v>
      </c>
      <c r="BU222" s="177">
        <f>[12]UK!$A$24*[12]UK!AD$6</f>
        <v>402.38820642500002</v>
      </c>
      <c r="CN222" t="s">
        <v>473</v>
      </c>
      <c r="CO222" s="165">
        <f t="shared" si="160"/>
        <v>-0.25059876855758079</v>
      </c>
      <c r="CP222" s="165">
        <f t="shared" si="160"/>
        <v>-0.25059876855758079</v>
      </c>
      <c r="CQ222" s="165">
        <f t="shared" si="160"/>
        <v>-0.25059876855758079</v>
      </c>
      <c r="CR222" s="165">
        <f t="shared" si="155"/>
        <v>-0.25059876855758079</v>
      </c>
      <c r="CS222" s="185">
        <f>IF(BE222&lt;=MIN(BS222:BU222),0,1)</f>
        <v>0</v>
      </c>
      <c r="CT222" s="185">
        <f>IF(BG222&lt;=MIN(BS222:BU222),0,1)</f>
        <v>0</v>
      </c>
      <c r="CU222">
        <f>IF(BS222&lt;=AP222,1,0)</f>
        <v>1</v>
      </c>
      <c r="CV222" s="121" t="str">
        <f>IF(CS222=1,IF(CU222=1,"i","ii"),IF(CU222=1,"iii","iv"))</f>
        <v>iii</v>
      </c>
      <c r="CW222" s="121" t="str">
        <f>IF(CT222=1,IF(CU222=1,"i","ii"),IF(CU222=1,"iii","iv"))</f>
        <v>iii</v>
      </c>
      <c r="CX222"/>
      <c r="CY222" s="167">
        <f t="shared" si="161"/>
        <v>90.531194357455945</v>
      </c>
      <c r="DB222" s="106"/>
      <c r="DC222" s="106"/>
      <c r="DD222" s="106"/>
      <c r="DE222" s="106"/>
      <c r="DF222" s="106"/>
      <c r="DG222" s="105" t="str">
        <f t="shared" si="162"/>
        <v>incl</v>
      </c>
      <c r="DH222" t="s">
        <v>473</v>
      </c>
      <c r="DI222" s="111">
        <f>IF(AY222="",$BM222,AY222)-$BM222</f>
        <v>243.73941667800005</v>
      </c>
      <c r="DJ222" s="111">
        <f>IF(AZ222="",$BM222,AZ222)-$BM222</f>
        <v>161.99398469399995</v>
      </c>
      <c r="DK222" s="111">
        <f>IF(BA222="",$BP222,BA222)-$BP222</f>
        <v>-38.127592410284251</v>
      </c>
      <c r="DL222" s="111">
        <f>IF(BC222="",$BP222,BC222)-$BP222</f>
        <v>-38.127592410284251</v>
      </c>
      <c r="DM222" s="111">
        <f>IF(BE222="",$BS222,BE222)-$BS222</f>
        <v>-87.473801670378975</v>
      </c>
      <c r="DN222" s="111">
        <f>IF(BG222="",$BS222,BG222)-$BS222</f>
        <v>-87.473801670378975</v>
      </c>
      <c r="DO222" s="111">
        <f>IF(BI222="",$BS222,BI222)-$BS222</f>
        <v>91.685912399568053</v>
      </c>
      <c r="DP222" s="111">
        <f>IF(BK222="",$BS222,BK222)-$BS222</f>
        <v>91.685912399568053</v>
      </c>
      <c r="DQ222" s="106"/>
      <c r="DR222" s="106"/>
      <c r="DS222" s="111"/>
      <c r="DT222" s="168"/>
      <c r="DW222" s="111">
        <f t="shared" si="163"/>
        <v>261.585382354621</v>
      </c>
      <c r="DX222" s="111">
        <f t="shared" si="163"/>
        <v>261.585382354621</v>
      </c>
      <c r="DY222" s="111">
        <f t="shared" si="163"/>
        <v>261.585382354621</v>
      </c>
      <c r="DZ222" s="111">
        <f t="shared" si="156"/>
        <v>261.585382354621</v>
      </c>
      <c r="EP222" t="s">
        <v>473</v>
      </c>
      <c r="ER222" s="111">
        <f t="shared" si="164"/>
        <v>469.37703413999998</v>
      </c>
      <c r="ES222" s="111">
        <f>IF($BI$8=2015,VLOOKUP($L222,'[12]IMAGE CDLINKS CurPol'!$P$3:$Y$29,10,FALSE)*$AM222,VLOOKUP($L222,'[12]IMAGE CDLINKS CurPol'!$Z$3:$AI$29,10,FALSE)*$AP222)</f>
        <v>449.77738755742655</v>
      </c>
      <c r="ET222" s="111">
        <f t="shared" si="124"/>
        <v>449.77738755742655</v>
      </c>
      <c r="EU222" s="111">
        <f t="shared" si="166"/>
        <v>95.829250436169957</v>
      </c>
      <c r="EV222" s="111">
        <f>IF($BI$8=2015,VLOOKUP($L222,'[12]IMAGE CDLINKS 2C'!$P$3:$Y$29,10,FALSE)*$AM222,VLOOKUP($L222,'[12]IMAGE CDLINKS 2C'!$Z$3:$AI$29,10,FALSE)*$AP222)</f>
        <v>95.829250436169957</v>
      </c>
      <c r="EY222" s="111">
        <f t="shared" si="167"/>
        <v>53.005449067013686</v>
      </c>
      <c r="EZ222" s="111">
        <f>IF($BI$8=2015,VLOOKUP($L222,'[12]IMAGE CDLINKS 1_5C'!$P$3:$Y$29,10,FALSE)*$AM222,VLOOKUP($L222,'[12]IMAGE CDLINKS 1_5C'!$Z$3:$AI$29,10,FALSE)*$AP222)</f>
        <v>53.005449067013686</v>
      </c>
      <c r="FA222" s="192">
        <v>2050</v>
      </c>
    </row>
    <row r="223" spans="1:157" x14ac:dyDescent="0.25">
      <c r="A223" t="str">
        <f>IF([12]NDCs!C225="","",[12]NDCs!C225)</f>
        <v>A</v>
      </c>
      <c r="B223" s="159" t="str">
        <f t="shared" si="157"/>
        <v>iii</v>
      </c>
      <c r="C223">
        <v>1</v>
      </c>
      <c r="D223">
        <v>0</v>
      </c>
      <c r="E223">
        <v>1</v>
      </c>
      <c r="F223">
        <v>1</v>
      </c>
      <c r="G223" t="b">
        <f t="shared" si="158"/>
        <v>1</v>
      </c>
      <c r="H223" t="s">
        <v>2339</v>
      </c>
      <c r="I223" t="s">
        <v>475</v>
      </c>
      <c r="J223">
        <v>840</v>
      </c>
      <c r="K223">
        <v>214</v>
      </c>
      <c r="L223">
        <v>2</v>
      </c>
      <c r="M223" t="str">
        <f>IF([12]NDCs!AL225="Excluding","excl","incl")</f>
        <v>incl</v>
      </c>
      <c r="N223" s="188">
        <f>IF($M223="incl",[12]USA!E$41,[12]USA!E$37)</f>
        <v>5606.3765309999999</v>
      </c>
      <c r="O223" s="188">
        <f>IF($M223="incl",[12]USA!F$41,[12]USA!F$37)</f>
        <v>5531.2220923999903</v>
      </c>
      <c r="P223" s="188">
        <f>IF($M223="incl",[12]USA!G$41,[12]USA!G$37)</f>
        <v>5652.3559180000002</v>
      </c>
      <c r="Q223" s="188">
        <f>IF($M223="incl",[12]USA!H$41,[12]USA!H$37)</f>
        <v>5776.4471980999997</v>
      </c>
      <c r="R223" s="188">
        <f>IF($M223="incl",[12]USA!I$41,[12]USA!I$37)</f>
        <v>5871.5865815999996</v>
      </c>
      <c r="S223" s="188">
        <f>IF($M223="incl",[12]USA!J$41,[12]USA!J$37)</f>
        <v>5973.1182781999996</v>
      </c>
      <c r="T223" s="188">
        <f>IF($M223="incl",[12]USA!K$41,[12]USA!K$37)</f>
        <v>6157.1753595999999</v>
      </c>
      <c r="U223" s="188">
        <f>IF($M223="incl",[12]USA!L$41,[12]USA!L$37)</f>
        <v>6229.3540849999899</v>
      </c>
      <c r="V223" s="188">
        <f>IF($M223="incl",[12]USA!M$41,[12]USA!M$37)</f>
        <v>6274.6391967999998</v>
      </c>
      <c r="W223" s="188">
        <f>IF($M223="incl",[12]USA!N$41,[12]USA!N$37)</f>
        <v>6328.9008944999996</v>
      </c>
      <c r="X223" s="188">
        <f>IF($M223="incl",[12]USA!O$41,[12]USA!O$37)</f>
        <v>6533.3747845999997</v>
      </c>
      <c r="Y223" s="188">
        <f>IF($M223="incl",[12]USA!P$41,[12]USA!P$37)</f>
        <v>6410.9519487999996</v>
      </c>
      <c r="Z223" s="188">
        <f>IF($M223="incl",[12]USA!Q$41,[12]USA!Q$37)</f>
        <v>6496.6647118999999</v>
      </c>
      <c r="AA223" s="188">
        <f>IF($M223="incl",[12]USA!R$41,[12]USA!R$37)</f>
        <v>6524.5589688999999</v>
      </c>
      <c r="AB223" s="188">
        <f>IF($M223="incl",[12]USA!S$41,[12]USA!S$37)</f>
        <v>6754.7752928</v>
      </c>
      <c r="AC223" s="188">
        <f>IF($M223="incl",[12]USA!T$41,[12]USA!T$37)</f>
        <v>6696.2637435999904</v>
      </c>
      <c r="AD223" s="188">
        <f>IF($M223="incl",[12]USA!U$41,[12]USA!U$37)</f>
        <v>6589.4916481</v>
      </c>
      <c r="AE223" s="188">
        <f>IF($M223="incl",[12]USA!V$41,[12]USA!V$37)</f>
        <v>6737.3473158999996</v>
      </c>
      <c r="AF223" s="188">
        <f>IF($M223="incl",[12]USA!W$41,[12]USA!W$37)</f>
        <v>6531.1272947999996</v>
      </c>
      <c r="AG223" s="188">
        <f>IF($M223="incl",[12]USA!X$41,[12]USA!X$37)</f>
        <v>6120.2845394999904</v>
      </c>
      <c r="AH223" s="188">
        <f>IF($M223="incl",[12]USA!Y$41,[12]USA!Y$37)</f>
        <v>6307.1768000000002</v>
      </c>
      <c r="AI223" s="188">
        <f>IF($M223="incl",[12]USA!Z$41,[12]USA!Z$37)</f>
        <v>6115.9785362000002</v>
      </c>
      <c r="AJ223" s="188">
        <f>IF($M223="incl",[12]USA!AA$41,[12]USA!AA$37)</f>
        <v>5884.9412290999999</v>
      </c>
      <c r="AK223" s="188">
        <f>IF($M223="incl",[12]USA!AB$41,[12]USA!AB$37)</f>
        <v>6092.4396741</v>
      </c>
      <c r="AL223" s="188">
        <f>IF($M223="incl",[12]USA!AC$41,[12]USA!AC$37)</f>
        <v>6129.6888698999901</v>
      </c>
      <c r="AM223" s="188">
        <f>IF($M223="incl",[12]USA!AD$41,[12]USA!AD$37)</f>
        <v>6065.4951246999999</v>
      </c>
      <c r="AN223" s="188">
        <f>IF($M223="incl",[12]USA!AE$41,[12]USA!AE$37)</f>
        <v>5763.0946014999899</v>
      </c>
      <c r="AO223" s="188">
        <f>IF($M223="incl",[12]USA!AF$41,[12]USA!AF$37)</f>
        <v>5787.6284318999997</v>
      </c>
      <c r="AP223" s="188">
        <f>IF($M223="incl",[12]USA!AG$41,[12]USA!AG$37)</f>
        <v>5989.7018876000002</v>
      </c>
      <c r="AQ223" s="188">
        <f>IF($M223="incl",[12]USA!AH$41,[12]USA!AH$37)</f>
        <v>5913.8717878999996</v>
      </c>
      <c r="AR223" s="188">
        <f>IF($M223="incl",[12]USA!AI$41,[12]USA!AI$37)</f>
        <v>5249.8052782000004</v>
      </c>
      <c r="AS223" s="188">
        <f>IF($M223="incl",[12]USA!AJ$41,[12]USA!AJ$37)</f>
        <v>5586.0032584999999</v>
      </c>
      <c r="AT223" s="189">
        <f>AR223</f>
        <v>5249.8052782000004</v>
      </c>
      <c r="AU223" s="177">
        <f>[12]USA!AN23</f>
        <v>5836.7150318999993</v>
      </c>
      <c r="AV223" s="180">
        <f>[12]USA!AS23</f>
        <v>5663.9520318999994</v>
      </c>
      <c r="AW223" s="111" t="str">
        <f t="shared" si="165"/>
        <v/>
      </c>
      <c r="AX223" s="164" t="str">
        <f>IF(A223="B",IF(M223="excl",[12]NatCom!CO213,[12]NatCom!AX213),"")</f>
        <v/>
      </c>
      <c r="AY223" s="177">
        <f>IF('[12]Pledge 2020'!E213="","",'[12]Pledge 2020'!E213)</f>
        <v>5557.8989071879914</v>
      </c>
      <c r="AZ223" s="177">
        <f>IF('[12]Pledge 2020'!F213="","",'[12]Pledge 2020'!F213)</f>
        <v>5557.8989071879914</v>
      </c>
      <c r="BA223" s="127">
        <f>[12]USA!$X$11</f>
        <v>4821.3098953919925</v>
      </c>
      <c r="BB223" s="127">
        <f>[12]USA!$X$12</f>
        <v>4955.2351702639926</v>
      </c>
      <c r="BC223" s="127">
        <f>[12]USA!$Y$11</f>
        <v>4821.3098953919925</v>
      </c>
      <c r="BD223" s="127">
        <f>[12]USA!$Y$12</f>
        <v>4955.2351702639926</v>
      </c>
      <c r="BE223" s="181">
        <v>3214.2065969279952</v>
      </c>
      <c r="BF223" s="181">
        <v>3348.1318717999952</v>
      </c>
      <c r="BG223" s="181">
        <v>3214.2065969279952</v>
      </c>
      <c r="BH223" s="182">
        <v>3348.1318717999952</v>
      </c>
      <c r="BI223" s="111">
        <f>IF([12]NDCs!V225="",IF([12]NDCs!X225="","",[12]NDCs!X225),[12]NDCs!V225)</f>
        <v>4084.7208835959937</v>
      </c>
      <c r="BJ223" s="111">
        <f>IF([12]NDCs!V225="",IF([12]NDCs!X225="","",[12]NDCs!X225),[12]NDCs!V225)</f>
        <v>4084.7208835959937</v>
      </c>
      <c r="BK223" s="222">
        <f>BI223</f>
        <v>4084.7208835959937</v>
      </c>
      <c r="BL223" s="222">
        <f>BJ223</f>
        <v>4084.7208835959937</v>
      </c>
      <c r="BM223" s="190">
        <f>[12]USA!AB$5</f>
        <v>5249.8052782000004</v>
      </c>
      <c r="BN223" s="127">
        <f>[12]USA!AB7</f>
        <v>5249.8052782000004</v>
      </c>
      <c r="BO223" s="127">
        <f>[12]USA!AB6</f>
        <v>5249.8052782000004</v>
      </c>
      <c r="BP223" s="190">
        <f>[12]USA!AC$5</f>
        <v>4667.1020345349398</v>
      </c>
      <c r="BQ223" s="127">
        <f>[12]USA!AC7</f>
        <v>4667.1020345349398</v>
      </c>
      <c r="BR223" s="127">
        <f>[12]USA!AC6</f>
        <v>5316.4061094999997</v>
      </c>
      <c r="BS223" s="190">
        <f>[12]USA!AD$5</f>
        <v>3535.3947036293598</v>
      </c>
      <c r="BT223" s="127">
        <f>[12]USA!AD7</f>
        <v>3535.3947036293598</v>
      </c>
      <c r="BU223" s="127">
        <f>[12]USA!AD6</f>
        <v>4704.0327035</v>
      </c>
      <c r="CN223" t="s">
        <v>475</v>
      </c>
      <c r="CO223" s="165">
        <f t="shared" si="160"/>
        <v>-9.0849292264775894E-2</v>
      </c>
      <c r="CP223" s="165">
        <f t="shared" si="160"/>
        <v>-5.2968012775808204E-2</v>
      </c>
      <c r="CQ223" s="165">
        <f t="shared" si="160"/>
        <v>-9.0849292264775894E-2</v>
      </c>
      <c r="CR223" s="165">
        <f t="shared" si="155"/>
        <v>-5.2968012775808204E-2</v>
      </c>
      <c r="CS223" s="185">
        <f>IF(BE223&lt;=MIN(BS223:BU223),0,1)</f>
        <v>0</v>
      </c>
      <c r="CT223" s="185">
        <f>IF(BG223&lt;=MIN(BS223:BU223),0,1)</f>
        <v>0</v>
      </c>
      <c r="CU223">
        <f>IF(BS223&lt;=MAX(AN223,AP223),1,0)</f>
        <v>1</v>
      </c>
      <c r="CV223" s="122" t="str">
        <f>IF(CS223=1,IF(CU223=1,"i","ii"),IF(CU223=1,"iii","iv"))</f>
        <v>iii</v>
      </c>
      <c r="CW223" s="122" t="str">
        <f>IF(CT223=1,IF(CU223=1,"i","ii"),IF(CU223=1,"iii","iv"))</f>
        <v>iii</v>
      </c>
      <c r="CX223"/>
      <c r="CY223" s="167">
        <f t="shared" si="161"/>
        <v>0</v>
      </c>
      <c r="DA223" s="187">
        <f>[12]USA!P18</f>
        <v>308.093628987991</v>
      </c>
      <c r="DB223" s="187">
        <f>[12]USA!Q18</f>
        <v>308.093628987991</v>
      </c>
      <c r="DC223" s="187">
        <f>[12]USA!R18</f>
        <v>221.17049829305324</v>
      </c>
      <c r="DD223" s="187">
        <f>[12]USA!S18</f>
        <v>221.17049829305324</v>
      </c>
      <c r="DE223" s="187">
        <f>[12]USA!T18</f>
        <v>0</v>
      </c>
      <c r="DF223" s="187">
        <f>[12]USA!U18</f>
        <v>0</v>
      </c>
      <c r="DG223" s="105" t="str">
        <f t="shared" si="162"/>
        <v>incl</v>
      </c>
      <c r="DH223" t="s">
        <v>475</v>
      </c>
      <c r="DI223" s="111"/>
      <c r="DJ223" s="111"/>
      <c r="DK223" s="111"/>
      <c r="DL223" s="111"/>
      <c r="DM223" s="111"/>
      <c r="DN223" s="111"/>
      <c r="DO223" s="127"/>
      <c r="DP223" s="127"/>
      <c r="DQ223" s="187">
        <f>[12]USA!BA$18</f>
        <v>0</v>
      </c>
      <c r="DR223" s="187">
        <f>[12]USA!BB$18</f>
        <v>0</v>
      </c>
      <c r="DS223" s="111"/>
      <c r="DT223" s="168"/>
      <c r="DW223" s="111">
        <f t="shared" si="163"/>
        <v>3214.2065969279952</v>
      </c>
      <c r="DX223" s="111">
        <f t="shared" si="163"/>
        <v>3348.1318717999952</v>
      </c>
      <c r="DY223" s="111">
        <f t="shared" si="163"/>
        <v>3214.2065969279952</v>
      </c>
      <c r="DZ223" s="111">
        <f t="shared" si="156"/>
        <v>3348.1318717999952</v>
      </c>
      <c r="EP223" t="s">
        <v>475</v>
      </c>
      <c r="EQ223">
        <v>4</v>
      </c>
      <c r="ER223" s="111">
        <f t="shared" si="164"/>
        <v>5989.7018876000002</v>
      </c>
      <c r="ES223" s="111">
        <f>IF($BI$8=2015,VLOOKUP($L223,'[12]IMAGE CDLINKS CurPol'!$P$3:$Y$29,10,FALSE)*$AM223,VLOOKUP($L223,'[12]IMAGE CDLINKS CurPol'!$Z$3:$AI$29,10,FALSE)*$AP223)</f>
        <v>4683.4120122858103</v>
      </c>
      <c r="ET223" s="111">
        <f t="shared" si="124"/>
        <v>0</v>
      </c>
      <c r="EU223" s="111">
        <f t="shared" si="166"/>
        <v>0</v>
      </c>
      <c r="EV223" s="111">
        <f>IF($BI$8=2015,VLOOKUP($L223,'[12]IMAGE CDLINKS 2C'!$P$3:$Y$29,10,FALSE)*$AM223,VLOOKUP($L223,'[12]IMAGE CDLINKS 2C'!$Z$3:$AI$29,10,FALSE)*$AP223)</f>
        <v>1248.3378063451446</v>
      </c>
      <c r="EW223">
        <v>0</v>
      </c>
      <c r="EY223" s="111">
        <f t="shared" si="167"/>
        <v>0</v>
      </c>
      <c r="EZ223" s="111">
        <f>IF($BI$8=2015,VLOOKUP($L223,'[12]IMAGE CDLINKS 1_5C'!$P$3:$Y$29,10,FALSE)*$AM223,VLOOKUP($L223,'[12]IMAGE CDLINKS 1_5C'!$Z$3:$AI$29,10,FALSE)*$AP223)</f>
        <v>-187.46200843184818</v>
      </c>
      <c r="FA223" s="192" t="s">
        <v>2351</v>
      </c>
    </row>
    <row r="224" spans="1:157" x14ac:dyDescent="0.25">
      <c r="A224" t="str">
        <f>IF([12]NDCs!C226="","",[12]NDCs!C226)</f>
        <v>G</v>
      </c>
      <c r="B224" s="159" t="str">
        <f t="shared" si="157"/>
        <v>v</v>
      </c>
      <c r="C224">
        <v>0</v>
      </c>
      <c r="D224">
        <v>0</v>
      </c>
      <c r="E224">
        <v>0</v>
      </c>
      <c r="F224">
        <v>1</v>
      </c>
      <c r="G224" t="b">
        <f t="shared" si="158"/>
        <v>0</v>
      </c>
      <c r="H224" t="s">
        <v>2328</v>
      </c>
      <c r="I224" t="s">
        <v>477</v>
      </c>
      <c r="J224">
        <v>858</v>
      </c>
      <c r="K224">
        <v>217</v>
      </c>
      <c r="L224">
        <v>6</v>
      </c>
      <c r="M224" t="str">
        <f>IF([12]NDCs!AL226="Excluding","excl","incl")</f>
        <v>excl</v>
      </c>
      <c r="N224" s="160">
        <f>[12]GHG_hist!BA214+IF($M224="incl",[12]LULUCF_hist!CR214,0)</f>
        <v>28.182335999999999</v>
      </c>
      <c r="O224" s="111">
        <f>[12]GHG_hist!BB214+IF($M224="incl",[12]LULUCF_hist!CS214,0)</f>
        <v>29.672336999999999</v>
      </c>
      <c r="P224" s="111">
        <f>[12]GHG_hist!BC214+IF($M224="incl",[12]LULUCF_hist!CT214,0)</f>
        <v>31.361609000000001</v>
      </c>
      <c r="Q224" s="111">
        <f>[12]GHG_hist!BD214+IF($M224="incl",[12]LULUCF_hist!CU214,0)</f>
        <v>31.334148000000003</v>
      </c>
      <c r="R224" s="111">
        <f>[12]GHG_hist!BE214+IF($M224="incl",[12]LULUCF_hist!CV214,0)</f>
        <v>30.903616000000003</v>
      </c>
      <c r="S224" s="111">
        <f>[12]GHG_hist!BF214+IF($M224="incl",[12]LULUCF_hist!CW214,0)</f>
        <v>31.296842000000002</v>
      </c>
      <c r="T224" s="111">
        <f>[12]GHG_hist!BG214+IF($M224="incl",[12]LULUCF_hist!CX214,0)</f>
        <v>32.890843000000004</v>
      </c>
      <c r="U224" s="111">
        <f>[12]GHG_hist!BH214+IF($M224="incl",[12]LULUCF_hist!CY214,0)</f>
        <v>32.715955000000001</v>
      </c>
      <c r="V224" s="111">
        <f>[12]GHG_hist!BI214+IF($M224="incl",[12]LULUCF_hist!CZ214,0)</f>
        <v>32.281433</v>
      </c>
      <c r="W224" s="111">
        <f>[12]GHG_hist!BJ214+IF($M224="incl",[12]LULUCF_hist!DA214,0)</f>
        <v>33.116</v>
      </c>
      <c r="X224" s="111">
        <f>[12]GHG_hist!BK214+IF($M224="incl",[12]LULUCF_hist!DB214,0)</f>
        <v>31.035021</v>
      </c>
      <c r="Y224" s="111">
        <f>[12]GHG_hist!BL214+IF($M224="incl",[12]LULUCF_hist!DC214,0)</f>
        <v>30.422554000000002</v>
      </c>
      <c r="Z224" s="111">
        <f>[12]GHG_hist!BM214+IF($M224="incl",[12]LULUCF_hist!DD214,0)</f>
        <v>30.107935000000001</v>
      </c>
      <c r="AA224" s="111">
        <f>[12]GHG_hist!BN214+IF($M224="incl",[12]LULUCF_hist!DE214,0)</f>
        <v>31.190206</v>
      </c>
      <c r="AB224" s="111">
        <f>[12]GHG_hist!BO214+IF($M224="incl",[12]LULUCF_hist!DF214,0)</f>
        <v>33.272272000000001</v>
      </c>
      <c r="AC224" s="111">
        <f>[12]GHG_hist!BP214+IF($M224="incl",[12]LULUCF_hist!DG214,0)</f>
        <v>33.003484999999998</v>
      </c>
      <c r="AD224" s="111">
        <f>[12]GHG_hist!BQ214+IF($M224="incl",[12]LULUCF_hist!DH214,0)</f>
        <v>34.445319000000005</v>
      </c>
      <c r="AE224" s="111">
        <f>[12]GHG_hist!BR214+IF($M224="incl",[12]LULUCF_hist!DI214,0)</f>
        <v>33.121476000000001</v>
      </c>
      <c r="AF224" s="111">
        <f>[12]GHG_hist!BS214+IF($M224="incl",[12]LULUCF_hist!DJ214,0)</f>
        <v>35.556097999999999</v>
      </c>
      <c r="AG224" s="111">
        <f>[12]GHG_hist!BT214+IF($M224="incl",[12]LULUCF_hist!DK214,0)</f>
        <v>35.847180999999999</v>
      </c>
      <c r="AH224" s="111">
        <f>[12]GHG_hist!BU214+IF($M224="incl",[12]LULUCF_hist!DL214,0)</f>
        <v>33.949680000000001</v>
      </c>
      <c r="AI224" s="111">
        <f>[12]GHG_hist!BV214+IF($M224="incl",[12]LULUCF_hist!DM214,0)</f>
        <v>35.658560000000001</v>
      </c>
      <c r="AJ224" s="111">
        <f>[12]GHG_hist!BW214+IF($M224="incl",[12]LULUCF_hist!DN214,0)</f>
        <v>37.128732000000007</v>
      </c>
      <c r="AK224" s="111">
        <f>[12]GHG_hist!BX214+IF($M224="incl",[12]LULUCF_hist!DO214,0)</f>
        <v>35.709214000000003</v>
      </c>
      <c r="AL224" s="111">
        <f>[12]GHG_hist!BY214+IF($M224="incl",[12]LULUCF_hist!DP214,0)</f>
        <v>35.119076999999997</v>
      </c>
      <c r="AM224" s="111">
        <f>[12]GHG_hist!BZ214+IF($M224="incl",[12]LULUCF_hist!DQ214,0)</f>
        <v>35.171180999999997</v>
      </c>
      <c r="AN224" s="111">
        <f>[12]GHG_hist!CA214+IF($M224="incl",[12]LULUCF_hist!DR214,0)</f>
        <v>35.449190999999999</v>
      </c>
      <c r="AO224" s="111">
        <f>[12]GHG_hist!CB214+IF($M224="incl",[12]LULUCF_hist!DS214,0)</f>
        <v>34.932906000000003</v>
      </c>
      <c r="AP224" s="111">
        <f>[12]GHG_hist!CC214+IF($M224="incl",[12]LULUCF_hist!DT214,0)</f>
        <v>34.111049000000001</v>
      </c>
      <c r="AQ224" s="111">
        <f>[12]GHG_hist!CD214+IF($M224="incl",[12]LULUCF_hist!DU214,0)</f>
        <v>33.997016000000002</v>
      </c>
      <c r="AR224" s="111">
        <f>[12]GHG_hist!CE214+IF($M224="incl",[12]LULUCF_hist!DV214,0)</f>
        <v>32.909040999999995</v>
      </c>
      <c r="AS224" s="111">
        <f>[12]GHG_hist!CF214+IF($M224="incl",[12]LULUCF_hist!DW214,0)</f>
        <v>33.570784000000003</v>
      </c>
      <c r="AT224" s="161">
        <f>VLOOKUP($L224,'[12]IMAGE SSP2'!$AF$3:$AK$29,4,FALSE)*$AM224</f>
        <v>39.56409991614143</v>
      </c>
      <c r="AU224" s="162">
        <f>VLOOKUP($L224,'[12]IMAGE SSP2'!$AF$3:$AK$29,5,FALSE)*$AM224</f>
        <v>43.669268990795118</v>
      </c>
      <c r="AV224" s="163">
        <f>VLOOKUP($L224,'[12]IMAGE SSP2'!$AF$3:$AK$29,6,FALSE)*$AM224</f>
        <v>47.371911382078814</v>
      </c>
      <c r="AW224" s="111" t="str">
        <f t="shared" si="165"/>
        <v/>
      </c>
      <c r="AX224" s="164" t="str">
        <f>IF(A224="B",IF(M224="excl",[12]NatCom!CO214,[12]NatCom!AX214),"")</f>
        <v/>
      </c>
      <c r="AY224" s="111" t="str">
        <f>IF('[12]Pledge 2020'!E214="","",'[12]Pledge 2020'!E214)</f>
        <v/>
      </c>
      <c r="AZ224" s="164" t="str">
        <f>IF('[12]Pledge 2020'!F214="","",'[12]Pledge 2020'!F214)</f>
        <v/>
      </c>
      <c r="BA224" s="111" t="str">
        <f t="shared" si="144"/>
        <v/>
      </c>
      <c r="BB224" s="111"/>
      <c r="BC224" s="111" t="str">
        <f t="shared" si="145"/>
        <v/>
      </c>
      <c r="BD224" s="111"/>
      <c r="BE224" s="111" t="s">
        <v>2477</v>
      </c>
      <c r="BF224" s="111"/>
      <c r="BG224" s="111" t="s">
        <v>2477</v>
      </c>
      <c r="BH224" s="164"/>
      <c r="BI224" s="111" t="str">
        <f>IF([12]NDCs!V226="",IF([12]NDCs!X226="","",[12]NDCs!X226),[12]NDCs!V226)</f>
        <v/>
      </c>
      <c r="BJ224" s="111" t="str">
        <f>IF([12]NDCs!V226="",IF([12]NDCs!X226="","",[12]NDCs!X226),[12]NDCs!V226)</f>
        <v/>
      </c>
      <c r="BK224" s="111" t="str">
        <f>IF([12]NDCs!Z226="",IF([12]NDCs!AB226="",IF('input site'!BE224="","",'input site'!BE224),[12]NDCs!AB226),[12]NDCs!Z226)</f>
        <v/>
      </c>
      <c r="BL224" s="111" t="str">
        <f>IF([12]NDCs!AA226="",IF([12]NDCs!AC226="",IF('input site'!BF224="","",'input site'!BF224),[12]NDCs!AC226),[12]NDCs!AA226)</f>
        <v/>
      </c>
      <c r="BM224" s="111">
        <f>IF($BI$8=2015,VLOOKUP($L224,'[12]IMAGE CurPol SSP'!$AZ$3:$BD$29,4,FALSE)*$AM224,IF($BI$8=2018,VLOOKUP($L224,'[12]IMAGE CurPol SSP'!$BJ$3:$BN$29,4,FALSE)*$AP224,$AR224))</f>
        <v>32.909040999999995</v>
      </c>
      <c r="BN224" s="111">
        <f t="shared" ref="BN224:BO228" si="171">IF($BI$8=2015,"",IF($BI$8=2018,"",$AR224))</f>
        <v>32.909040999999995</v>
      </c>
      <c r="BO224" s="111">
        <f t="shared" si="171"/>
        <v>32.909040999999995</v>
      </c>
      <c r="BP224" s="111">
        <f>IF($BI$8=2015,VLOOKUP($L224,'[12]IMAGE CurPol SSP'!$AZ$3:$BD$29,5,FALSE)*$AM224,IF($BI$8=2018,VLOOKUP($L224,'[12]IMAGE CurPol SSP'!$BJ$3:$BN$29,5,FALSE)*$AP224,VLOOKUP($L224,'[12]IMAGE CurPol SSP'!$BU$3:$BZ$29,5,FALSE)*$AS224))</f>
        <v>34.985885416832474</v>
      </c>
      <c r="BQ224" s="111">
        <f>IF($BI$8=2015,"",IF($BI$8=2018,"",VLOOKUP($L224,'[12]IMAGE CurPol SSP'!$CQ$3:$CV$29,5,FALSE)*$AS224))</f>
        <v>34.419092457511404</v>
      </c>
      <c r="BR224" s="111">
        <f>IF($BI$8=2015,"",IF($BI$8=2018,"",VLOOKUP($L224,'[12]IMAGE CurPol SSP'!$CF$3:$CK$29,5,FALSE)*$AS224))</f>
        <v>35.557951481771809</v>
      </c>
      <c r="BS224" s="111">
        <f>IF($BI$8=2015,VLOOKUP($L224,'[12]IMAGE CurPol SSP'!$AZ$3:$BE$29,6,FALSE)*$AM224,IF($BI$8=2018,VLOOKUP($L224,'[12]IMAGE CurPol SSP'!$BJ$3:$BO$29,6,FALSE)*$AP224,VLOOKUP($L224,'[12]IMAGE CurPol SSP'!$BU$3:$BZ$29,6,FALSE)*$AS224))</f>
        <v>37.312146175526799</v>
      </c>
      <c r="BT224" s="111">
        <f>IF($BI$8=2015,"",IF($BI$8=2018,"",VLOOKUP($L224,'[12]IMAGE CurPol SSP'!$CQ$3:$CV$29,6,FALSE)*$AS224))</f>
        <v>36.655916693236499</v>
      </c>
      <c r="BU224" s="164">
        <f>IF($BI$8=2015,"",IF($BI$8=2018,"",VLOOKUP($L224,'[12]IMAGE CurPol SSP'!$CF$3:$CK$29,6,FALSE)*$AS224))</f>
        <v>37.521846582367871</v>
      </c>
      <c r="CN224" t="s">
        <v>477</v>
      </c>
      <c r="CO224" s="165" t="str">
        <f t="shared" si="160"/>
        <v/>
      </c>
      <c r="CP224" s="165" t="str">
        <f t="shared" si="160"/>
        <v/>
      </c>
      <c r="CQ224" s="165" t="str">
        <f t="shared" si="160"/>
        <v/>
      </c>
      <c r="CR224" s="165" t="str">
        <f t="shared" si="155"/>
        <v/>
      </c>
      <c r="CV224" s="125" t="s">
        <v>621</v>
      </c>
      <c r="CW224" s="125" t="s">
        <v>621</v>
      </c>
      <c r="CX224"/>
      <c r="CY224" s="167">
        <f t="shared" si="161"/>
        <v>6.6550589161414351</v>
      </c>
      <c r="DB224" s="106"/>
      <c r="DC224" s="106"/>
      <c r="DD224" s="106"/>
      <c r="DE224" s="106"/>
      <c r="DF224" s="106"/>
      <c r="DG224" s="105" t="str">
        <f t="shared" si="162"/>
        <v>excl</v>
      </c>
      <c r="DH224" t="s">
        <v>477</v>
      </c>
      <c r="DI224" s="111">
        <f t="shared" ref="DI224:DJ236" si="172">IF(AY224="",$BM224,AY224)-$BM224</f>
        <v>0</v>
      </c>
      <c r="DJ224" s="111">
        <f t="shared" si="172"/>
        <v>0</v>
      </c>
      <c r="DK224" s="111">
        <f t="shared" ref="DK224:DK236" si="173">IF(BA224="",$BP224,BA224)-$BP224</f>
        <v>0</v>
      </c>
      <c r="DL224" s="111">
        <f t="shared" ref="DL224:DL236" si="174">IF(BC224="",$BP224,BC224)-$BP224</f>
        <v>0</v>
      </c>
      <c r="DM224" s="111">
        <f t="shared" ref="DM224:DM236" si="175">IF(BE224="",$BS224,BE224)-$BS224</f>
        <v>0</v>
      </c>
      <c r="DN224" s="111">
        <f t="shared" ref="DN224:DN236" si="176">IF(BG224="",$BS224,BG224)-$BS224</f>
        <v>0</v>
      </c>
      <c r="DO224" s="111">
        <f t="shared" ref="DO224:DO236" si="177">IF(BI224="",$BS224,BI224)-$BS224</f>
        <v>0</v>
      </c>
      <c r="DP224" s="111">
        <f t="shared" ref="DP224:DP236" si="178">IF(BK224="",$BS224,BK224)-$BS224</f>
        <v>0</v>
      </c>
      <c r="DQ224" s="106"/>
      <c r="DR224" s="106"/>
      <c r="DS224" s="111"/>
      <c r="DT224" s="168"/>
      <c r="DW224" s="111">
        <f t="shared" si="163"/>
        <v>37.312146175526799</v>
      </c>
      <c r="DX224" s="111">
        <f t="shared" si="163"/>
        <v>37.312146175526799</v>
      </c>
      <c r="DY224" s="111">
        <f t="shared" si="163"/>
        <v>37.312146175526799</v>
      </c>
      <c r="DZ224" s="111">
        <f t="shared" si="156"/>
        <v>37.312146175526799</v>
      </c>
      <c r="EP224" t="s">
        <v>477</v>
      </c>
      <c r="EQ224">
        <v>4</v>
      </c>
      <c r="ER224" s="111">
        <f t="shared" si="164"/>
        <v>34.111049000000001</v>
      </c>
      <c r="ES224" s="111">
        <f>IF($BI$8=2015,VLOOKUP($L224,'[12]IMAGE CDLINKS CurPol'!$P$3:$Y$29,10,FALSE)*$AM224,VLOOKUP($L224,'[12]IMAGE CDLINKS CurPol'!$Z$3:$AI$29,10,FALSE)*$AP224)</f>
        <v>55.681389246639625</v>
      </c>
      <c r="ET224" s="111">
        <f t="shared" si="124"/>
        <v>0</v>
      </c>
      <c r="EU224" s="111">
        <f t="shared" si="166"/>
        <v>0</v>
      </c>
      <c r="EV224" s="111">
        <f>IF($BI$8=2015,VLOOKUP($L224,'[12]IMAGE CDLINKS 2C'!$P$3:$Y$29,10,FALSE)*$AM224,VLOOKUP($L224,'[12]IMAGE CDLINKS 2C'!$Z$3:$AI$29,10,FALSE)*$AP224)</f>
        <v>21.864884753072854</v>
      </c>
      <c r="EW224">
        <v>0</v>
      </c>
      <c r="EX224" s="111">
        <f>EW224-EV224</f>
        <v>-21.864884753072854</v>
      </c>
      <c r="EY224" s="111">
        <f t="shared" si="167"/>
        <v>0</v>
      </c>
      <c r="EZ224" s="111">
        <f>IF($BI$8=2015,VLOOKUP($L224,'[12]IMAGE CDLINKS 1_5C'!$P$3:$Y$29,10,FALSE)*$AM224,VLOOKUP($L224,'[12]IMAGE CDLINKS 1_5C'!$Z$3:$AI$29,10,FALSE)*$AP224)</f>
        <v>12.935840298559453</v>
      </c>
      <c r="FA224" s="192">
        <v>2030</v>
      </c>
    </row>
    <row r="225" spans="1:157" x14ac:dyDescent="0.25">
      <c r="A225" t="str">
        <f>IF([12]NDCs!C227="","",[12]NDCs!C227)</f>
        <v>D</v>
      </c>
      <c r="B225" s="159" t="str">
        <f t="shared" si="157"/>
        <v>v</v>
      </c>
      <c r="C225">
        <v>0</v>
      </c>
      <c r="D225">
        <v>0</v>
      </c>
      <c r="E225">
        <v>0</v>
      </c>
      <c r="F225">
        <v>1</v>
      </c>
      <c r="G225" t="b">
        <f t="shared" si="158"/>
        <v>1</v>
      </c>
      <c r="H225" t="s">
        <v>2328</v>
      </c>
      <c r="I225" t="s">
        <v>479</v>
      </c>
      <c r="J225">
        <v>860</v>
      </c>
      <c r="K225">
        <v>218</v>
      </c>
      <c r="L225">
        <v>15</v>
      </c>
      <c r="M225" t="str">
        <f>IF([12]NDCs!AL227="Excluding","excl","incl")</f>
        <v>excl</v>
      </c>
      <c r="N225" s="160">
        <f>[12]GHG_hist!BA215+IF($M225="incl",[12]LULUCF_hist!CR215,0)</f>
        <v>178.01805999999999</v>
      </c>
      <c r="O225" s="111">
        <f>[12]GHG_hist!BB215+IF($M225="incl",[12]LULUCF_hist!CS215,0)</f>
        <v>177.95848999999998</v>
      </c>
      <c r="P225" s="111">
        <f>[12]GHG_hist!BC215+IF($M225="incl",[12]LULUCF_hist!CT215,0)</f>
        <v>172.44660999999999</v>
      </c>
      <c r="Q225" s="111">
        <f>[12]GHG_hist!BD215+IF($M225="incl",[12]LULUCF_hist!CU215,0)</f>
        <v>180.26529000000002</v>
      </c>
      <c r="R225" s="111">
        <f>[12]GHG_hist!BE215+IF($M225="incl",[12]LULUCF_hist!CV215,0)</f>
        <v>182.26673000000002</v>
      </c>
      <c r="S225" s="111">
        <f>[12]GHG_hist!BF215+IF($M225="incl",[12]LULUCF_hist!CW215,0)</f>
        <v>178.73310000000001</v>
      </c>
      <c r="T225" s="111">
        <f>[12]GHG_hist!BG215+IF($M225="incl",[12]LULUCF_hist!CX215,0)</f>
        <v>186.93576999999999</v>
      </c>
      <c r="U225" s="111">
        <f>[12]GHG_hist!BH215+IF($M225="incl",[12]LULUCF_hist!CY215,0)</f>
        <v>190.75368</v>
      </c>
      <c r="V225" s="111">
        <f>[12]GHG_hist!BI215+IF($M225="incl",[12]LULUCF_hist!CZ215,0)</f>
        <v>204.13947000000002</v>
      </c>
      <c r="W225" s="111">
        <f>[12]GHG_hist!BJ215+IF($M225="incl",[12]LULUCF_hist!DA215,0)</f>
        <v>202.15760999999998</v>
      </c>
      <c r="X225" s="111">
        <f>[12]GHG_hist!BK215+IF($M225="incl",[12]LULUCF_hist!DB215,0)</f>
        <v>208.90804</v>
      </c>
      <c r="Y225" s="111">
        <f>[12]GHG_hist!BL215+IF($M225="incl",[12]LULUCF_hist!DC215,0)</f>
        <v>219.76486</v>
      </c>
      <c r="Z225" s="111">
        <f>[12]GHG_hist!BM215+IF($M225="incl",[12]LULUCF_hist!DD215,0)</f>
        <v>238.34828000000002</v>
      </c>
      <c r="AA225" s="111">
        <f>[12]GHG_hist!BN215+IF($M225="incl",[12]LULUCF_hist!DE215,0)</f>
        <v>223.59351999999998</v>
      </c>
      <c r="AB225" s="111">
        <f>[12]GHG_hist!BO215+IF($M225="incl",[12]LULUCF_hist!DF215,0)</f>
        <v>216.97189000000003</v>
      </c>
      <c r="AC225" s="111">
        <f>[12]GHG_hist!BP215+IF($M225="incl",[12]LULUCF_hist!DG215,0)</f>
        <v>222.23401999999999</v>
      </c>
      <c r="AD225" s="111">
        <f>[12]GHG_hist!BQ215+IF($M225="incl",[12]LULUCF_hist!DH215,0)</f>
        <v>228.23214000000002</v>
      </c>
      <c r="AE225" s="111">
        <f>[12]GHG_hist!BR215+IF($M225="incl",[12]LULUCF_hist!DI215,0)</f>
        <v>218.83261999999999</v>
      </c>
      <c r="AF225" s="111">
        <f>[12]GHG_hist!BS215+IF($M225="incl",[12]LULUCF_hist!DJ215,0)</f>
        <v>230.69063</v>
      </c>
      <c r="AG225" s="111">
        <f>[12]GHG_hist!BT215+IF($M225="incl",[12]LULUCF_hist!DK215,0)</f>
        <v>200.72271000000001</v>
      </c>
      <c r="AH225" s="111">
        <f>[12]GHG_hist!BU215+IF($M225="incl",[12]LULUCF_hist!DL215,0)</f>
        <v>200.42424</v>
      </c>
      <c r="AI225" s="111">
        <f>[12]GHG_hist!BV215+IF($M225="incl",[12]LULUCF_hist!DM215,0)</f>
        <v>202.3758</v>
      </c>
      <c r="AJ225" s="111">
        <f>[12]GHG_hist!BW215+IF($M225="incl",[12]LULUCF_hist!DN215,0)</f>
        <v>203.14347000000001</v>
      </c>
      <c r="AK225" s="111">
        <f>[12]GHG_hist!BX215+IF($M225="incl",[12]LULUCF_hist!DO215,0)</f>
        <v>190.82301000000001</v>
      </c>
      <c r="AL225" s="111">
        <f>[12]GHG_hist!BY215+IF($M225="incl",[12]LULUCF_hist!DP215,0)</f>
        <v>193.55069</v>
      </c>
      <c r="AM225" s="111">
        <f>[12]GHG_hist!BZ215+IF($M225="incl",[12]LULUCF_hist!DQ215,0)</f>
        <v>186.09392000000003</v>
      </c>
      <c r="AN225" s="111">
        <f>[12]GHG_hist!CA215+IF($M225="incl",[12]LULUCF_hist!DR215,0)</f>
        <v>183.59632999999999</v>
      </c>
      <c r="AO225" s="111">
        <f>[12]GHG_hist!CB215+IF($M225="incl",[12]LULUCF_hist!DS215,0)</f>
        <v>189.87499</v>
      </c>
      <c r="AP225" s="111">
        <f>[12]GHG_hist!CC215+IF($M225="incl",[12]LULUCF_hist!DT215,0)</f>
        <v>200.04347000000001</v>
      </c>
      <c r="AQ225" s="111">
        <f>[12]GHG_hist!CD215+IF($M225="incl",[12]LULUCF_hist!DU215,0)</f>
        <v>200.70327</v>
      </c>
      <c r="AR225" s="111">
        <f>[12]GHG_hist!CE215+IF($M225="incl",[12]LULUCF_hist!DV215,0)</f>
        <v>197.44981000000001</v>
      </c>
      <c r="AS225" s="111">
        <f>[12]GHG_hist!CF215+IF($M225="incl",[12]LULUCF_hist!DW215,0)</f>
        <v>197.98414000000002</v>
      </c>
      <c r="AT225" s="161">
        <f>VLOOKUP($L225,'[12]IMAGE SSP2'!$AF$3:$AK$29,4,FALSE)*$AM225</f>
        <v>203.08055356426433</v>
      </c>
      <c r="AU225" s="162">
        <f>VLOOKUP($L225,'[12]IMAGE SSP2'!$AF$3:$AK$29,5,FALSE)*$AM225</f>
        <v>224.04906319224736</v>
      </c>
      <c r="AV225" s="163">
        <f>VLOOKUP($L225,'[12]IMAGE SSP2'!$AF$3:$AK$29,6,FALSE)*$AM225</f>
        <v>237.36653518624121</v>
      </c>
      <c r="AW225" s="111" t="str">
        <f t="shared" si="165"/>
        <v/>
      </c>
      <c r="AX225" s="164" t="str">
        <f>IF(A225="B",IF(M225="excl",[12]NatCom!CO215,[12]NatCom!AX215),"")</f>
        <v/>
      </c>
      <c r="AY225" s="111" t="str">
        <f>IF('[12]Pledge 2020'!E215="","",'[12]Pledge 2020'!E215)</f>
        <v/>
      </c>
      <c r="AZ225" s="164" t="str">
        <f>IF('[12]Pledge 2020'!F215="","",'[12]Pledge 2020'!F215)</f>
        <v/>
      </c>
      <c r="BA225" s="111">
        <f t="shared" si="144"/>
        <v>335.10606000000001</v>
      </c>
      <c r="BB225" s="111">
        <f>IF(BF225="","",(BF225-AH225)*0.75+AH225)</f>
        <v>335.10606000000001</v>
      </c>
      <c r="BC225" s="111">
        <f t="shared" si="145"/>
        <v>335.10606000000001</v>
      </c>
      <c r="BD225" s="111">
        <f>IF(BH225="","",(BH225-AH225)*0.75+AH225)</f>
        <v>335.10606000000001</v>
      </c>
      <c r="BE225" s="111">
        <v>380</v>
      </c>
      <c r="BF225" s="111">
        <v>380</v>
      </c>
      <c r="BG225" s="111">
        <v>380</v>
      </c>
      <c r="BH225" s="111">
        <v>380</v>
      </c>
      <c r="BI225" s="111">
        <f>IF([12]NDCs!V227="",IF([12]NDCs!X227="","",[12]NDCs!X227),[12]NDCs!V227)</f>
        <v>380</v>
      </c>
      <c r="BJ225" s="111">
        <f>IF([12]NDCs!V227="",IF([12]NDCs!X227="","",[12]NDCs!X227),[12]NDCs!V227)</f>
        <v>380</v>
      </c>
      <c r="BK225" s="111">
        <f>IF([12]NDCs!Z227="",IF([12]NDCs!AB227="",IF('input site'!BE225="","",'input site'!BE225),[12]NDCs!AB227),[12]NDCs!Z227)</f>
        <v>380</v>
      </c>
      <c r="BL225" s="111">
        <f>IF([12]NDCs!AA227="",IF([12]NDCs!AC227="",IF('input site'!BF225="","",'input site'!BF225),[12]NDCs!AC227),[12]NDCs!AA227)</f>
        <v>380</v>
      </c>
      <c r="BM225" s="111">
        <f>IF($BI$8=2015,VLOOKUP($L225,'[12]IMAGE CurPol SSP'!$AZ$3:$BD$29,4,FALSE)*$AM225,IF($BI$8=2018,VLOOKUP($L225,'[12]IMAGE CurPol SSP'!$BJ$3:$BN$29,4,FALSE)*$AP225,$AR225))</f>
        <v>197.44981000000001</v>
      </c>
      <c r="BN225" s="111">
        <f t="shared" si="171"/>
        <v>197.44981000000001</v>
      </c>
      <c r="BO225" s="111">
        <f t="shared" si="171"/>
        <v>197.44981000000001</v>
      </c>
      <c r="BP225" s="111">
        <f>IF($BI$8=2015,VLOOKUP($L225,'[12]IMAGE CurPol SSP'!$AZ$3:$BD$29,5,FALSE)*$AM225,IF($BI$8=2018,VLOOKUP($L225,'[12]IMAGE CurPol SSP'!$BJ$3:$BN$29,5,FALSE)*$AP225,VLOOKUP($L225,'[12]IMAGE CurPol SSP'!$BU$3:$BZ$29,5,FALSE)*$AS225))</f>
        <v>215.72848853426953</v>
      </c>
      <c r="BQ225" s="111">
        <f>IF($BI$8=2015,"",IF($BI$8=2018,"",VLOOKUP($L225,'[12]IMAGE CurPol SSP'!$CQ$3:$CV$29,5,FALSE)*$AS225))</f>
        <v>209.67209000221575</v>
      </c>
      <c r="BR225" s="111">
        <f>IF($BI$8=2015,"",IF($BI$8=2018,"",VLOOKUP($L225,'[12]IMAGE CurPol SSP'!$CF$3:$CK$29,5,FALSE)*$AS225))</f>
        <v>220.01890482054796</v>
      </c>
      <c r="BS225" s="111">
        <f>IF($BI$8=2015,VLOOKUP($L225,'[12]IMAGE CurPol SSP'!$AZ$3:$BE$29,6,FALSE)*$AM225,IF($BI$8=2018,VLOOKUP($L225,'[12]IMAGE CurPol SSP'!$BJ$3:$BO$29,6,FALSE)*$AP225,VLOOKUP($L225,'[12]IMAGE CurPol SSP'!$BU$3:$BZ$29,6,FALSE)*$AS225))</f>
        <v>243.38747126355565</v>
      </c>
      <c r="BT225" s="111">
        <f>IF($BI$8=2015,"",IF($BI$8=2018,"",VLOOKUP($L225,'[12]IMAGE CurPol SSP'!$CQ$3:$CV$29,6,FALSE)*$AS225))</f>
        <v>231.63761266778729</v>
      </c>
      <c r="BU225" s="164">
        <f>IF($BI$8=2015,"",IF($BI$8=2018,"",VLOOKUP($L225,'[12]IMAGE CurPol SSP'!$CF$3:$CK$29,6,FALSE)*$AS225))</f>
        <v>256.63926559421475</v>
      </c>
      <c r="CN225" t="s">
        <v>479</v>
      </c>
      <c r="CO225" s="165">
        <f t="shared" si="160"/>
        <v>0.56129647112571157</v>
      </c>
      <c r="CP225" s="165">
        <f t="shared" si="160"/>
        <v>0.56129647112571157</v>
      </c>
      <c r="CQ225" s="165">
        <f t="shared" si="160"/>
        <v>0.56129647112571157</v>
      </c>
      <c r="CR225" s="165">
        <f t="shared" si="155"/>
        <v>0.56129647112571157</v>
      </c>
      <c r="CV225" s="125" t="s">
        <v>621</v>
      </c>
      <c r="CW225" s="125" t="s">
        <v>621</v>
      </c>
      <c r="CX225"/>
      <c r="CY225" s="167">
        <f t="shared" si="161"/>
        <v>5.6307435642643213</v>
      </c>
      <c r="DB225" s="106"/>
      <c r="DC225" s="106"/>
      <c r="DD225" s="106"/>
      <c r="DE225" s="106"/>
      <c r="DF225" s="106"/>
      <c r="DG225" s="105" t="str">
        <f t="shared" si="162"/>
        <v>excl</v>
      </c>
      <c r="DH225" t="s">
        <v>479</v>
      </c>
      <c r="DI225" s="111">
        <f t="shared" si="172"/>
        <v>0</v>
      </c>
      <c r="DJ225" s="111">
        <f t="shared" si="172"/>
        <v>0</v>
      </c>
      <c r="DK225" s="111">
        <f t="shared" si="173"/>
        <v>119.37757146573048</v>
      </c>
      <c r="DL225" s="111">
        <f t="shared" si="174"/>
        <v>119.37757146573048</v>
      </c>
      <c r="DM225" s="111">
        <f t="shared" si="175"/>
        <v>136.61252873644435</v>
      </c>
      <c r="DN225" s="111">
        <f t="shared" si="176"/>
        <v>136.61252873644435</v>
      </c>
      <c r="DO225" s="111">
        <f t="shared" si="177"/>
        <v>136.61252873644435</v>
      </c>
      <c r="DP225" s="111">
        <f t="shared" si="178"/>
        <v>136.61252873644435</v>
      </c>
      <c r="DQ225" s="106"/>
      <c r="DR225" s="106"/>
      <c r="DS225" s="111"/>
      <c r="DT225" s="168"/>
      <c r="DW225" s="111">
        <f t="shared" si="163"/>
        <v>380</v>
      </c>
      <c r="DX225" s="111">
        <f t="shared" si="163"/>
        <v>380</v>
      </c>
      <c r="DY225" s="111">
        <f t="shared" si="163"/>
        <v>380</v>
      </c>
      <c r="DZ225" s="111">
        <f t="shared" si="156"/>
        <v>380</v>
      </c>
      <c r="EP225" t="s">
        <v>479</v>
      </c>
      <c r="EQ225">
        <v>0</v>
      </c>
      <c r="ER225" s="111">
        <f t="shared" si="164"/>
        <v>200.04347000000001</v>
      </c>
      <c r="ES225" s="111">
        <f>IF($BI$8=2015,VLOOKUP($L225,'[12]IMAGE CDLINKS CurPol'!$P$3:$Y$29,10,FALSE)*$AM225,VLOOKUP($L225,'[12]IMAGE CDLINKS CurPol'!$Z$3:$AI$29,10,FALSE)*$AP225)</f>
        <v>268.4503876832274</v>
      </c>
      <c r="ET225" s="111">
        <f t="shared" si="124"/>
        <v>268.4503876832274</v>
      </c>
      <c r="EU225" s="111">
        <f t="shared" si="166"/>
        <v>90.438421787211141</v>
      </c>
      <c r="EV225" s="111">
        <f>IF($BI$8=2015,VLOOKUP($L225,'[12]IMAGE CDLINKS 2C'!$P$3:$Y$29,10,FALSE)*$AM225,VLOOKUP($L225,'[12]IMAGE CDLINKS 2C'!$Z$3:$AI$29,10,FALSE)*$AP225)</f>
        <v>90.438421787211141</v>
      </c>
      <c r="EY225" s="111">
        <f t="shared" si="167"/>
        <v>57.456098692870526</v>
      </c>
      <c r="EZ225" s="111">
        <f>IF($BI$8=2015,VLOOKUP($L225,'[12]IMAGE CDLINKS 1_5C'!$P$3:$Y$29,10,FALSE)*$AM225,VLOOKUP($L225,'[12]IMAGE CDLINKS 1_5C'!$Z$3:$AI$29,10,FALSE)*$AP225)</f>
        <v>57.456098692870526</v>
      </c>
      <c r="FA225" s="192"/>
    </row>
    <row r="226" spans="1:157" x14ac:dyDescent="0.25">
      <c r="A226" t="str">
        <f>IF([12]NDCs!C228="","",[12]NDCs!C228)</f>
        <v>G</v>
      </c>
      <c r="B226" s="159" t="str">
        <f t="shared" si="157"/>
        <v>v</v>
      </c>
      <c r="C226">
        <v>0</v>
      </c>
      <c r="D226">
        <v>0</v>
      </c>
      <c r="E226">
        <v>0</v>
      </c>
      <c r="F226">
        <v>1</v>
      </c>
      <c r="G226" t="b">
        <f t="shared" si="158"/>
        <v>0</v>
      </c>
      <c r="H226" t="s">
        <v>2328</v>
      </c>
      <c r="I226" t="s">
        <v>481</v>
      </c>
      <c r="J226">
        <v>548</v>
      </c>
      <c r="K226">
        <v>141</v>
      </c>
      <c r="L226">
        <v>24</v>
      </c>
      <c r="M226" t="str">
        <f>IF([12]NDCs!AL228="Excluding","excl","incl")</f>
        <v>excl</v>
      </c>
      <c r="N226" s="160">
        <f>[12]GHG_hist!BA216+IF($M226="incl",[12]LULUCF_hist!CR216,0)</f>
        <v>0.43300434000000004</v>
      </c>
      <c r="O226" s="111">
        <f>[12]GHG_hist!BB216+IF($M226="incl",[12]LULUCF_hist!CS216,0)</f>
        <v>0.44453920000000002</v>
      </c>
      <c r="P226" s="111">
        <f>[12]GHG_hist!BC216+IF($M226="incl",[12]LULUCF_hist!CT216,0)</f>
        <v>0.45950172</v>
      </c>
      <c r="Q226" s="111">
        <f>[12]GHG_hist!BD216+IF($M226="incl",[12]LULUCF_hist!CU216,0)</f>
        <v>0.48310607</v>
      </c>
      <c r="R226" s="111">
        <f>[12]GHG_hist!BE216+IF($M226="incl",[12]LULUCF_hist!CV216,0)</f>
        <v>0.48784959</v>
      </c>
      <c r="S226" s="111">
        <f>[12]GHG_hist!BF216+IF($M226="incl",[12]LULUCF_hist!CW216,0)</f>
        <v>0.49362932999999998</v>
      </c>
      <c r="T226" s="111">
        <f>[12]GHG_hist!BG216+IF($M226="incl",[12]LULUCF_hist!CX216,0)</f>
        <v>0.5206712</v>
      </c>
      <c r="U226" s="111">
        <f>[12]GHG_hist!BH216+IF($M226="incl",[12]LULUCF_hist!CY216,0)</f>
        <v>0.5213885800000001</v>
      </c>
      <c r="V226" s="111">
        <f>[12]GHG_hist!BI216+IF($M226="incl",[12]LULUCF_hist!CZ216,0)</f>
        <v>0.51750231000000002</v>
      </c>
      <c r="W226" s="111">
        <f>[12]GHG_hist!BJ216+IF($M226="incl",[12]LULUCF_hist!DA216,0)</f>
        <v>0.52469317000000004</v>
      </c>
      <c r="X226" s="111">
        <f>[12]GHG_hist!BK216+IF($M226="incl",[12]LULUCF_hist!DB216,0)</f>
        <v>0.50547774000000001</v>
      </c>
      <c r="Y226" s="111">
        <f>[12]GHG_hist!BL216+IF($M226="incl",[12]LULUCF_hist!DC216,0)</f>
        <v>0.49107811000000001</v>
      </c>
      <c r="Z226" s="111">
        <f>[12]GHG_hist!BM216+IF($M226="incl",[12]LULUCF_hist!DD216,0)</f>
        <v>0.48759595</v>
      </c>
      <c r="AA226" s="111">
        <f>[12]GHG_hist!BN216+IF($M226="incl",[12]LULUCF_hist!DE216,0)</f>
        <v>0.50371818000000002</v>
      </c>
      <c r="AB226" s="111">
        <f>[12]GHG_hist!BO216+IF($M226="incl",[12]LULUCF_hist!DF216,0)</f>
        <v>0.47528528999999997</v>
      </c>
      <c r="AC226" s="111">
        <f>[12]GHG_hist!BP216+IF($M226="incl",[12]LULUCF_hist!DG216,0)</f>
        <v>0.48427900000000002</v>
      </c>
      <c r="AD226" s="111">
        <f>[12]GHG_hist!BQ216+IF($M226="incl",[12]LULUCF_hist!DH216,0)</f>
        <v>0.47694634000000002</v>
      </c>
      <c r="AE226" s="111">
        <f>[12]GHG_hist!BR216+IF($M226="incl",[12]LULUCF_hist!DI216,0)</f>
        <v>0.48997705000000003</v>
      </c>
      <c r="AF226" s="111">
        <f>[12]GHG_hist!BS216+IF($M226="incl",[12]LULUCF_hist!DJ216,0)</f>
        <v>0.52817882999999999</v>
      </c>
      <c r="AG226" s="111">
        <f>[12]GHG_hist!BT216+IF($M226="incl",[12]LULUCF_hist!DK216,0)</f>
        <v>0.41697834</v>
      </c>
      <c r="AH226" s="111">
        <f>[12]GHG_hist!BU216+IF($M226="incl",[12]LULUCF_hist!DL216,0)</f>
        <v>0.54030714000000002</v>
      </c>
      <c r="AI226" s="111">
        <f>[12]GHG_hist!BV216+IF($M226="incl",[12]LULUCF_hist!DM216,0)</f>
        <v>0.56058906000000008</v>
      </c>
      <c r="AJ226" s="111">
        <f>[12]GHG_hist!BW216+IF($M226="incl",[12]LULUCF_hist!DN216,0)</f>
        <v>0.55288473000000005</v>
      </c>
      <c r="AK226" s="111">
        <f>[12]GHG_hist!BX216+IF($M226="incl",[12]LULUCF_hist!DO216,0)</f>
        <v>0.51170756000000006</v>
      </c>
      <c r="AL226" s="111">
        <f>[12]GHG_hist!BY216+IF($M226="incl",[12]LULUCF_hist!DP216,0)</f>
        <v>0.57608530000000002</v>
      </c>
      <c r="AM226" s="111">
        <f>[12]GHG_hist!BZ216+IF($M226="incl",[12]LULUCF_hist!DQ216,0)</f>
        <v>0.58184644000000008</v>
      </c>
      <c r="AN226" s="111">
        <f>[12]GHG_hist!CA216+IF($M226="incl",[12]LULUCF_hist!DR216,0)</f>
        <v>0.51291605000000007</v>
      </c>
      <c r="AO226" s="111">
        <f>[12]GHG_hist!CB216+IF($M226="incl",[12]LULUCF_hist!DS216,0)</f>
        <v>0.51936828000000002</v>
      </c>
      <c r="AP226" s="111">
        <f>[12]GHG_hist!CC216+IF($M226="incl",[12]LULUCF_hist!DT216,0)</f>
        <v>0.52118077000000007</v>
      </c>
      <c r="AQ226" s="111">
        <f>[12]GHG_hist!CD216+IF($M226="incl",[12]LULUCF_hist!DU216,0)</f>
        <v>0.50328755000000003</v>
      </c>
      <c r="AR226" s="111">
        <f>[12]GHG_hist!CE216+IF($M226="incl",[12]LULUCF_hist!DV216,0)</f>
        <v>0.49311271000000001</v>
      </c>
      <c r="AS226" s="111">
        <f>[12]GHG_hist!CF216+IF($M226="incl",[12]LULUCF_hist!DW216,0)</f>
        <v>0.50023710999999993</v>
      </c>
      <c r="AT226" s="161">
        <f>VLOOKUP($L226,'[12]IMAGE SSP2'!$AF$3:$AK$29,4,FALSE)*$AM226</f>
        <v>0.62460585262562307</v>
      </c>
      <c r="AU226" s="162">
        <f>VLOOKUP($L226,'[12]IMAGE SSP2'!$AF$3:$AK$29,5,FALSE)*$AM226</f>
        <v>0.64124715388473341</v>
      </c>
      <c r="AV226" s="163">
        <f>VLOOKUP($L226,'[12]IMAGE SSP2'!$AF$3:$AK$29,6,FALSE)*$AM226</f>
        <v>0.6487569142431403</v>
      </c>
      <c r="AW226" s="111" t="str">
        <f t="shared" si="165"/>
        <v/>
      </c>
      <c r="AX226" s="164" t="str">
        <f>IF(A226="B",IF(M226="excl",[12]NatCom!CO216,[12]NatCom!AX216),"")</f>
        <v/>
      </c>
      <c r="AY226" s="111" t="str">
        <f>IF('[12]Pledge 2020'!E216="","",'[12]Pledge 2020'!E216)</f>
        <v/>
      </c>
      <c r="AZ226" s="164" t="str">
        <f>IF('[12]Pledge 2020'!F216="","",'[12]Pledge 2020'!F216)</f>
        <v/>
      </c>
      <c r="BA226" s="111" t="str">
        <f t="shared" si="144"/>
        <v/>
      </c>
      <c r="BB226" s="111"/>
      <c r="BC226" s="111" t="str">
        <f t="shared" si="145"/>
        <v/>
      </c>
      <c r="BD226" s="111"/>
      <c r="BE226" s="111" t="s">
        <v>2477</v>
      </c>
      <c r="BF226" s="111"/>
      <c r="BG226" s="111" t="s">
        <v>2477</v>
      </c>
      <c r="BH226" s="164"/>
      <c r="BI226" s="111" t="str">
        <f>IF([12]NDCs!V228="",IF([12]NDCs!X228="","",[12]NDCs!X228),[12]NDCs!V228)</f>
        <v/>
      </c>
      <c r="BJ226" s="111" t="str">
        <f>IF([12]NDCs!V228="",IF([12]NDCs!X228="","",[12]NDCs!X228),[12]NDCs!V228)</f>
        <v/>
      </c>
      <c r="BK226" s="111" t="str">
        <f>IF([12]NDCs!Z228="",IF([12]NDCs!AB228="",IF('input site'!BE226="","",'input site'!BE226),[12]NDCs!AB228),[12]NDCs!Z228)</f>
        <v/>
      </c>
      <c r="BL226" s="111" t="str">
        <f>IF([12]NDCs!AA228="",IF([12]NDCs!AC228="",IF('input site'!BF226="","",'input site'!BF226),[12]NDCs!AC228),[12]NDCs!AA228)</f>
        <v/>
      </c>
      <c r="BM226" s="111">
        <f>IF($BI$8=2015,VLOOKUP($L226,'[12]IMAGE CurPol SSP'!$AZ$3:$BD$29,4,FALSE)*$AM226,IF($BI$8=2018,VLOOKUP($L226,'[12]IMAGE CurPol SSP'!$BJ$3:$BN$29,4,FALSE)*$AP226,$AR226))</f>
        <v>0.49311271000000001</v>
      </c>
      <c r="BN226" s="111">
        <f t="shared" si="171"/>
        <v>0.49311271000000001</v>
      </c>
      <c r="BO226" s="111">
        <f t="shared" si="171"/>
        <v>0.49311271000000001</v>
      </c>
      <c r="BP226" s="111">
        <f>IF($BI$8=2015,VLOOKUP($L226,'[12]IMAGE CurPol SSP'!$AZ$3:$BD$29,5,FALSE)*$AM226,IF($BI$8=2018,VLOOKUP($L226,'[12]IMAGE CurPol SSP'!$BJ$3:$BN$29,5,FALSE)*$AP226,VLOOKUP($L226,'[12]IMAGE CurPol SSP'!$BU$3:$BZ$29,5,FALSE)*$AS226))</f>
        <v>0.50947312822591906</v>
      </c>
      <c r="BQ226" s="111">
        <f>IF($BI$8=2015,"",IF($BI$8=2018,"",VLOOKUP($L226,'[12]IMAGE CurPol SSP'!$CQ$3:$CV$29,5,FALSE)*$AS226))</f>
        <v>0.49601711300093376</v>
      </c>
      <c r="BR226" s="111">
        <f>IF($BI$8=2015,"",IF($BI$8=2018,"",VLOOKUP($L226,'[12]IMAGE CurPol SSP'!$CF$3:$CK$29,5,FALSE)*$AS226))</f>
        <v>0.50947312822591906</v>
      </c>
      <c r="BS226" s="111">
        <f>IF($BI$8=2015,VLOOKUP($L226,'[12]IMAGE CurPol SSP'!$AZ$3:$BE$29,6,FALSE)*$AM226,IF($BI$8=2018,VLOOKUP($L226,'[12]IMAGE CurPol SSP'!$BJ$3:$BO$29,6,FALSE)*$AP226,VLOOKUP($L226,'[12]IMAGE CurPol SSP'!$BU$3:$BZ$29,6,FALSE)*$AS226))</f>
        <v>0.5244128842475706</v>
      </c>
      <c r="BT226" s="111">
        <f>IF($BI$8=2015,"",IF($BI$8=2018,"",VLOOKUP($L226,'[12]IMAGE CurPol SSP'!$CQ$3:$CV$29,6,FALSE)*$AS226))</f>
        <v>0.48436783859535348</v>
      </c>
      <c r="BU226" s="164">
        <f>IF($BI$8=2015,"",IF($BI$8=2018,"",VLOOKUP($L226,'[12]IMAGE CurPol SSP'!$CF$3:$CK$29,6,FALSE)*$AS226))</f>
        <v>0.5244128842475706</v>
      </c>
      <c r="CN226" t="s">
        <v>481</v>
      </c>
      <c r="CO226" s="165" t="str">
        <f t="shared" si="160"/>
        <v/>
      </c>
      <c r="CP226" s="165" t="str">
        <f t="shared" si="160"/>
        <v/>
      </c>
      <c r="CQ226" s="165" t="str">
        <f t="shared" si="160"/>
        <v/>
      </c>
      <c r="CR226" s="165" t="str">
        <f t="shared" si="155"/>
        <v/>
      </c>
      <c r="CV226" s="125" t="s">
        <v>621</v>
      </c>
      <c r="CW226" s="125" t="s">
        <v>621</v>
      </c>
      <c r="CX226"/>
      <c r="CY226" s="167">
        <f t="shared" si="161"/>
        <v>0.13149314262562306</v>
      </c>
      <c r="DB226" s="106"/>
      <c r="DC226" s="106"/>
      <c r="DD226" s="106"/>
      <c r="DE226" s="106"/>
      <c r="DF226" s="106"/>
      <c r="DG226" s="105" t="str">
        <f t="shared" si="162"/>
        <v>excl</v>
      </c>
      <c r="DH226" t="s">
        <v>481</v>
      </c>
      <c r="DI226" s="111">
        <f t="shared" si="172"/>
        <v>0</v>
      </c>
      <c r="DJ226" s="111">
        <f t="shared" si="172"/>
        <v>0</v>
      </c>
      <c r="DK226" s="111">
        <f t="shared" si="173"/>
        <v>0</v>
      </c>
      <c r="DL226" s="111">
        <f t="shared" si="174"/>
        <v>0</v>
      </c>
      <c r="DM226" s="111">
        <f t="shared" si="175"/>
        <v>0</v>
      </c>
      <c r="DN226" s="111">
        <f t="shared" si="176"/>
        <v>0</v>
      </c>
      <c r="DO226" s="111">
        <f t="shared" si="177"/>
        <v>0</v>
      </c>
      <c r="DP226" s="111">
        <f t="shared" si="178"/>
        <v>0</v>
      </c>
      <c r="DQ226" s="106"/>
      <c r="DR226" s="106"/>
      <c r="DS226" s="111"/>
      <c r="DT226" s="168"/>
      <c r="DW226" s="111">
        <f t="shared" si="163"/>
        <v>0.5244128842475706</v>
      </c>
      <c r="DX226" s="111">
        <f t="shared" si="163"/>
        <v>0.5244128842475706</v>
      </c>
      <c r="DY226" s="111">
        <f t="shared" si="163"/>
        <v>0.5244128842475706</v>
      </c>
      <c r="DZ226" s="111">
        <f t="shared" si="156"/>
        <v>0.5244128842475706</v>
      </c>
      <c r="EP226" t="s">
        <v>481</v>
      </c>
      <c r="EQ226">
        <v>1</v>
      </c>
      <c r="ER226" s="111">
        <f t="shared" si="164"/>
        <v>0.52118077000000007</v>
      </c>
      <c r="ES226" s="111">
        <f>IF($BI$8=2015,VLOOKUP($L226,'[12]IMAGE CDLINKS CurPol'!$P$3:$Y$29,10,FALSE)*$AM226,VLOOKUP($L226,'[12]IMAGE CDLINKS CurPol'!$Z$3:$AI$29,10,FALSE)*$AP226)</f>
        <v>0.53734068002029611</v>
      </c>
      <c r="ET226" s="111">
        <f t="shared" si="124"/>
        <v>0</v>
      </c>
      <c r="EU226" s="111">
        <f t="shared" si="166"/>
        <v>0.20651998665935675</v>
      </c>
      <c r="EV226" s="111">
        <f>IF($BI$8=2015,VLOOKUP($L226,'[12]IMAGE CDLINKS 2C'!$P$3:$Y$29,10,FALSE)*$AM226,VLOOKUP($L226,'[12]IMAGE CDLINKS 2C'!$Z$3:$AI$29,10,FALSE)*$AP226)</f>
        <v>0.20651998665935675</v>
      </c>
      <c r="EW226">
        <v>0</v>
      </c>
      <c r="EX226" s="111">
        <f>EW226-EV226</f>
        <v>-0.20651998665935675</v>
      </c>
      <c r="EY226" s="111">
        <f t="shared" si="167"/>
        <v>0</v>
      </c>
      <c r="EZ226" s="111">
        <f>IF($BI$8=2015,VLOOKUP($L226,'[12]IMAGE CDLINKS 1_5C'!$P$3:$Y$29,10,FALSE)*$AM226,VLOOKUP($L226,'[12]IMAGE CDLINKS 1_5C'!$Z$3:$AI$29,10,FALSE)*$AP226)</f>
        <v>8.9333045540688633E-2</v>
      </c>
      <c r="FA226" s="192">
        <v>2050</v>
      </c>
    </row>
    <row r="227" spans="1:157" x14ac:dyDescent="0.25">
      <c r="A227" t="str">
        <f>IF([12]NDCs!C229="","",[12]NDCs!C229)</f>
        <v/>
      </c>
      <c r="B227" s="159" t="str">
        <f t="shared" si="157"/>
        <v>v</v>
      </c>
      <c r="C227">
        <v>0</v>
      </c>
      <c r="D227">
        <v>0</v>
      </c>
      <c r="E227">
        <v>0</v>
      </c>
      <c r="F227">
        <v>0</v>
      </c>
      <c r="G227" t="b">
        <f t="shared" si="158"/>
        <v>0</v>
      </c>
      <c r="H227" t="s">
        <v>2328</v>
      </c>
      <c r="I227" t="s">
        <v>483</v>
      </c>
      <c r="J227">
        <v>336</v>
      </c>
      <c r="K227">
        <v>85</v>
      </c>
      <c r="L227">
        <v>11</v>
      </c>
      <c r="M227" t="str">
        <f>IF([12]NDCs!AL229="Excluding","excl","incl")</f>
        <v>excl</v>
      </c>
      <c r="N227" s="160">
        <f>[12]GHG_hist!BA217+IF($M227="incl",[12]LULUCF_hist!CR217,0)</f>
        <v>7.1451256000000006E-3</v>
      </c>
      <c r="O227" s="111">
        <f>[12]GHG_hist!BB217+IF($M227="incl",[12]LULUCF_hist!CS217,0)</f>
        <v>7.1940163000000007E-3</v>
      </c>
      <c r="P227" s="111">
        <f>[12]GHG_hist!BC217+IF($M227="incl",[12]LULUCF_hist!CT217,0)</f>
        <v>7.1652508E-3</v>
      </c>
      <c r="Q227" s="111">
        <f>[12]GHG_hist!BD217+IF($M227="incl",[12]LULUCF_hist!CU217,0)</f>
        <v>7.0321309E-3</v>
      </c>
      <c r="R227" s="111">
        <f>[12]GHG_hist!BE217+IF($M227="incl",[12]LULUCF_hist!CV217,0)</f>
        <v>6.9678380000000005E-3</v>
      </c>
      <c r="S227" s="111">
        <f>[12]GHG_hist!BF217+IF($M227="incl",[12]LULUCF_hist!CW217,0)</f>
        <v>7.3959565000000001E-3</v>
      </c>
      <c r="T227" s="111">
        <f>[12]GHG_hist!BG217+IF($M227="incl",[12]LULUCF_hist!CX217,0)</f>
        <v>7.3202964000000006E-3</v>
      </c>
      <c r="U227" s="111">
        <f>[12]GHG_hist!BH217+IF($M227="incl",[12]LULUCF_hist!CY217,0)</f>
        <v>7.4156018000000002E-3</v>
      </c>
      <c r="V227" s="111">
        <f>[12]GHG_hist!BI217+IF($M227="incl",[12]LULUCF_hist!CZ217,0)</f>
        <v>7.5727203000000003E-3</v>
      </c>
      <c r="W227" s="111">
        <f>[12]GHG_hist!BJ217+IF($M227="incl",[12]LULUCF_hist!DA217,0)</f>
        <v>7.684737100000001E-3</v>
      </c>
      <c r="X227" s="111">
        <f>[12]GHG_hist!BK217+IF($M227="incl",[12]LULUCF_hist!DB217,0)</f>
        <v>7.7471784000000005E-3</v>
      </c>
      <c r="Y227" s="111">
        <f>[12]GHG_hist!BL217+IF($M227="incl",[12]LULUCF_hist!DC217,0)</f>
        <v>7.6561988000000006E-3</v>
      </c>
      <c r="Z227" s="111">
        <f>[12]GHG_hist!BM217+IF($M227="incl",[12]LULUCF_hist!DD217,0)</f>
        <v>7.7315728000000002E-3</v>
      </c>
      <c r="AA227" s="111">
        <f>[12]GHG_hist!BN217+IF($M227="incl",[12]LULUCF_hist!DE217,0)</f>
        <v>7.9882817000000005E-3</v>
      </c>
      <c r="AB227" s="111">
        <f>[12]GHG_hist!BO217+IF($M227="incl",[12]LULUCF_hist!DF217,0)</f>
        <v>7.9848166999999994E-3</v>
      </c>
      <c r="AC227" s="111">
        <f>[12]GHG_hist!BP217+IF($M227="incl",[12]LULUCF_hist!DG217,0)</f>
        <v>7.9671922000000006E-3</v>
      </c>
      <c r="AD227" s="111">
        <f>[12]GHG_hist!BQ217+IF($M227="incl",[12]LULUCF_hist!DH217,0)</f>
        <v>7.8117561E-3</v>
      </c>
      <c r="AE227" s="111">
        <f>[12]GHG_hist!BR217+IF($M227="incl",[12]LULUCF_hist!DI217,0)</f>
        <v>7.6420409E-3</v>
      </c>
      <c r="AF227" s="111">
        <f>[12]GHG_hist!BS217+IF($M227="incl",[12]LULUCF_hist!DJ217,0)</f>
        <v>7.3937396000000001E-3</v>
      </c>
      <c r="AG227" s="111">
        <f>[12]GHG_hist!BT217+IF($M227="incl",[12]LULUCF_hist!DK217,0)</f>
        <v>6.6645576E-3</v>
      </c>
      <c r="AH227" s="111">
        <f>[12]GHG_hist!BU217+IF($M227="incl",[12]LULUCF_hist!DL217,0)</f>
        <v>6.7667045000000007E-3</v>
      </c>
      <c r="AI227" s="111">
        <f>[12]GHG_hist!BV217+IF($M227="incl",[12]LULUCF_hist!DM217,0)</f>
        <v>6.6007892999999998E-3</v>
      </c>
      <c r="AJ227" s="111">
        <f>[12]GHG_hist!BW217+IF($M227="incl",[12]LULUCF_hist!DN217,0)</f>
        <v>6.3692947999999996E-3</v>
      </c>
      <c r="AK227" s="111">
        <f>[12]GHG_hist!BX217+IF($M227="incl",[12]LULUCF_hist!DO217,0)</f>
        <v>5.8770738999999999E-3</v>
      </c>
      <c r="AL227" s="111">
        <f>[12]GHG_hist!BY217+IF($M227="incl",[12]LULUCF_hist!DP217,0)</f>
        <v>5.5868330000000003E-3</v>
      </c>
      <c r="AM227" s="111">
        <f>[12]GHG_hist!BZ217+IF($M227="incl",[12]LULUCF_hist!DQ217,0)</f>
        <v>5.7238648000000007E-3</v>
      </c>
      <c r="AN227" s="111">
        <f>[12]GHG_hist!CA217+IF($M227="incl",[12]LULUCF_hist!DR217,0)</f>
        <v>5.6505365E-3</v>
      </c>
      <c r="AO227" s="111">
        <f>[12]GHG_hist!CB217+IF($M227="incl",[12]LULUCF_hist!DS217,0)</f>
        <v>5.5515078999999997E-3</v>
      </c>
      <c r="AP227" s="111">
        <f>[12]GHG_hist!CC217+IF($M227="incl",[12]LULUCF_hist!DT217,0)</f>
        <v>5.5534916E-3</v>
      </c>
      <c r="AQ227" s="111">
        <f>[12]GHG_hist!CD217+IF($M227="incl",[12]LULUCF_hist!DU217,0)</f>
        <v>5.3981557000000006E-3</v>
      </c>
      <c r="AR227" s="111">
        <f>[12]GHG_hist!CE217+IF($M227="incl",[12]LULUCF_hist!DV217,0)</f>
        <v>4.8765709000000001E-3</v>
      </c>
      <c r="AS227" s="111">
        <f>[12]GHG_hist!CF217+IF($M227="incl",[12]LULUCF_hist!DW217,0)</f>
        <v>5.1801183999999993E-3</v>
      </c>
      <c r="AT227" s="161">
        <f>VLOOKUP($L227,'[12]IMAGE SSP2'!$AF$3:$AK$29,4,FALSE)*$AM227</f>
        <v>5.5658715354341207E-3</v>
      </c>
      <c r="AU227" s="162">
        <f>VLOOKUP($L227,'[12]IMAGE SSP2'!$AF$3:$AK$29,5,FALSE)*$AM227</f>
        <v>5.3816337422134533E-3</v>
      </c>
      <c r="AV227" s="163">
        <f>VLOOKUP($L227,'[12]IMAGE SSP2'!$AF$3:$AK$29,6,FALSE)*$AM227</f>
        <v>5.3516896203518452E-3</v>
      </c>
      <c r="AW227" s="111" t="str">
        <f t="shared" si="165"/>
        <v/>
      </c>
      <c r="AX227" s="164" t="str">
        <f>IF(A227="B",IF(M227="excl",[12]NatCom!CO217,[12]NatCom!AX217),"")</f>
        <v/>
      </c>
      <c r="AY227" s="111" t="str">
        <f>IF('[12]Pledge 2020'!E217="","",'[12]Pledge 2020'!E217)</f>
        <v/>
      </c>
      <c r="AZ227" s="164" t="str">
        <f>IF('[12]Pledge 2020'!F217="","",'[12]Pledge 2020'!F217)</f>
        <v/>
      </c>
      <c r="BA227" s="111" t="str">
        <f t="shared" si="144"/>
        <v/>
      </c>
      <c r="BB227" s="111"/>
      <c r="BC227" s="111" t="str">
        <f t="shared" si="145"/>
        <v/>
      </c>
      <c r="BD227" s="111"/>
      <c r="BE227" s="111" t="s">
        <v>2477</v>
      </c>
      <c r="BF227" s="111"/>
      <c r="BG227" s="111" t="s">
        <v>2477</v>
      </c>
      <c r="BH227" s="164"/>
      <c r="BI227" s="111" t="str">
        <f>IF([12]NDCs!V229="",IF([12]NDCs!X229="","",[12]NDCs!X229),[12]NDCs!V229)</f>
        <v/>
      </c>
      <c r="BJ227" s="111" t="str">
        <f>IF([12]NDCs!V229="",IF([12]NDCs!X229="","",[12]NDCs!X229),[12]NDCs!V229)</f>
        <v/>
      </c>
      <c r="BK227" s="111" t="str">
        <f>IF([12]NDCs!Z229="",IF([12]NDCs!AB229="",IF('input site'!BE227="","",'input site'!BE227),[12]NDCs!AB229),[12]NDCs!Z229)</f>
        <v/>
      </c>
      <c r="BL227" s="111" t="str">
        <f>IF([12]NDCs!AA229="",IF([12]NDCs!AC229="",IF('input site'!BF227="","",'input site'!BF227),[12]NDCs!AC229),[12]NDCs!AA229)</f>
        <v/>
      </c>
      <c r="BM227" s="111">
        <f>IF($BI$8=2015,VLOOKUP($L227,'[12]IMAGE CurPol SSP'!$AZ$3:$BD$29,4,FALSE)*$AM227,IF($BI$8=2018,VLOOKUP($L227,'[12]IMAGE CurPol SSP'!$BJ$3:$BN$29,4,FALSE)*$AP227,$AR227))</f>
        <v>4.8765709000000001E-3</v>
      </c>
      <c r="BN227" s="111">
        <f t="shared" si="171"/>
        <v>4.8765709000000001E-3</v>
      </c>
      <c r="BO227" s="111">
        <f t="shared" si="171"/>
        <v>4.8765709000000001E-3</v>
      </c>
      <c r="BP227" s="111">
        <f>IF($BI$8=2015,VLOOKUP($L227,'[12]IMAGE CurPol SSP'!$AZ$3:$BD$29,5,FALSE)*$AM227,IF($BI$8=2018,VLOOKUP($L227,'[12]IMAGE CurPol SSP'!$BJ$3:$BN$29,5,FALSE)*$AP227,VLOOKUP($L227,'[12]IMAGE CurPol SSP'!$BU$3:$BZ$29,5,FALSE)*$AS227))</f>
        <v>4.2017994234153019E-3</v>
      </c>
      <c r="BQ227" s="111">
        <f>IF($BI$8=2015,"",IF($BI$8=2018,"",VLOOKUP($L227,'[12]IMAGE CurPol SSP'!$CQ$3:$CV$29,5,FALSE)*$AS227))</f>
        <v>4.0836514691161684E-3</v>
      </c>
      <c r="BR227" s="111">
        <f>IF($BI$8=2015,"",IF($BI$8=2018,"",VLOOKUP($L227,'[12]IMAGE CurPol SSP'!$CF$3:$CK$29,5,FALSE)*$AS227))</f>
        <v>4.2735543014611943E-3</v>
      </c>
      <c r="BS227" s="111">
        <f>IF($BI$8=2015,VLOOKUP($L227,'[12]IMAGE CurPol SSP'!$AZ$3:$BE$29,6,FALSE)*$AM227,IF($BI$8=2018,VLOOKUP($L227,'[12]IMAGE CurPol SSP'!$BJ$3:$BO$29,6,FALSE)*$AP227,VLOOKUP($L227,'[12]IMAGE CurPol SSP'!$BU$3:$BZ$29,6,FALSE)*$AS227))</f>
        <v>2.8902445126569626E-3</v>
      </c>
      <c r="BT227" s="111">
        <f>IF($BI$8=2015,"",IF($BI$8=2018,"",VLOOKUP($L227,'[12]IMAGE CurPol SSP'!$CQ$3:$CV$29,6,FALSE)*$AS227))</f>
        <v>2.70283491709402E-3</v>
      </c>
      <c r="BU227" s="164">
        <f>IF($BI$8=2015,"",IF($BI$8=2018,"",VLOOKUP($L227,'[12]IMAGE CurPol SSP'!$CF$3:$CK$29,6,FALSE)*$AS227))</f>
        <v>3.0374977772080185E-3</v>
      </c>
      <c r="CN227" t="s">
        <v>483</v>
      </c>
      <c r="CO227" s="165" t="str">
        <f t="shared" si="160"/>
        <v/>
      </c>
      <c r="CP227" s="165" t="str">
        <f t="shared" si="160"/>
        <v/>
      </c>
      <c r="CQ227" s="165" t="str">
        <f t="shared" si="160"/>
        <v/>
      </c>
      <c r="CR227" s="165" t="str">
        <f t="shared" si="155"/>
        <v/>
      </c>
      <c r="CV227" s="125" t="s">
        <v>621</v>
      </c>
      <c r="CW227" s="125" t="s">
        <v>621</v>
      </c>
      <c r="CX227" s="208">
        <f>AP227/$AP$255</f>
        <v>1.2154080136346563E-7</v>
      </c>
      <c r="CY227" s="167">
        <f t="shared" si="161"/>
        <v>6.8930063543412058E-4</v>
      </c>
      <c r="DB227" s="106"/>
      <c r="DC227" s="106"/>
      <c r="DD227" s="106"/>
      <c r="DE227" s="106"/>
      <c r="DF227" s="106"/>
      <c r="DG227" s="105" t="str">
        <f t="shared" si="162"/>
        <v>excl</v>
      </c>
      <c r="DH227" t="s">
        <v>483</v>
      </c>
      <c r="DI227" s="111">
        <f t="shared" si="172"/>
        <v>0</v>
      </c>
      <c r="DJ227" s="111">
        <f t="shared" si="172"/>
        <v>0</v>
      </c>
      <c r="DK227" s="111">
        <f t="shared" si="173"/>
        <v>0</v>
      </c>
      <c r="DL227" s="111">
        <f t="shared" si="174"/>
        <v>0</v>
      </c>
      <c r="DM227" s="111">
        <f t="shared" si="175"/>
        <v>0</v>
      </c>
      <c r="DN227" s="111">
        <f t="shared" si="176"/>
        <v>0</v>
      </c>
      <c r="DO227" s="111">
        <f t="shared" si="177"/>
        <v>0</v>
      </c>
      <c r="DP227" s="111">
        <f t="shared" si="178"/>
        <v>0</v>
      </c>
      <c r="DQ227" s="106"/>
      <c r="DR227" s="106"/>
      <c r="DS227" s="111"/>
      <c r="DT227" s="168"/>
      <c r="DW227" s="111">
        <f t="shared" si="163"/>
        <v>2.8902445126569626E-3</v>
      </c>
      <c r="DX227" s="111">
        <f t="shared" si="163"/>
        <v>2.8902445126569626E-3</v>
      </c>
      <c r="DY227" s="111">
        <f t="shared" si="163"/>
        <v>2.8902445126569626E-3</v>
      </c>
      <c r="DZ227" s="111">
        <f t="shared" si="156"/>
        <v>2.8902445126569626E-3</v>
      </c>
      <c r="EP227" t="s">
        <v>483</v>
      </c>
      <c r="EQ227">
        <v>0</v>
      </c>
      <c r="ER227" s="111">
        <f t="shared" si="164"/>
        <v>5.5534916E-3</v>
      </c>
      <c r="ES227" s="111">
        <f>IF($BI$8=2015,VLOOKUP($L227,'[12]IMAGE CDLINKS CurPol'!$P$3:$Y$29,10,FALSE)*$AM227,VLOOKUP($L227,'[12]IMAGE CDLINKS CurPol'!$Z$3:$AI$29,10,FALSE)*$AP227)</f>
        <v>5.3215959921147091E-3</v>
      </c>
      <c r="ET227" s="111">
        <f t="shared" si="124"/>
        <v>5.3215959921147091E-3</v>
      </c>
      <c r="EU227" s="111">
        <f t="shared" si="166"/>
        <v>1.1338154588382185E-3</v>
      </c>
      <c r="EV227" s="111">
        <f>IF($BI$8=2015,VLOOKUP($L227,'[12]IMAGE CDLINKS 2C'!$P$3:$Y$29,10,FALSE)*$AM227,VLOOKUP($L227,'[12]IMAGE CDLINKS 2C'!$Z$3:$AI$29,10,FALSE)*$AP227)</f>
        <v>1.1338154588382185E-3</v>
      </c>
      <c r="EY227" s="111">
        <f t="shared" si="167"/>
        <v>6.2714043239722858E-4</v>
      </c>
      <c r="EZ227" s="111">
        <f>IF($BI$8=2015,VLOOKUP($L227,'[12]IMAGE CDLINKS 1_5C'!$P$3:$Y$29,10,FALSE)*$AM227,VLOOKUP($L227,'[12]IMAGE CDLINKS 1_5C'!$Z$3:$AI$29,10,FALSE)*$AP227)</f>
        <v>6.2714043239722858E-4</v>
      </c>
      <c r="FA227" s="192"/>
    </row>
    <row r="228" spans="1:157" x14ac:dyDescent="0.25">
      <c r="A228" t="str">
        <f>IF([12]NDCs!C230="","",[12]NDCs!C230)</f>
        <v>C</v>
      </c>
      <c r="B228" s="159" t="str">
        <f t="shared" si="157"/>
        <v>v</v>
      </c>
      <c r="C228">
        <v>0</v>
      </c>
      <c r="D228">
        <v>0</v>
      </c>
      <c r="E228">
        <v>0</v>
      </c>
      <c r="F228">
        <v>1</v>
      </c>
      <c r="G228" t="b">
        <f t="shared" si="158"/>
        <v>1</v>
      </c>
      <c r="H228" t="s">
        <v>2328</v>
      </c>
      <c r="I228" t="s">
        <v>485</v>
      </c>
      <c r="J228">
        <v>862</v>
      </c>
      <c r="K228">
        <v>219</v>
      </c>
      <c r="L228">
        <v>6</v>
      </c>
      <c r="M228" t="str">
        <f>IF([12]NDCs!AL230="Excluding","excl","incl")</f>
        <v>excl</v>
      </c>
      <c r="N228" s="160">
        <f>[12]GHG_hist!BA218+IF($M228="incl",[12]LULUCF_hist!CR218,0)</f>
        <v>186.39445000000001</v>
      </c>
      <c r="O228" s="111">
        <f>[12]GHG_hist!BB218+IF($M228="incl",[12]LULUCF_hist!CS218,0)</f>
        <v>181.66628</v>
      </c>
      <c r="P228" s="111">
        <f>[12]GHG_hist!BC218+IF($M228="incl",[12]LULUCF_hist!CT218,0)</f>
        <v>171.65484000000001</v>
      </c>
      <c r="Q228" s="111">
        <f>[12]GHG_hist!BD218+IF($M228="incl",[12]LULUCF_hist!CU218,0)</f>
        <v>187.91915</v>
      </c>
      <c r="R228" s="111">
        <f>[12]GHG_hist!BE218+IF($M228="incl",[12]LULUCF_hist!CV218,0)</f>
        <v>194.08511999999999</v>
      </c>
      <c r="S228" s="111">
        <f>[12]GHG_hist!BF218+IF($M228="incl",[12]LULUCF_hist!CW218,0)</f>
        <v>204.10851000000002</v>
      </c>
      <c r="T228" s="111">
        <f>[12]GHG_hist!BG218+IF($M228="incl",[12]LULUCF_hist!CX218,0)</f>
        <v>199.71145000000001</v>
      </c>
      <c r="U228" s="111">
        <f>[12]GHG_hist!BH218+IF($M228="incl",[12]LULUCF_hist!CY218,0)</f>
        <v>219.05245000000002</v>
      </c>
      <c r="V228" s="111">
        <f>[12]GHG_hist!BI218+IF($M228="incl",[12]LULUCF_hist!CZ218,0)</f>
        <v>257.83258000000001</v>
      </c>
      <c r="W228" s="111">
        <f>[12]GHG_hist!BJ218+IF($M228="incl",[12]LULUCF_hist!DA218,0)</f>
        <v>262.38785999999999</v>
      </c>
      <c r="X228" s="111">
        <f>[12]GHG_hist!BK218+IF($M228="incl",[12]LULUCF_hist!DB218,0)</f>
        <v>234.31106</v>
      </c>
      <c r="Y228" s="111">
        <f>[12]GHG_hist!BL218+IF($M228="incl",[12]LULUCF_hist!DC218,0)</f>
        <v>259.81245000000001</v>
      </c>
      <c r="Z228" s="111">
        <f>[12]GHG_hist!BM218+IF($M228="incl",[12]LULUCF_hist!DD218,0)</f>
        <v>279.23324000000002</v>
      </c>
      <c r="AA228" s="111">
        <f>[12]GHG_hist!BN218+IF($M228="incl",[12]LULUCF_hist!DE218,0)</f>
        <v>279.30396999999999</v>
      </c>
      <c r="AB228" s="111">
        <f>[12]GHG_hist!BO218+IF($M228="incl",[12]LULUCF_hist!DF218,0)</f>
        <v>242.04174</v>
      </c>
      <c r="AC228" s="111">
        <f>[12]GHG_hist!BP218+IF($M228="incl",[12]LULUCF_hist!DG218,0)</f>
        <v>256.24217000000004</v>
      </c>
      <c r="AD228" s="111">
        <f>[12]GHG_hist!BQ218+IF($M228="incl",[12]LULUCF_hist!DH218,0)</f>
        <v>252.88229999999999</v>
      </c>
      <c r="AE228" s="111">
        <f>[12]GHG_hist!BR218+IF($M228="incl",[12]LULUCF_hist!DI218,0)</f>
        <v>245.42871</v>
      </c>
      <c r="AF228" s="111">
        <f>[12]GHG_hist!BS218+IF($M228="incl",[12]LULUCF_hist!DJ218,0)</f>
        <v>266.76956000000001</v>
      </c>
      <c r="AG228" s="111">
        <f>[12]GHG_hist!BT218+IF($M228="incl",[12]LULUCF_hist!DK218,0)</f>
        <v>265.01718</v>
      </c>
      <c r="AH228" s="111">
        <f>[12]GHG_hist!BU218+IF($M228="incl",[12]LULUCF_hist!DL218,0)</f>
        <v>273.75847999999996</v>
      </c>
      <c r="AI228" s="111">
        <f>[12]GHG_hist!BV218+IF($M228="incl",[12]LULUCF_hist!DM218,0)</f>
        <v>260.43657999999999</v>
      </c>
      <c r="AJ228" s="111">
        <f>[12]GHG_hist!BW218+IF($M228="incl",[12]LULUCF_hist!DN218,0)</f>
        <v>286.78861999999998</v>
      </c>
      <c r="AK228" s="111">
        <f>[12]GHG_hist!BX218+IF($M228="incl",[12]LULUCF_hist!DO218,0)</f>
        <v>271.28973999999999</v>
      </c>
      <c r="AL228" s="111">
        <f>[12]GHG_hist!BY218+IF($M228="incl",[12]LULUCF_hist!DP218,0)</f>
        <v>270.14088000000004</v>
      </c>
      <c r="AM228" s="111">
        <f>[12]GHG_hist!BZ218+IF($M228="incl",[12]LULUCF_hist!DQ218,0)</f>
        <v>251.19932</v>
      </c>
      <c r="AN228" s="111">
        <f>[12]GHG_hist!CA218+IF($M228="incl",[12]LULUCF_hist!DR218,0)</f>
        <v>238.53032999999999</v>
      </c>
      <c r="AO228" s="111">
        <f>[12]GHG_hist!CB218+IF($M228="incl",[12]LULUCF_hist!DS218,0)</f>
        <v>215.00877</v>
      </c>
      <c r="AP228" s="111">
        <f>[12]GHG_hist!CC218+IF($M228="incl",[12]LULUCF_hist!DT218,0)</f>
        <v>191.48263</v>
      </c>
      <c r="AQ228" s="111">
        <f>[12]GHG_hist!CD218+IF($M228="incl",[12]LULUCF_hist!DU218,0)</f>
        <v>175.59493000000001</v>
      </c>
      <c r="AR228" s="111">
        <f>[12]GHG_hist!CE218+IF($M228="incl",[12]LULUCF_hist!DV218,0)</f>
        <v>150.87864999999999</v>
      </c>
      <c r="AS228" s="111">
        <f>[12]GHG_hist!CF218+IF($M228="incl",[12]LULUCF_hist!DW218,0)</f>
        <v>163.06128000000001</v>
      </c>
      <c r="AT228" s="161">
        <f>VLOOKUP($L228,'[12]IMAGE SSP2'!$AF$3:$AK$29,4,FALSE)*$AM228</f>
        <v>282.57438939416863</v>
      </c>
      <c r="AU228" s="162">
        <f>VLOOKUP($L228,'[12]IMAGE SSP2'!$AF$3:$AK$29,5,FALSE)*$AM228</f>
        <v>311.89429423438526</v>
      </c>
      <c r="AV228" s="163">
        <f>VLOOKUP($L228,'[12]IMAGE SSP2'!$AF$3:$AK$29,6,FALSE)*$AM228</f>
        <v>338.33927630347296</v>
      </c>
      <c r="AW228" s="111" t="str">
        <f t="shared" si="165"/>
        <v/>
      </c>
      <c r="AX228" s="164" t="str">
        <f>IF(A228="B",IF(M228="excl",[12]NatCom!CO218,[12]NatCom!AX218),"")</f>
        <v/>
      </c>
      <c r="AY228" s="111" t="str">
        <f>IF('[12]Pledge 2020'!E218="","",'[12]Pledge 2020'!E218)</f>
        <v/>
      </c>
      <c r="AZ228" s="164" t="str">
        <f>IF('[12]Pledge 2020'!F218="","",'[12]Pledge 2020'!F218)</f>
        <v/>
      </c>
      <c r="BA228" s="111" t="str">
        <f t="shared" si="144"/>
        <v/>
      </c>
      <c r="BB228" s="111"/>
      <c r="BC228" s="111">
        <f t="shared" si="145"/>
        <v>319.61864000000003</v>
      </c>
      <c r="BD228" s="111">
        <f>IF(BH228="","",(BH228-AH228)*0.75+AH228)</f>
        <v>319.61864000000003</v>
      </c>
      <c r="BE228" s="111" t="s">
        <v>2477</v>
      </c>
      <c r="BF228" s="111"/>
      <c r="BG228" s="111">
        <v>334.90536000000003</v>
      </c>
      <c r="BH228" s="111">
        <v>334.90536000000003</v>
      </c>
      <c r="BI228" s="111" t="str">
        <f>IF([12]NDCs!V230="",IF([12]NDCs!X230="","",[12]NDCs!X230),[12]NDCs!V230)</f>
        <v/>
      </c>
      <c r="BJ228" s="111" t="str">
        <f>IF([12]NDCs!V230="",IF([12]NDCs!X230="","",[12]NDCs!X230),[12]NDCs!V230)</f>
        <v/>
      </c>
      <c r="BK228" s="111">
        <f>IF([12]NDCs!Z230="",IF([12]NDCs!AB230="",IF('input site'!BE228="","",'input site'!BE228),[12]NDCs!AB230),[12]NDCs!Z230)</f>
        <v>334.90536000000003</v>
      </c>
      <c r="BL228" s="111">
        <f>IF([12]NDCs!AA230="",IF([12]NDCs!AC230="",IF('input site'!BF228="","",'input site'!BF228),[12]NDCs!AC230),[12]NDCs!AA230)</f>
        <v>334.90536000000003</v>
      </c>
      <c r="BM228" s="111">
        <f>IF($BI$8=2015,VLOOKUP($L228,'[12]IMAGE CurPol SSP'!$AZ$3:$BD$29,4,FALSE)*$AM228,IF($BI$8=2018,VLOOKUP($L228,'[12]IMAGE CurPol SSP'!$BJ$3:$BN$29,4,FALSE)*$AP228,$AR228))</f>
        <v>150.87864999999999</v>
      </c>
      <c r="BN228" s="111">
        <f t="shared" si="171"/>
        <v>150.87864999999999</v>
      </c>
      <c r="BO228" s="111">
        <f t="shared" si="171"/>
        <v>150.87864999999999</v>
      </c>
      <c r="BP228" s="111">
        <f>IF($BI$8=2015,VLOOKUP($L228,'[12]IMAGE CurPol SSP'!$AZ$3:$BD$29,5,FALSE)*$AM228,IF($BI$8=2018,VLOOKUP($L228,'[12]IMAGE CurPol SSP'!$BJ$3:$BN$29,5,FALSE)*$AP228,VLOOKUP($L228,'[12]IMAGE CurPol SSP'!$BU$3:$BZ$29,5,FALSE)*$AS228))</f>
        <v>169.93476404965807</v>
      </c>
      <c r="BQ228" s="111">
        <f>IF($BI$8=2015,"",IF($BI$8=2018,"",VLOOKUP($L228,'[12]IMAGE CurPol SSP'!$CQ$3:$CV$29,5,FALSE)*$AS228))</f>
        <v>167.18171588009847</v>
      </c>
      <c r="BR228" s="111">
        <f>IF($BI$8=2015,"",IF($BI$8=2018,"",VLOOKUP($L228,'[12]IMAGE CurPol SSP'!$CF$3:$CK$29,5,FALSE)*$AS228))</f>
        <v>172.71342494698987</v>
      </c>
      <c r="BS228" s="111">
        <f>IF($BI$8=2015,VLOOKUP($L228,'[12]IMAGE CurPol SSP'!$AZ$3:$BE$29,6,FALSE)*$AM228,IF($BI$8=2018,VLOOKUP($L228,'[12]IMAGE CurPol SSP'!$BJ$3:$BO$29,6,FALSE)*$AP228,VLOOKUP($L228,'[12]IMAGE CurPol SSP'!$BU$3:$BZ$29,6,FALSE)*$AS228))</f>
        <v>181.23396566873458</v>
      </c>
      <c r="BT228" s="111">
        <f>IF($BI$8=2015,"",IF($BI$8=2018,"",VLOOKUP($L228,'[12]IMAGE CurPol SSP'!$CQ$3:$CV$29,6,FALSE)*$AS228))</f>
        <v>178.04650304182678</v>
      </c>
      <c r="BU228" s="164">
        <f>IF($BI$8=2015,"",IF($BI$8=2018,"",VLOOKUP($L228,'[12]IMAGE CurPol SSP'!$CF$3:$CK$29,6,FALSE)*$AS228))</f>
        <v>182.25253040514426</v>
      </c>
      <c r="CN228" t="s">
        <v>485</v>
      </c>
      <c r="CO228" s="165" t="str">
        <f t="shared" si="160"/>
        <v/>
      </c>
      <c r="CP228" s="165" t="str">
        <f t="shared" si="160"/>
        <v/>
      </c>
      <c r="CQ228" s="165">
        <f t="shared" si="160"/>
        <v>0.84791718684868966</v>
      </c>
      <c r="CR228" s="165">
        <f t="shared" si="155"/>
        <v>0.84791718684868966</v>
      </c>
      <c r="CV228" s="125" t="s">
        <v>621</v>
      </c>
      <c r="CW228" s="125" t="s">
        <v>621</v>
      </c>
      <c r="CX228"/>
      <c r="CY228" s="167">
        <f t="shared" si="161"/>
        <v>131.69573939416864</v>
      </c>
      <c r="DB228" s="106"/>
      <c r="DC228" s="106"/>
      <c r="DD228" s="106"/>
      <c r="DE228" s="106"/>
      <c r="DF228" s="106"/>
      <c r="DG228" s="105" t="str">
        <f t="shared" si="162"/>
        <v>excl</v>
      </c>
      <c r="DH228" t="s">
        <v>485</v>
      </c>
      <c r="DI228" s="111">
        <f t="shared" si="172"/>
        <v>0</v>
      </c>
      <c r="DJ228" s="111">
        <f t="shared" si="172"/>
        <v>0</v>
      </c>
      <c r="DK228" s="111">
        <f t="shared" si="173"/>
        <v>0</v>
      </c>
      <c r="DL228" s="111">
        <f t="shared" si="174"/>
        <v>149.68387595034196</v>
      </c>
      <c r="DM228" s="111">
        <f t="shared" si="175"/>
        <v>0</v>
      </c>
      <c r="DN228" s="111">
        <f t="shared" si="176"/>
        <v>153.67139433126545</v>
      </c>
      <c r="DO228" s="111">
        <f t="shared" si="177"/>
        <v>0</v>
      </c>
      <c r="DP228" s="111">
        <f t="shared" si="178"/>
        <v>153.67139433126545</v>
      </c>
      <c r="DQ228" s="106"/>
      <c r="DR228" s="106"/>
      <c r="DS228" s="111"/>
      <c r="DT228" s="168"/>
      <c r="DW228" s="111">
        <f t="shared" si="163"/>
        <v>181.23396566873458</v>
      </c>
      <c r="DX228" s="111">
        <f t="shared" si="163"/>
        <v>181.23396566873458</v>
      </c>
      <c r="DY228" s="111">
        <f t="shared" si="163"/>
        <v>334.90536000000003</v>
      </c>
      <c r="DZ228" s="111">
        <f t="shared" si="156"/>
        <v>334.90536000000003</v>
      </c>
      <c r="EP228" t="s">
        <v>485</v>
      </c>
      <c r="EQ228">
        <v>0</v>
      </c>
      <c r="ER228" s="111">
        <f t="shared" si="164"/>
        <v>191.48263</v>
      </c>
      <c r="ES228" s="111">
        <f>IF($BI$8=2015,VLOOKUP($L228,'[12]IMAGE CDLINKS CurPol'!$P$3:$Y$29,10,FALSE)*$AM228,VLOOKUP($L228,'[12]IMAGE CDLINKS CurPol'!$Z$3:$AI$29,10,FALSE)*$AP228)</f>
        <v>312.56789713503895</v>
      </c>
      <c r="ET228" s="111">
        <f t="shared" si="124"/>
        <v>312.56789713503895</v>
      </c>
      <c r="EU228" s="111">
        <f t="shared" si="166"/>
        <v>122.73869493621525</v>
      </c>
      <c r="EV228" s="111">
        <f>IF($BI$8=2015,VLOOKUP($L228,'[12]IMAGE CDLINKS 2C'!$P$3:$Y$29,10,FALSE)*$AM228,VLOOKUP($L228,'[12]IMAGE CDLINKS 2C'!$Z$3:$AI$29,10,FALSE)*$AP228)</f>
        <v>122.73869493621525</v>
      </c>
      <c r="EY228" s="111">
        <f t="shared" si="167"/>
        <v>72.615436764438087</v>
      </c>
      <c r="EZ228" s="111">
        <f>IF($BI$8=2015,VLOOKUP($L228,'[12]IMAGE CDLINKS 1_5C'!$P$3:$Y$29,10,FALSE)*$AM228,VLOOKUP($L228,'[12]IMAGE CDLINKS 1_5C'!$Z$3:$AI$29,10,FALSE)*$AP228)</f>
        <v>72.615436764438087</v>
      </c>
      <c r="FA228" s="192"/>
    </row>
    <row r="229" spans="1:157" x14ac:dyDescent="0.25">
      <c r="A229" t="str">
        <f>IF([12]NDCs!C231="","",[12]NDCs!C231)</f>
        <v>B</v>
      </c>
      <c r="B229" s="159" t="str">
        <f t="shared" si="157"/>
        <v>ii</v>
      </c>
      <c r="C229">
        <v>1</v>
      </c>
      <c r="D229">
        <v>0</v>
      </c>
      <c r="E229">
        <v>0</v>
      </c>
      <c r="F229">
        <v>1</v>
      </c>
      <c r="G229" t="b">
        <f t="shared" si="158"/>
        <v>1</v>
      </c>
      <c r="H229" t="s">
        <v>2328</v>
      </c>
      <c r="I229" t="s">
        <v>487</v>
      </c>
      <c r="J229">
        <v>704</v>
      </c>
      <c r="K229">
        <v>183</v>
      </c>
      <c r="L229">
        <v>21</v>
      </c>
      <c r="M229" t="str">
        <f>IF([12]NDCs!AL231="Excluding","excl","incl")</f>
        <v>incl</v>
      </c>
      <c r="N229" s="177">
        <f>[12]VTN!$A$24*IF($M229="incl",[12]VTN!E$41,[12]VTN!E$37)</f>
        <v>103.83</v>
      </c>
      <c r="O229" s="177">
        <f>[12]VTN!$A$24*IF($M229="incl",[12]VTN!F$41,[12]VTN!F$37)</f>
        <v>103.83225</v>
      </c>
      <c r="P229" s="177">
        <f>[12]VTN!$A$24*IF($M229="incl",[12]VTN!G$41,[12]VTN!G$37)</f>
        <v>103.834499999999</v>
      </c>
      <c r="Q229" s="177">
        <f>[12]VTN!$A$24*IF($M229="incl",[12]VTN!H$41,[12]VTN!H$37)</f>
        <v>103.83674999999999</v>
      </c>
      <c r="R229" s="177">
        <f>[12]VTN!$A$24*IF($M229="incl",[12]VTN!I$41,[12]VTN!I$37)</f>
        <v>103.839</v>
      </c>
      <c r="S229" s="177">
        <f>[12]VTN!$A$24*IF($M229="incl",[12]VTN!J$41,[12]VTN!J$37)</f>
        <v>111.6825</v>
      </c>
      <c r="T229" s="177">
        <f>[12]VTN!$A$24*IF($M229="incl",[12]VTN!K$41,[12]VTN!K$37)</f>
        <v>119.526</v>
      </c>
      <c r="U229" s="177">
        <f>[12]VTN!$A$24*IF($M229="incl",[12]VTN!L$41,[12]VTN!L$37)</f>
        <v>127.36949999999899</v>
      </c>
      <c r="V229" s="177">
        <f>[12]VTN!$A$24*IF($M229="incl",[12]VTN!M$41,[12]VTN!M$37)</f>
        <v>135.21299999999999</v>
      </c>
      <c r="W229" s="177">
        <f>[12]VTN!$A$24*IF($M229="incl",[12]VTN!N$41,[12]VTN!N$37)</f>
        <v>143.0565</v>
      </c>
      <c r="X229" s="177">
        <f>[12]VTN!$A$24*IF($M229="incl",[12]VTN!O$41,[12]VTN!O$37)</f>
        <v>150.89999999999901</v>
      </c>
      <c r="Y229" s="177">
        <f>[12]VTN!$A$24*IF($M229="incl",[12]VTN!P$41,[12]VTN!P$37)</f>
        <v>162.231067</v>
      </c>
      <c r="Z229" s="177">
        <f>[12]VTN!$A$24*IF($M229="incl",[12]VTN!Q$41,[12]VTN!Q$37)</f>
        <v>173.56213399999999</v>
      </c>
      <c r="AA229" s="177">
        <f>[12]VTN!$A$24*IF($M229="incl",[12]VTN!R$41,[12]VTN!R$37)</f>
        <v>184.89320099999901</v>
      </c>
      <c r="AB229" s="177">
        <f>[12]VTN!$A$24*IF($M229="incl",[12]VTN!S$41,[12]VTN!S$37)</f>
        <v>196.224268</v>
      </c>
      <c r="AC229" s="177">
        <f>[12]VTN!$A$24*IF($M229="incl",[12]VTN!T$41,[12]VTN!T$37)</f>
        <v>207.55533500000001</v>
      </c>
      <c r="AD229" s="177">
        <f>[12]VTN!$A$24*IF($M229="incl",[12]VTN!U$41,[12]VTN!U$37)</f>
        <v>218.886402</v>
      </c>
      <c r="AE229" s="177">
        <f>[12]VTN!$A$24*IF($M229="incl",[12]VTN!V$41,[12]VTN!V$37)</f>
        <v>230.21746899999999</v>
      </c>
      <c r="AF229" s="177">
        <f>[12]VTN!$A$24*IF($M229="incl",[12]VTN!W$41,[12]VTN!W$37)</f>
        <v>241.54853600000001</v>
      </c>
      <c r="AG229" s="177">
        <f>[12]VTN!$A$24*IF($M229="incl",[12]VTN!X$41,[12]VTN!X$37)</f>
        <v>252.87960299999901</v>
      </c>
      <c r="AH229" s="177">
        <f>[12]VTN!$A$24*IF($M229="incl",[12]VTN!Y$41,[12]VTN!Y$37)</f>
        <v>264.21066999999999</v>
      </c>
      <c r="AI229" s="177">
        <f>[12]VTN!$A$24*IF($M229="incl",[12]VTN!Z$41,[12]VTN!Z$37)</f>
        <v>262.48181333333298</v>
      </c>
      <c r="AJ229" s="177">
        <f>[12]VTN!$A$24*IF($M229="incl",[12]VTN!AA$41,[12]VTN!AA$37)</f>
        <v>260.75295666666602</v>
      </c>
      <c r="AK229" s="177">
        <f>[12]VTN!$A$24*IF($M229="incl",[12]VTN!AB$41,[12]VTN!AB$37)</f>
        <v>259.02409999999998</v>
      </c>
      <c r="AL229" s="177">
        <f>[12]VTN!$A$24*IF($M229="incl",[12]VTN!AC$41,[12]VTN!AC$37)</f>
        <v>278.65969999999999</v>
      </c>
      <c r="AM229" s="177">
        <f>[12]VTN!$A$24*IF($M229="incl",[12]VTN!AD$41,[12]VTN!AD$37)</f>
        <v>297.69734999999997</v>
      </c>
      <c r="AN229" s="177">
        <f>[12]VTN!$A$24*IF($M229="incl",[12]VTN!AE$41,[12]VTN!AE$37)</f>
        <v>316.73500000000001</v>
      </c>
      <c r="AO229" s="177">
        <f>[12]VTN!$A$24*IF($M229="incl",[12]VTN!AF$41,[12]VTN!AF$37)</f>
        <v>316.64243209999898</v>
      </c>
      <c r="AP229" s="177">
        <f>[12]VTN!$A$24*IF($M229="incl",[12]VTN!AG$41,[12]VTN!AG$37)</f>
        <v>359.30438450000003</v>
      </c>
      <c r="AQ229" s="177">
        <f>[12]VTN!$A$24*IF($M229="incl",[12]VTN!AH$41,[12]VTN!AH$37)</f>
        <v>403.8156937</v>
      </c>
      <c r="AR229" s="177">
        <f>[12]VTN!$A$24*IF($M229="incl",[12]VTN!AI$41,[12]VTN!AI$37)</f>
        <v>388.63880610000001</v>
      </c>
      <c r="AS229" s="177">
        <f>[12]VTN!$A$24*IF($M229="incl",[12]VTN!AJ$41,[12]VTN!AJ$37)</f>
        <v>389.59613569999999</v>
      </c>
      <c r="AT229" s="161">
        <f>VLOOKUP($L229,'[12]IMAGE SSP2'!$AF$3:$AK$29,4,FALSE)*$AM229</f>
        <v>352.64476018472516</v>
      </c>
      <c r="AU229" s="162">
        <f>VLOOKUP($L229,'[12]IMAGE SSP2'!$AF$3:$AK$29,5,FALSE)*$AM229</f>
        <v>413.04814517092831</v>
      </c>
      <c r="AV229" s="163">
        <f>VLOOKUP($L229,'[12]IMAGE SSP2'!$AF$3:$AK$29,6,FALSE)*$AM229</f>
        <v>458.16439760012423</v>
      </c>
      <c r="AW229" s="111">
        <f>IF(A229="B",AM229+(AX229-AM229)*0.33333,"")</f>
        <v>507.79613232450004</v>
      </c>
      <c r="AX229" s="193">
        <f>[12]NDCs!$U$231</f>
        <v>928</v>
      </c>
      <c r="AY229" s="111" t="str">
        <f>IF('[12]Pledge 2020'!E219="","",'[12]Pledge 2020'!E219)</f>
        <v/>
      </c>
      <c r="AZ229" s="164" t="str">
        <f>IF('[12]Pledge 2020'!F219="","",'[12]Pledge 2020'!F219)</f>
        <v/>
      </c>
      <c r="BA229" s="111">
        <f t="shared" si="144"/>
        <v>652.08466750000002</v>
      </c>
      <c r="BB229" s="111">
        <f>IF(BF229="","",(BF229-AH229)*0.75+AH229)</f>
        <v>652.08466750000002</v>
      </c>
      <c r="BC229" s="111">
        <f t="shared" si="145"/>
        <v>459.29266749999994</v>
      </c>
      <c r="BD229" s="111">
        <f>IF(BH229="","",(BH229-AH229)*0.75+AH229)</f>
        <v>459.29266749999994</v>
      </c>
      <c r="BE229" s="169">
        <v>781.37599999999998</v>
      </c>
      <c r="BF229" s="169">
        <v>781.37599999999998</v>
      </c>
      <c r="BG229" s="169">
        <v>524.31999999999994</v>
      </c>
      <c r="BH229" s="170">
        <v>524.31999999999994</v>
      </c>
      <c r="BI229" s="111">
        <f>IF([12]NDCs!V231="",IF([12]NDCs!X231="","",[12]NDCs!X231),[12]NDCs!V231)</f>
        <v>882.28000000000009</v>
      </c>
      <c r="BJ229" s="111">
        <f>IF([12]NDCs!V231="",IF([12]NDCs!X231="","",[12]NDCs!X231),[12]NDCs!V231)</f>
        <v>882.28000000000009</v>
      </c>
      <c r="BK229" s="111">
        <f>IF([12]NDCs!Z231="",IF([12]NDCs!AB231="",IF('input site'!BE229="","",'input site'!BE229),[12]NDCs!AB231),[12]NDCs!Z231)</f>
        <v>719.25</v>
      </c>
      <c r="BL229" s="111">
        <f>IF([12]NDCs!AA231="",IF([12]NDCs!AC231="",IF('input site'!BF229="","",'input site'!BF229),[12]NDCs!AC231),[12]NDCs!AA231)</f>
        <v>719.25</v>
      </c>
      <c r="BM229" s="207">
        <f>[12]VTN!$A$24*[12]VTN!AB$5</f>
        <v>388.63880610000001</v>
      </c>
      <c r="BN229" s="177">
        <f>[12]VTN!$A$24*[12]VTN!AB$7</f>
        <v>388.63880610000001</v>
      </c>
      <c r="BO229" s="177">
        <f>[12]VTN!$A$24*[12]VTN!AB$6</f>
        <v>388.63880610000001</v>
      </c>
      <c r="BP229" s="207">
        <f>[12]VTN!$A$24*[12]VTN!AC$5</f>
        <v>464.8992964499995</v>
      </c>
      <c r="BQ229" s="177">
        <f>[12]VTN!$A$24*[12]VTN!AC$7</f>
        <v>450.66605529999998</v>
      </c>
      <c r="BR229" s="177">
        <f>[12]VTN!$A$24*[12]VTN!AC$6</f>
        <v>479.13253759999901</v>
      </c>
      <c r="BS229" s="160">
        <f>[12]VTN!$A$24*[12]VTN!AD$5</f>
        <v>596.58099029999994</v>
      </c>
      <c r="BT229" s="177">
        <f>[12]VTN!$A$24*[12]VTN!AD$7</f>
        <v>548.27371830000004</v>
      </c>
      <c r="BU229" s="177">
        <f>[12]VTN!$A$24*[12]VTN!AD$6</f>
        <v>644.88826229999995</v>
      </c>
      <c r="CN229" t="s">
        <v>487</v>
      </c>
      <c r="CO229" s="165">
        <f t="shared" si="160"/>
        <v>0.30975678525571704</v>
      </c>
      <c r="CP229" s="165">
        <f t="shared" si="160"/>
        <v>0.30975678525571704</v>
      </c>
      <c r="CQ229" s="165">
        <f t="shared" si="160"/>
        <v>-0.12112519754218531</v>
      </c>
      <c r="CR229" s="165">
        <f t="shared" si="155"/>
        <v>-0.12112519754218531</v>
      </c>
      <c r="CS229" s="185">
        <f>IF(BE229&lt;=MIN(BS229:BU229),0,1)</f>
        <v>1</v>
      </c>
      <c r="CT229" s="185">
        <f>IF(BG229&lt;=MIN(BS229:BU229),0,1)</f>
        <v>0</v>
      </c>
      <c r="CU229">
        <f>IF(BS229&lt;=AP229,1,0)</f>
        <v>0</v>
      </c>
      <c r="CV229" s="121" t="str">
        <f>IF(CS229=1,IF(CU229=1,"i","ii"),IF(CU229=1,"iii","iv"))</f>
        <v>ii</v>
      </c>
      <c r="CW229" s="121" t="str">
        <f>IF(CT229=1,IF(CU229=1,"i","ii"),IF(CU229=1,"iii","iv"))</f>
        <v>iv</v>
      </c>
      <c r="CX229" s="159"/>
      <c r="CY229" s="167">
        <f t="shared" si="161"/>
        <v>-35.994045915274853</v>
      </c>
      <c r="CZ229" s="159"/>
      <c r="DB229" s="106"/>
      <c r="DC229" s="106"/>
      <c r="DD229" s="106"/>
      <c r="DE229" s="106"/>
      <c r="DF229" s="106"/>
      <c r="DG229" s="105" t="str">
        <f t="shared" si="162"/>
        <v>incl</v>
      </c>
      <c r="DH229" t="s">
        <v>487</v>
      </c>
      <c r="DI229" s="111">
        <f t="shared" si="172"/>
        <v>0</v>
      </c>
      <c r="DJ229" s="111">
        <f t="shared" si="172"/>
        <v>0</v>
      </c>
      <c r="DK229" s="111">
        <f t="shared" si="173"/>
        <v>187.18537105000053</v>
      </c>
      <c r="DL229" s="111">
        <f t="shared" si="174"/>
        <v>-5.6066289499995605</v>
      </c>
      <c r="DM229" s="111">
        <f t="shared" si="175"/>
        <v>184.79500970000004</v>
      </c>
      <c r="DN229" s="111">
        <f t="shared" si="176"/>
        <v>-72.260990300000003</v>
      </c>
      <c r="DO229" s="111">
        <f t="shared" si="177"/>
        <v>285.69900970000015</v>
      </c>
      <c r="DP229" s="111">
        <f t="shared" si="178"/>
        <v>122.66900970000006</v>
      </c>
      <c r="DQ229" s="106"/>
      <c r="DR229" s="106"/>
      <c r="DS229" s="111">
        <f>[12]GHG_hist!BZ219+IF($M229="incl",[12]LULUCF_hist!DQ219,0)</f>
        <v>306.46887999999996</v>
      </c>
      <c r="DT229" s="168">
        <f>IF($M229="incl",'[12]IIASA Proj'!EQ219,0)</f>
        <v>-41.732307500854716</v>
      </c>
      <c r="DW229" s="111">
        <f t="shared" si="163"/>
        <v>781.37599999999998</v>
      </c>
      <c r="DX229" s="111">
        <f t="shared" si="163"/>
        <v>781.37599999999998</v>
      </c>
      <c r="DY229" s="111">
        <f t="shared" si="163"/>
        <v>524.31999999999994</v>
      </c>
      <c r="DZ229" s="111">
        <f t="shared" si="156"/>
        <v>524.31999999999994</v>
      </c>
      <c r="EP229" t="s">
        <v>487</v>
      </c>
      <c r="EQ229">
        <v>4</v>
      </c>
      <c r="ER229" s="111">
        <f t="shared" si="164"/>
        <v>359.30438450000003</v>
      </c>
      <c r="ES229" s="111">
        <f>IF($BI$8=2015,VLOOKUP($L229,'[12]IMAGE CDLINKS CurPol'!$P$3:$Y$29,10,FALSE)*$AM229,VLOOKUP($L229,'[12]IMAGE CDLINKS CurPol'!$Z$3:$AI$29,10,FALSE)*$AP229)</f>
        <v>597.42755887703697</v>
      </c>
      <c r="ET229" s="111">
        <f t="shared" si="124"/>
        <v>0</v>
      </c>
      <c r="EU229" s="111">
        <f t="shared" si="166"/>
        <v>0</v>
      </c>
      <c r="EV229" s="111">
        <f>IF($BI$8=2015,VLOOKUP($L229,'[12]IMAGE CDLINKS 2C'!$P$3:$Y$29,10,FALSE)*$AM229,VLOOKUP($L229,'[12]IMAGE CDLINKS 2C'!$Z$3:$AI$29,10,FALSE)*$AP229)</f>
        <v>116.43669103183281</v>
      </c>
      <c r="EY229" s="111">
        <f t="shared" si="167"/>
        <v>0</v>
      </c>
      <c r="EZ229" s="111">
        <f>IF($BI$8=2015,VLOOKUP($L229,'[12]IMAGE CDLINKS 1_5C'!$P$3:$Y$29,10,FALSE)*$AM229,VLOOKUP($L229,'[12]IMAGE CDLINKS 1_5C'!$Z$3:$AI$29,10,FALSE)*$AP229)</f>
        <v>7.8181115049504033</v>
      </c>
      <c r="FA229" s="192"/>
    </row>
    <row r="230" spans="1:157" x14ac:dyDescent="0.25">
      <c r="A230" t="str">
        <f>IF([12]NDCs!C232="","",[12]NDCs!C232)</f>
        <v/>
      </c>
      <c r="B230" s="159" t="str">
        <f t="shared" si="157"/>
        <v>v</v>
      </c>
      <c r="C230">
        <v>0</v>
      </c>
      <c r="D230">
        <v>0</v>
      </c>
      <c r="E230">
        <v>0</v>
      </c>
      <c r="F230">
        <v>1</v>
      </c>
      <c r="G230" t="b">
        <f t="shared" si="158"/>
        <v>0</v>
      </c>
      <c r="H230" t="s">
        <v>2328</v>
      </c>
      <c r="I230" t="s">
        <v>489</v>
      </c>
      <c r="J230">
        <v>92</v>
      </c>
      <c r="K230">
        <v>25</v>
      </c>
      <c r="L230">
        <v>4</v>
      </c>
      <c r="M230" t="str">
        <f>IF([12]NDCs!AL232="Excluding","excl","incl")</f>
        <v>excl</v>
      </c>
      <c r="N230" s="160">
        <f>[12]GHG_hist!BA220+IF($M230="incl",[12]LULUCF_hist!CR220,0)</f>
        <v>7.0619388000000005E-2</v>
      </c>
      <c r="O230" s="111">
        <f>[12]GHG_hist!BB220+IF($M230="incl",[12]LULUCF_hist!CS220,0)</f>
        <v>7.8216364999999996E-2</v>
      </c>
      <c r="P230" s="111">
        <f>[12]GHG_hist!BC220+IF($M230="incl",[12]LULUCF_hist!CT220,0)</f>
        <v>8.9395765000000002E-2</v>
      </c>
      <c r="Q230" s="111">
        <f>[12]GHG_hist!BD220+IF($M230="incl",[12]LULUCF_hist!CU220,0)</f>
        <v>9.3037360000000013E-2</v>
      </c>
      <c r="R230" s="111">
        <f>[12]GHG_hist!BE220+IF($M230="incl",[12]LULUCF_hist!CV220,0)</f>
        <v>0.10417294000000001</v>
      </c>
      <c r="S230" s="111">
        <f>[12]GHG_hist!BF220+IF($M230="incl",[12]LULUCF_hist!CW220,0)</f>
        <v>0.11535152999999999</v>
      </c>
      <c r="T230" s="111">
        <f>[12]GHG_hist!BG220+IF($M230="incl",[12]LULUCF_hist!CX220,0)</f>
        <v>0.12320001999999999</v>
      </c>
      <c r="U230" s="111">
        <f>[12]GHG_hist!BH220+IF($M230="incl",[12]LULUCF_hist!CY220,0)</f>
        <v>0.12329166</v>
      </c>
      <c r="V230" s="111">
        <f>[12]GHG_hist!BI220+IF($M230="incl",[12]LULUCF_hist!CZ220,0)</f>
        <v>0.12730099</v>
      </c>
      <c r="W230" s="111">
        <f>[12]GHG_hist!BJ220+IF($M230="incl",[12]LULUCF_hist!DA220,0)</f>
        <v>0.12769802</v>
      </c>
      <c r="X230" s="111">
        <f>[12]GHG_hist!BK220+IF($M230="incl",[12]LULUCF_hist!DB220,0)</f>
        <v>0.13252080000000002</v>
      </c>
      <c r="Y230" s="111">
        <f>[12]GHG_hist!BL220+IF($M230="incl",[12]LULUCF_hist!DC220,0)</f>
        <v>0.13640019</v>
      </c>
      <c r="Z230" s="111">
        <f>[12]GHG_hist!BM220+IF($M230="incl",[12]LULUCF_hist!DD220,0)</f>
        <v>0.14401303999999998</v>
      </c>
      <c r="AA230" s="111">
        <f>[12]GHG_hist!BN220+IF($M230="incl",[12]LULUCF_hist!DE220,0)</f>
        <v>0.15608565999999999</v>
      </c>
      <c r="AB230" s="111">
        <f>[12]GHG_hist!BO220+IF($M230="incl",[12]LULUCF_hist!DF220,0)</f>
        <v>0.17107159999999999</v>
      </c>
      <c r="AC230" s="111">
        <f>[12]GHG_hist!BP220+IF($M230="incl",[12]LULUCF_hist!DG220,0)</f>
        <v>0.18965396000000001</v>
      </c>
      <c r="AD230" s="111">
        <f>[12]GHG_hist!BQ220+IF($M230="incl",[12]LULUCF_hist!DH220,0)</f>
        <v>0.19374171000000001</v>
      </c>
      <c r="AE230" s="111">
        <f>[12]GHG_hist!BR220+IF($M230="incl",[12]LULUCF_hist!DI220,0)</f>
        <v>0.19764354000000001</v>
      </c>
      <c r="AF230" s="111">
        <f>[12]GHG_hist!BS220+IF($M230="incl",[12]LULUCF_hist!DJ220,0)</f>
        <v>0.20171403000000002</v>
      </c>
      <c r="AG230" s="111">
        <f>[12]GHG_hist!BT220+IF($M230="incl",[12]LULUCF_hist!DK220,0)</f>
        <v>0.20253535</v>
      </c>
      <c r="AH230" s="111">
        <f>[12]GHG_hist!BU220+IF($M230="incl",[12]LULUCF_hist!DL220,0)</f>
        <v>0.21073554</v>
      </c>
      <c r="AI230" s="111">
        <f>[12]GHG_hist!BV220+IF($M230="incl",[12]LULUCF_hist!DM220,0)</f>
        <v>0.21604795999999998</v>
      </c>
      <c r="AJ230" s="111">
        <f>[12]GHG_hist!BW220+IF($M230="incl",[12]LULUCF_hist!DN220,0)</f>
        <v>0.21617356000000001</v>
      </c>
      <c r="AK230" s="111">
        <f>[12]GHG_hist!BX220+IF($M230="incl",[12]LULUCF_hist!DO220,0)</f>
        <v>0.21619225</v>
      </c>
      <c r="AL230" s="111">
        <f>[12]GHG_hist!BY220+IF($M230="incl",[12]LULUCF_hist!DP220,0)</f>
        <v>0.22766992999999999</v>
      </c>
      <c r="AM230" s="111">
        <f>[12]GHG_hist!BZ220+IF($M230="incl",[12]LULUCF_hist!DQ220,0)</f>
        <v>0.22755900000000001</v>
      </c>
      <c r="AN230" s="111">
        <f>[12]GHG_hist!CA220+IF($M230="incl",[12]LULUCF_hist!DR220,0)</f>
        <v>0.22779476000000001</v>
      </c>
      <c r="AO230" s="111">
        <f>[12]GHG_hist!CB220+IF($M230="incl",[12]LULUCF_hist!DS220,0)</f>
        <v>0.18187306</v>
      </c>
      <c r="AP230" s="111">
        <f>[12]GHG_hist!CC220+IF($M230="incl",[12]LULUCF_hist!DT220,0)</f>
        <v>0.18685336000000002</v>
      </c>
      <c r="AQ230" s="111">
        <f>[12]GHG_hist!CD220+IF($M230="incl",[12]LULUCF_hist!DU220,0)</f>
        <v>0.19115824000000001</v>
      </c>
      <c r="AR230" s="111">
        <f>[12]GHG_hist!CE220+IF($M230="incl",[12]LULUCF_hist!DV220,0)</f>
        <v>0.17585418999999999</v>
      </c>
      <c r="AS230" s="111">
        <f>[12]GHG_hist!CF220+IF($M230="incl",[12]LULUCF_hist!DW220,0)</f>
        <v>0.17485306</v>
      </c>
      <c r="AT230" s="161">
        <f>VLOOKUP($L230,'[12]IMAGE SSP2'!$AF$3:$AK$29,4,FALSE)*$AM230</f>
        <v>0.25873706076759229</v>
      </c>
      <c r="AU230" s="162">
        <f>VLOOKUP($L230,'[12]IMAGE SSP2'!$AF$3:$AK$29,5,FALSE)*$AM230</f>
        <v>0.28946429070757174</v>
      </c>
      <c r="AV230" s="163">
        <f>VLOOKUP($L230,'[12]IMAGE SSP2'!$AF$3:$AK$29,6,FALSE)*$AM230</f>
        <v>0.30556322968709332</v>
      </c>
      <c r="AW230" s="111" t="str">
        <f t="shared" si="165"/>
        <v/>
      </c>
      <c r="AX230" s="164" t="str">
        <f>IF(A230="B",IF(M230="excl",[12]NatCom!CO220,[12]NatCom!AX220),"")</f>
        <v/>
      </c>
      <c r="AY230" s="111" t="str">
        <f>IF('[12]Pledge 2020'!E220="","",'[12]Pledge 2020'!E220)</f>
        <v/>
      </c>
      <c r="AZ230" s="164" t="str">
        <f>IF('[12]Pledge 2020'!F220="","",'[12]Pledge 2020'!F220)</f>
        <v/>
      </c>
      <c r="BA230" s="111" t="str">
        <f t="shared" si="144"/>
        <v/>
      </c>
      <c r="BB230" s="111"/>
      <c r="BC230" s="111" t="str">
        <f t="shared" si="145"/>
        <v/>
      </c>
      <c r="BD230" s="111"/>
      <c r="BE230" s="111" t="s">
        <v>2477</v>
      </c>
      <c r="BF230" s="111"/>
      <c r="BG230" s="111" t="s">
        <v>2477</v>
      </c>
      <c r="BH230" s="164"/>
      <c r="BI230" s="111" t="str">
        <f>IF([12]NDCs!V232="",IF([12]NDCs!X232="","",[12]NDCs!X232),[12]NDCs!V232)</f>
        <v/>
      </c>
      <c r="BJ230" s="111" t="str">
        <f>IF([12]NDCs!V232="",IF([12]NDCs!X232="","",[12]NDCs!X232),[12]NDCs!V232)</f>
        <v/>
      </c>
      <c r="BK230" s="111" t="str">
        <f>IF([12]NDCs!Z232="",IF([12]NDCs!AB232="",IF('input site'!BE230="","",'input site'!BE230),[12]NDCs!AB232),[12]NDCs!Z232)</f>
        <v/>
      </c>
      <c r="BL230" s="111" t="str">
        <f>IF([12]NDCs!AA232="",IF([12]NDCs!AC232="",IF('input site'!BF230="","",'input site'!BF230),[12]NDCs!AC232),[12]NDCs!AA232)</f>
        <v/>
      </c>
      <c r="BM230" s="111">
        <f>IF($BI$8=2015,VLOOKUP($L230,'[12]IMAGE CurPol SSP'!$AZ$3:$BD$29,4,FALSE)*$AM230,IF($BI$8=2018,VLOOKUP($L230,'[12]IMAGE CurPol SSP'!$BJ$3:$BN$29,4,FALSE)*$AP230,$AR230))</f>
        <v>0.17585418999999999</v>
      </c>
      <c r="BN230" s="111">
        <f t="shared" ref="BN230:BO236" si="179">IF($BI$8=2015,"",IF($BI$8=2018,"",$AR230))</f>
        <v>0.17585418999999999</v>
      </c>
      <c r="BO230" s="111">
        <f t="shared" si="179"/>
        <v>0.17585418999999999</v>
      </c>
      <c r="BP230" s="111">
        <f>IF($BI$8=2015,VLOOKUP($L230,'[12]IMAGE CurPol SSP'!$AZ$3:$BD$29,5,FALSE)*$AM230,IF($BI$8=2018,VLOOKUP($L230,'[12]IMAGE CurPol SSP'!$BJ$3:$BN$29,5,FALSE)*$AP230,VLOOKUP($L230,'[12]IMAGE CurPol SSP'!$BU$3:$BZ$29,5,FALSE)*$AS230))</f>
        <v>0.19160482659457012</v>
      </c>
      <c r="BQ230" s="111">
        <f>IF($BI$8=2015,"",IF($BI$8=2018,"",VLOOKUP($L230,'[12]IMAGE CurPol SSP'!$CQ$3:$CV$29,5,FALSE)*$AS230))</f>
        <v>0.18834429153848933</v>
      </c>
      <c r="BR230" s="111">
        <f>IF($BI$8=2015,"",IF($BI$8=2018,"",VLOOKUP($L230,'[12]IMAGE CurPol SSP'!$CF$3:$CK$29,5,FALSE)*$AS230))</f>
        <v>0.19914132937925533</v>
      </c>
      <c r="BS230" s="111">
        <f>IF($BI$8=2015,VLOOKUP($L230,'[12]IMAGE CurPol SSP'!$AZ$3:$BE$29,6,FALSE)*$AM230,IF($BI$8=2018,VLOOKUP($L230,'[12]IMAGE CurPol SSP'!$BJ$3:$BO$29,6,FALSE)*$AP230,VLOOKUP($L230,'[12]IMAGE CurPol SSP'!$BU$3:$BZ$29,6,FALSE)*$AS230))</f>
        <v>0.2156059208651997</v>
      </c>
      <c r="BT230" s="111">
        <f>IF($BI$8=2015,"",IF($BI$8=2018,"",VLOOKUP($L230,'[12]IMAGE CurPol SSP'!$CQ$3:$CV$29,6,FALSE)*$AS230))</f>
        <v>0.21065120199213358</v>
      </c>
      <c r="BU230" s="164">
        <f>IF($BI$8=2015,"",IF($BI$8=2018,"",VLOOKUP($L230,'[12]IMAGE CurPol SSP'!$CF$3:$CK$29,6,FALSE)*$AS230))</f>
        <v>0.23067988067495671</v>
      </c>
      <c r="CN230" t="s">
        <v>489</v>
      </c>
      <c r="CO230" s="165" t="str">
        <f t="shared" si="160"/>
        <v/>
      </c>
      <c r="CP230" s="165" t="str">
        <f t="shared" si="160"/>
        <v/>
      </c>
      <c r="CQ230" s="165" t="str">
        <f t="shared" si="160"/>
        <v/>
      </c>
      <c r="CR230" s="165" t="str">
        <f t="shared" si="155"/>
        <v/>
      </c>
      <c r="CV230" s="125" t="s">
        <v>621</v>
      </c>
      <c r="CW230" s="125" t="s">
        <v>621</v>
      </c>
      <c r="CX230" s="208">
        <f>AP230/$AP$255</f>
        <v>4.0893745318451799E-6</v>
      </c>
      <c r="CY230" s="167">
        <f t="shared" si="161"/>
        <v>8.2882870767592293E-2</v>
      </c>
      <c r="DB230" s="106"/>
      <c r="DC230" s="106"/>
      <c r="DD230" s="106"/>
      <c r="DE230" s="106"/>
      <c r="DF230" s="106"/>
      <c r="DG230" s="105" t="str">
        <f t="shared" si="162"/>
        <v>excl</v>
      </c>
      <c r="DH230" t="s">
        <v>489</v>
      </c>
      <c r="DI230" s="111">
        <f t="shared" si="172"/>
        <v>0</v>
      </c>
      <c r="DJ230" s="111">
        <f t="shared" si="172"/>
        <v>0</v>
      </c>
      <c r="DK230" s="111">
        <f t="shared" si="173"/>
        <v>0</v>
      </c>
      <c r="DL230" s="111">
        <f t="shared" si="174"/>
        <v>0</v>
      </c>
      <c r="DM230" s="111">
        <f t="shared" si="175"/>
        <v>0</v>
      </c>
      <c r="DN230" s="111">
        <f t="shared" si="176"/>
        <v>0</v>
      </c>
      <c r="DO230" s="111">
        <f t="shared" si="177"/>
        <v>0</v>
      </c>
      <c r="DP230" s="111">
        <f t="shared" si="178"/>
        <v>0</v>
      </c>
      <c r="DQ230" s="106"/>
      <c r="DR230" s="106"/>
      <c r="DS230" s="111"/>
      <c r="DT230" s="168"/>
      <c r="DW230" s="111">
        <f t="shared" si="163"/>
        <v>0.2156059208651997</v>
      </c>
      <c r="DX230" s="111">
        <f t="shared" si="163"/>
        <v>0.2156059208651997</v>
      </c>
      <c r="DY230" s="111">
        <f t="shared" si="163"/>
        <v>0.2156059208651997</v>
      </c>
      <c r="DZ230" s="111">
        <f t="shared" si="156"/>
        <v>0.2156059208651997</v>
      </c>
      <c r="EP230" t="s">
        <v>489</v>
      </c>
      <c r="EQ230">
        <v>0</v>
      </c>
      <c r="ER230" s="111">
        <f t="shared" si="164"/>
        <v>0.18685336000000002</v>
      </c>
      <c r="ES230" s="111">
        <f>IF($BI$8=2015,VLOOKUP($L230,'[12]IMAGE CDLINKS CurPol'!$P$3:$Y$29,10,FALSE)*$AM230,VLOOKUP($L230,'[12]IMAGE CDLINKS CurPol'!$Z$3:$AI$29,10,FALSE)*$AP230)</f>
        <v>0.35389615165805266</v>
      </c>
      <c r="ET230" s="111">
        <f t="shared" si="124"/>
        <v>0.35389615165805266</v>
      </c>
      <c r="EU230" s="111">
        <f t="shared" si="166"/>
        <v>9.8188588956784062E-2</v>
      </c>
      <c r="EV230" s="111">
        <f>IF($BI$8=2015,VLOOKUP($L230,'[12]IMAGE CDLINKS 2C'!$P$3:$Y$29,10,FALSE)*$AM230,VLOOKUP($L230,'[12]IMAGE CDLINKS 2C'!$Z$3:$AI$29,10,FALSE)*$AP230)</f>
        <v>9.8188588956784062E-2</v>
      </c>
      <c r="EY230" s="111">
        <f t="shared" si="167"/>
        <v>1.9969634793156124E-2</v>
      </c>
      <c r="EZ230" s="111">
        <f>IF($BI$8=2015,VLOOKUP($L230,'[12]IMAGE CDLINKS 1_5C'!$P$3:$Y$29,10,FALSE)*$AM230,VLOOKUP($L230,'[12]IMAGE CDLINKS 1_5C'!$Z$3:$AI$29,10,FALSE)*$AP230)</f>
        <v>1.9969634793156124E-2</v>
      </c>
      <c r="FA230" s="192"/>
    </row>
    <row r="231" spans="1:157" x14ac:dyDescent="0.25">
      <c r="A231" t="str">
        <f>IF([12]NDCs!C233="","",[12]NDCs!C233)</f>
        <v/>
      </c>
      <c r="B231" s="159" t="str">
        <f t="shared" si="157"/>
        <v>v</v>
      </c>
      <c r="C231">
        <v>0</v>
      </c>
      <c r="D231">
        <v>0</v>
      </c>
      <c r="E231">
        <v>0</v>
      </c>
      <c r="F231">
        <v>0</v>
      </c>
      <c r="G231" t="b">
        <f t="shared" si="158"/>
        <v>0</v>
      </c>
      <c r="H231" t="s">
        <v>2328</v>
      </c>
      <c r="I231" t="s">
        <v>491</v>
      </c>
      <c r="J231">
        <v>850</v>
      </c>
      <c r="K231">
        <v>215</v>
      </c>
      <c r="L231">
        <v>4</v>
      </c>
      <c r="M231" t="str">
        <f>IF([12]NDCs!AL233="Excluding","excl","incl")</f>
        <v>excl</v>
      </c>
      <c r="N231" s="160">
        <f>[12]GHG_hist!BA221+IF($M231="incl",[12]LULUCF_hist!CR221,0)</f>
        <v>0</v>
      </c>
      <c r="O231" s="111">
        <f>[12]GHG_hist!BB221+IF($M231="incl",[12]LULUCF_hist!CS221,0)</f>
        <v>0</v>
      </c>
      <c r="P231" s="111">
        <f>[12]GHG_hist!BC221+IF($M231="incl",[12]LULUCF_hist!CT221,0)</f>
        <v>0</v>
      </c>
      <c r="Q231" s="111">
        <f>[12]GHG_hist!BD221+IF($M231="incl",[12]LULUCF_hist!CU221,0)</f>
        <v>0</v>
      </c>
      <c r="R231" s="111">
        <f>[12]GHG_hist!BE221+IF($M231="incl",[12]LULUCF_hist!CV221,0)</f>
        <v>0</v>
      </c>
      <c r="S231" s="111">
        <f>[12]GHG_hist!BF221+IF($M231="incl",[12]LULUCF_hist!CW221,0)</f>
        <v>0</v>
      </c>
      <c r="T231" s="111">
        <f>[12]GHG_hist!BG221+IF($M231="incl",[12]LULUCF_hist!CX221,0)</f>
        <v>0</v>
      </c>
      <c r="U231" s="111">
        <f>[12]GHG_hist!BH221+IF($M231="incl",[12]LULUCF_hist!CY221,0)</f>
        <v>0</v>
      </c>
      <c r="V231" s="111">
        <f>[12]GHG_hist!BI221+IF($M231="incl",[12]LULUCF_hist!CZ221,0)</f>
        <v>0</v>
      </c>
      <c r="W231" s="111">
        <f>[12]GHG_hist!BJ221+IF($M231="incl",[12]LULUCF_hist!DA221,0)</f>
        <v>0</v>
      </c>
      <c r="X231" s="111">
        <f>[12]GHG_hist!BK221+IF($M231="incl",[12]LULUCF_hist!DB221,0)</f>
        <v>0</v>
      </c>
      <c r="Y231" s="111">
        <f>[12]GHG_hist!BL221+IF($M231="incl",[12]LULUCF_hist!DC221,0)</f>
        <v>0</v>
      </c>
      <c r="Z231" s="111">
        <f>[12]GHG_hist!BM221+IF($M231="incl",[12]LULUCF_hist!DD221,0)</f>
        <v>0</v>
      </c>
      <c r="AA231" s="111">
        <f>[12]GHG_hist!BN221+IF($M231="incl",[12]LULUCF_hist!DE221,0)</f>
        <v>0</v>
      </c>
      <c r="AB231" s="111">
        <f>[12]GHG_hist!BO221+IF($M231="incl",[12]LULUCF_hist!DF221,0)</f>
        <v>0</v>
      </c>
      <c r="AC231" s="111">
        <f>[12]GHG_hist!BP221+IF($M231="incl",[12]LULUCF_hist!DG221,0)</f>
        <v>0</v>
      </c>
      <c r="AD231" s="111">
        <f>[12]GHG_hist!BQ221+IF($M231="incl",[12]LULUCF_hist!DH221,0)</f>
        <v>0</v>
      </c>
      <c r="AE231" s="111">
        <f>[12]GHG_hist!BR221+IF($M231="incl",[12]LULUCF_hist!DI221,0)</f>
        <v>0</v>
      </c>
      <c r="AF231" s="111">
        <f>[12]GHG_hist!BS221+IF($M231="incl",[12]LULUCF_hist!DJ221,0)</f>
        <v>0</v>
      </c>
      <c r="AG231" s="111">
        <f>[12]GHG_hist!BT221+IF($M231="incl",[12]LULUCF_hist!DK221,0)</f>
        <v>0</v>
      </c>
      <c r="AH231" s="111">
        <f>[12]GHG_hist!BU221+IF($M231="incl",[12]LULUCF_hist!DL221,0)</f>
        <v>0</v>
      </c>
      <c r="AI231" s="111">
        <f>[12]GHG_hist!BV221+IF($M231="incl",[12]LULUCF_hist!DM221,0)</f>
        <v>0</v>
      </c>
      <c r="AJ231" s="111">
        <f>[12]GHG_hist!BW221+IF($M231="incl",[12]LULUCF_hist!DN221,0)</f>
        <v>0</v>
      </c>
      <c r="AK231" s="111">
        <f>[12]GHG_hist!BX221+IF($M231="incl",[12]LULUCF_hist!DO221,0)</f>
        <v>0</v>
      </c>
      <c r="AL231" s="111">
        <f>[12]GHG_hist!BY221+IF($M231="incl",[12]LULUCF_hist!DP221,0)</f>
        <v>0</v>
      </c>
      <c r="AM231" s="111">
        <f>[12]GHG_hist!BZ221+IF($M231="incl",[12]LULUCF_hist!DQ221,0)</f>
        <v>0</v>
      </c>
      <c r="AN231" s="111">
        <f>[12]GHG_hist!CA221+IF($M231="incl",[12]LULUCF_hist!DR221,0)</f>
        <v>0</v>
      </c>
      <c r="AO231" s="111">
        <f>[12]GHG_hist!CB221+IF($M231="incl",[12]LULUCF_hist!DS221,0)</f>
        <v>0</v>
      </c>
      <c r="AP231" s="111">
        <f>[12]GHG_hist!CC221+IF($M231="incl",[12]LULUCF_hist!DT221,0)</f>
        <v>0</v>
      </c>
      <c r="AQ231" s="111">
        <f>[12]GHG_hist!CD221+IF($M231="incl",[12]LULUCF_hist!DU221,0)</f>
        <v>0</v>
      </c>
      <c r="AR231" s="111">
        <f>[12]GHG_hist!CE221+IF($M231="incl",[12]LULUCF_hist!DV221,0)</f>
        <v>0</v>
      </c>
      <c r="AS231" s="111">
        <f>[12]GHG_hist!CF221+IF($M231="incl",[12]LULUCF_hist!DW221,0)</f>
        <v>0</v>
      </c>
      <c r="AT231" s="161">
        <f>VLOOKUP($L231,'[12]IMAGE SSP2'!$AF$3:$AK$29,4,FALSE)*$AM231</f>
        <v>0</v>
      </c>
      <c r="AU231" s="162">
        <f>VLOOKUP($L231,'[12]IMAGE SSP2'!$AF$3:$AK$29,5,FALSE)*$AM231</f>
        <v>0</v>
      </c>
      <c r="AV231" s="163">
        <f>VLOOKUP($L231,'[12]IMAGE SSP2'!$AF$3:$AK$29,6,FALSE)*$AM231</f>
        <v>0</v>
      </c>
      <c r="AW231" s="111" t="str">
        <f t="shared" si="165"/>
        <v/>
      </c>
      <c r="AX231" s="164" t="str">
        <f>IF(A231="B",IF(M231="excl",[12]NatCom!CO221,[12]NatCom!AX221),"")</f>
        <v/>
      </c>
      <c r="AY231" s="111" t="str">
        <f>IF('[12]Pledge 2020'!E221="","",'[12]Pledge 2020'!E221)</f>
        <v/>
      </c>
      <c r="AZ231" s="164" t="str">
        <f>IF('[12]Pledge 2020'!F221="","",'[12]Pledge 2020'!F221)</f>
        <v/>
      </c>
      <c r="BA231" s="111" t="str">
        <f t="shared" si="144"/>
        <v/>
      </c>
      <c r="BB231" s="111"/>
      <c r="BC231" s="111" t="str">
        <f t="shared" si="145"/>
        <v/>
      </c>
      <c r="BD231" s="111"/>
      <c r="BE231" s="111" t="s">
        <v>2477</v>
      </c>
      <c r="BF231" s="111"/>
      <c r="BG231" s="111" t="s">
        <v>2477</v>
      </c>
      <c r="BH231" s="164"/>
      <c r="BI231" s="111" t="str">
        <f>IF([12]NDCs!V233="",IF([12]NDCs!X233="","",[12]NDCs!X233),[12]NDCs!V233)</f>
        <v/>
      </c>
      <c r="BJ231" s="111" t="str">
        <f>IF([12]NDCs!V233="",IF([12]NDCs!X233="","",[12]NDCs!X233),[12]NDCs!V233)</f>
        <v/>
      </c>
      <c r="BK231" s="111" t="str">
        <f>IF([12]NDCs!Z233="",IF([12]NDCs!AB233="",IF('input site'!BE231="","",'input site'!BE231),[12]NDCs!AB233),[12]NDCs!Z233)</f>
        <v/>
      </c>
      <c r="BL231" s="111" t="str">
        <f>IF([12]NDCs!AA233="",IF([12]NDCs!AC233="",IF('input site'!BF231="","",'input site'!BF231),[12]NDCs!AC233),[12]NDCs!AA233)</f>
        <v/>
      </c>
      <c r="BM231" s="111">
        <f>IF($BI$8=2015,VLOOKUP($L231,'[12]IMAGE CurPol SSP'!$AZ$3:$BD$29,4,FALSE)*$AM231,IF($BI$8=2018,VLOOKUP($L231,'[12]IMAGE CurPol SSP'!$BJ$3:$BN$29,4,FALSE)*$AP231,$AR231))</f>
        <v>0</v>
      </c>
      <c r="BN231" s="111">
        <f t="shared" si="179"/>
        <v>0</v>
      </c>
      <c r="BO231" s="111">
        <f t="shared" si="179"/>
        <v>0</v>
      </c>
      <c r="BP231" s="111">
        <f>IF($BI$8=2015,VLOOKUP($L231,'[12]IMAGE CurPol SSP'!$AZ$3:$BD$29,5,FALSE)*$AM231,IF($BI$8=2018,VLOOKUP($L231,'[12]IMAGE CurPol SSP'!$BJ$3:$BN$29,5,FALSE)*$AP231,VLOOKUP($L231,'[12]IMAGE CurPol SSP'!$BU$3:$BZ$29,5,FALSE)*$AS231))</f>
        <v>0</v>
      </c>
      <c r="BQ231" s="111">
        <f>IF($BI$8=2015,"",IF($BI$8=2018,"",VLOOKUP($L231,'[12]IMAGE CurPol SSP'!$CQ$3:$CV$29,5,FALSE)*$AS231))</f>
        <v>0</v>
      </c>
      <c r="BR231" s="111">
        <f>IF($BI$8=2015,"",IF($BI$8=2018,"",VLOOKUP($L231,'[12]IMAGE CurPol SSP'!$CF$3:$CK$29,5,FALSE)*$AS231))</f>
        <v>0</v>
      </c>
      <c r="BS231" s="111">
        <f>IF($BI$8=2015,VLOOKUP($L231,'[12]IMAGE CurPol SSP'!$AZ$3:$BE$29,6,FALSE)*$AM231,IF($BI$8=2018,VLOOKUP($L231,'[12]IMAGE CurPol SSP'!$BJ$3:$BO$29,6,FALSE)*$AP231,VLOOKUP($L231,'[12]IMAGE CurPol SSP'!$BU$3:$BZ$29,6,FALSE)*$AS231))</f>
        <v>0</v>
      </c>
      <c r="BT231" s="111">
        <f>IF($BI$8=2015,"",IF($BI$8=2018,"",VLOOKUP($L231,'[12]IMAGE CurPol SSP'!$CQ$3:$CV$29,6,FALSE)*$AS231))</f>
        <v>0</v>
      </c>
      <c r="BU231" s="164">
        <f>IF($BI$8=2015,"",IF($BI$8=2018,"",VLOOKUP($L231,'[12]IMAGE CurPol SSP'!$CF$3:$CK$29,6,FALSE)*$AS231))</f>
        <v>0</v>
      </c>
      <c r="CN231" t="s">
        <v>491</v>
      </c>
      <c r="CO231" s="165" t="str">
        <f t="shared" si="160"/>
        <v/>
      </c>
      <c r="CP231" s="165" t="str">
        <f t="shared" si="160"/>
        <v/>
      </c>
      <c r="CQ231" s="165" t="str">
        <f t="shared" si="160"/>
        <v/>
      </c>
      <c r="CR231" s="165" t="str">
        <f t="shared" si="155"/>
        <v/>
      </c>
      <c r="CV231" s="125" t="s">
        <v>621</v>
      </c>
      <c r="CW231" s="125" t="s">
        <v>621</v>
      </c>
      <c r="CX231" s="208">
        <f>AP231/$AP$255</f>
        <v>0</v>
      </c>
      <c r="CY231" s="167">
        <f t="shared" si="161"/>
        <v>0</v>
      </c>
      <c r="DB231" s="106"/>
      <c r="DC231" s="106"/>
      <c r="DD231" s="106"/>
      <c r="DE231" s="106"/>
      <c r="DF231" s="106"/>
      <c r="DG231" s="105" t="str">
        <f t="shared" si="162"/>
        <v>excl</v>
      </c>
      <c r="DH231" t="s">
        <v>491</v>
      </c>
      <c r="DI231" s="111">
        <f t="shared" si="172"/>
        <v>0</v>
      </c>
      <c r="DJ231" s="111">
        <f t="shared" si="172"/>
        <v>0</v>
      </c>
      <c r="DK231" s="111">
        <f t="shared" si="173"/>
        <v>0</v>
      </c>
      <c r="DL231" s="111">
        <f t="shared" si="174"/>
        <v>0</v>
      </c>
      <c r="DM231" s="111">
        <f t="shared" si="175"/>
        <v>0</v>
      </c>
      <c r="DN231" s="111">
        <f t="shared" si="176"/>
        <v>0</v>
      </c>
      <c r="DO231" s="111">
        <f t="shared" si="177"/>
        <v>0</v>
      </c>
      <c r="DP231" s="111">
        <f t="shared" si="178"/>
        <v>0</v>
      </c>
      <c r="DQ231" s="106"/>
      <c r="DR231" s="106"/>
      <c r="DS231" s="111"/>
      <c r="DT231" s="168"/>
      <c r="DW231" s="111">
        <f t="shared" si="163"/>
        <v>0</v>
      </c>
      <c r="DX231" s="111">
        <f t="shared" si="163"/>
        <v>0</v>
      </c>
      <c r="DY231" s="111">
        <f t="shared" si="163"/>
        <v>0</v>
      </c>
      <c r="DZ231" s="111">
        <f t="shared" si="156"/>
        <v>0</v>
      </c>
      <c r="EP231" t="s">
        <v>491</v>
      </c>
      <c r="EQ231">
        <v>0</v>
      </c>
      <c r="ER231" s="111">
        <f t="shared" si="164"/>
        <v>0</v>
      </c>
      <c r="ES231" s="111">
        <f>IF($BI$8=2015,VLOOKUP($L231,'[12]IMAGE CDLINKS CurPol'!$P$3:$Y$29,10,FALSE)*$AM231,VLOOKUP($L231,'[12]IMAGE CDLINKS CurPol'!$Z$3:$AI$29,10,FALSE)*$AP231)</f>
        <v>0</v>
      </c>
      <c r="ET231" s="111">
        <f t="shared" ref="ET231:ET236" si="180">IF(EQ231&gt;=1,EW231,ES231)</f>
        <v>0</v>
      </c>
      <c r="EU231" s="111">
        <f t="shared" si="166"/>
        <v>0</v>
      </c>
      <c r="EV231" s="111">
        <f>IF($BI$8=2015,VLOOKUP($L231,'[12]IMAGE CDLINKS 2C'!$P$3:$Y$29,10,FALSE)*$AM231,VLOOKUP($L231,'[12]IMAGE CDLINKS 2C'!$Z$3:$AI$29,10,FALSE)*$AP231)</f>
        <v>0</v>
      </c>
      <c r="EY231" s="111">
        <f t="shared" si="167"/>
        <v>0</v>
      </c>
      <c r="EZ231" s="111">
        <f>IF($BI$8=2015,VLOOKUP($L231,'[12]IMAGE CDLINKS 1_5C'!$P$3:$Y$29,10,FALSE)*$AM231,VLOOKUP($L231,'[12]IMAGE CDLINKS 1_5C'!$Z$3:$AI$29,10,FALSE)*$AP231)</f>
        <v>0</v>
      </c>
      <c r="FA231" s="192"/>
    </row>
    <row r="232" spans="1:157" x14ac:dyDescent="0.25">
      <c r="A232" t="str">
        <f>IF([12]NDCs!C234="","",[12]NDCs!C234)</f>
        <v/>
      </c>
      <c r="B232" s="159" t="str">
        <f t="shared" si="157"/>
        <v>v</v>
      </c>
      <c r="C232">
        <v>0</v>
      </c>
      <c r="D232">
        <v>0</v>
      </c>
      <c r="E232">
        <v>0</v>
      </c>
      <c r="F232">
        <v>0</v>
      </c>
      <c r="G232" t="b">
        <f t="shared" si="158"/>
        <v>0</v>
      </c>
      <c r="H232" t="s">
        <v>2328</v>
      </c>
      <c r="I232" t="s">
        <v>493</v>
      </c>
      <c r="J232">
        <v>876</v>
      </c>
      <c r="K232">
        <v>220</v>
      </c>
      <c r="L232">
        <v>24</v>
      </c>
      <c r="M232" t="str">
        <f>IF([12]NDCs!AL234="Excluding","excl","incl")</f>
        <v>excl</v>
      </c>
      <c r="N232" s="160">
        <f>[12]GHG_hist!BA222+IF($M232="incl",[12]LULUCF_hist!CR222,0)</f>
        <v>0</v>
      </c>
      <c r="O232" s="111">
        <f>[12]GHG_hist!BB222+IF($M232="incl",[12]LULUCF_hist!CS222,0)</f>
        <v>0</v>
      </c>
      <c r="P232" s="111">
        <f>[12]GHG_hist!BC222+IF($M232="incl",[12]LULUCF_hist!CT222,0)</f>
        <v>0</v>
      </c>
      <c r="Q232" s="111">
        <f>[12]GHG_hist!BD222+IF($M232="incl",[12]LULUCF_hist!CU222,0)</f>
        <v>0</v>
      </c>
      <c r="R232" s="111">
        <f>[12]GHG_hist!BE222+IF($M232="incl",[12]LULUCF_hist!CV222,0)</f>
        <v>0</v>
      </c>
      <c r="S232" s="111">
        <f>[12]GHG_hist!BF222+IF($M232="incl",[12]LULUCF_hist!CW222,0)</f>
        <v>0</v>
      </c>
      <c r="T232" s="111">
        <f>[12]GHG_hist!BG222+IF($M232="incl",[12]LULUCF_hist!CX222,0)</f>
        <v>0</v>
      </c>
      <c r="U232" s="111">
        <f>[12]GHG_hist!BH222+IF($M232="incl",[12]LULUCF_hist!CY222,0)</f>
        <v>0</v>
      </c>
      <c r="V232" s="111">
        <f>[12]GHG_hist!BI222+IF($M232="incl",[12]LULUCF_hist!CZ222,0)</f>
        <v>0</v>
      </c>
      <c r="W232" s="111">
        <f>[12]GHG_hist!BJ222+IF($M232="incl",[12]LULUCF_hist!DA222,0)</f>
        <v>0</v>
      </c>
      <c r="X232" s="111">
        <f>[12]GHG_hist!BK222+IF($M232="incl",[12]LULUCF_hist!DB222,0)</f>
        <v>0</v>
      </c>
      <c r="Y232" s="111">
        <f>[12]GHG_hist!BL222+IF($M232="incl",[12]LULUCF_hist!DC222,0)</f>
        <v>0</v>
      </c>
      <c r="Z232" s="111">
        <f>[12]GHG_hist!BM222+IF($M232="incl",[12]LULUCF_hist!DD222,0)</f>
        <v>0</v>
      </c>
      <c r="AA232" s="111">
        <f>[12]GHG_hist!BN222+IF($M232="incl",[12]LULUCF_hist!DE222,0)</f>
        <v>0</v>
      </c>
      <c r="AB232" s="111">
        <f>[12]GHG_hist!BO222+IF($M232="incl",[12]LULUCF_hist!DF222,0)</f>
        <v>0</v>
      </c>
      <c r="AC232" s="111">
        <f>[12]GHG_hist!BP222+IF($M232="incl",[12]LULUCF_hist!DG222,0)</f>
        <v>0</v>
      </c>
      <c r="AD232" s="111">
        <f>[12]GHG_hist!BQ222+IF($M232="incl",[12]LULUCF_hist!DH222,0)</f>
        <v>0</v>
      </c>
      <c r="AE232" s="111">
        <f>[12]GHG_hist!BR222+IF($M232="incl",[12]LULUCF_hist!DI222,0)</f>
        <v>0</v>
      </c>
      <c r="AF232" s="111">
        <f>[12]GHG_hist!BS222+IF($M232="incl",[12]LULUCF_hist!DJ222,0)</f>
        <v>0</v>
      </c>
      <c r="AG232" s="111">
        <f>[12]GHG_hist!BT222+IF($M232="incl",[12]LULUCF_hist!DK222,0)</f>
        <v>0</v>
      </c>
      <c r="AH232" s="111">
        <f>[12]GHG_hist!BU222+IF($M232="incl",[12]LULUCF_hist!DL222,0)</f>
        <v>0</v>
      </c>
      <c r="AI232" s="111">
        <f>[12]GHG_hist!BV222+IF($M232="incl",[12]LULUCF_hist!DM222,0)</f>
        <v>0</v>
      </c>
      <c r="AJ232" s="111">
        <f>[12]GHG_hist!BW222+IF($M232="incl",[12]LULUCF_hist!DN222,0)</f>
        <v>0</v>
      </c>
      <c r="AK232" s="111">
        <f>[12]GHG_hist!BX222+IF($M232="incl",[12]LULUCF_hist!DO222,0)</f>
        <v>0</v>
      </c>
      <c r="AL232" s="111">
        <f>[12]GHG_hist!BY222+IF($M232="incl",[12]LULUCF_hist!DP222,0)</f>
        <v>0</v>
      </c>
      <c r="AM232" s="111">
        <f>[12]GHG_hist!BZ222+IF($M232="incl",[12]LULUCF_hist!DQ222,0)</f>
        <v>0</v>
      </c>
      <c r="AN232" s="111">
        <f>[12]GHG_hist!CA222+IF($M232="incl",[12]LULUCF_hist!DR222,0)</f>
        <v>0</v>
      </c>
      <c r="AO232" s="111">
        <f>[12]GHG_hist!CB222+IF($M232="incl",[12]LULUCF_hist!DS222,0)</f>
        <v>0</v>
      </c>
      <c r="AP232" s="111">
        <f>[12]GHG_hist!CC222+IF($M232="incl",[12]LULUCF_hist!DT222,0)</f>
        <v>0</v>
      </c>
      <c r="AQ232" s="111">
        <f>[12]GHG_hist!CD222+IF($M232="incl",[12]LULUCF_hist!DU222,0)</f>
        <v>0</v>
      </c>
      <c r="AR232" s="111">
        <f>[12]GHG_hist!CE222+IF($M232="incl",[12]LULUCF_hist!DV222,0)</f>
        <v>0</v>
      </c>
      <c r="AS232" s="111">
        <f>[12]GHG_hist!CF222+IF($M232="incl",[12]LULUCF_hist!DW222,0)</f>
        <v>0</v>
      </c>
      <c r="AT232" s="161">
        <f>VLOOKUP($L232,'[12]IMAGE SSP2'!$AF$3:$AK$29,4,FALSE)*$AM232</f>
        <v>0</v>
      </c>
      <c r="AU232" s="162">
        <f>VLOOKUP($L232,'[12]IMAGE SSP2'!$AF$3:$AK$29,5,FALSE)*$AM232</f>
        <v>0</v>
      </c>
      <c r="AV232" s="163">
        <f>VLOOKUP($L232,'[12]IMAGE SSP2'!$AF$3:$AK$29,6,FALSE)*$AM232</f>
        <v>0</v>
      </c>
      <c r="AW232" s="111" t="str">
        <f t="shared" si="165"/>
        <v/>
      </c>
      <c r="AX232" s="164" t="str">
        <f>IF(A232="B",IF(M232="excl",[12]NatCom!CO222,[12]NatCom!AX222),"")</f>
        <v/>
      </c>
      <c r="AY232" s="111" t="str">
        <f>IF('[12]Pledge 2020'!E222="","",'[12]Pledge 2020'!E222)</f>
        <v/>
      </c>
      <c r="AZ232" s="164" t="str">
        <f>IF('[12]Pledge 2020'!F222="","",'[12]Pledge 2020'!F222)</f>
        <v/>
      </c>
      <c r="BA232" s="111" t="str">
        <f t="shared" si="144"/>
        <v/>
      </c>
      <c r="BB232" s="111"/>
      <c r="BC232" s="111" t="str">
        <f t="shared" si="145"/>
        <v/>
      </c>
      <c r="BD232" s="111"/>
      <c r="BE232" s="111" t="s">
        <v>2477</v>
      </c>
      <c r="BF232" s="111"/>
      <c r="BG232" s="111" t="s">
        <v>2477</v>
      </c>
      <c r="BH232" s="164"/>
      <c r="BI232" s="111" t="str">
        <f>IF([12]NDCs!V234="",IF([12]NDCs!X234="","",[12]NDCs!X234),[12]NDCs!V234)</f>
        <v/>
      </c>
      <c r="BJ232" s="111" t="str">
        <f>IF([12]NDCs!V234="",IF([12]NDCs!X234="","",[12]NDCs!X234),[12]NDCs!V234)</f>
        <v/>
      </c>
      <c r="BK232" s="111" t="str">
        <f>IF([12]NDCs!Z234="",IF([12]NDCs!AB234="",IF('input site'!BE232="","",'input site'!BE232),[12]NDCs!AB234),[12]NDCs!Z234)</f>
        <v/>
      </c>
      <c r="BL232" s="111" t="str">
        <f>IF([12]NDCs!AA234="",IF([12]NDCs!AC234="",IF('input site'!BF232="","",'input site'!BF232),[12]NDCs!AC234),[12]NDCs!AA234)</f>
        <v/>
      </c>
      <c r="BM232" s="111">
        <f>IF($BI$8=2015,VLOOKUP($L232,'[12]IMAGE CurPol SSP'!$AZ$3:$BD$29,4,FALSE)*$AM232,IF($BI$8=2018,VLOOKUP($L232,'[12]IMAGE CurPol SSP'!$BJ$3:$BN$29,4,FALSE)*$AP232,$AR232))</f>
        <v>0</v>
      </c>
      <c r="BN232" s="111">
        <f t="shared" si="179"/>
        <v>0</v>
      </c>
      <c r="BO232" s="111">
        <f t="shared" si="179"/>
        <v>0</v>
      </c>
      <c r="BP232" s="111">
        <f>IF($BI$8=2015,VLOOKUP($L232,'[12]IMAGE CurPol SSP'!$AZ$3:$BD$29,5,FALSE)*$AM232,IF($BI$8=2018,VLOOKUP($L232,'[12]IMAGE CurPol SSP'!$BJ$3:$BN$29,5,FALSE)*$AP232,VLOOKUP($L232,'[12]IMAGE CurPol SSP'!$BU$3:$BZ$29,5,FALSE)*$AS232))</f>
        <v>0</v>
      </c>
      <c r="BQ232" s="111">
        <f>IF($BI$8=2015,"",IF($BI$8=2018,"",VLOOKUP($L232,'[12]IMAGE CurPol SSP'!$CQ$3:$CV$29,5,FALSE)*$AS232))</f>
        <v>0</v>
      </c>
      <c r="BR232" s="111">
        <f>IF($BI$8=2015,"",IF($BI$8=2018,"",VLOOKUP($L232,'[12]IMAGE CurPol SSP'!$CF$3:$CK$29,5,FALSE)*$AS232))</f>
        <v>0</v>
      </c>
      <c r="BS232" s="111">
        <f>IF($BI$8=2015,VLOOKUP($L232,'[12]IMAGE CurPol SSP'!$AZ$3:$BE$29,6,FALSE)*$AM232,IF($BI$8=2018,VLOOKUP($L232,'[12]IMAGE CurPol SSP'!$BJ$3:$BO$29,6,FALSE)*$AP232,VLOOKUP($L232,'[12]IMAGE CurPol SSP'!$BU$3:$BZ$29,6,FALSE)*$AS232))</f>
        <v>0</v>
      </c>
      <c r="BT232" s="111">
        <f>IF($BI$8=2015,"",IF($BI$8=2018,"",VLOOKUP($L232,'[12]IMAGE CurPol SSP'!$CQ$3:$CV$29,6,FALSE)*$AS232))</f>
        <v>0</v>
      </c>
      <c r="BU232" s="164">
        <f>IF($BI$8=2015,"",IF($BI$8=2018,"",VLOOKUP($L232,'[12]IMAGE CurPol SSP'!$CF$3:$CK$29,6,FALSE)*$AS232))</f>
        <v>0</v>
      </c>
      <c r="CN232" t="s">
        <v>493</v>
      </c>
      <c r="CO232" s="165" t="str">
        <f t="shared" si="160"/>
        <v/>
      </c>
      <c r="CP232" s="165" t="str">
        <f t="shared" si="160"/>
        <v/>
      </c>
      <c r="CQ232" s="165" t="str">
        <f t="shared" si="160"/>
        <v/>
      </c>
      <c r="CR232" s="165" t="str">
        <f t="shared" si="155"/>
        <v/>
      </c>
      <c r="CV232" s="125" t="s">
        <v>621</v>
      </c>
      <c r="CW232" s="125" t="s">
        <v>621</v>
      </c>
      <c r="CX232" s="208">
        <f>AP232/$AP$255</f>
        <v>0</v>
      </c>
      <c r="CY232" s="167">
        <f t="shared" si="161"/>
        <v>0</v>
      </c>
      <c r="DB232" s="106"/>
      <c r="DC232" s="106"/>
      <c r="DD232" s="106"/>
      <c r="DE232" s="106"/>
      <c r="DF232" s="106"/>
      <c r="DG232" s="105" t="str">
        <f t="shared" si="162"/>
        <v>excl</v>
      </c>
      <c r="DH232" t="s">
        <v>493</v>
      </c>
      <c r="DI232" s="111">
        <f t="shared" si="172"/>
        <v>0</v>
      </c>
      <c r="DJ232" s="111">
        <f t="shared" si="172"/>
        <v>0</v>
      </c>
      <c r="DK232" s="111">
        <f t="shared" si="173"/>
        <v>0</v>
      </c>
      <c r="DL232" s="111">
        <f t="shared" si="174"/>
        <v>0</v>
      </c>
      <c r="DM232" s="111">
        <f t="shared" si="175"/>
        <v>0</v>
      </c>
      <c r="DN232" s="111">
        <f t="shared" si="176"/>
        <v>0</v>
      </c>
      <c r="DO232" s="111">
        <f t="shared" si="177"/>
        <v>0</v>
      </c>
      <c r="DP232" s="111">
        <f t="shared" si="178"/>
        <v>0</v>
      </c>
      <c r="DQ232" s="106"/>
      <c r="DR232" s="106"/>
      <c r="DS232" s="111"/>
      <c r="DT232" s="168"/>
      <c r="DW232" s="111">
        <f t="shared" si="163"/>
        <v>0</v>
      </c>
      <c r="DX232" s="111">
        <f t="shared" si="163"/>
        <v>0</v>
      </c>
      <c r="DY232" s="111">
        <f t="shared" si="163"/>
        <v>0</v>
      </c>
      <c r="DZ232" s="111">
        <f t="shared" si="156"/>
        <v>0</v>
      </c>
      <c r="EP232" t="s">
        <v>493</v>
      </c>
      <c r="EQ232">
        <v>0</v>
      </c>
      <c r="ER232" s="111">
        <f t="shared" si="164"/>
        <v>0</v>
      </c>
      <c r="ES232" s="111">
        <f>IF($BI$8=2015,VLOOKUP($L232,'[12]IMAGE CDLINKS CurPol'!$P$3:$Y$29,10,FALSE)*$AM232,VLOOKUP($L232,'[12]IMAGE CDLINKS CurPol'!$Z$3:$AI$29,10,FALSE)*$AP232)</f>
        <v>0</v>
      </c>
      <c r="ET232" s="111">
        <f t="shared" si="180"/>
        <v>0</v>
      </c>
      <c r="EU232" s="111">
        <f t="shared" si="166"/>
        <v>0</v>
      </c>
      <c r="EV232" s="111">
        <f>IF($BI$8=2015,VLOOKUP($L232,'[12]IMAGE CDLINKS 2C'!$P$3:$Y$29,10,FALSE)*$AM232,VLOOKUP($L232,'[12]IMAGE CDLINKS 2C'!$Z$3:$AI$29,10,FALSE)*$AP232)</f>
        <v>0</v>
      </c>
      <c r="EY232" s="111">
        <f t="shared" si="167"/>
        <v>0</v>
      </c>
      <c r="EZ232" s="111">
        <f>IF($BI$8=2015,VLOOKUP($L232,'[12]IMAGE CDLINKS 1_5C'!$P$3:$Y$29,10,FALSE)*$AM232,VLOOKUP($L232,'[12]IMAGE CDLINKS 1_5C'!$Z$3:$AI$29,10,FALSE)*$AP232)</f>
        <v>0</v>
      </c>
      <c r="FA232" s="192"/>
    </row>
    <row r="233" spans="1:157" x14ac:dyDescent="0.25">
      <c r="A233" t="str">
        <f>IF([12]NDCs!C235="","",[12]NDCs!C235)</f>
        <v/>
      </c>
      <c r="B233" s="159" t="str">
        <f t="shared" si="157"/>
        <v>v</v>
      </c>
      <c r="C233">
        <v>0</v>
      </c>
      <c r="D233">
        <v>0</v>
      </c>
      <c r="E233">
        <v>0</v>
      </c>
      <c r="F233">
        <v>0</v>
      </c>
      <c r="G233" t="b">
        <f t="shared" si="158"/>
        <v>0</v>
      </c>
      <c r="H233" t="s">
        <v>2328</v>
      </c>
      <c r="I233" t="s">
        <v>495</v>
      </c>
      <c r="J233">
        <v>732</v>
      </c>
      <c r="K233">
        <v>189</v>
      </c>
      <c r="L233">
        <v>7</v>
      </c>
      <c r="M233" t="str">
        <f>IF([12]NDCs!AL235="Excluding","excl","incl")</f>
        <v>excl</v>
      </c>
      <c r="N233" s="160">
        <f>[12]GHG_hist!BA223+IF($M233="incl",[12]LULUCF_hist!CR223,0)</f>
        <v>0</v>
      </c>
      <c r="O233" s="111">
        <f>[12]GHG_hist!BB223+IF($M233="incl",[12]LULUCF_hist!CS223,0)</f>
        <v>0</v>
      </c>
      <c r="P233" s="111">
        <f>[12]GHG_hist!BC223+IF($M233="incl",[12]LULUCF_hist!CT223,0)</f>
        <v>0</v>
      </c>
      <c r="Q233" s="111">
        <f>[12]GHG_hist!BD223+IF($M233="incl",[12]LULUCF_hist!CU223,0)</f>
        <v>0</v>
      </c>
      <c r="R233" s="111">
        <f>[12]GHG_hist!BE223+IF($M233="incl",[12]LULUCF_hist!CV223,0)</f>
        <v>0</v>
      </c>
      <c r="S233" s="111">
        <f>[12]GHG_hist!BF223+IF($M233="incl",[12]LULUCF_hist!CW223,0)</f>
        <v>0</v>
      </c>
      <c r="T233" s="111">
        <f>[12]GHG_hist!BG223+IF($M233="incl",[12]LULUCF_hist!CX223,0)</f>
        <v>0</v>
      </c>
      <c r="U233" s="111">
        <f>[12]GHG_hist!BH223+IF($M233="incl",[12]LULUCF_hist!CY223,0)</f>
        <v>0</v>
      </c>
      <c r="V233" s="111">
        <f>[12]GHG_hist!BI223+IF($M233="incl",[12]LULUCF_hist!CZ223,0)</f>
        <v>0</v>
      </c>
      <c r="W233" s="111">
        <f>[12]GHG_hist!BJ223+IF($M233="incl",[12]LULUCF_hist!DA223,0)</f>
        <v>0</v>
      </c>
      <c r="X233" s="111">
        <f>[12]GHG_hist!BK223+IF($M233="incl",[12]LULUCF_hist!DB223,0)</f>
        <v>0</v>
      </c>
      <c r="Y233" s="111">
        <f>[12]GHG_hist!BL223+IF($M233="incl",[12]LULUCF_hist!DC223,0)</f>
        <v>0</v>
      </c>
      <c r="Z233" s="111">
        <f>[12]GHG_hist!BM223+IF($M233="incl",[12]LULUCF_hist!DD223,0)</f>
        <v>0</v>
      </c>
      <c r="AA233" s="111">
        <f>[12]GHG_hist!BN223+IF($M233="incl",[12]LULUCF_hist!DE223,0)</f>
        <v>0</v>
      </c>
      <c r="AB233" s="111">
        <f>[12]GHG_hist!BO223+IF($M233="incl",[12]LULUCF_hist!DF223,0)</f>
        <v>0</v>
      </c>
      <c r="AC233" s="111">
        <f>[12]GHG_hist!BP223+IF($M233="incl",[12]LULUCF_hist!DG223,0)</f>
        <v>0</v>
      </c>
      <c r="AD233" s="111">
        <f>[12]GHG_hist!BQ223+IF($M233="incl",[12]LULUCF_hist!DH223,0)</f>
        <v>0</v>
      </c>
      <c r="AE233" s="111">
        <f>[12]GHG_hist!BR223+IF($M233="incl",[12]LULUCF_hist!DI223,0)</f>
        <v>0</v>
      </c>
      <c r="AF233" s="111">
        <f>[12]GHG_hist!BS223+IF($M233="incl",[12]LULUCF_hist!DJ223,0)</f>
        <v>0</v>
      </c>
      <c r="AG233" s="111">
        <f>[12]GHG_hist!BT223+IF($M233="incl",[12]LULUCF_hist!DK223,0)</f>
        <v>0</v>
      </c>
      <c r="AH233" s="111">
        <f>[12]GHG_hist!BU223+IF($M233="incl",[12]LULUCF_hist!DL223,0)</f>
        <v>0</v>
      </c>
      <c r="AI233" s="111">
        <f>[12]GHG_hist!BV223+IF($M233="incl",[12]LULUCF_hist!DM223,0)</f>
        <v>0</v>
      </c>
      <c r="AJ233" s="111">
        <f>[12]GHG_hist!BW223+IF($M233="incl",[12]LULUCF_hist!DN223,0)</f>
        <v>0</v>
      </c>
      <c r="AK233" s="111">
        <f>[12]GHG_hist!BX223+IF($M233="incl",[12]LULUCF_hist!DO223,0)</f>
        <v>0</v>
      </c>
      <c r="AL233" s="111">
        <f>[12]GHG_hist!BY223+IF($M233="incl",[12]LULUCF_hist!DP223,0)</f>
        <v>0</v>
      </c>
      <c r="AM233" s="111">
        <f>[12]GHG_hist!BZ223+IF($M233="incl",[12]LULUCF_hist!DQ223,0)</f>
        <v>0</v>
      </c>
      <c r="AN233" s="111">
        <f>[12]GHG_hist!CA223+IF($M233="incl",[12]LULUCF_hist!DR223,0)</f>
        <v>0</v>
      </c>
      <c r="AO233" s="111">
        <f>[12]GHG_hist!CB223+IF($M233="incl",[12]LULUCF_hist!DS223,0)</f>
        <v>0</v>
      </c>
      <c r="AP233" s="111">
        <f>[12]GHG_hist!CC223+IF($M233="incl",[12]LULUCF_hist!DT223,0)</f>
        <v>0</v>
      </c>
      <c r="AQ233" s="111">
        <f>[12]GHG_hist!CD223+IF($M233="incl",[12]LULUCF_hist!DU223,0)</f>
        <v>0</v>
      </c>
      <c r="AR233" s="111">
        <f>[12]GHG_hist!CE223+IF($M233="incl",[12]LULUCF_hist!DV223,0)</f>
        <v>0</v>
      </c>
      <c r="AS233" s="111">
        <f>[12]GHG_hist!CF223+IF($M233="incl",[12]LULUCF_hist!DW223,0)</f>
        <v>0</v>
      </c>
      <c r="AT233" s="161">
        <f>VLOOKUP($L233,'[12]IMAGE SSP2'!$AF$3:$AK$29,4,FALSE)*$AM233</f>
        <v>0</v>
      </c>
      <c r="AU233" s="162">
        <f>VLOOKUP($L233,'[12]IMAGE SSP2'!$AF$3:$AK$29,5,FALSE)*$AM233</f>
        <v>0</v>
      </c>
      <c r="AV233" s="163">
        <f>VLOOKUP($L233,'[12]IMAGE SSP2'!$AF$3:$AK$29,6,FALSE)*$AM233</f>
        <v>0</v>
      </c>
      <c r="AW233" s="111" t="str">
        <f t="shared" si="165"/>
        <v/>
      </c>
      <c r="AX233" s="164" t="str">
        <f>IF(A233="B",IF(M233="excl",[12]NatCom!CO223,[12]NatCom!AX223),"")</f>
        <v/>
      </c>
      <c r="AY233" s="111" t="str">
        <f>IF('[12]Pledge 2020'!E223="","",'[12]Pledge 2020'!E223)</f>
        <v/>
      </c>
      <c r="AZ233" s="164" t="str">
        <f>IF('[12]Pledge 2020'!F223="","",'[12]Pledge 2020'!F223)</f>
        <v/>
      </c>
      <c r="BA233" s="111" t="str">
        <f t="shared" si="144"/>
        <v/>
      </c>
      <c r="BB233" s="111"/>
      <c r="BC233" s="111" t="str">
        <f t="shared" si="145"/>
        <v/>
      </c>
      <c r="BD233" s="111"/>
      <c r="BE233" s="111" t="s">
        <v>2477</v>
      </c>
      <c r="BF233" s="111"/>
      <c r="BG233" s="111" t="s">
        <v>2477</v>
      </c>
      <c r="BH233" s="164"/>
      <c r="BI233" s="111" t="str">
        <f>IF([12]NDCs!V235="",IF([12]NDCs!X235="","",[12]NDCs!X235),[12]NDCs!V235)</f>
        <v/>
      </c>
      <c r="BJ233" s="111" t="str">
        <f>IF([12]NDCs!V235="",IF([12]NDCs!X235="","",[12]NDCs!X235),[12]NDCs!V235)</f>
        <v/>
      </c>
      <c r="BK233" s="111" t="str">
        <f>IF([12]NDCs!Z235="",IF([12]NDCs!AB235="",IF('input site'!BE233="","",'input site'!BE233),[12]NDCs!AB235),[12]NDCs!Z235)</f>
        <v/>
      </c>
      <c r="BL233" s="111" t="str">
        <f>IF([12]NDCs!AA235="",IF([12]NDCs!AC235="",IF('input site'!BF233="","",'input site'!BF233),[12]NDCs!AC235),[12]NDCs!AA235)</f>
        <v/>
      </c>
      <c r="BM233" s="111">
        <f>IF($BI$8=2015,VLOOKUP($L233,'[12]IMAGE CurPol SSP'!$AZ$3:$BD$29,4,FALSE)*$AM233,IF($BI$8=2018,VLOOKUP($L233,'[12]IMAGE CurPol SSP'!$BJ$3:$BN$29,4,FALSE)*$AP233,$AR233))</f>
        <v>0</v>
      </c>
      <c r="BN233" s="111">
        <f t="shared" si="179"/>
        <v>0</v>
      </c>
      <c r="BO233" s="111">
        <f t="shared" si="179"/>
        <v>0</v>
      </c>
      <c r="BP233" s="111">
        <f>IF($BI$8=2015,VLOOKUP($L233,'[12]IMAGE CurPol SSP'!$AZ$3:$BD$29,5,FALSE)*$AM233,IF($BI$8=2018,VLOOKUP($L233,'[12]IMAGE CurPol SSP'!$BJ$3:$BN$29,5,FALSE)*$AP233,VLOOKUP($L233,'[12]IMAGE CurPol SSP'!$BU$3:$BZ$29,5,FALSE)*$AS233))</f>
        <v>0</v>
      </c>
      <c r="BQ233" s="111">
        <f>IF($BI$8=2015,"",IF($BI$8=2018,"",VLOOKUP($L233,'[12]IMAGE CurPol SSP'!$CQ$3:$CV$29,5,FALSE)*$AS233))</f>
        <v>0</v>
      </c>
      <c r="BR233" s="111">
        <f>IF($BI$8=2015,"",IF($BI$8=2018,"",VLOOKUP($L233,'[12]IMAGE CurPol SSP'!$CF$3:$CK$29,5,FALSE)*$AS233))</f>
        <v>0</v>
      </c>
      <c r="BS233" s="111">
        <f>IF($BI$8=2015,VLOOKUP($L233,'[12]IMAGE CurPol SSP'!$AZ$3:$BE$29,6,FALSE)*$AM233,IF($BI$8=2018,VLOOKUP($L233,'[12]IMAGE CurPol SSP'!$BJ$3:$BO$29,6,FALSE)*$AP233,VLOOKUP($L233,'[12]IMAGE CurPol SSP'!$BU$3:$BZ$29,6,FALSE)*$AS233))</f>
        <v>0</v>
      </c>
      <c r="BT233" s="111">
        <f>IF($BI$8=2015,"",IF($BI$8=2018,"",VLOOKUP($L233,'[12]IMAGE CurPol SSP'!$CQ$3:$CV$29,6,FALSE)*$AS233))</f>
        <v>0</v>
      </c>
      <c r="BU233" s="164">
        <f>IF($BI$8=2015,"",IF($BI$8=2018,"",VLOOKUP($L233,'[12]IMAGE CurPol SSP'!$CF$3:$CK$29,6,FALSE)*$AS233))</f>
        <v>0</v>
      </c>
      <c r="CN233" t="s">
        <v>495</v>
      </c>
      <c r="CO233" s="165" t="str">
        <f t="shared" si="160"/>
        <v/>
      </c>
      <c r="CP233" s="165" t="str">
        <f t="shared" si="160"/>
        <v/>
      </c>
      <c r="CQ233" s="165" t="str">
        <f t="shared" si="160"/>
        <v/>
      </c>
      <c r="CR233" s="165" t="str">
        <f t="shared" si="155"/>
        <v/>
      </c>
      <c r="CV233" s="125" t="s">
        <v>621</v>
      </c>
      <c r="CW233" s="125" t="s">
        <v>621</v>
      </c>
      <c r="CX233" s="208">
        <f>AP233/$AP$255</f>
        <v>0</v>
      </c>
      <c r="CY233" s="167">
        <f t="shared" si="161"/>
        <v>0</v>
      </c>
      <c r="DB233" s="106"/>
      <c r="DC233" s="106"/>
      <c r="DD233" s="106"/>
      <c r="DE233" s="106"/>
      <c r="DF233" s="106"/>
      <c r="DG233" s="105" t="str">
        <f t="shared" si="162"/>
        <v>excl</v>
      </c>
      <c r="DH233" t="s">
        <v>495</v>
      </c>
      <c r="DI233" s="111">
        <f t="shared" si="172"/>
        <v>0</v>
      </c>
      <c r="DJ233" s="111">
        <f t="shared" si="172"/>
        <v>0</v>
      </c>
      <c r="DK233" s="111">
        <f t="shared" si="173"/>
        <v>0</v>
      </c>
      <c r="DL233" s="111">
        <f t="shared" si="174"/>
        <v>0</v>
      </c>
      <c r="DM233" s="111">
        <f t="shared" si="175"/>
        <v>0</v>
      </c>
      <c r="DN233" s="111">
        <f t="shared" si="176"/>
        <v>0</v>
      </c>
      <c r="DO233" s="111">
        <f t="shared" si="177"/>
        <v>0</v>
      </c>
      <c r="DP233" s="111">
        <f t="shared" si="178"/>
        <v>0</v>
      </c>
      <c r="DQ233" s="106"/>
      <c r="DR233" s="106"/>
      <c r="DS233" s="111"/>
      <c r="DT233" s="168"/>
      <c r="DW233" s="111">
        <f t="shared" si="163"/>
        <v>0</v>
      </c>
      <c r="DX233" s="111">
        <f t="shared" si="163"/>
        <v>0</v>
      </c>
      <c r="DY233" s="111">
        <f t="shared" si="163"/>
        <v>0</v>
      </c>
      <c r="DZ233" s="111">
        <f t="shared" si="156"/>
        <v>0</v>
      </c>
      <c r="EP233" t="s">
        <v>495</v>
      </c>
      <c r="EQ233">
        <v>0</v>
      </c>
      <c r="ER233" s="111">
        <f t="shared" si="164"/>
        <v>0</v>
      </c>
      <c r="ES233" s="111">
        <f>IF($BI$8=2015,VLOOKUP($L233,'[12]IMAGE CDLINKS CurPol'!$P$3:$Y$29,10,FALSE)*$AM233,VLOOKUP($L233,'[12]IMAGE CDLINKS CurPol'!$Z$3:$AI$29,10,FALSE)*$AP233)</f>
        <v>0</v>
      </c>
      <c r="ET233" s="111">
        <f t="shared" si="180"/>
        <v>0</v>
      </c>
      <c r="EU233" s="111">
        <f t="shared" si="166"/>
        <v>0</v>
      </c>
      <c r="EV233" s="111">
        <f>IF($BI$8=2015,VLOOKUP($L233,'[12]IMAGE CDLINKS 2C'!$P$3:$Y$29,10,FALSE)*$AM233,VLOOKUP($L233,'[12]IMAGE CDLINKS 2C'!$Z$3:$AI$29,10,FALSE)*$AP233)</f>
        <v>0</v>
      </c>
      <c r="EY233" s="111">
        <f t="shared" si="167"/>
        <v>0</v>
      </c>
      <c r="EZ233" s="111">
        <f>IF($BI$8=2015,VLOOKUP($L233,'[12]IMAGE CDLINKS 1_5C'!$P$3:$Y$29,10,FALSE)*$AM233,VLOOKUP($L233,'[12]IMAGE CDLINKS 1_5C'!$Z$3:$AI$29,10,FALSE)*$AP233)</f>
        <v>0</v>
      </c>
      <c r="FA233" s="192"/>
    </row>
    <row r="234" spans="1:157" x14ac:dyDescent="0.25">
      <c r="A234" t="str">
        <f>IF([12]NDCs!C236="","",[12]NDCs!C236)</f>
        <v>B</v>
      </c>
      <c r="B234" s="159" t="str">
        <f t="shared" si="157"/>
        <v>v</v>
      </c>
      <c r="C234">
        <v>0</v>
      </c>
      <c r="D234">
        <v>0</v>
      </c>
      <c r="E234">
        <v>0</v>
      </c>
      <c r="F234">
        <v>1</v>
      </c>
      <c r="G234" t="b">
        <f t="shared" si="158"/>
        <v>1</v>
      </c>
      <c r="H234" t="s">
        <v>2328</v>
      </c>
      <c r="I234" t="s">
        <v>497</v>
      </c>
      <c r="J234">
        <v>887</v>
      </c>
      <c r="K234">
        <v>222</v>
      </c>
      <c r="L234">
        <v>17</v>
      </c>
      <c r="M234" t="str">
        <f>IF([12]NDCs!AL236="Excluding","excl","incl")</f>
        <v>excl</v>
      </c>
      <c r="N234" s="160">
        <f>[12]GHG_hist!BA224+IF($M234="incl",[12]LULUCF_hist!CR224,0)</f>
        <v>17.943227</v>
      </c>
      <c r="O234" s="111">
        <f>[12]GHG_hist!BB224+IF($M234="incl",[12]LULUCF_hist!CS224,0)</f>
        <v>17.266933000000002</v>
      </c>
      <c r="P234" s="111">
        <f>[12]GHG_hist!BC224+IF($M234="incl",[12]LULUCF_hist!CT224,0)</f>
        <v>18.243767000000002</v>
      </c>
      <c r="Q234" s="111">
        <f>[12]GHG_hist!BD224+IF($M234="incl",[12]LULUCF_hist!CU224,0)</f>
        <v>17.163689999999999</v>
      </c>
      <c r="R234" s="111">
        <f>[12]GHG_hist!BE224+IF($M234="incl",[12]LULUCF_hist!CV224,0)</f>
        <v>18.794294999999998</v>
      </c>
      <c r="S234" s="111">
        <f>[12]GHG_hist!BF224+IF($M234="incl",[12]LULUCF_hist!CW224,0)</f>
        <v>20.136088000000001</v>
      </c>
      <c r="T234" s="111">
        <f>[12]GHG_hist!BG224+IF($M234="incl",[12]LULUCF_hist!CX224,0)</f>
        <v>20.972548</v>
      </c>
      <c r="U234" s="111">
        <f>[12]GHG_hist!BH224+IF($M234="incl",[12]LULUCF_hist!CY224,0)</f>
        <v>22.678151999999997</v>
      </c>
      <c r="V234" s="111">
        <f>[12]GHG_hist!BI224+IF($M234="incl",[12]LULUCF_hist!CZ224,0)</f>
        <v>24.013883999999997</v>
      </c>
      <c r="W234" s="111">
        <f>[12]GHG_hist!BJ224+IF($M234="incl",[12]LULUCF_hist!DA224,0)</f>
        <v>26.603528999999998</v>
      </c>
      <c r="X234" s="111">
        <f>[12]GHG_hist!BK224+IF($M234="incl",[12]LULUCF_hist!DB224,0)</f>
        <v>28.193572</v>
      </c>
      <c r="Y234" s="111">
        <f>[12]GHG_hist!BL224+IF($M234="incl",[12]LULUCF_hist!DC224,0)</f>
        <v>30.033150000000003</v>
      </c>
      <c r="Z234" s="111">
        <f>[12]GHG_hist!BM224+IF($M234="incl",[12]LULUCF_hist!DD224,0)</f>
        <v>29.479908000000002</v>
      </c>
      <c r="AA234" s="111">
        <f>[12]GHG_hist!BN224+IF($M234="incl",[12]LULUCF_hist!DE224,0)</f>
        <v>31.983986000000002</v>
      </c>
      <c r="AB234" s="111">
        <f>[12]GHG_hist!BO224+IF($M234="incl",[12]LULUCF_hist!DF224,0)</f>
        <v>33.701391999999998</v>
      </c>
      <c r="AC234" s="111">
        <f>[12]GHG_hist!BP224+IF($M234="incl",[12]LULUCF_hist!DG224,0)</f>
        <v>34.797761000000001</v>
      </c>
      <c r="AD234" s="111">
        <f>[12]GHG_hist!BQ224+IF($M234="incl",[12]LULUCF_hist!DH224,0)</f>
        <v>36.930512999999998</v>
      </c>
      <c r="AE234" s="111">
        <f>[12]GHG_hist!BR224+IF($M234="incl",[12]LULUCF_hist!DI224,0)</f>
        <v>36.783042999999999</v>
      </c>
      <c r="AF234" s="111">
        <f>[12]GHG_hist!BS224+IF($M234="incl",[12]LULUCF_hist!DJ224,0)</f>
        <v>37.531777000000005</v>
      </c>
      <c r="AG234" s="111">
        <f>[12]GHG_hist!BT224+IF($M234="incl",[12]LULUCF_hist!DK224,0)</f>
        <v>40.428802000000005</v>
      </c>
      <c r="AH234" s="111">
        <f>[12]GHG_hist!BU224+IF($M234="incl",[12]LULUCF_hist!DL224,0)</f>
        <v>38.882514999999998</v>
      </c>
      <c r="AI234" s="111">
        <f>[12]GHG_hist!BV224+IF($M234="incl",[12]LULUCF_hist!DM224,0)</f>
        <v>40.481476999999998</v>
      </c>
      <c r="AJ234" s="111">
        <f>[12]GHG_hist!BW224+IF($M234="incl",[12]LULUCF_hist!DN224,0)</f>
        <v>42.883900000000004</v>
      </c>
      <c r="AK234" s="111">
        <f>[12]GHG_hist!BX224+IF($M234="incl",[12]LULUCF_hist!DO224,0)</f>
        <v>54.374969</v>
      </c>
      <c r="AL234" s="111">
        <f>[12]GHG_hist!BY224+IF($M234="incl",[12]LULUCF_hist!DP224,0)</f>
        <v>53.745567000000001</v>
      </c>
      <c r="AM234" s="111">
        <f>[12]GHG_hist!BZ224+IF($M234="incl",[12]LULUCF_hist!DQ224,0)</f>
        <v>36.629137</v>
      </c>
      <c r="AN234" s="111">
        <f>[12]GHG_hist!CA224+IF($M234="incl",[12]LULUCF_hist!DR224,0)</f>
        <v>32.456597000000002</v>
      </c>
      <c r="AO234" s="111">
        <f>[12]GHG_hist!CB224+IF($M234="incl",[12]LULUCF_hist!DS224,0)</f>
        <v>32.822425000000003</v>
      </c>
      <c r="AP234" s="111">
        <f>[12]GHG_hist!CC224+IF($M234="incl",[12]LULUCF_hist!DT224,0)</f>
        <v>40.420044000000004</v>
      </c>
      <c r="AQ234" s="111">
        <f>[12]GHG_hist!CD224+IF($M234="incl",[12]LULUCF_hist!DU224,0)</f>
        <v>42.938451000000001</v>
      </c>
      <c r="AR234" s="111">
        <f>[12]GHG_hist!CE224+IF($M234="incl",[12]LULUCF_hist!DV224,0)</f>
        <v>42.213319000000006</v>
      </c>
      <c r="AS234" s="111">
        <f>[12]GHG_hist!CF224+IF($M234="incl",[12]LULUCF_hist!DW224,0)</f>
        <v>43.429230000000004</v>
      </c>
      <c r="AT234" s="161">
        <f>VLOOKUP($L234,'[12]IMAGE SSP2'!$AF$3:$AK$29,4,FALSE)*$AM234</f>
        <v>40.732386161253729</v>
      </c>
      <c r="AU234" s="162">
        <f>VLOOKUP($L234,'[12]IMAGE SSP2'!$AF$3:$AK$29,5,FALSE)*$AM234</f>
        <v>44.146683552863351</v>
      </c>
      <c r="AV234" s="163">
        <f>VLOOKUP($L234,'[12]IMAGE SSP2'!$AF$3:$AK$29,6,FALSE)*$AM234</f>
        <v>46.742265820888534</v>
      </c>
      <c r="AW234" s="111">
        <f>IF(A234="B",AM234+(AX234-AM234)*0.33333,"")</f>
        <v>39.022734063790004</v>
      </c>
      <c r="AX234" s="164">
        <f>IF(A234="B",IF(M234="excl",[12]NatCom!CO224,[12]NatCom!AX224),"")</f>
        <v>43.81</v>
      </c>
      <c r="AY234" s="111" t="str">
        <f>IF('[12]Pledge 2020'!E224="","",'[12]Pledge 2020'!E224)</f>
        <v/>
      </c>
      <c r="AZ234" s="164" t="str">
        <f>IF('[12]Pledge 2020'!F224="","",'[12]Pledge 2020'!F224)</f>
        <v/>
      </c>
      <c r="BA234" s="111">
        <f t="shared" si="144"/>
        <v>42.249553750000004</v>
      </c>
      <c r="BB234" s="111">
        <f>IF(BF234="","",(BF234-AH234)*0.75+AH234)</f>
        <v>42.249553750000004</v>
      </c>
      <c r="BC234" s="111">
        <f t="shared" si="145"/>
        <v>37.978078750000002</v>
      </c>
      <c r="BD234" s="111">
        <f>IF(BH234="","",(BH234-AH234)*0.75+AH234)</f>
        <v>37.978078750000002</v>
      </c>
      <c r="BE234" s="111">
        <v>43.371900000000004</v>
      </c>
      <c r="BF234" s="111">
        <v>43.371900000000004</v>
      </c>
      <c r="BG234" s="111">
        <v>37.676600000000001</v>
      </c>
      <c r="BH234" s="164">
        <v>37.676600000000001</v>
      </c>
      <c r="BI234" s="111">
        <f>IF([12]NDCs!V236="",IF([12]NDCs!X236="","",[12]NDCs!X236),[12]NDCs!V236)</f>
        <v>43.371900000000004</v>
      </c>
      <c r="BJ234" s="111">
        <f>IF([12]NDCs!V236="",IF([12]NDCs!X236="","",[12]NDCs!X236),[12]NDCs!V236)</f>
        <v>43.371900000000004</v>
      </c>
      <c r="BK234" s="111">
        <f>IF([12]NDCs!Z236="",IF([12]NDCs!AB236="",IF('input site'!BE234="","",'input site'!BE234),[12]NDCs!AB236),[12]NDCs!Z236)</f>
        <v>37.676600000000001</v>
      </c>
      <c r="BL234" s="111">
        <f>IF([12]NDCs!AA236="",IF([12]NDCs!AC236="",IF('input site'!BF234="","",'input site'!BF234),[12]NDCs!AC236),[12]NDCs!AA236)</f>
        <v>37.676600000000001</v>
      </c>
      <c r="BM234" s="111">
        <f>IF($BI$8=2015,VLOOKUP($L234,'[12]IMAGE CurPol SSP'!$AZ$3:$BD$29,4,FALSE)*$AM234,IF($BI$8=2018,VLOOKUP($L234,'[12]IMAGE CurPol SSP'!$BJ$3:$BN$29,4,FALSE)*$AP234,$AR234))</f>
        <v>42.213319000000006</v>
      </c>
      <c r="BN234" s="111">
        <f t="shared" si="179"/>
        <v>42.213319000000006</v>
      </c>
      <c r="BO234" s="111">
        <f t="shared" si="179"/>
        <v>42.213319000000006</v>
      </c>
      <c r="BP234" s="111">
        <f>IF($BI$8=2015,VLOOKUP($L234,'[12]IMAGE CurPol SSP'!$AZ$3:$BD$29,5,FALSE)*$AM234,IF($BI$8=2018,VLOOKUP($L234,'[12]IMAGE CurPol SSP'!$BJ$3:$BN$29,5,FALSE)*$AP234,VLOOKUP($L234,'[12]IMAGE CurPol SSP'!$BU$3:$BZ$29,5,FALSE)*$AS234))</f>
        <v>43.138932266606922</v>
      </c>
      <c r="BQ234" s="111">
        <f>IF($BI$8=2015,"",IF($BI$8=2018,"",VLOOKUP($L234,'[12]IMAGE CurPol SSP'!$CQ$3:$CV$29,5,FALSE)*$AS234))</f>
        <v>42.717911442082276</v>
      </c>
      <c r="BR234" s="111">
        <f>IF($BI$8=2015,"",IF($BI$8=2018,"",VLOOKUP($L234,'[12]IMAGE CurPol SSP'!$CF$3:$CK$29,5,FALSE)*$AS234))</f>
        <v>43.938408098978577</v>
      </c>
      <c r="BS234" s="111">
        <f>IF($BI$8=2015,VLOOKUP($L234,'[12]IMAGE CurPol SSP'!$AZ$3:$BE$29,6,FALSE)*$AM234,IF($BI$8=2018,VLOOKUP($L234,'[12]IMAGE CurPol SSP'!$BJ$3:$BO$29,6,FALSE)*$AP234,VLOOKUP($L234,'[12]IMAGE CurPol SSP'!$BU$3:$BZ$29,6,FALSE)*$AS234))</f>
        <v>43.124002321362632</v>
      </c>
      <c r="BT234" s="111">
        <f>IF($BI$8=2015,"",IF($BI$8=2018,"",VLOOKUP($L234,'[12]IMAGE CurPol SSP'!$CQ$3:$CV$29,6,FALSE)*$AS234))</f>
        <v>42.12423660067563</v>
      </c>
      <c r="BU234" s="164">
        <f>IF($BI$8=2015,"",IF($BI$8=2018,"",VLOOKUP($L234,'[12]IMAGE CurPol SSP'!$CF$3:$CK$29,6,FALSE)*$AS234))</f>
        <v>44.724409500893422</v>
      </c>
      <c r="CN234" t="s">
        <v>497</v>
      </c>
      <c r="CO234" s="165">
        <f t="shared" si="160"/>
        <v>5.7484849571711738E-3</v>
      </c>
      <c r="CP234" s="165">
        <f t="shared" si="160"/>
        <v>5.7484849571711738E-3</v>
      </c>
      <c r="CQ234" s="165">
        <f t="shared" si="160"/>
        <v>-0.12631949791599273</v>
      </c>
      <c r="CR234" s="165">
        <f t="shared" si="155"/>
        <v>-0.12631949791599273</v>
      </c>
      <c r="CS234" s="159"/>
      <c r="CU234" s="159"/>
      <c r="CV234" s="125" t="s">
        <v>621</v>
      </c>
      <c r="CW234" s="125" t="s">
        <v>621</v>
      </c>
      <c r="CX234" s="159"/>
      <c r="CY234" s="167">
        <f t="shared" si="161"/>
        <v>-1.480932838746277</v>
      </c>
      <c r="CZ234" s="159"/>
      <c r="DB234" s="106"/>
      <c r="DC234" s="106"/>
      <c r="DD234" s="106"/>
      <c r="DE234" s="106"/>
      <c r="DF234" s="106"/>
      <c r="DG234" s="105" t="str">
        <f t="shared" si="162"/>
        <v>excl</v>
      </c>
      <c r="DH234" t="s">
        <v>497</v>
      </c>
      <c r="DI234" s="111">
        <f t="shared" si="172"/>
        <v>0</v>
      </c>
      <c r="DJ234" s="111">
        <f t="shared" si="172"/>
        <v>0</v>
      </c>
      <c r="DK234" s="111">
        <f t="shared" si="173"/>
        <v>-0.88937851660691791</v>
      </c>
      <c r="DL234" s="111">
        <f t="shared" si="174"/>
        <v>-5.1608535166069203</v>
      </c>
      <c r="DM234" s="111">
        <f t="shared" si="175"/>
        <v>0.24789767863737211</v>
      </c>
      <c r="DN234" s="111">
        <f t="shared" si="176"/>
        <v>-5.447402321362631</v>
      </c>
      <c r="DO234" s="111">
        <f t="shared" si="177"/>
        <v>0.24789767863737211</v>
      </c>
      <c r="DP234" s="111">
        <f t="shared" si="178"/>
        <v>-5.447402321362631</v>
      </c>
      <c r="DQ234" s="106"/>
      <c r="DR234" s="106"/>
      <c r="DS234" s="111"/>
      <c r="DT234" s="168" t="s">
        <v>2352</v>
      </c>
      <c r="DW234" s="111">
        <f t="shared" si="163"/>
        <v>43.371900000000004</v>
      </c>
      <c r="DX234" s="111">
        <f t="shared" si="163"/>
        <v>43.371900000000004</v>
      </c>
      <c r="DY234" s="111">
        <f t="shared" si="163"/>
        <v>37.676600000000001</v>
      </c>
      <c r="DZ234" s="111">
        <f t="shared" si="156"/>
        <v>37.676600000000001</v>
      </c>
      <c r="EP234" t="s">
        <v>497</v>
      </c>
      <c r="EQ234">
        <v>-1</v>
      </c>
      <c r="ER234" s="111">
        <f t="shared" si="164"/>
        <v>40.420044000000004</v>
      </c>
      <c r="ES234" s="111">
        <f>IF($BI$8=2015,VLOOKUP($L234,'[12]IMAGE CDLINKS CurPol'!$P$3:$Y$29,10,FALSE)*$AM234,VLOOKUP($L234,'[12]IMAGE CDLINKS CurPol'!$Z$3:$AI$29,10,FALSE)*$AP234)</f>
        <v>60.480028654763714</v>
      </c>
      <c r="ET234" s="111">
        <f t="shared" si="180"/>
        <v>60.480028654763714</v>
      </c>
      <c r="EU234" s="111">
        <f t="shared" si="166"/>
        <v>20.35036687693129</v>
      </c>
      <c r="EV234" s="111">
        <f>IF($BI$8=2015,VLOOKUP($L234,'[12]IMAGE CDLINKS 2C'!$P$3:$Y$29,10,FALSE)*$AM234,VLOOKUP($L234,'[12]IMAGE CDLINKS 2C'!$Z$3:$AI$29,10,FALSE)*$AP234)</f>
        <v>20.35036687693129</v>
      </c>
      <c r="EX234" s="111"/>
      <c r="EY234" s="111">
        <f t="shared" si="167"/>
        <v>3.5448098655085225</v>
      </c>
      <c r="EZ234" s="111">
        <f>IF($BI$8=2015,VLOOKUP($L234,'[12]IMAGE CDLINKS 1_5C'!$P$3:$Y$29,10,FALSE)*$AM234,VLOOKUP($L234,'[12]IMAGE CDLINKS 1_5C'!$Z$3:$AI$29,10,FALSE)*$AP234)</f>
        <v>3.5448098655085225</v>
      </c>
      <c r="FA234" s="192">
        <v>2050</v>
      </c>
    </row>
    <row r="235" spans="1:157" x14ac:dyDescent="0.25">
      <c r="A235" t="str">
        <f>IF([12]NDCs!C237="","",[12]NDCs!C237)</f>
        <v>A</v>
      </c>
      <c r="B235" s="159" t="str">
        <f t="shared" si="157"/>
        <v>v</v>
      </c>
      <c r="C235">
        <v>0</v>
      </c>
      <c r="D235">
        <v>0</v>
      </c>
      <c r="E235">
        <v>0</v>
      </c>
      <c r="F235">
        <v>1</v>
      </c>
      <c r="G235" t="b">
        <f t="shared" si="158"/>
        <v>1</v>
      </c>
      <c r="H235" t="s">
        <v>2328</v>
      </c>
      <c r="I235" t="s">
        <v>499</v>
      </c>
      <c r="J235">
        <v>894</v>
      </c>
      <c r="K235">
        <v>224</v>
      </c>
      <c r="L235">
        <v>26</v>
      </c>
      <c r="M235" t="str">
        <f>IF([12]NDCs!AL237="Excluding","excl","incl")</f>
        <v>incl</v>
      </c>
      <c r="N235" s="160">
        <f>[12]GHG_hist!BA225+IF($M235="incl",[12]LULUCF_hist!CR225,0)</f>
        <v>-50.841594000000001</v>
      </c>
      <c r="O235" s="111">
        <f>[12]GHG_hist!BB225+IF($M235="incl",[12]LULUCF_hist!CS225,0)</f>
        <v>-50.425692000000005</v>
      </c>
      <c r="P235" s="111">
        <f>[12]GHG_hist!BC225+IF($M235="incl",[12]LULUCF_hist!CT225,0)</f>
        <v>-50.167197000000002</v>
      </c>
      <c r="Q235" s="111">
        <f>[12]GHG_hist!BD225+IF($M235="incl",[12]LULUCF_hist!CU225,0)</f>
        <v>-50.448092000000003</v>
      </c>
      <c r="R235" s="111">
        <f>[12]GHG_hist!BE225+IF($M235="incl",[12]LULUCF_hist!CV225,0)</f>
        <v>-50.661197000000001</v>
      </c>
      <c r="S235" s="111">
        <f>[12]GHG_hist!BF225+IF($M235="incl",[12]LULUCF_hist!CW225,0)</f>
        <v>-48.241716666666676</v>
      </c>
      <c r="T235" s="111">
        <f>[12]GHG_hist!BG225+IF($M235="incl",[12]LULUCF_hist!CX225,0)</f>
        <v>-46.345650333333339</v>
      </c>
      <c r="U235" s="111">
        <f>[12]GHG_hist!BH225+IF($M235="incl",[12]LULUCF_hist!CY225,0)</f>
        <v>-42.373034000000004</v>
      </c>
      <c r="V235" s="111">
        <f>[12]GHG_hist!BI225+IF($M235="incl",[12]LULUCF_hist!CZ225,0)</f>
        <v>-38.971556666666672</v>
      </c>
      <c r="W235" s="111">
        <f>[12]GHG_hist!BJ225+IF($M235="incl",[12]LULUCF_hist!DA225,0)</f>
        <v>-36.861611333333329</v>
      </c>
      <c r="X235" s="111">
        <f>[12]GHG_hist!BK225+IF($M235="incl",[12]LULUCF_hist!DB225,0)</f>
        <v>-34.635795999999999</v>
      </c>
      <c r="Y235" s="111">
        <f>[12]GHG_hist!BL225+IF($M235="incl",[12]LULUCF_hist!DC225,0)</f>
        <v>-33.490709000000003</v>
      </c>
      <c r="Z235" s="111">
        <f>[12]GHG_hist!BM225+IF($M235="incl",[12]LULUCF_hist!DD225,0)</f>
        <v>-32.123418999999998</v>
      </c>
      <c r="AA235" s="111">
        <f>[12]GHG_hist!BN225+IF($M235="incl",[12]LULUCF_hist!DE225,0)</f>
        <v>-30.736024</v>
      </c>
      <c r="AB235" s="111">
        <f>[12]GHG_hist!BO225+IF($M235="incl",[12]LULUCF_hist!DF225,0)</f>
        <v>-29.951519999999999</v>
      </c>
      <c r="AC235" s="111">
        <f>[12]GHG_hist!BP225+IF($M235="incl",[12]LULUCF_hist!DG225,0)</f>
        <v>-28.434028999999999</v>
      </c>
      <c r="AD235" s="111">
        <f>[12]GHG_hist!BQ225+IF($M235="incl",[12]LULUCF_hist!DH225,0)</f>
        <v>-26.099726999999998</v>
      </c>
      <c r="AE235" s="111">
        <f>[12]GHG_hist!BR225+IF($M235="incl",[12]LULUCF_hist!DI225,0)</f>
        <v>-23.670298999999996</v>
      </c>
      <c r="AF235" s="111">
        <f>[12]GHG_hist!BS225+IF($M235="incl",[12]LULUCF_hist!DJ225,0)</f>
        <v>-20.438851</v>
      </c>
      <c r="AG235" s="111">
        <f>[12]GHG_hist!BT225+IF($M235="incl",[12]LULUCF_hist!DK225,0)</f>
        <v>-17.394252999999999</v>
      </c>
      <c r="AH235" s="111">
        <f>[12]GHG_hist!BU225+IF($M235="incl",[12]LULUCF_hist!DL225,0)</f>
        <v>-13.285820999999995</v>
      </c>
      <c r="AI235" s="111">
        <f>[12]GHG_hist!BV225+IF($M235="incl",[12]LULUCF_hist!DM225,0)</f>
        <v>-15.811499999999999</v>
      </c>
      <c r="AJ235" s="111">
        <f>[12]GHG_hist!BW225+IF($M235="incl",[12]LULUCF_hist!DN225,0)</f>
        <v>-11.196965999999996</v>
      </c>
      <c r="AK235" s="111">
        <f>[12]GHG_hist!BX225+IF($M235="incl",[12]LULUCF_hist!DO225,0)</f>
        <v>-8.7098100000000009</v>
      </c>
      <c r="AL235" s="111">
        <f>[12]GHG_hist!BY225+IF($M235="incl",[12]LULUCF_hist!DP225,0)</f>
        <v>-7.2104769999999938</v>
      </c>
      <c r="AM235" s="111">
        <f>[12]GHG_hist!BZ225+IF($M235="incl",[12]LULUCF_hist!DQ225,0)</f>
        <v>-5.4878089999999951</v>
      </c>
      <c r="AN235" s="111">
        <f>[12]GHG_hist!CA225+IF($M235="incl",[12]LULUCF_hist!DR225,0)</f>
        <v>-2.7167540000000017</v>
      </c>
      <c r="AO235" s="111">
        <f>[12]GHG_hist!CB225+IF($M235="incl",[12]LULUCF_hist!DS225,0)</f>
        <v>4.7157822564103995</v>
      </c>
      <c r="AP235" s="111">
        <f>[12]GHG_hist!CC225+IF($M235="incl",[12]LULUCF_hist!DT225,0)</f>
        <v>7.2847283805454239</v>
      </c>
      <c r="AQ235" s="111">
        <f>[12]GHG_hist!CD225+IF($M235="incl",[12]LULUCF_hist!DU225,0)</f>
        <v>9.1285295046804507</v>
      </c>
      <c r="AR235" s="111">
        <f>[12]GHG_hist!CE225+IF($M235="incl",[12]LULUCF_hist!DV225,0)</f>
        <v>9.8445186288159334</v>
      </c>
      <c r="AS235" s="111">
        <f>[12]GHG_hist!CF225+IF($M235="incl",[12]LULUCF_hist!DW225,0)</f>
        <v>12.203251752950507</v>
      </c>
      <c r="AT235" s="161">
        <f>VLOOKUP($L235,'[12]IMAGE SSP2'!$AF$3:$AK$29,4,FALSE)*$AM235</f>
        <v>-6.0949886545893346</v>
      </c>
      <c r="AU235" s="162">
        <f>VLOOKUP($L235,'[12]IMAGE SSP2'!$AF$3:$AK$29,5,FALSE)*$AM235</f>
        <v>-6.4316639018732404</v>
      </c>
      <c r="AV235" s="163">
        <f>VLOOKUP($L235,'[12]IMAGE SSP2'!$AF$3:$AK$29,6,FALSE)*$AM235</f>
        <v>-7.5284739660375166</v>
      </c>
      <c r="AW235" s="111" t="str">
        <f t="shared" si="165"/>
        <v/>
      </c>
      <c r="AX235" s="164" t="str">
        <f>IF(A235="B",IF(M235="excl",[12]NatCom!CO225,[12]NatCom!AX225),"")</f>
        <v/>
      </c>
      <c r="AY235" s="111" t="str">
        <f>IF('[12]Pledge 2020'!E225="","",'[12]Pledge 2020'!E225)</f>
        <v/>
      </c>
      <c r="AZ235" s="164" t="str">
        <f>IF('[12]Pledge 2020'!F225="","",'[12]Pledge 2020'!F225)</f>
        <v/>
      </c>
      <c r="BA235" s="111">
        <f t="shared" si="144"/>
        <v>64.516044749999992</v>
      </c>
      <c r="BB235" s="111">
        <f>IF(BF235="","",(BF235-AH235)*0.75+AH235)</f>
        <v>64.516044749999992</v>
      </c>
      <c r="BC235" s="111">
        <f t="shared" si="145"/>
        <v>44.617044749999991</v>
      </c>
      <c r="BD235" s="111">
        <f>IF(BH235="","",(BH235-AH235)*0.75+AH235)</f>
        <v>44.617044749999991</v>
      </c>
      <c r="BE235" s="169">
        <v>90.449999999999989</v>
      </c>
      <c r="BF235" s="169">
        <v>90.449999999999989</v>
      </c>
      <c r="BG235" s="169">
        <v>63.917999999999999</v>
      </c>
      <c r="BH235" s="170">
        <v>63.917999999999999</v>
      </c>
      <c r="BI235" s="111">
        <f>IF([12]NDCs!V237="",IF([12]NDCs!X237="","",[12]NDCs!X237),[12]NDCs!V237)</f>
        <v>60.638297872340431</v>
      </c>
      <c r="BJ235" s="111">
        <f>IF([12]NDCs!V237="",IF([12]NDCs!X237="","",[12]NDCs!X237),[12]NDCs!V237)</f>
        <v>60.638297872340431</v>
      </c>
      <c r="BK235" s="111">
        <f>IF([12]NDCs!Z237="",IF([12]NDCs!AB237="",IF('input site'!BE235="","",'input site'!BE235),[12]NDCs!AB237),[12]NDCs!Z237)</f>
        <v>42.851063829787236</v>
      </c>
      <c r="BL235" s="111">
        <f>IF([12]NDCs!AA237="",IF([12]NDCs!AC237="",IF('input site'!BF235="","",'input site'!BF235),[12]NDCs!AC237),[12]NDCs!AA237)</f>
        <v>42.851063829787236</v>
      </c>
      <c r="BM235" s="111">
        <f>IF($BI$8=2015,VLOOKUP($L235,'[12]IMAGE CurPol SSP'!$AZ$3:$BD$29,4,FALSE)*$AM235,IF($BI$8=2018,VLOOKUP($L235,'[12]IMAGE CurPol SSP'!$BJ$3:$BN$29,4,FALSE)*$AP235,$AR235))</f>
        <v>9.8445186288159334</v>
      </c>
      <c r="BN235" s="111">
        <f t="shared" si="179"/>
        <v>9.8445186288159334</v>
      </c>
      <c r="BO235" s="111">
        <f t="shared" si="179"/>
        <v>9.8445186288159334</v>
      </c>
      <c r="BP235" s="111">
        <f>IF($BI$8=2015,VLOOKUP($L235,'[12]IMAGE CurPol SSP'!$AZ$3:$BD$29,5,FALSE)*$AM235,IF($BI$8=2018,VLOOKUP($L235,'[12]IMAGE CurPol SSP'!$BJ$3:$BN$29,5,FALSE)*$AP235,VLOOKUP($L235,'[12]IMAGE CurPol SSP'!$BU$3:$BZ$29,5,FALSE)*$AS235))</f>
        <v>13.055432157977748</v>
      </c>
      <c r="BQ235" s="111">
        <f>IF($BI$8=2015,"",IF($BI$8=2018,"",VLOOKUP($L235,'[12]IMAGE CurPol SSP'!$CQ$3:$CV$29,5,FALSE)*$AS235))</f>
        <v>13.055432157977748</v>
      </c>
      <c r="BR235" s="111">
        <f>IF($BI$8=2015,"",IF($BI$8=2018,"",VLOOKUP($L235,'[12]IMAGE CurPol SSP'!$CF$3:$CK$29,5,FALSE)*$AS235))</f>
        <v>13.440335007645789</v>
      </c>
      <c r="BS235" s="111">
        <f>IF($BI$8=2015,VLOOKUP($L235,'[12]IMAGE CurPol SSP'!$AZ$3:$BE$29,6,FALSE)*$AM235,IF($BI$8=2018,VLOOKUP($L235,'[12]IMAGE CurPol SSP'!$BJ$3:$BO$29,6,FALSE)*$AP235,VLOOKUP($L235,'[12]IMAGE CurPol SSP'!$BU$3:$BZ$29,6,FALSE)*$AS235))</f>
        <v>14.85183449365198</v>
      </c>
      <c r="BT235" s="111">
        <f>IF($BI$8=2015,"",IF($BI$8=2018,"",VLOOKUP($L235,'[12]IMAGE CurPol SSP'!$CQ$3:$CV$29,6,FALSE)*$AS235))</f>
        <v>14.85183449365198</v>
      </c>
      <c r="BU235" s="164">
        <f>IF($BI$8=2015,"",IF($BI$8=2018,"",VLOOKUP($L235,'[12]IMAGE CurPol SSP'!$CF$3:$CK$29,6,FALSE)*$AS235))</f>
        <v>15.449799506095452</v>
      </c>
      <c r="CN235" t="s">
        <v>499</v>
      </c>
      <c r="CO235" s="165" t="str">
        <f>IF([12]NDCs!BE238="",IF([12]NDCs!BG238="","",[12]NDCs!BG238),[12]NDCs!BE238)</f>
        <v/>
      </c>
      <c r="CP235" s="165"/>
      <c r="CQ235" s="165" t="str">
        <f>IF([12]NDCs!BI238="",IF([12]NDCs!BK238="",IF('input site'!CO235="","",'input site'!CO235),[12]NDCs!BK238),[12]NDCs!BI238)</f>
        <v/>
      </c>
      <c r="CR235" s="223"/>
      <c r="CV235" s="125" t="s">
        <v>621</v>
      </c>
      <c r="CW235" s="125" t="s">
        <v>621</v>
      </c>
      <c r="CX235"/>
      <c r="CY235" s="167">
        <f t="shared" si="161"/>
        <v>-15.939507283405268</v>
      </c>
      <c r="DB235" s="106"/>
      <c r="DC235" s="106"/>
      <c r="DD235" s="106"/>
      <c r="DE235" s="106"/>
      <c r="DF235" s="106"/>
      <c r="DG235" s="105" t="str">
        <f t="shared" si="162"/>
        <v>incl</v>
      </c>
      <c r="DH235" t="s">
        <v>499</v>
      </c>
      <c r="DI235" s="111">
        <f t="shared" si="172"/>
        <v>0</v>
      </c>
      <c r="DJ235" s="111">
        <f t="shared" si="172"/>
        <v>0</v>
      </c>
      <c r="DK235" s="111">
        <f t="shared" si="173"/>
        <v>51.460612592022244</v>
      </c>
      <c r="DL235" s="111">
        <f t="shared" si="174"/>
        <v>31.561612592022243</v>
      </c>
      <c r="DM235" s="111">
        <f t="shared" si="175"/>
        <v>75.59816550634801</v>
      </c>
      <c r="DN235" s="111">
        <f t="shared" si="176"/>
        <v>49.066165506348021</v>
      </c>
      <c r="DO235" s="111">
        <f t="shared" si="177"/>
        <v>45.786463378688453</v>
      </c>
      <c r="DP235" s="111">
        <f t="shared" si="178"/>
        <v>27.999229336135258</v>
      </c>
      <c r="DQ235" s="106"/>
      <c r="DR235" s="106"/>
      <c r="DS235" s="111"/>
      <c r="DT235" s="168"/>
      <c r="DW235" s="111">
        <f t="shared" si="163"/>
        <v>90.449999999999989</v>
      </c>
      <c r="DX235" s="111">
        <f t="shared" si="163"/>
        <v>90.449999999999989</v>
      </c>
      <c r="DY235" s="111">
        <f t="shared" si="163"/>
        <v>63.917999999999999</v>
      </c>
      <c r="DZ235" s="111">
        <f t="shared" si="156"/>
        <v>63.917999999999999</v>
      </c>
      <c r="EP235" t="s">
        <v>499</v>
      </c>
      <c r="EQ235">
        <v>-1</v>
      </c>
      <c r="ER235" s="111">
        <f t="shared" si="164"/>
        <v>7.2847283805454239</v>
      </c>
      <c r="ES235" s="111">
        <f>IF($BI$8=2015,VLOOKUP($L235,'[12]IMAGE CDLINKS CurPol'!$P$3:$Y$29,10,FALSE)*$AM235,VLOOKUP($L235,'[12]IMAGE CDLINKS CurPol'!$Z$3:$AI$29,10,FALSE)*$AP235)</f>
        <v>14.773914589597636</v>
      </c>
      <c r="ET235" s="111">
        <f t="shared" si="180"/>
        <v>14.773914589597636</v>
      </c>
      <c r="EU235" s="111">
        <f t="shared" si="166"/>
        <v>5.1792491644890477</v>
      </c>
      <c r="EV235" s="111">
        <f>IF($BI$8=2015,VLOOKUP($L235,'[12]IMAGE CDLINKS 2C'!$P$3:$Y$29,10,FALSE)*$AM235,VLOOKUP($L235,'[12]IMAGE CDLINKS 2C'!$Z$3:$AI$29,10,FALSE)*$AP235)</f>
        <v>5.1792491644890477</v>
      </c>
      <c r="EX235" s="111"/>
      <c r="EY235" s="111">
        <f t="shared" si="167"/>
        <v>4.8295960927188935</v>
      </c>
      <c r="EZ235" s="111">
        <f>IF($BI$8=2015,VLOOKUP($L235,'[12]IMAGE CDLINKS 1_5C'!$P$3:$Y$29,10,FALSE)*$AM235,VLOOKUP($L235,'[12]IMAGE CDLINKS 1_5C'!$Z$3:$AI$29,10,FALSE)*$AP235)</f>
        <v>4.8295960927188935</v>
      </c>
      <c r="FA235" s="192">
        <v>2050</v>
      </c>
    </row>
    <row r="236" spans="1:157" x14ac:dyDescent="0.25">
      <c r="A236" t="str">
        <f>IF([12]NDCs!C238="","",[12]NDCs!C238)</f>
        <v>G</v>
      </c>
      <c r="B236" s="159" t="str">
        <f t="shared" si="157"/>
        <v>v</v>
      </c>
      <c r="C236">
        <v>0</v>
      </c>
      <c r="D236">
        <v>0</v>
      </c>
      <c r="E236">
        <v>0</v>
      </c>
      <c r="F236">
        <v>1</v>
      </c>
      <c r="G236" t="b">
        <f t="shared" si="158"/>
        <v>0</v>
      </c>
      <c r="H236" t="s">
        <v>2328</v>
      </c>
      <c r="I236" t="s">
        <v>501</v>
      </c>
      <c r="J236">
        <v>716</v>
      </c>
      <c r="K236">
        <v>187</v>
      </c>
      <c r="L236">
        <v>26</v>
      </c>
      <c r="M236" t="str">
        <f>IF([12]NDCs!AL238="Excluding","excl","incl")</f>
        <v>excl</v>
      </c>
      <c r="N236" s="160">
        <f>[12]GHG_hist!BA226+IF($M236="incl",[12]LULUCF_hist!CR226,0)</f>
        <v>29.761959999999998</v>
      </c>
      <c r="O236" s="111">
        <f>[12]GHG_hist!BB226+IF($M236="incl",[12]LULUCF_hist!CS226,0)</f>
        <v>28.121229</v>
      </c>
      <c r="P236" s="111">
        <f>[12]GHG_hist!BC226+IF($M236="incl",[12]LULUCF_hist!CT226,0)</f>
        <v>29.357991999999999</v>
      </c>
      <c r="Q236" s="111">
        <f>[12]GHG_hist!BD226+IF($M236="incl",[12]LULUCF_hist!CU226,0)</f>
        <v>26.426957999999999</v>
      </c>
      <c r="R236" s="111">
        <f>[12]GHG_hist!BE226+IF($M236="incl",[12]LULUCF_hist!CV226,0)</f>
        <v>27.956311000000003</v>
      </c>
      <c r="S236" s="111">
        <f>[12]GHG_hist!BF226+IF($M236="incl",[12]LULUCF_hist!CW226,0)</f>
        <v>26.930484</v>
      </c>
      <c r="T236" s="111">
        <f>[12]GHG_hist!BG226+IF($M236="incl",[12]LULUCF_hist!CX226,0)</f>
        <v>31.255559000000002</v>
      </c>
      <c r="U236" s="111">
        <f>[12]GHG_hist!BH226+IF($M236="incl",[12]LULUCF_hist!CY226,0)</f>
        <v>30.687445</v>
      </c>
      <c r="V236" s="111">
        <f>[12]GHG_hist!BI226+IF($M236="incl",[12]LULUCF_hist!CZ226,0)</f>
        <v>32.044383000000003</v>
      </c>
      <c r="W236" s="111">
        <f>[12]GHG_hist!BJ226+IF($M236="incl",[12]LULUCF_hist!DA226,0)</f>
        <v>34.001866999999997</v>
      </c>
      <c r="X236" s="111">
        <f>[12]GHG_hist!BK226+IF($M236="incl",[12]LULUCF_hist!DB226,0)</f>
        <v>30.571215000000002</v>
      </c>
      <c r="Y236" s="111">
        <f>[12]GHG_hist!BL226+IF($M236="incl",[12]LULUCF_hist!DC226,0)</f>
        <v>29.816195</v>
      </c>
      <c r="Z236" s="111">
        <f>[12]GHG_hist!BM226+IF($M236="incl",[12]LULUCF_hist!DD226,0)</f>
        <v>26.770384999999997</v>
      </c>
      <c r="AA236" s="111">
        <f>[12]GHG_hist!BN226+IF($M236="incl",[12]LULUCF_hist!DE226,0)</f>
        <v>25.406235000000002</v>
      </c>
      <c r="AB236" s="111">
        <f>[12]GHG_hist!BO226+IF($M236="incl",[12]LULUCF_hist!DF226,0)</f>
        <v>25.697099999999999</v>
      </c>
      <c r="AC236" s="111">
        <f>[12]GHG_hist!BP226+IF($M236="incl",[12]LULUCF_hist!DG226,0)</f>
        <v>26.068935000000003</v>
      </c>
      <c r="AD236" s="111">
        <f>[12]GHG_hist!BQ226+IF($M236="incl",[12]LULUCF_hist!DH226,0)</f>
        <v>24.586209</v>
      </c>
      <c r="AE236" s="111">
        <f>[12]GHG_hist!BR226+IF($M236="incl",[12]LULUCF_hist!DI226,0)</f>
        <v>26.089236</v>
      </c>
      <c r="AF236" s="111">
        <f>[12]GHG_hist!BS226+IF($M236="incl",[12]LULUCF_hist!DJ226,0)</f>
        <v>25.779205999999999</v>
      </c>
      <c r="AG236" s="111">
        <f>[12]GHG_hist!BT226+IF($M236="incl",[12]LULUCF_hist!DK226,0)</f>
        <v>25.179307000000001</v>
      </c>
      <c r="AH236" s="111">
        <f>[12]GHG_hist!BU226+IF($M236="incl",[12]LULUCF_hist!DL226,0)</f>
        <v>30.242736000000001</v>
      </c>
      <c r="AI236" s="111">
        <f>[12]GHG_hist!BV226+IF($M236="incl",[12]LULUCF_hist!DM226,0)</f>
        <v>32.356965000000002</v>
      </c>
      <c r="AJ236" s="111">
        <f>[12]GHG_hist!BW226+IF($M236="incl",[12]LULUCF_hist!DN226,0)</f>
        <v>28.328073</v>
      </c>
      <c r="AK236" s="111">
        <f>[12]GHG_hist!BX226+IF($M236="incl",[12]LULUCF_hist!DO226,0)</f>
        <v>31.090026999999999</v>
      </c>
      <c r="AL236" s="111">
        <f>[12]GHG_hist!BY226+IF($M236="incl",[12]LULUCF_hist!DP226,0)</f>
        <v>29.877528999999999</v>
      </c>
      <c r="AM236" s="111">
        <f>[12]GHG_hist!BZ226+IF($M236="incl",[12]LULUCF_hist!DQ226,0)</f>
        <v>31.465627000000001</v>
      </c>
      <c r="AN236" s="111">
        <f>[12]GHG_hist!CA226+IF($M236="incl",[12]LULUCF_hist!DR226,0)</f>
        <v>27.396784</v>
      </c>
      <c r="AO236" s="111">
        <f>[12]GHG_hist!CB226+IF($M236="incl",[12]LULUCF_hist!DS226,0)</f>
        <v>27.243897</v>
      </c>
      <c r="AP236" s="111">
        <f>[12]GHG_hist!CC226+IF($M236="incl",[12]LULUCF_hist!DT226,0)</f>
        <v>28.349800999999999</v>
      </c>
      <c r="AQ236" s="111">
        <f>[12]GHG_hist!CD226+IF($M236="incl",[12]LULUCF_hist!DU226,0)</f>
        <v>28.222065999999998</v>
      </c>
      <c r="AR236" s="111">
        <f>[12]GHG_hist!CE226+IF($M236="incl",[12]LULUCF_hist!DV226,0)</f>
        <v>25.163345000000003</v>
      </c>
      <c r="AS236" s="111">
        <f>[12]GHG_hist!CF226+IF($M236="incl",[12]LULUCF_hist!DW226,0)</f>
        <v>27.356321000000001</v>
      </c>
      <c r="AT236" s="161">
        <f>VLOOKUP($L236,'[12]IMAGE SSP2'!$AF$3:$AK$29,4,FALSE)*$AM236</f>
        <v>34.947032517811756</v>
      </c>
      <c r="AU236" s="162">
        <f>VLOOKUP($L236,'[12]IMAGE SSP2'!$AF$3:$AK$29,5,FALSE)*$AM236</f>
        <v>36.877438213631009</v>
      </c>
      <c r="AV236" s="163">
        <f>VLOOKUP($L236,'[12]IMAGE SSP2'!$AF$3:$AK$29,6,FALSE)*$AM236</f>
        <v>43.166253361687225</v>
      </c>
      <c r="AW236" s="111" t="str">
        <f t="shared" si="165"/>
        <v/>
      </c>
      <c r="AX236" s="164" t="str">
        <f>IF(A236="B",IF(M236="excl",[12]NatCom!CO226,[12]NatCom!AX226),"")</f>
        <v/>
      </c>
      <c r="AY236" s="111" t="str">
        <f>IF('[12]Pledge 2020'!E226="","",'[12]Pledge 2020'!E226)</f>
        <v/>
      </c>
      <c r="AZ236" s="164" t="str">
        <f>IF('[12]Pledge 2020'!F226="","",'[12]Pledge 2020'!F226)</f>
        <v/>
      </c>
      <c r="BA236" s="111" t="str">
        <f t="shared" si="144"/>
        <v/>
      </c>
      <c r="BB236" s="111"/>
      <c r="BC236" s="111" t="str">
        <f t="shared" si="145"/>
        <v/>
      </c>
      <c r="BD236" s="111"/>
      <c r="BE236" s="111" t="s">
        <v>2477</v>
      </c>
      <c r="BF236" s="111"/>
      <c r="BG236" s="111" t="s">
        <v>2477</v>
      </c>
      <c r="BH236" s="164"/>
      <c r="BI236" s="111"/>
      <c r="BJ236" s="111"/>
      <c r="BK236" s="111"/>
      <c r="BL236" s="111"/>
      <c r="BM236" s="111">
        <f>IF($BI$8=2015,VLOOKUP($L236,'[12]IMAGE CurPol SSP'!$AZ$3:$BD$29,4,FALSE)*$AM236,IF($BI$8=2018,VLOOKUP($L236,'[12]IMAGE CurPol SSP'!$BJ$3:$BN$29,4,FALSE)*$AP236,$AR236))</f>
        <v>25.163345000000003</v>
      </c>
      <c r="BN236" s="111">
        <f t="shared" si="179"/>
        <v>25.163345000000003</v>
      </c>
      <c r="BO236" s="111">
        <f t="shared" si="179"/>
        <v>25.163345000000003</v>
      </c>
      <c r="BP236" s="111">
        <f>IF($BI$8=2015,VLOOKUP($L236,'[12]IMAGE CurPol SSP'!$AZ$3:$BD$29,5,FALSE)*$AM236,IF($BI$8=2018,VLOOKUP($L236,'[12]IMAGE CurPol SSP'!$BJ$3:$BN$29,5,FALSE)*$AP236,VLOOKUP($L236,'[12]IMAGE CurPol SSP'!$BU$3:$BZ$29,5,FALSE)*$AS236))</f>
        <v>29.266674173218664</v>
      </c>
      <c r="BQ236" s="111">
        <f>IF($BI$8=2015,"",IF($BI$8=2018,"",VLOOKUP($L236,'[12]IMAGE CurPol SSP'!$CQ$3:$CV$29,5,FALSE)*$AS236))</f>
        <v>29.266674173218664</v>
      </c>
      <c r="BR236" s="111">
        <f>IF($BI$8=2015,"",IF($BI$8=2018,"",VLOOKUP($L236,'[12]IMAGE CurPol SSP'!$CF$3:$CK$29,5,FALSE)*$AS236))</f>
        <v>30.129520086955374</v>
      </c>
      <c r="BS236" s="111">
        <f>IF($BI$8=2015,VLOOKUP($L236,'[12]IMAGE CurPol SSP'!$AZ$3:$BE$29,6,FALSE)*$AM236,IF($BI$8=2018,VLOOKUP($L236,'[12]IMAGE CurPol SSP'!$BJ$3:$BO$29,6,FALSE)*$AP236,VLOOKUP($L236,'[12]IMAGE CurPol SSP'!$BU$3:$BZ$29,6,FALSE)*$AS236))</f>
        <v>33.293712206583194</v>
      </c>
      <c r="BT236" s="111">
        <f>IF($BI$8=2015,"",IF($BI$8=2018,"",VLOOKUP($L236,'[12]IMAGE CurPol SSP'!$CQ$3:$CV$29,6,FALSE)*$AS236))</f>
        <v>33.293712206583194</v>
      </c>
      <c r="BU236" s="164">
        <f>IF($BI$8=2015,"",IF($BI$8=2018,"",VLOOKUP($L236,'[12]IMAGE CurPol SSP'!$CF$3:$CK$29,6,FALSE)*$AS236))</f>
        <v>34.634184660838471</v>
      </c>
      <c r="CN236" t="s">
        <v>501</v>
      </c>
      <c r="CO236" s="165"/>
      <c r="CP236" s="165"/>
      <c r="CQ236" s="165"/>
      <c r="CR236" s="223"/>
      <c r="CV236" s="125" t="s">
        <v>621</v>
      </c>
      <c r="CW236" s="125" t="s">
        <v>621</v>
      </c>
      <c r="CX236"/>
      <c r="CY236" s="167">
        <f t="shared" si="161"/>
        <v>9.7836875178117531</v>
      </c>
      <c r="DB236" s="106"/>
      <c r="DC236" s="106"/>
      <c r="DD236" s="106"/>
      <c r="DE236" s="106"/>
      <c r="DF236" s="106"/>
      <c r="DG236" s="105" t="str">
        <f t="shared" si="162"/>
        <v>excl</v>
      </c>
      <c r="DH236" t="s">
        <v>501</v>
      </c>
      <c r="DI236" s="111">
        <f t="shared" si="172"/>
        <v>0</v>
      </c>
      <c r="DJ236" s="111">
        <f t="shared" si="172"/>
        <v>0</v>
      </c>
      <c r="DK236" s="111">
        <f t="shared" si="173"/>
        <v>0</v>
      </c>
      <c r="DL236" s="111">
        <f t="shared" si="174"/>
        <v>0</v>
      </c>
      <c r="DM236" s="111">
        <f t="shared" si="175"/>
        <v>0</v>
      </c>
      <c r="DN236" s="111">
        <f t="shared" si="176"/>
        <v>0</v>
      </c>
      <c r="DO236" s="111">
        <f t="shared" si="177"/>
        <v>0</v>
      </c>
      <c r="DP236" s="111">
        <f t="shared" si="178"/>
        <v>0</v>
      </c>
      <c r="DQ236" s="106"/>
      <c r="DR236" s="106"/>
      <c r="DS236" s="111"/>
      <c r="DT236" s="168"/>
      <c r="DW236" s="111">
        <f t="shared" si="163"/>
        <v>33.293712206583194</v>
      </c>
      <c r="DX236" s="111">
        <f t="shared" si="163"/>
        <v>33.293712206583194</v>
      </c>
      <c r="DY236" s="111">
        <f t="shared" si="163"/>
        <v>33.293712206583194</v>
      </c>
      <c r="DZ236" s="111">
        <f t="shared" si="156"/>
        <v>33.293712206583194</v>
      </c>
      <c r="EP236" t="s">
        <v>501</v>
      </c>
      <c r="EQ236">
        <v>0</v>
      </c>
      <c r="ER236" s="111">
        <f t="shared" si="164"/>
        <v>28.349800999999999</v>
      </c>
      <c r="ES236" s="111">
        <f>IF($BI$8=2015,VLOOKUP($L236,'[12]IMAGE CDLINKS CurPol'!$P$3:$Y$29,10,FALSE)*$AM236,VLOOKUP($L236,'[12]IMAGE CDLINKS CurPol'!$Z$3:$AI$29,10,FALSE)*$AP236)</f>
        <v>57.495285579162577</v>
      </c>
      <c r="ET236" s="111">
        <f t="shared" si="180"/>
        <v>57.495285579162577</v>
      </c>
      <c r="EU236" s="111">
        <f t="shared" si="166"/>
        <v>20.155958530287332</v>
      </c>
      <c r="EV236" s="111">
        <f>IF($BI$8=2015,VLOOKUP($L236,'[12]IMAGE CDLINKS 2C'!$P$3:$Y$29,10,FALSE)*$AM236,VLOOKUP($L236,'[12]IMAGE CDLINKS 2C'!$Z$3:$AI$29,10,FALSE)*$AP236)</f>
        <v>20.155958530287332</v>
      </c>
      <c r="EY236" s="111">
        <f t="shared" si="167"/>
        <v>18.795222139594287</v>
      </c>
      <c r="EZ236" s="111">
        <f>IF($BI$8=2015,VLOOKUP($L236,'[12]IMAGE CDLINKS 1_5C'!$P$3:$Y$29,10,FALSE)*$AM236,VLOOKUP($L236,'[12]IMAGE CDLINKS 1_5C'!$Z$3:$AI$29,10,FALSE)*$AP236)</f>
        <v>18.795222139594287</v>
      </c>
      <c r="FA236" s="192"/>
    </row>
    <row r="237" spans="1:157" x14ac:dyDescent="0.25">
      <c r="N237" s="111"/>
      <c r="O237" s="111"/>
      <c r="P237" s="111"/>
      <c r="Q237" s="111"/>
      <c r="R237" s="111"/>
      <c r="S237" s="111"/>
      <c r="T237" s="111"/>
      <c r="U237" s="111"/>
      <c r="V237" s="111"/>
      <c r="W237" s="111"/>
      <c r="X237" s="111"/>
      <c r="Y237" s="111"/>
      <c r="Z237" s="111"/>
      <c r="AA237" s="111"/>
      <c r="AB237" s="111"/>
      <c r="AC237" s="111"/>
      <c r="AD237" s="111"/>
      <c r="AE237" s="111"/>
      <c r="AF237" s="111"/>
      <c r="AG237" s="111"/>
      <c r="AH237" s="111"/>
      <c r="AI237" s="111"/>
      <c r="AJ237" s="111"/>
      <c r="AK237" s="111"/>
      <c r="AL237" s="111"/>
      <c r="AM237" s="111"/>
      <c r="AP237" s="224"/>
      <c r="AT237" s="168"/>
      <c r="AU237" s="111"/>
      <c r="AV237" s="164"/>
      <c r="AW237" s="111"/>
      <c r="AX237" s="164"/>
      <c r="AY237" s="111"/>
      <c r="AZ237" s="164"/>
      <c r="BA237" s="111"/>
      <c r="BB237" s="111"/>
      <c r="BC237" s="111"/>
      <c r="BD237" s="111"/>
      <c r="BE237" s="111"/>
      <c r="BF237" s="111"/>
      <c r="BG237" s="111"/>
      <c r="BH237" s="164"/>
      <c r="BI237" s="111"/>
      <c r="BJ237" s="111"/>
      <c r="BK237" s="111"/>
      <c r="BL237" s="111"/>
      <c r="BM237" s="111"/>
      <c r="BN237" s="111"/>
      <c r="BO237" s="111"/>
      <c r="BP237" s="111"/>
      <c r="BQ237" s="111"/>
      <c r="BR237" s="111"/>
      <c r="BS237" s="111"/>
      <c r="BT237" s="111"/>
      <c r="BU237" s="164"/>
      <c r="CW237"/>
      <c r="CX237"/>
      <c r="CY237" s="167">
        <f t="shared" si="161"/>
        <v>0</v>
      </c>
      <c r="DB237" s="106"/>
      <c r="DC237" s="106"/>
      <c r="DD237" s="106"/>
      <c r="DE237" s="106"/>
      <c r="DF237" s="106"/>
      <c r="DG237" s="105">
        <f t="shared" si="162"/>
        <v>0</v>
      </c>
      <c r="DQ237" s="106"/>
      <c r="DR237" s="106"/>
      <c r="EY237" s="192"/>
      <c r="EZ237" s="192"/>
      <c r="FA237" s="192"/>
    </row>
    <row r="238" spans="1:157" x14ac:dyDescent="0.25">
      <c r="A238" t="s">
        <v>2730</v>
      </c>
      <c r="B238" s="159" t="s">
        <v>2235</v>
      </c>
      <c r="C238">
        <v>1</v>
      </c>
      <c r="D238">
        <v>0</v>
      </c>
      <c r="E238">
        <v>1</v>
      </c>
      <c r="F238">
        <v>1</v>
      </c>
      <c r="G238" t="b">
        <v>1</v>
      </c>
      <c r="H238" t="s">
        <v>2335</v>
      </c>
      <c r="I238" s="38" t="s">
        <v>502</v>
      </c>
      <c r="J238">
        <v>9000</v>
      </c>
      <c r="K238">
        <v>225</v>
      </c>
      <c r="L238">
        <v>28</v>
      </c>
      <c r="M238" t="s">
        <v>2353</v>
      </c>
      <c r="N238" s="188">
        <v>4651.7582225999904</v>
      </c>
      <c r="O238" s="188">
        <v>4444.0974270999995</v>
      </c>
      <c r="P238" s="188">
        <v>4319.5890461999998</v>
      </c>
      <c r="Q238" s="188">
        <v>4226.4487369999997</v>
      </c>
      <c r="R238" s="188">
        <v>4211.6680225999999</v>
      </c>
      <c r="S238" s="188">
        <v>4238.2504756999997</v>
      </c>
      <c r="T238" s="188">
        <v>4311.1447796000002</v>
      </c>
      <c r="U238" s="188">
        <v>4247.5446878000002</v>
      </c>
      <c r="V238" s="188">
        <v>4195.1500364999902</v>
      </c>
      <c r="W238" s="188">
        <v>4105.2164782</v>
      </c>
      <c r="X238" s="188">
        <v>4142.7482344999999</v>
      </c>
      <c r="Y238" s="188">
        <v>4142.2097901999996</v>
      </c>
      <c r="Z238" s="188">
        <v>4158.1077114999998</v>
      </c>
      <c r="AA238" s="188">
        <v>4250.7296913</v>
      </c>
      <c r="AB238" s="188">
        <v>4214.2377594</v>
      </c>
      <c r="AC238" s="188">
        <v>4195.1868238999996</v>
      </c>
      <c r="AD238" s="188">
        <v>4182.1079923999996</v>
      </c>
      <c r="AE238" s="188">
        <v>4197.6932525000002</v>
      </c>
      <c r="AF238" s="188">
        <v>4059.8090823000002</v>
      </c>
      <c r="AG238" s="188">
        <v>3742.0063673999998</v>
      </c>
      <c r="AH238" s="188">
        <v>3824.2039411000001</v>
      </c>
      <c r="AI238" s="188">
        <v>3718.7463566000001</v>
      </c>
      <c r="AJ238" s="188">
        <v>3649.0773009999998</v>
      </c>
      <c r="AK238" s="188">
        <v>3562.5884867999998</v>
      </c>
      <c r="AL238" s="188">
        <v>3436.5302950999899</v>
      </c>
      <c r="AM238" s="188">
        <v>3486.637635</v>
      </c>
      <c r="AN238" s="188">
        <v>3492.9201241999999</v>
      </c>
      <c r="AO238" s="188">
        <v>3582.9811518000001</v>
      </c>
      <c r="AP238" s="188">
        <v>3489.8668493</v>
      </c>
      <c r="AQ238" s="188">
        <v>3340.9419824000001</v>
      </c>
      <c r="AR238" s="188">
        <v>3059.4255521</v>
      </c>
      <c r="AS238" s="188">
        <v>3238.4094186000002</v>
      </c>
      <c r="AT238" s="161">
        <v>3439.8767108945035</v>
      </c>
      <c r="AU238" s="162">
        <v>3367.1992892545259</v>
      </c>
      <c r="AV238" s="163">
        <v>3373.4207998125712</v>
      </c>
      <c r="AW238" s="106"/>
      <c r="AX238" s="225"/>
      <c r="AY238" s="199">
        <v>3706.56</v>
      </c>
      <c r="AZ238" s="200">
        <v>3243.24</v>
      </c>
      <c r="BA238" s="226">
        <v>2519.7559852749996</v>
      </c>
      <c r="BB238" s="106">
        <v>2519.7559852749996</v>
      </c>
      <c r="BC238" s="226">
        <v>2519.7559852749996</v>
      </c>
      <c r="BD238" s="106">
        <v>2519.7559852749996</v>
      </c>
      <c r="BE238" s="227">
        <v>2084.9399999999996</v>
      </c>
      <c r="BF238" s="227">
        <v>2084.9399999999996</v>
      </c>
      <c r="BG238" s="227">
        <v>2084.9399999999996</v>
      </c>
      <c r="BH238" s="227">
        <v>2084.9399999999996</v>
      </c>
      <c r="BI238" s="111">
        <v>2779.9199999999996</v>
      </c>
      <c r="BJ238" s="111">
        <v>2779.9199999999996</v>
      </c>
      <c r="BK238" s="222">
        <v>2779.9199999999996</v>
      </c>
      <c r="BL238" s="222">
        <v>2779.9199999999996</v>
      </c>
      <c r="BM238" s="106">
        <v>3059.4255521</v>
      </c>
      <c r="BN238" s="106">
        <v>3059.4255521</v>
      </c>
      <c r="BO238" s="106">
        <v>3059.4255521</v>
      </c>
      <c r="BP238" s="106">
        <v>2644.2976543292202</v>
      </c>
      <c r="BQ238" s="106">
        <v>2644.2976543292202</v>
      </c>
      <c r="BR238" s="106">
        <v>3171.6549584999998</v>
      </c>
      <c r="BS238" s="106">
        <v>1776.8186778599099</v>
      </c>
      <c r="BT238" s="106">
        <v>1776.8186778599099</v>
      </c>
      <c r="BU238" s="225">
        <v>2904.5092421999998</v>
      </c>
      <c r="CN238" s="38" t="s">
        <v>502</v>
      </c>
      <c r="CO238" s="165">
        <v>0.17341179827713571</v>
      </c>
      <c r="CP238" s="165">
        <v>0.17341179827713571</v>
      </c>
      <c r="CQ238" s="165">
        <v>0.17341179827713571</v>
      </c>
      <c r="CR238" s="165">
        <v>0.17341179827713571</v>
      </c>
      <c r="CS238" s="185">
        <v>1</v>
      </c>
      <c r="CT238" s="185">
        <v>1</v>
      </c>
      <c r="CU238">
        <v>1</v>
      </c>
      <c r="CV238" s="122" t="s">
        <v>2235</v>
      </c>
      <c r="CW238" s="122" t="s">
        <v>2235</v>
      </c>
      <c r="CX238"/>
      <c r="CY238" s="167">
        <v>380.4511587945035</v>
      </c>
      <c r="DA238" s="187">
        <v>647.13444789999994</v>
      </c>
      <c r="DB238" s="187">
        <v>183.81444789999978</v>
      </c>
      <c r="DC238" s="187">
        <v>0</v>
      </c>
      <c r="DD238" s="187">
        <v>0</v>
      </c>
      <c r="DE238" s="187">
        <v>308.12132214008966</v>
      </c>
      <c r="DF238" s="187">
        <v>308.12132214008966</v>
      </c>
      <c r="DG238" s="105" t="s">
        <v>2353</v>
      </c>
      <c r="DH238" t="s">
        <v>22</v>
      </c>
      <c r="DI238" s="127">
        <v>647.13444789999994</v>
      </c>
      <c r="DJ238" s="127">
        <v>183.81444789999978</v>
      </c>
      <c r="DK238" s="127">
        <v>0</v>
      </c>
      <c r="DL238" s="127">
        <v>0</v>
      </c>
      <c r="DM238" s="127">
        <v>308.12132214008966</v>
      </c>
      <c r="DN238" s="127">
        <v>308.12132214008966</v>
      </c>
      <c r="DQ238" s="187">
        <v>46.441078362362077</v>
      </c>
      <c r="DR238" s="187">
        <v>46.441078362362077</v>
      </c>
      <c r="DW238" s="111">
        <v>2084.9399999999996</v>
      </c>
      <c r="DX238" s="111">
        <v>2084.9399999999996</v>
      </c>
      <c r="DY238" s="111">
        <v>2084.9399999999996</v>
      </c>
      <c r="DZ238" s="111">
        <v>2084.9399999999996</v>
      </c>
      <c r="EP238" t="s">
        <v>22</v>
      </c>
      <c r="EQ238">
        <v>2</v>
      </c>
      <c r="ER238" s="111">
        <v>3489.8668493</v>
      </c>
      <c r="ES238" s="111">
        <v>3492.9891818531241</v>
      </c>
      <c r="ET238" s="111">
        <v>0</v>
      </c>
      <c r="EU238" s="111">
        <v>0</v>
      </c>
      <c r="EV238" s="111">
        <v>737.87976456758611</v>
      </c>
      <c r="EW238">
        <v>0</v>
      </c>
      <c r="EX238" s="111">
        <v>-737.87976456758611</v>
      </c>
      <c r="EY238" s="111">
        <v>0</v>
      </c>
      <c r="EZ238" s="228">
        <v>399.8131520737922</v>
      </c>
      <c r="FA238" s="192">
        <v>2050</v>
      </c>
    </row>
    <row r="239" spans="1:157" x14ac:dyDescent="0.25">
      <c r="O239" s="106"/>
      <c r="P239" s="106"/>
      <c r="Q239" s="106"/>
      <c r="R239" s="106"/>
      <c r="S239" s="106"/>
      <c r="T239" s="106"/>
      <c r="U239" s="106"/>
      <c r="V239" s="106"/>
      <c r="W239" s="106"/>
      <c r="X239" s="106"/>
      <c r="Y239" s="106"/>
      <c r="Z239" s="106"/>
      <c r="AA239" s="106"/>
      <c r="AB239" s="106"/>
      <c r="AC239" s="106"/>
      <c r="AD239" s="106"/>
      <c r="AE239" s="106"/>
      <c r="AF239" s="106"/>
      <c r="AG239" s="106"/>
      <c r="AH239" s="106"/>
      <c r="AT239" s="229"/>
      <c r="AU239" s="106"/>
      <c r="AV239" s="225"/>
      <c r="AW239" s="106"/>
      <c r="AX239" s="225"/>
      <c r="AY239" s="106"/>
      <c r="AZ239" s="225"/>
      <c r="BA239" s="106"/>
      <c r="BB239" s="106"/>
      <c r="BC239" s="106"/>
      <c r="BD239" s="106"/>
      <c r="BE239" s="106"/>
      <c r="BF239" s="106"/>
      <c r="BG239" s="106"/>
      <c r="BH239" s="225"/>
      <c r="BI239" s="230"/>
      <c r="BJ239" s="106"/>
      <c r="BK239" s="106"/>
      <c r="BL239" s="106"/>
      <c r="BM239" s="106"/>
      <c r="BN239" s="106"/>
      <c r="BO239" s="106"/>
      <c r="BP239" s="106"/>
      <c r="BQ239" s="106"/>
      <c r="BR239" s="106"/>
      <c r="BS239" s="106"/>
      <c r="BT239" s="106"/>
      <c r="BU239" s="225"/>
      <c r="CO239" s="231">
        <v>0</v>
      </c>
      <c r="CP239" s="231">
        <v>0</v>
      </c>
      <c r="CQ239" s="231" t="s">
        <v>2477</v>
      </c>
      <c r="CR239" s="231" t="s">
        <v>2477</v>
      </c>
      <c r="CW239" s="232">
        <v>6.0926253636823342E-3</v>
      </c>
      <c r="CX239" s="167">
        <v>1553.6175134376467</v>
      </c>
      <c r="CY239"/>
      <c r="DA239" s="106">
        <v>5310.0798369932409</v>
      </c>
      <c r="DB239" s="106">
        <v>3377.8556512095333</v>
      </c>
      <c r="DC239" s="106">
        <v>221.17049829305324</v>
      </c>
      <c r="DD239" s="106">
        <v>221.17049829305324</v>
      </c>
      <c r="DE239" s="106">
        <v>1475.4351517606447</v>
      </c>
      <c r="DF239" s="106">
        <v>699.64223119683334</v>
      </c>
    </row>
    <row r="240" spans="1:157" x14ac:dyDescent="0.25">
      <c r="F240">
        <v>0</v>
      </c>
      <c r="I240" t="s">
        <v>503</v>
      </c>
      <c r="K240">
        <v>227</v>
      </c>
      <c r="N240" s="106"/>
      <c r="O240" s="106"/>
      <c r="P240" s="106"/>
      <c r="Q240" s="106"/>
      <c r="R240" s="106"/>
      <c r="S240" s="106"/>
      <c r="T240" s="106"/>
      <c r="U240" s="106"/>
      <c r="V240" s="106"/>
      <c r="W240" s="106"/>
      <c r="X240" s="106"/>
      <c r="Y240" s="106"/>
      <c r="Z240" s="106"/>
      <c r="AA240" s="106"/>
      <c r="AB240" s="106"/>
      <c r="AC240" s="106"/>
      <c r="AD240" s="106"/>
      <c r="AE240" s="106"/>
      <c r="AF240" s="106"/>
      <c r="AG240" s="106"/>
      <c r="AH240" s="106"/>
      <c r="AT240" s="229"/>
      <c r="AU240" s="106"/>
      <c r="AV240" s="225"/>
      <c r="AW240" s="106"/>
      <c r="AX240" s="225"/>
      <c r="AY240" s="106"/>
      <c r="AZ240" s="225"/>
      <c r="BA240" s="106"/>
      <c r="BB240" s="106"/>
      <c r="BC240" s="106"/>
      <c r="BD240" s="106"/>
      <c r="BE240" s="106"/>
      <c r="BF240" s="106"/>
      <c r="BG240" s="106"/>
      <c r="BH240" s="225"/>
      <c r="BI240" s="106"/>
      <c r="BJ240" s="106"/>
      <c r="BK240" s="106"/>
      <c r="BL240" s="106"/>
      <c r="BM240" s="106"/>
      <c r="BN240" s="106"/>
      <c r="BO240" s="106"/>
      <c r="BP240" s="106"/>
      <c r="BQ240" s="106"/>
      <c r="BR240" s="106"/>
      <c r="BS240" s="106"/>
      <c r="BT240" s="106"/>
      <c r="BU240" s="225"/>
      <c r="CN240" t="s">
        <v>503</v>
      </c>
      <c r="CT240" s="233">
        <v>-0.8413761573026971</v>
      </c>
      <c r="CU240" s="233">
        <v>-1</v>
      </c>
    </row>
    <row r="241" spans="6:105" x14ac:dyDescent="0.25">
      <c r="F241">
        <v>0</v>
      </c>
      <c r="I241" t="s">
        <v>504</v>
      </c>
      <c r="K241">
        <v>228</v>
      </c>
      <c r="M241" t="s">
        <v>2353</v>
      </c>
      <c r="N241" s="107">
        <v>657.01283797867995</v>
      </c>
      <c r="O241" s="107">
        <v>665.17880631963999</v>
      </c>
      <c r="P241" s="107">
        <v>703.59764504204009</v>
      </c>
      <c r="Q241" s="107">
        <v>695.58128579687002</v>
      </c>
      <c r="R241" s="107">
        <v>722.06361896302997</v>
      </c>
      <c r="S241" s="107">
        <v>748.87200059329007</v>
      </c>
      <c r="T241" s="107">
        <v>769.97980545788994</v>
      </c>
      <c r="U241" s="107">
        <v>796.49906284777001</v>
      </c>
      <c r="V241" s="107">
        <v>821.59149285350998</v>
      </c>
      <c r="W241" s="107">
        <v>863.70909548517</v>
      </c>
      <c r="X241" s="107">
        <v>890.33044611550008</v>
      </c>
      <c r="Y241" s="107">
        <v>857.49072819622006</v>
      </c>
      <c r="Z241" s="107">
        <v>897.03393503780001</v>
      </c>
      <c r="AA241" s="107">
        <v>903.69560469930002</v>
      </c>
      <c r="AB241" s="107">
        <v>985.81371314964997</v>
      </c>
      <c r="AC241" s="107">
        <v>1031.43613254497</v>
      </c>
      <c r="AD241" s="107">
        <v>1085.98371676135</v>
      </c>
      <c r="AE241" s="107">
        <v>1137.59709046273</v>
      </c>
      <c r="AF241" s="107">
        <v>1146.6023834088501</v>
      </c>
      <c r="AG241" s="107">
        <v>1091.6598237595599</v>
      </c>
      <c r="AH241" s="107">
        <v>1166.7945553326399</v>
      </c>
      <c r="AI241" s="107">
        <v>1183.30969521252</v>
      </c>
      <c r="AJ241" s="107">
        <v>1136.56912254451</v>
      </c>
      <c r="AK241" s="107">
        <v>1142.0356840435502</v>
      </c>
      <c r="AL241" s="107">
        <v>1179.4553515313801</v>
      </c>
      <c r="AM241" s="107">
        <v>1236.6660059436199</v>
      </c>
      <c r="AN241" s="107">
        <v>1277.4827509234901</v>
      </c>
      <c r="AO241" s="107">
        <v>1340.58266676261</v>
      </c>
      <c r="AP241" s="107">
        <v>1369.8462354807</v>
      </c>
      <c r="AQ241" s="107">
        <v>1363.6582750017401</v>
      </c>
      <c r="AR241" s="107">
        <v>972.33118074610002</v>
      </c>
      <c r="AS241" s="107">
        <v>1057.1240754211499</v>
      </c>
      <c r="AT241" s="107">
        <v>972.33118074610002</v>
      </c>
      <c r="AU241" s="106">
        <v>1177.2372994790207</v>
      </c>
      <c r="AV241" s="225">
        <v>1382.1434182119413</v>
      </c>
      <c r="AW241" s="106"/>
      <c r="AX241" s="225"/>
      <c r="AY241" s="106">
        <v>972.33118074610002</v>
      </c>
      <c r="AZ241" s="225">
        <v>972.33118074610002</v>
      </c>
      <c r="BA241" s="106">
        <v>1177.2372994790207</v>
      </c>
      <c r="BB241" s="106"/>
      <c r="BC241" s="106">
        <v>1177.2372994790207</v>
      </c>
      <c r="BD241" s="106"/>
      <c r="BE241" s="106">
        <v>1382.1434182119413</v>
      </c>
      <c r="BF241" s="106"/>
      <c r="BG241" s="106">
        <v>1382.1434182119413</v>
      </c>
      <c r="BH241" s="225"/>
      <c r="BI241" s="106">
        <v>1382.1434182119413</v>
      </c>
      <c r="BJ241" s="106"/>
      <c r="BK241" s="106">
        <v>1382.1434182119413</v>
      </c>
      <c r="BL241" s="106"/>
      <c r="BM241" s="106">
        <v>972.33118074610002</v>
      </c>
      <c r="BN241" s="106">
        <v>972.33118074610002</v>
      </c>
      <c r="BO241" s="106">
        <v>972.33118074610002</v>
      </c>
      <c r="BP241" s="106">
        <v>1177.2372994790207</v>
      </c>
      <c r="BQ241" s="106">
        <v>1177.2372994790207</v>
      </c>
      <c r="BR241" s="106">
        <v>1177.2372994790207</v>
      </c>
      <c r="BS241" s="106">
        <v>1382.1434182119413</v>
      </c>
      <c r="BT241" s="106">
        <v>1382.1434182119413</v>
      </c>
      <c r="BU241" s="225">
        <v>1382.1434182119413</v>
      </c>
      <c r="CN241" t="s">
        <v>504</v>
      </c>
      <c r="CP241" s="106">
        <v>1369.8462354807</v>
      </c>
      <c r="CQ241" s="106">
        <v>1699</v>
      </c>
      <c r="CR241" s="106">
        <v>1699</v>
      </c>
      <c r="CS241" s="111">
        <v>697.73582116832836</v>
      </c>
      <c r="CT241" s="111">
        <v>697.73582116832836</v>
      </c>
      <c r="CU241" s="111">
        <v>697.73582116832836</v>
      </c>
      <c r="CW241"/>
      <c r="CX241"/>
      <c r="CY241"/>
    </row>
    <row r="242" spans="6:105" x14ac:dyDescent="0.25">
      <c r="F242">
        <v>0</v>
      </c>
      <c r="I242" s="68" t="s">
        <v>505</v>
      </c>
      <c r="K242">
        <v>229</v>
      </c>
      <c r="M242" t="s">
        <v>2354</v>
      </c>
      <c r="N242" s="107">
        <v>-1037.9545417480065</v>
      </c>
      <c r="O242" s="107">
        <v>-1028.2591560635926</v>
      </c>
      <c r="P242" s="107">
        <v>-992.37022334577625</v>
      </c>
      <c r="Q242" s="107">
        <v>-958.93182995714164</v>
      </c>
      <c r="R242" s="107">
        <v>-943.29896270949484</v>
      </c>
      <c r="S242" s="107">
        <v>-942.7037401570642</v>
      </c>
      <c r="T242" s="107">
        <v>-966.4373711830508</v>
      </c>
      <c r="U242" s="107">
        <v>-992.7493507210213</v>
      </c>
      <c r="V242" s="107">
        <v>-1011.5447029070046</v>
      </c>
      <c r="W242" s="107">
        <v>-1047.1627438511748</v>
      </c>
      <c r="X242" s="107">
        <v>-1045.7119083894827</v>
      </c>
      <c r="Y242" s="107">
        <v>-1049.6635191805692</v>
      </c>
      <c r="Z242" s="107">
        <v>-997.82988110765461</v>
      </c>
      <c r="AA242" s="107">
        <v>-1024.5214925405899</v>
      </c>
      <c r="AB242" s="107">
        <v>-1026.5651733024411</v>
      </c>
      <c r="AC242" s="107">
        <v>-1010.2920087109939</v>
      </c>
      <c r="AD242" s="107">
        <v>-1063.9749873424153</v>
      </c>
      <c r="AE242" s="107">
        <v>-1090.1876547447619</v>
      </c>
      <c r="AF242" s="107">
        <v>-1119.9957149623219</v>
      </c>
      <c r="AG242" s="107">
        <v>-1194.4695604334286</v>
      </c>
      <c r="AH242" s="107">
        <v>-1124.756709898244</v>
      </c>
      <c r="AI242" s="107">
        <v>-1216.5142585477906</v>
      </c>
      <c r="AJ242" s="107">
        <v>-1257.2675069747299</v>
      </c>
      <c r="AK242" s="107">
        <v>-1308.7495492855637</v>
      </c>
      <c r="AL242" s="107">
        <v>-1328.1105396534415</v>
      </c>
      <c r="AM242" s="107">
        <v>-1244.6829710680454</v>
      </c>
      <c r="AN242" s="107">
        <v>-1288.9708400607813</v>
      </c>
      <c r="AO242" s="107">
        <v>-1202.086337578791</v>
      </c>
      <c r="AP242" s="107">
        <v>-1216.4034791428915</v>
      </c>
      <c r="AQ242" s="107">
        <v>-1270.1052676514985</v>
      </c>
      <c r="AR242" s="107">
        <v>-1296.9832781176137</v>
      </c>
      <c r="AS242" s="107">
        <v>-1301.2411919166163</v>
      </c>
      <c r="AT242" s="234">
        <v>-1160.9689837510855</v>
      </c>
      <c r="AU242" s="235">
        <v>-1385.5136428523183</v>
      </c>
      <c r="AV242" s="236">
        <v>-1306.8545161426136</v>
      </c>
      <c r="AW242" s="106"/>
      <c r="AX242" s="225"/>
      <c r="AY242" s="106">
        <v>-1160.9689837510855</v>
      </c>
      <c r="AZ242" s="225">
        <v>-1160.9689837510855</v>
      </c>
      <c r="BA242" s="106">
        <v>-1385.5136428523183</v>
      </c>
      <c r="BB242" s="106"/>
      <c r="BC242" s="106">
        <v>-1385.5136428523183</v>
      </c>
      <c r="BD242" s="106"/>
      <c r="BE242" s="106">
        <v>-1306.8545161426136</v>
      </c>
      <c r="BF242" s="106"/>
      <c r="BG242" s="106">
        <v>-1306.8545161426136</v>
      </c>
      <c r="BH242" s="237">
        <v>1220.2732561388839</v>
      </c>
      <c r="BI242" s="106">
        <v>-1306.8545161426136</v>
      </c>
      <c r="BJ242" s="238"/>
      <c r="BK242" s="106">
        <v>-1306.8545161426136</v>
      </c>
      <c r="BL242" s="238"/>
      <c r="BM242" s="106">
        <v>-1160.9689837510855</v>
      </c>
      <c r="BN242" s="106">
        <v>-1160.9689837510855</v>
      </c>
      <c r="BO242" s="106">
        <v>-1160.9689837510855</v>
      </c>
      <c r="BP242" s="106">
        <v>-1385.5136428523183</v>
      </c>
      <c r="BQ242" s="106">
        <v>-1385.5136428523183</v>
      </c>
      <c r="BR242" s="106">
        <v>-1385.5136428523183</v>
      </c>
      <c r="BS242" s="106">
        <v>-1306.8545161426136</v>
      </c>
      <c r="BT242" s="106">
        <v>-1306.8545161426136</v>
      </c>
      <c r="BU242" s="225">
        <v>-1306.8545161426136</v>
      </c>
      <c r="CN242" s="68" t="s">
        <v>505</v>
      </c>
      <c r="CP242" s="106">
        <v>-1216.4034791428915</v>
      </c>
      <c r="CQ242" s="106">
        <v>-1306.8545161426136</v>
      </c>
      <c r="CR242" s="106">
        <v>-1306.8545161426136</v>
      </c>
      <c r="CS242" s="111">
        <v>-406.32250867899421</v>
      </c>
      <c r="CT242" s="111">
        <v>-406.32250867899421</v>
      </c>
      <c r="CU242" s="111">
        <v>-406.32250867899421</v>
      </c>
      <c r="CV242" s="239" t="s">
        <v>2355</v>
      </c>
      <c r="CW242" t="s">
        <v>2356</v>
      </c>
      <c r="CX242" t="s">
        <v>2357</v>
      </c>
      <c r="CY242" t="s">
        <v>2358</v>
      </c>
      <c r="CZ242" t="s">
        <v>2359</v>
      </c>
      <c r="DA242" t="s">
        <v>2360</v>
      </c>
    </row>
    <row r="243" spans="6:105" s="68" customFormat="1" x14ac:dyDescent="0.25">
      <c r="F243" s="68">
        <v>1</v>
      </c>
      <c r="G243" s="68" t="b">
        <v>1</v>
      </c>
      <c r="I243" s="240" t="s">
        <v>2361</v>
      </c>
      <c r="J243" s="68">
        <v>9003</v>
      </c>
      <c r="K243" s="68">
        <v>230</v>
      </c>
      <c r="M243" s="68" t="s">
        <v>2353</v>
      </c>
      <c r="N243" s="230">
        <v>37163.627994682603</v>
      </c>
      <c r="O243" s="230">
        <v>37022.899602187113</v>
      </c>
      <c r="P243" s="230">
        <v>36565.585479661589</v>
      </c>
      <c r="Q243" s="230">
        <v>36503.647794568096</v>
      </c>
      <c r="R243" s="230">
        <v>36837.512793031012</v>
      </c>
      <c r="S243" s="230">
        <v>38612.258968281043</v>
      </c>
      <c r="T243" s="230">
        <v>38546.367108507227</v>
      </c>
      <c r="U243" s="230">
        <v>38285.395434254184</v>
      </c>
      <c r="V243" s="230">
        <v>38548.318450366278</v>
      </c>
      <c r="W243" s="230">
        <v>38723.902009927464</v>
      </c>
      <c r="X243" s="230">
        <v>39585.496977897303</v>
      </c>
      <c r="Y243" s="230">
        <v>39021.65049270133</v>
      </c>
      <c r="Z243" s="230">
        <v>40172.042047802708</v>
      </c>
      <c r="AA243" s="230">
        <v>42614.02530281026</v>
      </c>
      <c r="AB243" s="230">
        <v>44696.987641618427</v>
      </c>
      <c r="AC243" s="230">
        <v>44877.969800959399</v>
      </c>
      <c r="AD243" s="230">
        <v>46251.308498350983</v>
      </c>
      <c r="AE243" s="230">
        <v>46268.352755123524</v>
      </c>
      <c r="AF243" s="230">
        <v>46786.285567704952</v>
      </c>
      <c r="AG243" s="230">
        <v>45817.405454503569</v>
      </c>
      <c r="AH243" s="230">
        <v>47065.52079633603</v>
      </c>
      <c r="AI243" s="230">
        <v>48686.059676535981</v>
      </c>
      <c r="AJ243" s="230">
        <v>49741.585767279939</v>
      </c>
      <c r="AK243" s="230">
        <v>50029.39689428603</v>
      </c>
      <c r="AL243" s="230">
        <v>50448.330456046671</v>
      </c>
      <c r="AM243" s="230">
        <v>51429.789150205295</v>
      </c>
      <c r="AN243" s="230">
        <v>50295.895989958575</v>
      </c>
      <c r="AO243" s="230">
        <v>51004.870544843267</v>
      </c>
      <c r="AP243" s="230">
        <v>52254.405658840282</v>
      </c>
      <c r="AQ243" s="230">
        <v>52811.619266853842</v>
      </c>
      <c r="AR243" s="230">
        <v>50813.416512050695</v>
      </c>
      <c r="AS243" s="230">
        <v>52892.085926922126</v>
      </c>
      <c r="AT243" s="241">
        <v>51893.27073227863</v>
      </c>
      <c r="AU243" s="230">
        <v>58098.128654964159</v>
      </c>
      <c r="AV243" s="242">
        <v>61603.402906977099</v>
      </c>
      <c r="AW243" s="230">
        <v>46906.043722550145</v>
      </c>
      <c r="AX243" s="242">
        <v>58358.186248170212</v>
      </c>
      <c r="AY243" s="230">
        <v>52213.127512368912</v>
      </c>
      <c r="AZ243" s="242">
        <v>50131.629373325544</v>
      </c>
      <c r="BA243" s="230">
        <v>51796.688941258442</v>
      </c>
      <c r="BB243" s="230"/>
      <c r="BC243" s="230">
        <v>50768.591591924502</v>
      </c>
      <c r="BE243" s="243">
        <v>51741.304324466881</v>
      </c>
      <c r="BF243" s="244">
        <v>51484.275897396714</v>
      </c>
      <c r="BG243" s="243">
        <v>50521.031068327997</v>
      </c>
      <c r="BH243" s="244">
        <v>50353.307703485647</v>
      </c>
      <c r="BI243" s="243">
        <v>54587.269788664424</v>
      </c>
      <c r="BJ243" s="106"/>
      <c r="BK243" s="243">
        <v>52319.579955984838</v>
      </c>
      <c r="BL243" s="106"/>
      <c r="BM243" s="230">
        <v>50722.050879341616</v>
      </c>
      <c r="BN243" s="230">
        <v>50230.356729241757</v>
      </c>
      <c r="BO243" s="230">
        <v>50487.611290084998</v>
      </c>
      <c r="BP243" s="230">
        <v>53155.459641322464</v>
      </c>
      <c r="BQ243" s="230">
        <v>51102.37856459451</v>
      </c>
      <c r="BR243" s="230">
        <v>54553.021347999158</v>
      </c>
      <c r="BS243" s="230">
        <v>53202.087833857753</v>
      </c>
      <c r="BT243" s="230">
        <v>50820.410625636381</v>
      </c>
      <c r="BU243" s="242">
        <v>57236.279001657138</v>
      </c>
      <c r="BV243" s="243">
        <v>52654.88886730693</v>
      </c>
      <c r="BW243" s="243">
        <v>51129.951186505372</v>
      </c>
      <c r="BX243" s="243">
        <v>54286.129688496447</v>
      </c>
      <c r="BY243" s="243">
        <v>44867.533055883447</v>
      </c>
      <c r="BZ243" s="243">
        <v>41799.064230342417</v>
      </c>
      <c r="CA243" s="243">
        <v>48200.448852075409</v>
      </c>
      <c r="CB243" s="243">
        <v>38066.726266947815</v>
      </c>
      <c r="CC243" s="243">
        <v>34355.465486214271</v>
      </c>
      <c r="CD243" s="243">
        <v>42859.092350638093</v>
      </c>
      <c r="CE243" s="243">
        <v>52249.186897057923</v>
      </c>
      <c r="CF243" s="243">
        <v>51221.507083479999</v>
      </c>
      <c r="CG243" s="243">
        <v>53901.388793996266</v>
      </c>
      <c r="CH243" s="243">
        <v>39649.794746485844</v>
      </c>
      <c r="CI243" s="243">
        <v>35971.087351772505</v>
      </c>
      <c r="CJ243" s="243">
        <v>41989.953566040203</v>
      </c>
      <c r="CK243" s="243">
        <v>30167.738016731382</v>
      </c>
      <c r="CL243" s="243">
        <v>23884.352482089438</v>
      </c>
      <c r="CM243" s="243">
        <v>31599.754019991356</v>
      </c>
      <c r="CN243" s="240" t="s">
        <v>2361</v>
      </c>
      <c r="CO243" s="230"/>
      <c r="CP243" s="230">
        <v>52254.405658840282</v>
      </c>
      <c r="CQ243" s="230">
        <v>67351.287853002563</v>
      </c>
      <c r="CR243" s="230">
        <v>29723.959432601128</v>
      </c>
      <c r="CS243" s="230">
        <v>16527.036515977514</v>
      </c>
      <c r="CT243" s="230">
        <v>17049.330237092418</v>
      </c>
      <c r="CU243" s="230">
        <v>17142.291942728163</v>
      </c>
      <c r="CV243" s="245">
        <v>1</v>
      </c>
      <c r="CW243">
        <v>0</v>
      </c>
      <c r="CX243">
        <v>0</v>
      </c>
      <c r="CY243">
        <v>0</v>
      </c>
      <c r="CZ243">
        <v>0</v>
      </c>
      <c r="DA243">
        <v>1</v>
      </c>
    </row>
    <row r="244" spans="6:105" x14ac:dyDescent="0.25">
      <c r="I244" s="246" t="s">
        <v>2362</v>
      </c>
      <c r="N244" s="106"/>
      <c r="O244" s="106"/>
      <c r="P244" s="106"/>
      <c r="Q244" s="106"/>
      <c r="R244" s="106"/>
      <c r="S244" s="106"/>
      <c r="T244" s="106"/>
      <c r="U244" s="106"/>
      <c r="V244" s="106"/>
      <c r="W244" s="106"/>
      <c r="X244" s="106"/>
      <c r="Y244" s="106"/>
      <c r="Z244" s="106"/>
      <c r="AA244" s="106"/>
      <c r="AB244" s="106"/>
      <c r="AC244" s="106"/>
      <c r="AD244" s="106"/>
      <c r="AE244" s="106"/>
      <c r="AF244" s="106"/>
      <c r="AG244" s="106"/>
      <c r="AH244" s="106"/>
      <c r="AI244" s="106"/>
      <c r="AJ244" s="106"/>
      <c r="AK244" s="106"/>
      <c r="AL244" s="106"/>
      <c r="AM244" s="106"/>
      <c r="AW244" s="106"/>
      <c r="AX244" s="225"/>
      <c r="AY244" s="106">
        <v>4993.0374982335452</v>
      </c>
      <c r="AZ244" s="225">
        <v>3468.113895161855</v>
      </c>
      <c r="BA244" s="106">
        <v>2052.4924901242275</v>
      </c>
      <c r="BB244" s="106"/>
      <c r="BC244" s="106">
        <v>1380.8417140693036</v>
      </c>
      <c r="BE244" s="247">
        <v>3292.9858704631756</v>
      </c>
      <c r="BF244" s="247"/>
      <c r="BG244" s="247">
        <v>1591.1819039402787</v>
      </c>
      <c r="BH244" s="248"/>
      <c r="BI244" s="247">
        <v>5218.3488818918468</v>
      </c>
      <c r="BJ244" s="247"/>
      <c r="BK244" s="247">
        <v>4104.6768462674854</v>
      </c>
      <c r="BL244" s="106"/>
      <c r="BM244" s="106"/>
      <c r="BN244" s="106"/>
      <c r="BO244" s="106"/>
      <c r="BP244" s="106"/>
      <c r="BQ244" s="106"/>
      <c r="BR244" s="106"/>
      <c r="BS244" s="106"/>
      <c r="BT244" s="106"/>
      <c r="BU244" s="225"/>
      <c r="CN244" t="s">
        <v>507</v>
      </c>
      <c r="CP244" s="106">
        <v>6562</v>
      </c>
      <c r="CQ244" s="106">
        <v>6562</v>
      </c>
      <c r="CR244" s="106">
        <v>6562</v>
      </c>
      <c r="CS244" s="106">
        <v>2040.2334529336356</v>
      </c>
      <c r="CT244" s="106">
        <v>2040.2334529336356</v>
      </c>
      <c r="CV244" s="245">
        <v>1</v>
      </c>
      <c r="CW244">
        <v>1</v>
      </c>
      <c r="CX244">
        <v>0</v>
      </c>
      <c r="CY244">
        <v>0</v>
      </c>
      <c r="CZ244">
        <v>0</v>
      </c>
      <c r="DA244">
        <v>0</v>
      </c>
    </row>
    <row r="245" spans="6:105" x14ac:dyDescent="0.25">
      <c r="I245" s="240" t="s">
        <v>2363</v>
      </c>
      <c r="N245" s="106"/>
      <c r="O245" s="106"/>
      <c r="P245" s="106"/>
      <c r="Q245" s="106"/>
      <c r="R245" s="106"/>
      <c r="S245" s="106"/>
      <c r="T245" s="106"/>
      <c r="U245" s="106"/>
      <c r="V245" s="106"/>
      <c r="W245" s="106"/>
      <c r="X245" s="106"/>
      <c r="Y245" s="106"/>
      <c r="Z245" s="106"/>
      <c r="AA245" s="106"/>
      <c r="AB245" s="106"/>
      <c r="AC245" s="106"/>
      <c r="AD245" s="106"/>
      <c r="AE245" s="106"/>
      <c r="AF245" s="106"/>
      <c r="AG245" s="106"/>
      <c r="AH245" s="106"/>
      <c r="AI245" s="106"/>
      <c r="AJ245" s="106"/>
      <c r="AK245" s="106"/>
      <c r="AL245" s="106"/>
      <c r="AM245" s="106"/>
      <c r="AP245" s="249"/>
      <c r="AQ245" s="250" t="s">
        <v>2364</v>
      </c>
      <c r="AR245" s="250"/>
      <c r="AS245" s="250"/>
      <c r="AT245" s="251">
        <v>2709.1093655703457</v>
      </c>
      <c r="AU245" s="252">
        <v>2975.0721283954063</v>
      </c>
      <c r="AV245" s="253">
        <v>3241.0348912204668</v>
      </c>
      <c r="AW245" s="106"/>
      <c r="AX245" s="225"/>
      <c r="AY245" s="106">
        <v>57206.165010602461</v>
      </c>
      <c r="AZ245" s="225">
        <v>53599.7432684874</v>
      </c>
      <c r="BA245" s="106">
        <v>53849.181431382669</v>
      </c>
      <c r="BB245" s="106"/>
      <c r="BC245" s="106">
        <v>52149.433305993807</v>
      </c>
      <c r="BE245" s="254">
        <v>55034.290194930058</v>
      </c>
      <c r="BF245" s="255">
        <v>54777.261767859891</v>
      </c>
      <c r="BG245" s="256">
        <v>52112.212972268273</v>
      </c>
      <c r="BH245" s="255">
        <v>51944.489607425923</v>
      </c>
      <c r="BI245" s="256">
        <v>59805.618670556272</v>
      </c>
      <c r="BJ245" s="106"/>
      <c r="BK245" s="256">
        <v>56424.256802252326</v>
      </c>
      <c r="BL245" s="106"/>
      <c r="BM245" s="106"/>
      <c r="BN245" s="106"/>
      <c r="BO245" s="106"/>
      <c r="BP245" s="106"/>
      <c r="BQ245" s="106"/>
      <c r="BR245" s="106"/>
      <c r="BS245" s="106"/>
      <c r="BT245" s="106"/>
      <c r="BU245" s="225"/>
      <c r="CV245" s="245">
        <v>0</v>
      </c>
      <c r="CW245">
        <v>0</v>
      </c>
      <c r="CX245">
        <v>0</v>
      </c>
      <c r="CY245">
        <v>0</v>
      </c>
      <c r="CZ245">
        <v>0</v>
      </c>
      <c r="DA245">
        <v>0</v>
      </c>
    </row>
    <row r="246" spans="6:105" x14ac:dyDescent="0.25">
      <c r="I246" s="68" t="s">
        <v>2365</v>
      </c>
      <c r="N246" s="106">
        <v>-1073.5006653282494</v>
      </c>
      <c r="O246" s="106">
        <v>-1059.5360201980789</v>
      </c>
      <c r="P246" s="106">
        <v>-1023.7091579481196</v>
      </c>
      <c r="Q246" s="106">
        <v>-988.45451434392487</v>
      </c>
      <c r="R246" s="106">
        <v>-975.92994142035445</v>
      </c>
      <c r="S246" s="106">
        <v>-972.32897277985728</v>
      </c>
      <c r="T246" s="106">
        <v>-997.52528297647052</v>
      </c>
      <c r="U246" s="106">
        <v>-1027.5629518184012</v>
      </c>
      <c r="V246" s="106">
        <v>-1053.9876127192981</v>
      </c>
      <c r="W246" s="106">
        <v>-1096.4362781863611</v>
      </c>
      <c r="X246" s="106">
        <v>-1097.0476906930521</v>
      </c>
      <c r="Y246" s="106">
        <v>-1103.449075723466</v>
      </c>
      <c r="Z246" s="106">
        <v>-1057.6109567765377</v>
      </c>
      <c r="AA246" s="106">
        <v>-1080.6362991733365</v>
      </c>
      <c r="AB246" s="106">
        <v>-1088.3367391028339</v>
      </c>
      <c r="AC246" s="106">
        <v>-1073.325380110897</v>
      </c>
      <c r="AD246" s="106">
        <v>-1129.6647364913822</v>
      </c>
      <c r="AE246" s="106">
        <v>-1155.6932606101957</v>
      </c>
      <c r="AF246" s="106">
        <v>-1191.4042197970452</v>
      </c>
      <c r="AG246" s="106">
        <v>-1258.0742433989117</v>
      </c>
      <c r="AH246" s="106">
        <v>-1190.3847092740905</v>
      </c>
      <c r="AI246" s="106">
        <v>-1273.9324095426673</v>
      </c>
      <c r="AJ246" s="106">
        <v>-1308.8928479030562</v>
      </c>
      <c r="AK246" s="106">
        <v>-1354.7999569013575</v>
      </c>
      <c r="AL246" s="106">
        <v>-1378.1283357342113</v>
      </c>
      <c r="AM246" s="106">
        <v>-1292.4603440578815</v>
      </c>
      <c r="AN246" s="106">
        <v>-1334.1544607414246</v>
      </c>
      <c r="AO246" s="106">
        <v>-1255.8765021132642</v>
      </c>
      <c r="AP246" s="106">
        <v>-1272.7214011483475</v>
      </c>
      <c r="AQ246" s="106">
        <v>-1322.1245346251917</v>
      </c>
      <c r="AR246" s="106">
        <v>-1344.5662975426412</v>
      </c>
      <c r="AS246" s="106">
        <v>-1364.9581555109426</v>
      </c>
      <c r="AT246" s="106">
        <v>-1217.2869057565415</v>
      </c>
      <c r="AU246" s="106">
        <v>-1441.8315648577743</v>
      </c>
      <c r="AV246" s="106">
        <v>-1363.1724381480697</v>
      </c>
      <c r="AW246" s="106"/>
      <c r="AX246" s="225"/>
      <c r="BD246" s="127">
        <v>51588.485189528867</v>
      </c>
      <c r="BF246" s="127">
        <v>50427.600430891995</v>
      </c>
      <c r="BH246" s="237">
        <v>2922.0772226617846</v>
      </c>
      <c r="BI246" s="106"/>
      <c r="BJ246" s="106"/>
      <c r="BK246" s="106"/>
      <c r="BL246" s="106"/>
      <c r="BM246" s="106"/>
      <c r="BN246" s="106"/>
      <c r="BO246" s="106"/>
      <c r="BP246" s="106"/>
      <c r="BQ246" s="106"/>
      <c r="BR246" s="106"/>
      <c r="BS246" s="106"/>
      <c r="BT246" s="106"/>
      <c r="BU246" s="225"/>
      <c r="CV246" s="245">
        <v>1</v>
      </c>
      <c r="CW246">
        <v>0</v>
      </c>
      <c r="CX246">
        <v>0</v>
      </c>
      <c r="CY246">
        <v>1</v>
      </c>
      <c r="CZ246">
        <v>0</v>
      </c>
      <c r="DA246">
        <v>0</v>
      </c>
    </row>
    <row r="247" spans="6:105" x14ac:dyDescent="0.25">
      <c r="I247" s="257" t="s">
        <v>2366</v>
      </c>
      <c r="J247" s="257"/>
      <c r="M247" t="s">
        <v>2354</v>
      </c>
      <c r="N247" s="256">
        <v>-938.64832273824936</v>
      </c>
      <c r="O247" s="256">
        <v>-925.08529026807889</v>
      </c>
      <c r="P247" s="256">
        <v>-900.77291932811954</v>
      </c>
      <c r="Q247" s="256">
        <v>-876.71376789392491</v>
      </c>
      <c r="R247" s="256">
        <v>-851.95826891035449</v>
      </c>
      <c r="S247" s="256">
        <v>-866.07309861985732</v>
      </c>
      <c r="T247" s="256">
        <v>-884.37907005647048</v>
      </c>
      <c r="U247" s="256">
        <v>-907.1117641184012</v>
      </c>
      <c r="V247" s="256">
        <v>-920.06485655929805</v>
      </c>
      <c r="W247" s="256">
        <v>-963.6830782363611</v>
      </c>
      <c r="X247" s="256">
        <v>-974.20699600305215</v>
      </c>
      <c r="Y247" s="256">
        <v>-979.10741200791051</v>
      </c>
      <c r="Z247" s="256">
        <v>-964.81438447542666</v>
      </c>
      <c r="AA247" s="256">
        <v>-983.79077434666976</v>
      </c>
      <c r="AB247" s="256">
        <v>-994.30189294061176</v>
      </c>
      <c r="AC247" s="256">
        <v>-1002.8613224391191</v>
      </c>
      <c r="AD247" s="256">
        <v>-1040.8921495180489</v>
      </c>
      <c r="AE247" s="256">
        <v>-1066.2566752313069</v>
      </c>
      <c r="AF247" s="256">
        <v>-1103.1313965226009</v>
      </c>
      <c r="AG247" s="256">
        <v>-1130.3719395789117</v>
      </c>
      <c r="AH247" s="256">
        <v>-1097.8620106240905</v>
      </c>
      <c r="AI247" s="256">
        <v>-1188.8339583726672</v>
      </c>
      <c r="AJ247" s="256">
        <v>-1220.1601167630563</v>
      </c>
      <c r="AK247" s="256">
        <v>-1264.5003972837292</v>
      </c>
      <c r="AL247" s="256">
        <v>-1269.8238486990995</v>
      </c>
      <c r="AM247" s="256">
        <v>-1216.740380987286</v>
      </c>
      <c r="AN247" s="256">
        <v>-1236.5774455613455</v>
      </c>
      <c r="AO247" s="256">
        <v>-1159.4678941557017</v>
      </c>
      <c r="AP247" s="235">
        <v>-1181.0369274748887</v>
      </c>
      <c r="AQ247" s="235">
        <v>-1222.4832830875052</v>
      </c>
      <c r="AR247" s="235">
        <v>-1250.0950526064637</v>
      </c>
      <c r="AS247" s="235">
        <v>-1266.2639438593965</v>
      </c>
      <c r="AT247" s="258">
        <v>-1121.8235530428144</v>
      </c>
      <c r="AU247" s="199">
        <v>-1333.5072666848143</v>
      </c>
      <c r="AV247" s="200">
        <v>-1246.1681882298149</v>
      </c>
      <c r="AW247" s="106"/>
      <c r="AX247" s="106"/>
      <c r="AY247" s="106">
        <v>-1121.8235530428144</v>
      </c>
      <c r="AZ247" s="225">
        <v>-1121.8235530428144</v>
      </c>
      <c r="BA247" s="106">
        <v>-1333.5072666848143</v>
      </c>
      <c r="BB247" s="106"/>
      <c r="BC247" s="106">
        <v>-1333.5072666848143</v>
      </c>
      <c r="BD247" s="127">
        <v>51894.123459404895</v>
      </c>
      <c r="BE247" s="106">
        <v>-1246.1681882298149</v>
      </c>
      <c r="BF247" s="127">
        <v>50614.461705763999</v>
      </c>
      <c r="BG247" s="106">
        <v>-1246.1681882298149</v>
      </c>
      <c r="BH247" s="225"/>
      <c r="BI247" s="106"/>
      <c r="BJ247" s="106"/>
      <c r="BK247" s="106"/>
      <c r="BL247" s="106"/>
      <c r="BM247" s="106">
        <v>-1121.8235530428144</v>
      </c>
      <c r="BN247" s="106">
        <v>-1121.8235530428144</v>
      </c>
      <c r="BO247" s="106">
        <v>-1121.8235530428144</v>
      </c>
      <c r="BP247" s="106">
        <v>-1333.5072666848143</v>
      </c>
      <c r="BQ247" s="106">
        <v>-1333.5072666848143</v>
      </c>
      <c r="BR247" s="106">
        <v>-1333.5072666848143</v>
      </c>
      <c r="BS247" s="106">
        <v>-1246.1681882298149</v>
      </c>
      <c r="BT247" s="106">
        <v>-1246.1681882298149</v>
      </c>
      <c r="BU247" s="225">
        <v>-1246.1681882298149</v>
      </c>
      <c r="CV247" s="245">
        <v>1</v>
      </c>
      <c r="CW247">
        <v>0</v>
      </c>
      <c r="CX247">
        <v>0</v>
      </c>
      <c r="CY247">
        <v>0</v>
      </c>
      <c r="CZ247">
        <v>1</v>
      </c>
      <c r="DA247">
        <v>0</v>
      </c>
    </row>
    <row r="248" spans="6:105" x14ac:dyDescent="0.25">
      <c r="I248" s="257" t="s">
        <v>2367</v>
      </c>
      <c r="J248" s="257" t="s">
        <v>2368</v>
      </c>
      <c r="M248" t="s">
        <v>2354</v>
      </c>
      <c r="N248" s="256">
        <v>-134.85234258999998</v>
      </c>
      <c r="O248" s="256">
        <v>-134.45072992999991</v>
      </c>
      <c r="P248" s="256">
        <v>-122.93623862000001</v>
      </c>
      <c r="Q248" s="256">
        <v>-111.74074645</v>
      </c>
      <c r="R248" s="256">
        <v>-123.97167250999991</v>
      </c>
      <c r="S248" s="256">
        <v>-106.25587415999999</v>
      </c>
      <c r="T248" s="256">
        <v>-113.14621292</v>
      </c>
      <c r="U248" s="256">
        <v>-120.45118770000001</v>
      </c>
      <c r="V248" s="256">
        <v>-133.92275616000001</v>
      </c>
      <c r="W248" s="256">
        <v>-132.75319995000001</v>
      </c>
      <c r="X248" s="256">
        <v>-122.84069468999989</v>
      </c>
      <c r="Y248" s="256">
        <v>-124.34166371555555</v>
      </c>
      <c r="Z248" s="256">
        <v>-92.796572301111112</v>
      </c>
      <c r="AA248" s="256">
        <v>-96.845524826666676</v>
      </c>
      <c r="AB248" s="256">
        <v>-94.034846162222124</v>
      </c>
      <c r="AC248" s="256">
        <v>-70.46405767177778</v>
      </c>
      <c r="AD248" s="256">
        <v>-88.772586973333333</v>
      </c>
      <c r="AE248" s="256">
        <v>-89.436585378888893</v>
      </c>
      <c r="AF248" s="256">
        <v>-88.272823274444434</v>
      </c>
      <c r="AG248" s="256">
        <v>-127.70230382000001</v>
      </c>
      <c r="AH248" s="256">
        <v>-92.522698650000009</v>
      </c>
      <c r="AI248" s="256">
        <v>-85.098451170000004</v>
      </c>
      <c r="AJ248" s="256">
        <v>-88.732731139999999</v>
      </c>
      <c r="AK248" s="256">
        <v>-90.299559617628361</v>
      </c>
      <c r="AL248" s="256">
        <v>-108.30448703511193</v>
      </c>
      <c r="AM248" s="256">
        <v>-75.719963070595497</v>
      </c>
      <c r="AN248" s="256">
        <v>-97.577015180079073</v>
      </c>
      <c r="AO248" s="256">
        <v>-96.408607957562538</v>
      </c>
      <c r="AP248" s="256">
        <v>-91.684473673458697</v>
      </c>
      <c r="AQ248" s="256">
        <v>-99.641251537686571</v>
      </c>
      <c r="AR248" s="256">
        <v>-94.471244936177641</v>
      </c>
      <c r="AS248" s="256">
        <v>-98.694211651546198</v>
      </c>
      <c r="AT248" s="258">
        <v>-95.463352713727076</v>
      </c>
      <c r="AU248" s="199">
        <v>-108.32429817295989</v>
      </c>
      <c r="AV248" s="200">
        <v>-117.00424991825477</v>
      </c>
      <c r="AW248" s="106"/>
      <c r="AX248" s="225"/>
      <c r="AY248" s="106">
        <v>-95.463352713727076</v>
      </c>
      <c r="AZ248" s="225">
        <v>-95.463352713727076</v>
      </c>
      <c r="BA248" s="106">
        <v>-108.32429817295989</v>
      </c>
      <c r="BB248" s="106"/>
      <c r="BC248" s="106">
        <v>-108.32429817295989</v>
      </c>
      <c r="BD248" s="259">
        <v>54881.471059992044</v>
      </c>
      <c r="BE248" s="106">
        <v>-117.00424991825477</v>
      </c>
      <c r="BF248" s="127">
        <v>52018.782334832271</v>
      </c>
      <c r="BG248" s="106">
        <v>-117.00424991825477</v>
      </c>
      <c r="BH248" s="225"/>
      <c r="BI248" s="106"/>
      <c r="BJ248" s="106"/>
      <c r="BK248" s="106"/>
      <c r="BL248" s="106"/>
      <c r="BM248" s="106">
        <v>-95.463352713727076</v>
      </c>
      <c r="BN248" s="106">
        <v>-95.463352713727076</v>
      </c>
      <c r="BO248" s="106">
        <v>-95.463352713727076</v>
      </c>
      <c r="BP248" s="106">
        <v>-108.32429817295989</v>
      </c>
      <c r="BQ248" s="106">
        <v>-108.32429817295989</v>
      </c>
      <c r="BR248" s="106">
        <v>-108.32429817295989</v>
      </c>
      <c r="BS248" s="106">
        <v>-117.00424991825477</v>
      </c>
      <c r="BT248" s="106">
        <v>-117.00424991825477</v>
      </c>
      <c r="BU248" s="225">
        <v>-117.00424991825477</v>
      </c>
      <c r="CV248" s="245">
        <v>1</v>
      </c>
      <c r="CW248">
        <v>0</v>
      </c>
      <c r="CX248">
        <v>0</v>
      </c>
      <c r="CY248">
        <v>1</v>
      </c>
      <c r="CZ248">
        <v>0</v>
      </c>
      <c r="DA248">
        <v>0</v>
      </c>
    </row>
    <row r="249" spans="6:105" x14ac:dyDescent="0.25">
      <c r="I249" s="257" t="s">
        <v>2369</v>
      </c>
      <c r="J249" s="257"/>
      <c r="M249" t="s">
        <v>2354</v>
      </c>
      <c r="N249" s="256">
        <v>-860.86812919890838</v>
      </c>
      <c r="O249" s="256">
        <v>-1054.6304920571049</v>
      </c>
      <c r="P249" s="256">
        <v>-987.57641594058862</v>
      </c>
      <c r="Q249" s="256">
        <v>-997.99387466473956</v>
      </c>
      <c r="R249" s="256">
        <v>-930.30772636611857</v>
      </c>
      <c r="S249" s="256">
        <v>-952.65403505611971</v>
      </c>
      <c r="T249" s="256">
        <v>-1007.7699187781186</v>
      </c>
      <c r="U249" s="256">
        <v>-1019.5303237787879</v>
      </c>
      <c r="V249" s="256">
        <v>-1055.2656248899925</v>
      </c>
      <c r="W249" s="256">
        <v>-1150.933834040758</v>
      </c>
      <c r="X249" s="256">
        <v>-1088.6358984098622</v>
      </c>
      <c r="Y249" s="256">
        <v>-1188.5232502222295</v>
      </c>
      <c r="Z249" s="256">
        <v>-1189.0424318995576</v>
      </c>
      <c r="AA249" s="256">
        <v>-1183.0392745071292</v>
      </c>
      <c r="AB249" s="256">
        <v>-1220.470699287974</v>
      </c>
      <c r="AC249" s="256">
        <v>-1212.5844725971474</v>
      </c>
      <c r="AD249" s="256">
        <v>-1294.1608504198098</v>
      </c>
      <c r="AE249" s="256">
        <v>-1255.589784221848</v>
      </c>
      <c r="AF249" s="256">
        <v>-1362.7918371974033</v>
      </c>
      <c r="AG249" s="256">
        <v>-1429.9092991800928</v>
      </c>
      <c r="AH249" s="256">
        <v>-1432.331050804758</v>
      </c>
      <c r="AI249" s="256">
        <v>-1358.8779087059413</v>
      </c>
      <c r="AJ249" s="256">
        <v>-1416.0812385545091</v>
      </c>
      <c r="AK249" s="256">
        <v>-1505.4929959571143</v>
      </c>
      <c r="AL249" s="256">
        <v>-1530.8680260124195</v>
      </c>
      <c r="AM249" s="256">
        <v>-1986.7303504372239</v>
      </c>
      <c r="AN249" s="256">
        <v>-1939.0076105531266</v>
      </c>
      <c r="AO249" s="256">
        <v>-1817.4875534930104</v>
      </c>
      <c r="AP249" s="256">
        <v>-1858.1610635354766</v>
      </c>
      <c r="AQ249" s="256">
        <v>-1650.040485935762</v>
      </c>
      <c r="AR249" s="256">
        <v>-1772.5067133440743</v>
      </c>
      <c r="AS249" s="256">
        <v>-1783.6296912202149</v>
      </c>
      <c r="AT249" s="229">
        <v>-1650.040485935762</v>
      </c>
      <c r="AU249" s="229">
        <v>-1650.040485935762</v>
      </c>
      <c r="AV249" s="229">
        <v>-1650.040485935762</v>
      </c>
      <c r="AW249" s="106"/>
      <c r="AX249" s="225"/>
      <c r="AY249" s="106">
        <v>-1650.040485935762</v>
      </c>
      <c r="AZ249" s="225">
        <v>-1650.040485935762</v>
      </c>
      <c r="BA249" s="106">
        <v>-1650.040485935762</v>
      </c>
      <c r="BB249" s="106"/>
      <c r="BC249" s="106">
        <v>-1650.040485935762</v>
      </c>
      <c r="BD249" s="127">
        <v>55187.109329868072</v>
      </c>
      <c r="BE249" s="106">
        <v>-1650.040485935762</v>
      </c>
      <c r="BF249" s="127">
        <v>52205.643609704275</v>
      </c>
      <c r="BG249" s="106">
        <v>-1650.040485935762</v>
      </c>
      <c r="BH249" s="225"/>
      <c r="BI249" s="106"/>
      <c r="BJ249" s="106"/>
      <c r="BK249" s="106"/>
      <c r="BL249" s="106"/>
      <c r="BM249" s="106">
        <v>-1650.040485935762</v>
      </c>
      <c r="BN249" s="106">
        <v>-1650.040485935762</v>
      </c>
      <c r="BO249" s="106">
        <v>-1650.040485935762</v>
      </c>
      <c r="BP249" s="106">
        <v>-1650.040485935762</v>
      </c>
      <c r="BQ249" s="106">
        <v>-1650.040485935762</v>
      </c>
      <c r="BR249" s="106">
        <v>-1650.040485935762</v>
      </c>
      <c r="BS249" s="106">
        <v>-1650.040485935762</v>
      </c>
      <c r="BT249" s="106">
        <v>-1650.040485935762</v>
      </c>
      <c r="BU249" s="225">
        <v>-1650.040485935762</v>
      </c>
      <c r="CV249" s="245">
        <v>1</v>
      </c>
      <c r="CW249">
        <v>0</v>
      </c>
      <c r="CX249">
        <v>0</v>
      </c>
      <c r="CY249">
        <v>1</v>
      </c>
      <c r="CZ249">
        <v>0</v>
      </c>
      <c r="DA249">
        <v>0</v>
      </c>
    </row>
    <row r="250" spans="6:105" x14ac:dyDescent="0.25">
      <c r="N250" s="106"/>
      <c r="O250" s="106"/>
      <c r="P250" s="106"/>
      <c r="Q250" s="106"/>
      <c r="R250" s="106"/>
      <c r="S250" s="106"/>
      <c r="T250" s="106"/>
      <c r="U250" s="106"/>
      <c r="V250" s="106"/>
      <c r="W250" s="106"/>
      <c r="X250" s="106"/>
      <c r="Y250" s="106"/>
      <c r="Z250" s="106"/>
      <c r="AA250" s="106"/>
      <c r="AB250" s="106"/>
      <c r="AC250" s="106"/>
      <c r="AD250" s="106"/>
      <c r="AE250" s="106"/>
      <c r="AF250" s="106"/>
      <c r="AG250" s="106"/>
      <c r="AH250" s="106"/>
      <c r="AT250" s="229"/>
      <c r="AU250" s="106"/>
      <c r="AV250" s="225"/>
      <c r="AW250" s="106"/>
      <c r="AX250" s="225"/>
      <c r="BE250" s="260" t="s">
        <v>2370</v>
      </c>
      <c r="BF250" s="204" t="s">
        <v>2371</v>
      </c>
      <c r="BH250" s="155"/>
      <c r="BI250" s="261" t="s">
        <v>2370</v>
      </c>
      <c r="BJ250" s="106"/>
      <c r="BK250" s="106"/>
      <c r="BL250" s="106"/>
      <c r="BM250" s="106"/>
      <c r="BN250" s="106"/>
      <c r="BO250" s="106"/>
      <c r="BP250" s="106"/>
      <c r="BQ250" s="106"/>
      <c r="BR250" s="106"/>
      <c r="BS250" s="106"/>
      <c r="BT250" s="106"/>
      <c r="BU250" s="225"/>
      <c r="CV250" s="245">
        <v>1</v>
      </c>
      <c r="CW250">
        <v>1</v>
      </c>
      <c r="CX250">
        <v>0</v>
      </c>
      <c r="CY250">
        <v>0</v>
      </c>
      <c r="CZ250">
        <v>0</v>
      </c>
      <c r="DA250">
        <v>0</v>
      </c>
    </row>
    <row r="251" spans="6:105" x14ac:dyDescent="0.25">
      <c r="I251" s="68" t="s">
        <v>2372</v>
      </c>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T251" s="229"/>
      <c r="AU251" s="106"/>
      <c r="AV251" s="225"/>
      <c r="AW251" s="106"/>
      <c r="AX251" s="225"/>
      <c r="BE251" s="255">
        <v>47667.60935290662</v>
      </c>
      <c r="BF251" s="262">
        <v>47973.247622782648</v>
      </c>
      <c r="BG251" s="262">
        <v>44894.225689974664</v>
      </c>
      <c r="BH251" s="263">
        <v>45081.086964846669</v>
      </c>
      <c r="BI251" s="106"/>
      <c r="BJ251" s="106"/>
      <c r="BK251" s="106"/>
      <c r="BL251" s="106"/>
      <c r="BM251" s="106"/>
      <c r="BN251" s="106"/>
      <c r="BO251" s="106"/>
      <c r="BP251" s="106"/>
      <c r="BQ251" s="106"/>
      <c r="BR251" s="106"/>
      <c r="BS251" s="106"/>
      <c r="BT251" s="106"/>
      <c r="BU251" s="225"/>
      <c r="CN251" s="68" t="s">
        <v>2372</v>
      </c>
      <c r="CV251" s="245">
        <v>1</v>
      </c>
      <c r="CW251">
        <v>0</v>
      </c>
      <c r="CX251">
        <v>0</v>
      </c>
      <c r="CY251">
        <v>1</v>
      </c>
      <c r="CZ251">
        <v>0</v>
      </c>
      <c r="DA251">
        <v>0</v>
      </c>
    </row>
    <row r="252" spans="6:105" x14ac:dyDescent="0.25">
      <c r="I252" s="257" t="s">
        <v>520</v>
      </c>
      <c r="J252" s="257"/>
      <c r="M252" t="s">
        <v>2373</v>
      </c>
      <c r="N252" s="256">
        <v>30953.982195313689</v>
      </c>
      <c r="O252" s="256">
        <v>30795.832517409686</v>
      </c>
      <c r="P252" s="256">
        <v>30265.050473382147</v>
      </c>
      <c r="Q252" s="256">
        <v>30178.123541092038</v>
      </c>
      <c r="R252" s="256">
        <v>30471.442706746257</v>
      </c>
      <c r="S252" s="256">
        <v>32219.724030893602</v>
      </c>
      <c r="T252" s="256">
        <v>32159.236675897293</v>
      </c>
      <c r="U252" s="256">
        <v>31898.592846672465</v>
      </c>
      <c r="V252" s="256">
        <v>32154.783352476879</v>
      </c>
      <c r="W252" s="256">
        <v>32323.343751101147</v>
      </c>
      <c r="X252" s="256">
        <v>33158.951767447448</v>
      </c>
      <c r="Y252" s="256">
        <v>32632.387105757705</v>
      </c>
      <c r="Z252" s="256">
        <v>33694.395733803241</v>
      </c>
      <c r="AA252" s="256">
        <v>36155.365751555859</v>
      </c>
      <c r="AB252" s="256">
        <v>38161.771751776098</v>
      </c>
      <c r="AC252" s="256">
        <v>38279.852572172429</v>
      </c>
      <c r="AD252" s="256">
        <v>39652.338168932052</v>
      </c>
      <c r="AE252" s="256">
        <v>39644.368393831057</v>
      </c>
      <c r="AF252" s="256">
        <v>40182.20351668066</v>
      </c>
      <c r="AG252" s="256">
        <v>39342.242241568441</v>
      </c>
      <c r="AH252" s="256">
        <v>40446.44254480282</v>
      </c>
      <c r="AI252" s="256">
        <v>42143.379133542127</v>
      </c>
      <c r="AJ252" s="256">
        <v>43285.230826501378</v>
      </c>
      <c r="AK252" s="256">
        <v>43620.580623328089</v>
      </c>
      <c r="AL252" s="256">
        <v>44023.936200649878</v>
      </c>
      <c r="AM252" s="256">
        <v>44863.588399534325</v>
      </c>
      <c r="AN252" s="256">
        <v>43734.573202448417</v>
      </c>
      <c r="AO252" s="256">
        <v>44295.654803339647</v>
      </c>
      <c r="AP252" s="256">
        <v>45527.980036441411</v>
      </c>
      <c r="AQ252" s="256">
        <v>46148.065927774755</v>
      </c>
      <c r="AR252" s="256">
        <v>44564.853188645771</v>
      </c>
      <c r="AS252" s="256">
        <v>46564.017299436484</v>
      </c>
      <c r="AT252" s="229">
        <v>45510.639616213302</v>
      </c>
      <c r="AU252" s="106">
        <v>51737.616786468854</v>
      </c>
      <c r="AV252" s="225">
        <v>54960.680820117559</v>
      </c>
      <c r="AW252" s="106">
        <v>9490.1305213038031</v>
      </c>
      <c r="AX252" s="225"/>
      <c r="AY252" s="106">
        <v>50556.850605431639</v>
      </c>
      <c r="AZ252" s="225">
        <v>47413.748863316578</v>
      </c>
      <c r="BA252" s="256">
        <v>47989.862521468014</v>
      </c>
      <c r="BB252" s="256">
        <v>48682.363212265765</v>
      </c>
      <c r="BC252" s="256">
        <v>46760.075708611846</v>
      </c>
      <c r="BD252" s="256">
        <v>46512.653774344217</v>
      </c>
      <c r="BE252" s="256">
        <v>49527.229772945073</v>
      </c>
      <c r="BF252" s="256">
        <v>49832.868042821101</v>
      </c>
      <c r="BG252" s="256">
        <v>46664.5410477853</v>
      </c>
      <c r="BH252" s="264">
        <v>46851.402322657304</v>
      </c>
      <c r="BI252" s="256">
        <v>53836.067383509304</v>
      </c>
      <c r="BJ252" s="256">
        <v>53676.727383509307</v>
      </c>
      <c r="BK252" s="256">
        <v>50390.195515205363</v>
      </c>
      <c r="BL252" s="264">
        <v>50359.875515205356</v>
      </c>
      <c r="BM252" s="106">
        <v>44337.473261570165</v>
      </c>
      <c r="BN252" s="106">
        <v>44228.176771970931</v>
      </c>
      <c r="BO252" s="106">
        <v>44485.431332814172</v>
      </c>
      <c r="BP252" s="106">
        <v>46763.52582744533</v>
      </c>
      <c r="BQ252" s="106">
        <v>45464.768331024512</v>
      </c>
      <c r="BR252" s="106">
        <v>48395.63034789481</v>
      </c>
      <c r="BS252" s="106">
        <v>46553.375875982587</v>
      </c>
      <c r="BT252" s="106">
        <v>44171.698667761215</v>
      </c>
      <c r="BU252" s="225">
        <v>49459.876479441882</v>
      </c>
      <c r="CN252" s="257" t="s">
        <v>520</v>
      </c>
      <c r="CP252" s="256">
        <v>45527.980036441411</v>
      </c>
      <c r="CQ252" s="256">
        <v>60312.67078149697</v>
      </c>
      <c r="CR252" s="256">
        <v>26178.331542948657</v>
      </c>
      <c r="CS252" s="256">
        <v>14924.526247122863</v>
      </c>
      <c r="CT252" s="256">
        <v>14708.940203670183</v>
      </c>
      <c r="CU252" s="256">
        <v>14810.645177305192</v>
      </c>
      <c r="CV252" s="245">
        <v>1</v>
      </c>
      <c r="CW252">
        <v>0</v>
      </c>
      <c r="CX252">
        <v>0</v>
      </c>
      <c r="CY252">
        <v>0</v>
      </c>
      <c r="CZ252">
        <v>1</v>
      </c>
      <c r="DA252">
        <v>0</v>
      </c>
    </row>
    <row r="253" spans="6:105" x14ac:dyDescent="0.25">
      <c r="I253" s="257" t="s">
        <v>521</v>
      </c>
      <c r="J253" s="257"/>
      <c r="M253" t="s">
        <v>2374</v>
      </c>
      <c r="N253" s="256">
        <v>4623.1707194617493</v>
      </c>
      <c r="O253" s="256">
        <v>4415.9499925786149</v>
      </c>
      <c r="P253" s="256">
        <v>4292.2814616168225</v>
      </c>
      <c r="Q253" s="256">
        <v>4199.5739393636695</v>
      </c>
      <c r="R253" s="256">
        <v>4186.3625925687775</v>
      </c>
      <c r="S253" s="256">
        <v>4213.8837987487814</v>
      </c>
      <c r="T253" s="256">
        <v>4289.5567812649051</v>
      </c>
      <c r="U253" s="256">
        <v>4226.4918123450316</v>
      </c>
      <c r="V253" s="256">
        <v>4173.6617285571001</v>
      </c>
      <c r="W253" s="256">
        <v>4083.2045710076818</v>
      </c>
      <c r="X253" s="256">
        <v>4122.8215617761643</v>
      </c>
      <c r="Y253" s="256">
        <v>4122.7736122720198</v>
      </c>
      <c r="Z253" s="256">
        <v>4141.6654514306792</v>
      </c>
      <c r="AA253" s="256">
        <v>4233.2442522043084</v>
      </c>
      <c r="AB253" s="256">
        <v>4200.270409404874</v>
      </c>
      <c r="AC253" s="256">
        <v>4180.2137189470077</v>
      </c>
      <c r="AD253" s="256">
        <v>4167.1463924000027</v>
      </c>
      <c r="AE253" s="256">
        <v>4183.1183269255052</v>
      </c>
      <c r="AF253" s="256">
        <v>4044.3336997222391</v>
      </c>
      <c r="AG253" s="256">
        <v>3726.0334177910058</v>
      </c>
      <c r="AH253" s="256">
        <v>3809.163535001187</v>
      </c>
      <c r="AI253" s="256">
        <v>3704.8612502708779</v>
      </c>
      <c r="AJ253" s="256">
        <v>3634.0239757912191</v>
      </c>
      <c r="AK253" s="256">
        <v>3549.0583506000376</v>
      </c>
      <c r="AL253" s="256">
        <v>3425.4808515811415</v>
      </c>
      <c r="AM253" s="256">
        <v>3474.4199192046017</v>
      </c>
      <c r="AN253" s="256">
        <v>3482.1092475525479</v>
      </c>
      <c r="AO253" s="256">
        <v>3574.2617394801964</v>
      </c>
      <c r="AP253" s="256">
        <v>3478.8839832389335</v>
      </c>
      <c r="AQ253" s="256">
        <v>3332.94165067116</v>
      </c>
      <c r="AR253" s="256">
        <v>3048.2101313235607</v>
      </c>
      <c r="AS253" s="256">
        <v>3228.2236746188901</v>
      </c>
      <c r="AT253" s="229">
        <v>3430.6077918241886</v>
      </c>
      <c r="AU253" s="106">
        <v>3360.4110773859202</v>
      </c>
      <c r="AV253" s="225">
        <v>3367.9876150223545</v>
      </c>
      <c r="AW253" s="106"/>
      <c r="AX253" s="225"/>
      <c r="AY253" s="106">
        <v>3430.6077918241886</v>
      </c>
      <c r="AZ253" s="225">
        <v>3430.6077918241886</v>
      </c>
      <c r="BA253" s="106">
        <v>3360.4110773859202</v>
      </c>
      <c r="BB253" s="106"/>
      <c r="BC253" s="106">
        <v>3360.4110773859202</v>
      </c>
      <c r="BD253" s="106"/>
      <c r="BE253" s="106">
        <v>3367.9876150223545</v>
      </c>
      <c r="BF253" s="262">
        <v>1765.3956220540695</v>
      </c>
      <c r="BG253" s="106">
        <v>3367.9876150223545</v>
      </c>
      <c r="BH253" s="255">
        <v>1765.3956220540695</v>
      </c>
      <c r="BI253" s="106">
        <v>3367.9876150223545</v>
      </c>
      <c r="BJ253" s="106"/>
      <c r="BK253" s="106">
        <v>3367.9876150223545</v>
      </c>
      <c r="BL253" s="106"/>
      <c r="BM253" s="265">
        <v>3048.2101313235607</v>
      </c>
      <c r="BN253" s="265">
        <v>3430.6077918241886</v>
      </c>
      <c r="BO253" s="265">
        <v>3430.6077918241886</v>
      </c>
      <c r="BP253" s="265">
        <v>2606.0874970787859</v>
      </c>
      <c r="BQ253" s="265">
        <v>3360.4110773859202</v>
      </c>
      <c r="BR253" s="265">
        <v>3367.9876150223545</v>
      </c>
      <c r="BS253" s="265">
        <v>1765.3956220540695</v>
      </c>
      <c r="BT253" s="265">
        <v>1765.3956220540695</v>
      </c>
      <c r="BU253" s="265">
        <v>1765.3956220540695</v>
      </c>
      <c r="CN253" s="257" t="s">
        <v>521</v>
      </c>
      <c r="CP253" s="256">
        <v>3478.8839832389335</v>
      </c>
      <c r="CQ253" s="256">
        <v>3408.517594204915</v>
      </c>
      <c r="CR253" s="256">
        <v>3408.517594204915</v>
      </c>
      <c r="CS253" s="256">
        <v>729.13649656832035</v>
      </c>
      <c r="CT253" s="256">
        <v>729.13649656832035</v>
      </c>
      <c r="CU253" s="256">
        <v>0</v>
      </c>
      <c r="CV253" s="245">
        <v>1</v>
      </c>
      <c r="CW253">
        <v>0</v>
      </c>
      <c r="CX253">
        <v>0</v>
      </c>
      <c r="CY253">
        <v>0</v>
      </c>
      <c r="CZ253">
        <v>0</v>
      </c>
      <c r="DA253">
        <v>1</v>
      </c>
    </row>
    <row r="254" spans="6:105" x14ac:dyDescent="0.25">
      <c r="I254" s="257" t="s">
        <v>522</v>
      </c>
      <c r="J254" s="257"/>
      <c r="M254" t="s">
        <v>2374</v>
      </c>
      <c r="N254" s="256">
        <v>4651.7582225999904</v>
      </c>
      <c r="O254" s="256">
        <v>4444.0974270999995</v>
      </c>
      <c r="P254" s="256">
        <v>4319.5890461999998</v>
      </c>
      <c r="Q254" s="256">
        <v>4226.4487369999997</v>
      </c>
      <c r="R254" s="256">
        <v>4211.6680225999999</v>
      </c>
      <c r="S254" s="256">
        <v>4238.2504756999997</v>
      </c>
      <c r="T254" s="256">
        <v>4311.1447796000002</v>
      </c>
      <c r="U254" s="256">
        <v>4247.5446878000002</v>
      </c>
      <c r="V254" s="256">
        <v>4195.1500364999902</v>
      </c>
      <c r="W254" s="256">
        <v>4105.2164782</v>
      </c>
      <c r="X254" s="256">
        <v>4142.7482344999999</v>
      </c>
      <c r="Y254" s="256">
        <v>4142.2097901999996</v>
      </c>
      <c r="Z254" s="256">
        <v>4158.1077114999998</v>
      </c>
      <c r="AA254" s="256">
        <v>4250.7296913</v>
      </c>
      <c r="AB254" s="256">
        <v>4214.2377594</v>
      </c>
      <c r="AC254" s="256">
        <v>4195.1868238999996</v>
      </c>
      <c r="AD254" s="256">
        <v>4182.1079923999996</v>
      </c>
      <c r="AE254" s="256">
        <v>4197.6932525000002</v>
      </c>
      <c r="AF254" s="256">
        <v>4059.8090823000002</v>
      </c>
      <c r="AG254" s="256">
        <v>3742.0063673999998</v>
      </c>
      <c r="AH254" s="256">
        <v>3824.2039411000001</v>
      </c>
      <c r="AI254" s="256">
        <v>3718.7463566000001</v>
      </c>
      <c r="AJ254" s="256">
        <v>3649.0773009999998</v>
      </c>
      <c r="AK254" s="256">
        <v>3562.5884867999998</v>
      </c>
      <c r="AL254" s="256">
        <v>3436.5302950999899</v>
      </c>
      <c r="AM254" s="256">
        <v>3486.637635</v>
      </c>
      <c r="AN254" s="256">
        <v>3492.9201241999999</v>
      </c>
      <c r="AO254" s="256">
        <v>3582.9811518000001</v>
      </c>
      <c r="AP254" s="256">
        <v>3489.8668493</v>
      </c>
      <c r="AQ254" s="256">
        <v>3340.9419824000001</v>
      </c>
      <c r="AR254" s="256">
        <v>3059.4255521</v>
      </c>
      <c r="AS254" s="256">
        <v>3238.4094186000002</v>
      </c>
      <c r="AT254" s="229">
        <v>3439.8767108945035</v>
      </c>
      <c r="AU254" s="229">
        <v>3367.1992892545259</v>
      </c>
      <c r="AV254" s="266">
        <v>3373.4207998125712</v>
      </c>
      <c r="AW254" s="106"/>
      <c r="AX254" s="225"/>
      <c r="AY254" s="229">
        <v>3706.56</v>
      </c>
      <c r="AZ254" s="229">
        <v>3243.24</v>
      </c>
      <c r="BA254" s="229">
        <v>2519.7559852749996</v>
      </c>
      <c r="BB254" s="229"/>
      <c r="BC254" s="229">
        <v>2519.7559852749996</v>
      </c>
      <c r="BD254" s="229"/>
      <c r="BE254" s="229">
        <v>2084.9399999999996</v>
      </c>
      <c r="BF254" s="255">
        <v>2084.9399999999996</v>
      </c>
      <c r="BG254" s="106">
        <v>2084.9399999999996</v>
      </c>
      <c r="BH254" s="255">
        <v>2084.9399999999996</v>
      </c>
      <c r="BI254" s="229">
        <v>2779.9199999999996</v>
      </c>
      <c r="BJ254" s="106"/>
      <c r="BK254" s="106">
        <v>2779.9199999999996</v>
      </c>
      <c r="BL254" s="106"/>
      <c r="BM254" s="106">
        <v>3059.4255521</v>
      </c>
      <c r="BN254" s="229">
        <v>3059.4255521</v>
      </c>
      <c r="BO254" s="229">
        <v>3059.4255521</v>
      </c>
      <c r="BP254" s="229">
        <v>2644.2976543292202</v>
      </c>
      <c r="BQ254" s="229">
        <v>2644.2976543292202</v>
      </c>
      <c r="BR254" s="229">
        <v>3171.6549584999998</v>
      </c>
      <c r="BS254" s="229">
        <v>1776.8186778599099</v>
      </c>
      <c r="BT254" s="229">
        <v>1776.8186778599099</v>
      </c>
      <c r="BU254" s="229">
        <v>2904.5092421999998</v>
      </c>
      <c r="CN254" s="257" t="s">
        <v>522</v>
      </c>
      <c r="CP254" s="256">
        <v>3489.8668493</v>
      </c>
      <c r="CQ254" s="256">
        <v>3492.9891818531241</v>
      </c>
      <c r="CR254" s="256">
        <v>0</v>
      </c>
      <c r="CS254" s="256">
        <v>0</v>
      </c>
      <c r="CT254" s="256">
        <v>737.87976456758611</v>
      </c>
      <c r="CU254" s="256">
        <v>0</v>
      </c>
      <c r="CV254" s="245">
        <v>1</v>
      </c>
      <c r="CW254">
        <v>0</v>
      </c>
      <c r="CX254">
        <v>0</v>
      </c>
      <c r="CY254">
        <v>0</v>
      </c>
      <c r="CZ254">
        <v>1</v>
      </c>
      <c r="DA254">
        <v>0</v>
      </c>
    </row>
    <row r="255" spans="6:105" x14ac:dyDescent="0.25">
      <c r="I255" s="257" t="s">
        <v>523</v>
      </c>
      <c r="J255" s="257"/>
      <c r="M255" t="s">
        <v>2353</v>
      </c>
      <c r="N255" s="256">
        <v>30601.627994682603</v>
      </c>
      <c r="O255" s="256">
        <v>30460.899602187117</v>
      </c>
      <c r="P255" s="256">
        <v>30003.585479661586</v>
      </c>
      <c r="Q255" s="256">
        <v>29941.647794568096</v>
      </c>
      <c r="R255" s="256">
        <v>30275.512793031015</v>
      </c>
      <c r="S255" s="256">
        <v>32050.258968281043</v>
      </c>
      <c r="T255" s="256">
        <v>31984.367108507224</v>
      </c>
      <c r="U255" s="256">
        <v>31723.395434254184</v>
      </c>
      <c r="V255" s="256">
        <v>31986.318450366274</v>
      </c>
      <c r="W255" s="256">
        <v>32161.90200992746</v>
      </c>
      <c r="X255" s="256">
        <v>33023.496977897303</v>
      </c>
      <c r="Y255" s="256">
        <v>32459.650492701334</v>
      </c>
      <c r="Z255" s="256">
        <v>33610.042047802708</v>
      </c>
      <c r="AA255" s="256">
        <v>36052.02530281026</v>
      </c>
      <c r="AB255" s="256">
        <v>38134.987641618427</v>
      </c>
      <c r="AC255" s="256">
        <v>38315.969800959399</v>
      </c>
      <c r="AD255" s="256">
        <v>39689.308498350983</v>
      </c>
      <c r="AE255" s="256">
        <v>39706.352755123524</v>
      </c>
      <c r="AF255" s="256">
        <v>40224.285567704952</v>
      </c>
      <c r="AG255" s="256">
        <v>39255.405454503569</v>
      </c>
      <c r="AH255" s="256">
        <v>40503.52079633603</v>
      </c>
      <c r="AI255" s="256">
        <v>42124.059676535981</v>
      </c>
      <c r="AJ255" s="256">
        <v>43179.585767279939</v>
      </c>
      <c r="AK255" s="256">
        <v>43467.39689428603</v>
      </c>
      <c r="AL255" s="256">
        <v>43886.330456046671</v>
      </c>
      <c r="AM255" s="256">
        <v>44867.789150205295</v>
      </c>
      <c r="AN255" s="256">
        <v>43733.895989958575</v>
      </c>
      <c r="AO255" s="256">
        <v>44442.870544843267</v>
      </c>
      <c r="AP255" s="256">
        <v>45692.405658840282</v>
      </c>
      <c r="AQ255" s="256">
        <v>46249.619266853842</v>
      </c>
      <c r="AR255" s="256">
        <v>44251.416512050695</v>
      </c>
      <c r="AS255" s="256">
        <v>46330.085926922126</v>
      </c>
      <c r="AT255" s="229">
        <v>45331.27073227863</v>
      </c>
      <c r="AU255" s="229">
        <v>51536.128654964159</v>
      </c>
      <c r="AV255" s="266">
        <v>55041.402906977099</v>
      </c>
      <c r="AW255" s="106"/>
      <c r="AX255" s="225"/>
      <c r="AY255" s="229">
        <v>50644.165010602461</v>
      </c>
      <c r="AZ255" s="229">
        <v>47037.7432684874</v>
      </c>
      <c r="BA255" s="267">
        <v>47287.181431382669</v>
      </c>
      <c r="BB255" s="229"/>
      <c r="BC255" s="267">
        <v>45587.433305993807</v>
      </c>
      <c r="BD255" s="259">
        <v>48319.471059992044</v>
      </c>
      <c r="BE255" s="267">
        <v>48472.290194930058</v>
      </c>
      <c r="BF255" s="127">
        <v>45456.782334832271</v>
      </c>
      <c r="BG255" s="256">
        <v>45550.212972268273</v>
      </c>
      <c r="BH255" s="225"/>
      <c r="BI255" s="267">
        <v>53243.618670556272</v>
      </c>
      <c r="BJ255" s="106"/>
      <c r="BK255" s="256">
        <v>49862.256802252326</v>
      </c>
      <c r="BL255" s="106"/>
      <c r="BM255" s="106">
        <v>44160.050879341616</v>
      </c>
      <c r="BN255" s="229">
        <v>43668.356729241757</v>
      </c>
      <c r="BO255" s="229">
        <v>43925.611290084998</v>
      </c>
      <c r="BP255" s="229">
        <v>46593.459641322464</v>
      </c>
      <c r="BQ255" s="229">
        <v>44540.37856459451</v>
      </c>
      <c r="BR255" s="229">
        <v>47991.021347999158</v>
      </c>
      <c r="BS255" s="229">
        <v>46640.087833857753</v>
      </c>
      <c r="BT255" s="229">
        <v>44258.410625636381</v>
      </c>
      <c r="BU255" s="229">
        <v>50674.279001657138</v>
      </c>
      <c r="CN255" s="257" t="s">
        <v>523</v>
      </c>
      <c r="CP255" s="256">
        <v>45692.405658840282</v>
      </c>
      <c r="CQ255" s="256">
        <v>60789.287853002563</v>
      </c>
      <c r="CR255" s="256">
        <v>23161.959432601128</v>
      </c>
      <c r="CS255" s="256">
        <v>14486.803063043877</v>
      </c>
      <c r="CT255" s="256">
        <v>15009.096784158783</v>
      </c>
      <c r="CU255" s="256">
        <v>15102.058489794526</v>
      </c>
      <c r="CV255" s="245">
        <v>1</v>
      </c>
      <c r="CW255">
        <v>1</v>
      </c>
      <c r="CX255">
        <v>0</v>
      </c>
      <c r="CY255">
        <v>0</v>
      </c>
      <c r="CZ255">
        <v>0</v>
      </c>
      <c r="DA255">
        <v>0</v>
      </c>
    </row>
    <row r="256" spans="6:105" x14ac:dyDescent="0.25">
      <c r="I256" s="257" t="s">
        <v>524</v>
      </c>
      <c r="J256" s="257"/>
      <c r="M256" t="s">
        <v>2353</v>
      </c>
      <c r="AH256">
        <v>3938</v>
      </c>
      <c r="AI256" s="108">
        <v>-40503.52079633603</v>
      </c>
      <c r="AJ256" s="99" t="s">
        <v>2375</v>
      </c>
      <c r="AK256" s="99"/>
      <c r="AL256" s="99"/>
      <c r="AM256" s="99"/>
      <c r="AN256" s="100"/>
      <c r="AO256" s="99"/>
      <c r="AP256" s="99"/>
      <c r="AQ256" s="99"/>
      <c r="AR256" s="99"/>
      <c r="AS256" s="99"/>
      <c r="AT256" s="157"/>
      <c r="AV256" s="155"/>
      <c r="AX256" s="155"/>
      <c r="AZ256" s="155"/>
      <c r="BD256" s="177">
        <v>48625.109329868072</v>
      </c>
      <c r="BE256" s="255">
        <v>48215.261767859891</v>
      </c>
      <c r="BF256" s="177">
        <v>45643.643609704275</v>
      </c>
      <c r="BG256" s="255">
        <v>45382.489607425923</v>
      </c>
      <c r="BI256" s="229"/>
      <c r="BJ256" s="106"/>
      <c r="BK256" s="106"/>
      <c r="BL256" s="106"/>
      <c r="BU256" s="155"/>
      <c r="CN256" s="257" t="s">
        <v>524</v>
      </c>
      <c r="CV256" s="245">
        <v>1</v>
      </c>
      <c r="CW256">
        <v>0</v>
      </c>
      <c r="CX256">
        <v>0</v>
      </c>
      <c r="CY256">
        <v>0</v>
      </c>
      <c r="CZ256">
        <v>0</v>
      </c>
      <c r="DA256">
        <v>1</v>
      </c>
    </row>
    <row r="257" spans="9:105" x14ac:dyDescent="0.25">
      <c r="I257" s="257"/>
      <c r="J257" s="257"/>
      <c r="AI257" s="257"/>
      <c r="AJ257" s="257"/>
      <c r="AK257" s="257"/>
      <c r="AN257" s="99" t="s">
        <v>2216</v>
      </c>
      <c r="AO257" s="99"/>
      <c r="AP257" s="99"/>
      <c r="AQ257" s="99"/>
      <c r="AR257" s="99"/>
      <c r="AS257" s="99"/>
      <c r="AT257" s="100"/>
      <c r="AU257" s="99"/>
      <c r="AV257" s="99"/>
      <c r="AW257" s="99"/>
      <c r="AX257" s="155"/>
      <c r="AZ257" s="155"/>
      <c r="BA257" s="106">
        <v>40441.152559265764</v>
      </c>
      <c r="BB257" s="106"/>
      <c r="BC257" s="111"/>
      <c r="BD257" s="120" t="s">
        <v>2376</v>
      </c>
      <c r="BF257" s="120" t="s">
        <v>2376</v>
      </c>
      <c r="BH257" s="106"/>
      <c r="BI257" s="268" t="s">
        <v>2377</v>
      </c>
      <c r="BJ257" s="106"/>
      <c r="BK257" s="106"/>
      <c r="BL257" s="106"/>
      <c r="BU257" s="155"/>
      <c r="CN257" s="269" t="s">
        <v>525</v>
      </c>
      <c r="CO257" s="68"/>
      <c r="CP257" s="230">
        <v>53059.76171875</v>
      </c>
      <c r="CQ257" s="230">
        <v>66541</v>
      </c>
      <c r="CR257" s="230"/>
      <c r="CT257" s="230">
        <v>16497.150390625</v>
      </c>
      <c r="CV257" s="245">
        <v>1</v>
      </c>
      <c r="CW257">
        <v>0</v>
      </c>
      <c r="CX257">
        <v>0</v>
      </c>
      <c r="CY257">
        <v>0</v>
      </c>
      <c r="CZ257">
        <v>1</v>
      </c>
      <c r="DA257">
        <v>0</v>
      </c>
    </row>
    <row r="258" spans="9:105" x14ac:dyDescent="0.25">
      <c r="I258" s="68" t="s">
        <v>2378</v>
      </c>
      <c r="AM258" s="106">
        <v>51129.773200147356</v>
      </c>
      <c r="AN258" s="257" t="s">
        <v>2379</v>
      </c>
      <c r="AZ258" s="155"/>
      <c r="BA258" s="106">
        <v>7548.7099622022515</v>
      </c>
      <c r="BB258" s="106"/>
      <c r="BD258" s="120" t="s">
        <v>2380</v>
      </c>
      <c r="BF258" s="120" t="s">
        <v>2380</v>
      </c>
      <c r="BI258" s="199">
        <v>-2845.965464197543</v>
      </c>
      <c r="BJ258" s="106"/>
      <c r="BK258" s="199">
        <v>-1798.5488876568415</v>
      </c>
      <c r="BL258" s="106"/>
      <c r="BM258" s="106">
        <v>-7788.787027731727</v>
      </c>
      <c r="BU258" s="155"/>
      <c r="CV258" s="245">
        <v>1</v>
      </c>
      <c r="CW258">
        <v>0</v>
      </c>
      <c r="CX258">
        <v>0</v>
      </c>
      <c r="CY258">
        <v>0</v>
      </c>
      <c r="CZ258">
        <v>0</v>
      </c>
      <c r="DA258">
        <v>1</v>
      </c>
    </row>
    <row r="259" spans="9:105" x14ac:dyDescent="0.25">
      <c r="I259" s="257" t="s">
        <v>2381</v>
      </c>
      <c r="J259" s="257"/>
      <c r="M259" t="s">
        <v>2354</v>
      </c>
      <c r="N259" s="256">
        <v>-346.96679159706258</v>
      </c>
      <c r="O259" s="256">
        <v>-328.59555259706264</v>
      </c>
      <c r="P259" s="256">
        <v>-310.22531359706261</v>
      </c>
      <c r="Q259" s="256">
        <v>-291.85407459706261</v>
      </c>
      <c r="R259" s="256">
        <v>-274.23683559706268</v>
      </c>
      <c r="S259" s="256">
        <v>-271.92047659432859</v>
      </c>
      <c r="T259" s="256">
        <v>-281.60157039159446</v>
      </c>
      <c r="U259" s="256">
        <v>-291.40166418886031</v>
      </c>
      <c r="V259" s="256">
        <v>-301.13410681945959</v>
      </c>
      <c r="W259" s="256">
        <v>-311.57584945005868</v>
      </c>
      <c r="X259" s="256">
        <v>-322.20079208065795</v>
      </c>
      <c r="Y259" s="256">
        <v>-325.5406453810354</v>
      </c>
      <c r="Z259" s="256">
        <v>-326.84824622686733</v>
      </c>
      <c r="AA259" s="256">
        <v>-337.2840270726993</v>
      </c>
      <c r="AB259" s="256">
        <v>-344.80120891853142</v>
      </c>
      <c r="AC259" s="256">
        <v>-361.27759851198226</v>
      </c>
      <c r="AD259" s="256">
        <v>-380.49195723876687</v>
      </c>
      <c r="AE259" s="256">
        <v>-400.1369154504826</v>
      </c>
      <c r="AF259" s="256">
        <v>-422.56857625650287</v>
      </c>
      <c r="AG259" s="256">
        <v>-434.14007092217173</v>
      </c>
      <c r="AH259" s="256">
        <v>-458.14643308687454</v>
      </c>
      <c r="AI259" s="256">
        <v>-496.87771055929505</v>
      </c>
      <c r="AJ259" s="256">
        <v>-541.25227569405376</v>
      </c>
      <c r="AK259" s="256">
        <v>-574.94393590633376</v>
      </c>
      <c r="AL259" s="256">
        <v>-582.54024822006363</v>
      </c>
      <c r="AM259" s="256">
        <v>-540.34345196051299</v>
      </c>
      <c r="AN259" s="256">
        <v>-554.43805993122248</v>
      </c>
      <c r="AO259" s="256">
        <v>-545.40362802418349</v>
      </c>
      <c r="AP259" s="256">
        <v>-534.08350279968715</v>
      </c>
      <c r="AQ259" s="256">
        <v>-544.89618784424783</v>
      </c>
      <c r="AR259" s="256">
        <v>-566.93926041623024</v>
      </c>
      <c r="AS259" s="256">
        <v>-583.2415040828331</v>
      </c>
      <c r="AX259" s="155"/>
      <c r="AY259" s="38"/>
      <c r="AZ259" s="270" t="s">
        <v>2382</v>
      </c>
      <c r="BI259" s="247">
        <v>-1925.3630114286711</v>
      </c>
      <c r="BK259" s="247">
        <v>-2513.4949423272064</v>
      </c>
      <c r="BM259" s="271" t="s">
        <v>2383</v>
      </c>
      <c r="BU259" s="155"/>
      <c r="CV259" s="245">
        <v>1</v>
      </c>
      <c r="CW259">
        <v>0</v>
      </c>
      <c r="CX259">
        <v>0</v>
      </c>
      <c r="CY259">
        <v>1</v>
      </c>
      <c r="CZ259">
        <v>0</v>
      </c>
      <c r="DA259">
        <v>0</v>
      </c>
    </row>
    <row r="260" spans="9:105" x14ac:dyDescent="0.25">
      <c r="I260" s="257" t="s">
        <v>2384</v>
      </c>
      <c r="J260" s="257"/>
      <c r="M260" t="s">
        <v>2354</v>
      </c>
      <c r="N260" s="256">
        <v>-101.87411</v>
      </c>
      <c r="O260" s="256">
        <v>-105.07211</v>
      </c>
      <c r="P260" s="256">
        <v>-103.24710999999999</v>
      </c>
      <c r="Q260" s="256">
        <v>-98.939109999999999</v>
      </c>
      <c r="R260" s="256">
        <v>-96.581109999999995</v>
      </c>
      <c r="S260" s="256">
        <v>-94.627110000000002</v>
      </c>
      <c r="T260" s="256">
        <v>-96.291110000000003</v>
      </c>
      <c r="U260" s="256">
        <v>-91.668009999999995</v>
      </c>
      <c r="V260" s="256">
        <v>-97.813659999999999</v>
      </c>
      <c r="W260" s="256">
        <v>-95.417630000000003</v>
      </c>
      <c r="X260" s="256">
        <v>-83.402940000000001</v>
      </c>
      <c r="Y260" s="256">
        <v>-88.548637142857146</v>
      </c>
      <c r="Z260" s="256">
        <v>-96.852754285714269</v>
      </c>
      <c r="AA260" s="256">
        <v>-94.998801428571426</v>
      </c>
      <c r="AB260" s="256">
        <v>-100.18073857142856</v>
      </c>
      <c r="AC260" s="256">
        <v>-95.0439057142857</v>
      </c>
      <c r="AD260" s="256">
        <v>-93.590542857142836</v>
      </c>
      <c r="AE260" s="256">
        <v>-98.942179999999993</v>
      </c>
      <c r="AF260" s="256">
        <v>-101.2808</v>
      </c>
      <c r="AG260" s="256">
        <v>-104.91920999999999</v>
      </c>
      <c r="AH260" s="256">
        <v>-110.74336</v>
      </c>
      <c r="AI260" s="256">
        <v>-109.50821000000001</v>
      </c>
      <c r="AJ260" s="256">
        <v>-109.60735</v>
      </c>
      <c r="AK260" s="256">
        <v>-106.24101</v>
      </c>
      <c r="AL260" s="256">
        <v>-101.02614</v>
      </c>
      <c r="AM260" s="256">
        <v>-104.78431999999999</v>
      </c>
      <c r="AN260" s="256">
        <v>-103.52675769230771</v>
      </c>
      <c r="AO260" s="256">
        <v>-99.625665641025634</v>
      </c>
      <c r="AP260" s="256">
        <v>-97.227153589743608</v>
      </c>
      <c r="AQ260" s="256">
        <v>-104.39229089806751</v>
      </c>
      <c r="AR260" s="256">
        <v>-103.82909526386254</v>
      </c>
      <c r="AS260" s="256">
        <v>-103.99896197374377</v>
      </c>
      <c r="AX260" s="155"/>
      <c r="AZ260" s="272" t="s">
        <v>2361</v>
      </c>
      <c r="BA260" s="106">
        <v>56059.111255238422</v>
      </c>
      <c r="BB260" s="106"/>
      <c r="BC260" s="106">
        <v>53299.424918674165</v>
      </c>
      <c r="BD260" s="106"/>
      <c r="BE260" s="243">
        <v>56668.862543475523</v>
      </c>
      <c r="BF260" s="243"/>
      <c r="BG260" s="243">
        <v>54899.735270851073</v>
      </c>
      <c r="BH260" s="238">
        <v>1769.1272726244497</v>
      </c>
      <c r="BI260" s="199">
        <v>-4771.3284756262146</v>
      </c>
      <c r="BJ260" s="238"/>
      <c r="BK260" s="199">
        <v>-4312.0438299840534</v>
      </c>
      <c r="BL260" s="238"/>
      <c r="BM260" s="106">
        <v>56059.111255238422</v>
      </c>
      <c r="BN260" s="106">
        <v>53299.424918674151</v>
      </c>
      <c r="BO260" s="106">
        <v>56280.422947487408</v>
      </c>
      <c r="BP260" s="106">
        <v>53219.747146723661</v>
      </c>
      <c r="BU260" s="155"/>
      <c r="CV260" s="245">
        <v>1</v>
      </c>
      <c r="CW260">
        <v>0</v>
      </c>
      <c r="CX260">
        <v>1</v>
      </c>
      <c r="CY260">
        <v>0</v>
      </c>
      <c r="CZ260">
        <v>0</v>
      </c>
      <c r="DA260">
        <v>0</v>
      </c>
    </row>
    <row r="261" spans="9:105" x14ac:dyDescent="0.25">
      <c r="I261" s="257" t="s">
        <v>2385</v>
      </c>
      <c r="J261" s="257"/>
      <c r="M261" t="s">
        <v>2353</v>
      </c>
      <c r="N261" s="106"/>
      <c r="O261" s="106"/>
      <c r="P261" s="106"/>
      <c r="Q261" s="106"/>
      <c r="R261" s="106"/>
      <c r="S261" s="106"/>
      <c r="T261" s="106"/>
      <c r="U261" s="106"/>
      <c r="V261" s="106"/>
      <c r="W261" s="106"/>
      <c r="X261" s="106"/>
      <c r="Y261" s="106"/>
      <c r="Z261" s="106"/>
      <c r="AA261" s="106"/>
      <c r="AB261" s="106"/>
      <c r="AC261" s="106"/>
      <c r="AD261" s="106"/>
      <c r="AE261" s="106"/>
      <c r="AF261" s="106"/>
      <c r="AG261" s="106"/>
      <c r="AH261" s="127">
        <v>893.58841115202495</v>
      </c>
      <c r="AT261" s="157"/>
      <c r="AV261" s="155"/>
      <c r="AX261" s="155"/>
      <c r="AZ261" s="273" t="s">
        <v>2362</v>
      </c>
      <c r="BA261" s="106">
        <v>1800.4864381796208</v>
      </c>
      <c r="BB261" s="106"/>
      <c r="BC261" s="106">
        <v>1606.4510542523881</v>
      </c>
      <c r="BD261" s="106"/>
      <c r="BE261" s="247">
        <v>4313.5260434514748</v>
      </c>
      <c r="BF261" s="247"/>
      <c r="BG261" s="247">
        <v>2988.0496091821256</v>
      </c>
      <c r="BH261" s="247"/>
      <c r="BI261" s="157"/>
      <c r="BM261" s="106">
        <v>1464.0785450026283</v>
      </c>
      <c r="BN261" s="106">
        <v>1301.9245734234783</v>
      </c>
      <c r="BO261" s="247">
        <v>4253.4217818702773</v>
      </c>
      <c r="BP261" s="247">
        <v>2676.9039880376617</v>
      </c>
      <c r="BU261" s="155"/>
      <c r="CV261" s="245">
        <v>1</v>
      </c>
      <c r="CW261">
        <v>0</v>
      </c>
      <c r="CX261">
        <v>0</v>
      </c>
      <c r="CY261">
        <v>0</v>
      </c>
      <c r="CZ261">
        <v>1</v>
      </c>
      <c r="DA261">
        <v>0</v>
      </c>
    </row>
    <row r="262" spans="9:105" x14ac:dyDescent="0.25">
      <c r="I262" s="257" t="s">
        <v>2386</v>
      </c>
      <c r="J262" s="257"/>
      <c r="AH262" s="274">
        <v>1.8986051700538905E-2</v>
      </c>
      <c r="AT262" s="153"/>
      <c r="AU262" s="130"/>
      <c r="AV262" s="154"/>
      <c r="AW262" s="130"/>
      <c r="AX262" s="154"/>
      <c r="AY262" s="130"/>
      <c r="AZ262" s="272" t="s">
        <v>2363</v>
      </c>
      <c r="BA262" s="275">
        <v>57859.597693418043</v>
      </c>
      <c r="BB262" s="275"/>
      <c r="BC262" s="275">
        <v>54905.875972926551</v>
      </c>
      <c r="BD262" s="275"/>
      <c r="BE262" s="276">
        <v>60982.388586926994</v>
      </c>
      <c r="BF262" s="276"/>
      <c r="BG262" s="256">
        <v>57887.784880033199</v>
      </c>
      <c r="BH262" s="277">
        <v>3094.6037068937949</v>
      </c>
      <c r="BI262" s="278"/>
      <c r="BJ262" s="277"/>
      <c r="BK262" s="277"/>
      <c r="BL262" s="277"/>
      <c r="BM262" s="275">
        <v>57523.189800241053</v>
      </c>
      <c r="BN262" s="275">
        <v>54601.34949209763</v>
      </c>
      <c r="BO262" s="275">
        <v>60533.844729357683</v>
      </c>
      <c r="BP262" s="275">
        <v>55896.65113476132</v>
      </c>
      <c r="BQ262" s="130"/>
      <c r="BR262" s="130"/>
      <c r="BS262" s="130"/>
      <c r="BT262" s="130"/>
      <c r="BU262" s="154"/>
      <c r="CV262" s="245">
        <v>1</v>
      </c>
      <c r="CW262">
        <v>0</v>
      </c>
      <c r="CX262">
        <v>0</v>
      </c>
      <c r="CY262">
        <v>1</v>
      </c>
      <c r="CZ262">
        <v>0</v>
      </c>
      <c r="DA262">
        <v>0</v>
      </c>
    </row>
    <row r="263" spans="9:105" x14ac:dyDescent="0.25">
      <c r="I263" s="257"/>
      <c r="J263" s="257"/>
      <c r="AY263" s="38" t="s">
        <v>2387</v>
      </c>
      <c r="AZ263" s="279"/>
      <c r="BD263" s="127">
        <v>-5080.3773539466565</v>
      </c>
      <c r="BH263" s="155"/>
      <c r="BI263" s="127">
        <v>-4472.1348399590788</v>
      </c>
      <c r="BQ263" s="148" t="s">
        <v>2388</v>
      </c>
      <c r="CV263" s="245">
        <v>1</v>
      </c>
      <c r="CW263">
        <v>0</v>
      </c>
      <c r="CX263">
        <v>1</v>
      </c>
      <c r="CY263">
        <v>0</v>
      </c>
      <c r="CZ263">
        <v>0</v>
      </c>
      <c r="DA263">
        <v>0</v>
      </c>
    </row>
    <row r="264" spans="9:105" x14ac:dyDescent="0.25">
      <c r="I264" s="257"/>
      <c r="J264" s="257"/>
      <c r="AY264" s="106"/>
      <c r="AZ264" s="272" t="s">
        <v>2361</v>
      </c>
      <c r="BA264" s="199">
        <v>-4262.4223139799797</v>
      </c>
      <c r="BB264" s="199"/>
      <c r="BC264" s="199">
        <v>-2530.8333267496637</v>
      </c>
      <c r="BD264" s="127">
        <v>-4774.7390840706285</v>
      </c>
      <c r="BE264" s="199">
        <v>-4927.5582190086425</v>
      </c>
      <c r="BF264" s="255">
        <v>-5184.5866460788093</v>
      </c>
      <c r="BG264" s="199">
        <v>-4378.7042025230767</v>
      </c>
      <c r="BH264" s="255">
        <v>-4546.4275673654265</v>
      </c>
      <c r="BI264" s="127">
        <v>-4285.2735650870745</v>
      </c>
      <c r="BM264" s="199">
        <v>-4262.4223139799797</v>
      </c>
      <c r="BN264" s="199">
        <v>-2530.8333267496491</v>
      </c>
      <c r="BO264" s="199">
        <v>-4539.1186230205276</v>
      </c>
      <c r="BP264" s="199">
        <v>-2698.7160783956642</v>
      </c>
      <c r="BQ264" s="148" t="s">
        <v>2389</v>
      </c>
      <c r="BR264" s="118"/>
      <c r="CV264" s="245">
        <v>1</v>
      </c>
      <c r="CW264">
        <v>1</v>
      </c>
      <c r="CX264">
        <v>0</v>
      </c>
      <c r="CY264">
        <v>0</v>
      </c>
      <c r="CZ264">
        <v>0</v>
      </c>
      <c r="DA264">
        <v>0</v>
      </c>
    </row>
    <row r="265" spans="9:105" x14ac:dyDescent="0.25">
      <c r="I265" s="257"/>
      <c r="J265" s="257"/>
      <c r="AZ265" s="273" t="s">
        <v>2362</v>
      </c>
      <c r="BA265" s="199">
        <v>252.00605194460672</v>
      </c>
      <c r="BB265" s="199"/>
      <c r="BC265" s="199">
        <v>-225.60934018308444</v>
      </c>
      <c r="BD265" s="127">
        <v>-6100.9175269349507</v>
      </c>
      <c r="BE265" s="247">
        <v>-1020.5401729882992</v>
      </c>
      <c r="BF265" s="247">
        <v>-1020.5401729882992</v>
      </c>
      <c r="BG265" s="247">
        <v>-1396.8677052418468</v>
      </c>
      <c r="BH265" s="247">
        <v>-1396.8677052418468</v>
      </c>
      <c r="BI265" s="127">
        <v>-5869.0025452009286</v>
      </c>
      <c r="BM265" s="199">
        <v>588.41394512159923</v>
      </c>
      <c r="BN265" s="199">
        <v>78.917140645825384</v>
      </c>
      <c r="BO265" s="247">
        <v>-960.43591140710168</v>
      </c>
      <c r="BP265" s="247">
        <v>-1085.722084097383</v>
      </c>
      <c r="BQ265" s="148" t="s">
        <v>2390</v>
      </c>
      <c r="BR265" s="118"/>
      <c r="CV265" s="245">
        <v>1</v>
      </c>
      <c r="CW265">
        <v>0</v>
      </c>
      <c r="CX265">
        <v>1</v>
      </c>
      <c r="CY265">
        <v>0</v>
      </c>
      <c r="CZ265">
        <v>0</v>
      </c>
      <c r="DA265">
        <v>0</v>
      </c>
    </row>
    <row r="266" spans="9:105" x14ac:dyDescent="0.25">
      <c r="I266" s="257"/>
      <c r="J266" s="257"/>
      <c r="AZ266" s="272" t="s">
        <v>2363</v>
      </c>
      <c r="BA266" s="199">
        <v>-4010.4162620353745</v>
      </c>
      <c r="BB266" s="199"/>
      <c r="BC266" s="199">
        <v>-2756.442666932744</v>
      </c>
      <c r="BD266" s="127">
        <v>-5795.2792570589227</v>
      </c>
      <c r="BE266" s="199">
        <v>-5948.0983919969367</v>
      </c>
      <c r="BF266" s="255">
        <v>-6205.1268190671035</v>
      </c>
      <c r="BG266" s="199">
        <v>-5775.5719077649264</v>
      </c>
      <c r="BH266" s="280">
        <v>-5943.2952726072763</v>
      </c>
      <c r="BI266" s="127">
        <v>-5682.1412703289243</v>
      </c>
      <c r="BM266" s="199">
        <v>-3674.0083688583836</v>
      </c>
      <c r="BN266" s="199">
        <v>-2451.9161861038228</v>
      </c>
      <c r="BO266" s="199">
        <v>-5499.5545344276252</v>
      </c>
      <c r="BP266" s="199">
        <v>-3784.4381624930465</v>
      </c>
      <c r="BQ266" s="148" t="s">
        <v>2391</v>
      </c>
      <c r="BR266" s="118"/>
      <c r="CV266" s="245">
        <v>1</v>
      </c>
      <c r="CW266">
        <v>1</v>
      </c>
      <c r="CX266">
        <v>0</v>
      </c>
      <c r="CY266">
        <v>0</v>
      </c>
      <c r="CZ266">
        <v>0</v>
      </c>
      <c r="DA266">
        <v>0</v>
      </c>
    </row>
    <row r="267" spans="9:105" x14ac:dyDescent="0.25">
      <c r="I267" s="257"/>
      <c r="J267" s="257"/>
      <c r="BC267" t="s">
        <v>23</v>
      </c>
      <c r="BD267" t="s">
        <v>23</v>
      </c>
      <c r="BE267" s="106">
        <v>33718.364507488681</v>
      </c>
      <c r="BF267" s="106">
        <v>34024.002777364702</v>
      </c>
      <c r="BG267" s="106">
        <v>32508.312469773522</v>
      </c>
      <c r="BH267" s="106">
        <v>32679.173744645523</v>
      </c>
      <c r="BI267" s="106">
        <v>37549.127043291199</v>
      </c>
      <c r="BJ267" s="106">
        <v>37389.787043291188</v>
      </c>
      <c r="BK267" s="106">
        <v>34911.462583291199</v>
      </c>
      <c r="BL267" s="106">
        <v>34899.442583291195</v>
      </c>
      <c r="CV267" s="245">
        <v>1</v>
      </c>
      <c r="CW267">
        <v>0</v>
      </c>
      <c r="CX267">
        <v>0</v>
      </c>
      <c r="CY267">
        <v>0</v>
      </c>
      <c r="CZ267">
        <v>1</v>
      </c>
      <c r="DA267">
        <v>0</v>
      </c>
    </row>
    <row r="268" spans="9:105" x14ac:dyDescent="0.25">
      <c r="I268" s="257"/>
      <c r="J268" s="257"/>
      <c r="BC268" t="s">
        <v>2392</v>
      </c>
      <c r="BD268" t="s">
        <v>2392</v>
      </c>
      <c r="BE268" s="106">
        <v>9918.1149398579528</v>
      </c>
      <c r="BF268" s="106">
        <v>9918.1149398579528</v>
      </c>
      <c r="BG268" s="106">
        <v>10620.978151548517</v>
      </c>
      <c r="BH268" s="106">
        <v>10636.978151548517</v>
      </c>
      <c r="BI268" s="106">
        <v>10202.256290282876</v>
      </c>
      <c r="BJ268" s="106">
        <v>10202.256290282876</v>
      </c>
      <c r="BK268" s="106">
        <v>12209.602638140137</v>
      </c>
      <c r="BL268" s="106">
        <v>12191.302638140138</v>
      </c>
      <c r="BM268" s="281"/>
      <c r="BN268" s="281" t="s">
        <v>2393</v>
      </c>
      <c r="BO268" s="281" t="s">
        <v>2304</v>
      </c>
      <c r="BP268" s="281"/>
      <c r="BQ268" t="s">
        <v>2394</v>
      </c>
      <c r="CV268" s="245">
        <v>0</v>
      </c>
      <c r="CW268">
        <v>0</v>
      </c>
      <c r="CX268">
        <v>0</v>
      </c>
      <c r="CY268">
        <v>0</v>
      </c>
      <c r="CZ268">
        <v>0</v>
      </c>
      <c r="DA268">
        <v>0</v>
      </c>
    </row>
    <row r="269" spans="9:105" x14ac:dyDescent="0.25">
      <c r="I269" s="257"/>
      <c r="J269" s="257"/>
      <c r="BI269" s="106">
        <v>-3830.762535802518</v>
      </c>
      <c r="BJ269" s="106">
        <v>-3365.7842659264861</v>
      </c>
      <c r="BK269" s="106">
        <v>-2403.1501135176768</v>
      </c>
      <c r="BL269" s="106">
        <v>-2220.2688386456721</v>
      </c>
      <c r="BM269" s="281" t="s">
        <v>133</v>
      </c>
      <c r="BN269" s="282">
        <v>14483.3984375</v>
      </c>
      <c r="BO269" s="282">
        <v>12898.3</v>
      </c>
      <c r="BP269" s="282">
        <v>1585.0984375000007</v>
      </c>
      <c r="BQ269" t="s">
        <v>2395</v>
      </c>
      <c r="CV269" s="245">
        <v>1</v>
      </c>
      <c r="CW269">
        <v>1</v>
      </c>
      <c r="CX269">
        <v>0</v>
      </c>
      <c r="CY269">
        <v>0</v>
      </c>
      <c r="CZ269">
        <v>0</v>
      </c>
      <c r="DA269">
        <v>0</v>
      </c>
    </row>
    <row r="270" spans="9:105" ht="15.75" thickBot="1" x14ac:dyDescent="0.3">
      <c r="CV270">
        <v>25</v>
      </c>
      <c r="CW270">
        <v>6</v>
      </c>
      <c r="CX270">
        <v>3</v>
      </c>
      <c r="CY270">
        <v>6</v>
      </c>
      <c r="CZ270">
        <v>6</v>
      </c>
      <c r="DA270">
        <v>4</v>
      </c>
    </row>
    <row r="271" spans="9:105" x14ac:dyDescent="0.25">
      <c r="AJ271" s="283"/>
      <c r="AK271" s="284"/>
      <c r="AL271" s="284"/>
      <c r="AM271" s="285">
        <v>2015</v>
      </c>
      <c r="AN271" s="285"/>
      <c r="AO271" s="285"/>
      <c r="AP271" s="285"/>
      <c r="AQ271" s="285"/>
      <c r="AR271" s="285"/>
      <c r="AS271" s="285"/>
      <c r="AT271" s="284"/>
      <c r="AU271" s="284"/>
      <c r="AV271" s="284"/>
      <c r="AW271" s="284"/>
      <c r="AX271" s="284"/>
      <c r="AY271" s="284"/>
      <c r="AZ271" s="284"/>
      <c r="BA271" s="284"/>
      <c r="BB271" s="284"/>
      <c r="BC271" s="284"/>
      <c r="BD271" s="284"/>
      <c r="BE271" s="284" t="s">
        <v>2396</v>
      </c>
      <c r="BF271" s="284"/>
      <c r="BG271" s="284"/>
      <c r="BH271" s="284"/>
      <c r="BI271" s="284"/>
      <c r="BJ271" s="284"/>
      <c r="BK271" s="284"/>
      <c r="BL271" s="284"/>
      <c r="BM271" s="284"/>
      <c r="BN271" s="284"/>
      <c r="BO271" s="284"/>
      <c r="BP271" s="284"/>
      <c r="BQ271" s="284"/>
      <c r="BR271" s="284"/>
      <c r="BS271" s="284"/>
      <c r="BT271" s="284"/>
      <c r="BU271" s="286"/>
      <c r="CX271"/>
      <c r="CY271"/>
    </row>
    <row r="272" spans="9:105" x14ac:dyDescent="0.25">
      <c r="AJ272" s="287" t="s">
        <v>2397</v>
      </c>
      <c r="AK272" s="288"/>
      <c r="AL272" s="288"/>
      <c r="AM272" s="247">
        <v>10066.265064351821</v>
      </c>
      <c r="BD272" s="106"/>
      <c r="BE272" s="289">
        <v>10046.572009116497</v>
      </c>
      <c r="BF272" s="290">
        <v>32047.829024781309</v>
      </c>
      <c r="BG272" s="289">
        <v>9068.3581764693208</v>
      </c>
      <c r="BH272" s="290">
        <v>30770.388489564146</v>
      </c>
      <c r="BM272" s="289">
        <v>10007.745782782158</v>
      </c>
      <c r="BN272" s="291">
        <v>31463.684994788036</v>
      </c>
      <c r="BP272" s="289">
        <v>10099.517880421852</v>
      </c>
      <c r="BQ272" s="291">
        <v>32987.348442383023</v>
      </c>
      <c r="BS272" s="289">
        <v>10021.561735075549</v>
      </c>
      <c r="BT272" s="291">
        <v>32402.946387997075</v>
      </c>
      <c r="BU272" s="292"/>
    </row>
    <row r="273" spans="36:105" x14ac:dyDescent="0.25">
      <c r="AJ273" s="293" t="s">
        <v>2398</v>
      </c>
      <c r="AK273" s="288"/>
      <c r="AL273" s="288"/>
      <c r="AM273" s="247">
        <v>-3474.4199192046017</v>
      </c>
      <c r="BE273" s="289">
        <v>0</v>
      </c>
      <c r="BF273" s="290">
        <v>-35</v>
      </c>
      <c r="BG273" s="289">
        <v>0</v>
      </c>
      <c r="BH273" s="290">
        <v>35</v>
      </c>
      <c r="BI273" t="s">
        <v>2399</v>
      </c>
      <c r="BM273" s="289">
        <v>-3048.2101313235607</v>
      </c>
      <c r="BN273" s="291"/>
      <c r="BP273" s="289">
        <v>-2606.0874970787859</v>
      </c>
      <c r="BQ273" s="291"/>
      <c r="BS273" s="289">
        <v>-1765.3956220540695</v>
      </c>
      <c r="BT273" s="291"/>
      <c r="BU273" s="292"/>
    </row>
    <row r="274" spans="36:105" ht="15.75" thickBot="1" x14ac:dyDescent="0.3">
      <c r="AJ274" s="293" t="s">
        <v>2400</v>
      </c>
      <c r="AK274" s="288"/>
      <c r="AL274" s="288"/>
      <c r="AM274" s="294">
        <v>6562</v>
      </c>
      <c r="BE274" s="295">
        <v>6562</v>
      </c>
      <c r="BF274" s="290">
        <v>2084.9399999999996</v>
      </c>
      <c r="BG274" s="295">
        <v>6562</v>
      </c>
      <c r="BH274" s="290">
        <v>2084.9399999999996</v>
      </c>
      <c r="BM274" s="295">
        <v>6562</v>
      </c>
      <c r="BN274" s="291">
        <v>3059.4255521</v>
      </c>
      <c r="BP274" s="295">
        <v>6562</v>
      </c>
      <c r="BQ274" s="291">
        <v>2644.2976543292202</v>
      </c>
      <c r="BS274" s="295">
        <v>6562</v>
      </c>
      <c r="BT274" s="291">
        <v>1776.8186778599099</v>
      </c>
      <c r="BU274" s="292"/>
    </row>
    <row r="275" spans="36:105" ht="15.75" thickBot="1" x14ac:dyDescent="0.3">
      <c r="AJ275" s="287" t="s">
        <v>2401</v>
      </c>
      <c r="AK275" s="288"/>
      <c r="AL275" s="288"/>
      <c r="AM275" s="247">
        <v>13153.845145147219</v>
      </c>
      <c r="BC275" s="105" t="s">
        <v>2396</v>
      </c>
      <c r="BD275" s="296" t="s">
        <v>2402</v>
      </c>
      <c r="BE275" s="297">
        <v>16608.572009116499</v>
      </c>
      <c r="BF275" s="290">
        <v>34097.769024781308</v>
      </c>
      <c r="BG275" s="298">
        <v>15630.358176469321</v>
      </c>
      <c r="BH275" s="290">
        <v>32890.328489564148</v>
      </c>
      <c r="BI275" t="s">
        <v>2403</v>
      </c>
      <c r="BL275" s="299" t="s">
        <v>2402</v>
      </c>
      <c r="BM275" s="297">
        <v>13521.535651458598</v>
      </c>
      <c r="BN275" s="291">
        <v>34523.110546888034</v>
      </c>
      <c r="BO275" s="299" t="s">
        <v>2402</v>
      </c>
      <c r="BP275" s="297">
        <v>14055.430383343066</v>
      </c>
      <c r="BQ275" s="291">
        <v>35631.64609671224</v>
      </c>
      <c r="BR275" s="299" t="s">
        <v>2402</v>
      </c>
      <c r="BS275" s="297">
        <v>14818.16611302148</v>
      </c>
      <c r="BT275" s="291">
        <v>34179.765065856984</v>
      </c>
      <c r="BU275" s="292"/>
    </row>
    <row r="276" spans="36:105" ht="15.75" thickBot="1" x14ac:dyDescent="0.3">
      <c r="AJ276" s="300"/>
      <c r="AM276" s="205">
        <v>37970.960970182488</v>
      </c>
      <c r="BC276" s="105" t="s">
        <v>2404</v>
      </c>
      <c r="BE276" s="301">
        <v>16351.54358204633</v>
      </c>
      <c r="BF276" s="290">
        <v>4252.6602589629238</v>
      </c>
      <c r="BG276" s="301">
        <v>15462.634811626971</v>
      </c>
      <c r="BH276" s="290">
        <v>3516.2374041654803</v>
      </c>
      <c r="BI276" s="106" t="s">
        <v>2405</v>
      </c>
      <c r="BU276" s="292"/>
      <c r="DA276" s="109" t="s">
        <v>2406</v>
      </c>
    </row>
    <row r="277" spans="36:105" x14ac:dyDescent="0.25">
      <c r="AJ277" s="300"/>
      <c r="AM277" s="111">
        <v>38283.960970182488</v>
      </c>
      <c r="BD277" s="302" t="s">
        <v>2407</v>
      </c>
      <c r="BE277" s="303"/>
      <c r="BF277" s="304">
        <v>38350.429283744234</v>
      </c>
      <c r="BH277" s="305">
        <v>36406.565893729625</v>
      </c>
      <c r="BL277" s="302" t="s">
        <v>2407</v>
      </c>
      <c r="BM277" s="304">
        <v>37389.153030888039</v>
      </c>
      <c r="BN277" s="205">
        <v>37389.153030888039</v>
      </c>
      <c r="BO277" s="302" t="s">
        <v>2407</v>
      </c>
      <c r="BP277" s="304">
        <v>39308.305601352717</v>
      </c>
      <c r="BQ277" s="291">
        <v>38919.239708302717</v>
      </c>
      <c r="BR277" s="302" t="s">
        <v>2407</v>
      </c>
      <c r="BS277" s="304">
        <v>38308.632818766986</v>
      </c>
      <c r="BT277" s="291">
        <v>37866.459774866984</v>
      </c>
      <c r="BU277" s="292"/>
    </row>
    <row r="278" spans="36:105" ht="15.75" thickBot="1" x14ac:dyDescent="0.3">
      <c r="AJ278" s="306"/>
      <c r="AK278" s="307"/>
      <c r="AL278" s="307"/>
      <c r="AM278" s="308">
        <v>-313</v>
      </c>
      <c r="AN278" s="307"/>
      <c r="AO278" s="307"/>
      <c r="AP278" s="307"/>
      <c r="AQ278" s="307"/>
      <c r="AR278" s="307"/>
      <c r="AS278" s="307"/>
      <c r="AT278" s="307"/>
      <c r="AU278" s="307"/>
      <c r="AV278" s="307"/>
      <c r="AW278" s="307"/>
      <c r="AX278" s="307"/>
      <c r="AY278" s="307"/>
      <c r="AZ278" s="307"/>
      <c r="BA278" s="307"/>
      <c r="BB278" s="307"/>
      <c r="BC278" s="307"/>
      <c r="BD278" s="309" t="s">
        <v>2403</v>
      </c>
      <c r="BE278" s="308"/>
      <c r="BF278" s="310">
        <v>34097.769024781308</v>
      </c>
      <c r="BG278" s="307"/>
      <c r="BH278" s="311">
        <v>32890.328489564148</v>
      </c>
      <c r="BI278" s="307"/>
      <c r="BJ278" s="307"/>
      <c r="BK278" s="307"/>
      <c r="BL278" s="309" t="s">
        <v>2403</v>
      </c>
      <c r="BM278" s="310">
        <v>34523.110546888034</v>
      </c>
      <c r="BN278" s="307"/>
      <c r="BO278" s="309" t="s">
        <v>2403</v>
      </c>
      <c r="BP278" s="310">
        <v>35631.64609671224</v>
      </c>
      <c r="BQ278" s="307"/>
      <c r="BR278" s="309" t="s">
        <v>2403</v>
      </c>
      <c r="BS278" s="310">
        <v>34179.765065856984</v>
      </c>
      <c r="BT278" s="307"/>
      <c r="BU278" s="312"/>
    </row>
    <row r="289" spans="105:105" x14ac:dyDescent="0.25">
      <c r="DA289" s="109" t="s">
        <v>2408</v>
      </c>
    </row>
    <row r="362" customFormat="1" x14ac:dyDescent="0.25"/>
    <row r="363" customFormat="1" x14ac:dyDescent="0.25"/>
    <row r="364" customFormat="1" x14ac:dyDescent="0.25"/>
    <row r="365" customFormat="1" x14ac:dyDescent="0.25"/>
    <row r="366" customFormat="1" x14ac:dyDescent="0.25"/>
    <row r="367" customFormat="1" x14ac:dyDescent="0.25"/>
    <row r="368" customFormat="1" x14ac:dyDescent="0.25"/>
    <row r="369" customFormat="1" x14ac:dyDescent="0.25"/>
    <row r="370" customFormat="1" x14ac:dyDescent="0.25"/>
    <row r="371" customFormat="1" x14ac:dyDescent="0.25"/>
    <row r="372" customFormat="1" x14ac:dyDescent="0.25"/>
    <row r="373" customFormat="1" x14ac:dyDescent="0.25"/>
    <row r="374" customFormat="1" x14ac:dyDescent="0.25"/>
    <row r="375" customFormat="1" x14ac:dyDescent="0.25"/>
    <row r="376" customFormat="1" x14ac:dyDescent="0.25"/>
    <row r="377" customFormat="1" x14ac:dyDescent="0.25"/>
    <row r="378" customFormat="1" x14ac:dyDescent="0.25"/>
    <row r="379" customFormat="1" x14ac:dyDescent="0.25"/>
    <row r="380" customFormat="1" x14ac:dyDescent="0.25"/>
    <row r="381" customFormat="1" x14ac:dyDescent="0.25"/>
    <row r="382" customFormat="1" x14ac:dyDescent="0.25"/>
    <row r="383" customFormat="1" x14ac:dyDescent="0.25"/>
    <row r="384" customFormat="1" x14ac:dyDescent="0.25"/>
    <row r="385" customFormat="1" x14ac:dyDescent="0.25"/>
    <row r="386" customFormat="1" x14ac:dyDescent="0.25"/>
    <row r="387" customFormat="1" x14ac:dyDescent="0.25"/>
    <row r="388" customFormat="1" x14ac:dyDescent="0.25"/>
    <row r="389" customFormat="1" x14ac:dyDescent="0.25"/>
    <row r="390" customFormat="1" x14ac:dyDescent="0.25"/>
    <row r="391" customFormat="1" x14ac:dyDescent="0.25"/>
    <row r="392" customFormat="1" x14ac:dyDescent="0.25"/>
    <row r="393" customFormat="1" x14ac:dyDescent="0.25"/>
    <row r="394" customFormat="1" x14ac:dyDescent="0.25"/>
    <row r="395" customFormat="1" x14ac:dyDescent="0.25"/>
    <row r="396" customFormat="1" x14ac:dyDescent="0.25"/>
    <row r="397" customFormat="1" x14ac:dyDescent="0.25"/>
    <row r="398" customFormat="1" x14ac:dyDescent="0.25"/>
    <row r="399" customFormat="1" x14ac:dyDescent="0.25"/>
    <row r="400" customFormat="1" x14ac:dyDescent="0.25"/>
    <row r="401" customFormat="1" x14ac:dyDescent="0.25"/>
    <row r="402" customFormat="1" x14ac:dyDescent="0.25"/>
    <row r="403" customFormat="1" x14ac:dyDescent="0.25"/>
    <row r="404" customFormat="1" x14ac:dyDescent="0.25"/>
    <row r="405" customFormat="1" x14ac:dyDescent="0.25"/>
    <row r="406" customFormat="1" x14ac:dyDescent="0.25"/>
    <row r="407" customFormat="1" x14ac:dyDescent="0.25"/>
    <row r="408" customFormat="1" x14ac:dyDescent="0.25"/>
    <row r="409" customFormat="1" x14ac:dyDescent="0.25"/>
    <row r="410" customFormat="1" x14ac:dyDescent="0.25"/>
    <row r="411" customFormat="1" x14ac:dyDescent="0.25"/>
    <row r="412" customFormat="1" x14ac:dyDescent="0.25"/>
    <row r="413" customFormat="1" x14ac:dyDescent="0.25"/>
    <row r="414" customFormat="1" x14ac:dyDescent="0.25"/>
    <row r="415" customFormat="1" x14ac:dyDescent="0.25"/>
    <row r="416" customFormat="1" x14ac:dyDescent="0.25"/>
    <row r="417" customFormat="1" x14ac:dyDescent="0.25"/>
    <row r="418" customFormat="1" x14ac:dyDescent="0.25"/>
    <row r="419" customFormat="1" x14ac:dyDescent="0.25"/>
    <row r="420" customFormat="1" x14ac:dyDescent="0.25"/>
    <row r="421" customFormat="1" x14ac:dyDescent="0.25"/>
    <row r="422" customFormat="1" x14ac:dyDescent="0.25"/>
    <row r="423" customFormat="1" x14ac:dyDescent="0.25"/>
    <row r="424" customFormat="1" x14ac:dyDescent="0.25"/>
    <row r="425" customFormat="1" x14ac:dyDescent="0.25"/>
    <row r="426" customFormat="1" x14ac:dyDescent="0.25"/>
    <row r="427" customFormat="1" x14ac:dyDescent="0.25"/>
    <row r="428" customFormat="1" x14ac:dyDescent="0.25"/>
    <row r="429" customFormat="1" x14ac:dyDescent="0.25"/>
    <row r="430" customFormat="1" x14ac:dyDescent="0.25"/>
    <row r="431" customFormat="1" x14ac:dyDescent="0.25"/>
    <row r="432" customFormat="1" x14ac:dyDescent="0.25"/>
    <row r="433" customFormat="1" x14ac:dyDescent="0.25"/>
    <row r="434" customFormat="1" x14ac:dyDescent="0.25"/>
    <row r="435" customFormat="1" x14ac:dyDescent="0.25"/>
    <row r="436" customFormat="1" x14ac:dyDescent="0.25"/>
    <row r="437" customFormat="1" x14ac:dyDescent="0.25"/>
    <row r="438" customFormat="1" x14ac:dyDescent="0.25"/>
    <row r="439" customFormat="1" x14ac:dyDescent="0.25"/>
    <row r="440" customFormat="1" x14ac:dyDescent="0.25"/>
    <row r="441" customFormat="1" x14ac:dyDescent="0.25"/>
    <row r="442" customFormat="1" x14ac:dyDescent="0.25"/>
    <row r="443" customFormat="1" x14ac:dyDescent="0.25"/>
    <row r="444" customFormat="1" x14ac:dyDescent="0.25"/>
    <row r="445" customFormat="1" x14ac:dyDescent="0.25"/>
    <row r="446" customFormat="1" x14ac:dyDescent="0.25"/>
    <row r="447" customFormat="1" x14ac:dyDescent="0.25"/>
    <row r="448" customFormat="1" x14ac:dyDescent="0.25"/>
    <row r="449" customFormat="1" x14ac:dyDescent="0.25"/>
    <row r="450" customFormat="1" x14ac:dyDescent="0.25"/>
    <row r="451" customFormat="1" x14ac:dyDescent="0.25"/>
    <row r="452" customFormat="1" x14ac:dyDescent="0.25"/>
    <row r="453" customFormat="1" x14ac:dyDescent="0.25"/>
    <row r="454" customFormat="1" x14ac:dyDescent="0.25"/>
    <row r="455" customFormat="1" x14ac:dyDescent="0.25"/>
    <row r="456" customFormat="1" x14ac:dyDescent="0.25"/>
    <row r="457" customFormat="1" x14ac:dyDescent="0.25"/>
    <row r="458" customFormat="1" x14ac:dyDescent="0.25"/>
    <row r="459" customFormat="1" x14ac:dyDescent="0.25"/>
    <row r="460" customFormat="1" x14ac:dyDescent="0.25"/>
    <row r="461" customFormat="1" x14ac:dyDescent="0.25"/>
    <row r="462" customFormat="1" x14ac:dyDescent="0.25"/>
    <row r="463" customFormat="1" x14ac:dyDescent="0.25"/>
    <row r="464" customFormat="1" x14ac:dyDescent="0.25"/>
    <row r="465" customFormat="1" x14ac:dyDescent="0.25"/>
    <row r="466" customFormat="1" x14ac:dyDescent="0.25"/>
    <row r="467" customFormat="1" x14ac:dyDescent="0.25"/>
    <row r="468" customFormat="1" x14ac:dyDescent="0.25"/>
    <row r="469" customFormat="1" x14ac:dyDescent="0.25"/>
  </sheetData>
  <autoFilter ref="A12:DM249" xr:uid="{00000000-0009-0000-0000-000005000000}"/>
  <mergeCells count="4">
    <mergeCell ref="ET10:ET11"/>
    <mergeCell ref="EU10:EU11"/>
    <mergeCell ref="EX10:EX11"/>
    <mergeCell ref="EY10:EY11"/>
  </mergeCells>
  <conditionalFormatting sqref="CO13:CR238">
    <cfRule type="cellIs" dxfId="0" priority="1" operator="greaterThan">
      <formula>0</formula>
    </cfRule>
  </conditionalFormatting>
  <dataValidations count="1">
    <dataValidation type="list" allowBlank="1" showInputMessage="1" showErrorMessage="1" sqref="BI8" xr:uid="{9841C16C-A694-4626-9838-C4C7E81AA4B1}">
      <formula1>$BJ$8:$BJ$10</formula1>
    </dataValidation>
  </dataValidation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630ED-F9B5-46D3-B853-9DCBABF74431}">
  <sheetPr filterMode="1">
    <tabColor theme="7" tint="0.59999389629810485"/>
  </sheetPr>
  <dimension ref="A1:BZ200"/>
  <sheetViews>
    <sheetView workbookViewId="0">
      <selection activeCell="D15" sqref="D15"/>
    </sheetView>
  </sheetViews>
  <sheetFormatPr defaultRowHeight="15" x14ac:dyDescent="0.25"/>
  <cols>
    <col min="4" max="4" width="17.5703125" customWidth="1"/>
    <col min="5" max="5" width="14.5703125" bestFit="1" customWidth="1"/>
    <col min="6" max="6" width="17.28515625" customWidth="1"/>
    <col min="7" max="7" width="38.7109375" bestFit="1" customWidth="1"/>
  </cols>
  <sheetData>
    <row r="1" spans="1:78" x14ac:dyDescent="0.25">
      <c r="A1" t="s">
        <v>530</v>
      </c>
      <c r="G1" s="68" t="s">
        <v>531</v>
      </c>
      <c r="H1" s="68">
        <f>15</f>
        <v>15</v>
      </c>
      <c r="L1" s="68" t="s">
        <v>532</v>
      </c>
    </row>
    <row r="2" spans="1:78" x14ac:dyDescent="0.25">
      <c r="A2" t="s">
        <v>533</v>
      </c>
      <c r="B2" t="s">
        <v>534</v>
      </c>
      <c r="C2" t="s">
        <v>535</v>
      </c>
      <c r="D2" t="s">
        <v>536</v>
      </c>
      <c r="E2" t="s">
        <v>537</v>
      </c>
      <c r="F2" t="s">
        <v>538</v>
      </c>
      <c r="L2" t="s">
        <v>539</v>
      </c>
      <c r="M2" t="s">
        <v>540</v>
      </c>
      <c r="N2" t="s">
        <v>533</v>
      </c>
      <c r="O2" t="s">
        <v>534</v>
      </c>
      <c r="P2" t="s">
        <v>541</v>
      </c>
      <c r="Q2" t="s">
        <v>542</v>
      </c>
      <c r="R2" t="s">
        <v>543</v>
      </c>
      <c r="S2" t="s">
        <v>544</v>
      </c>
      <c r="T2" t="s">
        <v>545</v>
      </c>
      <c r="U2" t="s">
        <v>546</v>
      </c>
      <c r="V2" t="s">
        <v>547</v>
      </c>
      <c r="W2" t="s">
        <v>548</v>
      </c>
      <c r="X2" t="s">
        <v>549</v>
      </c>
      <c r="Y2" t="s">
        <v>550</v>
      </c>
      <c r="Z2" t="s">
        <v>551</v>
      </c>
      <c r="AA2" t="s">
        <v>552</v>
      </c>
      <c r="AB2" t="s">
        <v>553</v>
      </c>
      <c r="AC2" t="s">
        <v>537</v>
      </c>
      <c r="AD2" t="s">
        <v>554</v>
      </c>
      <c r="AE2" t="s">
        <v>555</v>
      </c>
      <c r="AF2" t="s">
        <v>556</v>
      </c>
      <c r="AG2" t="s">
        <v>557</v>
      </c>
      <c r="AH2" t="s">
        <v>558</v>
      </c>
      <c r="AI2" t="s">
        <v>559</v>
      </c>
      <c r="AJ2" t="s">
        <v>560</v>
      </c>
      <c r="AK2" t="s">
        <v>561</v>
      </c>
      <c r="AL2" t="s">
        <v>562</v>
      </c>
      <c r="AM2" t="s">
        <v>563</v>
      </c>
      <c r="AN2" t="s">
        <v>564</v>
      </c>
      <c r="AO2" t="s">
        <v>565</v>
      </c>
      <c r="AP2" t="s">
        <v>566</v>
      </c>
      <c r="AQ2" t="s">
        <v>567</v>
      </c>
      <c r="AR2" t="s">
        <v>568</v>
      </c>
      <c r="AS2" t="s">
        <v>536</v>
      </c>
      <c r="AT2" t="s">
        <v>569</v>
      </c>
      <c r="AU2" t="s">
        <v>570</v>
      </c>
      <c r="AV2" t="s">
        <v>571</v>
      </c>
      <c r="AW2" t="s">
        <v>572</v>
      </c>
      <c r="AX2" t="s">
        <v>573</v>
      </c>
      <c r="AY2" t="s">
        <v>574</v>
      </c>
      <c r="AZ2" t="s">
        <v>575</v>
      </c>
      <c r="BA2" t="s">
        <v>576</v>
      </c>
      <c r="BB2" t="s">
        <v>577</v>
      </c>
      <c r="BC2" t="s">
        <v>578</v>
      </c>
      <c r="BD2" t="s">
        <v>579</v>
      </c>
      <c r="BE2" t="s">
        <v>580</v>
      </c>
      <c r="BF2" t="s">
        <v>581</v>
      </c>
      <c r="BG2" t="s">
        <v>582</v>
      </c>
      <c r="BH2" t="s">
        <v>583</v>
      </c>
      <c r="BI2" t="s">
        <v>584</v>
      </c>
      <c r="BJ2" t="s">
        <v>585</v>
      </c>
      <c r="BK2" t="s">
        <v>586</v>
      </c>
      <c r="BL2" t="s">
        <v>587</v>
      </c>
      <c r="BM2" t="s">
        <v>588</v>
      </c>
      <c r="BN2" t="s">
        <v>589</v>
      </c>
      <c r="BO2" t="s">
        <v>590</v>
      </c>
      <c r="BP2" t="s">
        <v>591</v>
      </c>
      <c r="BQ2" t="s">
        <v>592</v>
      </c>
      <c r="BR2" t="s">
        <v>593</v>
      </c>
      <c r="BS2" t="s">
        <v>594</v>
      </c>
      <c r="BT2" t="s">
        <v>595</v>
      </c>
      <c r="BU2" t="s">
        <v>596</v>
      </c>
      <c r="BV2" t="s">
        <v>597</v>
      </c>
      <c r="BW2" t="s">
        <v>598</v>
      </c>
      <c r="BX2" t="s">
        <v>599</v>
      </c>
      <c r="BY2" t="s">
        <v>600</v>
      </c>
      <c r="BZ2" t="s">
        <v>601</v>
      </c>
    </row>
    <row r="3" spans="1:78" hidden="1" x14ac:dyDescent="0.25">
      <c r="A3" t="s">
        <v>55</v>
      </c>
      <c r="B3" t="s">
        <v>54</v>
      </c>
      <c r="C3">
        <v>1</v>
      </c>
      <c r="D3" t="s">
        <v>602</v>
      </c>
      <c r="E3">
        <f>IF(C3&gt;1,AC3,2110)</f>
        <v>2110</v>
      </c>
      <c r="F3">
        <f t="shared" ref="F3:F66" si="0">IF(U3="Reduction v. BAU","",IF(U3="Other","",IF(U3="Emissions reduction target","",IF(D3="Not Specified",E3+$H$1,IF(D3="Carbon dioxide only",E3+$H$1,IF(D3="Carbon dioxide and other GHGs",E3,""))))))</f>
        <v>2125</v>
      </c>
      <c r="G3" s="16" t="s">
        <v>5</v>
      </c>
      <c r="H3" s="69">
        <v>5</v>
      </c>
      <c r="L3" t="s">
        <v>603</v>
      </c>
      <c r="M3" t="s">
        <v>604</v>
      </c>
      <c r="N3" t="s">
        <v>55</v>
      </c>
      <c r="O3" t="s">
        <v>54</v>
      </c>
      <c r="P3" t="s">
        <v>605</v>
      </c>
      <c r="Q3" t="s">
        <v>40</v>
      </c>
      <c r="S3" t="s">
        <v>606</v>
      </c>
      <c r="U3" t="s">
        <v>607</v>
      </c>
      <c r="AC3">
        <v>2050</v>
      </c>
      <c r="AD3" t="s">
        <v>12</v>
      </c>
      <c r="AE3">
        <v>2020</v>
      </c>
      <c r="AF3" t="s">
        <v>608</v>
      </c>
      <c r="AG3">
        <v>13.6</v>
      </c>
      <c r="AK3">
        <v>48.9</v>
      </c>
      <c r="AL3">
        <v>42.7</v>
      </c>
      <c r="AN3">
        <v>2030</v>
      </c>
      <c r="AO3" t="s">
        <v>609</v>
      </c>
      <c r="AP3" t="s">
        <v>610</v>
      </c>
      <c r="AQ3" t="s">
        <v>611</v>
      </c>
      <c r="AR3" t="s">
        <v>612</v>
      </c>
      <c r="AS3" t="s">
        <v>602</v>
      </c>
      <c r="AU3" t="s">
        <v>602</v>
      </c>
      <c r="AV3" t="s">
        <v>602</v>
      </c>
      <c r="AW3" t="s">
        <v>602</v>
      </c>
      <c r="AX3" t="s">
        <v>602</v>
      </c>
      <c r="AY3" t="s">
        <v>602</v>
      </c>
      <c r="AZ3" t="s">
        <v>602</v>
      </c>
      <c r="BA3" t="s">
        <v>606</v>
      </c>
      <c r="BB3" t="s">
        <v>613</v>
      </c>
      <c r="BC3" t="s">
        <v>606</v>
      </c>
      <c r="BE3" t="s">
        <v>614</v>
      </c>
      <c r="BF3" t="s">
        <v>615</v>
      </c>
      <c r="BG3" t="s">
        <v>606</v>
      </c>
      <c r="BH3" t="s">
        <v>616</v>
      </c>
      <c r="BI3" t="s">
        <v>602</v>
      </c>
      <c r="BM3" t="s">
        <v>606</v>
      </c>
      <c r="BN3" t="s">
        <v>617</v>
      </c>
      <c r="BO3" t="s">
        <v>618</v>
      </c>
      <c r="BP3" t="s">
        <v>619</v>
      </c>
      <c r="BQ3">
        <v>80911742458.689804</v>
      </c>
      <c r="BS3">
        <v>40099462</v>
      </c>
      <c r="BX3">
        <v>28790000</v>
      </c>
      <c r="BY3">
        <v>2019</v>
      </c>
      <c r="BZ3" t="s">
        <v>606</v>
      </c>
    </row>
    <row r="4" spans="1:78" hidden="1" x14ac:dyDescent="0.25">
      <c r="A4" t="s">
        <v>65</v>
      </c>
      <c r="B4" t="s">
        <v>64</v>
      </c>
      <c r="C4">
        <v>1</v>
      </c>
      <c r="D4" t="s">
        <v>620</v>
      </c>
      <c r="E4">
        <f t="shared" ref="E4:E67" si="1">IF(C4&gt;1,AC4,2110)</f>
        <v>2110</v>
      </c>
      <c r="F4">
        <f t="shared" si="0"/>
        <v>2125</v>
      </c>
      <c r="G4" s="6" t="s">
        <v>7</v>
      </c>
      <c r="H4" s="7">
        <v>4</v>
      </c>
      <c r="I4" t="s">
        <v>621</v>
      </c>
      <c r="L4" t="s">
        <v>622</v>
      </c>
      <c r="M4" t="s">
        <v>623</v>
      </c>
      <c r="N4" t="s">
        <v>65</v>
      </c>
      <c r="O4" t="s">
        <v>64</v>
      </c>
      <c r="P4" t="s">
        <v>624</v>
      </c>
      <c r="Q4" t="s">
        <v>40</v>
      </c>
      <c r="S4" t="s">
        <v>606</v>
      </c>
      <c r="U4" t="s">
        <v>607</v>
      </c>
      <c r="AC4">
        <v>2050</v>
      </c>
      <c r="AD4" t="s">
        <v>12</v>
      </c>
      <c r="AE4">
        <v>2025</v>
      </c>
      <c r="AF4" t="s">
        <v>625</v>
      </c>
      <c r="AG4">
        <v>14</v>
      </c>
      <c r="AH4">
        <v>2015</v>
      </c>
      <c r="AN4">
        <v>2025</v>
      </c>
      <c r="AO4" t="s">
        <v>626</v>
      </c>
      <c r="AP4" t="s">
        <v>627</v>
      </c>
      <c r="AR4" t="s">
        <v>628</v>
      </c>
      <c r="AS4" t="s">
        <v>620</v>
      </c>
      <c r="AU4" t="s">
        <v>602</v>
      </c>
      <c r="AV4" t="s">
        <v>602</v>
      </c>
      <c r="AW4" t="s">
        <v>602</v>
      </c>
      <c r="AX4" t="s">
        <v>602</v>
      </c>
      <c r="AY4" t="s">
        <v>602</v>
      </c>
      <c r="AZ4" t="s">
        <v>602</v>
      </c>
      <c r="BA4" t="s">
        <v>606</v>
      </c>
      <c r="BB4" t="s">
        <v>629</v>
      </c>
      <c r="BC4" t="s">
        <v>606</v>
      </c>
      <c r="BE4" t="s">
        <v>630</v>
      </c>
      <c r="BF4" t="s">
        <v>606</v>
      </c>
      <c r="BG4" t="s">
        <v>602</v>
      </c>
      <c r="BH4" t="s">
        <v>631</v>
      </c>
      <c r="BI4" t="s">
        <v>602</v>
      </c>
      <c r="BM4" t="s">
        <v>606</v>
      </c>
      <c r="BN4" t="s">
        <v>602</v>
      </c>
      <c r="BO4" t="s">
        <v>632</v>
      </c>
      <c r="BP4" t="s">
        <v>619</v>
      </c>
      <c r="BQ4">
        <v>203276473600.45999</v>
      </c>
      <c r="BS4">
        <v>34503774</v>
      </c>
      <c r="BX4">
        <v>128290000</v>
      </c>
      <c r="BY4">
        <v>2019</v>
      </c>
    </row>
    <row r="5" spans="1:78" x14ac:dyDescent="0.25">
      <c r="A5" t="s">
        <v>69</v>
      </c>
      <c r="B5" t="s">
        <v>68</v>
      </c>
      <c r="C5">
        <v>3</v>
      </c>
      <c r="D5" t="s">
        <v>633</v>
      </c>
      <c r="E5">
        <f t="shared" si="1"/>
        <v>2050</v>
      </c>
      <c r="F5">
        <f t="shared" si="0"/>
        <v>2050</v>
      </c>
      <c r="G5" s="70" t="s">
        <v>8</v>
      </c>
      <c r="H5" s="71">
        <v>3</v>
      </c>
      <c r="L5" t="s">
        <v>634</v>
      </c>
      <c r="M5" t="s">
        <v>635</v>
      </c>
      <c r="N5" t="s">
        <v>69</v>
      </c>
      <c r="O5" t="s">
        <v>68</v>
      </c>
      <c r="P5" t="s">
        <v>636</v>
      </c>
      <c r="Q5" t="s">
        <v>40</v>
      </c>
      <c r="S5" t="s">
        <v>606</v>
      </c>
      <c r="U5" t="s">
        <v>607</v>
      </c>
      <c r="AC5">
        <v>2050</v>
      </c>
      <c r="AD5" t="s">
        <v>8</v>
      </c>
      <c r="AE5">
        <v>2021</v>
      </c>
      <c r="AF5" t="s">
        <v>518</v>
      </c>
      <c r="AM5" t="s">
        <v>637</v>
      </c>
      <c r="AN5">
        <v>2030</v>
      </c>
      <c r="AO5" t="s">
        <v>638</v>
      </c>
      <c r="AP5" t="s">
        <v>639</v>
      </c>
      <c r="AQ5" t="s">
        <v>640</v>
      </c>
      <c r="AR5" t="s">
        <v>641</v>
      </c>
      <c r="AS5" t="s">
        <v>633</v>
      </c>
      <c r="AU5" t="s">
        <v>602</v>
      </c>
      <c r="AV5" t="s">
        <v>602</v>
      </c>
      <c r="AW5" t="s">
        <v>602</v>
      </c>
      <c r="AX5" t="s">
        <v>602</v>
      </c>
      <c r="AY5" t="s">
        <v>602</v>
      </c>
      <c r="AZ5" t="s">
        <v>602</v>
      </c>
      <c r="BA5" t="s">
        <v>606</v>
      </c>
      <c r="BB5" t="s">
        <v>642</v>
      </c>
      <c r="BC5" t="s">
        <v>606</v>
      </c>
      <c r="BE5" t="s">
        <v>614</v>
      </c>
      <c r="BF5" t="s">
        <v>615</v>
      </c>
      <c r="BG5" t="s">
        <v>602</v>
      </c>
      <c r="BH5" t="s">
        <v>643</v>
      </c>
      <c r="BI5" t="s">
        <v>602</v>
      </c>
      <c r="BM5" t="s">
        <v>606</v>
      </c>
      <c r="BN5" t="s">
        <v>602</v>
      </c>
      <c r="BO5" t="s">
        <v>644</v>
      </c>
      <c r="BP5" t="s">
        <v>619</v>
      </c>
      <c r="BQ5">
        <v>985205026253.53003</v>
      </c>
      <c r="BS5">
        <v>45276780</v>
      </c>
      <c r="BX5">
        <v>398910000</v>
      </c>
      <c r="BY5">
        <v>2019</v>
      </c>
    </row>
    <row r="6" spans="1:78" hidden="1" x14ac:dyDescent="0.25">
      <c r="A6" t="s">
        <v>71</v>
      </c>
      <c r="B6" t="s">
        <v>70</v>
      </c>
      <c r="C6">
        <v>1</v>
      </c>
      <c r="D6" t="s">
        <v>633</v>
      </c>
      <c r="E6">
        <f t="shared" si="1"/>
        <v>2110</v>
      </c>
      <c r="F6">
        <f t="shared" si="0"/>
        <v>2110</v>
      </c>
      <c r="G6" s="68" t="s">
        <v>10</v>
      </c>
      <c r="H6">
        <v>2</v>
      </c>
      <c r="L6" t="s">
        <v>645</v>
      </c>
      <c r="M6" t="s">
        <v>646</v>
      </c>
      <c r="N6" t="s">
        <v>71</v>
      </c>
      <c r="O6" t="s">
        <v>70</v>
      </c>
      <c r="P6" t="s">
        <v>605</v>
      </c>
      <c r="Q6" t="s">
        <v>40</v>
      </c>
      <c r="S6" t="s">
        <v>606</v>
      </c>
      <c r="U6" t="s">
        <v>607</v>
      </c>
      <c r="AC6">
        <v>2050</v>
      </c>
      <c r="AD6" t="s">
        <v>12</v>
      </c>
      <c r="AE6">
        <v>2020</v>
      </c>
      <c r="AF6" t="s">
        <v>625</v>
      </c>
      <c r="AG6">
        <v>40</v>
      </c>
      <c r="AH6">
        <v>1990</v>
      </c>
      <c r="AN6">
        <v>2030</v>
      </c>
      <c r="AO6" t="s">
        <v>647</v>
      </c>
      <c r="AP6" t="s">
        <v>648</v>
      </c>
      <c r="AQ6" t="s">
        <v>649</v>
      </c>
      <c r="AR6" t="s">
        <v>650</v>
      </c>
      <c r="AS6" t="s">
        <v>633</v>
      </c>
      <c r="AT6" t="s">
        <v>615</v>
      </c>
      <c r="AU6" t="s">
        <v>602</v>
      </c>
      <c r="AV6" t="s">
        <v>602</v>
      </c>
      <c r="AW6" t="s">
        <v>602</v>
      </c>
      <c r="AX6" t="s">
        <v>602</v>
      </c>
      <c r="AY6" t="s">
        <v>602</v>
      </c>
      <c r="AZ6" t="s">
        <v>602</v>
      </c>
      <c r="BA6" t="s">
        <v>606</v>
      </c>
      <c r="BB6" t="s">
        <v>651</v>
      </c>
      <c r="BC6" t="s">
        <v>615</v>
      </c>
      <c r="BE6" t="s">
        <v>614</v>
      </c>
      <c r="BF6" t="s">
        <v>606</v>
      </c>
      <c r="BG6" t="s">
        <v>602</v>
      </c>
      <c r="BI6" t="s">
        <v>602</v>
      </c>
      <c r="BM6" t="s">
        <v>606</v>
      </c>
      <c r="BN6" t="s">
        <v>617</v>
      </c>
      <c r="BO6" t="s">
        <v>652</v>
      </c>
      <c r="BP6" t="s">
        <v>619</v>
      </c>
      <c r="BQ6">
        <v>39527248037.080002</v>
      </c>
      <c r="BS6">
        <v>2790974</v>
      </c>
      <c r="BX6">
        <v>10000000</v>
      </c>
      <c r="BY6">
        <v>2019</v>
      </c>
    </row>
    <row r="7" spans="1:78" x14ac:dyDescent="0.25">
      <c r="A7" t="s">
        <v>653</v>
      </c>
      <c r="B7" t="s">
        <v>654</v>
      </c>
      <c r="C7">
        <v>3</v>
      </c>
      <c r="D7" t="s">
        <v>602</v>
      </c>
      <c r="E7">
        <f t="shared" si="1"/>
        <v>2040</v>
      </c>
      <c r="F7">
        <f t="shared" si="0"/>
        <v>2055</v>
      </c>
      <c r="G7" s="16" t="s">
        <v>12</v>
      </c>
      <c r="H7" s="69">
        <v>1</v>
      </c>
      <c r="I7" t="s">
        <v>621</v>
      </c>
      <c r="L7" t="s">
        <v>655</v>
      </c>
      <c r="M7" t="s">
        <v>656</v>
      </c>
      <c r="N7" t="s">
        <v>653</v>
      </c>
      <c r="O7" t="s">
        <v>654</v>
      </c>
      <c r="P7" t="s">
        <v>636</v>
      </c>
      <c r="Q7" t="s">
        <v>40</v>
      </c>
      <c r="S7" t="s">
        <v>606</v>
      </c>
      <c r="U7" t="s">
        <v>607</v>
      </c>
      <c r="AC7">
        <v>2040</v>
      </c>
      <c r="AD7" t="s">
        <v>8</v>
      </c>
      <c r="AE7">
        <v>2020</v>
      </c>
      <c r="AF7" t="s">
        <v>518</v>
      </c>
      <c r="AM7" t="s">
        <v>657</v>
      </c>
      <c r="AN7">
        <v>2030</v>
      </c>
      <c r="AO7" t="s">
        <v>658</v>
      </c>
      <c r="AP7" t="s">
        <v>659</v>
      </c>
      <c r="AR7" t="s">
        <v>660</v>
      </c>
      <c r="AS7" t="s">
        <v>602</v>
      </c>
      <c r="AU7" t="s">
        <v>602</v>
      </c>
      <c r="AV7" t="s">
        <v>602</v>
      </c>
      <c r="AW7" t="s">
        <v>602</v>
      </c>
      <c r="AX7" t="s">
        <v>602</v>
      </c>
      <c r="AY7" t="s">
        <v>602</v>
      </c>
      <c r="AZ7" t="s">
        <v>602</v>
      </c>
      <c r="BA7" t="s">
        <v>606</v>
      </c>
      <c r="BC7" t="s">
        <v>606</v>
      </c>
      <c r="BE7" t="s">
        <v>614</v>
      </c>
      <c r="BF7" t="s">
        <v>615</v>
      </c>
      <c r="BG7" t="s">
        <v>606</v>
      </c>
      <c r="BH7" t="s">
        <v>661</v>
      </c>
      <c r="BI7" t="s">
        <v>602</v>
      </c>
      <c r="BM7" t="s">
        <v>606</v>
      </c>
      <c r="BN7" t="s">
        <v>602</v>
      </c>
      <c r="BO7" t="s">
        <v>662</v>
      </c>
      <c r="BP7" t="s">
        <v>619</v>
      </c>
      <c r="BQ7">
        <v>1782760254.7237</v>
      </c>
      <c r="BS7">
        <v>93220</v>
      </c>
      <c r="BX7">
        <v>1220000</v>
      </c>
      <c r="BY7">
        <v>2019</v>
      </c>
    </row>
    <row r="8" spans="1:78" x14ac:dyDescent="0.25">
      <c r="A8" t="s">
        <v>77</v>
      </c>
      <c r="B8" t="s">
        <v>76</v>
      </c>
      <c r="C8">
        <v>4</v>
      </c>
      <c r="D8" t="s">
        <v>633</v>
      </c>
      <c r="E8">
        <f t="shared" si="1"/>
        <v>2040</v>
      </c>
      <c r="F8">
        <f t="shared" si="0"/>
        <v>2040</v>
      </c>
      <c r="G8" s="16" t="s">
        <v>17</v>
      </c>
      <c r="H8" s="69">
        <v>0</v>
      </c>
      <c r="L8" t="s">
        <v>663</v>
      </c>
      <c r="M8" t="s">
        <v>664</v>
      </c>
      <c r="N8" t="s">
        <v>77</v>
      </c>
      <c r="O8" t="s">
        <v>76</v>
      </c>
      <c r="P8" t="s">
        <v>665</v>
      </c>
      <c r="Q8" t="s">
        <v>40</v>
      </c>
      <c r="S8" t="s">
        <v>606</v>
      </c>
      <c r="U8" t="s">
        <v>666</v>
      </c>
      <c r="AC8">
        <v>2040</v>
      </c>
      <c r="AD8" t="s">
        <v>667</v>
      </c>
      <c r="AE8">
        <v>2021</v>
      </c>
      <c r="AF8" t="s">
        <v>625</v>
      </c>
      <c r="AG8">
        <v>55</v>
      </c>
      <c r="AH8">
        <v>1990</v>
      </c>
      <c r="AN8">
        <v>2030</v>
      </c>
      <c r="AO8" t="s">
        <v>668</v>
      </c>
      <c r="AP8" t="s">
        <v>669</v>
      </c>
      <c r="AQ8" t="s">
        <v>670</v>
      </c>
      <c r="AR8" t="s">
        <v>671</v>
      </c>
      <c r="AS8" t="s">
        <v>633</v>
      </c>
      <c r="AT8" t="s">
        <v>615</v>
      </c>
      <c r="AU8" t="s">
        <v>602</v>
      </c>
      <c r="AV8" t="s">
        <v>615</v>
      </c>
      <c r="AW8" t="s">
        <v>615</v>
      </c>
      <c r="AX8" t="s">
        <v>602</v>
      </c>
      <c r="AY8" t="s">
        <v>602</v>
      </c>
      <c r="AZ8" t="s">
        <v>602</v>
      </c>
      <c r="BA8" t="s">
        <v>606</v>
      </c>
      <c r="BB8" t="s">
        <v>672</v>
      </c>
      <c r="BC8" t="s">
        <v>615</v>
      </c>
      <c r="BD8" t="s">
        <v>673</v>
      </c>
      <c r="BE8" t="s">
        <v>674</v>
      </c>
      <c r="BF8" t="s">
        <v>615</v>
      </c>
      <c r="BG8" t="s">
        <v>602</v>
      </c>
      <c r="BH8" t="s">
        <v>675</v>
      </c>
      <c r="BI8" t="s">
        <v>602</v>
      </c>
      <c r="BM8" t="s">
        <v>615</v>
      </c>
      <c r="BN8" t="s">
        <v>676</v>
      </c>
      <c r="BO8" t="s">
        <v>677</v>
      </c>
      <c r="BP8" t="s">
        <v>619</v>
      </c>
      <c r="BQ8">
        <v>483142221653.78003</v>
      </c>
      <c r="BS8">
        <v>8922082</v>
      </c>
      <c r="BX8">
        <v>69800000</v>
      </c>
      <c r="BY8">
        <v>2019</v>
      </c>
    </row>
    <row r="9" spans="1:78" x14ac:dyDescent="0.25">
      <c r="A9" t="s">
        <v>91</v>
      </c>
      <c r="B9" t="s">
        <v>90</v>
      </c>
      <c r="C9">
        <v>3</v>
      </c>
      <c r="D9" t="s">
        <v>633</v>
      </c>
      <c r="E9">
        <f t="shared" si="1"/>
        <v>2050</v>
      </c>
      <c r="F9">
        <f t="shared" si="0"/>
        <v>2050</v>
      </c>
      <c r="G9" s="6"/>
      <c r="H9" s="7"/>
      <c r="L9" t="s">
        <v>678</v>
      </c>
      <c r="M9" t="s">
        <v>679</v>
      </c>
      <c r="N9" t="s">
        <v>91</v>
      </c>
      <c r="O9" t="s">
        <v>90</v>
      </c>
      <c r="P9" t="s">
        <v>665</v>
      </c>
      <c r="Q9" t="s">
        <v>40</v>
      </c>
      <c r="S9" t="s">
        <v>606</v>
      </c>
      <c r="U9" t="s">
        <v>680</v>
      </c>
      <c r="AC9">
        <v>2050</v>
      </c>
      <c r="AD9" t="s">
        <v>8</v>
      </c>
      <c r="AE9">
        <v>2020</v>
      </c>
      <c r="AF9" t="s">
        <v>625</v>
      </c>
      <c r="AG9">
        <v>55</v>
      </c>
      <c r="AH9">
        <v>1990</v>
      </c>
      <c r="AN9">
        <v>2030</v>
      </c>
      <c r="AQ9" t="s">
        <v>681</v>
      </c>
      <c r="AR9" t="s">
        <v>682</v>
      </c>
      <c r="AS9" t="s">
        <v>633</v>
      </c>
      <c r="AT9" t="s">
        <v>615</v>
      </c>
      <c r="AU9" t="s">
        <v>615</v>
      </c>
      <c r="AV9" t="s">
        <v>602</v>
      </c>
      <c r="AW9" t="s">
        <v>602</v>
      </c>
      <c r="AX9" t="s">
        <v>602</v>
      </c>
      <c r="AY9" t="s">
        <v>602</v>
      </c>
      <c r="AZ9" t="s">
        <v>602</v>
      </c>
      <c r="BA9" t="s">
        <v>606</v>
      </c>
      <c r="BC9" t="s">
        <v>615</v>
      </c>
      <c r="BD9" t="s">
        <v>683</v>
      </c>
      <c r="BE9" t="s">
        <v>674</v>
      </c>
      <c r="BF9" t="s">
        <v>615</v>
      </c>
      <c r="BG9" t="s">
        <v>615</v>
      </c>
      <c r="BH9" t="s">
        <v>684</v>
      </c>
      <c r="BI9" t="s">
        <v>602</v>
      </c>
      <c r="BM9" t="s">
        <v>606</v>
      </c>
      <c r="BN9" t="s">
        <v>602</v>
      </c>
      <c r="BO9" t="s">
        <v>685</v>
      </c>
      <c r="BP9" t="s">
        <v>619</v>
      </c>
      <c r="BQ9">
        <v>597956586503.62</v>
      </c>
      <c r="BS9">
        <v>11611420</v>
      </c>
      <c r="BX9">
        <v>108220000</v>
      </c>
      <c r="BY9">
        <v>2019</v>
      </c>
    </row>
    <row r="10" spans="1:78" hidden="1" x14ac:dyDescent="0.25">
      <c r="A10" t="s">
        <v>95</v>
      </c>
      <c r="B10" t="s">
        <v>94</v>
      </c>
      <c r="C10">
        <v>5</v>
      </c>
      <c r="D10" t="s">
        <v>633</v>
      </c>
      <c r="E10">
        <f t="shared" si="1"/>
        <v>2000</v>
      </c>
      <c r="F10">
        <f t="shared" si="0"/>
        <v>2000</v>
      </c>
      <c r="L10" t="s">
        <v>686</v>
      </c>
      <c r="M10" t="s">
        <v>687</v>
      </c>
      <c r="N10" t="s">
        <v>95</v>
      </c>
      <c r="O10" t="s">
        <v>94</v>
      </c>
      <c r="P10" t="s">
        <v>624</v>
      </c>
      <c r="Q10" t="s">
        <v>40</v>
      </c>
      <c r="S10" t="s">
        <v>606</v>
      </c>
      <c r="U10" t="s">
        <v>607</v>
      </c>
      <c r="AC10">
        <v>2000</v>
      </c>
      <c r="AD10" t="s">
        <v>5</v>
      </c>
      <c r="AE10">
        <v>2020</v>
      </c>
      <c r="AF10" t="s">
        <v>608</v>
      </c>
      <c r="AG10">
        <v>20.149999999999999</v>
      </c>
      <c r="AK10">
        <v>193.23</v>
      </c>
      <c r="AL10">
        <v>241.98</v>
      </c>
      <c r="AO10" t="s">
        <v>688</v>
      </c>
      <c r="AP10" t="s">
        <v>689</v>
      </c>
      <c r="AQ10" t="s">
        <v>690</v>
      </c>
      <c r="AR10" t="s">
        <v>691</v>
      </c>
      <c r="AS10" t="s">
        <v>633</v>
      </c>
      <c r="AU10" t="s">
        <v>606</v>
      </c>
      <c r="AV10" t="s">
        <v>606</v>
      </c>
      <c r="AW10" t="s">
        <v>606</v>
      </c>
      <c r="AX10" t="s">
        <v>602</v>
      </c>
      <c r="AY10" t="s">
        <v>602</v>
      </c>
      <c r="AZ10" t="s">
        <v>602</v>
      </c>
      <c r="BA10" t="s">
        <v>606</v>
      </c>
      <c r="BB10" t="s">
        <v>692</v>
      </c>
      <c r="BC10" t="s">
        <v>615</v>
      </c>
      <c r="BE10" t="s">
        <v>614</v>
      </c>
      <c r="BF10" t="s">
        <v>615</v>
      </c>
      <c r="BG10" t="s">
        <v>602</v>
      </c>
      <c r="BH10" t="s">
        <v>693</v>
      </c>
      <c r="BI10" t="s">
        <v>602</v>
      </c>
      <c r="BM10" t="s">
        <v>606</v>
      </c>
      <c r="BN10" t="s">
        <v>602</v>
      </c>
      <c r="BP10" t="s">
        <v>619</v>
      </c>
      <c r="BQ10">
        <v>42946089683.961998</v>
      </c>
      <c r="BS10">
        <v>12996895</v>
      </c>
      <c r="BX10">
        <v>25780000</v>
      </c>
      <c r="BY10">
        <v>2019</v>
      </c>
    </row>
    <row r="11" spans="1:78" hidden="1" x14ac:dyDescent="0.25">
      <c r="A11" t="s">
        <v>113</v>
      </c>
      <c r="B11" t="s">
        <v>112</v>
      </c>
      <c r="C11">
        <v>1</v>
      </c>
      <c r="D11" t="s">
        <v>602</v>
      </c>
      <c r="E11">
        <f t="shared" si="1"/>
        <v>2110</v>
      </c>
      <c r="F11">
        <f t="shared" si="0"/>
        <v>2125</v>
      </c>
      <c r="L11" t="s">
        <v>694</v>
      </c>
      <c r="M11" t="s">
        <v>695</v>
      </c>
      <c r="N11" t="s">
        <v>113</v>
      </c>
      <c r="O11" t="s">
        <v>112</v>
      </c>
      <c r="P11" t="s">
        <v>624</v>
      </c>
      <c r="Q11" t="s">
        <v>40</v>
      </c>
      <c r="S11" t="s">
        <v>606</v>
      </c>
      <c r="U11" t="s">
        <v>607</v>
      </c>
      <c r="AC11">
        <v>2050</v>
      </c>
      <c r="AD11" t="s">
        <v>12</v>
      </c>
      <c r="AF11" t="s">
        <v>608</v>
      </c>
      <c r="AG11">
        <v>11.6</v>
      </c>
      <c r="AK11">
        <v>104.577</v>
      </c>
      <c r="AL11">
        <v>118.32299999999999</v>
      </c>
      <c r="AN11">
        <v>2030</v>
      </c>
      <c r="AO11" t="s">
        <v>696</v>
      </c>
      <c r="AP11" t="s">
        <v>697</v>
      </c>
      <c r="AR11" t="s">
        <v>612</v>
      </c>
      <c r="AS11" t="s">
        <v>602</v>
      </c>
      <c r="AU11" t="s">
        <v>602</v>
      </c>
      <c r="AV11" t="s">
        <v>602</v>
      </c>
      <c r="AW11" t="s">
        <v>602</v>
      </c>
      <c r="AX11" t="s">
        <v>602</v>
      </c>
      <c r="AY11" t="s">
        <v>602</v>
      </c>
      <c r="AZ11" t="s">
        <v>602</v>
      </c>
      <c r="BA11" t="s">
        <v>606</v>
      </c>
      <c r="BC11" t="s">
        <v>606</v>
      </c>
      <c r="BE11" t="s">
        <v>614</v>
      </c>
      <c r="BF11" t="s">
        <v>615</v>
      </c>
      <c r="BG11" t="s">
        <v>606</v>
      </c>
      <c r="BI11" t="s">
        <v>602</v>
      </c>
      <c r="BM11" t="s">
        <v>606</v>
      </c>
      <c r="BN11" t="s">
        <v>617</v>
      </c>
      <c r="BP11" t="s">
        <v>619</v>
      </c>
      <c r="BQ11">
        <v>48174826550.441002</v>
      </c>
      <c r="BS11">
        <v>22100684</v>
      </c>
      <c r="BX11">
        <v>56310000</v>
      </c>
      <c r="BY11">
        <v>2019</v>
      </c>
      <c r="BZ11" t="s">
        <v>606</v>
      </c>
    </row>
    <row r="12" spans="1:78" hidden="1" x14ac:dyDescent="0.25">
      <c r="A12" t="s">
        <v>85</v>
      </c>
      <c r="B12" t="s">
        <v>84</v>
      </c>
      <c r="C12">
        <v>1</v>
      </c>
      <c r="D12" t="s">
        <v>633</v>
      </c>
      <c r="E12">
        <f t="shared" si="1"/>
        <v>2110</v>
      </c>
      <c r="F12">
        <f t="shared" si="0"/>
        <v>2110</v>
      </c>
      <c r="L12" t="s">
        <v>698</v>
      </c>
      <c r="M12" t="s">
        <v>699</v>
      </c>
      <c r="N12" t="s">
        <v>85</v>
      </c>
      <c r="O12" t="s">
        <v>84</v>
      </c>
      <c r="P12" t="s">
        <v>700</v>
      </c>
      <c r="Q12" t="s">
        <v>40</v>
      </c>
      <c r="S12" t="s">
        <v>606</v>
      </c>
      <c r="U12" t="s">
        <v>607</v>
      </c>
      <c r="AC12">
        <v>2050</v>
      </c>
      <c r="AD12" t="s">
        <v>12</v>
      </c>
      <c r="AE12">
        <v>2019</v>
      </c>
      <c r="AF12" t="s">
        <v>608</v>
      </c>
      <c r="AG12">
        <v>6.73</v>
      </c>
      <c r="AK12">
        <v>141.4</v>
      </c>
      <c r="AL12">
        <v>169.05</v>
      </c>
      <c r="AN12">
        <v>2030</v>
      </c>
      <c r="AO12" t="s">
        <v>701</v>
      </c>
      <c r="AP12" t="s">
        <v>702</v>
      </c>
      <c r="AQ12" t="s">
        <v>703</v>
      </c>
      <c r="AR12" t="s">
        <v>704</v>
      </c>
      <c r="AS12" t="s">
        <v>633</v>
      </c>
      <c r="AU12" t="s">
        <v>602</v>
      </c>
      <c r="AV12" t="s">
        <v>602</v>
      </c>
      <c r="AW12" t="s">
        <v>602</v>
      </c>
      <c r="AX12" t="s">
        <v>602</v>
      </c>
      <c r="AY12" t="s">
        <v>602</v>
      </c>
      <c r="AZ12" t="s">
        <v>602</v>
      </c>
      <c r="BA12" t="s">
        <v>606</v>
      </c>
      <c r="BB12" t="s">
        <v>705</v>
      </c>
      <c r="BC12" t="s">
        <v>606</v>
      </c>
      <c r="BE12" t="s">
        <v>614</v>
      </c>
      <c r="BF12" t="s">
        <v>615</v>
      </c>
      <c r="BG12" t="s">
        <v>606</v>
      </c>
      <c r="BH12" t="s">
        <v>706</v>
      </c>
      <c r="BI12" t="s">
        <v>602</v>
      </c>
      <c r="BM12" t="s">
        <v>606</v>
      </c>
      <c r="BN12" t="s">
        <v>602</v>
      </c>
      <c r="BP12" t="s">
        <v>619</v>
      </c>
      <c r="BQ12">
        <v>1001067000655.9</v>
      </c>
      <c r="BS12">
        <v>169356251</v>
      </c>
      <c r="BX12">
        <v>237700000</v>
      </c>
      <c r="BY12">
        <v>2019</v>
      </c>
    </row>
    <row r="13" spans="1:78" hidden="1" x14ac:dyDescent="0.25">
      <c r="A13" t="s">
        <v>707</v>
      </c>
      <c r="B13" t="s">
        <v>80</v>
      </c>
      <c r="C13">
        <v>1</v>
      </c>
      <c r="D13" t="s">
        <v>633</v>
      </c>
      <c r="E13">
        <f t="shared" si="1"/>
        <v>2110</v>
      </c>
      <c r="F13">
        <f t="shared" si="0"/>
        <v>2110</v>
      </c>
      <c r="L13" t="s">
        <v>708</v>
      </c>
      <c r="M13" t="s">
        <v>709</v>
      </c>
      <c r="N13" t="s">
        <v>707</v>
      </c>
      <c r="O13" t="s">
        <v>80</v>
      </c>
      <c r="P13" t="s">
        <v>636</v>
      </c>
      <c r="Q13" t="s">
        <v>40</v>
      </c>
      <c r="S13" t="s">
        <v>606</v>
      </c>
      <c r="U13" t="s">
        <v>607</v>
      </c>
      <c r="AC13">
        <v>2050</v>
      </c>
      <c r="AD13" t="s">
        <v>12</v>
      </c>
      <c r="AE13">
        <v>2020</v>
      </c>
      <c r="AF13" t="s">
        <v>608</v>
      </c>
      <c r="AG13">
        <v>30</v>
      </c>
      <c r="AK13">
        <v>1</v>
      </c>
      <c r="AL13">
        <v>1</v>
      </c>
      <c r="AN13">
        <v>2030</v>
      </c>
      <c r="AO13" t="s">
        <v>710</v>
      </c>
      <c r="AP13" t="s">
        <v>711</v>
      </c>
      <c r="AR13" t="s">
        <v>712</v>
      </c>
      <c r="AS13" t="s">
        <v>633</v>
      </c>
      <c r="AT13" t="s">
        <v>602</v>
      </c>
      <c r="AU13" t="s">
        <v>602</v>
      </c>
      <c r="AV13" t="s">
        <v>602</v>
      </c>
      <c r="AW13" t="s">
        <v>602</v>
      </c>
      <c r="BB13" t="s">
        <v>713</v>
      </c>
      <c r="BC13" t="s">
        <v>615</v>
      </c>
      <c r="BE13" t="s">
        <v>614</v>
      </c>
      <c r="BH13" t="s">
        <v>714</v>
      </c>
      <c r="BI13" t="s">
        <v>615</v>
      </c>
      <c r="BJ13" t="s">
        <v>715</v>
      </c>
      <c r="BM13" t="s">
        <v>606</v>
      </c>
      <c r="BN13" t="s">
        <v>617</v>
      </c>
      <c r="BO13" t="s">
        <v>716</v>
      </c>
      <c r="BP13" t="s">
        <v>619</v>
      </c>
      <c r="BQ13">
        <v>12322906040.607</v>
      </c>
      <c r="BS13">
        <v>407906</v>
      </c>
      <c r="BX13">
        <v>3180000</v>
      </c>
      <c r="BY13">
        <v>2019</v>
      </c>
    </row>
    <row r="14" spans="1:78" x14ac:dyDescent="0.25">
      <c r="A14" t="s">
        <v>93</v>
      </c>
      <c r="B14" t="s">
        <v>92</v>
      </c>
      <c r="C14">
        <v>3</v>
      </c>
      <c r="D14" t="s">
        <v>633</v>
      </c>
      <c r="E14">
        <f t="shared" si="1"/>
        <v>2050</v>
      </c>
      <c r="F14">
        <f t="shared" si="0"/>
        <v>2050</v>
      </c>
      <c r="L14" t="s">
        <v>717</v>
      </c>
      <c r="M14" t="s">
        <v>718</v>
      </c>
      <c r="N14" t="s">
        <v>93</v>
      </c>
      <c r="O14" t="s">
        <v>92</v>
      </c>
      <c r="P14" t="s">
        <v>636</v>
      </c>
      <c r="Q14" t="s">
        <v>40</v>
      </c>
      <c r="S14" t="s">
        <v>606</v>
      </c>
      <c r="U14" t="s">
        <v>607</v>
      </c>
      <c r="AC14">
        <v>2050</v>
      </c>
      <c r="AD14" t="s">
        <v>8</v>
      </c>
      <c r="AE14">
        <v>2021</v>
      </c>
      <c r="AF14" t="s">
        <v>518</v>
      </c>
      <c r="AM14" t="s">
        <v>719</v>
      </c>
      <c r="AN14">
        <v>2030</v>
      </c>
      <c r="AO14" t="s">
        <v>720</v>
      </c>
      <c r="AP14" t="s">
        <v>721</v>
      </c>
      <c r="AQ14" t="s">
        <v>722</v>
      </c>
      <c r="AR14" t="s">
        <v>723</v>
      </c>
      <c r="AS14" t="s">
        <v>633</v>
      </c>
      <c r="AT14" t="s">
        <v>602</v>
      </c>
      <c r="AU14" t="s">
        <v>602</v>
      </c>
      <c r="AV14" t="s">
        <v>602</v>
      </c>
      <c r="AW14" t="s">
        <v>602</v>
      </c>
      <c r="AX14" t="s">
        <v>602</v>
      </c>
      <c r="AY14" t="s">
        <v>602</v>
      </c>
      <c r="AZ14" t="s">
        <v>602</v>
      </c>
      <c r="BA14" t="s">
        <v>606</v>
      </c>
      <c r="BB14" t="s">
        <v>724</v>
      </c>
      <c r="BC14" t="s">
        <v>615</v>
      </c>
      <c r="BD14" t="s">
        <v>725</v>
      </c>
      <c r="BE14" t="s">
        <v>614</v>
      </c>
      <c r="BF14" t="s">
        <v>615</v>
      </c>
      <c r="BG14" t="s">
        <v>606</v>
      </c>
      <c r="BH14" t="s">
        <v>726</v>
      </c>
      <c r="BI14" t="s">
        <v>602</v>
      </c>
      <c r="BM14" t="s">
        <v>615</v>
      </c>
      <c r="BN14" t="s">
        <v>617</v>
      </c>
      <c r="BO14" t="s">
        <v>727</v>
      </c>
      <c r="BQ14">
        <v>2551075625.9218998</v>
      </c>
      <c r="BS14">
        <v>400031</v>
      </c>
      <c r="BX14">
        <v>6850000</v>
      </c>
      <c r="BY14">
        <v>2019</v>
      </c>
    </row>
    <row r="15" spans="1:78" x14ac:dyDescent="0.25">
      <c r="A15" t="s">
        <v>87</v>
      </c>
      <c r="B15" t="s">
        <v>86</v>
      </c>
      <c r="C15">
        <v>3</v>
      </c>
      <c r="D15" t="s">
        <v>633</v>
      </c>
      <c r="E15">
        <f t="shared" si="1"/>
        <v>2030</v>
      </c>
      <c r="F15">
        <f t="shared" si="0"/>
        <v>2030</v>
      </c>
      <c r="L15" t="s">
        <v>728</v>
      </c>
      <c r="M15" t="s">
        <v>729</v>
      </c>
      <c r="N15" t="s">
        <v>87</v>
      </c>
      <c r="O15" t="s">
        <v>86</v>
      </c>
      <c r="P15" t="s">
        <v>636</v>
      </c>
      <c r="Q15" t="s">
        <v>40</v>
      </c>
      <c r="S15" t="s">
        <v>606</v>
      </c>
      <c r="U15" t="s">
        <v>680</v>
      </c>
      <c r="AC15">
        <v>2030</v>
      </c>
      <c r="AD15" t="s">
        <v>8</v>
      </c>
      <c r="AE15">
        <v>2021</v>
      </c>
      <c r="AF15" t="s">
        <v>608</v>
      </c>
      <c r="AG15">
        <v>20</v>
      </c>
      <c r="AK15">
        <v>1504.8</v>
      </c>
      <c r="AL15">
        <v>1881</v>
      </c>
      <c r="AN15">
        <v>2025</v>
      </c>
      <c r="AO15" t="s">
        <v>730</v>
      </c>
      <c r="AP15" t="s">
        <v>731</v>
      </c>
      <c r="AQ15" t="s">
        <v>732</v>
      </c>
      <c r="AR15" t="s">
        <v>733</v>
      </c>
      <c r="AS15" t="s">
        <v>633</v>
      </c>
      <c r="AT15" t="s">
        <v>615</v>
      </c>
      <c r="AU15" t="s">
        <v>602</v>
      </c>
      <c r="AV15" t="s">
        <v>602</v>
      </c>
      <c r="AW15" t="s">
        <v>602</v>
      </c>
      <c r="AX15" t="s">
        <v>602</v>
      </c>
      <c r="AY15" t="s">
        <v>602</v>
      </c>
      <c r="AZ15" t="s">
        <v>602</v>
      </c>
      <c r="BA15" t="s">
        <v>606</v>
      </c>
      <c r="BB15" t="s">
        <v>734</v>
      </c>
      <c r="BC15" t="s">
        <v>615</v>
      </c>
      <c r="BD15" t="s">
        <v>735</v>
      </c>
      <c r="BE15" t="s">
        <v>614</v>
      </c>
      <c r="BF15" t="s">
        <v>615</v>
      </c>
      <c r="BG15" t="s">
        <v>602</v>
      </c>
      <c r="BH15" t="s">
        <v>736</v>
      </c>
      <c r="BI15" t="s">
        <v>602</v>
      </c>
      <c r="BM15" t="s">
        <v>606</v>
      </c>
      <c r="BN15" t="s">
        <v>617</v>
      </c>
      <c r="BO15" t="s">
        <v>737</v>
      </c>
      <c r="BP15" t="s">
        <v>619</v>
      </c>
      <c r="BQ15">
        <v>3880347110.6956</v>
      </c>
      <c r="BS15">
        <v>281200</v>
      </c>
      <c r="BX15">
        <v>3790000</v>
      </c>
      <c r="BY15">
        <v>2019</v>
      </c>
    </row>
    <row r="16" spans="1:78" x14ac:dyDescent="0.25">
      <c r="A16" t="s">
        <v>99</v>
      </c>
      <c r="B16" t="s">
        <v>98</v>
      </c>
      <c r="C16">
        <v>5</v>
      </c>
      <c r="D16" t="s">
        <v>633</v>
      </c>
      <c r="E16">
        <f t="shared" si="1"/>
        <v>2030</v>
      </c>
      <c r="F16">
        <f t="shared" si="0"/>
        <v>2030</v>
      </c>
      <c r="L16" t="s">
        <v>738</v>
      </c>
      <c r="M16" t="s">
        <v>739</v>
      </c>
      <c r="N16" t="s">
        <v>99</v>
      </c>
      <c r="O16" t="s">
        <v>98</v>
      </c>
      <c r="P16" t="s">
        <v>700</v>
      </c>
      <c r="Q16" t="s">
        <v>40</v>
      </c>
      <c r="S16" t="s">
        <v>606</v>
      </c>
      <c r="U16" t="s">
        <v>740</v>
      </c>
      <c r="AC16">
        <v>2030</v>
      </c>
      <c r="AD16" t="s">
        <v>5</v>
      </c>
      <c r="AE16">
        <v>2020</v>
      </c>
      <c r="AF16" t="s">
        <v>518</v>
      </c>
      <c r="AM16" t="s">
        <v>741</v>
      </c>
      <c r="AN16">
        <v>2050</v>
      </c>
      <c r="AO16" t="s">
        <v>742</v>
      </c>
      <c r="AP16" t="s">
        <v>743</v>
      </c>
      <c r="AQ16" t="s">
        <v>744</v>
      </c>
      <c r="AR16" t="s">
        <v>745</v>
      </c>
      <c r="AS16" t="s">
        <v>633</v>
      </c>
      <c r="AT16" t="s">
        <v>602</v>
      </c>
      <c r="AU16" t="s">
        <v>602</v>
      </c>
      <c r="AV16" t="s">
        <v>602</v>
      </c>
      <c r="AW16" t="s">
        <v>602</v>
      </c>
      <c r="AX16" t="s">
        <v>602</v>
      </c>
      <c r="AY16" t="s">
        <v>602</v>
      </c>
      <c r="AZ16" t="s">
        <v>602</v>
      </c>
      <c r="BA16" t="s">
        <v>606</v>
      </c>
      <c r="BC16" t="s">
        <v>615</v>
      </c>
      <c r="BD16" t="s">
        <v>746</v>
      </c>
      <c r="BE16" t="s">
        <v>614</v>
      </c>
      <c r="BF16" t="s">
        <v>615</v>
      </c>
      <c r="BG16" t="s">
        <v>606</v>
      </c>
      <c r="BH16" t="s">
        <v>747</v>
      </c>
      <c r="BI16" t="s">
        <v>602</v>
      </c>
      <c r="BM16" t="s">
        <v>606</v>
      </c>
      <c r="BN16" t="s">
        <v>617</v>
      </c>
      <c r="BO16" t="s">
        <v>748</v>
      </c>
      <c r="BQ16">
        <v>8587507955.3550596</v>
      </c>
      <c r="BS16">
        <v>777487</v>
      </c>
      <c r="BX16">
        <v>360000</v>
      </c>
      <c r="BY16">
        <v>2019</v>
      </c>
    </row>
    <row r="17" spans="1:78" hidden="1" x14ac:dyDescent="0.25">
      <c r="A17" t="s">
        <v>127</v>
      </c>
      <c r="B17" t="s">
        <v>126</v>
      </c>
      <c r="C17">
        <v>1</v>
      </c>
      <c r="D17" t="s">
        <v>633</v>
      </c>
      <c r="E17">
        <f t="shared" si="1"/>
        <v>2110</v>
      </c>
      <c r="F17">
        <f t="shared" si="0"/>
        <v>2110</v>
      </c>
      <c r="L17" t="s">
        <v>749</v>
      </c>
      <c r="M17" t="s">
        <v>750</v>
      </c>
      <c r="N17" t="s">
        <v>127</v>
      </c>
      <c r="O17" t="s">
        <v>126</v>
      </c>
      <c r="P17" t="s">
        <v>624</v>
      </c>
      <c r="Q17" t="s">
        <v>40</v>
      </c>
      <c r="S17" t="s">
        <v>606</v>
      </c>
      <c r="U17" t="s">
        <v>607</v>
      </c>
      <c r="AC17">
        <v>2050</v>
      </c>
      <c r="AD17" t="s">
        <v>12</v>
      </c>
      <c r="AE17">
        <v>2019</v>
      </c>
      <c r="AF17" t="s">
        <v>608</v>
      </c>
      <c r="AG17">
        <v>24.28</v>
      </c>
      <c r="AK17">
        <v>13359</v>
      </c>
      <c r="AL17">
        <v>17643</v>
      </c>
      <c r="AN17">
        <v>2030</v>
      </c>
      <c r="AO17" t="s">
        <v>751</v>
      </c>
      <c r="AP17" t="s">
        <v>752</v>
      </c>
      <c r="AQ17" t="s">
        <v>753</v>
      </c>
      <c r="AR17" t="s">
        <v>612</v>
      </c>
      <c r="AS17" t="s">
        <v>633</v>
      </c>
      <c r="AT17" t="s">
        <v>615</v>
      </c>
      <c r="AU17" t="s">
        <v>602</v>
      </c>
      <c r="AV17" t="s">
        <v>602</v>
      </c>
      <c r="AW17" t="s">
        <v>602</v>
      </c>
      <c r="AX17" t="s">
        <v>602</v>
      </c>
      <c r="AY17" t="s">
        <v>602</v>
      </c>
      <c r="AZ17" t="s">
        <v>602</v>
      </c>
      <c r="BA17" t="s">
        <v>606</v>
      </c>
      <c r="BC17" t="s">
        <v>615</v>
      </c>
      <c r="BD17" t="s">
        <v>754</v>
      </c>
      <c r="BE17" t="s">
        <v>614</v>
      </c>
      <c r="BF17" t="s">
        <v>606</v>
      </c>
      <c r="BG17" t="s">
        <v>602</v>
      </c>
      <c r="BH17" t="s">
        <v>755</v>
      </c>
      <c r="BI17" t="s">
        <v>602</v>
      </c>
      <c r="BM17" t="s">
        <v>615</v>
      </c>
      <c r="BN17" t="s">
        <v>617</v>
      </c>
      <c r="BO17" t="s">
        <v>756</v>
      </c>
      <c r="BP17" t="s">
        <v>619</v>
      </c>
      <c r="BQ17">
        <v>4570392045.7250004</v>
      </c>
      <c r="BS17">
        <v>5457155</v>
      </c>
      <c r="BX17">
        <v>46580000</v>
      </c>
      <c r="BY17">
        <v>2019</v>
      </c>
    </row>
    <row r="18" spans="1:78" x14ac:dyDescent="0.25">
      <c r="A18" t="s">
        <v>121</v>
      </c>
      <c r="B18" t="s">
        <v>120</v>
      </c>
      <c r="C18">
        <v>4</v>
      </c>
      <c r="D18" t="s">
        <v>633</v>
      </c>
      <c r="E18">
        <f t="shared" si="1"/>
        <v>2050</v>
      </c>
      <c r="F18">
        <f t="shared" si="0"/>
        <v>2050</v>
      </c>
      <c r="L18" t="s">
        <v>757</v>
      </c>
      <c r="M18" t="s">
        <v>758</v>
      </c>
      <c r="N18" t="s">
        <v>121</v>
      </c>
      <c r="O18" t="s">
        <v>120</v>
      </c>
      <c r="P18" t="s">
        <v>759</v>
      </c>
      <c r="Q18" t="s">
        <v>40</v>
      </c>
      <c r="S18" t="s">
        <v>606</v>
      </c>
      <c r="U18" t="s">
        <v>607</v>
      </c>
      <c r="AC18">
        <v>2050</v>
      </c>
      <c r="AD18" t="s">
        <v>667</v>
      </c>
      <c r="AE18">
        <v>2021</v>
      </c>
      <c r="AF18" t="s">
        <v>625</v>
      </c>
      <c r="AG18">
        <v>45</v>
      </c>
      <c r="AH18">
        <v>2005</v>
      </c>
      <c r="AN18">
        <v>2030</v>
      </c>
      <c r="AO18" t="s">
        <v>760</v>
      </c>
      <c r="AP18" t="s">
        <v>761</v>
      </c>
      <c r="AQ18" t="s">
        <v>762</v>
      </c>
      <c r="AR18" t="s">
        <v>763</v>
      </c>
      <c r="AS18" t="s">
        <v>633</v>
      </c>
      <c r="AT18" t="s">
        <v>615</v>
      </c>
      <c r="AU18" t="s">
        <v>606</v>
      </c>
      <c r="AV18" t="s">
        <v>606</v>
      </c>
      <c r="AW18" t="s">
        <v>606</v>
      </c>
      <c r="AX18" t="s">
        <v>602</v>
      </c>
      <c r="AY18" t="s">
        <v>602</v>
      </c>
      <c r="AZ18" t="s">
        <v>602</v>
      </c>
      <c r="BA18" t="s">
        <v>606</v>
      </c>
      <c r="BB18" t="s">
        <v>764</v>
      </c>
      <c r="BC18" t="s">
        <v>615</v>
      </c>
      <c r="BD18" t="s">
        <v>765</v>
      </c>
      <c r="BE18" t="s">
        <v>674</v>
      </c>
      <c r="BF18" t="s">
        <v>615</v>
      </c>
      <c r="BG18" t="s">
        <v>602</v>
      </c>
      <c r="BH18" t="s">
        <v>766</v>
      </c>
      <c r="BI18" t="s">
        <v>602</v>
      </c>
      <c r="BM18" t="s">
        <v>606</v>
      </c>
      <c r="BN18" t="s">
        <v>767</v>
      </c>
      <c r="BO18" t="s">
        <v>768</v>
      </c>
      <c r="BP18" t="s">
        <v>619</v>
      </c>
      <c r="BQ18">
        <v>1832104417243.8999</v>
      </c>
      <c r="BS18">
        <v>38155012</v>
      </c>
      <c r="BX18">
        <v>774290000</v>
      </c>
      <c r="BY18">
        <v>2019</v>
      </c>
    </row>
    <row r="19" spans="1:78" x14ac:dyDescent="0.25">
      <c r="A19" t="s">
        <v>435</v>
      </c>
      <c r="B19" t="s">
        <v>434</v>
      </c>
      <c r="C19">
        <v>4</v>
      </c>
      <c r="D19" t="s">
        <v>633</v>
      </c>
      <c r="E19">
        <f t="shared" si="1"/>
        <v>2050</v>
      </c>
      <c r="F19">
        <f t="shared" si="0"/>
        <v>2050</v>
      </c>
      <c r="L19" t="s">
        <v>769</v>
      </c>
      <c r="M19" t="s">
        <v>770</v>
      </c>
      <c r="N19" t="s">
        <v>435</v>
      </c>
      <c r="O19" t="s">
        <v>434</v>
      </c>
      <c r="P19" t="s">
        <v>665</v>
      </c>
      <c r="Q19" t="s">
        <v>40</v>
      </c>
      <c r="S19" t="s">
        <v>606</v>
      </c>
      <c r="U19" t="s">
        <v>607</v>
      </c>
      <c r="AC19">
        <v>2050</v>
      </c>
      <c r="AD19" t="s">
        <v>667</v>
      </c>
      <c r="AE19">
        <v>2023</v>
      </c>
      <c r="AF19" t="s">
        <v>625</v>
      </c>
      <c r="AG19">
        <v>50</v>
      </c>
      <c r="AH19">
        <v>1990</v>
      </c>
      <c r="AN19">
        <v>2030</v>
      </c>
      <c r="AO19" t="s">
        <v>771</v>
      </c>
      <c r="AP19" t="s">
        <v>772</v>
      </c>
      <c r="AQ19" t="s">
        <v>773</v>
      </c>
      <c r="AR19" t="s">
        <v>774</v>
      </c>
      <c r="AS19" t="s">
        <v>633</v>
      </c>
      <c r="AT19" t="s">
        <v>615</v>
      </c>
      <c r="AU19" t="s">
        <v>602</v>
      </c>
      <c r="AV19" t="s">
        <v>615</v>
      </c>
      <c r="AW19" t="s">
        <v>615</v>
      </c>
      <c r="AX19" t="s">
        <v>602</v>
      </c>
      <c r="AY19" t="s">
        <v>602</v>
      </c>
      <c r="AZ19" t="s">
        <v>602</v>
      </c>
      <c r="BA19" t="s">
        <v>606</v>
      </c>
      <c r="BB19" t="s">
        <v>775</v>
      </c>
      <c r="BC19" t="s">
        <v>615</v>
      </c>
      <c r="BE19" t="s">
        <v>674</v>
      </c>
      <c r="BF19" t="s">
        <v>615</v>
      </c>
      <c r="BG19" t="s">
        <v>602</v>
      </c>
      <c r="BH19" t="s">
        <v>776</v>
      </c>
      <c r="BI19" t="s">
        <v>615</v>
      </c>
      <c r="BJ19" t="s">
        <v>715</v>
      </c>
      <c r="BM19" t="s">
        <v>606</v>
      </c>
      <c r="BN19" t="s">
        <v>676</v>
      </c>
      <c r="BO19" t="s">
        <v>777</v>
      </c>
      <c r="BP19" t="s">
        <v>619</v>
      </c>
      <c r="BQ19">
        <v>615734916971.66003</v>
      </c>
      <c r="BS19">
        <v>8691407</v>
      </c>
      <c r="BX19">
        <v>44260000</v>
      </c>
      <c r="BY19">
        <v>2019</v>
      </c>
    </row>
    <row r="20" spans="1:78" x14ac:dyDescent="0.25">
      <c r="A20" t="s">
        <v>131</v>
      </c>
      <c r="B20" t="s">
        <v>130</v>
      </c>
      <c r="C20">
        <v>4</v>
      </c>
      <c r="D20" t="s">
        <v>602</v>
      </c>
      <c r="E20">
        <f t="shared" si="1"/>
        <v>2050</v>
      </c>
      <c r="F20">
        <f t="shared" si="0"/>
        <v>2065</v>
      </c>
      <c r="L20" t="s">
        <v>778</v>
      </c>
      <c r="M20" t="s">
        <v>779</v>
      </c>
      <c r="N20" t="s">
        <v>131</v>
      </c>
      <c r="O20" t="s">
        <v>130</v>
      </c>
      <c r="P20" t="s">
        <v>636</v>
      </c>
      <c r="Q20" t="s">
        <v>40</v>
      </c>
      <c r="S20" t="s">
        <v>606</v>
      </c>
      <c r="U20" t="s">
        <v>680</v>
      </c>
      <c r="AC20">
        <v>2050</v>
      </c>
      <c r="AD20" t="s">
        <v>667</v>
      </c>
      <c r="AE20">
        <v>2020</v>
      </c>
      <c r="AF20" t="s">
        <v>780</v>
      </c>
      <c r="AH20">
        <v>2007</v>
      </c>
      <c r="AJ20">
        <v>123</v>
      </c>
      <c r="AK20">
        <v>95</v>
      </c>
      <c r="AN20">
        <v>2025</v>
      </c>
      <c r="AO20" t="s">
        <v>781</v>
      </c>
      <c r="AP20" t="s">
        <v>782</v>
      </c>
      <c r="AQ20" t="s">
        <v>783</v>
      </c>
      <c r="AR20" t="s">
        <v>784</v>
      </c>
      <c r="AS20" t="s">
        <v>602</v>
      </c>
      <c r="AT20" t="s">
        <v>615</v>
      </c>
      <c r="AU20" t="s">
        <v>602</v>
      </c>
      <c r="AV20" t="s">
        <v>602</v>
      </c>
      <c r="AW20" t="s">
        <v>602</v>
      </c>
      <c r="AX20" t="s">
        <v>602</v>
      </c>
      <c r="AY20" t="s">
        <v>602</v>
      </c>
      <c r="AZ20" t="s">
        <v>602</v>
      </c>
      <c r="BA20" t="s">
        <v>606</v>
      </c>
      <c r="BB20" t="s">
        <v>785</v>
      </c>
      <c r="BC20" t="s">
        <v>615</v>
      </c>
      <c r="BE20" t="s">
        <v>614</v>
      </c>
      <c r="BF20" t="s">
        <v>615</v>
      </c>
      <c r="BH20" t="s">
        <v>786</v>
      </c>
      <c r="BI20" t="s">
        <v>602</v>
      </c>
      <c r="BM20" t="s">
        <v>606</v>
      </c>
      <c r="BN20" t="s">
        <v>617</v>
      </c>
      <c r="BO20" t="s">
        <v>787</v>
      </c>
      <c r="BP20" t="s">
        <v>619</v>
      </c>
      <c r="BQ20">
        <v>496084586446.69</v>
      </c>
      <c r="BS20">
        <v>19493185</v>
      </c>
      <c r="BX20">
        <v>55330000</v>
      </c>
      <c r="BY20">
        <v>2019</v>
      </c>
    </row>
    <row r="21" spans="1:78" x14ac:dyDescent="0.25">
      <c r="A21" t="s">
        <v>133</v>
      </c>
      <c r="B21" t="s">
        <v>132</v>
      </c>
      <c r="C21">
        <v>3</v>
      </c>
      <c r="D21" t="s">
        <v>620</v>
      </c>
      <c r="E21">
        <f t="shared" si="1"/>
        <v>2060</v>
      </c>
      <c r="F21">
        <f t="shared" si="0"/>
        <v>2075</v>
      </c>
      <c r="L21" t="s">
        <v>788</v>
      </c>
      <c r="M21" t="s">
        <v>789</v>
      </c>
      <c r="N21" t="s">
        <v>133</v>
      </c>
      <c r="O21" t="s">
        <v>132</v>
      </c>
      <c r="P21" t="s">
        <v>790</v>
      </c>
      <c r="Q21" t="s">
        <v>40</v>
      </c>
      <c r="S21" t="s">
        <v>606</v>
      </c>
      <c r="U21" t="s">
        <v>680</v>
      </c>
      <c r="AC21">
        <v>2060</v>
      </c>
      <c r="AD21" t="s">
        <v>8</v>
      </c>
      <c r="AE21">
        <v>2021</v>
      </c>
      <c r="AF21" t="s">
        <v>791</v>
      </c>
      <c r="AG21">
        <v>65</v>
      </c>
      <c r="AH21">
        <v>2005</v>
      </c>
      <c r="AI21" t="s">
        <v>792</v>
      </c>
      <c r="AN21">
        <v>2030</v>
      </c>
      <c r="AO21" t="s">
        <v>793</v>
      </c>
      <c r="AP21" t="s">
        <v>794</v>
      </c>
      <c r="AQ21" t="s">
        <v>795</v>
      </c>
      <c r="AR21" t="s">
        <v>796</v>
      </c>
      <c r="AS21" t="s">
        <v>620</v>
      </c>
      <c r="AT21" t="s">
        <v>602</v>
      </c>
      <c r="AU21" t="s">
        <v>602</v>
      </c>
      <c r="AV21" t="s">
        <v>602</v>
      </c>
      <c r="AW21" t="s">
        <v>602</v>
      </c>
      <c r="AX21" t="s">
        <v>602</v>
      </c>
      <c r="AY21" t="s">
        <v>602</v>
      </c>
      <c r="AZ21" t="s">
        <v>602</v>
      </c>
      <c r="BA21" t="s">
        <v>606</v>
      </c>
      <c r="BB21" t="s">
        <v>797</v>
      </c>
      <c r="BC21" t="s">
        <v>615</v>
      </c>
      <c r="BD21" t="s">
        <v>798</v>
      </c>
      <c r="BE21" t="s">
        <v>614</v>
      </c>
      <c r="BF21" t="s">
        <v>606</v>
      </c>
      <c r="BG21" t="s">
        <v>606</v>
      </c>
      <c r="BH21" t="s">
        <v>799</v>
      </c>
      <c r="BI21" t="s">
        <v>602</v>
      </c>
      <c r="BM21" t="s">
        <v>606</v>
      </c>
      <c r="BN21" t="s">
        <v>676</v>
      </c>
      <c r="BO21" t="s">
        <v>800</v>
      </c>
      <c r="BQ21">
        <v>24861343804323</v>
      </c>
      <c r="BS21">
        <v>1425893465</v>
      </c>
      <c r="BX21">
        <v>12055400000</v>
      </c>
      <c r="BY21">
        <v>2019</v>
      </c>
      <c r="BZ21" t="s">
        <v>606</v>
      </c>
    </row>
    <row r="22" spans="1:78" hidden="1" x14ac:dyDescent="0.25">
      <c r="A22" t="s">
        <v>801</v>
      </c>
      <c r="B22" t="s">
        <v>138</v>
      </c>
      <c r="C22">
        <v>1</v>
      </c>
      <c r="D22" t="s">
        <v>620</v>
      </c>
      <c r="E22">
        <f t="shared" si="1"/>
        <v>2110</v>
      </c>
      <c r="F22">
        <f t="shared" si="0"/>
        <v>2125</v>
      </c>
      <c r="L22" t="s">
        <v>802</v>
      </c>
      <c r="M22" t="s">
        <v>803</v>
      </c>
      <c r="N22" t="s">
        <v>801</v>
      </c>
      <c r="O22" t="s">
        <v>138</v>
      </c>
      <c r="P22" t="s">
        <v>624</v>
      </c>
      <c r="Q22" t="s">
        <v>40</v>
      </c>
      <c r="S22" t="s">
        <v>606</v>
      </c>
      <c r="U22" t="s">
        <v>607</v>
      </c>
      <c r="AC22">
        <v>2050</v>
      </c>
      <c r="AD22" t="s">
        <v>12</v>
      </c>
      <c r="AE22">
        <v>2019</v>
      </c>
      <c r="AF22" t="s">
        <v>608</v>
      </c>
      <c r="AG22">
        <v>17</v>
      </c>
      <c r="AK22">
        <v>1100</v>
      </c>
      <c r="AL22">
        <v>1400</v>
      </c>
      <c r="AN22">
        <v>2030</v>
      </c>
      <c r="AO22" t="s">
        <v>804</v>
      </c>
      <c r="AP22" t="s">
        <v>805</v>
      </c>
      <c r="AR22" t="s">
        <v>628</v>
      </c>
      <c r="AS22" t="s">
        <v>620</v>
      </c>
      <c r="AT22" t="s">
        <v>615</v>
      </c>
      <c r="AU22" t="s">
        <v>602</v>
      </c>
      <c r="AV22" t="s">
        <v>602</v>
      </c>
      <c r="AW22" t="s">
        <v>602</v>
      </c>
      <c r="BA22" t="s">
        <v>606</v>
      </c>
      <c r="BB22" t="s">
        <v>806</v>
      </c>
      <c r="BC22" t="s">
        <v>606</v>
      </c>
      <c r="BE22" t="s">
        <v>614</v>
      </c>
      <c r="BF22" t="s">
        <v>606</v>
      </c>
      <c r="BG22" t="s">
        <v>602</v>
      </c>
      <c r="BI22" t="s">
        <v>602</v>
      </c>
      <c r="BM22" t="s">
        <v>606</v>
      </c>
      <c r="BN22" t="s">
        <v>602</v>
      </c>
      <c r="BP22" t="s">
        <v>619</v>
      </c>
      <c r="BQ22">
        <v>102483029535.62</v>
      </c>
      <c r="BS22">
        <v>95894119</v>
      </c>
      <c r="BX22">
        <v>679570000</v>
      </c>
      <c r="BY22">
        <v>2019</v>
      </c>
    </row>
    <row r="23" spans="1:78" hidden="1" x14ac:dyDescent="0.25">
      <c r="A23" t="s">
        <v>807</v>
      </c>
      <c r="B23" t="s">
        <v>140</v>
      </c>
      <c r="C23" s="38">
        <v>0</v>
      </c>
      <c r="D23" t="s">
        <v>633</v>
      </c>
      <c r="E23">
        <f t="shared" si="1"/>
        <v>2110</v>
      </c>
      <c r="F23" t="str">
        <f t="shared" si="0"/>
        <v/>
      </c>
      <c r="L23" t="s">
        <v>808</v>
      </c>
      <c r="M23" t="s">
        <v>809</v>
      </c>
      <c r="N23" t="s">
        <v>807</v>
      </c>
      <c r="O23" t="s">
        <v>140</v>
      </c>
      <c r="P23" t="s">
        <v>624</v>
      </c>
      <c r="Q23" t="s">
        <v>40</v>
      </c>
      <c r="S23" t="s">
        <v>606</v>
      </c>
      <c r="U23" t="s">
        <v>608</v>
      </c>
      <c r="V23">
        <v>21.46</v>
      </c>
      <c r="Z23">
        <v>12</v>
      </c>
      <c r="AA23">
        <v>15.279</v>
      </c>
      <c r="AC23">
        <v>2030</v>
      </c>
      <c r="AD23" t="s">
        <v>10</v>
      </c>
      <c r="AE23">
        <v>2021</v>
      </c>
      <c r="AF23" t="s">
        <v>608</v>
      </c>
      <c r="AG23">
        <v>17.09</v>
      </c>
      <c r="AK23">
        <v>10.928000000000001</v>
      </c>
      <c r="AL23">
        <v>13.180999999999999</v>
      </c>
      <c r="AN23">
        <v>2025</v>
      </c>
      <c r="AO23" t="s">
        <v>810</v>
      </c>
      <c r="AP23" t="s">
        <v>811</v>
      </c>
      <c r="AQ23" t="s">
        <v>812</v>
      </c>
      <c r="AR23" t="s">
        <v>813</v>
      </c>
      <c r="AS23" t="s">
        <v>633</v>
      </c>
      <c r="AU23" t="s">
        <v>602</v>
      </c>
      <c r="AV23" t="s">
        <v>602</v>
      </c>
      <c r="AW23" t="s">
        <v>602</v>
      </c>
      <c r="AX23" t="s">
        <v>602</v>
      </c>
      <c r="AY23" t="s">
        <v>602</v>
      </c>
      <c r="AZ23" t="s">
        <v>602</v>
      </c>
      <c r="BA23" t="s">
        <v>606</v>
      </c>
      <c r="BB23" t="s">
        <v>814</v>
      </c>
      <c r="BC23" t="s">
        <v>606</v>
      </c>
      <c r="BE23" t="s">
        <v>630</v>
      </c>
      <c r="BF23" t="s">
        <v>606</v>
      </c>
      <c r="BG23" t="s">
        <v>602</v>
      </c>
      <c r="BH23" t="s">
        <v>815</v>
      </c>
      <c r="BI23" t="s">
        <v>602</v>
      </c>
      <c r="BM23" t="s">
        <v>606</v>
      </c>
      <c r="BN23" t="s">
        <v>617</v>
      </c>
      <c r="BO23" t="s">
        <v>816</v>
      </c>
      <c r="BQ23">
        <v>18624391871.667</v>
      </c>
      <c r="BS23">
        <v>5835806</v>
      </c>
      <c r="BX23">
        <v>30070000</v>
      </c>
      <c r="BY23">
        <v>2019</v>
      </c>
    </row>
    <row r="24" spans="1:78" x14ac:dyDescent="0.25">
      <c r="A24" t="s">
        <v>135</v>
      </c>
      <c r="B24" t="s">
        <v>134</v>
      </c>
      <c r="C24">
        <v>4</v>
      </c>
      <c r="D24" t="s">
        <v>633</v>
      </c>
      <c r="E24">
        <f t="shared" si="1"/>
        <v>2050</v>
      </c>
      <c r="F24">
        <f t="shared" si="0"/>
        <v>2050</v>
      </c>
      <c r="L24" t="s">
        <v>817</v>
      </c>
      <c r="M24" t="s">
        <v>818</v>
      </c>
      <c r="N24" t="s">
        <v>135</v>
      </c>
      <c r="O24" t="s">
        <v>134</v>
      </c>
      <c r="P24" t="s">
        <v>636</v>
      </c>
      <c r="Q24" t="s">
        <v>40</v>
      </c>
      <c r="S24" t="s">
        <v>606</v>
      </c>
      <c r="U24" t="s">
        <v>680</v>
      </c>
      <c r="AC24">
        <v>2050</v>
      </c>
      <c r="AD24" t="s">
        <v>667</v>
      </c>
      <c r="AE24">
        <v>2021</v>
      </c>
      <c r="AF24" t="s">
        <v>608</v>
      </c>
      <c r="AG24">
        <v>51</v>
      </c>
      <c r="AK24">
        <v>169.44</v>
      </c>
      <c r="AL24">
        <v>350</v>
      </c>
      <c r="AN24">
        <v>2030</v>
      </c>
      <c r="AO24" t="s">
        <v>819</v>
      </c>
      <c r="AP24" t="s">
        <v>820</v>
      </c>
      <c r="AQ24" t="s">
        <v>821</v>
      </c>
      <c r="AR24" t="s">
        <v>822</v>
      </c>
      <c r="AS24" t="s">
        <v>633</v>
      </c>
      <c r="AT24" t="s">
        <v>615</v>
      </c>
      <c r="AU24" t="s">
        <v>602</v>
      </c>
      <c r="AV24" t="s">
        <v>606</v>
      </c>
      <c r="AW24" t="s">
        <v>606</v>
      </c>
      <c r="AX24" t="s">
        <v>602</v>
      </c>
      <c r="AY24" t="s">
        <v>602</v>
      </c>
      <c r="AZ24" t="s">
        <v>602</v>
      </c>
      <c r="BA24" t="s">
        <v>606</v>
      </c>
      <c r="BB24" t="s">
        <v>823</v>
      </c>
      <c r="BC24" t="s">
        <v>615</v>
      </c>
      <c r="BE24" t="s">
        <v>674</v>
      </c>
      <c r="BF24" t="s">
        <v>615</v>
      </c>
      <c r="BG24" t="s">
        <v>602</v>
      </c>
      <c r="BI24" t="s">
        <v>602</v>
      </c>
      <c r="BM24" t="s">
        <v>606</v>
      </c>
      <c r="BN24" t="s">
        <v>602</v>
      </c>
      <c r="BP24" t="s">
        <v>619</v>
      </c>
      <c r="BQ24">
        <v>753869711331.56006</v>
      </c>
      <c r="BS24">
        <v>51516562</v>
      </c>
      <c r="BX24">
        <v>270530000</v>
      </c>
      <c r="BY24">
        <v>2019</v>
      </c>
    </row>
    <row r="25" spans="1:78" x14ac:dyDescent="0.25">
      <c r="A25" t="s">
        <v>137</v>
      </c>
      <c r="B25" t="s">
        <v>136</v>
      </c>
      <c r="C25">
        <v>5</v>
      </c>
      <c r="D25" t="s">
        <v>633</v>
      </c>
      <c r="E25">
        <f t="shared" si="1"/>
        <v>2050</v>
      </c>
      <c r="F25">
        <f t="shared" si="0"/>
        <v>2050</v>
      </c>
      <c r="L25" t="s">
        <v>824</v>
      </c>
      <c r="M25" t="s">
        <v>825</v>
      </c>
      <c r="N25" t="s">
        <v>137</v>
      </c>
      <c r="O25" t="s">
        <v>136</v>
      </c>
      <c r="P25" t="s">
        <v>624</v>
      </c>
      <c r="Q25" t="s">
        <v>40</v>
      </c>
      <c r="S25" t="s">
        <v>606</v>
      </c>
      <c r="U25" t="s">
        <v>607</v>
      </c>
      <c r="AC25">
        <v>2050</v>
      </c>
      <c r="AD25" t="s">
        <v>5</v>
      </c>
      <c r="AE25">
        <v>2019</v>
      </c>
      <c r="AF25" t="s">
        <v>608</v>
      </c>
      <c r="AG25">
        <v>23</v>
      </c>
      <c r="AK25">
        <v>-1849000</v>
      </c>
      <c r="AL25">
        <v>-1260000</v>
      </c>
      <c r="AN25">
        <v>2030</v>
      </c>
      <c r="AO25" t="s">
        <v>751</v>
      </c>
      <c r="AP25" t="s">
        <v>826</v>
      </c>
      <c r="AQ25" t="s">
        <v>827</v>
      </c>
      <c r="AR25" t="s">
        <v>612</v>
      </c>
      <c r="AS25" t="s">
        <v>633</v>
      </c>
      <c r="AT25" t="s">
        <v>615</v>
      </c>
      <c r="AU25" t="s">
        <v>606</v>
      </c>
      <c r="AV25" t="s">
        <v>606</v>
      </c>
      <c r="AW25" t="s">
        <v>606</v>
      </c>
      <c r="AX25" t="s">
        <v>602</v>
      </c>
      <c r="AY25" t="s">
        <v>602</v>
      </c>
      <c r="AZ25" t="s">
        <v>602</v>
      </c>
      <c r="BA25" t="s">
        <v>606</v>
      </c>
      <c r="BB25" t="s">
        <v>828</v>
      </c>
      <c r="BC25" t="s">
        <v>615</v>
      </c>
      <c r="BD25" t="s">
        <v>829</v>
      </c>
      <c r="BE25" t="s">
        <v>614</v>
      </c>
      <c r="BF25" t="s">
        <v>606</v>
      </c>
      <c r="BG25" t="s">
        <v>602</v>
      </c>
      <c r="BI25" t="s">
        <v>602</v>
      </c>
      <c r="BM25" t="s">
        <v>615</v>
      </c>
      <c r="BN25" t="s">
        <v>617</v>
      </c>
      <c r="BP25" t="s">
        <v>619</v>
      </c>
      <c r="BQ25">
        <v>2656161898.3306999</v>
      </c>
      <c r="BS25">
        <v>821626</v>
      </c>
      <c r="BX25">
        <v>700000</v>
      </c>
      <c r="BY25">
        <v>2019</v>
      </c>
    </row>
    <row r="26" spans="1:78" x14ac:dyDescent="0.25">
      <c r="A26" t="s">
        <v>123</v>
      </c>
      <c r="B26" t="s">
        <v>122</v>
      </c>
      <c r="C26">
        <v>3</v>
      </c>
      <c r="D26" t="s">
        <v>602</v>
      </c>
      <c r="E26">
        <f t="shared" si="1"/>
        <v>2050</v>
      </c>
      <c r="F26">
        <f t="shared" si="0"/>
        <v>2065</v>
      </c>
      <c r="L26" t="s">
        <v>830</v>
      </c>
      <c r="M26" t="s">
        <v>831</v>
      </c>
      <c r="N26" t="s">
        <v>123</v>
      </c>
      <c r="O26" t="s">
        <v>122</v>
      </c>
      <c r="P26" t="s">
        <v>624</v>
      </c>
      <c r="Q26" t="s">
        <v>40</v>
      </c>
      <c r="S26" t="s">
        <v>606</v>
      </c>
      <c r="U26" t="s">
        <v>607</v>
      </c>
      <c r="AC26">
        <v>2050</v>
      </c>
      <c r="AD26" t="s">
        <v>8</v>
      </c>
      <c r="AE26">
        <v>2020</v>
      </c>
      <c r="AF26" t="s">
        <v>608</v>
      </c>
      <c r="AG26">
        <v>24</v>
      </c>
      <c r="AK26">
        <v>0.76400000000000001</v>
      </c>
      <c r="AL26">
        <v>1.01</v>
      </c>
      <c r="AN26">
        <v>2030</v>
      </c>
      <c r="AO26" t="s">
        <v>832</v>
      </c>
      <c r="AP26" t="s">
        <v>833</v>
      </c>
      <c r="AQ26" t="s">
        <v>834</v>
      </c>
      <c r="AR26" t="s">
        <v>832</v>
      </c>
      <c r="AS26" t="s">
        <v>602</v>
      </c>
      <c r="AT26" t="s">
        <v>615</v>
      </c>
      <c r="AU26" t="s">
        <v>602</v>
      </c>
      <c r="AV26" t="s">
        <v>602</v>
      </c>
      <c r="AW26" t="s">
        <v>602</v>
      </c>
      <c r="AX26" t="s">
        <v>602</v>
      </c>
      <c r="AY26" t="s">
        <v>602</v>
      </c>
      <c r="AZ26" t="s">
        <v>602</v>
      </c>
      <c r="BB26" t="s">
        <v>835</v>
      </c>
      <c r="BC26" t="s">
        <v>606</v>
      </c>
      <c r="BE26" t="s">
        <v>614</v>
      </c>
      <c r="BH26" t="s">
        <v>832</v>
      </c>
      <c r="BI26" t="s">
        <v>602</v>
      </c>
      <c r="BM26" t="s">
        <v>606</v>
      </c>
      <c r="BN26" t="s">
        <v>617</v>
      </c>
      <c r="BO26" t="s">
        <v>836</v>
      </c>
      <c r="BP26" t="s">
        <v>619</v>
      </c>
      <c r="BQ26">
        <v>3594651812.5215001</v>
      </c>
      <c r="BS26">
        <v>587925</v>
      </c>
      <c r="BX26">
        <v>750000</v>
      </c>
      <c r="BY26">
        <v>2019</v>
      </c>
    </row>
    <row r="27" spans="1:78" x14ac:dyDescent="0.25">
      <c r="A27" t="s">
        <v>145</v>
      </c>
      <c r="B27" t="s">
        <v>144</v>
      </c>
      <c r="C27">
        <v>3</v>
      </c>
      <c r="D27" t="s">
        <v>633</v>
      </c>
      <c r="E27">
        <f t="shared" si="1"/>
        <v>2050</v>
      </c>
      <c r="F27">
        <f t="shared" si="0"/>
        <v>2050</v>
      </c>
      <c r="L27" t="s">
        <v>837</v>
      </c>
      <c r="M27" t="s">
        <v>838</v>
      </c>
      <c r="N27" t="s">
        <v>145</v>
      </c>
      <c r="O27" t="s">
        <v>144</v>
      </c>
      <c r="P27" t="s">
        <v>636</v>
      </c>
      <c r="Q27" t="s">
        <v>40</v>
      </c>
      <c r="S27" t="s">
        <v>606</v>
      </c>
      <c r="U27" t="s">
        <v>607</v>
      </c>
      <c r="AC27">
        <v>2050</v>
      </c>
      <c r="AD27" t="s">
        <v>8</v>
      </c>
      <c r="AE27">
        <v>2020</v>
      </c>
      <c r="AF27" t="s">
        <v>780</v>
      </c>
      <c r="AH27">
        <v>2012</v>
      </c>
      <c r="AJ27">
        <v>12.441000000000001</v>
      </c>
      <c r="AK27">
        <v>9.11</v>
      </c>
      <c r="AN27">
        <v>2030</v>
      </c>
      <c r="AO27" t="s">
        <v>839</v>
      </c>
      <c r="AP27" t="s">
        <v>840</v>
      </c>
      <c r="AQ27" t="s">
        <v>841</v>
      </c>
      <c r="AR27" t="s">
        <v>842</v>
      </c>
      <c r="AS27" t="s">
        <v>633</v>
      </c>
      <c r="AT27" t="s">
        <v>615</v>
      </c>
      <c r="AU27" t="s">
        <v>615</v>
      </c>
      <c r="AV27" t="s">
        <v>602</v>
      </c>
      <c r="AW27" t="s">
        <v>602</v>
      </c>
      <c r="AX27" t="s">
        <v>602</v>
      </c>
      <c r="AY27" t="s">
        <v>602</v>
      </c>
      <c r="AZ27" t="s">
        <v>602</v>
      </c>
      <c r="BA27" t="s">
        <v>606</v>
      </c>
      <c r="BB27" t="s">
        <v>843</v>
      </c>
      <c r="BC27" t="s">
        <v>615</v>
      </c>
      <c r="BD27" t="s">
        <v>844</v>
      </c>
      <c r="BE27" t="s">
        <v>614</v>
      </c>
      <c r="BF27" t="s">
        <v>606</v>
      </c>
      <c r="BG27" t="s">
        <v>602</v>
      </c>
      <c r="BH27" t="s">
        <v>845</v>
      </c>
      <c r="BI27" t="s">
        <v>606</v>
      </c>
      <c r="BM27" t="s">
        <v>615</v>
      </c>
      <c r="BN27" t="s">
        <v>617</v>
      </c>
      <c r="BO27" t="s">
        <v>846</v>
      </c>
      <c r="BP27" t="s">
        <v>619</v>
      </c>
      <c r="BQ27">
        <v>109260184456.53</v>
      </c>
      <c r="BS27">
        <v>5153957</v>
      </c>
      <c r="BX27">
        <v>8480000</v>
      </c>
      <c r="BY27">
        <v>2019</v>
      </c>
    </row>
    <row r="28" spans="1:78" x14ac:dyDescent="0.25">
      <c r="A28" t="s">
        <v>153</v>
      </c>
      <c r="B28" t="s">
        <v>152</v>
      </c>
      <c r="C28">
        <v>3</v>
      </c>
      <c r="D28" t="s">
        <v>633</v>
      </c>
      <c r="E28">
        <f t="shared" si="1"/>
        <v>2050</v>
      </c>
      <c r="F28">
        <f t="shared" si="0"/>
        <v>2050</v>
      </c>
      <c r="L28" t="s">
        <v>847</v>
      </c>
      <c r="M28" t="s">
        <v>848</v>
      </c>
      <c r="N28" t="s">
        <v>153</v>
      </c>
      <c r="O28" t="s">
        <v>152</v>
      </c>
      <c r="P28" t="s">
        <v>665</v>
      </c>
      <c r="Q28" t="s">
        <v>40</v>
      </c>
      <c r="S28" t="s">
        <v>606</v>
      </c>
      <c r="U28" t="s">
        <v>666</v>
      </c>
      <c r="AC28">
        <v>2050</v>
      </c>
      <c r="AD28" t="s">
        <v>8</v>
      </c>
      <c r="AE28">
        <v>2020</v>
      </c>
      <c r="AF28" t="s">
        <v>625</v>
      </c>
      <c r="AG28">
        <v>55</v>
      </c>
      <c r="AH28">
        <v>1990</v>
      </c>
      <c r="AN28">
        <v>2030</v>
      </c>
      <c r="AO28" t="s">
        <v>849</v>
      </c>
      <c r="AP28" t="s">
        <v>850</v>
      </c>
      <c r="AQ28" t="s">
        <v>851</v>
      </c>
      <c r="AR28" t="s">
        <v>852</v>
      </c>
      <c r="AS28" t="s">
        <v>633</v>
      </c>
      <c r="AT28" t="s">
        <v>615</v>
      </c>
      <c r="AU28" t="s">
        <v>606</v>
      </c>
      <c r="AV28" t="s">
        <v>606</v>
      </c>
      <c r="AW28" t="s">
        <v>606</v>
      </c>
      <c r="AX28" t="s">
        <v>602</v>
      </c>
      <c r="AY28" t="s">
        <v>602</v>
      </c>
      <c r="AZ28" t="s">
        <v>602</v>
      </c>
      <c r="BA28" t="s">
        <v>606</v>
      </c>
      <c r="BB28" t="s">
        <v>853</v>
      </c>
      <c r="BC28" t="s">
        <v>615</v>
      </c>
      <c r="BD28" t="s">
        <v>854</v>
      </c>
      <c r="BE28" t="s">
        <v>614</v>
      </c>
      <c r="BF28" t="s">
        <v>615</v>
      </c>
      <c r="BG28" t="s">
        <v>602</v>
      </c>
      <c r="BH28" t="s">
        <v>855</v>
      </c>
      <c r="BI28" t="s">
        <v>606</v>
      </c>
      <c r="BM28" t="s">
        <v>615</v>
      </c>
      <c r="BN28" t="s">
        <v>676</v>
      </c>
      <c r="BO28" t="s">
        <v>856</v>
      </c>
      <c r="BP28" t="s">
        <v>619</v>
      </c>
      <c r="BQ28">
        <v>36713221508.487999</v>
      </c>
      <c r="BS28">
        <v>1237537</v>
      </c>
      <c r="BX28">
        <v>8290000</v>
      </c>
      <c r="BY28">
        <v>2019</v>
      </c>
    </row>
    <row r="29" spans="1:78" hidden="1" x14ac:dyDescent="0.25">
      <c r="A29" t="s">
        <v>155</v>
      </c>
      <c r="B29" t="s">
        <v>154</v>
      </c>
      <c r="C29">
        <v>1</v>
      </c>
      <c r="D29" t="s">
        <v>633</v>
      </c>
      <c r="E29">
        <f t="shared" si="1"/>
        <v>2110</v>
      </c>
      <c r="F29">
        <f t="shared" si="0"/>
        <v>2110</v>
      </c>
      <c r="L29" t="s">
        <v>857</v>
      </c>
      <c r="M29" t="s">
        <v>858</v>
      </c>
      <c r="N29" t="s">
        <v>155</v>
      </c>
      <c r="O29" t="s">
        <v>154</v>
      </c>
      <c r="P29" t="s">
        <v>665</v>
      </c>
      <c r="Q29" t="s">
        <v>40</v>
      </c>
      <c r="S29" t="s">
        <v>606</v>
      </c>
      <c r="U29" t="s">
        <v>666</v>
      </c>
      <c r="AC29">
        <v>2050</v>
      </c>
      <c r="AD29" t="s">
        <v>12</v>
      </c>
      <c r="AE29">
        <v>2020</v>
      </c>
      <c r="AF29" t="s">
        <v>625</v>
      </c>
      <c r="AG29">
        <v>30</v>
      </c>
      <c r="AH29">
        <v>2005</v>
      </c>
      <c r="AN29">
        <v>2030</v>
      </c>
      <c r="AO29" t="s">
        <v>859</v>
      </c>
      <c r="AP29" t="s">
        <v>860</v>
      </c>
      <c r="AQ29" t="s">
        <v>861</v>
      </c>
      <c r="AR29" t="s">
        <v>862</v>
      </c>
      <c r="AS29" t="s">
        <v>633</v>
      </c>
      <c r="AT29" t="s">
        <v>615</v>
      </c>
      <c r="AU29" t="s">
        <v>602</v>
      </c>
      <c r="AV29" t="s">
        <v>602</v>
      </c>
      <c r="AW29" t="s">
        <v>602</v>
      </c>
      <c r="AX29" t="s">
        <v>602</v>
      </c>
      <c r="AY29" t="s">
        <v>602</v>
      </c>
      <c r="AZ29" t="s">
        <v>602</v>
      </c>
      <c r="BA29" t="s">
        <v>606</v>
      </c>
      <c r="BC29" t="s">
        <v>606</v>
      </c>
      <c r="BE29" t="s">
        <v>614</v>
      </c>
      <c r="BF29" t="s">
        <v>606</v>
      </c>
      <c r="BG29" t="s">
        <v>606</v>
      </c>
      <c r="BH29" t="s">
        <v>863</v>
      </c>
      <c r="BI29" t="s">
        <v>602</v>
      </c>
      <c r="BM29" t="s">
        <v>606</v>
      </c>
      <c r="BN29" t="s">
        <v>676</v>
      </c>
      <c r="BP29" t="s">
        <v>619</v>
      </c>
      <c r="BQ29">
        <v>425759419161.97998</v>
      </c>
      <c r="BS29">
        <v>10510751</v>
      </c>
      <c r="BX29">
        <v>110770000</v>
      </c>
      <c r="BY29">
        <v>2019</v>
      </c>
    </row>
    <row r="30" spans="1:78" x14ac:dyDescent="0.25">
      <c r="A30" t="s">
        <v>199</v>
      </c>
      <c r="B30" t="s">
        <v>198</v>
      </c>
      <c r="C30">
        <v>4</v>
      </c>
      <c r="D30" t="s">
        <v>633</v>
      </c>
      <c r="E30">
        <f t="shared" si="1"/>
        <v>2045</v>
      </c>
      <c r="F30">
        <f t="shared" si="0"/>
        <v>2045</v>
      </c>
      <c r="L30" t="s">
        <v>864</v>
      </c>
      <c r="M30" t="s">
        <v>865</v>
      </c>
      <c r="N30" t="s">
        <v>199</v>
      </c>
      <c r="O30" t="s">
        <v>198</v>
      </c>
      <c r="P30" t="s">
        <v>665</v>
      </c>
      <c r="Q30" t="s">
        <v>40</v>
      </c>
      <c r="S30" t="s">
        <v>606</v>
      </c>
      <c r="U30" t="s">
        <v>666</v>
      </c>
      <c r="AC30">
        <v>2045</v>
      </c>
      <c r="AD30" t="s">
        <v>667</v>
      </c>
      <c r="AE30">
        <v>2021</v>
      </c>
      <c r="AF30" t="s">
        <v>625</v>
      </c>
      <c r="AG30">
        <v>65</v>
      </c>
      <c r="AH30">
        <v>1990</v>
      </c>
      <c r="AN30">
        <v>2030</v>
      </c>
      <c r="AO30" t="s">
        <v>866</v>
      </c>
      <c r="AP30" t="s">
        <v>867</v>
      </c>
      <c r="AR30" t="s">
        <v>868</v>
      </c>
      <c r="AS30" t="s">
        <v>633</v>
      </c>
      <c r="AT30" t="s">
        <v>615</v>
      </c>
      <c r="AU30" t="s">
        <v>606</v>
      </c>
      <c r="AV30" t="s">
        <v>606</v>
      </c>
      <c r="AW30" t="s">
        <v>606</v>
      </c>
      <c r="AX30" t="s">
        <v>602</v>
      </c>
      <c r="AY30" t="s">
        <v>602</v>
      </c>
      <c r="AZ30" t="s">
        <v>602</v>
      </c>
      <c r="BA30" t="s">
        <v>606</v>
      </c>
      <c r="BB30" t="s">
        <v>869</v>
      </c>
      <c r="BC30" t="s">
        <v>606</v>
      </c>
      <c r="BE30" t="s">
        <v>674</v>
      </c>
      <c r="BF30" t="s">
        <v>615</v>
      </c>
      <c r="BG30" t="s">
        <v>606</v>
      </c>
      <c r="BH30" t="s">
        <v>870</v>
      </c>
      <c r="BI30" t="s">
        <v>615</v>
      </c>
      <c r="BJ30" t="s">
        <v>715</v>
      </c>
      <c r="BM30" t="s">
        <v>606</v>
      </c>
      <c r="BN30" t="s">
        <v>602</v>
      </c>
      <c r="BO30" t="s">
        <v>871</v>
      </c>
      <c r="BP30" t="s">
        <v>619</v>
      </c>
      <c r="BQ30">
        <v>4400100295725.2002</v>
      </c>
      <c r="BS30">
        <v>83408555</v>
      </c>
      <c r="BX30">
        <v>720230000</v>
      </c>
      <c r="BY30">
        <v>2019</v>
      </c>
    </row>
    <row r="31" spans="1:78" hidden="1" x14ac:dyDescent="0.25">
      <c r="A31" t="s">
        <v>159</v>
      </c>
      <c r="B31" t="s">
        <v>158</v>
      </c>
      <c r="C31">
        <v>1</v>
      </c>
      <c r="D31" t="s">
        <v>620</v>
      </c>
      <c r="E31">
        <f t="shared" si="1"/>
        <v>2110</v>
      </c>
      <c r="F31">
        <f t="shared" si="0"/>
        <v>2125</v>
      </c>
      <c r="L31" t="s">
        <v>872</v>
      </c>
      <c r="M31" t="s">
        <v>873</v>
      </c>
      <c r="N31" t="s">
        <v>159</v>
      </c>
      <c r="O31" t="s">
        <v>158</v>
      </c>
      <c r="P31" t="s">
        <v>624</v>
      </c>
      <c r="Q31" t="s">
        <v>40</v>
      </c>
      <c r="S31" t="s">
        <v>606</v>
      </c>
      <c r="U31" t="s">
        <v>607</v>
      </c>
      <c r="AC31">
        <v>2050</v>
      </c>
      <c r="AD31" t="s">
        <v>12</v>
      </c>
      <c r="AE31">
        <v>2019</v>
      </c>
      <c r="AF31" t="s">
        <v>608</v>
      </c>
      <c r="AG31">
        <v>40</v>
      </c>
      <c r="AK31">
        <v>0.2</v>
      </c>
      <c r="AL31">
        <v>2</v>
      </c>
      <c r="AN31">
        <v>2030</v>
      </c>
      <c r="AO31" t="s">
        <v>626</v>
      </c>
      <c r="AP31" t="s">
        <v>874</v>
      </c>
      <c r="AR31" t="s">
        <v>628</v>
      </c>
      <c r="AS31" t="s">
        <v>620</v>
      </c>
      <c r="AU31" t="s">
        <v>602</v>
      </c>
      <c r="AV31" t="s">
        <v>602</v>
      </c>
      <c r="AW31" t="s">
        <v>602</v>
      </c>
      <c r="AX31" t="s">
        <v>602</v>
      </c>
      <c r="AY31" t="s">
        <v>602</v>
      </c>
      <c r="AZ31" t="s">
        <v>602</v>
      </c>
      <c r="BA31" t="s">
        <v>606</v>
      </c>
      <c r="BB31" t="s">
        <v>875</v>
      </c>
      <c r="BC31" t="s">
        <v>606</v>
      </c>
      <c r="BE31" t="s">
        <v>614</v>
      </c>
      <c r="BF31" t="s">
        <v>606</v>
      </c>
      <c r="BG31" t="s">
        <v>602</v>
      </c>
      <c r="BH31" t="s">
        <v>876</v>
      </c>
      <c r="BI31" t="s">
        <v>602</v>
      </c>
      <c r="BM31" t="s">
        <v>606</v>
      </c>
      <c r="BN31" t="s">
        <v>602</v>
      </c>
      <c r="BP31" t="s">
        <v>619</v>
      </c>
      <c r="BQ31">
        <v>5405826719.0005999</v>
      </c>
      <c r="BS31">
        <v>1105558</v>
      </c>
      <c r="BX31">
        <v>1380000</v>
      </c>
      <c r="BY31">
        <v>2019</v>
      </c>
    </row>
    <row r="32" spans="1:78" x14ac:dyDescent="0.25">
      <c r="A32" t="s">
        <v>161</v>
      </c>
      <c r="B32" t="s">
        <v>160</v>
      </c>
      <c r="C32">
        <v>3</v>
      </c>
      <c r="D32" t="s">
        <v>620</v>
      </c>
      <c r="E32">
        <f t="shared" si="1"/>
        <v>2030</v>
      </c>
      <c r="F32">
        <f t="shared" si="0"/>
        <v>2045</v>
      </c>
      <c r="L32" t="s">
        <v>877</v>
      </c>
      <c r="M32" t="s">
        <v>878</v>
      </c>
      <c r="N32" t="s">
        <v>161</v>
      </c>
      <c r="O32" t="s">
        <v>160</v>
      </c>
      <c r="P32" t="s">
        <v>636</v>
      </c>
      <c r="Q32" t="s">
        <v>40</v>
      </c>
      <c r="S32" t="s">
        <v>606</v>
      </c>
      <c r="U32" t="s">
        <v>680</v>
      </c>
      <c r="AC32">
        <v>2030</v>
      </c>
      <c r="AD32" t="s">
        <v>8</v>
      </c>
      <c r="AE32">
        <v>2020</v>
      </c>
      <c r="AF32" t="s">
        <v>625</v>
      </c>
      <c r="AG32">
        <v>39</v>
      </c>
      <c r="AH32">
        <v>2014</v>
      </c>
      <c r="AN32">
        <v>2025</v>
      </c>
      <c r="AO32" t="s">
        <v>879</v>
      </c>
      <c r="AP32" t="s">
        <v>880</v>
      </c>
      <c r="AQ32" t="s">
        <v>881</v>
      </c>
      <c r="AR32" t="s">
        <v>882</v>
      </c>
      <c r="AS32" t="s">
        <v>620</v>
      </c>
      <c r="AT32" t="s">
        <v>602</v>
      </c>
      <c r="AU32" t="s">
        <v>602</v>
      </c>
      <c r="AV32" t="s">
        <v>602</v>
      </c>
      <c r="AW32" t="s">
        <v>602</v>
      </c>
      <c r="AX32" t="s">
        <v>602</v>
      </c>
      <c r="AY32" t="s">
        <v>602</v>
      </c>
      <c r="AZ32" t="s">
        <v>602</v>
      </c>
      <c r="BA32" t="s">
        <v>606</v>
      </c>
      <c r="BB32" t="s">
        <v>883</v>
      </c>
      <c r="BC32" t="s">
        <v>606</v>
      </c>
      <c r="BE32" t="s">
        <v>614</v>
      </c>
      <c r="BF32" t="s">
        <v>615</v>
      </c>
      <c r="BG32" t="s">
        <v>602</v>
      </c>
      <c r="BH32" t="s">
        <v>884</v>
      </c>
      <c r="BI32" t="s">
        <v>606</v>
      </c>
      <c r="BM32" t="s">
        <v>615</v>
      </c>
      <c r="BN32" t="s">
        <v>617</v>
      </c>
      <c r="BO32" t="s">
        <v>885</v>
      </c>
      <c r="BP32" t="s">
        <v>619</v>
      </c>
      <c r="BQ32">
        <v>786621079.99842</v>
      </c>
      <c r="BS32">
        <v>70007</v>
      </c>
      <c r="BX32">
        <v>240000</v>
      </c>
    </row>
    <row r="33" spans="1:77" x14ac:dyDescent="0.25">
      <c r="A33" t="s">
        <v>157</v>
      </c>
      <c r="B33" t="s">
        <v>156</v>
      </c>
      <c r="C33">
        <v>2</v>
      </c>
      <c r="D33" t="s">
        <v>633</v>
      </c>
      <c r="E33">
        <f t="shared" si="1"/>
        <v>2045</v>
      </c>
      <c r="F33">
        <f t="shared" si="0"/>
        <v>2045</v>
      </c>
      <c r="L33" t="s">
        <v>886</v>
      </c>
      <c r="M33" t="s">
        <v>887</v>
      </c>
      <c r="N33" t="s">
        <v>157</v>
      </c>
      <c r="O33" t="s">
        <v>156</v>
      </c>
      <c r="P33" t="s">
        <v>665</v>
      </c>
      <c r="Q33" t="s">
        <v>40</v>
      </c>
      <c r="S33" t="s">
        <v>606</v>
      </c>
      <c r="U33" t="s">
        <v>607</v>
      </c>
      <c r="AC33">
        <v>2045</v>
      </c>
      <c r="AD33" t="s">
        <v>10</v>
      </c>
      <c r="AE33">
        <v>2020</v>
      </c>
      <c r="AF33" t="s">
        <v>625</v>
      </c>
      <c r="AG33">
        <v>70</v>
      </c>
      <c r="AH33">
        <v>1990</v>
      </c>
      <c r="AN33">
        <v>2030</v>
      </c>
      <c r="AO33" t="s">
        <v>888</v>
      </c>
      <c r="AP33" t="s">
        <v>889</v>
      </c>
      <c r="AQ33" t="s">
        <v>890</v>
      </c>
      <c r="AR33" t="s">
        <v>891</v>
      </c>
      <c r="AS33" t="s">
        <v>633</v>
      </c>
      <c r="AT33" t="s">
        <v>615</v>
      </c>
      <c r="AU33" t="s">
        <v>606</v>
      </c>
      <c r="AV33" t="s">
        <v>606</v>
      </c>
      <c r="AW33" t="s">
        <v>606</v>
      </c>
      <c r="AX33" t="s">
        <v>602</v>
      </c>
      <c r="AY33" t="s">
        <v>602</v>
      </c>
      <c r="AZ33" t="s">
        <v>602</v>
      </c>
      <c r="BA33" t="s">
        <v>606</v>
      </c>
      <c r="BB33" t="s">
        <v>892</v>
      </c>
      <c r="BC33" t="s">
        <v>615</v>
      </c>
      <c r="BD33" t="s">
        <v>893</v>
      </c>
      <c r="BE33" t="s">
        <v>674</v>
      </c>
      <c r="BF33" t="s">
        <v>615</v>
      </c>
      <c r="BG33" t="s">
        <v>615</v>
      </c>
      <c r="BH33" t="s">
        <v>894</v>
      </c>
      <c r="BI33" t="s">
        <v>602</v>
      </c>
      <c r="BM33" t="s">
        <v>606</v>
      </c>
      <c r="BN33" t="s">
        <v>676</v>
      </c>
      <c r="BO33" t="s">
        <v>895</v>
      </c>
      <c r="BP33" t="s">
        <v>619</v>
      </c>
      <c r="BQ33">
        <v>340785964473.16998</v>
      </c>
      <c r="BS33">
        <v>5854241</v>
      </c>
      <c r="BX33">
        <v>44060000</v>
      </c>
      <c r="BY33">
        <v>2019</v>
      </c>
    </row>
    <row r="34" spans="1:77" hidden="1" x14ac:dyDescent="0.25">
      <c r="A34" t="s">
        <v>163</v>
      </c>
      <c r="B34" t="s">
        <v>162</v>
      </c>
      <c r="C34">
        <v>1</v>
      </c>
      <c r="D34" t="s">
        <v>633</v>
      </c>
      <c r="E34">
        <f t="shared" si="1"/>
        <v>2110</v>
      </c>
      <c r="F34">
        <f t="shared" si="0"/>
        <v>2110</v>
      </c>
      <c r="L34" t="s">
        <v>896</v>
      </c>
      <c r="M34" t="s">
        <v>897</v>
      </c>
      <c r="N34" t="s">
        <v>163</v>
      </c>
      <c r="O34" t="s">
        <v>162</v>
      </c>
      <c r="P34" t="s">
        <v>636</v>
      </c>
      <c r="Q34" t="s">
        <v>40</v>
      </c>
      <c r="S34" t="s">
        <v>606</v>
      </c>
      <c r="U34" t="s">
        <v>607</v>
      </c>
      <c r="AC34">
        <v>2050</v>
      </c>
      <c r="AD34" t="s">
        <v>12</v>
      </c>
      <c r="AE34">
        <v>2020</v>
      </c>
      <c r="AF34" t="s">
        <v>608</v>
      </c>
      <c r="AG34">
        <v>27</v>
      </c>
      <c r="AK34">
        <v>13.85371</v>
      </c>
      <c r="AL34">
        <v>51</v>
      </c>
      <c r="AN34">
        <v>2030</v>
      </c>
      <c r="AP34" t="s">
        <v>898</v>
      </c>
      <c r="AQ34" t="s">
        <v>899</v>
      </c>
      <c r="AR34" t="s">
        <v>900</v>
      </c>
      <c r="AS34" t="s">
        <v>633</v>
      </c>
      <c r="AT34" t="s">
        <v>615</v>
      </c>
      <c r="AU34" t="s">
        <v>602</v>
      </c>
      <c r="AV34" t="s">
        <v>602</v>
      </c>
      <c r="AW34" t="s">
        <v>602</v>
      </c>
      <c r="AX34" t="s">
        <v>602</v>
      </c>
      <c r="AY34" t="s">
        <v>602</v>
      </c>
      <c r="AZ34" t="s">
        <v>602</v>
      </c>
      <c r="BB34" t="s">
        <v>901</v>
      </c>
      <c r="BC34" t="s">
        <v>606</v>
      </c>
      <c r="BE34" t="s">
        <v>614</v>
      </c>
      <c r="BH34" t="s">
        <v>902</v>
      </c>
      <c r="BI34" t="s">
        <v>602</v>
      </c>
      <c r="BP34" t="s">
        <v>619</v>
      </c>
      <c r="BQ34">
        <v>207082377269.76001</v>
      </c>
      <c r="BS34">
        <v>11117874</v>
      </c>
      <c r="BX34">
        <v>39760000</v>
      </c>
      <c r="BY34">
        <v>2019</v>
      </c>
    </row>
    <row r="35" spans="1:77" x14ac:dyDescent="0.25">
      <c r="A35" t="s">
        <v>165</v>
      </c>
      <c r="B35" t="s">
        <v>164</v>
      </c>
      <c r="C35">
        <v>3</v>
      </c>
      <c r="D35" t="s">
        <v>633</v>
      </c>
      <c r="E35">
        <f t="shared" si="1"/>
        <v>2050</v>
      </c>
      <c r="F35">
        <f t="shared" si="0"/>
        <v>2050</v>
      </c>
      <c r="L35" t="s">
        <v>903</v>
      </c>
      <c r="M35" t="s">
        <v>904</v>
      </c>
      <c r="N35" t="s">
        <v>165</v>
      </c>
      <c r="O35" t="s">
        <v>164</v>
      </c>
      <c r="P35" t="s">
        <v>636</v>
      </c>
      <c r="Q35" t="s">
        <v>40</v>
      </c>
      <c r="S35" t="s">
        <v>606</v>
      </c>
      <c r="U35" t="s">
        <v>905</v>
      </c>
      <c r="AC35">
        <v>2050</v>
      </c>
      <c r="AD35" t="s">
        <v>8</v>
      </c>
      <c r="AE35">
        <v>2020</v>
      </c>
      <c r="AF35" t="s">
        <v>625</v>
      </c>
      <c r="AG35">
        <v>100</v>
      </c>
      <c r="AH35">
        <v>2021</v>
      </c>
      <c r="AN35">
        <v>2025</v>
      </c>
      <c r="AP35" t="s">
        <v>906</v>
      </c>
      <c r="AR35" t="s">
        <v>907</v>
      </c>
      <c r="AS35" t="s">
        <v>633</v>
      </c>
      <c r="AT35" t="s">
        <v>615</v>
      </c>
      <c r="AU35" t="s">
        <v>602</v>
      </c>
      <c r="AV35" t="s">
        <v>615</v>
      </c>
      <c r="AW35" t="s">
        <v>602</v>
      </c>
      <c r="AX35" t="s">
        <v>602</v>
      </c>
      <c r="AY35" t="s">
        <v>602</v>
      </c>
      <c r="AZ35" t="s">
        <v>602</v>
      </c>
      <c r="BA35" t="s">
        <v>606</v>
      </c>
      <c r="BB35" t="s">
        <v>908</v>
      </c>
      <c r="BC35" t="s">
        <v>606</v>
      </c>
      <c r="BE35" t="s">
        <v>614</v>
      </c>
      <c r="BF35" t="s">
        <v>606</v>
      </c>
      <c r="BG35" t="s">
        <v>602</v>
      </c>
      <c r="BH35" t="s">
        <v>909</v>
      </c>
      <c r="BI35" t="s">
        <v>602</v>
      </c>
      <c r="BM35" t="s">
        <v>615</v>
      </c>
      <c r="BN35" t="s">
        <v>767</v>
      </c>
      <c r="BO35" t="s">
        <v>910</v>
      </c>
      <c r="BP35" t="s">
        <v>619</v>
      </c>
      <c r="BQ35">
        <v>189879754187.29999</v>
      </c>
      <c r="BS35">
        <v>17797737</v>
      </c>
      <c r="BX35">
        <v>98700000</v>
      </c>
      <c r="BY35">
        <v>2019</v>
      </c>
    </row>
    <row r="36" spans="1:77" hidden="1" x14ac:dyDescent="0.25">
      <c r="A36" t="s">
        <v>173</v>
      </c>
      <c r="B36" t="s">
        <v>172</v>
      </c>
      <c r="C36">
        <v>1</v>
      </c>
      <c r="D36" t="s">
        <v>633</v>
      </c>
      <c r="E36">
        <f t="shared" si="1"/>
        <v>2110</v>
      </c>
      <c r="F36">
        <f t="shared" si="0"/>
        <v>2110</v>
      </c>
      <c r="L36" t="s">
        <v>911</v>
      </c>
      <c r="M36" t="s">
        <v>912</v>
      </c>
      <c r="N36" t="s">
        <v>173</v>
      </c>
      <c r="O36" t="s">
        <v>172</v>
      </c>
      <c r="P36" t="s">
        <v>624</v>
      </c>
      <c r="Q36" t="s">
        <v>40</v>
      </c>
      <c r="S36" t="s">
        <v>606</v>
      </c>
      <c r="U36" t="s">
        <v>607</v>
      </c>
      <c r="AC36">
        <v>2050</v>
      </c>
      <c r="AD36" t="s">
        <v>12</v>
      </c>
      <c r="AE36">
        <v>2018</v>
      </c>
      <c r="AF36" t="s">
        <v>625</v>
      </c>
      <c r="AG36">
        <v>6.2</v>
      </c>
      <c r="AH36">
        <v>2010</v>
      </c>
      <c r="AN36">
        <v>2025</v>
      </c>
      <c r="AO36" t="s">
        <v>913</v>
      </c>
      <c r="AP36" t="s">
        <v>914</v>
      </c>
      <c r="AQ36" t="s">
        <v>915</v>
      </c>
      <c r="AR36" t="s">
        <v>628</v>
      </c>
      <c r="AS36" t="s">
        <v>633</v>
      </c>
      <c r="AT36" t="s">
        <v>602</v>
      </c>
      <c r="AU36" t="s">
        <v>602</v>
      </c>
      <c r="AV36" t="s">
        <v>606</v>
      </c>
      <c r="AW36" t="s">
        <v>606</v>
      </c>
      <c r="AX36" t="s">
        <v>602</v>
      </c>
      <c r="AY36" t="s">
        <v>602</v>
      </c>
      <c r="AZ36" t="s">
        <v>602</v>
      </c>
      <c r="BB36" t="s">
        <v>916</v>
      </c>
      <c r="BC36" t="s">
        <v>615</v>
      </c>
      <c r="BD36" t="s">
        <v>917</v>
      </c>
      <c r="BE36" t="s">
        <v>614</v>
      </c>
      <c r="BF36" t="s">
        <v>615</v>
      </c>
      <c r="BG36" t="s">
        <v>602</v>
      </c>
      <c r="BH36" t="s">
        <v>918</v>
      </c>
      <c r="BI36" t="s">
        <v>602</v>
      </c>
      <c r="BN36" t="s">
        <v>602</v>
      </c>
      <c r="BO36" t="s">
        <v>919</v>
      </c>
      <c r="BP36" t="s">
        <v>619</v>
      </c>
      <c r="BS36">
        <v>3620312</v>
      </c>
      <c r="BX36">
        <v>6780000</v>
      </c>
      <c r="BY36">
        <v>2019</v>
      </c>
    </row>
    <row r="37" spans="1:77" x14ac:dyDescent="0.25">
      <c r="A37" t="s">
        <v>413</v>
      </c>
      <c r="B37" t="s">
        <v>412</v>
      </c>
      <c r="C37">
        <v>4</v>
      </c>
      <c r="D37" t="s">
        <v>633</v>
      </c>
      <c r="E37">
        <f t="shared" si="1"/>
        <v>2050</v>
      </c>
      <c r="F37">
        <f t="shared" si="0"/>
        <v>2050</v>
      </c>
      <c r="L37" t="s">
        <v>920</v>
      </c>
      <c r="M37" t="s">
        <v>921</v>
      </c>
      <c r="N37" t="s">
        <v>413</v>
      </c>
      <c r="O37" t="s">
        <v>412</v>
      </c>
      <c r="P37" t="s">
        <v>665</v>
      </c>
      <c r="Q37" t="s">
        <v>40</v>
      </c>
      <c r="S37" t="s">
        <v>606</v>
      </c>
      <c r="U37" t="s">
        <v>666</v>
      </c>
      <c r="AC37">
        <v>2050</v>
      </c>
      <c r="AD37" t="s">
        <v>667</v>
      </c>
      <c r="AE37">
        <v>2021</v>
      </c>
      <c r="AF37" t="s">
        <v>625</v>
      </c>
      <c r="AG37">
        <v>23</v>
      </c>
      <c r="AH37">
        <v>1990</v>
      </c>
      <c r="AN37">
        <v>2030</v>
      </c>
      <c r="AO37" t="s">
        <v>922</v>
      </c>
      <c r="AP37" t="s">
        <v>923</v>
      </c>
      <c r="AQ37" t="s">
        <v>924</v>
      </c>
      <c r="AR37" t="s">
        <v>925</v>
      </c>
      <c r="AS37" t="s">
        <v>633</v>
      </c>
      <c r="AT37" t="s">
        <v>615</v>
      </c>
      <c r="AU37" t="s">
        <v>606</v>
      </c>
      <c r="AV37" t="s">
        <v>615</v>
      </c>
      <c r="AW37" t="s">
        <v>615</v>
      </c>
      <c r="AX37" t="s">
        <v>602</v>
      </c>
      <c r="AY37" t="s">
        <v>602</v>
      </c>
      <c r="AZ37" t="s">
        <v>602</v>
      </c>
      <c r="BA37" t="s">
        <v>606</v>
      </c>
      <c r="BB37" t="s">
        <v>926</v>
      </c>
      <c r="BC37" t="s">
        <v>615</v>
      </c>
      <c r="BD37" t="s">
        <v>735</v>
      </c>
      <c r="BE37" t="s">
        <v>674</v>
      </c>
      <c r="BF37" t="s">
        <v>615</v>
      </c>
      <c r="BG37" t="s">
        <v>602</v>
      </c>
      <c r="BH37" t="s">
        <v>927</v>
      </c>
      <c r="BI37" t="s">
        <v>602</v>
      </c>
      <c r="BM37" t="s">
        <v>606</v>
      </c>
      <c r="BN37" t="s">
        <v>606</v>
      </c>
      <c r="BO37" t="s">
        <v>928</v>
      </c>
      <c r="BP37" t="s">
        <v>619</v>
      </c>
      <c r="BQ37">
        <v>1803044631099.3999</v>
      </c>
      <c r="BS37">
        <v>47486935</v>
      </c>
      <c r="BX37">
        <v>293080000</v>
      </c>
      <c r="BY37">
        <v>2019</v>
      </c>
    </row>
    <row r="38" spans="1:77" x14ac:dyDescent="0.25">
      <c r="A38" t="s">
        <v>175</v>
      </c>
      <c r="B38" t="s">
        <v>174</v>
      </c>
      <c r="C38">
        <v>2</v>
      </c>
      <c r="D38" t="s">
        <v>633</v>
      </c>
      <c r="E38">
        <f t="shared" si="1"/>
        <v>2050</v>
      </c>
      <c r="F38">
        <f t="shared" si="0"/>
        <v>2050</v>
      </c>
      <c r="L38" t="s">
        <v>929</v>
      </c>
      <c r="M38" t="s">
        <v>930</v>
      </c>
      <c r="N38" t="s">
        <v>175</v>
      </c>
      <c r="O38" t="s">
        <v>174</v>
      </c>
      <c r="P38" t="s">
        <v>665</v>
      </c>
      <c r="Q38" t="s">
        <v>40</v>
      </c>
      <c r="S38" t="s">
        <v>606</v>
      </c>
      <c r="U38" t="s">
        <v>666</v>
      </c>
      <c r="AC38">
        <v>2050</v>
      </c>
      <c r="AD38" t="s">
        <v>10</v>
      </c>
      <c r="AE38">
        <v>2021</v>
      </c>
      <c r="AF38" t="s">
        <v>625</v>
      </c>
      <c r="AG38">
        <v>70</v>
      </c>
      <c r="AH38">
        <v>1990</v>
      </c>
      <c r="AN38">
        <v>2030</v>
      </c>
      <c r="AO38" t="s">
        <v>931</v>
      </c>
      <c r="AP38" t="s">
        <v>932</v>
      </c>
      <c r="AQ38" t="s">
        <v>933</v>
      </c>
      <c r="AR38" t="s">
        <v>934</v>
      </c>
      <c r="AS38" t="s">
        <v>633</v>
      </c>
      <c r="AT38" t="s">
        <v>615</v>
      </c>
      <c r="AU38" t="s">
        <v>602</v>
      </c>
      <c r="AV38" t="s">
        <v>606</v>
      </c>
      <c r="AW38" t="s">
        <v>606</v>
      </c>
      <c r="AX38" t="s">
        <v>602</v>
      </c>
      <c r="AY38" t="s">
        <v>602</v>
      </c>
      <c r="AZ38" t="s">
        <v>602</v>
      </c>
      <c r="BA38" t="s">
        <v>606</v>
      </c>
      <c r="BC38" t="s">
        <v>615</v>
      </c>
      <c r="BD38" t="s">
        <v>725</v>
      </c>
      <c r="BE38" t="s">
        <v>674</v>
      </c>
      <c r="BF38" t="s">
        <v>615</v>
      </c>
      <c r="BG38" t="s">
        <v>602</v>
      </c>
      <c r="BH38" t="s">
        <v>935</v>
      </c>
      <c r="BI38" t="s">
        <v>602</v>
      </c>
      <c r="BM38" t="s">
        <v>606</v>
      </c>
      <c r="BN38" t="s">
        <v>617</v>
      </c>
      <c r="BP38" t="s">
        <v>619</v>
      </c>
      <c r="BQ38">
        <v>50787350724.929001</v>
      </c>
      <c r="BS38">
        <v>1328701</v>
      </c>
      <c r="BX38">
        <v>14830000</v>
      </c>
      <c r="BY38">
        <v>2019</v>
      </c>
    </row>
    <row r="39" spans="1:77" x14ac:dyDescent="0.25">
      <c r="A39" t="s">
        <v>177</v>
      </c>
      <c r="B39" t="s">
        <v>176</v>
      </c>
      <c r="C39">
        <v>3</v>
      </c>
      <c r="D39" t="s">
        <v>633</v>
      </c>
      <c r="E39">
        <f t="shared" si="1"/>
        <v>2050</v>
      </c>
      <c r="F39">
        <f t="shared" si="0"/>
        <v>2050</v>
      </c>
      <c r="L39" t="s">
        <v>936</v>
      </c>
      <c r="M39" t="s">
        <v>937</v>
      </c>
      <c r="N39" t="s">
        <v>177</v>
      </c>
      <c r="O39" t="s">
        <v>176</v>
      </c>
      <c r="P39" t="s">
        <v>624</v>
      </c>
      <c r="Q39" t="s">
        <v>40</v>
      </c>
      <c r="S39" t="s">
        <v>606</v>
      </c>
      <c r="U39" t="s">
        <v>607</v>
      </c>
      <c r="AC39">
        <v>2050</v>
      </c>
      <c r="AD39" t="s">
        <v>8</v>
      </c>
      <c r="AE39">
        <v>2019</v>
      </c>
      <c r="AF39" t="s">
        <v>608</v>
      </c>
      <c r="AG39">
        <v>69</v>
      </c>
      <c r="AK39">
        <v>126</v>
      </c>
      <c r="AL39">
        <v>403</v>
      </c>
      <c r="AN39">
        <v>2030</v>
      </c>
      <c r="AO39" t="s">
        <v>938</v>
      </c>
      <c r="AP39" t="s">
        <v>939</v>
      </c>
      <c r="AR39" t="s">
        <v>628</v>
      </c>
      <c r="AS39" t="s">
        <v>633</v>
      </c>
      <c r="AT39" t="s">
        <v>602</v>
      </c>
      <c r="AU39" t="s">
        <v>602</v>
      </c>
      <c r="AV39" t="s">
        <v>602</v>
      </c>
      <c r="AW39" t="s">
        <v>602</v>
      </c>
      <c r="AX39" t="s">
        <v>602</v>
      </c>
      <c r="AY39" t="s">
        <v>602</v>
      </c>
      <c r="AZ39" t="s">
        <v>602</v>
      </c>
      <c r="BA39" t="s">
        <v>606</v>
      </c>
      <c r="BB39" t="s">
        <v>940</v>
      </c>
      <c r="BC39" t="s">
        <v>615</v>
      </c>
      <c r="BD39" t="s">
        <v>746</v>
      </c>
      <c r="BE39" t="s">
        <v>614</v>
      </c>
      <c r="BF39" t="s">
        <v>606</v>
      </c>
      <c r="BG39" t="s">
        <v>602</v>
      </c>
      <c r="BH39" t="s">
        <v>941</v>
      </c>
      <c r="BI39" t="s">
        <v>602</v>
      </c>
      <c r="BM39" t="s">
        <v>606</v>
      </c>
      <c r="BN39" t="s">
        <v>676</v>
      </c>
      <c r="BO39" t="s">
        <v>942</v>
      </c>
      <c r="BP39" t="s">
        <v>619</v>
      </c>
      <c r="BQ39">
        <v>278944546855.10999</v>
      </c>
      <c r="BS39">
        <v>120283026</v>
      </c>
      <c r="BX39">
        <v>183370000</v>
      </c>
      <c r="BY39">
        <v>2019</v>
      </c>
    </row>
    <row r="40" spans="1:77" x14ac:dyDescent="0.25">
      <c r="A40" t="s">
        <v>185</v>
      </c>
      <c r="B40" t="s">
        <v>184</v>
      </c>
      <c r="C40">
        <v>4</v>
      </c>
      <c r="D40" t="s">
        <v>633</v>
      </c>
      <c r="E40">
        <f t="shared" si="1"/>
        <v>2035</v>
      </c>
      <c r="F40">
        <f t="shared" si="0"/>
        <v>2035</v>
      </c>
      <c r="L40" t="s">
        <v>943</v>
      </c>
      <c r="M40" t="s">
        <v>944</v>
      </c>
      <c r="N40" t="s">
        <v>185</v>
      </c>
      <c r="O40" t="s">
        <v>184</v>
      </c>
      <c r="P40" t="s">
        <v>665</v>
      </c>
      <c r="Q40" t="s">
        <v>40</v>
      </c>
      <c r="S40" t="s">
        <v>606</v>
      </c>
      <c r="U40" t="s">
        <v>666</v>
      </c>
      <c r="AC40">
        <v>2035</v>
      </c>
      <c r="AD40" t="s">
        <v>667</v>
      </c>
      <c r="AE40">
        <v>2022</v>
      </c>
      <c r="AF40" t="s">
        <v>625</v>
      </c>
      <c r="AG40">
        <v>60</v>
      </c>
      <c r="AH40">
        <v>1990</v>
      </c>
      <c r="AN40">
        <v>2030</v>
      </c>
      <c r="AO40" t="s">
        <v>945</v>
      </c>
      <c r="AP40" t="s">
        <v>946</v>
      </c>
      <c r="AQ40" t="s">
        <v>947</v>
      </c>
      <c r="AR40" t="s">
        <v>948</v>
      </c>
      <c r="AS40" t="s">
        <v>633</v>
      </c>
      <c r="AT40" t="s">
        <v>615</v>
      </c>
      <c r="AU40" t="s">
        <v>602</v>
      </c>
      <c r="AV40" t="s">
        <v>615</v>
      </c>
      <c r="AW40" t="s">
        <v>615</v>
      </c>
      <c r="AX40" t="s">
        <v>602</v>
      </c>
      <c r="AY40" t="s">
        <v>602</v>
      </c>
      <c r="AZ40" t="s">
        <v>602</v>
      </c>
      <c r="BA40" t="s">
        <v>606</v>
      </c>
      <c r="BB40" t="s">
        <v>949</v>
      </c>
      <c r="BC40" t="s">
        <v>615</v>
      </c>
      <c r="BD40" t="s">
        <v>950</v>
      </c>
      <c r="BE40" t="s">
        <v>674</v>
      </c>
      <c r="BF40" t="s">
        <v>615</v>
      </c>
      <c r="BG40" t="s">
        <v>602</v>
      </c>
      <c r="BH40" t="s">
        <v>951</v>
      </c>
      <c r="BI40" t="s">
        <v>615</v>
      </c>
      <c r="BJ40" t="s">
        <v>715</v>
      </c>
      <c r="BM40" t="s">
        <v>606</v>
      </c>
      <c r="BN40" t="s">
        <v>767</v>
      </c>
      <c r="BO40" t="s">
        <v>952</v>
      </c>
      <c r="BP40" t="s">
        <v>619</v>
      </c>
      <c r="BQ40">
        <v>271192366750.76001</v>
      </c>
      <c r="BS40">
        <v>5535992</v>
      </c>
      <c r="BX40">
        <v>58420000</v>
      </c>
      <c r="BY40">
        <v>2019</v>
      </c>
    </row>
    <row r="41" spans="1:77" x14ac:dyDescent="0.25">
      <c r="A41" t="s">
        <v>183</v>
      </c>
      <c r="B41" t="s">
        <v>182</v>
      </c>
      <c r="C41">
        <v>4</v>
      </c>
      <c r="D41" t="s">
        <v>633</v>
      </c>
      <c r="E41">
        <f t="shared" si="1"/>
        <v>2050</v>
      </c>
      <c r="F41">
        <f t="shared" si="0"/>
        <v>2050</v>
      </c>
      <c r="L41" t="s">
        <v>953</v>
      </c>
      <c r="M41" t="s">
        <v>954</v>
      </c>
      <c r="N41" t="s">
        <v>183</v>
      </c>
      <c r="O41" t="s">
        <v>182</v>
      </c>
      <c r="P41" t="s">
        <v>955</v>
      </c>
      <c r="Q41" t="s">
        <v>40</v>
      </c>
      <c r="S41" t="s">
        <v>606</v>
      </c>
      <c r="U41" t="s">
        <v>607</v>
      </c>
      <c r="AC41">
        <v>2050</v>
      </c>
      <c r="AD41" t="s">
        <v>667</v>
      </c>
      <c r="AF41" t="s">
        <v>780</v>
      </c>
      <c r="AH41">
        <v>2013</v>
      </c>
      <c r="AJ41">
        <v>1500000</v>
      </c>
      <c r="AK41">
        <v>2431000</v>
      </c>
      <c r="AN41">
        <v>2030</v>
      </c>
      <c r="AO41" t="s">
        <v>956</v>
      </c>
      <c r="AP41" t="s">
        <v>957</v>
      </c>
      <c r="AQ41" t="s">
        <v>958</v>
      </c>
      <c r="AR41" t="s">
        <v>959</v>
      </c>
      <c r="AS41" t="s">
        <v>633</v>
      </c>
      <c r="AT41" t="s">
        <v>615</v>
      </c>
      <c r="AU41" t="s">
        <v>606</v>
      </c>
      <c r="AV41" t="s">
        <v>606</v>
      </c>
      <c r="AW41" t="s">
        <v>606</v>
      </c>
      <c r="AX41" t="s">
        <v>602</v>
      </c>
      <c r="AY41" t="s">
        <v>602</v>
      </c>
      <c r="AZ41" t="s">
        <v>602</v>
      </c>
      <c r="BA41" t="s">
        <v>606</v>
      </c>
      <c r="BB41" t="s">
        <v>960</v>
      </c>
      <c r="BC41" t="s">
        <v>615</v>
      </c>
      <c r="BD41" t="s">
        <v>950</v>
      </c>
      <c r="BE41" t="s">
        <v>614</v>
      </c>
      <c r="BF41" t="s">
        <v>615</v>
      </c>
      <c r="BG41" t="s">
        <v>606</v>
      </c>
      <c r="BH41" t="s">
        <v>961</v>
      </c>
      <c r="BI41" t="s">
        <v>615</v>
      </c>
      <c r="BJ41" t="s">
        <v>962</v>
      </c>
      <c r="BL41" t="s">
        <v>963</v>
      </c>
      <c r="BM41" t="s">
        <v>606</v>
      </c>
      <c r="BN41" t="s">
        <v>602</v>
      </c>
      <c r="BP41" t="s">
        <v>619</v>
      </c>
      <c r="BQ41">
        <v>9911531268.9734001</v>
      </c>
      <c r="BS41">
        <v>924610</v>
      </c>
      <c r="BX41">
        <v>283410</v>
      </c>
      <c r="BY41">
        <v>2019</v>
      </c>
    </row>
    <row r="42" spans="1:77" x14ac:dyDescent="0.25">
      <c r="A42" t="s">
        <v>187</v>
      </c>
      <c r="B42" t="s">
        <v>186</v>
      </c>
      <c r="C42">
        <v>4</v>
      </c>
      <c r="D42" t="s">
        <v>633</v>
      </c>
      <c r="E42">
        <f t="shared" si="1"/>
        <v>2050</v>
      </c>
      <c r="F42">
        <f t="shared" si="0"/>
        <v>2050</v>
      </c>
      <c r="L42" t="s">
        <v>964</v>
      </c>
      <c r="M42" t="s">
        <v>965</v>
      </c>
      <c r="N42" t="s">
        <v>187</v>
      </c>
      <c r="O42" t="s">
        <v>186</v>
      </c>
      <c r="P42" t="s">
        <v>665</v>
      </c>
      <c r="Q42" t="s">
        <v>40</v>
      </c>
      <c r="S42" t="s">
        <v>606</v>
      </c>
      <c r="U42" t="s">
        <v>607</v>
      </c>
      <c r="AC42">
        <v>2050</v>
      </c>
      <c r="AD42" t="s">
        <v>667</v>
      </c>
      <c r="AE42">
        <v>2019</v>
      </c>
      <c r="AF42" t="s">
        <v>625</v>
      </c>
      <c r="AG42">
        <v>55</v>
      </c>
      <c r="AH42">
        <v>1990</v>
      </c>
      <c r="AN42">
        <v>2030</v>
      </c>
      <c r="AO42" t="s">
        <v>966</v>
      </c>
      <c r="AP42" t="s">
        <v>967</v>
      </c>
      <c r="AQ42" t="s">
        <v>968</v>
      </c>
      <c r="AR42" t="s">
        <v>969</v>
      </c>
      <c r="AS42" t="s">
        <v>633</v>
      </c>
      <c r="AT42" t="s">
        <v>615</v>
      </c>
      <c r="AU42" t="s">
        <v>606</v>
      </c>
      <c r="AV42" t="s">
        <v>606</v>
      </c>
      <c r="AW42" t="s">
        <v>606</v>
      </c>
      <c r="AX42" t="s">
        <v>602</v>
      </c>
      <c r="AY42" t="s">
        <v>602</v>
      </c>
      <c r="AZ42" t="s">
        <v>602</v>
      </c>
      <c r="BA42" t="s">
        <v>606</v>
      </c>
      <c r="BB42" t="s">
        <v>970</v>
      </c>
      <c r="BC42" t="s">
        <v>615</v>
      </c>
      <c r="BD42" t="s">
        <v>971</v>
      </c>
      <c r="BE42" t="s">
        <v>674</v>
      </c>
      <c r="BF42" t="s">
        <v>615</v>
      </c>
      <c r="BG42" t="s">
        <v>602</v>
      </c>
      <c r="BH42" t="s">
        <v>972</v>
      </c>
      <c r="BI42" t="s">
        <v>606</v>
      </c>
      <c r="BM42" t="s">
        <v>615</v>
      </c>
      <c r="BN42" t="s">
        <v>767</v>
      </c>
      <c r="BO42" t="s">
        <v>973</v>
      </c>
      <c r="BP42" t="s">
        <v>619</v>
      </c>
      <c r="BQ42">
        <v>3050122936380.7998</v>
      </c>
      <c r="BS42">
        <v>64531444</v>
      </c>
      <c r="BX42">
        <v>352100000</v>
      </c>
      <c r="BY42">
        <v>2019</v>
      </c>
    </row>
    <row r="43" spans="1:77" x14ac:dyDescent="0.25">
      <c r="A43" t="s">
        <v>974</v>
      </c>
      <c r="B43" t="s">
        <v>308</v>
      </c>
      <c r="C43">
        <v>2</v>
      </c>
      <c r="D43" t="s">
        <v>602</v>
      </c>
      <c r="E43">
        <f t="shared" si="1"/>
        <v>2050</v>
      </c>
      <c r="F43">
        <f t="shared" si="0"/>
        <v>2065</v>
      </c>
      <c r="L43" t="s">
        <v>975</v>
      </c>
      <c r="M43" t="s">
        <v>976</v>
      </c>
      <c r="N43" t="s">
        <v>974</v>
      </c>
      <c r="O43" t="s">
        <v>308</v>
      </c>
      <c r="P43" t="s">
        <v>955</v>
      </c>
      <c r="Q43" t="s">
        <v>40</v>
      </c>
      <c r="S43" t="s">
        <v>606</v>
      </c>
      <c r="U43" t="s">
        <v>607</v>
      </c>
      <c r="AC43">
        <v>2050</v>
      </c>
      <c r="AD43" t="s">
        <v>10</v>
      </c>
      <c r="AE43">
        <v>2015</v>
      </c>
      <c r="AF43" t="s">
        <v>625</v>
      </c>
      <c r="AG43">
        <v>28</v>
      </c>
      <c r="AH43">
        <v>2000</v>
      </c>
      <c r="AN43">
        <v>2025</v>
      </c>
      <c r="AO43" t="s">
        <v>977</v>
      </c>
      <c r="AP43" t="s">
        <v>978</v>
      </c>
      <c r="AQ43" t="s">
        <v>979</v>
      </c>
      <c r="AR43" t="s">
        <v>980</v>
      </c>
      <c r="AS43" t="s">
        <v>602</v>
      </c>
      <c r="AT43" t="s">
        <v>602</v>
      </c>
      <c r="AU43" t="s">
        <v>602</v>
      </c>
      <c r="AV43" t="s">
        <v>602</v>
      </c>
      <c r="AW43" t="s">
        <v>602</v>
      </c>
      <c r="BA43" t="s">
        <v>606</v>
      </c>
      <c r="BC43" t="s">
        <v>606</v>
      </c>
      <c r="BE43" t="s">
        <v>614</v>
      </c>
      <c r="BF43" t="s">
        <v>606</v>
      </c>
      <c r="BG43" t="s">
        <v>602</v>
      </c>
      <c r="BI43" t="s">
        <v>602</v>
      </c>
      <c r="BM43" t="s">
        <v>606</v>
      </c>
      <c r="BN43" t="s">
        <v>602</v>
      </c>
      <c r="BP43" t="s">
        <v>619</v>
      </c>
      <c r="BQ43">
        <v>375055258.19940001</v>
      </c>
      <c r="BS43">
        <v>112107</v>
      </c>
      <c r="BX43">
        <v>230000</v>
      </c>
      <c r="BY43">
        <v>2019</v>
      </c>
    </row>
    <row r="44" spans="1:77" x14ac:dyDescent="0.25">
      <c r="A44" t="s">
        <v>193</v>
      </c>
      <c r="B44" t="s">
        <v>192</v>
      </c>
      <c r="C44">
        <v>5</v>
      </c>
      <c r="D44" t="s">
        <v>633</v>
      </c>
      <c r="E44">
        <f t="shared" si="1"/>
        <v>2050</v>
      </c>
      <c r="F44">
        <f t="shared" si="0"/>
        <v>2050</v>
      </c>
      <c r="L44" t="s">
        <v>981</v>
      </c>
      <c r="M44" t="s">
        <v>982</v>
      </c>
      <c r="N44" t="s">
        <v>193</v>
      </c>
      <c r="O44" t="s">
        <v>192</v>
      </c>
      <c r="P44" t="s">
        <v>624</v>
      </c>
      <c r="Q44" t="s">
        <v>40</v>
      </c>
      <c r="S44" t="s">
        <v>606</v>
      </c>
      <c r="U44" t="s">
        <v>680</v>
      </c>
      <c r="AC44">
        <v>2050</v>
      </c>
      <c r="AD44" t="s">
        <v>5</v>
      </c>
      <c r="AE44">
        <v>2020</v>
      </c>
      <c r="AF44" t="s">
        <v>518</v>
      </c>
      <c r="AM44" t="s">
        <v>983</v>
      </c>
      <c r="AN44">
        <v>2030</v>
      </c>
      <c r="AO44" t="s">
        <v>984</v>
      </c>
      <c r="AP44" t="s">
        <v>985</v>
      </c>
      <c r="AQ44" t="s">
        <v>986</v>
      </c>
      <c r="AR44" t="s">
        <v>987</v>
      </c>
      <c r="AS44" t="s">
        <v>633</v>
      </c>
      <c r="AU44" t="s">
        <v>602</v>
      </c>
      <c r="AV44" t="s">
        <v>602</v>
      </c>
      <c r="AW44" t="s">
        <v>602</v>
      </c>
      <c r="AX44" t="s">
        <v>602</v>
      </c>
      <c r="AY44" t="s">
        <v>602</v>
      </c>
      <c r="AZ44" t="s">
        <v>602</v>
      </c>
      <c r="BA44" t="s">
        <v>606</v>
      </c>
      <c r="BB44" t="s">
        <v>988</v>
      </c>
      <c r="BC44" t="s">
        <v>606</v>
      </c>
      <c r="BE44" t="s">
        <v>614</v>
      </c>
      <c r="BF44" t="s">
        <v>615</v>
      </c>
      <c r="BG44" t="s">
        <v>602</v>
      </c>
      <c r="BH44" t="s">
        <v>989</v>
      </c>
      <c r="BI44" t="s">
        <v>602</v>
      </c>
      <c r="BM44" t="s">
        <v>606</v>
      </c>
      <c r="BN44" t="s">
        <v>617</v>
      </c>
      <c r="BO44" t="s">
        <v>990</v>
      </c>
      <c r="BP44" t="s">
        <v>619</v>
      </c>
      <c r="BQ44">
        <v>32354127757.630001</v>
      </c>
      <c r="BS44">
        <v>2341179</v>
      </c>
      <c r="BX44">
        <v>19680000</v>
      </c>
      <c r="BY44">
        <v>2019</v>
      </c>
    </row>
    <row r="45" spans="1:77" x14ac:dyDescent="0.25">
      <c r="A45" t="s">
        <v>473</v>
      </c>
      <c r="B45" t="s">
        <v>472</v>
      </c>
      <c r="C45">
        <v>4</v>
      </c>
      <c r="D45" t="s">
        <v>633</v>
      </c>
      <c r="E45">
        <f t="shared" si="1"/>
        <v>2050</v>
      </c>
      <c r="F45">
        <f t="shared" si="0"/>
        <v>2050</v>
      </c>
      <c r="L45" t="s">
        <v>991</v>
      </c>
      <c r="M45" t="s">
        <v>992</v>
      </c>
      <c r="N45" t="s">
        <v>473</v>
      </c>
      <c r="O45" t="s">
        <v>472</v>
      </c>
      <c r="P45" t="s">
        <v>665</v>
      </c>
      <c r="Q45" t="s">
        <v>40</v>
      </c>
      <c r="S45" t="s">
        <v>606</v>
      </c>
      <c r="U45" t="s">
        <v>607</v>
      </c>
      <c r="AC45">
        <v>2050</v>
      </c>
      <c r="AD45" t="s">
        <v>667</v>
      </c>
      <c r="AE45">
        <v>2020</v>
      </c>
      <c r="AF45" t="s">
        <v>625</v>
      </c>
      <c r="AG45">
        <v>68</v>
      </c>
      <c r="AH45">
        <v>1990</v>
      </c>
      <c r="AN45">
        <v>2030</v>
      </c>
      <c r="AO45" t="s">
        <v>993</v>
      </c>
      <c r="AP45" t="s">
        <v>994</v>
      </c>
      <c r="AQ45" t="s">
        <v>995</v>
      </c>
      <c r="AR45" t="s">
        <v>996</v>
      </c>
      <c r="AS45" t="s">
        <v>633</v>
      </c>
      <c r="AT45" t="s">
        <v>615</v>
      </c>
      <c r="AU45" t="s">
        <v>606</v>
      </c>
      <c r="AV45" t="s">
        <v>615</v>
      </c>
      <c r="AW45" t="s">
        <v>615</v>
      </c>
      <c r="AX45" t="s">
        <v>602</v>
      </c>
      <c r="AY45" t="s">
        <v>602</v>
      </c>
      <c r="AZ45" t="s">
        <v>602</v>
      </c>
      <c r="BA45" t="s">
        <v>606</v>
      </c>
      <c r="BB45" t="s">
        <v>997</v>
      </c>
      <c r="BC45" t="s">
        <v>615</v>
      </c>
      <c r="BD45" t="s">
        <v>998</v>
      </c>
      <c r="BE45" t="s">
        <v>674</v>
      </c>
      <c r="BF45" t="s">
        <v>615</v>
      </c>
      <c r="BG45" t="s">
        <v>615</v>
      </c>
      <c r="BH45" t="s">
        <v>999</v>
      </c>
      <c r="BI45" t="s">
        <v>615</v>
      </c>
      <c r="BJ45" t="s">
        <v>715</v>
      </c>
      <c r="BM45" t="s">
        <v>615</v>
      </c>
      <c r="BN45" t="s">
        <v>676</v>
      </c>
      <c r="BO45" t="s">
        <v>1000</v>
      </c>
      <c r="BP45" t="s">
        <v>619</v>
      </c>
      <c r="BQ45">
        <v>3086192926037.2998</v>
      </c>
      <c r="BS45">
        <v>67281040</v>
      </c>
      <c r="BX45">
        <v>429130000</v>
      </c>
      <c r="BY45">
        <v>2019</v>
      </c>
    </row>
    <row r="46" spans="1:77" hidden="1" x14ac:dyDescent="0.25">
      <c r="A46" t="s">
        <v>215</v>
      </c>
      <c r="B46" t="s">
        <v>214</v>
      </c>
      <c r="C46">
        <v>1</v>
      </c>
      <c r="D46" t="s">
        <v>633</v>
      </c>
      <c r="E46">
        <f t="shared" si="1"/>
        <v>2110</v>
      </c>
      <c r="F46">
        <f t="shared" si="0"/>
        <v>2110</v>
      </c>
      <c r="L46" t="s">
        <v>1001</v>
      </c>
      <c r="M46" t="s">
        <v>1002</v>
      </c>
      <c r="N46" t="s">
        <v>215</v>
      </c>
      <c r="O46" t="s">
        <v>214</v>
      </c>
      <c r="P46" t="s">
        <v>624</v>
      </c>
      <c r="Q46" t="s">
        <v>40</v>
      </c>
      <c r="S46" t="s">
        <v>606</v>
      </c>
      <c r="U46" t="s">
        <v>607</v>
      </c>
      <c r="AC46">
        <v>2050</v>
      </c>
      <c r="AD46" t="s">
        <v>12</v>
      </c>
      <c r="AE46">
        <v>2020</v>
      </c>
      <c r="AF46" t="s">
        <v>625</v>
      </c>
      <c r="AG46">
        <v>13</v>
      </c>
      <c r="AH46">
        <v>1994</v>
      </c>
      <c r="AN46">
        <v>2030</v>
      </c>
      <c r="AP46" t="s">
        <v>1003</v>
      </c>
      <c r="AQ46" t="s">
        <v>1004</v>
      </c>
      <c r="AR46" t="s">
        <v>612</v>
      </c>
      <c r="AS46" t="s">
        <v>633</v>
      </c>
      <c r="AT46" t="s">
        <v>602</v>
      </c>
      <c r="AU46" t="s">
        <v>606</v>
      </c>
      <c r="AV46" t="s">
        <v>606</v>
      </c>
      <c r="AW46" t="s">
        <v>606</v>
      </c>
      <c r="AX46" t="s">
        <v>602</v>
      </c>
      <c r="AY46" t="s">
        <v>602</v>
      </c>
      <c r="AZ46" t="s">
        <v>602</v>
      </c>
      <c r="BC46" t="s">
        <v>615</v>
      </c>
      <c r="BD46" t="s">
        <v>746</v>
      </c>
      <c r="BE46" t="s">
        <v>614</v>
      </c>
      <c r="BF46" t="s">
        <v>615</v>
      </c>
      <c r="BG46" t="s">
        <v>602</v>
      </c>
      <c r="BH46" t="s">
        <v>1005</v>
      </c>
      <c r="BI46" t="s">
        <v>602</v>
      </c>
      <c r="BN46" t="s">
        <v>617</v>
      </c>
      <c r="BO46" t="s">
        <v>1006</v>
      </c>
      <c r="BP46" t="s">
        <v>619</v>
      </c>
      <c r="BQ46">
        <v>35366128756.641998</v>
      </c>
      <c r="BS46">
        <v>13531906</v>
      </c>
      <c r="BX46">
        <v>40610000</v>
      </c>
      <c r="BY46">
        <v>2019</v>
      </c>
    </row>
    <row r="47" spans="1:77" x14ac:dyDescent="0.25">
      <c r="A47" t="s">
        <v>1007</v>
      </c>
      <c r="B47" t="s">
        <v>194</v>
      </c>
      <c r="C47">
        <v>3</v>
      </c>
      <c r="D47" t="s">
        <v>620</v>
      </c>
      <c r="E47">
        <f t="shared" si="1"/>
        <v>2050</v>
      </c>
      <c r="F47">
        <f t="shared" si="0"/>
        <v>2065</v>
      </c>
      <c r="L47" t="s">
        <v>1008</v>
      </c>
      <c r="M47" t="s">
        <v>1009</v>
      </c>
      <c r="N47" t="s">
        <v>1007</v>
      </c>
      <c r="O47" t="s">
        <v>194</v>
      </c>
      <c r="P47" t="s">
        <v>624</v>
      </c>
      <c r="Q47" t="s">
        <v>40</v>
      </c>
      <c r="S47" t="s">
        <v>606</v>
      </c>
      <c r="U47" t="s">
        <v>607</v>
      </c>
      <c r="AC47">
        <v>2050</v>
      </c>
      <c r="AD47" t="s">
        <v>8</v>
      </c>
      <c r="AE47">
        <v>2021</v>
      </c>
      <c r="AF47" t="s">
        <v>608</v>
      </c>
      <c r="AG47">
        <v>49.7</v>
      </c>
      <c r="AK47">
        <v>3288</v>
      </c>
      <c r="AL47">
        <v>6617</v>
      </c>
      <c r="AN47">
        <v>2030</v>
      </c>
      <c r="AO47" t="s">
        <v>1010</v>
      </c>
      <c r="AP47" t="s">
        <v>1011</v>
      </c>
      <c r="AQ47" t="s">
        <v>1012</v>
      </c>
      <c r="AR47" t="s">
        <v>1013</v>
      </c>
      <c r="AS47" t="s">
        <v>620</v>
      </c>
      <c r="AT47" t="s">
        <v>602</v>
      </c>
      <c r="AU47" t="s">
        <v>602</v>
      </c>
      <c r="AV47" t="s">
        <v>602</v>
      </c>
      <c r="AW47" t="s">
        <v>602</v>
      </c>
      <c r="BA47" t="s">
        <v>606</v>
      </c>
      <c r="BB47" t="s">
        <v>1014</v>
      </c>
      <c r="BC47" t="s">
        <v>615</v>
      </c>
      <c r="BD47" t="s">
        <v>1015</v>
      </c>
      <c r="BE47" t="s">
        <v>630</v>
      </c>
      <c r="BF47" t="s">
        <v>615</v>
      </c>
      <c r="BG47" t="s">
        <v>602</v>
      </c>
      <c r="BH47" t="s">
        <v>1016</v>
      </c>
      <c r="BI47" t="s">
        <v>606</v>
      </c>
      <c r="BL47" t="s">
        <v>1017</v>
      </c>
      <c r="BM47" t="s">
        <v>606</v>
      </c>
      <c r="BN47" t="s">
        <v>617</v>
      </c>
      <c r="BO47" t="s">
        <v>1018</v>
      </c>
      <c r="BP47" t="s">
        <v>619</v>
      </c>
      <c r="BQ47">
        <v>5509720970.7642002</v>
      </c>
      <c r="BS47">
        <v>2639916</v>
      </c>
      <c r="BX47">
        <v>2880000</v>
      </c>
      <c r="BY47">
        <v>2015</v>
      </c>
    </row>
    <row r="48" spans="1:77" hidden="1" x14ac:dyDescent="0.25">
      <c r="A48" t="s">
        <v>217</v>
      </c>
      <c r="B48" t="s">
        <v>216</v>
      </c>
      <c r="C48">
        <v>1</v>
      </c>
      <c r="D48" t="s">
        <v>633</v>
      </c>
      <c r="E48">
        <f t="shared" si="1"/>
        <v>2110</v>
      </c>
      <c r="F48">
        <f t="shared" si="0"/>
        <v>2110</v>
      </c>
      <c r="L48" t="s">
        <v>1019</v>
      </c>
      <c r="M48" t="s">
        <v>1020</v>
      </c>
      <c r="N48" t="s">
        <v>217</v>
      </c>
      <c r="O48" t="s">
        <v>216</v>
      </c>
      <c r="P48" t="s">
        <v>624</v>
      </c>
      <c r="Q48" t="s">
        <v>40</v>
      </c>
      <c r="S48" t="s">
        <v>606</v>
      </c>
      <c r="U48" t="s">
        <v>607</v>
      </c>
      <c r="AC48">
        <v>2050</v>
      </c>
      <c r="AD48" t="s">
        <v>12</v>
      </c>
      <c r="AE48">
        <v>2021</v>
      </c>
      <c r="AF48" t="s">
        <v>608</v>
      </c>
      <c r="AG48">
        <v>30</v>
      </c>
      <c r="AK48">
        <v>12.74</v>
      </c>
      <c r="AL48">
        <v>18.2</v>
      </c>
      <c r="AN48">
        <v>2030</v>
      </c>
      <c r="AO48" t="s">
        <v>1021</v>
      </c>
      <c r="AP48" t="s">
        <v>1022</v>
      </c>
      <c r="AQ48" t="s">
        <v>1023</v>
      </c>
      <c r="AR48" t="s">
        <v>1024</v>
      </c>
      <c r="AS48" t="s">
        <v>633</v>
      </c>
      <c r="AT48" t="s">
        <v>602</v>
      </c>
      <c r="AU48" t="s">
        <v>606</v>
      </c>
      <c r="AV48" t="s">
        <v>602</v>
      </c>
      <c r="AW48" t="s">
        <v>602</v>
      </c>
      <c r="AX48" t="s">
        <v>602</v>
      </c>
      <c r="AY48" t="s">
        <v>602</v>
      </c>
      <c r="AZ48" t="s">
        <v>602</v>
      </c>
      <c r="BA48" t="s">
        <v>606</v>
      </c>
      <c r="BC48" t="s">
        <v>606</v>
      </c>
      <c r="BE48" t="s">
        <v>614</v>
      </c>
      <c r="BF48" t="s">
        <v>615</v>
      </c>
      <c r="BG48" t="s">
        <v>606</v>
      </c>
      <c r="BH48" t="s">
        <v>1025</v>
      </c>
      <c r="BI48" t="s">
        <v>602</v>
      </c>
      <c r="BM48" t="s">
        <v>606</v>
      </c>
      <c r="BN48" t="s">
        <v>617</v>
      </c>
      <c r="BO48" t="s">
        <v>1026</v>
      </c>
      <c r="BP48" t="s">
        <v>619</v>
      </c>
      <c r="BQ48">
        <v>3773969878.5138998</v>
      </c>
      <c r="BS48">
        <v>2060721</v>
      </c>
      <c r="BX48">
        <v>4210000</v>
      </c>
      <c r="BY48">
        <v>2019</v>
      </c>
    </row>
    <row r="49" spans="1:78" x14ac:dyDescent="0.25">
      <c r="A49" t="s">
        <v>205</v>
      </c>
      <c r="B49" t="s">
        <v>204</v>
      </c>
      <c r="C49">
        <v>4</v>
      </c>
      <c r="D49" t="s">
        <v>633</v>
      </c>
      <c r="E49">
        <f t="shared" si="1"/>
        <v>2050</v>
      </c>
      <c r="F49">
        <f t="shared" si="0"/>
        <v>2050</v>
      </c>
      <c r="L49" t="s">
        <v>1027</v>
      </c>
      <c r="M49" t="s">
        <v>1028</v>
      </c>
      <c r="N49" t="s">
        <v>205</v>
      </c>
      <c r="O49" t="s">
        <v>204</v>
      </c>
      <c r="P49" t="s">
        <v>665</v>
      </c>
      <c r="Q49" t="s">
        <v>40</v>
      </c>
      <c r="S49" t="s">
        <v>606</v>
      </c>
      <c r="U49" t="s">
        <v>666</v>
      </c>
      <c r="AC49">
        <v>2050</v>
      </c>
      <c r="AD49" t="s">
        <v>667</v>
      </c>
      <c r="AE49">
        <v>2022</v>
      </c>
      <c r="AF49" t="s">
        <v>625</v>
      </c>
      <c r="AG49">
        <v>55</v>
      </c>
      <c r="AH49">
        <v>1990</v>
      </c>
      <c r="AN49">
        <v>2030</v>
      </c>
      <c r="AO49" t="s">
        <v>1029</v>
      </c>
      <c r="AP49" t="s">
        <v>1030</v>
      </c>
      <c r="AQ49" t="s">
        <v>1031</v>
      </c>
      <c r="AR49" t="s">
        <v>1032</v>
      </c>
      <c r="AS49" t="s">
        <v>633</v>
      </c>
      <c r="AT49" t="s">
        <v>602</v>
      </c>
      <c r="AU49" t="s">
        <v>602</v>
      </c>
      <c r="AV49" t="s">
        <v>615</v>
      </c>
      <c r="AW49" t="s">
        <v>615</v>
      </c>
      <c r="AX49" t="s">
        <v>602</v>
      </c>
      <c r="AY49" t="s">
        <v>602</v>
      </c>
      <c r="AZ49" t="s">
        <v>602</v>
      </c>
      <c r="BA49" t="s">
        <v>606</v>
      </c>
      <c r="BB49" t="s">
        <v>1033</v>
      </c>
      <c r="BC49" t="s">
        <v>606</v>
      </c>
      <c r="BE49" t="s">
        <v>674</v>
      </c>
      <c r="BF49" t="s">
        <v>606</v>
      </c>
      <c r="BG49" t="s">
        <v>602</v>
      </c>
      <c r="BH49" t="s">
        <v>1034</v>
      </c>
      <c r="BI49" t="s">
        <v>606</v>
      </c>
      <c r="BM49" t="s">
        <v>606</v>
      </c>
      <c r="BN49" t="s">
        <v>617</v>
      </c>
      <c r="BO49" t="s">
        <v>1035</v>
      </c>
      <c r="BP49" t="s">
        <v>619</v>
      </c>
      <c r="BQ49">
        <v>313841098504.60999</v>
      </c>
      <c r="BS49">
        <v>10445365</v>
      </c>
      <c r="BX49">
        <v>79910000</v>
      </c>
      <c r="BY49">
        <v>2019</v>
      </c>
    </row>
    <row r="50" spans="1:78" hidden="1" x14ac:dyDescent="0.25">
      <c r="A50" t="s">
        <v>209</v>
      </c>
      <c r="B50" t="s">
        <v>208</v>
      </c>
      <c r="C50">
        <v>1</v>
      </c>
      <c r="D50" t="s">
        <v>633</v>
      </c>
      <c r="E50">
        <f t="shared" si="1"/>
        <v>2110</v>
      </c>
      <c r="F50">
        <f t="shared" si="0"/>
        <v>2110</v>
      </c>
      <c r="L50" t="s">
        <v>1036</v>
      </c>
      <c r="M50" t="s">
        <v>1037</v>
      </c>
      <c r="N50" t="s">
        <v>209</v>
      </c>
      <c r="O50" t="s">
        <v>208</v>
      </c>
      <c r="P50" t="s">
        <v>636</v>
      </c>
      <c r="Q50" t="s">
        <v>40</v>
      </c>
      <c r="S50" t="s">
        <v>606</v>
      </c>
      <c r="U50" t="s">
        <v>607</v>
      </c>
      <c r="AC50">
        <v>2050</v>
      </c>
      <c r="AD50" t="s">
        <v>12</v>
      </c>
      <c r="AE50">
        <v>2020</v>
      </c>
      <c r="AF50" t="s">
        <v>625</v>
      </c>
      <c r="AG50">
        <v>30</v>
      </c>
      <c r="AH50">
        <v>2010</v>
      </c>
      <c r="AN50">
        <v>2025</v>
      </c>
      <c r="AO50" t="s">
        <v>1038</v>
      </c>
      <c r="AP50" t="s">
        <v>1039</v>
      </c>
      <c r="AQ50" t="s">
        <v>1040</v>
      </c>
      <c r="AR50" t="s">
        <v>1041</v>
      </c>
      <c r="AS50" t="s">
        <v>633</v>
      </c>
      <c r="AT50" t="s">
        <v>615</v>
      </c>
      <c r="AU50" t="s">
        <v>602</v>
      </c>
      <c r="AV50" t="s">
        <v>602</v>
      </c>
      <c r="AW50" t="s">
        <v>602</v>
      </c>
      <c r="AX50" t="s">
        <v>602</v>
      </c>
      <c r="AY50" t="s">
        <v>602</v>
      </c>
      <c r="AZ50" t="s">
        <v>602</v>
      </c>
      <c r="BA50" t="s">
        <v>606</v>
      </c>
      <c r="BB50" t="s">
        <v>1042</v>
      </c>
      <c r="BC50" t="s">
        <v>615</v>
      </c>
      <c r="BD50" t="s">
        <v>746</v>
      </c>
      <c r="BE50" t="s">
        <v>614</v>
      </c>
      <c r="BF50" t="s">
        <v>615</v>
      </c>
      <c r="BG50" t="s">
        <v>602</v>
      </c>
      <c r="BH50" t="s">
        <v>1043</v>
      </c>
      <c r="BI50" t="s">
        <v>602</v>
      </c>
      <c r="BN50" t="s">
        <v>617</v>
      </c>
      <c r="BO50" t="s">
        <v>1044</v>
      </c>
      <c r="BP50" t="s">
        <v>619</v>
      </c>
      <c r="BQ50">
        <v>1715952729.6364</v>
      </c>
      <c r="BS50">
        <v>124610</v>
      </c>
      <c r="BX50">
        <v>2390000</v>
      </c>
      <c r="BY50">
        <v>2019</v>
      </c>
    </row>
    <row r="51" spans="1:78" x14ac:dyDescent="0.25">
      <c r="A51" t="s">
        <v>219</v>
      </c>
      <c r="B51" t="s">
        <v>218</v>
      </c>
      <c r="C51">
        <v>5</v>
      </c>
      <c r="D51" t="s">
        <v>602</v>
      </c>
      <c r="E51">
        <f t="shared" si="1"/>
        <v>2050</v>
      </c>
      <c r="F51">
        <f t="shared" si="0"/>
        <v>2065</v>
      </c>
      <c r="L51" t="s">
        <v>1045</v>
      </c>
      <c r="M51" t="s">
        <v>1046</v>
      </c>
      <c r="N51" t="s">
        <v>219</v>
      </c>
      <c r="O51" t="s">
        <v>218</v>
      </c>
      <c r="P51" t="s">
        <v>636</v>
      </c>
      <c r="Q51" t="s">
        <v>40</v>
      </c>
      <c r="S51" t="s">
        <v>606</v>
      </c>
      <c r="U51" t="s">
        <v>607</v>
      </c>
      <c r="AC51">
        <v>2050</v>
      </c>
      <c r="AD51" t="s">
        <v>5</v>
      </c>
      <c r="AE51">
        <v>2022</v>
      </c>
      <c r="AF51" t="s">
        <v>518</v>
      </c>
      <c r="AM51" t="s">
        <v>1047</v>
      </c>
      <c r="AN51">
        <v>2025</v>
      </c>
      <c r="AO51" t="s">
        <v>1048</v>
      </c>
      <c r="AP51" t="s">
        <v>1049</v>
      </c>
      <c r="AQ51" t="s">
        <v>1050</v>
      </c>
      <c r="AR51" t="s">
        <v>1051</v>
      </c>
      <c r="AS51" t="s">
        <v>602</v>
      </c>
      <c r="AU51" t="s">
        <v>602</v>
      </c>
      <c r="AV51" t="s">
        <v>602</v>
      </c>
      <c r="AW51" t="s">
        <v>602</v>
      </c>
      <c r="AX51" t="s">
        <v>602</v>
      </c>
      <c r="AY51" t="s">
        <v>602</v>
      </c>
      <c r="AZ51" t="s">
        <v>602</v>
      </c>
      <c r="BA51" t="s">
        <v>606</v>
      </c>
      <c r="BB51" t="s">
        <v>1052</v>
      </c>
      <c r="BC51" t="s">
        <v>606</v>
      </c>
      <c r="BE51" t="s">
        <v>614</v>
      </c>
      <c r="BF51" t="s">
        <v>615</v>
      </c>
      <c r="BG51" t="s">
        <v>602</v>
      </c>
      <c r="BI51" t="s">
        <v>602</v>
      </c>
      <c r="BM51" t="s">
        <v>606</v>
      </c>
      <c r="BN51" t="s">
        <v>617</v>
      </c>
      <c r="BO51" t="s">
        <v>1053</v>
      </c>
      <c r="BQ51">
        <v>17620772294.102001</v>
      </c>
      <c r="BS51">
        <v>804567</v>
      </c>
      <c r="BX51">
        <v>19800000</v>
      </c>
      <c r="BY51">
        <v>2019</v>
      </c>
    </row>
    <row r="52" spans="1:78" x14ac:dyDescent="0.25">
      <c r="A52" t="s">
        <v>149</v>
      </c>
      <c r="B52" t="s">
        <v>148</v>
      </c>
      <c r="C52">
        <v>3</v>
      </c>
      <c r="D52" t="s">
        <v>633</v>
      </c>
      <c r="E52">
        <f t="shared" si="1"/>
        <v>2050</v>
      </c>
      <c r="F52">
        <f t="shared" si="0"/>
        <v>2050</v>
      </c>
      <c r="L52" t="s">
        <v>1054</v>
      </c>
      <c r="M52" t="s">
        <v>1055</v>
      </c>
      <c r="N52" t="s">
        <v>149</v>
      </c>
      <c r="O52" t="s">
        <v>148</v>
      </c>
      <c r="P52" t="s">
        <v>665</v>
      </c>
      <c r="Q52" t="s">
        <v>40</v>
      </c>
      <c r="S52" t="s">
        <v>606</v>
      </c>
      <c r="U52" t="s">
        <v>607</v>
      </c>
      <c r="AC52">
        <v>2050</v>
      </c>
      <c r="AD52" t="s">
        <v>8</v>
      </c>
      <c r="AE52">
        <v>2021</v>
      </c>
      <c r="AF52" t="s">
        <v>625</v>
      </c>
      <c r="AG52">
        <v>36.700000000000003</v>
      </c>
      <c r="AH52">
        <v>1990</v>
      </c>
      <c r="AN52">
        <v>2030</v>
      </c>
      <c r="AO52" t="s">
        <v>1056</v>
      </c>
      <c r="AP52" t="s">
        <v>1057</v>
      </c>
      <c r="AR52" t="s">
        <v>1058</v>
      </c>
      <c r="AS52" t="s">
        <v>633</v>
      </c>
      <c r="AT52" t="s">
        <v>602</v>
      </c>
      <c r="AU52" t="s">
        <v>602</v>
      </c>
      <c r="AV52" t="s">
        <v>602</v>
      </c>
      <c r="AW52" t="s">
        <v>602</v>
      </c>
      <c r="AX52" t="s">
        <v>602</v>
      </c>
      <c r="AY52" t="s">
        <v>602</v>
      </c>
      <c r="AZ52" t="s">
        <v>602</v>
      </c>
      <c r="BA52" t="s">
        <v>606</v>
      </c>
      <c r="BB52" t="s">
        <v>1059</v>
      </c>
      <c r="BC52" t="s">
        <v>615</v>
      </c>
      <c r="BD52" t="s">
        <v>1060</v>
      </c>
      <c r="BE52" t="s">
        <v>614</v>
      </c>
      <c r="BF52" t="s">
        <v>606</v>
      </c>
      <c r="BG52" t="s">
        <v>606</v>
      </c>
      <c r="BH52" t="s">
        <v>1061</v>
      </c>
      <c r="BI52" t="s">
        <v>602</v>
      </c>
      <c r="BM52" t="s">
        <v>606</v>
      </c>
      <c r="BN52" t="s">
        <v>676</v>
      </c>
      <c r="BO52" t="s">
        <v>1062</v>
      </c>
      <c r="BP52" t="s">
        <v>619</v>
      </c>
      <c r="BQ52">
        <v>121050800909.84</v>
      </c>
      <c r="BS52">
        <v>4060136</v>
      </c>
      <c r="BX52">
        <v>17920000</v>
      </c>
      <c r="BY52">
        <v>2019</v>
      </c>
    </row>
    <row r="53" spans="1:78" x14ac:dyDescent="0.25">
      <c r="A53" t="s">
        <v>221</v>
      </c>
      <c r="B53" t="s">
        <v>220</v>
      </c>
      <c r="C53">
        <v>2</v>
      </c>
      <c r="D53" t="s">
        <v>602</v>
      </c>
      <c r="E53">
        <f t="shared" si="1"/>
        <v>2050</v>
      </c>
      <c r="F53">
        <f t="shared" si="0"/>
        <v>2065</v>
      </c>
      <c r="L53" t="s">
        <v>1063</v>
      </c>
      <c r="M53" t="s">
        <v>1064</v>
      </c>
      <c r="N53" t="s">
        <v>221</v>
      </c>
      <c r="O53" t="s">
        <v>220</v>
      </c>
      <c r="P53" t="s">
        <v>636</v>
      </c>
      <c r="Q53" t="s">
        <v>40</v>
      </c>
      <c r="S53" t="s">
        <v>606</v>
      </c>
      <c r="U53" t="s">
        <v>607</v>
      </c>
      <c r="AC53">
        <v>2050</v>
      </c>
      <c r="AD53" t="s">
        <v>10</v>
      </c>
      <c r="AE53">
        <v>2019</v>
      </c>
      <c r="AF53" t="s">
        <v>608</v>
      </c>
      <c r="AG53">
        <v>6.32</v>
      </c>
      <c r="AK53">
        <v>1.196</v>
      </c>
      <c r="AL53">
        <v>18.97</v>
      </c>
      <c r="AN53">
        <v>2030</v>
      </c>
      <c r="AP53" t="s">
        <v>1065</v>
      </c>
      <c r="AQ53" t="s">
        <v>1066</v>
      </c>
      <c r="AR53" t="s">
        <v>628</v>
      </c>
      <c r="AS53" t="s">
        <v>602</v>
      </c>
      <c r="AT53" t="s">
        <v>602</v>
      </c>
      <c r="AU53" t="s">
        <v>602</v>
      </c>
      <c r="AV53" t="s">
        <v>602</v>
      </c>
      <c r="AW53" t="s">
        <v>602</v>
      </c>
      <c r="AX53" t="s">
        <v>602</v>
      </c>
      <c r="AY53" t="s">
        <v>602</v>
      </c>
      <c r="AZ53" t="s">
        <v>602</v>
      </c>
      <c r="BA53" t="s">
        <v>606</v>
      </c>
      <c r="BC53" t="s">
        <v>606</v>
      </c>
      <c r="BE53" t="s">
        <v>614</v>
      </c>
      <c r="BF53" t="s">
        <v>606</v>
      </c>
      <c r="BG53" t="s">
        <v>602</v>
      </c>
      <c r="BI53" t="s">
        <v>602</v>
      </c>
      <c r="BM53" t="s">
        <v>606</v>
      </c>
      <c r="BN53" t="s">
        <v>602</v>
      </c>
      <c r="BO53" t="s">
        <v>1067</v>
      </c>
      <c r="BP53" t="s">
        <v>619</v>
      </c>
      <c r="BQ53">
        <v>32856183345.974998</v>
      </c>
      <c r="BS53">
        <v>11306802</v>
      </c>
      <c r="BX53">
        <v>11130000</v>
      </c>
      <c r="BY53">
        <v>2019</v>
      </c>
    </row>
    <row r="54" spans="1:78" x14ac:dyDescent="0.25">
      <c r="A54" t="s">
        <v>227</v>
      </c>
      <c r="B54" t="s">
        <v>226</v>
      </c>
      <c r="C54">
        <v>4</v>
      </c>
      <c r="D54" t="s">
        <v>633</v>
      </c>
      <c r="E54">
        <f t="shared" si="1"/>
        <v>2050</v>
      </c>
      <c r="F54">
        <f t="shared" si="0"/>
        <v>2050</v>
      </c>
      <c r="L54" t="s">
        <v>1068</v>
      </c>
      <c r="M54" t="s">
        <v>1069</v>
      </c>
      <c r="N54" t="s">
        <v>227</v>
      </c>
      <c r="O54" t="s">
        <v>226</v>
      </c>
      <c r="P54" t="s">
        <v>665</v>
      </c>
      <c r="Q54" t="s">
        <v>40</v>
      </c>
      <c r="S54" t="s">
        <v>606</v>
      </c>
      <c r="U54" t="s">
        <v>607</v>
      </c>
      <c r="AC54">
        <v>2050</v>
      </c>
      <c r="AD54" t="s">
        <v>667</v>
      </c>
      <c r="AE54">
        <v>2020</v>
      </c>
      <c r="AF54" t="s">
        <v>625</v>
      </c>
      <c r="AG54">
        <v>55</v>
      </c>
      <c r="AH54">
        <v>1990</v>
      </c>
      <c r="AN54">
        <v>2030</v>
      </c>
      <c r="AO54" t="s">
        <v>1070</v>
      </c>
      <c r="AP54" t="s">
        <v>1071</v>
      </c>
      <c r="AQ54" t="s">
        <v>1070</v>
      </c>
      <c r="AR54" t="s">
        <v>1070</v>
      </c>
      <c r="AS54" t="s">
        <v>633</v>
      </c>
      <c r="AT54" t="s">
        <v>602</v>
      </c>
      <c r="AU54" t="s">
        <v>602</v>
      </c>
      <c r="AV54" t="s">
        <v>615</v>
      </c>
      <c r="AW54" t="s">
        <v>602</v>
      </c>
      <c r="AX54" t="s">
        <v>602</v>
      </c>
      <c r="AY54" t="s">
        <v>602</v>
      </c>
      <c r="AZ54" t="s">
        <v>602</v>
      </c>
      <c r="BC54" t="s">
        <v>606</v>
      </c>
      <c r="BE54" t="s">
        <v>674</v>
      </c>
      <c r="BF54" t="s">
        <v>606</v>
      </c>
      <c r="BG54" t="s">
        <v>606</v>
      </c>
      <c r="BI54" t="s">
        <v>606</v>
      </c>
      <c r="BM54" t="s">
        <v>606</v>
      </c>
      <c r="BN54" t="s">
        <v>602</v>
      </c>
      <c r="BP54" t="s">
        <v>619</v>
      </c>
      <c r="BQ54">
        <v>325455707553.91998</v>
      </c>
      <c r="BS54">
        <v>9709786</v>
      </c>
      <c r="BX54">
        <v>62480000</v>
      </c>
      <c r="BY54">
        <v>2019</v>
      </c>
    </row>
    <row r="55" spans="1:78" x14ac:dyDescent="0.25">
      <c r="A55" t="s">
        <v>239</v>
      </c>
      <c r="B55" t="s">
        <v>238</v>
      </c>
      <c r="C55">
        <v>4</v>
      </c>
      <c r="D55" t="s">
        <v>633</v>
      </c>
      <c r="E55">
        <f t="shared" si="1"/>
        <v>2050</v>
      </c>
      <c r="F55">
        <f t="shared" si="0"/>
        <v>2050</v>
      </c>
      <c r="L55" t="s">
        <v>1072</v>
      </c>
      <c r="M55" t="s">
        <v>1073</v>
      </c>
      <c r="N55" t="s">
        <v>239</v>
      </c>
      <c r="O55" t="s">
        <v>238</v>
      </c>
      <c r="P55" t="s">
        <v>665</v>
      </c>
      <c r="Q55" t="s">
        <v>40</v>
      </c>
      <c r="S55" t="s">
        <v>606</v>
      </c>
      <c r="U55" t="s">
        <v>607</v>
      </c>
      <c r="AC55">
        <v>2050</v>
      </c>
      <c r="AD55" t="s">
        <v>667</v>
      </c>
      <c r="AE55">
        <v>2021</v>
      </c>
      <c r="AF55" t="s">
        <v>625</v>
      </c>
      <c r="AG55">
        <v>55</v>
      </c>
      <c r="AH55">
        <v>1990</v>
      </c>
      <c r="AN55">
        <v>2030</v>
      </c>
      <c r="AO55" t="s">
        <v>1074</v>
      </c>
      <c r="AP55" t="s">
        <v>1075</v>
      </c>
      <c r="AQ55" t="s">
        <v>1076</v>
      </c>
      <c r="AR55" t="s">
        <v>1077</v>
      </c>
      <c r="AS55" t="s">
        <v>633</v>
      </c>
      <c r="AT55" t="s">
        <v>615</v>
      </c>
      <c r="AU55" t="s">
        <v>602</v>
      </c>
      <c r="AV55" t="s">
        <v>606</v>
      </c>
      <c r="AW55" t="s">
        <v>606</v>
      </c>
      <c r="AX55" t="s">
        <v>602</v>
      </c>
      <c r="AY55" t="s">
        <v>602</v>
      </c>
      <c r="AZ55" t="s">
        <v>602</v>
      </c>
      <c r="BB55" t="s">
        <v>1078</v>
      </c>
      <c r="BC55" t="s">
        <v>615</v>
      </c>
      <c r="BD55" t="s">
        <v>1079</v>
      </c>
      <c r="BE55" t="s">
        <v>674</v>
      </c>
      <c r="BF55" t="s">
        <v>615</v>
      </c>
      <c r="BI55" t="s">
        <v>602</v>
      </c>
      <c r="BM55" t="s">
        <v>606</v>
      </c>
      <c r="BN55" t="s">
        <v>617</v>
      </c>
      <c r="BO55" t="s">
        <v>1080</v>
      </c>
      <c r="BP55" t="s">
        <v>619</v>
      </c>
      <c r="BQ55">
        <v>513655992113.85999</v>
      </c>
      <c r="BS55">
        <v>4986526</v>
      </c>
      <c r="BX55">
        <v>58680000</v>
      </c>
      <c r="BY55">
        <v>2019</v>
      </c>
    </row>
    <row r="56" spans="1:78" x14ac:dyDescent="0.25">
      <c r="A56" t="s">
        <v>229</v>
      </c>
      <c r="B56" t="s">
        <v>228</v>
      </c>
      <c r="C56">
        <v>4</v>
      </c>
      <c r="D56" t="s">
        <v>633</v>
      </c>
      <c r="E56">
        <f t="shared" si="1"/>
        <v>2040</v>
      </c>
      <c r="F56">
        <f t="shared" si="0"/>
        <v>2040</v>
      </c>
      <c r="L56" t="s">
        <v>1081</v>
      </c>
      <c r="M56" t="s">
        <v>1082</v>
      </c>
      <c r="N56" t="s">
        <v>229</v>
      </c>
      <c r="O56" t="s">
        <v>228</v>
      </c>
      <c r="P56" t="s">
        <v>665</v>
      </c>
      <c r="Q56" t="s">
        <v>40</v>
      </c>
      <c r="S56" t="s">
        <v>606</v>
      </c>
      <c r="U56" t="s">
        <v>680</v>
      </c>
      <c r="AC56">
        <v>2040</v>
      </c>
      <c r="AD56" t="s">
        <v>667</v>
      </c>
      <c r="AE56">
        <v>2022</v>
      </c>
      <c r="AF56" t="s">
        <v>625</v>
      </c>
      <c r="AG56">
        <v>55</v>
      </c>
      <c r="AH56">
        <v>1990</v>
      </c>
      <c r="AN56">
        <v>2030</v>
      </c>
      <c r="AO56" t="s">
        <v>1083</v>
      </c>
      <c r="AP56" t="s">
        <v>1084</v>
      </c>
      <c r="AQ56" t="s">
        <v>1085</v>
      </c>
      <c r="AR56" t="s">
        <v>1086</v>
      </c>
      <c r="AS56" t="s">
        <v>633</v>
      </c>
      <c r="AT56" t="s">
        <v>615</v>
      </c>
      <c r="AU56" t="s">
        <v>615</v>
      </c>
      <c r="AV56" t="s">
        <v>615</v>
      </c>
      <c r="AW56" t="s">
        <v>615</v>
      </c>
      <c r="AX56" t="s">
        <v>602</v>
      </c>
      <c r="AY56" t="s">
        <v>602</v>
      </c>
      <c r="AZ56" t="s">
        <v>602</v>
      </c>
      <c r="BA56" t="s">
        <v>606</v>
      </c>
      <c r="BB56" t="s">
        <v>1087</v>
      </c>
      <c r="BC56" t="s">
        <v>615</v>
      </c>
      <c r="BD56" t="s">
        <v>1079</v>
      </c>
      <c r="BE56" t="s">
        <v>674</v>
      </c>
      <c r="BF56" t="s">
        <v>606</v>
      </c>
      <c r="BG56" t="s">
        <v>602</v>
      </c>
      <c r="BI56" t="s">
        <v>606</v>
      </c>
      <c r="BM56" t="s">
        <v>606</v>
      </c>
      <c r="BN56" t="s">
        <v>676</v>
      </c>
      <c r="BO56" t="s">
        <v>1088</v>
      </c>
      <c r="BP56" t="s">
        <v>619</v>
      </c>
      <c r="BQ56">
        <v>19903878107.612999</v>
      </c>
      <c r="BS56">
        <v>370335</v>
      </c>
      <c r="BX56">
        <v>2770000</v>
      </c>
      <c r="BY56">
        <v>2019</v>
      </c>
    </row>
    <row r="57" spans="1:78" x14ac:dyDescent="0.25">
      <c r="A57" t="s">
        <v>243</v>
      </c>
      <c r="B57" t="s">
        <v>242</v>
      </c>
      <c r="C57">
        <v>3</v>
      </c>
      <c r="D57" t="s">
        <v>633</v>
      </c>
      <c r="E57">
        <f t="shared" si="1"/>
        <v>2050</v>
      </c>
      <c r="F57">
        <f t="shared" si="0"/>
        <v>2050</v>
      </c>
      <c r="L57" t="s">
        <v>1089</v>
      </c>
      <c r="M57" t="s">
        <v>1090</v>
      </c>
      <c r="N57" t="s">
        <v>243</v>
      </c>
      <c r="O57" t="s">
        <v>242</v>
      </c>
      <c r="P57" t="s">
        <v>665</v>
      </c>
      <c r="Q57" t="s">
        <v>40</v>
      </c>
      <c r="S57" t="s">
        <v>606</v>
      </c>
      <c r="U57" t="s">
        <v>666</v>
      </c>
      <c r="AC57">
        <v>2050</v>
      </c>
      <c r="AD57" t="s">
        <v>8</v>
      </c>
      <c r="AE57">
        <v>2021</v>
      </c>
      <c r="AF57" t="s">
        <v>625</v>
      </c>
      <c r="AG57">
        <v>55</v>
      </c>
      <c r="AH57">
        <v>1990</v>
      </c>
      <c r="AN57">
        <v>2030</v>
      </c>
      <c r="AO57" t="s">
        <v>1091</v>
      </c>
      <c r="AP57" t="s">
        <v>1092</v>
      </c>
      <c r="AQ57" t="s">
        <v>1093</v>
      </c>
      <c r="AR57" t="s">
        <v>1094</v>
      </c>
      <c r="AS57" t="s">
        <v>633</v>
      </c>
      <c r="AT57" t="s">
        <v>615</v>
      </c>
      <c r="AU57" t="s">
        <v>606</v>
      </c>
      <c r="AV57" t="s">
        <v>602</v>
      </c>
      <c r="AW57" t="s">
        <v>602</v>
      </c>
      <c r="AX57" t="s">
        <v>602</v>
      </c>
      <c r="AY57" t="s">
        <v>602</v>
      </c>
      <c r="AZ57" t="s">
        <v>602</v>
      </c>
      <c r="BA57" t="s">
        <v>606</v>
      </c>
      <c r="BB57" t="s">
        <v>1095</v>
      </c>
      <c r="BC57" t="s">
        <v>615</v>
      </c>
      <c r="BD57" t="s">
        <v>844</v>
      </c>
      <c r="BE57" t="s">
        <v>674</v>
      </c>
      <c r="BF57" t="s">
        <v>615</v>
      </c>
      <c r="BH57" t="s">
        <v>1096</v>
      </c>
      <c r="BI57" t="s">
        <v>606</v>
      </c>
      <c r="BM57" t="s">
        <v>606</v>
      </c>
      <c r="BN57" t="s">
        <v>676</v>
      </c>
      <c r="BO57" t="s">
        <v>1097</v>
      </c>
      <c r="BP57" t="s">
        <v>619</v>
      </c>
      <c r="BQ57">
        <v>2477072749450.3999</v>
      </c>
      <c r="BS57">
        <v>59240330</v>
      </c>
      <c r="BX57">
        <v>376190000</v>
      </c>
      <c r="BY57">
        <v>2019</v>
      </c>
    </row>
    <row r="58" spans="1:78" hidden="1" x14ac:dyDescent="0.25">
      <c r="A58" t="s">
        <v>245</v>
      </c>
      <c r="B58" t="s">
        <v>244</v>
      </c>
      <c r="C58">
        <v>1</v>
      </c>
      <c r="D58" t="s">
        <v>633</v>
      </c>
      <c r="E58">
        <f t="shared" si="1"/>
        <v>2110</v>
      </c>
      <c r="F58">
        <f t="shared" si="0"/>
        <v>2110</v>
      </c>
      <c r="L58" t="s">
        <v>1098</v>
      </c>
      <c r="M58" t="s">
        <v>1099</v>
      </c>
      <c r="N58" t="s">
        <v>245</v>
      </c>
      <c r="O58" t="s">
        <v>244</v>
      </c>
      <c r="P58" t="s">
        <v>636</v>
      </c>
      <c r="Q58" t="s">
        <v>40</v>
      </c>
      <c r="S58" t="s">
        <v>606</v>
      </c>
      <c r="U58" t="s">
        <v>607</v>
      </c>
      <c r="AC58">
        <v>2050</v>
      </c>
      <c r="AD58" t="s">
        <v>12</v>
      </c>
      <c r="AE58">
        <v>2020</v>
      </c>
      <c r="AF58" t="s">
        <v>518</v>
      </c>
      <c r="AM58" t="s">
        <v>1100</v>
      </c>
      <c r="AN58">
        <v>2030</v>
      </c>
      <c r="AO58" t="s">
        <v>1101</v>
      </c>
      <c r="AP58" t="s">
        <v>1102</v>
      </c>
      <c r="AQ58" t="s">
        <v>1103</v>
      </c>
      <c r="AR58" t="s">
        <v>612</v>
      </c>
      <c r="AS58" t="s">
        <v>633</v>
      </c>
      <c r="AT58" t="s">
        <v>615</v>
      </c>
      <c r="AU58" t="s">
        <v>602</v>
      </c>
      <c r="AV58" t="s">
        <v>602</v>
      </c>
      <c r="AW58" t="s">
        <v>602</v>
      </c>
      <c r="AX58" t="s">
        <v>602</v>
      </c>
      <c r="AY58" t="s">
        <v>602</v>
      </c>
      <c r="AZ58" t="s">
        <v>602</v>
      </c>
      <c r="BA58" t="s">
        <v>606</v>
      </c>
      <c r="BB58" t="s">
        <v>1104</v>
      </c>
      <c r="BC58" t="s">
        <v>606</v>
      </c>
      <c r="BE58" t="s">
        <v>614</v>
      </c>
      <c r="BF58" t="s">
        <v>615</v>
      </c>
      <c r="BG58" t="s">
        <v>606</v>
      </c>
      <c r="BH58" t="s">
        <v>1105</v>
      </c>
      <c r="BI58" t="s">
        <v>602</v>
      </c>
      <c r="BM58" t="s">
        <v>606</v>
      </c>
      <c r="BN58" t="s">
        <v>602</v>
      </c>
      <c r="BO58" t="s">
        <v>1106</v>
      </c>
      <c r="BP58" t="s">
        <v>619</v>
      </c>
      <c r="BQ58">
        <v>27136157183.292999</v>
      </c>
      <c r="BS58">
        <v>2827695</v>
      </c>
      <c r="BX58">
        <v>10150000</v>
      </c>
      <c r="BY58">
        <v>2019</v>
      </c>
    </row>
    <row r="59" spans="1:78" x14ac:dyDescent="0.25">
      <c r="A59" t="s">
        <v>247</v>
      </c>
      <c r="B59" t="s">
        <v>246</v>
      </c>
      <c r="C59">
        <v>4</v>
      </c>
      <c r="D59" t="s">
        <v>633</v>
      </c>
      <c r="E59">
        <f t="shared" si="1"/>
        <v>2050</v>
      </c>
      <c r="F59">
        <f t="shared" si="0"/>
        <v>2050</v>
      </c>
      <c r="L59" t="s">
        <v>1107</v>
      </c>
      <c r="M59" t="s">
        <v>1108</v>
      </c>
      <c r="N59" t="s">
        <v>247</v>
      </c>
      <c r="O59" t="s">
        <v>246</v>
      </c>
      <c r="P59" t="s">
        <v>790</v>
      </c>
      <c r="Q59" t="s">
        <v>40</v>
      </c>
      <c r="S59" t="s">
        <v>606</v>
      </c>
      <c r="U59" t="s">
        <v>680</v>
      </c>
      <c r="AC59">
        <v>2050</v>
      </c>
      <c r="AD59" t="s">
        <v>667</v>
      </c>
      <c r="AE59">
        <v>2021</v>
      </c>
      <c r="AF59" t="s">
        <v>625</v>
      </c>
      <c r="AG59">
        <v>46</v>
      </c>
      <c r="AH59">
        <v>2013</v>
      </c>
      <c r="AN59">
        <v>2030</v>
      </c>
      <c r="AO59" t="s">
        <v>1109</v>
      </c>
      <c r="AP59" t="s">
        <v>1110</v>
      </c>
      <c r="AQ59" t="s">
        <v>1111</v>
      </c>
      <c r="AR59" t="s">
        <v>1112</v>
      </c>
      <c r="AS59" t="s">
        <v>633</v>
      </c>
      <c r="AT59" t="s">
        <v>615</v>
      </c>
      <c r="AU59" t="s">
        <v>602</v>
      </c>
      <c r="AV59" t="s">
        <v>606</v>
      </c>
      <c r="AW59" t="s">
        <v>606</v>
      </c>
      <c r="AX59" t="s">
        <v>602</v>
      </c>
      <c r="AY59" t="s">
        <v>602</v>
      </c>
      <c r="AZ59" t="s">
        <v>602</v>
      </c>
      <c r="BA59" t="s">
        <v>606</v>
      </c>
      <c r="BB59" t="s">
        <v>1113</v>
      </c>
      <c r="BC59" t="s">
        <v>615</v>
      </c>
      <c r="BE59" t="s">
        <v>674</v>
      </c>
      <c r="BF59" t="s">
        <v>615</v>
      </c>
      <c r="BG59" t="s">
        <v>602</v>
      </c>
      <c r="BH59" t="s">
        <v>1114</v>
      </c>
      <c r="BI59" t="s">
        <v>602</v>
      </c>
      <c r="BM59" t="s">
        <v>606</v>
      </c>
      <c r="BN59" t="s">
        <v>617</v>
      </c>
      <c r="BO59" t="s">
        <v>1115</v>
      </c>
      <c r="BP59" t="s">
        <v>619</v>
      </c>
      <c r="BQ59">
        <v>5124016949697.7998</v>
      </c>
      <c r="BS59">
        <v>124612531</v>
      </c>
      <c r="BX59">
        <v>1134450000</v>
      </c>
      <c r="BY59">
        <v>2019</v>
      </c>
      <c r="BZ59" t="s">
        <v>606</v>
      </c>
    </row>
    <row r="60" spans="1:78" x14ac:dyDescent="0.25">
      <c r="A60" t="s">
        <v>117</v>
      </c>
      <c r="B60" t="s">
        <v>116</v>
      </c>
      <c r="C60">
        <v>3</v>
      </c>
      <c r="D60" t="s">
        <v>633</v>
      </c>
      <c r="E60">
        <f t="shared" si="1"/>
        <v>2050</v>
      </c>
      <c r="F60">
        <f t="shared" si="0"/>
        <v>2050</v>
      </c>
      <c r="L60" t="s">
        <v>1116</v>
      </c>
      <c r="M60" t="s">
        <v>1117</v>
      </c>
      <c r="N60" t="s">
        <v>117</v>
      </c>
      <c r="O60" t="s">
        <v>116</v>
      </c>
      <c r="P60" t="s">
        <v>790</v>
      </c>
      <c r="Q60" t="s">
        <v>40</v>
      </c>
      <c r="S60" t="s">
        <v>606</v>
      </c>
      <c r="U60" t="s">
        <v>680</v>
      </c>
      <c r="AC60">
        <v>2050</v>
      </c>
      <c r="AD60" t="s">
        <v>8</v>
      </c>
      <c r="AE60">
        <v>2020</v>
      </c>
      <c r="AF60" t="s">
        <v>608</v>
      </c>
      <c r="AG60">
        <v>41.7</v>
      </c>
      <c r="AK60">
        <v>90.5</v>
      </c>
      <c r="AL60">
        <v>155</v>
      </c>
      <c r="AN60">
        <v>2030</v>
      </c>
      <c r="AO60" t="s">
        <v>1118</v>
      </c>
      <c r="AP60" t="s">
        <v>1119</v>
      </c>
      <c r="AQ60" t="s">
        <v>1120</v>
      </c>
      <c r="AR60" t="s">
        <v>1121</v>
      </c>
      <c r="AS60" t="s">
        <v>633</v>
      </c>
      <c r="AT60" t="s">
        <v>615</v>
      </c>
      <c r="AU60" t="s">
        <v>615</v>
      </c>
      <c r="AV60" t="s">
        <v>602</v>
      </c>
      <c r="AW60" t="s">
        <v>602</v>
      </c>
      <c r="AX60" t="s">
        <v>602</v>
      </c>
      <c r="AY60" t="s">
        <v>602</v>
      </c>
      <c r="AZ60" t="s">
        <v>602</v>
      </c>
      <c r="BA60" t="s">
        <v>606</v>
      </c>
      <c r="BB60" t="s">
        <v>1122</v>
      </c>
      <c r="BC60" t="s">
        <v>615</v>
      </c>
      <c r="BD60" t="s">
        <v>950</v>
      </c>
      <c r="BE60" t="s">
        <v>614</v>
      </c>
      <c r="BF60" t="s">
        <v>615</v>
      </c>
      <c r="BG60" t="s">
        <v>615</v>
      </c>
      <c r="BH60" t="s">
        <v>1123</v>
      </c>
      <c r="BI60" t="s">
        <v>606</v>
      </c>
      <c r="BM60" t="s">
        <v>606</v>
      </c>
      <c r="BN60" t="s">
        <v>676</v>
      </c>
      <c r="BO60" t="s">
        <v>1124</v>
      </c>
      <c r="BP60" t="s">
        <v>619</v>
      </c>
      <c r="BQ60">
        <v>72237982362.011993</v>
      </c>
      <c r="BS60">
        <v>16589024</v>
      </c>
      <c r="BX60">
        <v>71770000</v>
      </c>
      <c r="BY60">
        <v>2019</v>
      </c>
    </row>
    <row r="61" spans="1:78" hidden="1" x14ac:dyDescent="0.25">
      <c r="A61" t="s">
        <v>255</v>
      </c>
      <c r="B61" t="s">
        <v>254</v>
      </c>
      <c r="C61">
        <v>1</v>
      </c>
      <c r="D61" t="s">
        <v>620</v>
      </c>
      <c r="E61">
        <f t="shared" si="1"/>
        <v>2110</v>
      </c>
      <c r="F61">
        <f t="shared" si="0"/>
        <v>2125</v>
      </c>
      <c r="L61" t="s">
        <v>1125</v>
      </c>
      <c r="M61" t="s">
        <v>1126</v>
      </c>
      <c r="N61" t="s">
        <v>255</v>
      </c>
      <c r="O61" t="s">
        <v>254</v>
      </c>
      <c r="P61" t="s">
        <v>955</v>
      </c>
      <c r="Q61" t="s">
        <v>40</v>
      </c>
      <c r="S61" t="s">
        <v>606</v>
      </c>
      <c r="U61" t="s">
        <v>607</v>
      </c>
      <c r="AC61">
        <v>2050</v>
      </c>
      <c r="AD61" t="s">
        <v>12</v>
      </c>
      <c r="AE61">
        <v>2019</v>
      </c>
      <c r="AF61" t="s">
        <v>608</v>
      </c>
      <c r="AG61">
        <v>9.5</v>
      </c>
      <c r="AK61">
        <v>0.11700000000000001</v>
      </c>
      <c r="AL61">
        <v>0.12</v>
      </c>
      <c r="AN61">
        <v>2025</v>
      </c>
      <c r="AO61" t="s">
        <v>626</v>
      </c>
      <c r="AP61" t="s">
        <v>1127</v>
      </c>
      <c r="AR61" t="s">
        <v>628</v>
      </c>
      <c r="AS61" t="s">
        <v>620</v>
      </c>
      <c r="AT61" t="s">
        <v>615</v>
      </c>
      <c r="AU61" t="s">
        <v>602</v>
      </c>
      <c r="AV61" t="s">
        <v>602</v>
      </c>
      <c r="AW61" t="s">
        <v>602</v>
      </c>
      <c r="AX61" t="s">
        <v>602</v>
      </c>
      <c r="AY61" t="s">
        <v>602</v>
      </c>
      <c r="AZ61" t="s">
        <v>602</v>
      </c>
      <c r="BA61" t="s">
        <v>606</v>
      </c>
      <c r="BB61" t="s">
        <v>1128</v>
      </c>
      <c r="BC61" t="s">
        <v>606</v>
      </c>
      <c r="BE61" t="s">
        <v>614</v>
      </c>
      <c r="BF61" t="s">
        <v>606</v>
      </c>
      <c r="BG61" t="s">
        <v>602</v>
      </c>
      <c r="BH61" t="s">
        <v>1129</v>
      </c>
      <c r="BI61" t="s">
        <v>602</v>
      </c>
      <c r="BM61" t="s">
        <v>606</v>
      </c>
      <c r="BN61" t="s">
        <v>602</v>
      </c>
      <c r="BO61" t="s">
        <v>1130</v>
      </c>
      <c r="BP61" t="s">
        <v>619</v>
      </c>
      <c r="BQ61">
        <v>259420938.327279</v>
      </c>
      <c r="BS61">
        <v>126464</v>
      </c>
      <c r="BX61">
        <v>120000</v>
      </c>
      <c r="BY61">
        <v>2019</v>
      </c>
    </row>
    <row r="62" spans="1:78" hidden="1" x14ac:dyDescent="0.25">
      <c r="A62" t="s">
        <v>1131</v>
      </c>
      <c r="B62" t="s">
        <v>418</v>
      </c>
      <c r="C62">
        <v>1</v>
      </c>
      <c r="D62" t="s">
        <v>620</v>
      </c>
      <c r="E62">
        <f t="shared" si="1"/>
        <v>2110</v>
      </c>
      <c r="F62">
        <f t="shared" si="0"/>
        <v>2125</v>
      </c>
      <c r="L62" t="s">
        <v>1132</v>
      </c>
      <c r="M62" t="s">
        <v>1133</v>
      </c>
      <c r="N62" t="s">
        <v>1131</v>
      </c>
      <c r="O62" t="s">
        <v>418</v>
      </c>
      <c r="P62" t="s">
        <v>636</v>
      </c>
      <c r="Q62" t="s">
        <v>40</v>
      </c>
      <c r="S62" t="s">
        <v>606</v>
      </c>
      <c r="U62" t="s">
        <v>607</v>
      </c>
      <c r="AC62">
        <v>2050</v>
      </c>
      <c r="AD62" t="s">
        <v>12</v>
      </c>
      <c r="AE62">
        <v>2019</v>
      </c>
      <c r="AF62" t="s">
        <v>625</v>
      </c>
      <c r="AG62">
        <v>61</v>
      </c>
      <c r="AH62">
        <v>2010</v>
      </c>
      <c r="AN62">
        <v>2030</v>
      </c>
      <c r="AO62" t="s">
        <v>626</v>
      </c>
      <c r="AP62" t="s">
        <v>1134</v>
      </c>
      <c r="AR62" t="s">
        <v>628</v>
      </c>
      <c r="AS62" t="s">
        <v>620</v>
      </c>
      <c r="AT62" t="s">
        <v>615</v>
      </c>
      <c r="AU62" t="s">
        <v>602</v>
      </c>
      <c r="AV62" t="s">
        <v>602</v>
      </c>
      <c r="AW62" t="s">
        <v>602</v>
      </c>
      <c r="AX62" t="s">
        <v>602</v>
      </c>
      <c r="AY62" t="s">
        <v>602</v>
      </c>
      <c r="AZ62" t="s">
        <v>602</v>
      </c>
      <c r="BA62" t="s">
        <v>606</v>
      </c>
      <c r="BB62" t="s">
        <v>1135</v>
      </c>
      <c r="BC62" t="s">
        <v>606</v>
      </c>
      <c r="BE62" t="s">
        <v>614</v>
      </c>
      <c r="BF62" t="s">
        <v>606</v>
      </c>
      <c r="BG62" t="s">
        <v>602</v>
      </c>
      <c r="BH62" t="s">
        <v>1136</v>
      </c>
      <c r="BI62" t="s">
        <v>602</v>
      </c>
      <c r="BM62" t="s">
        <v>606</v>
      </c>
      <c r="BN62" t="s">
        <v>602</v>
      </c>
      <c r="BO62" t="s">
        <v>1137</v>
      </c>
      <c r="BP62" t="s">
        <v>619</v>
      </c>
      <c r="BQ62">
        <v>1279743293.3150001</v>
      </c>
      <c r="BS62">
        <v>47607</v>
      </c>
      <c r="BX62">
        <v>350000</v>
      </c>
      <c r="BY62">
        <v>2019</v>
      </c>
    </row>
    <row r="63" spans="1:78" x14ac:dyDescent="0.25">
      <c r="A63" t="s">
        <v>259</v>
      </c>
      <c r="B63" t="s">
        <v>258</v>
      </c>
      <c r="C63">
        <v>4</v>
      </c>
      <c r="D63" t="s">
        <v>633</v>
      </c>
      <c r="E63">
        <f t="shared" si="1"/>
        <v>2050</v>
      </c>
      <c r="F63">
        <f t="shared" si="0"/>
        <v>2050</v>
      </c>
      <c r="L63" t="s">
        <v>1138</v>
      </c>
      <c r="M63" t="s">
        <v>1139</v>
      </c>
      <c r="N63" t="s">
        <v>259</v>
      </c>
      <c r="O63" t="s">
        <v>258</v>
      </c>
      <c r="P63" t="s">
        <v>790</v>
      </c>
      <c r="Q63" t="s">
        <v>40</v>
      </c>
      <c r="S63" t="s">
        <v>606</v>
      </c>
      <c r="U63" t="s">
        <v>607</v>
      </c>
      <c r="AC63">
        <v>2050</v>
      </c>
      <c r="AD63" t="s">
        <v>667</v>
      </c>
      <c r="AE63">
        <v>2021</v>
      </c>
      <c r="AF63" t="s">
        <v>625</v>
      </c>
      <c r="AG63">
        <v>40</v>
      </c>
      <c r="AH63">
        <v>2018</v>
      </c>
      <c r="AN63">
        <v>2030</v>
      </c>
      <c r="AO63" t="s">
        <v>1140</v>
      </c>
      <c r="AP63" t="s">
        <v>1141</v>
      </c>
      <c r="AQ63" t="s">
        <v>1142</v>
      </c>
      <c r="AR63" t="s">
        <v>1143</v>
      </c>
      <c r="AS63" t="s">
        <v>633</v>
      </c>
      <c r="AT63" t="s">
        <v>602</v>
      </c>
      <c r="AU63" t="s">
        <v>602</v>
      </c>
      <c r="AV63" t="s">
        <v>602</v>
      </c>
      <c r="AW63" t="s">
        <v>602</v>
      </c>
      <c r="BA63" t="s">
        <v>606</v>
      </c>
      <c r="BB63" t="s">
        <v>1144</v>
      </c>
      <c r="BC63" t="s">
        <v>615</v>
      </c>
      <c r="BD63" t="s">
        <v>1145</v>
      </c>
      <c r="BE63" t="s">
        <v>674</v>
      </c>
      <c r="BF63" t="s">
        <v>615</v>
      </c>
      <c r="BG63" t="s">
        <v>615</v>
      </c>
      <c r="BH63" t="s">
        <v>1146</v>
      </c>
      <c r="BI63" t="s">
        <v>615</v>
      </c>
      <c r="BJ63" t="s">
        <v>715</v>
      </c>
      <c r="BM63" t="s">
        <v>615</v>
      </c>
      <c r="BN63" t="s">
        <v>617</v>
      </c>
      <c r="BO63" t="s">
        <v>1147</v>
      </c>
      <c r="BQ63">
        <v>2282777644814.1001</v>
      </c>
      <c r="BS63">
        <v>51830139</v>
      </c>
      <c r="BX63">
        <v>652660000</v>
      </c>
      <c r="BY63">
        <v>2019</v>
      </c>
    </row>
    <row r="64" spans="1:78" x14ac:dyDescent="0.25">
      <c r="A64" t="s">
        <v>265</v>
      </c>
      <c r="B64" t="s">
        <v>264</v>
      </c>
      <c r="C64">
        <v>3</v>
      </c>
      <c r="D64" t="s">
        <v>633</v>
      </c>
      <c r="E64">
        <f t="shared" si="1"/>
        <v>2050</v>
      </c>
      <c r="F64">
        <f t="shared" si="0"/>
        <v>2050</v>
      </c>
      <c r="L64" t="s">
        <v>1148</v>
      </c>
      <c r="M64" t="s">
        <v>1149</v>
      </c>
      <c r="N64" t="s">
        <v>265</v>
      </c>
      <c r="O64" t="s">
        <v>264</v>
      </c>
      <c r="P64" t="s">
        <v>790</v>
      </c>
      <c r="Q64" t="s">
        <v>40</v>
      </c>
      <c r="S64" t="s">
        <v>606</v>
      </c>
      <c r="U64" t="s">
        <v>607</v>
      </c>
      <c r="AC64">
        <v>2050</v>
      </c>
      <c r="AD64" t="s">
        <v>8</v>
      </c>
      <c r="AE64">
        <v>2020</v>
      </c>
      <c r="AF64" t="s">
        <v>608</v>
      </c>
      <c r="AG64">
        <v>60</v>
      </c>
      <c r="AK64">
        <v>41.6</v>
      </c>
      <c r="AL64">
        <v>104</v>
      </c>
      <c r="AN64">
        <v>2030</v>
      </c>
      <c r="AO64" t="s">
        <v>1150</v>
      </c>
      <c r="AP64" t="s">
        <v>1151</v>
      </c>
      <c r="AQ64" t="s">
        <v>1152</v>
      </c>
      <c r="AR64" t="s">
        <v>1153</v>
      </c>
      <c r="AS64" t="s">
        <v>633</v>
      </c>
      <c r="AT64" t="s">
        <v>615</v>
      </c>
      <c r="AU64" t="s">
        <v>606</v>
      </c>
      <c r="AV64" t="s">
        <v>606</v>
      </c>
      <c r="AW64" t="s">
        <v>606</v>
      </c>
      <c r="BA64" t="s">
        <v>606</v>
      </c>
      <c r="BC64" t="s">
        <v>615</v>
      </c>
      <c r="BD64" t="s">
        <v>1015</v>
      </c>
      <c r="BE64" t="s">
        <v>614</v>
      </c>
      <c r="BF64" t="s">
        <v>615</v>
      </c>
      <c r="BG64" t="s">
        <v>606</v>
      </c>
      <c r="BH64" t="s">
        <v>1154</v>
      </c>
      <c r="BI64" t="s">
        <v>606</v>
      </c>
      <c r="BM64" t="s">
        <v>606</v>
      </c>
      <c r="BN64" t="s">
        <v>617</v>
      </c>
      <c r="BO64" t="s">
        <v>1155</v>
      </c>
      <c r="BP64" t="s">
        <v>619</v>
      </c>
      <c r="BQ64">
        <v>58264236818.084</v>
      </c>
      <c r="BS64">
        <v>7425058</v>
      </c>
      <c r="BX64">
        <v>39420000</v>
      </c>
      <c r="BY64">
        <v>2019</v>
      </c>
    </row>
    <row r="65" spans="1:77" x14ac:dyDescent="0.25">
      <c r="A65" t="s">
        <v>269</v>
      </c>
      <c r="B65" t="s">
        <v>268</v>
      </c>
      <c r="C65">
        <v>3</v>
      </c>
      <c r="D65" t="s">
        <v>633</v>
      </c>
      <c r="E65">
        <f t="shared" si="1"/>
        <v>2050</v>
      </c>
      <c r="F65">
        <f t="shared" si="0"/>
        <v>2050</v>
      </c>
      <c r="L65" t="s">
        <v>1156</v>
      </c>
      <c r="M65" t="s">
        <v>1157</v>
      </c>
      <c r="N65" t="s">
        <v>269</v>
      </c>
      <c r="O65" t="s">
        <v>268</v>
      </c>
      <c r="P65" t="s">
        <v>605</v>
      </c>
      <c r="Q65" t="s">
        <v>40</v>
      </c>
      <c r="S65" t="s">
        <v>606</v>
      </c>
      <c r="U65" t="s">
        <v>607</v>
      </c>
      <c r="AC65">
        <v>2050</v>
      </c>
      <c r="AD65" t="s">
        <v>8</v>
      </c>
      <c r="AE65">
        <v>2020</v>
      </c>
      <c r="AF65" t="s">
        <v>608</v>
      </c>
      <c r="AG65">
        <v>31</v>
      </c>
      <c r="AK65">
        <v>31.16</v>
      </c>
      <c r="AL65">
        <v>38.951000000000001</v>
      </c>
      <c r="AN65">
        <v>2030</v>
      </c>
      <c r="AO65" t="s">
        <v>1158</v>
      </c>
      <c r="AP65" t="s">
        <v>1159</v>
      </c>
      <c r="AQ65" t="s">
        <v>1160</v>
      </c>
      <c r="AR65" t="s">
        <v>1161</v>
      </c>
      <c r="AS65" t="s">
        <v>633</v>
      </c>
      <c r="AT65" t="s">
        <v>615</v>
      </c>
      <c r="AU65" t="s">
        <v>602</v>
      </c>
      <c r="AV65" t="s">
        <v>602</v>
      </c>
      <c r="AW65" t="s">
        <v>602</v>
      </c>
      <c r="AX65" t="s">
        <v>602</v>
      </c>
      <c r="AY65" t="s">
        <v>602</v>
      </c>
      <c r="AZ65" t="s">
        <v>602</v>
      </c>
      <c r="BA65" t="s">
        <v>606</v>
      </c>
      <c r="BB65" t="s">
        <v>1162</v>
      </c>
      <c r="BC65" t="s">
        <v>606</v>
      </c>
      <c r="BE65" t="s">
        <v>614</v>
      </c>
      <c r="BF65" t="s">
        <v>615</v>
      </c>
      <c r="BG65" t="s">
        <v>606</v>
      </c>
      <c r="BI65" t="s">
        <v>602</v>
      </c>
      <c r="BM65" t="s">
        <v>606</v>
      </c>
      <c r="BN65" t="s">
        <v>602</v>
      </c>
      <c r="BQ65">
        <v>65875459168.083</v>
      </c>
      <c r="BS65">
        <v>5592631</v>
      </c>
      <c r="BX65">
        <v>35130000</v>
      </c>
      <c r="BY65">
        <v>2019</v>
      </c>
    </row>
    <row r="66" spans="1:77" x14ac:dyDescent="0.25">
      <c r="A66" t="s">
        <v>273</v>
      </c>
      <c r="B66" t="s">
        <v>272</v>
      </c>
      <c r="C66">
        <v>3</v>
      </c>
      <c r="D66" t="s">
        <v>602</v>
      </c>
      <c r="E66">
        <f t="shared" si="1"/>
        <v>2050</v>
      </c>
      <c r="F66">
        <f t="shared" si="0"/>
        <v>2065</v>
      </c>
      <c r="L66" t="s">
        <v>1163</v>
      </c>
      <c r="M66" t="s">
        <v>1164</v>
      </c>
      <c r="N66" t="s">
        <v>273</v>
      </c>
      <c r="O66" t="s">
        <v>272</v>
      </c>
      <c r="P66" t="s">
        <v>624</v>
      </c>
      <c r="Q66" t="s">
        <v>40</v>
      </c>
      <c r="S66" t="s">
        <v>606</v>
      </c>
      <c r="U66" t="s">
        <v>607</v>
      </c>
      <c r="AC66">
        <v>2050</v>
      </c>
      <c r="AD66" t="s">
        <v>8</v>
      </c>
      <c r="AE66">
        <v>2020</v>
      </c>
      <c r="AF66" t="s">
        <v>608</v>
      </c>
      <c r="AG66">
        <v>10</v>
      </c>
      <c r="AK66">
        <v>11.186</v>
      </c>
      <c r="AL66">
        <v>12.429</v>
      </c>
      <c r="AN66">
        <v>2030</v>
      </c>
      <c r="AO66" t="s">
        <v>1165</v>
      </c>
      <c r="AP66" t="s">
        <v>1166</v>
      </c>
      <c r="AQ66" t="s">
        <v>1167</v>
      </c>
      <c r="AR66" t="s">
        <v>1168</v>
      </c>
      <c r="AS66" t="s">
        <v>602</v>
      </c>
      <c r="AT66" t="s">
        <v>615</v>
      </c>
      <c r="AU66" t="s">
        <v>602</v>
      </c>
      <c r="AV66" t="s">
        <v>602</v>
      </c>
      <c r="AW66" t="s">
        <v>602</v>
      </c>
      <c r="AX66" t="s">
        <v>602</v>
      </c>
      <c r="AY66" t="s">
        <v>602</v>
      </c>
      <c r="AZ66" t="s">
        <v>602</v>
      </c>
      <c r="BC66" t="s">
        <v>606</v>
      </c>
      <c r="BE66" t="s">
        <v>614</v>
      </c>
      <c r="BI66" t="s">
        <v>602</v>
      </c>
      <c r="BP66" t="s">
        <v>619</v>
      </c>
      <c r="BQ66">
        <v>7321956001.5173998</v>
      </c>
      <c r="BS66">
        <v>5193416</v>
      </c>
      <c r="BX66">
        <v>15870000</v>
      </c>
      <c r="BY66">
        <v>2019</v>
      </c>
    </row>
    <row r="67" spans="1:77" hidden="1" x14ac:dyDescent="0.25">
      <c r="A67" t="s">
        <v>1169</v>
      </c>
      <c r="B67" t="s">
        <v>420</v>
      </c>
      <c r="C67">
        <v>1</v>
      </c>
      <c r="D67" t="s">
        <v>620</v>
      </c>
      <c r="E67">
        <f t="shared" si="1"/>
        <v>2110</v>
      </c>
      <c r="F67">
        <f t="shared" ref="F67:F130" si="2">IF(U67="Reduction v. BAU","",IF(U67="Other","",IF(U67="Emissions reduction target","",IF(D67="Not Specified",E67+$H$1,IF(D67="Carbon dioxide only",E67+$H$1,IF(D67="Carbon dioxide and other GHGs",E67,""))))))</f>
        <v>2125</v>
      </c>
      <c r="L67" t="s">
        <v>1170</v>
      </c>
      <c r="M67" t="s">
        <v>1171</v>
      </c>
      <c r="N67" t="s">
        <v>1169</v>
      </c>
      <c r="O67" t="s">
        <v>420</v>
      </c>
      <c r="P67" t="s">
        <v>636</v>
      </c>
      <c r="Q67" t="s">
        <v>40</v>
      </c>
      <c r="S67" t="s">
        <v>606</v>
      </c>
      <c r="U67" t="s">
        <v>607</v>
      </c>
      <c r="AC67">
        <v>2050</v>
      </c>
      <c r="AD67" t="s">
        <v>12</v>
      </c>
      <c r="AE67">
        <v>2019</v>
      </c>
      <c r="AF67" t="s">
        <v>608</v>
      </c>
      <c r="AG67">
        <v>16</v>
      </c>
      <c r="AK67">
        <v>0.63700000000000001</v>
      </c>
      <c r="AL67">
        <v>0.75800000000000001</v>
      </c>
      <c r="AN67">
        <v>2025</v>
      </c>
      <c r="AO67" t="s">
        <v>626</v>
      </c>
      <c r="AP67" t="s">
        <v>1172</v>
      </c>
      <c r="AR67" t="s">
        <v>628</v>
      </c>
      <c r="AS67" t="s">
        <v>620</v>
      </c>
      <c r="AT67" t="s">
        <v>615</v>
      </c>
      <c r="AU67" t="s">
        <v>602</v>
      </c>
      <c r="AV67" t="s">
        <v>602</v>
      </c>
      <c r="AW67" t="s">
        <v>602</v>
      </c>
      <c r="AX67" t="s">
        <v>602</v>
      </c>
      <c r="AY67" t="s">
        <v>602</v>
      </c>
      <c r="AZ67" t="s">
        <v>602</v>
      </c>
      <c r="BA67" t="s">
        <v>606</v>
      </c>
      <c r="BB67" t="s">
        <v>1173</v>
      </c>
      <c r="BC67" t="s">
        <v>606</v>
      </c>
      <c r="BE67" t="s">
        <v>614</v>
      </c>
      <c r="BF67" t="s">
        <v>606</v>
      </c>
      <c r="BG67" t="s">
        <v>602</v>
      </c>
      <c r="BH67" t="s">
        <v>1174</v>
      </c>
      <c r="BI67" t="s">
        <v>602</v>
      </c>
      <c r="BM67" t="s">
        <v>606</v>
      </c>
      <c r="BN67" t="s">
        <v>602</v>
      </c>
      <c r="BO67" t="s">
        <v>1175</v>
      </c>
      <c r="BP67" t="s">
        <v>619</v>
      </c>
      <c r="BQ67">
        <v>2358544818.2322998</v>
      </c>
      <c r="BS67">
        <v>179652</v>
      </c>
      <c r="BX67">
        <v>740000</v>
      </c>
      <c r="BY67">
        <v>2019</v>
      </c>
    </row>
    <row r="68" spans="1:77" hidden="1" x14ac:dyDescent="0.25">
      <c r="A68" t="s">
        <v>271</v>
      </c>
      <c r="B68" t="s">
        <v>270</v>
      </c>
      <c r="C68">
        <v>1</v>
      </c>
      <c r="D68" t="s">
        <v>620</v>
      </c>
      <c r="E68">
        <f t="shared" ref="E68:E131" si="3">IF(C68&gt;1,AC68,2110)</f>
        <v>2110</v>
      </c>
      <c r="F68">
        <f t="shared" si="2"/>
        <v>2125</v>
      </c>
      <c r="L68" t="s">
        <v>1176</v>
      </c>
      <c r="M68" t="s">
        <v>1177</v>
      </c>
      <c r="N68" t="s">
        <v>271</v>
      </c>
      <c r="O68" t="s">
        <v>270</v>
      </c>
      <c r="P68" t="s">
        <v>624</v>
      </c>
      <c r="Q68" t="s">
        <v>40</v>
      </c>
      <c r="S68" t="s">
        <v>606</v>
      </c>
      <c r="U68" t="s">
        <v>607</v>
      </c>
      <c r="AC68">
        <v>2050</v>
      </c>
      <c r="AD68" t="s">
        <v>12</v>
      </c>
      <c r="AE68">
        <v>2019</v>
      </c>
      <c r="AF68" t="s">
        <v>608</v>
      </c>
      <c r="AG68">
        <v>10</v>
      </c>
      <c r="AK68">
        <v>5.1417000000000002</v>
      </c>
      <c r="AL68">
        <v>5.7130000000000001</v>
      </c>
      <c r="AN68">
        <v>2030</v>
      </c>
      <c r="AO68" t="s">
        <v>626</v>
      </c>
      <c r="AP68" t="s">
        <v>1178</v>
      </c>
      <c r="AR68" t="s">
        <v>628</v>
      </c>
      <c r="AS68" t="s">
        <v>620</v>
      </c>
      <c r="AT68" t="s">
        <v>615</v>
      </c>
      <c r="AU68" t="s">
        <v>602</v>
      </c>
      <c r="AV68" t="s">
        <v>602</v>
      </c>
      <c r="AW68" t="s">
        <v>602</v>
      </c>
      <c r="AX68" t="s">
        <v>602</v>
      </c>
      <c r="AY68" t="s">
        <v>602</v>
      </c>
      <c r="AZ68" t="s">
        <v>602</v>
      </c>
      <c r="BA68" t="s">
        <v>606</v>
      </c>
      <c r="BB68" t="s">
        <v>1179</v>
      </c>
      <c r="BC68" t="s">
        <v>606</v>
      </c>
      <c r="BE68" t="s">
        <v>614</v>
      </c>
      <c r="BF68" t="s">
        <v>606</v>
      </c>
      <c r="BG68" t="s">
        <v>602</v>
      </c>
      <c r="BH68" t="s">
        <v>1180</v>
      </c>
      <c r="BI68" t="s">
        <v>602</v>
      </c>
      <c r="BM68" t="s">
        <v>606</v>
      </c>
      <c r="BN68" t="s">
        <v>602</v>
      </c>
      <c r="BO68" t="s">
        <v>1181</v>
      </c>
      <c r="BP68" t="s">
        <v>619</v>
      </c>
      <c r="BQ68">
        <v>5271393145.2608995</v>
      </c>
      <c r="BS68">
        <v>2254100</v>
      </c>
      <c r="BX68">
        <v>2530000</v>
      </c>
      <c r="BY68">
        <v>2019</v>
      </c>
    </row>
    <row r="69" spans="1:77" x14ac:dyDescent="0.25">
      <c r="A69" t="s">
        <v>279</v>
      </c>
      <c r="B69" t="s">
        <v>278</v>
      </c>
      <c r="C69">
        <v>3</v>
      </c>
      <c r="D69" t="s">
        <v>633</v>
      </c>
      <c r="E69">
        <f t="shared" si="3"/>
        <v>2050</v>
      </c>
      <c r="F69">
        <f t="shared" si="2"/>
        <v>2050</v>
      </c>
      <c r="L69" t="s">
        <v>1182</v>
      </c>
      <c r="M69" t="s">
        <v>1183</v>
      </c>
      <c r="N69" t="s">
        <v>279</v>
      </c>
      <c r="O69" t="s">
        <v>278</v>
      </c>
      <c r="P69" t="s">
        <v>665</v>
      </c>
      <c r="Q69" t="s">
        <v>40</v>
      </c>
      <c r="S69" t="s">
        <v>606</v>
      </c>
      <c r="U69" t="s">
        <v>607</v>
      </c>
      <c r="AC69">
        <v>2050</v>
      </c>
      <c r="AD69" t="s">
        <v>8</v>
      </c>
      <c r="AE69">
        <v>2021</v>
      </c>
      <c r="AF69" t="s">
        <v>625</v>
      </c>
      <c r="AG69">
        <v>30</v>
      </c>
      <c r="AH69">
        <v>2005</v>
      </c>
      <c r="AN69">
        <v>2030</v>
      </c>
      <c r="AO69" t="s">
        <v>1184</v>
      </c>
      <c r="AP69" t="s">
        <v>1185</v>
      </c>
      <c r="AQ69" t="s">
        <v>1186</v>
      </c>
      <c r="AR69" t="s">
        <v>1187</v>
      </c>
      <c r="AS69" t="s">
        <v>633</v>
      </c>
      <c r="AT69" t="s">
        <v>615</v>
      </c>
      <c r="AU69" t="s">
        <v>602</v>
      </c>
      <c r="AV69" t="s">
        <v>606</v>
      </c>
      <c r="AW69" t="s">
        <v>606</v>
      </c>
      <c r="AX69" t="s">
        <v>602</v>
      </c>
      <c r="AY69" t="s">
        <v>602</v>
      </c>
      <c r="AZ69" t="s">
        <v>602</v>
      </c>
      <c r="BA69" t="s">
        <v>606</v>
      </c>
      <c r="BB69" t="s">
        <v>1188</v>
      </c>
      <c r="BC69" t="s">
        <v>615</v>
      </c>
      <c r="BD69" t="s">
        <v>725</v>
      </c>
      <c r="BE69" t="s">
        <v>614</v>
      </c>
      <c r="BF69" t="s">
        <v>615</v>
      </c>
      <c r="BG69" t="s">
        <v>606</v>
      </c>
      <c r="BH69" t="s">
        <v>1189</v>
      </c>
      <c r="BI69" t="s">
        <v>606</v>
      </c>
      <c r="BM69" t="s">
        <v>606</v>
      </c>
      <c r="BN69" t="s">
        <v>617</v>
      </c>
      <c r="BO69" t="s">
        <v>1190</v>
      </c>
      <c r="BP69" t="s">
        <v>619</v>
      </c>
      <c r="BQ69">
        <v>108899084442.62</v>
      </c>
      <c r="BS69">
        <v>2786651</v>
      </c>
      <c r="BX69">
        <v>18300000</v>
      </c>
      <c r="BY69">
        <v>2019</v>
      </c>
    </row>
    <row r="70" spans="1:77" x14ac:dyDescent="0.25">
      <c r="A70" t="s">
        <v>281</v>
      </c>
      <c r="B70" t="s">
        <v>280</v>
      </c>
      <c r="C70">
        <v>4</v>
      </c>
      <c r="D70" t="s">
        <v>633</v>
      </c>
      <c r="E70">
        <f t="shared" si="3"/>
        <v>2050</v>
      </c>
      <c r="F70">
        <f t="shared" si="2"/>
        <v>2050</v>
      </c>
      <c r="L70" t="s">
        <v>1191</v>
      </c>
      <c r="M70" t="s">
        <v>1192</v>
      </c>
      <c r="N70" t="s">
        <v>281</v>
      </c>
      <c r="O70" t="s">
        <v>280</v>
      </c>
      <c r="P70" t="s">
        <v>665</v>
      </c>
      <c r="Q70" t="s">
        <v>40</v>
      </c>
      <c r="S70" t="s">
        <v>606</v>
      </c>
      <c r="U70" t="s">
        <v>607</v>
      </c>
      <c r="AC70">
        <v>2050</v>
      </c>
      <c r="AD70" t="s">
        <v>667</v>
      </c>
      <c r="AE70">
        <v>2020</v>
      </c>
      <c r="AF70" t="s">
        <v>625</v>
      </c>
      <c r="AG70">
        <v>55</v>
      </c>
      <c r="AH70">
        <v>2005</v>
      </c>
      <c r="AN70">
        <v>2030</v>
      </c>
      <c r="AO70" t="s">
        <v>1193</v>
      </c>
      <c r="AP70" t="s">
        <v>1194</v>
      </c>
      <c r="AQ70" t="s">
        <v>1195</v>
      </c>
      <c r="AR70" t="s">
        <v>1196</v>
      </c>
      <c r="AS70" t="s">
        <v>633</v>
      </c>
      <c r="AT70" t="s">
        <v>615</v>
      </c>
      <c r="AU70" t="s">
        <v>602</v>
      </c>
      <c r="AV70" t="s">
        <v>602</v>
      </c>
      <c r="AW70" t="s">
        <v>602</v>
      </c>
      <c r="AX70" t="s">
        <v>602</v>
      </c>
      <c r="AY70" t="s">
        <v>602</v>
      </c>
      <c r="AZ70" t="s">
        <v>602</v>
      </c>
      <c r="BA70" t="s">
        <v>606</v>
      </c>
      <c r="BB70" t="s">
        <v>1197</v>
      </c>
      <c r="BC70" t="s">
        <v>615</v>
      </c>
      <c r="BD70" t="s">
        <v>950</v>
      </c>
      <c r="BE70" t="s">
        <v>674</v>
      </c>
      <c r="BF70" t="s">
        <v>615</v>
      </c>
      <c r="BG70" t="s">
        <v>615</v>
      </c>
      <c r="BH70" t="s">
        <v>1198</v>
      </c>
      <c r="BI70" t="s">
        <v>615</v>
      </c>
      <c r="BJ70" t="s">
        <v>1199</v>
      </c>
      <c r="BL70" t="s">
        <v>1200</v>
      </c>
      <c r="BM70" t="s">
        <v>606</v>
      </c>
      <c r="BN70" t="s">
        <v>767</v>
      </c>
      <c r="BO70" t="s">
        <v>1201</v>
      </c>
      <c r="BP70" t="s">
        <v>619</v>
      </c>
      <c r="BQ70">
        <v>75844855545.781006</v>
      </c>
      <c r="BS70">
        <v>639321</v>
      </c>
      <c r="BX70">
        <v>10200000</v>
      </c>
      <c r="BY70">
        <v>2019</v>
      </c>
    </row>
    <row r="71" spans="1:77" x14ac:dyDescent="0.25">
      <c r="A71" t="s">
        <v>267</v>
      </c>
      <c r="B71" t="s">
        <v>266</v>
      </c>
      <c r="C71">
        <v>3</v>
      </c>
      <c r="D71" t="s">
        <v>633</v>
      </c>
      <c r="E71">
        <f t="shared" si="3"/>
        <v>2050</v>
      </c>
      <c r="F71">
        <f t="shared" si="2"/>
        <v>2050</v>
      </c>
      <c r="L71" t="s">
        <v>1202</v>
      </c>
      <c r="M71" t="s">
        <v>1203</v>
      </c>
      <c r="N71" t="s">
        <v>267</v>
      </c>
      <c r="O71" t="s">
        <v>266</v>
      </c>
      <c r="P71" t="s">
        <v>665</v>
      </c>
      <c r="Q71" t="s">
        <v>40</v>
      </c>
      <c r="S71" t="s">
        <v>606</v>
      </c>
      <c r="U71" t="s">
        <v>680</v>
      </c>
      <c r="AC71">
        <v>2050</v>
      </c>
      <c r="AD71" t="s">
        <v>8</v>
      </c>
      <c r="AE71">
        <v>2021</v>
      </c>
      <c r="AF71" t="s">
        <v>625</v>
      </c>
      <c r="AG71">
        <v>55</v>
      </c>
      <c r="AH71">
        <v>1990</v>
      </c>
      <c r="AN71">
        <v>2030</v>
      </c>
      <c r="AO71" t="s">
        <v>1204</v>
      </c>
      <c r="AP71" t="s">
        <v>1205</v>
      </c>
      <c r="AQ71" t="s">
        <v>1206</v>
      </c>
      <c r="AR71" t="s">
        <v>1207</v>
      </c>
      <c r="AS71" t="s">
        <v>633</v>
      </c>
      <c r="AT71" t="s">
        <v>615</v>
      </c>
      <c r="AU71" t="s">
        <v>615</v>
      </c>
      <c r="AV71" t="s">
        <v>602</v>
      </c>
      <c r="AW71" t="s">
        <v>602</v>
      </c>
      <c r="AX71" t="s">
        <v>602</v>
      </c>
      <c r="AY71" t="s">
        <v>602</v>
      </c>
      <c r="AZ71" t="s">
        <v>602</v>
      </c>
      <c r="BB71" t="s">
        <v>1208</v>
      </c>
      <c r="BC71" t="s">
        <v>615</v>
      </c>
      <c r="BD71" t="s">
        <v>1015</v>
      </c>
      <c r="BE71" t="s">
        <v>674</v>
      </c>
      <c r="BF71" t="s">
        <v>606</v>
      </c>
      <c r="BG71" t="s">
        <v>606</v>
      </c>
      <c r="BH71" t="s">
        <v>1209</v>
      </c>
      <c r="BI71" t="s">
        <v>602</v>
      </c>
      <c r="BM71" t="s">
        <v>606</v>
      </c>
      <c r="BN71" t="s">
        <v>602</v>
      </c>
      <c r="BP71" t="s">
        <v>619</v>
      </c>
      <c r="BQ71">
        <v>59674629154.808998</v>
      </c>
      <c r="BS71">
        <v>1873919</v>
      </c>
      <c r="BX71">
        <v>8930000</v>
      </c>
      <c r="BY71">
        <v>2019</v>
      </c>
    </row>
    <row r="72" spans="1:77" x14ac:dyDescent="0.25">
      <c r="A72" t="s">
        <v>313</v>
      </c>
      <c r="B72" t="s">
        <v>312</v>
      </c>
      <c r="C72">
        <v>3</v>
      </c>
      <c r="D72" t="s">
        <v>633</v>
      </c>
      <c r="E72">
        <f t="shared" si="3"/>
        <v>2050</v>
      </c>
      <c r="F72">
        <f t="shared" si="2"/>
        <v>2050</v>
      </c>
      <c r="L72" t="s">
        <v>1210</v>
      </c>
      <c r="M72" t="s">
        <v>1211</v>
      </c>
      <c r="N72" t="s">
        <v>313</v>
      </c>
      <c r="O72" t="s">
        <v>312</v>
      </c>
      <c r="P72" t="s">
        <v>665</v>
      </c>
      <c r="Q72" t="s">
        <v>40</v>
      </c>
      <c r="S72" t="s">
        <v>606</v>
      </c>
      <c r="U72" t="s">
        <v>680</v>
      </c>
      <c r="AC72">
        <v>2050</v>
      </c>
      <c r="AD72" t="s">
        <v>8</v>
      </c>
      <c r="AE72">
        <v>2021</v>
      </c>
      <c r="AF72" t="s">
        <v>625</v>
      </c>
      <c r="AG72">
        <v>55</v>
      </c>
      <c r="AH72">
        <v>1990</v>
      </c>
      <c r="AN72">
        <v>2030</v>
      </c>
      <c r="AO72" t="s">
        <v>1212</v>
      </c>
      <c r="AP72" t="s">
        <v>1213</v>
      </c>
      <c r="AQ72" t="s">
        <v>1214</v>
      </c>
      <c r="AR72" t="s">
        <v>1215</v>
      </c>
      <c r="AS72" t="s">
        <v>633</v>
      </c>
      <c r="AT72" t="s">
        <v>602</v>
      </c>
      <c r="AU72" t="s">
        <v>602</v>
      </c>
      <c r="AV72" t="s">
        <v>615</v>
      </c>
      <c r="AW72" t="s">
        <v>615</v>
      </c>
      <c r="AX72" t="s">
        <v>602</v>
      </c>
      <c r="AY72" t="s">
        <v>602</v>
      </c>
      <c r="AZ72" t="s">
        <v>602</v>
      </c>
      <c r="BA72" t="s">
        <v>606</v>
      </c>
      <c r="BB72" t="s">
        <v>1216</v>
      </c>
      <c r="BC72" t="s">
        <v>615</v>
      </c>
      <c r="BD72" t="s">
        <v>844</v>
      </c>
      <c r="BE72" t="s">
        <v>614</v>
      </c>
      <c r="BF72" t="s">
        <v>606</v>
      </c>
      <c r="BG72" t="s">
        <v>615</v>
      </c>
      <c r="BH72" t="s">
        <v>1217</v>
      </c>
      <c r="BI72" t="s">
        <v>615</v>
      </c>
      <c r="BJ72" t="s">
        <v>715</v>
      </c>
      <c r="BM72" t="s">
        <v>606</v>
      </c>
      <c r="BN72" t="s">
        <v>602</v>
      </c>
      <c r="BO72" t="s">
        <v>1218</v>
      </c>
      <c r="BS72">
        <v>37034</v>
      </c>
      <c r="BY72">
        <v>2019</v>
      </c>
    </row>
    <row r="73" spans="1:77" hidden="1" x14ac:dyDescent="0.25">
      <c r="A73" t="s">
        <v>287</v>
      </c>
      <c r="B73" t="s">
        <v>286</v>
      </c>
      <c r="C73">
        <v>1</v>
      </c>
      <c r="D73" t="s">
        <v>620</v>
      </c>
      <c r="E73">
        <f t="shared" si="3"/>
        <v>2110</v>
      </c>
      <c r="F73">
        <f t="shared" si="2"/>
        <v>2125</v>
      </c>
      <c r="L73" t="s">
        <v>1219</v>
      </c>
      <c r="M73" t="s">
        <v>1220</v>
      </c>
      <c r="N73" t="s">
        <v>287</v>
      </c>
      <c r="O73" t="s">
        <v>286</v>
      </c>
      <c r="P73" t="s">
        <v>624</v>
      </c>
      <c r="Q73" t="s">
        <v>40</v>
      </c>
      <c r="S73" t="s">
        <v>606</v>
      </c>
      <c r="U73" t="s">
        <v>607</v>
      </c>
      <c r="AC73">
        <v>2050</v>
      </c>
      <c r="AD73" t="s">
        <v>12</v>
      </c>
      <c r="AE73">
        <v>2019</v>
      </c>
      <c r="AF73" t="s">
        <v>608</v>
      </c>
      <c r="AG73">
        <v>14</v>
      </c>
      <c r="AK73">
        <v>30</v>
      </c>
      <c r="AL73">
        <v>214</v>
      </c>
      <c r="AN73">
        <v>2030</v>
      </c>
      <c r="AO73" t="s">
        <v>626</v>
      </c>
      <c r="AP73" t="s">
        <v>1221</v>
      </c>
      <c r="AR73" t="s">
        <v>1222</v>
      </c>
      <c r="AS73" t="s">
        <v>620</v>
      </c>
      <c r="AU73" t="s">
        <v>602</v>
      </c>
      <c r="AV73" t="s">
        <v>602</v>
      </c>
      <c r="AW73" t="s">
        <v>602</v>
      </c>
      <c r="AX73" t="s">
        <v>602</v>
      </c>
      <c r="AY73" t="s">
        <v>602</v>
      </c>
      <c r="AZ73" t="s">
        <v>602</v>
      </c>
      <c r="BA73" t="s">
        <v>606</v>
      </c>
      <c r="BB73" t="s">
        <v>1223</v>
      </c>
      <c r="BC73" t="s">
        <v>606</v>
      </c>
      <c r="BE73" t="s">
        <v>614</v>
      </c>
      <c r="BF73" t="s">
        <v>606</v>
      </c>
      <c r="BG73" t="s">
        <v>602</v>
      </c>
      <c r="BH73" t="s">
        <v>1224</v>
      </c>
      <c r="BI73" t="s">
        <v>602</v>
      </c>
      <c r="BM73" t="s">
        <v>606</v>
      </c>
      <c r="BN73" t="s">
        <v>602</v>
      </c>
      <c r="BO73" t="s">
        <v>1225</v>
      </c>
      <c r="BP73" t="s">
        <v>619</v>
      </c>
      <c r="BQ73">
        <v>42318208185.558998</v>
      </c>
      <c r="BS73">
        <v>28225177</v>
      </c>
      <c r="BX73">
        <v>40220000</v>
      </c>
      <c r="BY73">
        <v>2019</v>
      </c>
    </row>
    <row r="74" spans="1:77" x14ac:dyDescent="0.25">
      <c r="A74" t="s">
        <v>293</v>
      </c>
      <c r="B74" t="s">
        <v>292</v>
      </c>
      <c r="C74">
        <v>4</v>
      </c>
      <c r="D74" t="s">
        <v>602</v>
      </c>
      <c r="E74">
        <f t="shared" si="3"/>
        <v>2030</v>
      </c>
      <c r="F74">
        <f t="shared" si="2"/>
        <v>2045</v>
      </c>
      <c r="L74" t="s">
        <v>1226</v>
      </c>
      <c r="M74" t="s">
        <v>1227</v>
      </c>
      <c r="N74" t="s">
        <v>293</v>
      </c>
      <c r="O74" t="s">
        <v>292</v>
      </c>
      <c r="P74" t="s">
        <v>700</v>
      </c>
      <c r="Q74" t="s">
        <v>40</v>
      </c>
      <c r="S74" t="s">
        <v>606</v>
      </c>
      <c r="U74" t="s">
        <v>607</v>
      </c>
      <c r="AC74">
        <v>2030</v>
      </c>
      <c r="AD74" t="s">
        <v>667</v>
      </c>
      <c r="AE74">
        <v>2020</v>
      </c>
      <c r="AF74" t="s">
        <v>17</v>
      </c>
      <c r="AO74" t="s">
        <v>1228</v>
      </c>
      <c r="AP74" t="s">
        <v>1229</v>
      </c>
      <c r="AQ74" t="s">
        <v>1230</v>
      </c>
      <c r="AR74" t="s">
        <v>1231</v>
      </c>
      <c r="AS74" t="s">
        <v>602</v>
      </c>
      <c r="AT74" t="s">
        <v>602</v>
      </c>
      <c r="AU74" t="s">
        <v>602</v>
      </c>
      <c r="AV74" t="s">
        <v>602</v>
      </c>
      <c r="AW74" t="s">
        <v>602</v>
      </c>
      <c r="AX74" t="s">
        <v>602</v>
      </c>
      <c r="AY74" t="s">
        <v>602</v>
      </c>
      <c r="AZ74" t="s">
        <v>602</v>
      </c>
      <c r="BA74" t="s">
        <v>606</v>
      </c>
      <c r="BC74" t="s">
        <v>606</v>
      </c>
      <c r="BE74" t="s">
        <v>614</v>
      </c>
      <c r="BF74" t="s">
        <v>615</v>
      </c>
      <c r="BG74" t="s">
        <v>606</v>
      </c>
      <c r="BI74" t="s">
        <v>615</v>
      </c>
      <c r="BJ74" t="s">
        <v>715</v>
      </c>
      <c r="BM74" t="s">
        <v>606</v>
      </c>
      <c r="BN74" t="s">
        <v>602</v>
      </c>
      <c r="BQ74">
        <v>9021898671.4484997</v>
      </c>
      <c r="BS74">
        <v>521458</v>
      </c>
      <c r="BX74">
        <v>2600000</v>
      </c>
      <c r="BY74">
        <v>2019</v>
      </c>
    </row>
    <row r="75" spans="1:77" hidden="1" x14ac:dyDescent="0.25">
      <c r="A75" t="s">
        <v>307</v>
      </c>
      <c r="B75" t="s">
        <v>306</v>
      </c>
      <c r="C75">
        <v>1</v>
      </c>
      <c r="D75" t="s">
        <v>620</v>
      </c>
      <c r="E75">
        <f t="shared" si="3"/>
        <v>2110</v>
      </c>
      <c r="F75">
        <f t="shared" si="2"/>
        <v>2125</v>
      </c>
      <c r="L75" t="s">
        <v>1232</v>
      </c>
      <c r="M75" t="s">
        <v>1233</v>
      </c>
      <c r="N75" t="s">
        <v>307</v>
      </c>
      <c r="O75" t="s">
        <v>306</v>
      </c>
      <c r="P75" t="s">
        <v>759</v>
      </c>
      <c r="Q75" t="s">
        <v>40</v>
      </c>
      <c r="S75" t="s">
        <v>606</v>
      </c>
      <c r="U75" t="s">
        <v>607</v>
      </c>
      <c r="AC75">
        <v>2050</v>
      </c>
      <c r="AD75" t="s">
        <v>12</v>
      </c>
      <c r="AE75">
        <v>2019</v>
      </c>
      <c r="AF75" t="s">
        <v>608</v>
      </c>
      <c r="AG75">
        <v>35</v>
      </c>
      <c r="AK75">
        <v>644</v>
      </c>
      <c r="AL75">
        <v>991</v>
      </c>
      <c r="AN75">
        <v>2020</v>
      </c>
      <c r="AO75" t="s">
        <v>626</v>
      </c>
      <c r="AP75" t="s">
        <v>1234</v>
      </c>
      <c r="AQ75" t="s">
        <v>1235</v>
      </c>
      <c r="AR75" t="s">
        <v>628</v>
      </c>
      <c r="AS75" t="s">
        <v>620</v>
      </c>
      <c r="AU75" t="s">
        <v>602</v>
      </c>
      <c r="AV75" t="s">
        <v>602</v>
      </c>
      <c r="AW75" t="s">
        <v>602</v>
      </c>
      <c r="AX75" t="s">
        <v>602</v>
      </c>
      <c r="AY75" t="s">
        <v>602</v>
      </c>
      <c r="AZ75" t="s">
        <v>602</v>
      </c>
      <c r="BA75" t="s">
        <v>606</v>
      </c>
      <c r="BB75" t="s">
        <v>1236</v>
      </c>
      <c r="BC75" t="s">
        <v>606</v>
      </c>
      <c r="BE75" t="s">
        <v>614</v>
      </c>
      <c r="BF75" t="s">
        <v>606</v>
      </c>
      <c r="BG75" t="s">
        <v>602</v>
      </c>
      <c r="BH75" t="s">
        <v>1237</v>
      </c>
      <c r="BI75" t="s">
        <v>602</v>
      </c>
      <c r="BM75" t="s">
        <v>606</v>
      </c>
      <c r="BN75" t="s">
        <v>602</v>
      </c>
      <c r="BO75" t="s">
        <v>1238</v>
      </c>
      <c r="BP75" t="s">
        <v>619</v>
      </c>
      <c r="BQ75">
        <v>2415675362003.7998</v>
      </c>
      <c r="BS75">
        <v>126705138</v>
      </c>
      <c r="BX75">
        <v>670840000</v>
      </c>
      <c r="BY75">
        <v>2019</v>
      </c>
    </row>
    <row r="76" spans="1:77" x14ac:dyDescent="0.25">
      <c r="A76" t="s">
        <v>299</v>
      </c>
      <c r="B76" t="s">
        <v>298</v>
      </c>
      <c r="C76">
        <v>3</v>
      </c>
      <c r="D76" t="s">
        <v>633</v>
      </c>
      <c r="E76">
        <f t="shared" si="3"/>
        <v>2050</v>
      </c>
      <c r="F76">
        <f t="shared" si="2"/>
        <v>2050</v>
      </c>
      <c r="L76" t="s">
        <v>1239</v>
      </c>
      <c r="M76" t="s">
        <v>1240</v>
      </c>
      <c r="N76" t="s">
        <v>299</v>
      </c>
      <c r="O76" t="s">
        <v>298</v>
      </c>
      <c r="P76" t="s">
        <v>955</v>
      </c>
      <c r="Q76" t="s">
        <v>40</v>
      </c>
      <c r="S76" t="s">
        <v>606</v>
      </c>
      <c r="U76" t="s">
        <v>607</v>
      </c>
      <c r="AC76">
        <v>2050</v>
      </c>
      <c r="AD76" t="s">
        <v>8</v>
      </c>
      <c r="AE76">
        <v>2020</v>
      </c>
      <c r="AF76" t="s">
        <v>625</v>
      </c>
      <c r="AG76">
        <v>32</v>
      </c>
      <c r="AH76">
        <v>2010</v>
      </c>
      <c r="AN76">
        <v>2025</v>
      </c>
      <c r="AP76" t="s">
        <v>1241</v>
      </c>
      <c r="AQ76" t="s">
        <v>1242</v>
      </c>
      <c r="AR76" t="s">
        <v>1243</v>
      </c>
      <c r="AS76" t="s">
        <v>633</v>
      </c>
      <c r="AT76" t="s">
        <v>615</v>
      </c>
      <c r="AU76" t="s">
        <v>615</v>
      </c>
      <c r="AV76" t="s">
        <v>606</v>
      </c>
      <c r="AW76" t="s">
        <v>615</v>
      </c>
      <c r="AX76" t="s">
        <v>602</v>
      </c>
      <c r="AY76" t="s">
        <v>602</v>
      </c>
      <c r="AZ76" t="s">
        <v>602</v>
      </c>
      <c r="BA76" t="s">
        <v>606</v>
      </c>
      <c r="BB76" t="s">
        <v>1244</v>
      </c>
      <c r="BC76" t="s">
        <v>615</v>
      </c>
      <c r="BD76" t="s">
        <v>735</v>
      </c>
      <c r="BE76" t="s">
        <v>614</v>
      </c>
      <c r="BF76" t="s">
        <v>615</v>
      </c>
      <c r="BG76" t="s">
        <v>606</v>
      </c>
      <c r="BI76" t="s">
        <v>602</v>
      </c>
      <c r="BM76" t="s">
        <v>606</v>
      </c>
      <c r="BN76" t="s">
        <v>602</v>
      </c>
      <c r="BP76" t="s">
        <v>619</v>
      </c>
      <c r="BQ76">
        <v>226918839.85229999</v>
      </c>
      <c r="BS76">
        <v>42050</v>
      </c>
      <c r="BX76">
        <v>230000</v>
      </c>
      <c r="BY76">
        <v>2019</v>
      </c>
    </row>
    <row r="77" spans="1:77" hidden="1" x14ac:dyDescent="0.25">
      <c r="A77" t="s">
        <v>295</v>
      </c>
      <c r="B77" t="s">
        <v>294</v>
      </c>
      <c r="C77">
        <v>1</v>
      </c>
      <c r="D77" t="s">
        <v>633</v>
      </c>
      <c r="E77">
        <f t="shared" si="3"/>
        <v>2110</v>
      </c>
      <c r="F77">
        <f t="shared" si="2"/>
        <v>2110</v>
      </c>
      <c r="L77" t="s">
        <v>1245</v>
      </c>
      <c r="M77" t="s">
        <v>1246</v>
      </c>
      <c r="N77" t="s">
        <v>295</v>
      </c>
      <c r="O77" t="s">
        <v>294</v>
      </c>
      <c r="P77" t="s">
        <v>624</v>
      </c>
      <c r="Q77" t="s">
        <v>40</v>
      </c>
      <c r="S77" t="s">
        <v>606</v>
      </c>
      <c r="U77" t="s">
        <v>607</v>
      </c>
      <c r="AC77">
        <v>2050</v>
      </c>
      <c r="AD77" t="s">
        <v>12</v>
      </c>
      <c r="AE77">
        <v>2021</v>
      </c>
      <c r="AF77" t="s">
        <v>608</v>
      </c>
      <c r="AG77">
        <v>22.6</v>
      </c>
      <c r="AK77">
        <v>94.546999999999997</v>
      </c>
      <c r="AL77">
        <v>122.137</v>
      </c>
      <c r="AN77">
        <v>2030</v>
      </c>
      <c r="AO77" t="s">
        <v>1247</v>
      </c>
      <c r="AP77" t="s">
        <v>1248</v>
      </c>
      <c r="AQ77" t="s">
        <v>1249</v>
      </c>
      <c r="AR77" t="s">
        <v>628</v>
      </c>
      <c r="AS77" t="s">
        <v>633</v>
      </c>
      <c r="AT77" t="s">
        <v>615</v>
      </c>
      <c r="AU77" t="s">
        <v>602</v>
      </c>
      <c r="AV77" t="s">
        <v>602</v>
      </c>
      <c r="AW77" t="s">
        <v>602</v>
      </c>
      <c r="AX77" t="s">
        <v>602</v>
      </c>
      <c r="AY77" t="s">
        <v>602</v>
      </c>
      <c r="AZ77" t="s">
        <v>602</v>
      </c>
      <c r="BA77" t="s">
        <v>606</v>
      </c>
      <c r="BB77" t="s">
        <v>1250</v>
      </c>
      <c r="BC77" t="s">
        <v>615</v>
      </c>
      <c r="BD77" t="s">
        <v>1251</v>
      </c>
      <c r="BE77" t="s">
        <v>614</v>
      </c>
      <c r="BF77" t="s">
        <v>606</v>
      </c>
      <c r="BG77" t="s">
        <v>602</v>
      </c>
      <c r="BI77" t="s">
        <v>602</v>
      </c>
      <c r="BM77" t="s">
        <v>615</v>
      </c>
      <c r="BN77" t="s">
        <v>617</v>
      </c>
      <c r="BP77" t="s">
        <v>619</v>
      </c>
      <c r="BQ77">
        <v>46459995929.536003</v>
      </c>
      <c r="BS77">
        <v>21904983</v>
      </c>
      <c r="BX77">
        <v>44160000</v>
      </c>
      <c r="BY77">
        <v>2019</v>
      </c>
    </row>
    <row r="78" spans="1:77" x14ac:dyDescent="0.25">
      <c r="A78" t="s">
        <v>297</v>
      </c>
      <c r="B78" t="s">
        <v>296</v>
      </c>
      <c r="C78">
        <v>3</v>
      </c>
      <c r="D78" t="s">
        <v>633</v>
      </c>
      <c r="E78">
        <f t="shared" si="3"/>
        <v>2050</v>
      </c>
      <c r="F78">
        <f t="shared" si="2"/>
        <v>2050</v>
      </c>
      <c r="L78" t="s">
        <v>1252</v>
      </c>
      <c r="M78" t="s">
        <v>1253</v>
      </c>
      <c r="N78" t="s">
        <v>297</v>
      </c>
      <c r="O78" t="s">
        <v>296</v>
      </c>
      <c r="P78" t="s">
        <v>665</v>
      </c>
      <c r="Q78" t="s">
        <v>40</v>
      </c>
      <c r="S78" t="s">
        <v>606</v>
      </c>
      <c r="U78" t="s">
        <v>666</v>
      </c>
      <c r="AC78">
        <v>2050</v>
      </c>
      <c r="AD78" t="s">
        <v>8</v>
      </c>
      <c r="AE78">
        <v>2020</v>
      </c>
      <c r="AF78" t="s">
        <v>625</v>
      </c>
      <c r="AG78">
        <v>19</v>
      </c>
      <c r="AH78">
        <v>2005</v>
      </c>
      <c r="AN78">
        <v>2030</v>
      </c>
      <c r="AO78" t="s">
        <v>1254</v>
      </c>
      <c r="AP78" t="s">
        <v>1255</v>
      </c>
      <c r="AQ78" t="s">
        <v>1256</v>
      </c>
      <c r="AR78" t="s">
        <v>1257</v>
      </c>
      <c r="AS78" t="s">
        <v>633</v>
      </c>
      <c r="AT78" t="s">
        <v>602</v>
      </c>
      <c r="AU78" t="s">
        <v>602</v>
      </c>
      <c r="AV78" t="s">
        <v>602</v>
      </c>
      <c r="AW78" t="s">
        <v>602</v>
      </c>
      <c r="AX78" t="s">
        <v>602</v>
      </c>
      <c r="AY78" t="s">
        <v>602</v>
      </c>
      <c r="AZ78" t="s">
        <v>602</v>
      </c>
      <c r="BA78" t="s">
        <v>606</v>
      </c>
      <c r="BB78" t="s">
        <v>1258</v>
      </c>
      <c r="BC78" t="s">
        <v>615</v>
      </c>
      <c r="BD78" t="s">
        <v>950</v>
      </c>
      <c r="BE78" t="s">
        <v>614</v>
      </c>
      <c r="BF78" t="s">
        <v>606</v>
      </c>
      <c r="BG78" t="s">
        <v>602</v>
      </c>
      <c r="BI78" t="s">
        <v>602</v>
      </c>
      <c r="BM78" t="s">
        <v>606</v>
      </c>
      <c r="BN78" t="s">
        <v>676</v>
      </c>
      <c r="BQ78">
        <v>22946570060.365002</v>
      </c>
      <c r="BS78">
        <v>526748</v>
      </c>
      <c r="BX78">
        <v>2130000</v>
      </c>
      <c r="BY78">
        <v>2019</v>
      </c>
    </row>
    <row r="79" spans="1:77" hidden="1" x14ac:dyDescent="0.25">
      <c r="A79" t="s">
        <v>323</v>
      </c>
      <c r="B79" t="s">
        <v>322</v>
      </c>
      <c r="C79">
        <v>1</v>
      </c>
      <c r="D79" t="s">
        <v>633</v>
      </c>
      <c r="E79">
        <f t="shared" si="3"/>
        <v>2110</v>
      </c>
      <c r="F79">
        <f t="shared" si="2"/>
        <v>2110</v>
      </c>
      <c r="L79" t="s">
        <v>1259</v>
      </c>
      <c r="M79" t="s">
        <v>1260</v>
      </c>
      <c r="N79" t="s">
        <v>323</v>
      </c>
      <c r="O79" t="s">
        <v>322</v>
      </c>
      <c r="P79" t="s">
        <v>790</v>
      </c>
      <c r="Q79" t="s">
        <v>40</v>
      </c>
      <c r="S79" t="s">
        <v>606</v>
      </c>
      <c r="U79" t="s">
        <v>607</v>
      </c>
      <c r="AC79">
        <v>2040</v>
      </c>
      <c r="AD79" t="s">
        <v>12</v>
      </c>
      <c r="AE79">
        <v>2019</v>
      </c>
      <c r="AF79" t="s">
        <v>518</v>
      </c>
      <c r="AM79" t="s">
        <v>1261</v>
      </c>
      <c r="AN79">
        <v>2030</v>
      </c>
      <c r="AO79" t="s">
        <v>1262</v>
      </c>
      <c r="AP79" t="s">
        <v>1263</v>
      </c>
      <c r="AQ79" t="s">
        <v>1264</v>
      </c>
      <c r="AR79" t="s">
        <v>1265</v>
      </c>
      <c r="AS79" t="s">
        <v>633</v>
      </c>
      <c r="AT79" t="s">
        <v>615</v>
      </c>
      <c r="AU79" t="s">
        <v>602</v>
      </c>
      <c r="AV79" t="s">
        <v>602</v>
      </c>
      <c r="AW79" t="s">
        <v>602</v>
      </c>
      <c r="AX79" t="s">
        <v>602</v>
      </c>
      <c r="AY79" t="s">
        <v>602</v>
      </c>
      <c r="AZ79" t="s">
        <v>602</v>
      </c>
      <c r="BA79" t="s">
        <v>606</v>
      </c>
      <c r="BB79" t="s">
        <v>1266</v>
      </c>
      <c r="BC79" t="s">
        <v>615</v>
      </c>
      <c r="BE79" t="s">
        <v>614</v>
      </c>
      <c r="BF79" t="s">
        <v>615</v>
      </c>
      <c r="BG79" t="s">
        <v>602</v>
      </c>
      <c r="BH79" t="s">
        <v>1267</v>
      </c>
      <c r="BI79" t="s">
        <v>606</v>
      </c>
      <c r="BM79" t="s">
        <v>615</v>
      </c>
      <c r="BN79" t="s">
        <v>617</v>
      </c>
      <c r="BO79" t="s">
        <v>1268</v>
      </c>
      <c r="BP79" t="s">
        <v>619</v>
      </c>
      <c r="BQ79">
        <v>216757780196.41</v>
      </c>
      <c r="BS79">
        <v>53423198</v>
      </c>
      <c r="BX79">
        <v>242950000</v>
      </c>
      <c r="BY79">
        <v>2019</v>
      </c>
    </row>
    <row r="80" spans="1:77" hidden="1" x14ac:dyDescent="0.25">
      <c r="A80" t="s">
        <v>321</v>
      </c>
      <c r="B80" t="s">
        <v>320</v>
      </c>
      <c r="C80">
        <v>1</v>
      </c>
      <c r="D80" t="s">
        <v>602</v>
      </c>
      <c r="E80">
        <f t="shared" si="3"/>
        <v>2110</v>
      </c>
      <c r="F80">
        <f t="shared" si="2"/>
        <v>2125</v>
      </c>
      <c r="L80" t="s">
        <v>1269</v>
      </c>
      <c r="M80" t="s">
        <v>1270</v>
      </c>
      <c r="N80" t="s">
        <v>321</v>
      </c>
      <c r="O80" t="s">
        <v>320</v>
      </c>
      <c r="P80" t="s">
        <v>624</v>
      </c>
      <c r="Q80" t="s">
        <v>40</v>
      </c>
      <c r="S80" t="s">
        <v>606</v>
      </c>
      <c r="U80" t="s">
        <v>607</v>
      </c>
      <c r="AC80">
        <v>2050</v>
      </c>
      <c r="AD80" t="s">
        <v>12</v>
      </c>
      <c r="AE80">
        <v>2019</v>
      </c>
      <c r="AF80" t="s">
        <v>518</v>
      </c>
      <c r="AM80" t="s">
        <v>1271</v>
      </c>
      <c r="AN80">
        <v>2025</v>
      </c>
      <c r="AP80" t="s">
        <v>1272</v>
      </c>
      <c r="AQ80" t="s">
        <v>1273</v>
      </c>
      <c r="AR80" t="s">
        <v>612</v>
      </c>
      <c r="AS80" t="s">
        <v>602</v>
      </c>
      <c r="AT80" t="s">
        <v>602</v>
      </c>
      <c r="AU80" t="s">
        <v>602</v>
      </c>
      <c r="AV80" t="s">
        <v>602</v>
      </c>
      <c r="AW80" t="s">
        <v>602</v>
      </c>
      <c r="AX80" t="s">
        <v>602</v>
      </c>
      <c r="AY80" t="s">
        <v>602</v>
      </c>
      <c r="AZ80" t="s">
        <v>602</v>
      </c>
      <c r="BA80" t="s">
        <v>606</v>
      </c>
      <c r="BB80" t="s">
        <v>1274</v>
      </c>
      <c r="BC80" t="s">
        <v>606</v>
      </c>
      <c r="BE80" t="s">
        <v>614</v>
      </c>
      <c r="BF80" t="s">
        <v>606</v>
      </c>
      <c r="BG80" t="s">
        <v>602</v>
      </c>
      <c r="BH80" t="s">
        <v>1275</v>
      </c>
      <c r="BI80" t="s">
        <v>602</v>
      </c>
      <c r="BL80" t="s">
        <v>1276</v>
      </c>
      <c r="BM80" t="s">
        <v>606</v>
      </c>
      <c r="BN80" t="s">
        <v>602</v>
      </c>
      <c r="BO80" t="s">
        <v>1277</v>
      </c>
      <c r="BP80" t="s">
        <v>619</v>
      </c>
      <c r="BQ80">
        <v>39297591105.635002</v>
      </c>
      <c r="BS80">
        <v>31178239</v>
      </c>
      <c r="BX80">
        <v>106740000</v>
      </c>
      <c r="BY80">
        <v>2019</v>
      </c>
    </row>
    <row r="81" spans="1:78" hidden="1" x14ac:dyDescent="0.25">
      <c r="A81" t="s">
        <v>303</v>
      </c>
      <c r="B81" t="s">
        <v>302</v>
      </c>
      <c r="C81">
        <v>1</v>
      </c>
      <c r="D81" t="s">
        <v>633</v>
      </c>
      <c r="E81">
        <f t="shared" si="3"/>
        <v>2110</v>
      </c>
      <c r="F81">
        <f t="shared" si="2"/>
        <v>2110</v>
      </c>
      <c r="L81" t="s">
        <v>1278</v>
      </c>
      <c r="M81" t="s">
        <v>1279</v>
      </c>
      <c r="N81" t="s">
        <v>303</v>
      </c>
      <c r="O81" t="s">
        <v>302</v>
      </c>
      <c r="P81" t="s">
        <v>624</v>
      </c>
      <c r="Q81" t="s">
        <v>40</v>
      </c>
      <c r="S81" t="s">
        <v>606</v>
      </c>
      <c r="U81" t="s">
        <v>680</v>
      </c>
      <c r="AC81">
        <v>2030</v>
      </c>
      <c r="AD81" t="s">
        <v>12</v>
      </c>
      <c r="AE81">
        <v>2021</v>
      </c>
      <c r="AF81" t="s">
        <v>17</v>
      </c>
      <c r="AO81" t="s">
        <v>1280</v>
      </c>
      <c r="AQ81" t="s">
        <v>1281</v>
      </c>
      <c r="AR81" t="s">
        <v>1282</v>
      </c>
      <c r="AS81" t="s">
        <v>633</v>
      </c>
      <c r="AU81" t="s">
        <v>602</v>
      </c>
      <c r="AV81" t="s">
        <v>602</v>
      </c>
      <c r="AW81" t="s">
        <v>602</v>
      </c>
      <c r="AX81" t="s">
        <v>602</v>
      </c>
      <c r="AY81" t="s">
        <v>602</v>
      </c>
      <c r="AZ81" t="s">
        <v>602</v>
      </c>
      <c r="BA81" t="s">
        <v>606</v>
      </c>
      <c r="BB81" t="s">
        <v>1283</v>
      </c>
      <c r="BC81" t="s">
        <v>606</v>
      </c>
      <c r="BE81" t="s">
        <v>614</v>
      </c>
      <c r="BG81" t="s">
        <v>602</v>
      </c>
      <c r="BH81" t="s">
        <v>1284</v>
      </c>
      <c r="BI81" t="s">
        <v>602</v>
      </c>
      <c r="BM81" t="s">
        <v>606</v>
      </c>
      <c r="BN81" t="s">
        <v>602</v>
      </c>
      <c r="BP81" t="s">
        <v>619</v>
      </c>
      <c r="BQ81">
        <v>24305249610.997002</v>
      </c>
      <c r="BS81">
        <v>4614974</v>
      </c>
      <c r="BX81">
        <v>13210000</v>
      </c>
      <c r="BY81">
        <v>2019</v>
      </c>
    </row>
    <row r="82" spans="1:78" hidden="1" x14ac:dyDescent="0.25">
      <c r="A82" t="s">
        <v>305</v>
      </c>
      <c r="B82" t="s">
        <v>304</v>
      </c>
      <c r="C82">
        <v>1</v>
      </c>
      <c r="D82" t="s">
        <v>602</v>
      </c>
      <c r="E82">
        <f t="shared" si="3"/>
        <v>2110</v>
      </c>
      <c r="F82">
        <f t="shared" si="2"/>
        <v>2125</v>
      </c>
      <c r="L82" t="s">
        <v>1285</v>
      </c>
      <c r="M82" t="s">
        <v>1286</v>
      </c>
      <c r="N82" t="s">
        <v>305</v>
      </c>
      <c r="O82" t="s">
        <v>304</v>
      </c>
      <c r="P82" t="s">
        <v>624</v>
      </c>
      <c r="Q82" t="s">
        <v>40</v>
      </c>
      <c r="S82" t="s">
        <v>606</v>
      </c>
      <c r="U82" t="s">
        <v>607</v>
      </c>
      <c r="AC82">
        <v>2050</v>
      </c>
      <c r="AD82" t="s">
        <v>12</v>
      </c>
      <c r="AE82">
        <v>2020</v>
      </c>
      <c r="AF82" t="s">
        <v>608</v>
      </c>
      <c r="AG82">
        <v>40</v>
      </c>
      <c r="AK82">
        <v>4.5</v>
      </c>
      <c r="AL82">
        <v>6.9</v>
      </c>
      <c r="AN82">
        <v>2030</v>
      </c>
      <c r="AP82" t="s">
        <v>1287</v>
      </c>
      <c r="AQ82" t="s">
        <v>612</v>
      </c>
      <c r="AR82" t="s">
        <v>1288</v>
      </c>
      <c r="AS82" t="s">
        <v>602</v>
      </c>
      <c r="AT82" t="s">
        <v>615</v>
      </c>
      <c r="AU82" t="s">
        <v>602</v>
      </c>
      <c r="AV82" t="s">
        <v>602</v>
      </c>
      <c r="AW82" t="s">
        <v>602</v>
      </c>
      <c r="AX82" t="s">
        <v>602</v>
      </c>
      <c r="AY82" t="s">
        <v>602</v>
      </c>
      <c r="AZ82" t="s">
        <v>602</v>
      </c>
      <c r="BC82" t="s">
        <v>606</v>
      </c>
      <c r="BE82" t="s">
        <v>614</v>
      </c>
      <c r="BF82" t="s">
        <v>615</v>
      </c>
      <c r="BG82" t="s">
        <v>606</v>
      </c>
      <c r="BI82" t="s">
        <v>602</v>
      </c>
      <c r="BM82" t="s">
        <v>606</v>
      </c>
      <c r="BN82" t="s">
        <v>602</v>
      </c>
      <c r="BP82" t="s">
        <v>619</v>
      </c>
      <c r="BQ82">
        <v>25630323238.893002</v>
      </c>
      <c r="BS82">
        <v>1298915</v>
      </c>
      <c r="BX82">
        <v>6830000</v>
      </c>
      <c r="BY82">
        <v>2019</v>
      </c>
    </row>
    <row r="83" spans="1:78" hidden="1" x14ac:dyDescent="0.25">
      <c r="A83" t="s">
        <v>289</v>
      </c>
      <c r="B83" t="s">
        <v>288</v>
      </c>
      <c r="C83">
        <v>1</v>
      </c>
      <c r="D83" t="s">
        <v>633</v>
      </c>
      <c r="E83">
        <f t="shared" si="3"/>
        <v>2110</v>
      </c>
      <c r="F83">
        <f t="shared" si="2"/>
        <v>2110</v>
      </c>
      <c r="L83" t="s">
        <v>1289</v>
      </c>
      <c r="M83" t="s">
        <v>1290</v>
      </c>
      <c r="N83" t="s">
        <v>289</v>
      </c>
      <c r="O83" t="s">
        <v>288</v>
      </c>
      <c r="P83" t="s">
        <v>624</v>
      </c>
      <c r="Q83" t="s">
        <v>40</v>
      </c>
      <c r="S83" t="s">
        <v>606</v>
      </c>
      <c r="U83" t="s">
        <v>607</v>
      </c>
      <c r="AC83">
        <v>2050</v>
      </c>
      <c r="AD83" t="s">
        <v>12</v>
      </c>
      <c r="AE83">
        <v>2020</v>
      </c>
      <c r="AF83" t="s">
        <v>608</v>
      </c>
      <c r="AG83">
        <v>50</v>
      </c>
      <c r="AK83">
        <v>17</v>
      </c>
      <c r="AL83">
        <v>34</v>
      </c>
      <c r="AN83">
        <v>2030</v>
      </c>
      <c r="AO83" t="s">
        <v>1291</v>
      </c>
      <c r="AP83" t="s">
        <v>1292</v>
      </c>
      <c r="AR83" t="s">
        <v>1293</v>
      </c>
      <c r="AS83" t="s">
        <v>633</v>
      </c>
      <c r="AT83" t="s">
        <v>615</v>
      </c>
      <c r="AU83" t="s">
        <v>602</v>
      </c>
      <c r="AV83" t="s">
        <v>602</v>
      </c>
      <c r="AW83" t="s">
        <v>602</v>
      </c>
      <c r="AX83" t="s">
        <v>602</v>
      </c>
      <c r="AY83" t="s">
        <v>602</v>
      </c>
      <c r="AZ83" t="s">
        <v>602</v>
      </c>
      <c r="BA83" t="s">
        <v>606</v>
      </c>
      <c r="BC83" t="s">
        <v>615</v>
      </c>
      <c r="BE83" t="s">
        <v>614</v>
      </c>
      <c r="BF83" t="s">
        <v>615</v>
      </c>
      <c r="BG83" t="s">
        <v>606</v>
      </c>
      <c r="BI83" t="s">
        <v>602</v>
      </c>
      <c r="BM83" t="s">
        <v>606</v>
      </c>
      <c r="BN83" t="s">
        <v>617</v>
      </c>
      <c r="BP83" t="s">
        <v>619</v>
      </c>
      <c r="BQ83">
        <v>29658268318.124001</v>
      </c>
      <c r="BS83">
        <v>19889742</v>
      </c>
      <c r="BX83">
        <v>19340000</v>
      </c>
      <c r="BY83">
        <v>2019</v>
      </c>
    </row>
    <row r="84" spans="1:78" x14ac:dyDescent="0.25">
      <c r="A84" t="s">
        <v>325</v>
      </c>
      <c r="B84" t="s">
        <v>324</v>
      </c>
      <c r="C84">
        <v>3</v>
      </c>
      <c r="D84" t="s">
        <v>633</v>
      </c>
      <c r="E84">
        <f t="shared" si="3"/>
        <v>2050</v>
      </c>
      <c r="F84">
        <f t="shared" si="2"/>
        <v>2050</v>
      </c>
      <c r="L84" t="s">
        <v>1294</v>
      </c>
      <c r="M84" t="s">
        <v>1295</v>
      </c>
      <c r="N84" t="s">
        <v>325</v>
      </c>
      <c r="O84" t="s">
        <v>324</v>
      </c>
      <c r="P84" t="s">
        <v>624</v>
      </c>
      <c r="Q84" t="s">
        <v>40</v>
      </c>
      <c r="S84" t="s">
        <v>606</v>
      </c>
      <c r="U84" t="s">
        <v>607</v>
      </c>
      <c r="AC84">
        <v>2050</v>
      </c>
      <c r="AD84" t="s">
        <v>8</v>
      </c>
      <c r="AE84">
        <v>2020</v>
      </c>
      <c r="AF84" t="s">
        <v>608</v>
      </c>
      <c r="AG84">
        <v>91</v>
      </c>
      <c r="AK84">
        <v>2.1709999999999998</v>
      </c>
      <c r="AL84">
        <v>24.167000000000002</v>
      </c>
      <c r="AN84">
        <v>2030</v>
      </c>
      <c r="AO84" t="s">
        <v>1296</v>
      </c>
      <c r="AP84" t="s">
        <v>1297</v>
      </c>
      <c r="AQ84" t="s">
        <v>1298</v>
      </c>
      <c r="AR84" t="s">
        <v>1299</v>
      </c>
      <c r="AS84" t="s">
        <v>633</v>
      </c>
      <c r="AT84" t="s">
        <v>615</v>
      </c>
      <c r="AU84" t="s">
        <v>606</v>
      </c>
      <c r="AV84" t="s">
        <v>606</v>
      </c>
      <c r="AW84" t="s">
        <v>606</v>
      </c>
      <c r="AX84" t="s">
        <v>602</v>
      </c>
      <c r="AY84" t="s">
        <v>602</v>
      </c>
      <c r="AZ84" t="s">
        <v>602</v>
      </c>
      <c r="BA84" t="s">
        <v>606</v>
      </c>
      <c r="BB84" t="s">
        <v>1300</v>
      </c>
      <c r="BC84" t="s">
        <v>615</v>
      </c>
      <c r="BD84" t="s">
        <v>1301</v>
      </c>
      <c r="BE84" t="s">
        <v>614</v>
      </c>
      <c r="BF84" t="s">
        <v>615</v>
      </c>
      <c r="BG84" t="s">
        <v>615</v>
      </c>
      <c r="BH84" t="s">
        <v>1302</v>
      </c>
      <c r="BI84" t="s">
        <v>602</v>
      </c>
      <c r="BM84" t="s">
        <v>606</v>
      </c>
      <c r="BN84" t="s">
        <v>617</v>
      </c>
      <c r="BO84" t="s">
        <v>1303</v>
      </c>
      <c r="BP84" t="s">
        <v>619</v>
      </c>
      <c r="BQ84">
        <v>23092566623.338001</v>
      </c>
      <c r="BS84">
        <v>2530151</v>
      </c>
      <c r="BX84">
        <v>21220000</v>
      </c>
      <c r="BY84">
        <v>2019</v>
      </c>
    </row>
    <row r="85" spans="1:78" hidden="1" x14ac:dyDescent="0.25">
      <c r="A85" t="s">
        <v>341</v>
      </c>
      <c r="B85" t="s">
        <v>340</v>
      </c>
      <c r="C85">
        <v>1</v>
      </c>
      <c r="D85" t="s">
        <v>602</v>
      </c>
      <c r="E85">
        <f t="shared" si="3"/>
        <v>2110</v>
      </c>
      <c r="F85">
        <f t="shared" si="2"/>
        <v>2125</v>
      </c>
      <c r="L85" t="s">
        <v>1304</v>
      </c>
      <c r="M85" t="s">
        <v>1305</v>
      </c>
      <c r="N85" t="s">
        <v>341</v>
      </c>
      <c r="O85" t="s">
        <v>340</v>
      </c>
      <c r="P85" t="s">
        <v>624</v>
      </c>
      <c r="Q85" t="s">
        <v>40</v>
      </c>
      <c r="S85" t="s">
        <v>606</v>
      </c>
      <c r="U85" t="s">
        <v>607</v>
      </c>
      <c r="AC85">
        <v>2050</v>
      </c>
      <c r="AD85" t="s">
        <v>12</v>
      </c>
      <c r="AE85">
        <v>2020</v>
      </c>
      <c r="AF85" t="s">
        <v>518</v>
      </c>
      <c r="AM85" t="s">
        <v>1306</v>
      </c>
      <c r="AP85" t="s">
        <v>1307</v>
      </c>
      <c r="AQ85" t="s">
        <v>1308</v>
      </c>
      <c r="AR85" t="s">
        <v>612</v>
      </c>
      <c r="AS85" t="s">
        <v>602</v>
      </c>
      <c r="AT85" t="s">
        <v>615</v>
      </c>
      <c r="AU85" t="s">
        <v>602</v>
      </c>
      <c r="AV85" t="s">
        <v>602</v>
      </c>
      <c r="AW85" t="s">
        <v>602</v>
      </c>
      <c r="AX85" t="s">
        <v>602</v>
      </c>
      <c r="AY85" t="s">
        <v>602</v>
      </c>
      <c r="AZ85" t="s">
        <v>602</v>
      </c>
      <c r="BA85" t="s">
        <v>606</v>
      </c>
      <c r="BB85" t="s">
        <v>1309</v>
      </c>
      <c r="BC85" t="s">
        <v>606</v>
      </c>
      <c r="BE85" t="s">
        <v>614</v>
      </c>
      <c r="BF85" t="s">
        <v>606</v>
      </c>
      <c r="BG85" t="s">
        <v>602</v>
      </c>
      <c r="BH85" t="s">
        <v>1310</v>
      </c>
      <c r="BI85" t="s">
        <v>615</v>
      </c>
      <c r="BJ85" t="s">
        <v>715</v>
      </c>
      <c r="BM85" t="s">
        <v>606</v>
      </c>
      <c r="BN85" t="s">
        <v>767</v>
      </c>
      <c r="BO85" t="s">
        <v>1311</v>
      </c>
      <c r="BP85" t="s">
        <v>619</v>
      </c>
      <c r="BQ85">
        <v>29962542103.028999</v>
      </c>
      <c r="BS85">
        <v>24333639</v>
      </c>
      <c r="BX85">
        <v>43960000</v>
      </c>
      <c r="BY85">
        <v>2019</v>
      </c>
    </row>
    <row r="86" spans="1:78" hidden="1" x14ac:dyDescent="0.25">
      <c r="A86" t="s">
        <v>339</v>
      </c>
      <c r="B86" t="s">
        <v>338</v>
      </c>
      <c r="C86">
        <v>1</v>
      </c>
      <c r="D86" t="s">
        <v>633</v>
      </c>
      <c r="E86">
        <f t="shared" si="3"/>
        <v>2110</v>
      </c>
      <c r="F86">
        <f t="shared" si="2"/>
        <v>2110</v>
      </c>
      <c r="L86" t="s">
        <v>1312</v>
      </c>
      <c r="M86" t="s">
        <v>1313</v>
      </c>
      <c r="N86" t="s">
        <v>339</v>
      </c>
      <c r="O86" t="s">
        <v>338</v>
      </c>
      <c r="P86" t="s">
        <v>636</v>
      </c>
      <c r="Q86" t="s">
        <v>40</v>
      </c>
      <c r="S86" t="s">
        <v>606</v>
      </c>
      <c r="U86" t="s">
        <v>607</v>
      </c>
      <c r="AC86">
        <v>2050</v>
      </c>
      <c r="AD86" t="s">
        <v>12</v>
      </c>
      <c r="AE86">
        <v>2020</v>
      </c>
      <c r="AF86" t="s">
        <v>17</v>
      </c>
      <c r="AR86" t="s">
        <v>612</v>
      </c>
      <c r="AS86" t="s">
        <v>633</v>
      </c>
      <c r="AT86" t="s">
        <v>615</v>
      </c>
      <c r="AU86" t="s">
        <v>602</v>
      </c>
      <c r="AV86" t="s">
        <v>602</v>
      </c>
      <c r="AW86" t="s">
        <v>602</v>
      </c>
      <c r="AX86" t="s">
        <v>602</v>
      </c>
      <c r="AY86" t="s">
        <v>602</v>
      </c>
      <c r="AZ86" t="s">
        <v>602</v>
      </c>
      <c r="BA86" t="s">
        <v>606</v>
      </c>
      <c r="BC86" t="s">
        <v>615</v>
      </c>
      <c r="BD86" t="s">
        <v>746</v>
      </c>
      <c r="BE86" t="s">
        <v>614</v>
      </c>
      <c r="BF86" t="s">
        <v>615</v>
      </c>
      <c r="BG86" t="s">
        <v>602</v>
      </c>
      <c r="BH86" t="s">
        <v>1314</v>
      </c>
      <c r="BI86" t="s">
        <v>602</v>
      </c>
      <c r="BN86" t="s">
        <v>602</v>
      </c>
      <c r="BP86" t="s">
        <v>619</v>
      </c>
      <c r="BQ86">
        <v>38628674202.170998</v>
      </c>
      <c r="BS86">
        <v>6850540</v>
      </c>
      <c r="BX86">
        <v>38410000</v>
      </c>
      <c r="BY86">
        <v>2019</v>
      </c>
    </row>
    <row r="87" spans="1:78" x14ac:dyDescent="0.25">
      <c r="A87" t="s">
        <v>349</v>
      </c>
      <c r="B87" t="s">
        <v>348</v>
      </c>
      <c r="C87">
        <v>4</v>
      </c>
      <c r="D87" t="s">
        <v>633</v>
      </c>
      <c r="E87">
        <f t="shared" si="3"/>
        <v>2050</v>
      </c>
      <c r="F87" s="38">
        <f t="shared" si="2"/>
        <v>2050</v>
      </c>
      <c r="L87" t="s">
        <v>1315</v>
      </c>
      <c r="M87" t="s">
        <v>1316</v>
      </c>
      <c r="N87" t="s">
        <v>349</v>
      </c>
      <c r="O87" t="s">
        <v>348</v>
      </c>
      <c r="P87" t="s">
        <v>665</v>
      </c>
      <c r="Q87" t="s">
        <v>40</v>
      </c>
      <c r="S87" t="s">
        <v>606</v>
      </c>
      <c r="U87" s="38"/>
      <c r="V87">
        <v>95</v>
      </c>
      <c r="W87">
        <v>1990</v>
      </c>
      <c r="AC87">
        <v>2050</v>
      </c>
      <c r="AD87" t="s">
        <v>667</v>
      </c>
      <c r="AE87">
        <v>2020</v>
      </c>
      <c r="AF87" t="s">
        <v>625</v>
      </c>
      <c r="AG87">
        <v>55</v>
      </c>
      <c r="AH87">
        <v>1990</v>
      </c>
      <c r="AN87">
        <v>2030</v>
      </c>
      <c r="AO87" t="s">
        <v>1317</v>
      </c>
      <c r="AP87" t="s">
        <v>1318</v>
      </c>
      <c r="AQ87" t="s">
        <v>1319</v>
      </c>
      <c r="AR87" t="s">
        <v>1320</v>
      </c>
      <c r="AS87" t="s">
        <v>633</v>
      </c>
      <c r="AT87" t="s">
        <v>602</v>
      </c>
      <c r="AU87" t="s">
        <v>602</v>
      </c>
      <c r="AV87" t="s">
        <v>615</v>
      </c>
      <c r="AW87" t="s">
        <v>606</v>
      </c>
      <c r="AX87" t="s">
        <v>602</v>
      </c>
      <c r="AY87" t="s">
        <v>602</v>
      </c>
      <c r="AZ87" t="s">
        <v>602</v>
      </c>
      <c r="BA87" t="s">
        <v>606</v>
      </c>
      <c r="BB87" t="s">
        <v>1321</v>
      </c>
      <c r="BC87" t="s">
        <v>615</v>
      </c>
      <c r="BD87" t="s">
        <v>765</v>
      </c>
      <c r="BE87" t="s">
        <v>674</v>
      </c>
      <c r="BF87" t="s">
        <v>615</v>
      </c>
      <c r="BG87" t="s">
        <v>615</v>
      </c>
      <c r="BH87" t="s">
        <v>1322</v>
      </c>
      <c r="BI87" t="s">
        <v>615</v>
      </c>
      <c r="BJ87" t="s">
        <v>715</v>
      </c>
      <c r="BM87" t="s">
        <v>606</v>
      </c>
      <c r="BN87" t="s">
        <v>676</v>
      </c>
      <c r="BO87" t="s">
        <v>1323</v>
      </c>
      <c r="BQ87">
        <v>336996381517.09003</v>
      </c>
      <c r="BS87">
        <v>5379839</v>
      </c>
      <c r="BX87">
        <v>26980000</v>
      </c>
      <c r="BY87">
        <v>2019</v>
      </c>
    </row>
    <row r="88" spans="1:78" x14ac:dyDescent="0.25">
      <c r="A88" t="s">
        <v>329</v>
      </c>
      <c r="B88" t="s">
        <v>328</v>
      </c>
      <c r="C88">
        <v>3</v>
      </c>
      <c r="D88" t="s">
        <v>633</v>
      </c>
      <c r="E88">
        <f t="shared" si="3"/>
        <v>2045</v>
      </c>
      <c r="F88">
        <f t="shared" si="2"/>
        <v>2045</v>
      </c>
      <c r="L88" t="s">
        <v>1324</v>
      </c>
      <c r="M88" t="s">
        <v>1325</v>
      </c>
      <c r="N88" t="s">
        <v>329</v>
      </c>
      <c r="O88" t="s">
        <v>328</v>
      </c>
      <c r="P88" t="s">
        <v>700</v>
      </c>
      <c r="Q88" t="s">
        <v>40</v>
      </c>
      <c r="S88" t="s">
        <v>606</v>
      </c>
      <c r="U88" t="s">
        <v>607</v>
      </c>
      <c r="AC88">
        <v>2045</v>
      </c>
      <c r="AD88" t="s">
        <v>8</v>
      </c>
      <c r="AE88">
        <v>2021</v>
      </c>
      <c r="AF88" t="s">
        <v>608</v>
      </c>
      <c r="AG88">
        <v>88.2</v>
      </c>
      <c r="AK88">
        <v>4</v>
      </c>
      <c r="AL88">
        <v>34</v>
      </c>
      <c r="AN88">
        <v>2030</v>
      </c>
      <c r="AO88" t="s">
        <v>1326</v>
      </c>
      <c r="AP88" t="s">
        <v>1327</v>
      </c>
      <c r="AQ88" t="s">
        <v>612</v>
      </c>
      <c r="AR88" t="s">
        <v>1328</v>
      </c>
      <c r="AS88" t="s">
        <v>633</v>
      </c>
      <c r="AT88" t="s">
        <v>615</v>
      </c>
      <c r="AU88" t="s">
        <v>606</v>
      </c>
      <c r="AV88" t="s">
        <v>602</v>
      </c>
      <c r="AW88" t="s">
        <v>602</v>
      </c>
      <c r="AX88" t="s">
        <v>602</v>
      </c>
      <c r="AY88" t="s">
        <v>602</v>
      </c>
      <c r="AZ88" t="s">
        <v>602</v>
      </c>
      <c r="BA88" t="s">
        <v>606</v>
      </c>
      <c r="BC88" t="s">
        <v>615</v>
      </c>
      <c r="BE88" t="s">
        <v>614</v>
      </c>
      <c r="BF88" t="s">
        <v>615</v>
      </c>
      <c r="BG88" t="s">
        <v>606</v>
      </c>
      <c r="BI88" t="s">
        <v>602</v>
      </c>
      <c r="BM88" t="s">
        <v>606</v>
      </c>
      <c r="BN88" t="s">
        <v>617</v>
      </c>
      <c r="BO88" t="s">
        <v>1329</v>
      </c>
      <c r="BP88" t="s">
        <v>619</v>
      </c>
      <c r="BQ88">
        <v>115092527901.45</v>
      </c>
      <c r="BS88">
        <v>30034990</v>
      </c>
      <c r="BX88">
        <v>48370000</v>
      </c>
      <c r="BY88">
        <v>2019</v>
      </c>
    </row>
    <row r="89" spans="1:78" hidden="1" x14ac:dyDescent="0.25">
      <c r="A89" t="s">
        <v>327</v>
      </c>
      <c r="B89" t="s">
        <v>326</v>
      </c>
      <c r="C89">
        <v>1</v>
      </c>
      <c r="D89" t="s">
        <v>633</v>
      </c>
      <c r="E89">
        <f t="shared" si="3"/>
        <v>2110</v>
      </c>
      <c r="F89">
        <f t="shared" si="2"/>
        <v>2110</v>
      </c>
      <c r="L89" t="s">
        <v>1330</v>
      </c>
      <c r="M89" t="s">
        <v>1331</v>
      </c>
      <c r="N89" t="s">
        <v>327</v>
      </c>
      <c r="O89" t="s">
        <v>326</v>
      </c>
      <c r="P89" t="s">
        <v>955</v>
      </c>
      <c r="Q89" t="s">
        <v>40</v>
      </c>
      <c r="S89" t="s">
        <v>606</v>
      </c>
      <c r="U89" t="s">
        <v>607</v>
      </c>
      <c r="AC89">
        <v>2050</v>
      </c>
      <c r="AD89" t="s">
        <v>12</v>
      </c>
      <c r="AE89">
        <v>2021</v>
      </c>
      <c r="AF89" t="s">
        <v>518</v>
      </c>
      <c r="AM89" t="s">
        <v>1332</v>
      </c>
      <c r="AO89" t="s">
        <v>1333</v>
      </c>
      <c r="AR89" t="s">
        <v>1334</v>
      </c>
      <c r="AS89" t="s">
        <v>633</v>
      </c>
      <c r="AT89" t="s">
        <v>615</v>
      </c>
      <c r="AU89" t="s">
        <v>602</v>
      </c>
      <c r="AV89" t="s">
        <v>602</v>
      </c>
      <c r="AW89" t="s">
        <v>602</v>
      </c>
      <c r="AX89" t="s">
        <v>602</v>
      </c>
      <c r="AY89" t="s">
        <v>602</v>
      </c>
      <c r="AZ89" t="s">
        <v>602</v>
      </c>
      <c r="BA89" t="s">
        <v>606</v>
      </c>
      <c r="BC89" t="s">
        <v>615</v>
      </c>
      <c r="BE89" t="s">
        <v>614</v>
      </c>
      <c r="BF89" t="s">
        <v>615</v>
      </c>
      <c r="BG89" t="s">
        <v>606</v>
      </c>
      <c r="BI89" t="s">
        <v>602</v>
      </c>
      <c r="BM89" t="s">
        <v>606</v>
      </c>
      <c r="BN89" t="s">
        <v>602</v>
      </c>
      <c r="BP89" t="s">
        <v>619</v>
      </c>
      <c r="BQ89">
        <v>149473856.79427999</v>
      </c>
      <c r="BS89">
        <v>12315</v>
      </c>
      <c r="BX89">
        <v>70000</v>
      </c>
      <c r="BY89">
        <v>2019</v>
      </c>
    </row>
    <row r="90" spans="1:78" x14ac:dyDescent="0.25">
      <c r="A90" t="s">
        <v>337</v>
      </c>
      <c r="B90" t="s">
        <v>336</v>
      </c>
      <c r="C90">
        <v>4</v>
      </c>
      <c r="D90" t="s">
        <v>633</v>
      </c>
      <c r="E90">
        <f t="shared" si="3"/>
        <v>2050</v>
      </c>
      <c r="F90">
        <f t="shared" si="2"/>
        <v>2050</v>
      </c>
      <c r="L90" t="s">
        <v>1335</v>
      </c>
      <c r="M90" t="s">
        <v>1336</v>
      </c>
      <c r="N90" t="s">
        <v>337</v>
      </c>
      <c r="O90" t="s">
        <v>336</v>
      </c>
      <c r="P90" t="s">
        <v>955</v>
      </c>
      <c r="Q90" t="s">
        <v>40</v>
      </c>
      <c r="S90" t="s">
        <v>606</v>
      </c>
      <c r="U90" t="s">
        <v>607</v>
      </c>
      <c r="AC90">
        <v>2050</v>
      </c>
      <c r="AD90" t="s">
        <v>667</v>
      </c>
      <c r="AE90">
        <v>2019</v>
      </c>
      <c r="AF90" t="s">
        <v>625</v>
      </c>
      <c r="AG90">
        <v>50</v>
      </c>
      <c r="AH90">
        <v>2005</v>
      </c>
      <c r="AN90">
        <v>2030</v>
      </c>
      <c r="AO90" t="s">
        <v>1337</v>
      </c>
      <c r="AP90" t="s">
        <v>1338</v>
      </c>
      <c r="AR90" t="s">
        <v>1339</v>
      </c>
      <c r="AS90" t="s">
        <v>633</v>
      </c>
      <c r="AT90" t="s">
        <v>615</v>
      </c>
      <c r="AU90" t="s">
        <v>602</v>
      </c>
      <c r="AV90" t="s">
        <v>606</v>
      </c>
      <c r="AW90" t="s">
        <v>606</v>
      </c>
      <c r="AX90" t="s">
        <v>602</v>
      </c>
      <c r="AY90" t="s">
        <v>602</v>
      </c>
      <c r="AZ90" t="s">
        <v>602</v>
      </c>
      <c r="BA90" t="s">
        <v>606</v>
      </c>
      <c r="BC90" t="s">
        <v>615</v>
      </c>
      <c r="BD90" t="s">
        <v>1340</v>
      </c>
      <c r="BE90" t="s">
        <v>674</v>
      </c>
      <c r="BF90" t="s">
        <v>615</v>
      </c>
      <c r="BG90" t="s">
        <v>615</v>
      </c>
      <c r="BH90" t="s">
        <v>1341</v>
      </c>
      <c r="BI90" t="s">
        <v>615</v>
      </c>
      <c r="BJ90" t="s">
        <v>1342</v>
      </c>
      <c r="BL90" t="s">
        <v>1343</v>
      </c>
      <c r="BM90" t="s">
        <v>606</v>
      </c>
      <c r="BN90" t="s">
        <v>617</v>
      </c>
      <c r="BO90" t="s">
        <v>1344</v>
      </c>
      <c r="BP90" t="s">
        <v>619</v>
      </c>
      <c r="BQ90">
        <v>221815913485.01999</v>
      </c>
      <c r="BS90">
        <v>5129728</v>
      </c>
      <c r="BX90">
        <v>72590000</v>
      </c>
      <c r="BY90">
        <v>2019</v>
      </c>
      <c r="BZ90" t="s">
        <v>606</v>
      </c>
    </row>
    <row r="91" spans="1:78" hidden="1" x14ac:dyDescent="0.25">
      <c r="A91" t="s">
        <v>353</v>
      </c>
      <c r="B91" t="s">
        <v>352</v>
      </c>
      <c r="C91">
        <v>1</v>
      </c>
      <c r="D91" t="s">
        <v>633</v>
      </c>
      <c r="E91">
        <f t="shared" si="3"/>
        <v>2110</v>
      </c>
      <c r="F91">
        <f t="shared" si="2"/>
        <v>2110</v>
      </c>
      <c r="L91" t="s">
        <v>1345</v>
      </c>
      <c r="M91" t="s">
        <v>1346</v>
      </c>
      <c r="N91" t="s">
        <v>353</v>
      </c>
      <c r="O91" t="s">
        <v>352</v>
      </c>
      <c r="P91" t="s">
        <v>700</v>
      </c>
      <c r="Q91" t="s">
        <v>40</v>
      </c>
      <c r="S91" t="s">
        <v>606</v>
      </c>
      <c r="U91" t="s">
        <v>607</v>
      </c>
      <c r="AC91">
        <v>2050</v>
      </c>
      <c r="AD91" t="s">
        <v>12</v>
      </c>
      <c r="AE91">
        <v>2019</v>
      </c>
      <c r="AF91" t="s">
        <v>608</v>
      </c>
      <c r="AG91">
        <v>50</v>
      </c>
      <c r="AK91">
        <v>801.8</v>
      </c>
      <c r="AL91">
        <v>1603</v>
      </c>
      <c r="AN91">
        <v>2030</v>
      </c>
      <c r="AO91" t="s">
        <v>1347</v>
      </c>
      <c r="AP91" t="s">
        <v>1348</v>
      </c>
      <c r="AR91" t="s">
        <v>1349</v>
      </c>
      <c r="AS91" t="s">
        <v>633</v>
      </c>
      <c r="AT91" t="s">
        <v>615</v>
      </c>
      <c r="AU91" t="s">
        <v>602</v>
      </c>
      <c r="AV91" t="s">
        <v>602</v>
      </c>
      <c r="AW91" t="s">
        <v>602</v>
      </c>
      <c r="AX91" t="s">
        <v>602</v>
      </c>
      <c r="AY91" t="s">
        <v>602</v>
      </c>
      <c r="AZ91" t="s">
        <v>602</v>
      </c>
      <c r="BA91" t="s">
        <v>606</v>
      </c>
      <c r="BB91" t="s">
        <v>1350</v>
      </c>
      <c r="BC91" t="s">
        <v>606</v>
      </c>
      <c r="BE91" t="s">
        <v>614</v>
      </c>
      <c r="BF91" t="s">
        <v>606</v>
      </c>
      <c r="BG91" t="s">
        <v>602</v>
      </c>
      <c r="BH91" t="s">
        <v>1351</v>
      </c>
      <c r="BI91" t="s">
        <v>602</v>
      </c>
      <c r="BM91" t="s">
        <v>606</v>
      </c>
      <c r="BN91" t="s">
        <v>602</v>
      </c>
      <c r="BP91" t="s">
        <v>619</v>
      </c>
      <c r="BQ91">
        <v>1323644691652.23</v>
      </c>
      <c r="BS91">
        <v>231402117</v>
      </c>
      <c r="BX91">
        <v>439490000</v>
      </c>
      <c r="BY91">
        <v>2019</v>
      </c>
    </row>
    <row r="92" spans="1:78" x14ac:dyDescent="0.25">
      <c r="A92" t="s">
        <v>363</v>
      </c>
      <c r="B92" t="s">
        <v>362</v>
      </c>
      <c r="C92">
        <v>3</v>
      </c>
      <c r="D92" t="s">
        <v>633</v>
      </c>
      <c r="E92">
        <f t="shared" si="3"/>
        <v>2050</v>
      </c>
      <c r="F92">
        <f t="shared" si="2"/>
        <v>2050</v>
      </c>
      <c r="L92" t="s">
        <v>1352</v>
      </c>
      <c r="M92" t="s">
        <v>1353</v>
      </c>
      <c r="N92" t="s">
        <v>363</v>
      </c>
      <c r="O92" t="s">
        <v>362</v>
      </c>
      <c r="P92" t="s">
        <v>636</v>
      </c>
      <c r="Q92" t="s">
        <v>40</v>
      </c>
      <c r="S92" t="s">
        <v>606</v>
      </c>
      <c r="U92" t="s">
        <v>607</v>
      </c>
      <c r="AC92">
        <v>2050</v>
      </c>
      <c r="AD92" t="s">
        <v>8</v>
      </c>
      <c r="AE92">
        <v>2020</v>
      </c>
      <c r="AF92" t="s">
        <v>780</v>
      </c>
      <c r="AH92">
        <v>2010</v>
      </c>
      <c r="AJ92">
        <v>298.3</v>
      </c>
      <c r="AK92">
        <v>208.8</v>
      </c>
      <c r="AN92">
        <v>2030</v>
      </c>
      <c r="AO92" t="s">
        <v>1354</v>
      </c>
      <c r="AP92" t="s">
        <v>1355</v>
      </c>
      <c r="AR92" t="s">
        <v>1356</v>
      </c>
      <c r="AS92" t="s">
        <v>633</v>
      </c>
      <c r="AT92" t="s">
        <v>615</v>
      </c>
      <c r="AX92" t="s">
        <v>602</v>
      </c>
      <c r="AY92" t="s">
        <v>602</v>
      </c>
      <c r="AZ92" t="s">
        <v>602</v>
      </c>
      <c r="BB92" t="s">
        <v>1357</v>
      </c>
      <c r="BC92" t="s">
        <v>606</v>
      </c>
      <c r="BE92" t="s">
        <v>614</v>
      </c>
      <c r="BI92" t="s">
        <v>602</v>
      </c>
      <c r="BN92" t="s">
        <v>767</v>
      </c>
      <c r="BP92" t="s">
        <v>619</v>
      </c>
      <c r="BQ92">
        <v>421937366718.37</v>
      </c>
      <c r="BS92">
        <v>33715472</v>
      </c>
      <c r="BX92">
        <v>190660000</v>
      </c>
      <c r="BY92">
        <v>2019</v>
      </c>
    </row>
    <row r="93" spans="1:78" hidden="1" x14ac:dyDescent="0.25">
      <c r="A93" t="s">
        <v>355</v>
      </c>
      <c r="B93" t="s">
        <v>354</v>
      </c>
      <c r="C93">
        <v>1</v>
      </c>
      <c r="D93" t="s">
        <v>633</v>
      </c>
      <c r="E93">
        <f t="shared" si="3"/>
        <v>2110</v>
      </c>
      <c r="F93">
        <f t="shared" si="2"/>
        <v>2110</v>
      </c>
      <c r="L93" t="s">
        <v>1358</v>
      </c>
      <c r="M93" t="s">
        <v>1359</v>
      </c>
      <c r="N93" t="s">
        <v>355</v>
      </c>
      <c r="O93" t="s">
        <v>354</v>
      </c>
      <c r="P93" t="s">
        <v>955</v>
      </c>
      <c r="Q93" t="s">
        <v>40</v>
      </c>
      <c r="S93" t="s">
        <v>606</v>
      </c>
      <c r="U93" t="s">
        <v>607</v>
      </c>
      <c r="AC93">
        <v>2050</v>
      </c>
      <c r="AD93" t="s">
        <v>12</v>
      </c>
      <c r="AF93" t="s">
        <v>608</v>
      </c>
      <c r="AG93">
        <v>48</v>
      </c>
      <c r="AK93">
        <v>68000</v>
      </c>
      <c r="AL93">
        <v>140000</v>
      </c>
      <c r="AN93">
        <v>2025</v>
      </c>
      <c r="AP93" t="s">
        <v>1360</v>
      </c>
      <c r="AQ93" t="s">
        <v>612</v>
      </c>
      <c r="AR93" t="s">
        <v>1361</v>
      </c>
      <c r="AS93" t="s">
        <v>633</v>
      </c>
      <c r="AT93" t="s">
        <v>602</v>
      </c>
      <c r="AU93" t="s">
        <v>602</v>
      </c>
      <c r="AV93" t="s">
        <v>602</v>
      </c>
      <c r="AW93" t="s">
        <v>602</v>
      </c>
      <c r="AX93" t="s">
        <v>602</v>
      </c>
      <c r="AY93" t="s">
        <v>602</v>
      </c>
      <c r="AZ93" t="s">
        <v>602</v>
      </c>
      <c r="BB93" t="s">
        <v>1362</v>
      </c>
      <c r="BC93" t="s">
        <v>615</v>
      </c>
      <c r="BD93" t="s">
        <v>1251</v>
      </c>
      <c r="BE93" t="s">
        <v>614</v>
      </c>
      <c r="BF93" t="s">
        <v>615</v>
      </c>
      <c r="BG93" t="s">
        <v>602</v>
      </c>
      <c r="BH93" t="s">
        <v>1363</v>
      </c>
      <c r="BI93" t="s">
        <v>602</v>
      </c>
      <c r="BM93" t="s">
        <v>606</v>
      </c>
      <c r="BN93" t="s">
        <v>602</v>
      </c>
      <c r="BO93" t="s">
        <v>1364</v>
      </c>
      <c r="BP93" t="s">
        <v>619</v>
      </c>
      <c r="BQ93">
        <v>1204852267998.3999</v>
      </c>
      <c r="BS93">
        <v>17972</v>
      </c>
      <c r="BX93">
        <v>290000</v>
      </c>
      <c r="BY93">
        <v>2019</v>
      </c>
    </row>
    <row r="94" spans="1:78" x14ac:dyDescent="0.25">
      <c r="A94" t="s">
        <v>359</v>
      </c>
      <c r="B94" t="s">
        <v>358</v>
      </c>
      <c r="C94">
        <v>3</v>
      </c>
      <c r="D94" t="s">
        <v>633</v>
      </c>
      <c r="E94">
        <f t="shared" si="3"/>
        <v>2050</v>
      </c>
      <c r="F94">
        <f t="shared" si="2"/>
        <v>2050</v>
      </c>
      <c r="L94" t="s">
        <v>1365</v>
      </c>
      <c r="M94" t="s">
        <v>1366</v>
      </c>
      <c r="N94" t="s">
        <v>359</v>
      </c>
      <c r="O94" t="s">
        <v>358</v>
      </c>
      <c r="P94" t="s">
        <v>955</v>
      </c>
      <c r="Q94" t="s">
        <v>40</v>
      </c>
      <c r="S94" t="s">
        <v>606</v>
      </c>
      <c r="U94" t="s">
        <v>607</v>
      </c>
      <c r="AC94">
        <v>2050</v>
      </c>
      <c r="AD94" t="s">
        <v>8</v>
      </c>
      <c r="AE94">
        <v>2014</v>
      </c>
      <c r="AF94" t="s">
        <v>518</v>
      </c>
      <c r="AM94" t="s">
        <v>1367</v>
      </c>
      <c r="AN94">
        <v>2030</v>
      </c>
      <c r="AO94" t="s">
        <v>1368</v>
      </c>
      <c r="AP94" t="s">
        <v>1369</v>
      </c>
      <c r="AQ94" t="s">
        <v>1370</v>
      </c>
      <c r="AR94" t="s">
        <v>1371</v>
      </c>
      <c r="AS94" t="s">
        <v>633</v>
      </c>
      <c r="AT94" t="s">
        <v>615</v>
      </c>
      <c r="AU94" t="s">
        <v>602</v>
      </c>
      <c r="AV94" t="s">
        <v>602</v>
      </c>
      <c r="AW94" t="s">
        <v>602</v>
      </c>
      <c r="AX94" t="s">
        <v>602</v>
      </c>
      <c r="AY94" t="s">
        <v>602</v>
      </c>
      <c r="AZ94" t="s">
        <v>602</v>
      </c>
      <c r="BB94" t="s">
        <v>1372</v>
      </c>
      <c r="BC94" t="s">
        <v>615</v>
      </c>
      <c r="BD94" t="s">
        <v>1373</v>
      </c>
      <c r="BE94" t="s">
        <v>614</v>
      </c>
      <c r="BF94" t="s">
        <v>615</v>
      </c>
      <c r="BG94" t="s">
        <v>602</v>
      </c>
      <c r="BH94" t="s">
        <v>1374</v>
      </c>
      <c r="BI94" t="s">
        <v>615</v>
      </c>
      <c r="BJ94" t="s">
        <v>1375</v>
      </c>
      <c r="BN94" t="s">
        <v>617</v>
      </c>
      <c r="BO94" t="s">
        <v>1376</v>
      </c>
      <c r="BP94" t="s">
        <v>619</v>
      </c>
      <c r="BQ94">
        <v>36899224114.301003</v>
      </c>
      <c r="BS94">
        <v>9949437</v>
      </c>
      <c r="BX94">
        <v>63470000</v>
      </c>
      <c r="BY94">
        <v>2019</v>
      </c>
    </row>
    <row r="95" spans="1:78" x14ac:dyDescent="0.25">
      <c r="A95" t="s">
        <v>371</v>
      </c>
      <c r="B95" t="s">
        <v>370</v>
      </c>
      <c r="C95">
        <v>4</v>
      </c>
      <c r="D95" t="s">
        <v>602</v>
      </c>
      <c r="E95">
        <f t="shared" si="3"/>
        <v>2050</v>
      </c>
      <c r="F95">
        <f t="shared" si="2"/>
        <v>2065</v>
      </c>
      <c r="L95" t="s">
        <v>1377</v>
      </c>
      <c r="M95" t="s">
        <v>1378</v>
      </c>
      <c r="N95" t="s">
        <v>371</v>
      </c>
      <c r="O95" t="s">
        <v>370</v>
      </c>
      <c r="P95" t="s">
        <v>665</v>
      </c>
      <c r="Q95" t="s">
        <v>40</v>
      </c>
      <c r="S95" t="s">
        <v>606</v>
      </c>
      <c r="U95" t="s">
        <v>680</v>
      </c>
      <c r="AC95">
        <v>2050</v>
      </c>
      <c r="AD95" t="s">
        <v>667</v>
      </c>
      <c r="AE95">
        <v>2021</v>
      </c>
      <c r="AF95" t="s">
        <v>625</v>
      </c>
      <c r="AG95">
        <v>40</v>
      </c>
      <c r="AH95">
        <v>2020</v>
      </c>
      <c r="AN95">
        <v>2030</v>
      </c>
      <c r="AQ95" t="s">
        <v>1379</v>
      </c>
      <c r="AR95" t="s">
        <v>1380</v>
      </c>
      <c r="AS95" t="s">
        <v>602</v>
      </c>
      <c r="AT95" t="s">
        <v>602</v>
      </c>
      <c r="AU95" t="s">
        <v>615</v>
      </c>
      <c r="AV95" t="s">
        <v>606</v>
      </c>
      <c r="AW95" t="s">
        <v>606</v>
      </c>
      <c r="AX95" t="s">
        <v>602</v>
      </c>
      <c r="AY95" t="s">
        <v>602</v>
      </c>
      <c r="AZ95" t="s">
        <v>602</v>
      </c>
      <c r="BB95" t="s">
        <v>1381</v>
      </c>
      <c r="BC95" t="s">
        <v>615</v>
      </c>
      <c r="BD95" t="s">
        <v>844</v>
      </c>
      <c r="BE95" t="s">
        <v>674</v>
      </c>
      <c r="BF95" t="s">
        <v>615</v>
      </c>
      <c r="BG95" t="s">
        <v>602</v>
      </c>
      <c r="BH95" t="s">
        <v>1382</v>
      </c>
      <c r="BI95" t="s">
        <v>606</v>
      </c>
      <c r="BM95" t="s">
        <v>606</v>
      </c>
      <c r="BN95" t="s">
        <v>617</v>
      </c>
      <c r="BO95" t="s">
        <v>1383</v>
      </c>
      <c r="BP95" t="s">
        <v>619</v>
      </c>
      <c r="BQ95">
        <v>345177685247.69</v>
      </c>
      <c r="BS95">
        <v>10290103</v>
      </c>
      <c r="BX95">
        <v>61700000</v>
      </c>
      <c r="BY95">
        <v>2019</v>
      </c>
    </row>
    <row r="96" spans="1:78" hidden="1" x14ac:dyDescent="0.25">
      <c r="A96" t="s">
        <v>383</v>
      </c>
      <c r="B96" t="s">
        <v>382</v>
      </c>
      <c r="C96">
        <v>1</v>
      </c>
      <c r="D96" t="s">
        <v>602</v>
      </c>
      <c r="E96">
        <f t="shared" si="3"/>
        <v>2110</v>
      </c>
      <c r="F96">
        <f t="shared" si="2"/>
        <v>2125</v>
      </c>
      <c r="L96" t="s">
        <v>1384</v>
      </c>
      <c r="M96" t="s">
        <v>1385</v>
      </c>
      <c r="N96" t="s">
        <v>383</v>
      </c>
      <c r="O96" t="s">
        <v>382</v>
      </c>
      <c r="P96" t="s">
        <v>624</v>
      </c>
      <c r="Q96" t="s">
        <v>40</v>
      </c>
      <c r="S96" t="s">
        <v>606</v>
      </c>
      <c r="U96" t="s">
        <v>607</v>
      </c>
      <c r="AC96">
        <v>2050</v>
      </c>
      <c r="AD96" t="s">
        <v>12</v>
      </c>
      <c r="AE96">
        <v>2020</v>
      </c>
      <c r="AF96" t="s">
        <v>608</v>
      </c>
      <c r="AG96">
        <v>16</v>
      </c>
      <c r="AK96">
        <v>1.9</v>
      </c>
      <c r="AL96">
        <v>12.1</v>
      </c>
      <c r="AN96">
        <v>2030</v>
      </c>
      <c r="AO96" t="s">
        <v>1386</v>
      </c>
      <c r="AP96" t="s">
        <v>1387</v>
      </c>
      <c r="AQ96" t="s">
        <v>1388</v>
      </c>
      <c r="AR96" t="s">
        <v>1389</v>
      </c>
      <c r="AS96" t="s">
        <v>602</v>
      </c>
      <c r="AU96" t="s">
        <v>602</v>
      </c>
      <c r="AV96" t="s">
        <v>602</v>
      </c>
      <c r="AW96" t="s">
        <v>602</v>
      </c>
      <c r="AX96" t="s">
        <v>602</v>
      </c>
      <c r="AY96" t="s">
        <v>602</v>
      </c>
      <c r="AZ96" t="s">
        <v>602</v>
      </c>
      <c r="BA96" t="s">
        <v>606</v>
      </c>
      <c r="BB96" t="s">
        <v>1390</v>
      </c>
      <c r="BC96" t="s">
        <v>606</v>
      </c>
      <c r="BE96" t="s">
        <v>614</v>
      </c>
      <c r="BF96" t="s">
        <v>606</v>
      </c>
      <c r="BG96" t="s">
        <v>602</v>
      </c>
      <c r="BH96" t="s">
        <v>1391</v>
      </c>
      <c r="BI96" t="s">
        <v>602</v>
      </c>
      <c r="BM96" t="s">
        <v>606</v>
      </c>
      <c r="BN96" t="s">
        <v>617</v>
      </c>
      <c r="BO96" t="s">
        <v>1392</v>
      </c>
      <c r="BP96" t="s">
        <v>619</v>
      </c>
      <c r="BQ96">
        <v>30140592717.521999</v>
      </c>
      <c r="BS96">
        <v>13146362</v>
      </c>
      <c r="BX96">
        <v>7000000</v>
      </c>
      <c r="BY96">
        <v>2019</v>
      </c>
    </row>
    <row r="97" spans="1:78" hidden="1" x14ac:dyDescent="0.25">
      <c r="A97" t="s">
        <v>393</v>
      </c>
      <c r="B97" t="s">
        <v>392</v>
      </c>
      <c r="C97">
        <v>1</v>
      </c>
      <c r="D97" t="s">
        <v>633</v>
      </c>
      <c r="E97">
        <f t="shared" si="3"/>
        <v>2110</v>
      </c>
      <c r="F97">
        <f t="shared" si="2"/>
        <v>2110</v>
      </c>
      <c r="L97" t="s">
        <v>1393</v>
      </c>
      <c r="M97" t="s">
        <v>1394</v>
      </c>
      <c r="N97" t="s">
        <v>393</v>
      </c>
      <c r="O97" t="s">
        <v>392</v>
      </c>
      <c r="P97" t="s">
        <v>624</v>
      </c>
      <c r="Q97" t="s">
        <v>40</v>
      </c>
      <c r="S97" t="s">
        <v>606</v>
      </c>
      <c r="U97" t="s">
        <v>607</v>
      </c>
      <c r="AC97">
        <v>2050</v>
      </c>
      <c r="AD97" t="s">
        <v>12</v>
      </c>
      <c r="AE97">
        <v>2020</v>
      </c>
      <c r="AF97" t="s">
        <v>518</v>
      </c>
      <c r="AM97" t="s">
        <v>1395</v>
      </c>
      <c r="AP97" t="s">
        <v>1396</v>
      </c>
      <c r="AQ97" t="s">
        <v>1397</v>
      </c>
      <c r="AR97" t="s">
        <v>612</v>
      </c>
      <c r="AS97" t="s">
        <v>633</v>
      </c>
      <c r="AU97" t="s">
        <v>615</v>
      </c>
      <c r="AV97" t="s">
        <v>602</v>
      </c>
      <c r="AW97" t="s">
        <v>602</v>
      </c>
      <c r="AX97" t="s">
        <v>602</v>
      </c>
      <c r="AY97" t="s">
        <v>602</v>
      </c>
      <c r="AZ97" t="s">
        <v>602</v>
      </c>
      <c r="BB97" t="s">
        <v>1398</v>
      </c>
      <c r="BC97" t="s">
        <v>615</v>
      </c>
      <c r="BD97" t="s">
        <v>1373</v>
      </c>
      <c r="BE97" t="s">
        <v>614</v>
      </c>
      <c r="BF97" t="s">
        <v>606</v>
      </c>
      <c r="BG97" t="s">
        <v>602</v>
      </c>
      <c r="BH97" t="s">
        <v>1399</v>
      </c>
      <c r="BI97" t="s">
        <v>602</v>
      </c>
      <c r="BN97" t="s">
        <v>617</v>
      </c>
      <c r="BO97" t="s">
        <v>1400</v>
      </c>
      <c r="BP97" t="s">
        <v>619</v>
      </c>
      <c r="BQ97">
        <v>58990947843.573997</v>
      </c>
      <c r="BS97">
        <v>16876720</v>
      </c>
      <c r="BX97">
        <v>33600000</v>
      </c>
      <c r="BY97">
        <v>2019</v>
      </c>
    </row>
    <row r="98" spans="1:78" hidden="1" x14ac:dyDescent="0.25">
      <c r="A98" t="s">
        <v>407</v>
      </c>
      <c r="B98" t="s">
        <v>406</v>
      </c>
      <c r="C98">
        <v>1</v>
      </c>
      <c r="D98" t="s">
        <v>620</v>
      </c>
      <c r="E98">
        <f t="shared" si="3"/>
        <v>2110</v>
      </c>
      <c r="F98">
        <f t="shared" si="2"/>
        <v>2125</v>
      </c>
      <c r="L98" t="s">
        <v>1401</v>
      </c>
      <c r="M98" t="s">
        <v>1402</v>
      </c>
      <c r="N98" t="s">
        <v>407</v>
      </c>
      <c r="O98" t="s">
        <v>406</v>
      </c>
      <c r="P98" t="s">
        <v>955</v>
      </c>
      <c r="Q98" t="s">
        <v>40</v>
      </c>
      <c r="S98" t="s">
        <v>606</v>
      </c>
      <c r="U98" t="s">
        <v>607</v>
      </c>
      <c r="AC98">
        <v>2050</v>
      </c>
      <c r="AD98" t="s">
        <v>12</v>
      </c>
      <c r="AE98">
        <v>2021</v>
      </c>
      <c r="AF98" t="s">
        <v>608</v>
      </c>
      <c r="AG98">
        <v>14</v>
      </c>
      <c r="AK98">
        <v>0</v>
      </c>
      <c r="AL98">
        <v>0</v>
      </c>
      <c r="AN98">
        <v>2025</v>
      </c>
      <c r="AO98" t="s">
        <v>1403</v>
      </c>
      <c r="AP98" t="s">
        <v>1403</v>
      </c>
      <c r="AQ98" t="s">
        <v>1404</v>
      </c>
      <c r="AR98" t="s">
        <v>1405</v>
      </c>
      <c r="AS98" t="s">
        <v>620</v>
      </c>
      <c r="AU98" t="s">
        <v>606</v>
      </c>
      <c r="AV98" t="s">
        <v>606</v>
      </c>
      <c r="AW98" t="s">
        <v>606</v>
      </c>
      <c r="AX98" t="s">
        <v>602</v>
      </c>
      <c r="AY98" t="s">
        <v>602</v>
      </c>
      <c r="AZ98" t="s">
        <v>602</v>
      </c>
      <c r="BA98" t="s">
        <v>606</v>
      </c>
      <c r="BB98" t="s">
        <v>1406</v>
      </c>
      <c r="BC98" t="s">
        <v>606</v>
      </c>
      <c r="BE98" t="s">
        <v>614</v>
      </c>
      <c r="BF98" t="s">
        <v>615</v>
      </c>
      <c r="BG98" t="s">
        <v>606</v>
      </c>
      <c r="BH98" t="s">
        <v>1407</v>
      </c>
      <c r="BI98" t="s">
        <v>615</v>
      </c>
      <c r="BJ98" t="s">
        <v>715</v>
      </c>
      <c r="BM98" t="s">
        <v>606</v>
      </c>
      <c r="BN98" t="s">
        <v>617</v>
      </c>
      <c r="BO98" t="s">
        <v>1408</v>
      </c>
      <c r="BP98" t="s">
        <v>619</v>
      </c>
      <c r="BQ98">
        <v>1702066297.2939999</v>
      </c>
      <c r="BS98">
        <v>707851</v>
      </c>
      <c r="BX98">
        <v>46360000</v>
      </c>
      <c r="BY98">
        <v>2019</v>
      </c>
    </row>
    <row r="99" spans="1:78" hidden="1" x14ac:dyDescent="0.25">
      <c r="A99" t="s">
        <v>399</v>
      </c>
      <c r="B99" t="s">
        <v>398</v>
      </c>
      <c r="C99">
        <v>1</v>
      </c>
      <c r="D99" t="s">
        <v>633</v>
      </c>
      <c r="E99">
        <f t="shared" si="3"/>
        <v>2110</v>
      </c>
      <c r="F99">
        <f t="shared" si="2"/>
        <v>2110</v>
      </c>
      <c r="L99" t="s">
        <v>1409</v>
      </c>
      <c r="M99" t="s">
        <v>1410</v>
      </c>
      <c r="N99" t="s">
        <v>399</v>
      </c>
      <c r="O99" t="s">
        <v>398</v>
      </c>
      <c r="P99" t="s">
        <v>624</v>
      </c>
      <c r="Q99" t="s">
        <v>40</v>
      </c>
      <c r="S99" t="s">
        <v>606</v>
      </c>
      <c r="U99" t="s">
        <v>607</v>
      </c>
      <c r="AC99">
        <v>2050</v>
      </c>
      <c r="AD99" t="s">
        <v>12</v>
      </c>
      <c r="AE99">
        <v>2020</v>
      </c>
      <c r="AF99" t="s">
        <v>518</v>
      </c>
      <c r="AM99" t="s">
        <v>1411</v>
      </c>
      <c r="AP99" t="s">
        <v>1412</v>
      </c>
      <c r="AQ99" t="s">
        <v>1413</v>
      </c>
      <c r="AR99" t="s">
        <v>612</v>
      </c>
      <c r="AS99" t="s">
        <v>633</v>
      </c>
      <c r="AU99" t="s">
        <v>606</v>
      </c>
      <c r="AV99" t="s">
        <v>606</v>
      </c>
      <c r="AW99" t="s">
        <v>606</v>
      </c>
      <c r="AX99" t="s">
        <v>602</v>
      </c>
      <c r="AY99" t="s">
        <v>602</v>
      </c>
      <c r="AZ99" t="s">
        <v>602</v>
      </c>
      <c r="BB99" t="s">
        <v>1414</v>
      </c>
      <c r="BC99" t="s">
        <v>615</v>
      </c>
      <c r="BD99" t="s">
        <v>1079</v>
      </c>
      <c r="BE99" t="s">
        <v>614</v>
      </c>
      <c r="BF99" t="s">
        <v>615</v>
      </c>
      <c r="BG99" t="s">
        <v>602</v>
      </c>
      <c r="BH99" t="s">
        <v>1415</v>
      </c>
      <c r="BI99" t="s">
        <v>615</v>
      </c>
      <c r="BJ99" t="s">
        <v>1342</v>
      </c>
      <c r="BN99" t="s">
        <v>767</v>
      </c>
      <c r="BO99" t="s">
        <v>1416</v>
      </c>
      <c r="BP99" t="s">
        <v>619</v>
      </c>
      <c r="BQ99">
        <v>13459068136.105</v>
      </c>
      <c r="BS99">
        <v>8420641</v>
      </c>
      <c r="BX99">
        <v>9450000</v>
      </c>
      <c r="BY99">
        <v>2019</v>
      </c>
    </row>
    <row r="100" spans="1:78" hidden="1" x14ac:dyDescent="0.25">
      <c r="A100" t="s">
        <v>389</v>
      </c>
      <c r="B100" t="s">
        <v>388</v>
      </c>
      <c r="C100">
        <v>1</v>
      </c>
      <c r="D100" t="s">
        <v>633</v>
      </c>
      <c r="E100">
        <f t="shared" si="3"/>
        <v>2110</v>
      </c>
      <c r="F100">
        <f t="shared" si="2"/>
        <v>2110</v>
      </c>
      <c r="L100" t="s">
        <v>1417</v>
      </c>
      <c r="M100" t="s">
        <v>1418</v>
      </c>
      <c r="N100" t="s">
        <v>389</v>
      </c>
      <c r="O100" t="s">
        <v>388</v>
      </c>
      <c r="P100" t="s">
        <v>624</v>
      </c>
      <c r="Q100" t="s">
        <v>40</v>
      </c>
      <c r="S100" t="s">
        <v>606</v>
      </c>
      <c r="U100" t="s">
        <v>607</v>
      </c>
      <c r="AC100">
        <v>2050</v>
      </c>
      <c r="AD100" t="s">
        <v>12</v>
      </c>
      <c r="AF100" t="s">
        <v>608</v>
      </c>
      <c r="AG100">
        <v>27</v>
      </c>
      <c r="AK100">
        <v>0.29099999999999998</v>
      </c>
      <c r="AL100">
        <v>0.4</v>
      </c>
      <c r="AN100">
        <v>2030</v>
      </c>
      <c r="AP100" t="s">
        <v>1419</v>
      </c>
      <c r="AQ100" t="s">
        <v>1420</v>
      </c>
      <c r="AR100" t="s">
        <v>612</v>
      </c>
      <c r="AS100" t="s">
        <v>633</v>
      </c>
      <c r="AT100" t="s">
        <v>602</v>
      </c>
      <c r="AU100" t="s">
        <v>602</v>
      </c>
      <c r="AV100" t="s">
        <v>602</v>
      </c>
      <c r="AW100" t="s">
        <v>602</v>
      </c>
      <c r="AX100" t="s">
        <v>602</v>
      </c>
      <c r="AY100" t="s">
        <v>602</v>
      </c>
      <c r="AZ100" t="s">
        <v>602</v>
      </c>
      <c r="BA100" t="s">
        <v>606</v>
      </c>
      <c r="BB100" t="s">
        <v>1421</v>
      </c>
      <c r="BC100" t="s">
        <v>615</v>
      </c>
      <c r="BD100" t="s">
        <v>893</v>
      </c>
      <c r="BE100" t="s">
        <v>614</v>
      </c>
      <c r="BF100" t="s">
        <v>615</v>
      </c>
      <c r="BG100" t="s">
        <v>602</v>
      </c>
      <c r="BH100" t="s">
        <v>1422</v>
      </c>
      <c r="BI100" t="s">
        <v>615</v>
      </c>
      <c r="BJ100" t="s">
        <v>1342</v>
      </c>
      <c r="BM100" t="s">
        <v>606</v>
      </c>
      <c r="BN100" t="s">
        <v>617</v>
      </c>
      <c r="BO100" t="s">
        <v>1423</v>
      </c>
      <c r="BP100" t="s">
        <v>619</v>
      </c>
      <c r="BQ100">
        <v>903936937.16990995</v>
      </c>
      <c r="BS100">
        <v>218641</v>
      </c>
      <c r="BX100">
        <v>400000</v>
      </c>
      <c r="BY100">
        <v>2019</v>
      </c>
    </row>
    <row r="101" spans="1:78" x14ac:dyDescent="0.25">
      <c r="A101" t="s">
        <v>429</v>
      </c>
      <c r="B101" t="s">
        <v>428</v>
      </c>
      <c r="C101">
        <v>5</v>
      </c>
      <c r="D101" t="s">
        <v>620</v>
      </c>
      <c r="E101">
        <f t="shared" si="3"/>
        <v>2050</v>
      </c>
      <c r="F101">
        <f t="shared" si="2"/>
        <v>2065</v>
      </c>
      <c r="L101" t="s">
        <v>1424</v>
      </c>
      <c r="M101" t="s">
        <v>1425</v>
      </c>
      <c r="N101" t="s">
        <v>429</v>
      </c>
      <c r="O101" t="s">
        <v>428</v>
      </c>
      <c r="P101" t="s">
        <v>636</v>
      </c>
      <c r="Q101" t="s">
        <v>40</v>
      </c>
      <c r="S101" t="s">
        <v>606</v>
      </c>
      <c r="U101" t="s">
        <v>607</v>
      </c>
      <c r="AC101">
        <v>2050</v>
      </c>
      <c r="AD101" t="s">
        <v>5</v>
      </c>
      <c r="AE101">
        <v>2019</v>
      </c>
      <c r="AF101" t="s">
        <v>17</v>
      </c>
      <c r="AO101" t="s">
        <v>1426</v>
      </c>
      <c r="AP101" t="s">
        <v>1427</v>
      </c>
      <c r="AR101" t="s">
        <v>628</v>
      </c>
      <c r="AS101" t="s">
        <v>620</v>
      </c>
      <c r="AT101" t="s">
        <v>606</v>
      </c>
      <c r="AU101" t="s">
        <v>602</v>
      </c>
      <c r="AV101" t="s">
        <v>602</v>
      </c>
      <c r="AW101" t="s">
        <v>602</v>
      </c>
      <c r="AX101" t="s">
        <v>602</v>
      </c>
      <c r="AY101" t="s">
        <v>602</v>
      </c>
      <c r="AZ101" t="s">
        <v>602</v>
      </c>
      <c r="BA101" t="s">
        <v>606</v>
      </c>
      <c r="BB101" t="s">
        <v>1428</v>
      </c>
      <c r="BC101" t="s">
        <v>606</v>
      </c>
      <c r="BE101" t="s">
        <v>614</v>
      </c>
      <c r="BF101" t="s">
        <v>606</v>
      </c>
      <c r="BG101" t="s">
        <v>602</v>
      </c>
      <c r="BH101" t="s">
        <v>1429</v>
      </c>
      <c r="BI101" t="s">
        <v>602</v>
      </c>
      <c r="BM101" t="s">
        <v>606</v>
      </c>
      <c r="BN101" t="s">
        <v>617</v>
      </c>
      <c r="BO101" t="s">
        <v>1430</v>
      </c>
      <c r="BP101" t="s">
        <v>619</v>
      </c>
      <c r="BQ101">
        <v>8982936694.1205006</v>
      </c>
      <c r="BS101">
        <v>612985</v>
      </c>
      <c r="BX101">
        <v>13830000</v>
      </c>
      <c r="BY101">
        <v>2019</v>
      </c>
    </row>
    <row r="102" spans="1:78" x14ac:dyDescent="0.25">
      <c r="A102" t="s">
        <v>403</v>
      </c>
      <c r="B102" t="s">
        <v>402</v>
      </c>
      <c r="C102">
        <v>3</v>
      </c>
      <c r="D102" t="s">
        <v>602</v>
      </c>
      <c r="E102">
        <f t="shared" si="3"/>
        <v>2050</v>
      </c>
      <c r="F102">
        <f t="shared" si="2"/>
        <v>2065</v>
      </c>
      <c r="L102" t="s">
        <v>1431</v>
      </c>
      <c r="M102" t="s">
        <v>1432</v>
      </c>
      <c r="N102" t="s">
        <v>403</v>
      </c>
      <c r="O102" t="s">
        <v>402</v>
      </c>
      <c r="P102" t="s">
        <v>665</v>
      </c>
      <c r="Q102" t="s">
        <v>40</v>
      </c>
      <c r="S102" t="s">
        <v>606</v>
      </c>
      <c r="U102" t="s">
        <v>607</v>
      </c>
      <c r="AC102">
        <v>2050</v>
      </c>
      <c r="AD102" t="s">
        <v>8</v>
      </c>
      <c r="AE102">
        <v>2020</v>
      </c>
      <c r="AF102" t="s">
        <v>625</v>
      </c>
      <c r="AG102">
        <v>40</v>
      </c>
      <c r="AH102">
        <v>1990</v>
      </c>
      <c r="AN102">
        <v>2030</v>
      </c>
      <c r="AO102" t="s">
        <v>1433</v>
      </c>
      <c r="AP102" t="s">
        <v>1434</v>
      </c>
      <c r="AQ102" t="s">
        <v>1435</v>
      </c>
      <c r="AR102" t="s">
        <v>1436</v>
      </c>
      <c r="AS102" t="s">
        <v>602</v>
      </c>
      <c r="AT102" t="s">
        <v>615</v>
      </c>
      <c r="AU102" t="s">
        <v>606</v>
      </c>
      <c r="AV102" t="s">
        <v>606</v>
      </c>
      <c r="AW102" t="s">
        <v>606</v>
      </c>
      <c r="AX102" t="s">
        <v>602</v>
      </c>
      <c r="AY102" t="s">
        <v>602</v>
      </c>
      <c r="AZ102" t="s">
        <v>602</v>
      </c>
      <c r="BA102" t="s">
        <v>606</v>
      </c>
      <c r="BC102" t="s">
        <v>615</v>
      </c>
      <c r="BE102" t="s">
        <v>674</v>
      </c>
      <c r="BF102" t="s">
        <v>606</v>
      </c>
      <c r="BG102" t="s">
        <v>606</v>
      </c>
      <c r="BI102" t="s">
        <v>602</v>
      </c>
      <c r="BM102" t="s">
        <v>606</v>
      </c>
      <c r="BN102" t="s">
        <v>602</v>
      </c>
      <c r="BP102" t="s">
        <v>619</v>
      </c>
      <c r="BQ102">
        <v>171578074325.14001</v>
      </c>
      <c r="BS102">
        <v>5447622</v>
      </c>
      <c r="BX102">
        <v>37000000</v>
      </c>
      <c r="BY102">
        <v>2019</v>
      </c>
    </row>
    <row r="103" spans="1:78" x14ac:dyDescent="0.25">
      <c r="A103" t="s">
        <v>405</v>
      </c>
      <c r="B103" t="s">
        <v>404</v>
      </c>
      <c r="C103">
        <v>3</v>
      </c>
      <c r="D103" t="s">
        <v>633</v>
      </c>
      <c r="E103">
        <f t="shared" si="3"/>
        <v>2050</v>
      </c>
      <c r="F103">
        <f t="shared" si="2"/>
        <v>2050</v>
      </c>
      <c r="L103" t="s">
        <v>1437</v>
      </c>
      <c r="M103" t="s">
        <v>1438</v>
      </c>
      <c r="N103" t="s">
        <v>405</v>
      </c>
      <c r="O103" t="s">
        <v>404</v>
      </c>
      <c r="P103" t="s">
        <v>665</v>
      </c>
      <c r="Q103" t="s">
        <v>40</v>
      </c>
      <c r="S103" t="s">
        <v>606</v>
      </c>
      <c r="U103" t="s">
        <v>607</v>
      </c>
      <c r="AC103">
        <v>2050</v>
      </c>
      <c r="AD103" t="s">
        <v>8</v>
      </c>
      <c r="AE103">
        <v>2023</v>
      </c>
      <c r="AF103" t="s">
        <v>625</v>
      </c>
      <c r="AG103">
        <v>27</v>
      </c>
      <c r="AH103">
        <v>2005</v>
      </c>
      <c r="AN103">
        <v>2030</v>
      </c>
      <c r="AO103" t="s">
        <v>1439</v>
      </c>
      <c r="AP103" t="s">
        <v>1440</v>
      </c>
      <c r="AQ103" t="s">
        <v>1441</v>
      </c>
      <c r="AR103" t="s">
        <v>1442</v>
      </c>
      <c r="AS103" t="s">
        <v>633</v>
      </c>
      <c r="AT103" t="s">
        <v>602</v>
      </c>
      <c r="AU103" t="s">
        <v>606</v>
      </c>
      <c r="AV103" t="s">
        <v>615</v>
      </c>
      <c r="AW103" t="s">
        <v>602</v>
      </c>
      <c r="AX103" t="s">
        <v>602</v>
      </c>
      <c r="AY103" t="s">
        <v>602</v>
      </c>
      <c r="AZ103" t="s">
        <v>602</v>
      </c>
      <c r="BA103" t="s">
        <v>606</v>
      </c>
      <c r="BB103" t="s">
        <v>1443</v>
      </c>
      <c r="BC103" t="s">
        <v>615</v>
      </c>
      <c r="BD103" t="s">
        <v>829</v>
      </c>
      <c r="BE103" t="s">
        <v>674</v>
      </c>
      <c r="BF103" t="s">
        <v>615</v>
      </c>
      <c r="BG103" t="s">
        <v>606</v>
      </c>
      <c r="BH103" t="s">
        <v>1444</v>
      </c>
      <c r="BI103" t="s">
        <v>602</v>
      </c>
      <c r="BM103" t="s">
        <v>606</v>
      </c>
      <c r="BN103" t="s">
        <v>676</v>
      </c>
      <c r="BO103" t="s">
        <v>1445</v>
      </c>
      <c r="BP103" t="s">
        <v>619</v>
      </c>
      <c r="BQ103">
        <v>84216673258.806</v>
      </c>
      <c r="BS103">
        <v>2119410</v>
      </c>
      <c r="BX103">
        <v>16810000</v>
      </c>
      <c r="BY103">
        <v>2019</v>
      </c>
    </row>
    <row r="104" spans="1:78" x14ac:dyDescent="0.25">
      <c r="A104" t="s">
        <v>433</v>
      </c>
      <c r="B104" t="s">
        <v>432</v>
      </c>
      <c r="C104">
        <v>4</v>
      </c>
      <c r="D104" t="s">
        <v>633</v>
      </c>
      <c r="E104">
        <f t="shared" si="3"/>
        <v>2045</v>
      </c>
      <c r="F104">
        <f t="shared" si="2"/>
        <v>2045</v>
      </c>
      <c r="L104" t="s">
        <v>1446</v>
      </c>
      <c r="M104" t="s">
        <v>1447</v>
      </c>
      <c r="N104" t="s">
        <v>433</v>
      </c>
      <c r="O104" t="s">
        <v>432</v>
      </c>
      <c r="P104" t="s">
        <v>665</v>
      </c>
      <c r="Q104" t="s">
        <v>40</v>
      </c>
      <c r="S104" t="s">
        <v>606</v>
      </c>
      <c r="U104" t="s">
        <v>607</v>
      </c>
      <c r="AC104">
        <v>2045</v>
      </c>
      <c r="AD104" t="s">
        <v>667</v>
      </c>
      <c r="AE104">
        <v>2018</v>
      </c>
      <c r="AF104" t="s">
        <v>625</v>
      </c>
      <c r="AG104">
        <v>63</v>
      </c>
      <c r="AH104">
        <v>1990</v>
      </c>
      <c r="AN104">
        <v>2030</v>
      </c>
      <c r="AO104" t="s">
        <v>1448</v>
      </c>
      <c r="AP104" t="s">
        <v>1449</v>
      </c>
      <c r="AQ104" t="s">
        <v>1450</v>
      </c>
      <c r="AR104" t="s">
        <v>1451</v>
      </c>
      <c r="AS104" t="s">
        <v>633</v>
      </c>
      <c r="AT104" t="s">
        <v>615</v>
      </c>
      <c r="AU104" t="s">
        <v>606</v>
      </c>
      <c r="AV104" t="s">
        <v>606</v>
      </c>
      <c r="AW104" t="s">
        <v>606</v>
      </c>
      <c r="AX104" t="s">
        <v>602</v>
      </c>
      <c r="AY104" t="s">
        <v>602</v>
      </c>
      <c r="AZ104" t="s">
        <v>602</v>
      </c>
      <c r="BA104" t="s">
        <v>606</v>
      </c>
      <c r="BB104" t="s">
        <v>1452</v>
      </c>
      <c r="BC104" t="s">
        <v>615</v>
      </c>
      <c r="BD104" t="s">
        <v>673</v>
      </c>
      <c r="BE104" t="s">
        <v>674</v>
      </c>
      <c r="BF104" t="s">
        <v>606</v>
      </c>
      <c r="BG104" t="s">
        <v>615</v>
      </c>
      <c r="BH104" t="s">
        <v>1453</v>
      </c>
      <c r="BI104" t="s">
        <v>615</v>
      </c>
      <c r="BJ104" t="s">
        <v>1454</v>
      </c>
      <c r="BK104">
        <v>15</v>
      </c>
      <c r="BM104" t="s">
        <v>615</v>
      </c>
      <c r="BN104" t="s">
        <v>676</v>
      </c>
      <c r="BO104" t="s">
        <v>1455</v>
      </c>
      <c r="BP104" t="s">
        <v>619</v>
      </c>
      <c r="BQ104">
        <v>552562174658.76001</v>
      </c>
      <c r="BS104">
        <v>10467097</v>
      </c>
      <c r="BX104">
        <v>29870000</v>
      </c>
      <c r="BY104">
        <v>2021</v>
      </c>
    </row>
    <row r="105" spans="1:78" hidden="1" x14ac:dyDescent="0.25">
      <c r="A105" t="s">
        <v>397</v>
      </c>
      <c r="B105" t="s">
        <v>396</v>
      </c>
      <c r="C105">
        <v>1</v>
      </c>
      <c r="D105" t="s">
        <v>633</v>
      </c>
      <c r="E105">
        <f t="shared" si="3"/>
        <v>2110</v>
      </c>
      <c r="F105">
        <f t="shared" si="2"/>
        <v>2110</v>
      </c>
      <c r="L105" t="s">
        <v>1456</v>
      </c>
      <c r="M105" t="s">
        <v>1457</v>
      </c>
      <c r="N105" t="s">
        <v>397</v>
      </c>
      <c r="O105" t="s">
        <v>396</v>
      </c>
      <c r="P105" t="s">
        <v>624</v>
      </c>
      <c r="Q105" t="s">
        <v>40</v>
      </c>
      <c r="S105" t="s">
        <v>606</v>
      </c>
      <c r="U105" t="s">
        <v>607</v>
      </c>
      <c r="AC105">
        <v>2050</v>
      </c>
      <c r="AD105" t="s">
        <v>12</v>
      </c>
      <c r="AE105">
        <v>2020</v>
      </c>
      <c r="AF105" t="s">
        <v>518</v>
      </c>
      <c r="AM105" t="s">
        <v>1458</v>
      </c>
      <c r="AN105">
        <v>2025</v>
      </c>
      <c r="AP105" t="s">
        <v>1459</v>
      </c>
      <c r="AQ105" t="s">
        <v>1460</v>
      </c>
      <c r="AR105" t="s">
        <v>612</v>
      </c>
      <c r="AS105" t="s">
        <v>633</v>
      </c>
      <c r="AU105" t="s">
        <v>602</v>
      </c>
      <c r="AV105" t="s">
        <v>602</v>
      </c>
      <c r="AW105" t="s">
        <v>602</v>
      </c>
      <c r="AX105" t="s">
        <v>602</v>
      </c>
      <c r="AY105" t="s">
        <v>602</v>
      </c>
      <c r="AZ105" t="s">
        <v>602</v>
      </c>
      <c r="BB105" t="s">
        <v>1461</v>
      </c>
      <c r="BC105" t="s">
        <v>615</v>
      </c>
      <c r="BD105" t="s">
        <v>1462</v>
      </c>
      <c r="BE105" t="s">
        <v>614</v>
      </c>
      <c r="BF105" t="s">
        <v>615</v>
      </c>
      <c r="BG105" t="s">
        <v>602</v>
      </c>
      <c r="BH105" t="s">
        <v>1463</v>
      </c>
      <c r="BI105" t="s">
        <v>606</v>
      </c>
      <c r="BN105" t="s">
        <v>617</v>
      </c>
      <c r="BO105" t="s">
        <v>1464</v>
      </c>
      <c r="BP105" t="s">
        <v>619</v>
      </c>
      <c r="BQ105">
        <v>2694292128.7298999</v>
      </c>
      <c r="BS105">
        <v>106471</v>
      </c>
      <c r="BX105">
        <v>780000</v>
      </c>
      <c r="BY105">
        <v>2019</v>
      </c>
    </row>
    <row r="106" spans="1:78" hidden="1" x14ac:dyDescent="0.25">
      <c r="A106" t="s">
        <v>129</v>
      </c>
      <c r="B106" t="s">
        <v>128</v>
      </c>
      <c r="C106">
        <v>1</v>
      </c>
      <c r="D106" t="s">
        <v>633</v>
      </c>
      <c r="E106">
        <f t="shared" si="3"/>
        <v>2110</v>
      </c>
      <c r="F106">
        <f t="shared" si="2"/>
        <v>2110</v>
      </c>
      <c r="L106" t="s">
        <v>1465</v>
      </c>
      <c r="M106" t="s">
        <v>1466</v>
      </c>
      <c r="N106" t="s">
        <v>129</v>
      </c>
      <c r="O106" t="s">
        <v>128</v>
      </c>
      <c r="P106" t="s">
        <v>624</v>
      </c>
      <c r="Q106" t="s">
        <v>40</v>
      </c>
      <c r="S106" t="s">
        <v>606</v>
      </c>
      <c r="U106" t="s">
        <v>607</v>
      </c>
      <c r="AC106">
        <v>2050</v>
      </c>
      <c r="AD106" t="s">
        <v>12</v>
      </c>
      <c r="AE106">
        <v>2020</v>
      </c>
      <c r="AF106" t="s">
        <v>625</v>
      </c>
      <c r="AG106">
        <v>19.3</v>
      </c>
      <c r="AH106">
        <v>2018</v>
      </c>
      <c r="AN106">
        <v>2030</v>
      </c>
      <c r="AP106" t="s">
        <v>1467</v>
      </c>
      <c r="AQ106" t="s">
        <v>1468</v>
      </c>
      <c r="AR106" t="s">
        <v>612</v>
      </c>
      <c r="AS106" t="s">
        <v>633</v>
      </c>
      <c r="AU106" t="s">
        <v>602</v>
      </c>
      <c r="AV106" t="s">
        <v>602</v>
      </c>
      <c r="AW106" t="s">
        <v>602</v>
      </c>
      <c r="AX106" t="s">
        <v>602</v>
      </c>
      <c r="AY106" t="s">
        <v>602</v>
      </c>
      <c r="AZ106" t="s">
        <v>602</v>
      </c>
      <c r="BB106" t="s">
        <v>1469</v>
      </c>
      <c r="BC106" t="s">
        <v>615</v>
      </c>
      <c r="BD106" t="s">
        <v>844</v>
      </c>
      <c r="BE106" t="s">
        <v>614</v>
      </c>
      <c r="BG106" t="s">
        <v>602</v>
      </c>
      <c r="BI106" t="s">
        <v>602</v>
      </c>
      <c r="BN106" t="s">
        <v>602</v>
      </c>
      <c r="BP106" t="s">
        <v>619</v>
      </c>
      <c r="BQ106">
        <v>24489625095.386002</v>
      </c>
      <c r="BS106">
        <v>17179740</v>
      </c>
      <c r="BX106">
        <v>105680000</v>
      </c>
      <c r="BY106">
        <v>2019</v>
      </c>
    </row>
    <row r="107" spans="1:78" hidden="1" x14ac:dyDescent="0.25">
      <c r="A107" t="s">
        <v>449</v>
      </c>
      <c r="B107" t="s">
        <v>448</v>
      </c>
      <c r="C107">
        <v>1</v>
      </c>
      <c r="D107" t="s">
        <v>633</v>
      </c>
      <c r="E107">
        <f t="shared" si="3"/>
        <v>2110</v>
      </c>
      <c r="F107">
        <f t="shared" si="2"/>
        <v>2110</v>
      </c>
      <c r="L107" t="s">
        <v>1470</v>
      </c>
      <c r="M107" t="s">
        <v>1471</v>
      </c>
      <c r="N107" t="s">
        <v>449</v>
      </c>
      <c r="O107" t="s">
        <v>448</v>
      </c>
      <c r="P107" t="s">
        <v>624</v>
      </c>
      <c r="Q107" t="s">
        <v>40</v>
      </c>
      <c r="S107" t="s">
        <v>606</v>
      </c>
      <c r="U107" t="s">
        <v>607</v>
      </c>
      <c r="AC107">
        <v>2050</v>
      </c>
      <c r="AD107" t="s">
        <v>12</v>
      </c>
      <c r="AE107">
        <v>2020</v>
      </c>
      <c r="AF107" t="s">
        <v>625</v>
      </c>
      <c r="AG107">
        <v>20.51</v>
      </c>
      <c r="AH107">
        <v>2010</v>
      </c>
      <c r="AN107">
        <v>2030</v>
      </c>
      <c r="AP107" t="s">
        <v>1472</v>
      </c>
      <c r="AQ107" t="s">
        <v>1473</v>
      </c>
      <c r="AR107" t="s">
        <v>612</v>
      </c>
      <c r="AS107" t="s">
        <v>633</v>
      </c>
      <c r="AU107" t="s">
        <v>606</v>
      </c>
      <c r="AV107" t="s">
        <v>606</v>
      </c>
      <c r="AW107" t="s">
        <v>606</v>
      </c>
      <c r="AX107" t="s">
        <v>602</v>
      </c>
      <c r="AY107" t="s">
        <v>602</v>
      </c>
      <c r="AZ107" t="s">
        <v>602</v>
      </c>
      <c r="BB107" t="s">
        <v>1474</v>
      </c>
      <c r="BC107" t="s">
        <v>615</v>
      </c>
      <c r="BD107" t="s">
        <v>971</v>
      </c>
      <c r="BE107" t="s">
        <v>614</v>
      </c>
      <c r="BF107" t="s">
        <v>615</v>
      </c>
      <c r="BG107" t="s">
        <v>602</v>
      </c>
      <c r="BH107" t="s">
        <v>1475</v>
      </c>
      <c r="BI107" t="s">
        <v>615</v>
      </c>
      <c r="BJ107" t="s">
        <v>1199</v>
      </c>
      <c r="BL107" t="s">
        <v>1476</v>
      </c>
      <c r="BN107" t="s">
        <v>1477</v>
      </c>
      <c r="BO107" t="s">
        <v>1478</v>
      </c>
      <c r="BP107" t="s">
        <v>619</v>
      </c>
      <c r="BQ107">
        <v>18368569199.452999</v>
      </c>
      <c r="BS107">
        <v>8644829</v>
      </c>
      <c r="BX107">
        <v>8710000</v>
      </c>
      <c r="BY107">
        <v>2019</v>
      </c>
    </row>
    <row r="108" spans="1:78" hidden="1" x14ac:dyDescent="0.25">
      <c r="A108" t="s">
        <v>447</v>
      </c>
      <c r="B108" t="s">
        <v>446</v>
      </c>
      <c r="C108">
        <v>1</v>
      </c>
      <c r="D108" t="s">
        <v>633</v>
      </c>
      <c r="E108">
        <f t="shared" si="3"/>
        <v>2110</v>
      </c>
      <c r="F108">
        <f t="shared" si="2"/>
        <v>2110</v>
      </c>
      <c r="L108" t="s">
        <v>1479</v>
      </c>
      <c r="M108" t="s">
        <v>1480</v>
      </c>
      <c r="N108" t="s">
        <v>447</v>
      </c>
      <c r="O108" t="s">
        <v>446</v>
      </c>
      <c r="P108" t="s">
        <v>955</v>
      </c>
      <c r="Q108" t="s">
        <v>40</v>
      </c>
      <c r="S108" t="s">
        <v>606</v>
      </c>
      <c r="U108" t="s">
        <v>607</v>
      </c>
      <c r="AC108">
        <v>2050</v>
      </c>
      <c r="AD108" t="s">
        <v>12</v>
      </c>
      <c r="AE108">
        <v>2019</v>
      </c>
      <c r="AF108" t="s">
        <v>17</v>
      </c>
      <c r="AO108" t="s">
        <v>1481</v>
      </c>
      <c r="AP108" t="s">
        <v>1482</v>
      </c>
      <c r="AQ108" t="s">
        <v>1483</v>
      </c>
      <c r="AR108" t="s">
        <v>628</v>
      </c>
      <c r="AS108" t="s">
        <v>633</v>
      </c>
      <c r="AU108" t="s">
        <v>606</v>
      </c>
      <c r="AV108" t="s">
        <v>606</v>
      </c>
      <c r="AW108" t="s">
        <v>606</v>
      </c>
      <c r="AX108" t="s">
        <v>602</v>
      </c>
      <c r="AY108" t="s">
        <v>602</v>
      </c>
      <c r="AZ108" t="s">
        <v>602</v>
      </c>
      <c r="BA108" t="s">
        <v>606</v>
      </c>
      <c r="BB108" t="s">
        <v>1484</v>
      </c>
      <c r="BC108" t="s">
        <v>615</v>
      </c>
      <c r="BD108" t="s">
        <v>746</v>
      </c>
      <c r="BE108" t="s">
        <v>614</v>
      </c>
      <c r="BF108" t="s">
        <v>615</v>
      </c>
      <c r="BG108" t="s">
        <v>602</v>
      </c>
      <c r="BH108" t="s">
        <v>1485</v>
      </c>
      <c r="BI108" t="s">
        <v>602</v>
      </c>
      <c r="BM108" t="s">
        <v>606</v>
      </c>
      <c r="BN108" t="s">
        <v>617</v>
      </c>
      <c r="BO108" t="s">
        <v>1486</v>
      </c>
      <c r="BP108" t="s">
        <v>619</v>
      </c>
      <c r="BQ108">
        <v>5403884800.0799999</v>
      </c>
      <c r="BS108">
        <v>1320942</v>
      </c>
      <c r="BX108">
        <v>6380000</v>
      </c>
      <c r="BY108">
        <v>2019</v>
      </c>
    </row>
    <row r="109" spans="1:78" x14ac:dyDescent="0.25">
      <c r="A109" t="s">
        <v>453</v>
      </c>
      <c r="B109" t="s">
        <v>452</v>
      </c>
      <c r="C109">
        <v>3</v>
      </c>
      <c r="D109" t="s">
        <v>633</v>
      </c>
      <c r="E109">
        <f t="shared" si="3"/>
        <v>2050</v>
      </c>
      <c r="F109">
        <f t="shared" si="2"/>
        <v>2050</v>
      </c>
      <c r="L109" t="s">
        <v>1487</v>
      </c>
      <c r="M109" t="s">
        <v>1488</v>
      </c>
      <c r="N109" t="s">
        <v>453</v>
      </c>
      <c r="O109" t="s">
        <v>452</v>
      </c>
      <c r="P109" t="s">
        <v>955</v>
      </c>
      <c r="Q109" t="s">
        <v>40</v>
      </c>
      <c r="S109" t="s">
        <v>606</v>
      </c>
      <c r="U109" t="s">
        <v>607</v>
      </c>
      <c r="AC109">
        <v>2050</v>
      </c>
      <c r="AD109" t="s">
        <v>8</v>
      </c>
      <c r="AE109">
        <v>2021</v>
      </c>
      <c r="AF109" t="s">
        <v>625</v>
      </c>
      <c r="AG109">
        <v>13</v>
      </c>
      <c r="AH109">
        <v>2006</v>
      </c>
      <c r="AN109">
        <v>2030</v>
      </c>
      <c r="AP109" t="s">
        <v>1489</v>
      </c>
      <c r="AQ109" t="s">
        <v>1490</v>
      </c>
      <c r="AR109" t="s">
        <v>1491</v>
      </c>
      <c r="AS109" t="s">
        <v>633</v>
      </c>
      <c r="AU109" t="s">
        <v>606</v>
      </c>
      <c r="AV109" t="s">
        <v>606</v>
      </c>
      <c r="AW109" t="s">
        <v>606</v>
      </c>
      <c r="AX109" t="s">
        <v>602</v>
      </c>
      <c r="AY109" t="s">
        <v>602</v>
      </c>
      <c r="AZ109" t="s">
        <v>602</v>
      </c>
      <c r="BA109" t="s">
        <v>606</v>
      </c>
      <c r="BB109" t="s">
        <v>1492</v>
      </c>
      <c r="BC109" t="s">
        <v>615</v>
      </c>
      <c r="BD109" t="s">
        <v>1493</v>
      </c>
      <c r="BE109" t="s">
        <v>614</v>
      </c>
      <c r="BF109" t="s">
        <v>615</v>
      </c>
      <c r="BG109" t="s">
        <v>602</v>
      </c>
      <c r="BH109" t="s">
        <v>1494</v>
      </c>
      <c r="BI109" t="s">
        <v>606</v>
      </c>
      <c r="BM109" t="s">
        <v>606</v>
      </c>
      <c r="BN109" t="s">
        <v>617</v>
      </c>
      <c r="BO109" t="s">
        <v>1495</v>
      </c>
      <c r="BP109" t="s">
        <v>619</v>
      </c>
      <c r="BQ109">
        <v>707513060.85529399</v>
      </c>
      <c r="BS109">
        <v>106017</v>
      </c>
      <c r="BX109">
        <v>310000</v>
      </c>
      <c r="BY109">
        <v>2019</v>
      </c>
      <c r="BZ109" t="s">
        <v>606</v>
      </c>
    </row>
    <row r="110" spans="1:78" hidden="1" x14ac:dyDescent="0.25">
      <c r="A110" t="s">
        <v>455</v>
      </c>
      <c r="B110" t="s">
        <v>454</v>
      </c>
      <c r="C110">
        <v>1</v>
      </c>
      <c r="D110" t="s">
        <v>620</v>
      </c>
      <c r="E110">
        <f t="shared" si="3"/>
        <v>2110</v>
      </c>
      <c r="F110">
        <f t="shared" si="2"/>
        <v>2125</v>
      </c>
      <c r="L110" t="s">
        <v>1496</v>
      </c>
      <c r="M110" t="s">
        <v>1497</v>
      </c>
      <c r="N110" t="s">
        <v>455</v>
      </c>
      <c r="O110" t="s">
        <v>454</v>
      </c>
      <c r="P110" t="s">
        <v>636</v>
      </c>
      <c r="Q110" t="s">
        <v>40</v>
      </c>
      <c r="S110" t="s">
        <v>606</v>
      </c>
      <c r="U110" t="s">
        <v>607</v>
      </c>
      <c r="AC110">
        <v>2050</v>
      </c>
      <c r="AD110" t="s">
        <v>12</v>
      </c>
      <c r="AE110">
        <v>2019</v>
      </c>
      <c r="AF110" t="s">
        <v>608</v>
      </c>
      <c r="AG110">
        <v>15</v>
      </c>
      <c r="AK110">
        <v>606</v>
      </c>
      <c r="AL110">
        <v>713</v>
      </c>
      <c r="AN110">
        <v>2030</v>
      </c>
      <c r="AO110" t="s">
        <v>1498</v>
      </c>
      <c r="AP110" t="s">
        <v>1499</v>
      </c>
      <c r="AQ110" t="s">
        <v>1500</v>
      </c>
      <c r="AR110" t="s">
        <v>628</v>
      </c>
      <c r="AS110" t="s">
        <v>620</v>
      </c>
      <c r="AU110" t="s">
        <v>606</v>
      </c>
      <c r="AV110" t="s">
        <v>606</v>
      </c>
      <c r="AW110" t="s">
        <v>606</v>
      </c>
      <c r="AX110" t="s">
        <v>602</v>
      </c>
      <c r="AY110" t="s">
        <v>602</v>
      </c>
      <c r="AZ110" t="s">
        <v>602</v>
      </c>
      <c r="BB110" t="s">
        <v>1501</v>
      </c>
      <c r="BC110" t="s">
        <v>615</v>
      </c>
      <c r="BD110" t="s">
        <v>1502</v>
      </c>
      <c r="BE110" t="s">
        <v>674</v>
      </c>
      <c r="BF110" t="s">
        <v>615</v>
      </c>
      <c r="BG110" t="s">
        <v>602</v>
      </c>
      <c r="BH110" t="s">
        <v>1503</v>
      </c>
      <c r="BI110" t="s">
        <v>615</v>
      </c>
      <c r="BJ110" t="s">
        <v>715</v>
      </c>
      <c r="BN110" t="s">
        <v>1477</v>
      </c>
      <c r="BO110" t="s">
        <v>1504</v>
      </c>
      <c r="BP110" t="s">
        <v>619</v>
      </c>
      <c r="BQ110">
        <v>34322004327.506001</v>
      </c>
      <c r="BS110">
        <v>1518147</v>
      </c>
      <c r="BX110">
        <v>28470000</v>
      </c>
      <c r="BY110">
        <v>2019</v>
      </c>
    </row>
    <row r="111" spans="1:78" x14ac:dyDescent="0.25">
      <c r="A111" t="s">
        <v>465</v>
      </c>
      <c r="B111" t="s">
        <v>464</v>
      </c>
      <c r="C111">
        <v>3</v>
      </c>
      <c r="D111" t="s">
        <v>633</v>
      </c>
      <c r="E111">
        <f t="shared" si="3"/>
        <v>2050</v>
      </c>
      <c r="F111">
        <f t="shared" si="2"/>
        <v>2050</v>
      </c>
      <c r="L111" t="s">
        <v>1505</v>
      </c>
      <c r="M111" t="s">
        <v>1506</v>
      </c>
      <c r="N111" t="s">
        <v>465</v>
      </c>
      <c r="O111" t="s">
        <v>464</v>
      </c>
      <c r="P111" t="s">
        <v>955</v>
      </c>
      <c r="Q111" t="s">
        <v>40</v>
      </c>
      <c r="S111" t="s">
        <v>606</v>
      </c>
      <c r="U111" t="s">
        <v>607</v>
      </c>
      <c r="AC111">
        <v>2050</v>
      </c>
      <c r="AD111" t="s">
        <v>8</v>
      </c>
      <c r="AE111">
        <v>2022</v>
      </c>
      <c r="AF111" t="s">
        <v>625</v>
      </c>
      <c r="AG111">
        <v>60</v>
      </c>
      <c r="AH111">
        <v>2010</v>
      </c>
      <c r="AN111">
        <v>2030</v>
      </c>
      <c r="AO111" t="s">
        <v>1507</v>
      </c>
      <c r="AP111" t="s">
        <v>1508</v>
      </c>
      <c r="AR111" t="s">
        <v>1509</v>
      </c>
      <c r="AS111" t="s">
        <v>633</v>
      </c>
      <c r="AU111" t="s">
        <v>602</v>
      </c>
      <c r="AV111" t="s">
        <v>602</v>
      </c>
      <c r="AW111" t="s">
        <v>602</v>
      </c>
      <c r="AX111" t="s">
        <v>602</v>
      </c>
      <c r="AY111" t="s">
        <v>602</v>
      </c>
      <c r="AZ111" t="s">
        <v>602</v>
      </c>
      <c r="BA111" t="s">
        <v>615</v>
      </c>
      <c r="BB111" t="s">
        <v>1510</v>
      </c>
      <c r="BC111" t="s">
        <v>615</v>
      </c>
      <c r="BD111" t="s">
        <v>1511</v>
      </c>
      <c r="BE111" t="s">
        <v>674</v>
      </c>
      <c r="BF111" t="s">
        <v>615</v>
      </c>
      <c r="BG111" t="s">
        <v>602</v>
      </c>
      <c r="BH111" t="s">
        <v>1512</v>
      </c>
      <c r="BI111" t="s">
        <v>602</v>
      </c>
      <c r="BM111" t="s">
        <v>606</v>
      </c>
      <c r="BN111" t="s">
        <v>602</v>
      </c>
      <c r="BO111" t="s">
        <v>1513</v>
      </c>
      <c r="BP111" t="s">
        <v>619</v>
      </c>
      <c r="BQ111">
        <v>55168800.465821996</v>
      </c>
      <c r="BS111">
        <v>11069</v>
      </c>
      <c r="BX111">
        <v>30000</v>
      </c>
      <c r="BY111">
        <v>2019</v>
      </c>
    </row>
    <row r="112" spans="1:78" hidden="1" x14ac:dyDescent="0.25">
      <c r="A112" t="s">
        <v>467</v>
      </c>
      <c r="B112" t="s">
        <v>466</v>
      </c>
      <c r="C112">
        <v>1</v>
      </c>
      <c r="D112" t="s">
        <v>620</v>
      </c>
      <c r="E112">
        <f t="shared" si="3"/>
        <v>2110</v>
      </c>
      <c r="F112">
        <f t="shared" si="2"/>
        <v>2125</v>
      </c>
      <c r="L112" t="s">
        <v>1514</v>
      </c>
      <c r="M112" t="s">
        <v>1515</v>
      </c>
      <c r="N112" t="s">
        <v>467</v>
      </c>
      <c r="O112" t="s">
        <v>466</v>
      </c>
      <c r="P112" t="s">
        <v>624</v>
      </c>
      <c r="Q112" t="s">
        <v>40</v>
      </c>
      <c r="S112" t="s">
        <v>606</v>
      </c>
      <c r="U112" t="s">
        <v>607</v>
      </c>
      <c r="AC112">
        <v>2050</v>
      </c>
      <c r="AD112" t="s">
        <v>12</v>
      </c>
      <c r="AE112">
        <v>2019</v>
      </c>
      <c r="AF112" t="s">
        <v>608</v>
      </c>
      <c r="AG112">
        <v>24.7</v>
      </c>
      <c r="AK112">
        <v>112.1</v>
      </c>
      <c r="AL112">
        <v>148.80000000000001</v>
      </c>
      <c r="AN112">
        <v>2030</v>
      </c>
      <c r="AO112" t="s">
        <v>1516</v>
      </c>
      <c r="AP112" t="s">
        <v>1517</v>
      </c>
      <c r="AQ112" t="s">
        <v>1518</v>
      </c>
      <c r="AR112" t="s">
        <v>1519</v>
      </c>
      <c r="AS112" t="s">
        <v>620</v>
      </c>
      <c r="AU112" t="s">
        <v>602</v>
      </c>
      <c r="AV112" t="s">
        <v>606</v>
      </c>
      <c r="AW112" t="s">
        <v>606</v>
      </c>
      <c r="AX112" t="s">
        <v>602</v>
      </c>
      <c r="AY112" t="s">
        <v>602</v>
      </c>
      <c r="AZ112" t="s">
        <v>602</v>
      </c>
      <c r="BA112" t="s">
        <v>606</v>
      </c>
      <c r="BB112" t="s">
        <v>1520</v>
      </c>
      <c r="BC112" t="s">
        <v>615</v>
      </c>
      <c r="BD112" t="s">
        <v>1301</v>
      </c>
      <c r="BE112" t="s">
        <v>614</v>
      </c>
      <c r="BF112" t="s">
        <v>615</v>
      </c>
      <c r="BG112" t="s">
        <v>602</v>
      </c>
      <c r="BH112" t="s">
        <v>1521</v>
      </c>
      <c r="BI112" t="s">
        <v>602</v>
      </c>
      <c r="BM112" t="s">
        <v>606</v>
      </c>
      <c r="BN112" t="s">
        <v>617</v>
      </c>
      <c r="BO112" t="s">
        <v>1522</v>
      </c>
      <c r="BP112" t="s">
        <v>619</v>
      </c>
      <c r="BQ112">
        <v>102850430427.58</v>
      </c>
      <c r="BS112">
        <v>45853778</v>
      </c>
      <c r="BX112">
        <v>59150000</v>
      </c>
      <c r="BY112">
        <v>2019</v>
      </c>
    </row>
    <row r="113" spans="1:78" x14ac:dyDescent="0.25">
      <c r="A113" t="s">
        <v>477</v>
      </c>
      <c r="B113" t="s">
        <v>476</v>
      </c>
      <c r="C113">
        <v>3</v>
      </c>
      <c r="D113" t="s">
        <v>633</v>
      </c>
      <c r="E113">
        <f t="shared" si="3"/>
        <v>2050</v>
      </c>
      <c r="F113">
        <f t="shared" si="2"/>
        <v>2050</v>
      </c>
      <c r="L113" t="s">
        <v>1523</v>
      </c>
      <c r="M113" t="s">
        <v>1524</v>
      </c>
      <c r="N113" t="s">
        <v>477</v>
      </c>
      <c r="O113" t="s">
        <v>476</v>
      </c>
      <c r="P113" t="s">
        <v>636</v>
      </c>
      <c r="Q113" t="s">
        <v>40</v>
      </c>
      <c r="S113" t="s">
        <v>606</v>
      </c>
      <c r="U113" t="s">
        <v>607</v>
      </c>
      <c r="AC113">
        <v>2050</v>
      </c>
      <c r="AD113" t="s">
        <v>8</v>
      </c>
      <c r="AE113">
        <v>2023</v>
      </c>
      <c r="AF113" t="s">
        <v>780</v>
      </c>
      <c r="AH113">
        <v>2019</v>
      </c>
      <c r="AJ113">
        <v>6.7069999999999999</v>
      </c>
      <c r="AK113">
        <v>9.2669999999999995</v>
      </c>
      <c r="AN113">
        <v>2030</v>
      </c>
      <c r="AO113" t="s">
        <v>1525</v>
      </c>
      <c r="AP113" t="s">
        <v>1526</v>
      </c>
      <c r="AQ113" t="s">
        <v>1527</v>
      </c>
      <c r="AR113" t="s">
        <v>1528</v>
      </c>
      <c r="AS113" t="s">
        <v>633</v>
      </c>
      <c r="AT113" t="s">
        <v>615</v>
      </c>
      <c r="AU113" t="s">
        <v>615</v>
      </c>
      <c r="AV113" t="s">
        <v>602</v>
      </c>
      <c r="AW113" t="s">
        <v>602</v>
      </c>
      <c r="AX113" t="s">
        <v>602</v>
      </c>
      <c r="AY113" t="s">
        <v>602</v>
      </c>
      <c r="AZ113" t="s">
        <v>602</v>
      </c>
      <c r="BA113" t="s">
        <v>606</v>
      </c>
      <c r="BB113" t="s">
        <v>1529</v>
      </c>
      <c r="BC113" t="s">
        <v>615</v>
      </c>
      <c r="BD113" t="s">
        <v>735</v>
      </c>
      <c r="BE113" t="s">
        <v>614</v>
      </c>
      <c r="BF113" t="s">
        <v>615</v>
      </c>
      <c r="BG113" t="s">
        <v>606</v>
      </c>
      <c r="BH113" t="s">
        <v>1530</v>
      </c>
      <c r="BI113" t="s">
        <v>602</v>
      </c>
      <c r="BM113" t="s">
        <v>606</v>
      </c>
      <c r="BN113" t="s">
        <v>602</v>
      </c>
      <c r="BO113" t="s">
        <v>1531</v>
      </c>
      <c r="BP113" t="s">
        <v>619</v>
      </c>
      <c r="BQ113">
        <v>78121091098.632996</v>
      </c>
      <c r="BS113">
        <v>3426260</v>
      </c>
      <c r="BX113">
        <v>34360000</v>
      </c>
      <c r="BY113">
        <v>2019</v>
      </c>
    </row>
    <row r="114" spans="1:78" x14ac:dyDescent="0.25">
      <c r="A114" t="s">
        <v>1532</v>
      </c>
      <c r="B114" t="s">
        <v>474</v>
      </c>
      <c r="C114">
        <v>4</v>
      </c>
      <c r="D114" t="s">
        <v>633</v>
      </c>
      <c r="E114">
        <f t="shared" si="3"/>
        <v>2050</v>
      </c>
      <c r="F114">
        <f t="shared" si="2"/>
        <v>2050</v>
      </c>
      <c r="L114" t="s">
        <v>1533</v>
      </c>
      <c r="M114" t="s">
        <v>1534</v>
      </c>
      <c r="N114" t="s">
        <v>1532</v>
      </c>
      <c r="O114" t="s">
        <v>474</v>
      </c>
      <c r="P114" t="s">
        <v>759</v>
      </c>
      <c r="Q114" t="s">
        <v>40</v>
      </c>
      <c r="S114" t="s">
        <v>606</v>
      </c>
      <c r="U114" t="s">
        <v>607</v>
      </c>
      <c r="AC114">
        <v>2050</v>
      </c>
      <c r="AD114" t="s">
        <v>667</v>
      </c>
      <c r="AE114">
        <v>2023</v>
      </c>
      <c r="AF114" t="s">
        <v>625</v>
      </c>
      <c r="AG114">
        <v>52</v>
      </c>
      <c r="AH114">
        <v>2005</v>
      </c>
      <c r="AN114">
        <v>2030</v>
      </c>
      <c r="AO114" t="s">
        <v>1535</v>
      </c>
      <c r="AP114" t="s">
        <v>1536</v>
      </c>
      <c r="AR114" t="s">
        <v>1537</v>
      </c>
      <c r="AS114" t="s">
        <v>633</v>
      </c>
      <c r="AT114" t="s">
        <v>602</v>
      </c>
      <c r="AU114" t="s">
        <v>602</v>
      </c>
      <c r="AV114" t="s">
        <v>606</v>
      </c>
      <c r="AW114" t="s">
        <v>606</v>
      </c>
      <c r="BA114" t="s">
        <v>606</v>
      </c>
      <c r="BB114" t="s">
        <v>1538</v>
      </c>
      <c r="BC114" t="s">
        <v>606</v>
      </c>
      <c r="BE114" t="s">
        <v>614</v>
      </c>
      <c r="BF114" t="s">
        <v>606</v>
      </c>
      <c r="BG114" t="s">
        <v>606</v>
      </c>
      <c r="BH114" t="s">
        <v>1539</v>
      </c>
      <c r="BI114" t="s">
        <v>606</v>
      </c>
      <c r="BM114" t="s">
        <v>606</v>
      </c>
      <c r="BN114" t="s">
        <v>602</v>
      </c>
      <c r="BO114" t="s">
        <v>1540</v>
      </c>
      <c r="BQ114">
        <v>20932281461072</v>
      </c>
      <c r="BS114">
        <v>336997624</v>
      </c>
      <c r="BX114">
        <v>5771000000</v>
      </c>
      <c r="BY114">
        <v>2019</v>
      </c>
    </row>
    <row r="115" spans="1:78" hidden="1" x14ac:dyDescent="0.25">
      <c r="A115" t="s">
        <v>1541</v>
      </c>
      <c r="B115" t="s">
        <v>424</v>
      </c>
      <c r="C115">
        <v>1</v>
      </c>
      <c r="D115" t="s">
        <v>633</v>
      </c>
      <c r="E115">
        <f t="shared" si="3"/>
        <v>2110</v>
      </c>
      <c r="F115">
        <f t="shared" si="2"/>
        <v>2110</v>
      </c>
      <c r="L115" t="s">
        <v>1542</v>
      </c>
      <c r="M115" t="s">
        <v>1543</v>
      </c>
      <c r="N115" t="s">
        <v>1541</v>
      </c>
      <c r="O115" t="s">
        <v>424</v>
      </c>
      <c r="P115" t="s">
        <v>636</v>
      </c>
      <c r="Q115" t="s">
        <v>40</v>
      </c>
      <c r="S115" t="s">
        <v>606</v>
      </c>
      <c r="U115" t="s">
        <v>607</v>
      </c>
      <c r="AC115">
        <v>2050</v>
      </c>
      <c r="AD115" t="s">
        <v>12</v>
      </c>
      <c r="AE115">
        <v>2019</v>
      </c>
      <c r="AF115" t="s">
        <v>608</v>
      </c>
      <c r="AG115">
        <v>22</v>
      </c>
      <c r="AK115">
        <v>484</v>
      </c>
      <c r="AL115">
        <v>605</v>
      </c>
      <c r="AN115">
        <v>2025</v>
      </c>
      <c r="AO115" t="s">
        <v>1544</v>
      </c>
      <c r="AP115" t="s">
        <v>1545</v>
      </c>
      <c r="AQ115" t="s">
        <v>1546</v>
      </c>
      <c r="AR115" t="s">
        <v>1547</v>
      </c>
      <c r="AS115" t="s">
        <v>633</v>
      </c>
      <c r="AU115" t="s">
        <v>606</v>
      </c>
      <c r="AV115" t="s">
        <v>606</v>
      </c>
      <c r="AW115" t="s">
        <v>606</v>
      </c>
      <c r="AX115" t="s">
        <v>602</v>
      </c>
      <c r="AY115" t="s">
        <v>602</v>
      </c>
      <c r="AZ115" t="s">
        <v>602</v>
      </c>
      <c r="BA115" t="s">
        <v>606</v>
      </c>
      <c r="BB115" t="s">
        <v>1548</v>
      </c>
      <c r="BC115" t="s">
        <v>615</v>
      </c>
      <c r="BD115" t="s">
        <v>1079</v>
      </c>
      <c r="BE115" t="s">
        <v>674</v>
      </c>
      <c r="BF115" t="s">
        <v>606</v>
      </c>
      <c r="BG115" t="s">
        <v>602</v>
      </c>
      <c r="BH115" t="s">
        <v>1549</v>
      </c>
      <c r="BI115" t="s">
        <v>615</v>
      </c>
      <c r="BJ115" t="s">
        <v>715</v>
      </c>
      <c r="BM115" t="s">
        <v>606</v>
      </c>
      <c r="BN115" t="s">
        <v>617</v>
      </c>
      <c r="BO115" t="s">
        <v>1550</v>
      </c>
      <c r="BP115" t="s">
        <v>619</v>
      </c>
      <c r="BQ115">
        <v>1420132453.9512999</v>
      </c>
      <c r="BS115">
        <v>104924</v>
      </c>
      <c r="BX115">
        <v>340000</v>
      </c>
      <c r="BY115">
        <v>2019</v>
      </c>
    </row>
    <row r="116" spans="1:78" x14ac:dyDescent="0.25">
      <c r="A116" t="s">
        <v>481</v>
      </c>
      <c r="B116" t="s">
        <v>480</v>
      </c>
      <c r="C116">
        <v>3</v>
      </c>
      <c r="D116" t="s">
        <v>633</v>
      </c>
      <c r="E116">
        <f t="shared" si="3"/>
        <v>2050</v>
      </c>
      <c r="F116">
        <f t="shared" si="2"/>
        <v>2050</v>
      </c>
      <c r="L116" t="s">
        <v>1551</v>
      </c>
      <c r="M116" t="s">
        <v>1552</v>
      </c>
      <c r="N116" t="s">
        <v>481</v>
      </c>
      <c r="O116" t="s">
        <v>480</v>
      </c>
      <c r="P116" t="s">
        <v>955</v>
      </c>
      <c r="Q116" t="s">
        <v>40</v>
      </c>
      <c r="S116" t="s">
        <v>606</v>
      </c>
      <c r="U116" t="s">
        <v>607</v>
      </c>
      <c r="AC116">
        <v>2050</v>
      </c>
      <c r="AD116" t="s">
        <v>8</v>
      </c>
      <c r="AE116">
        <v>2022</v>
      </c>
      <c r="AF116" t="s">
        <v>518</v>
      </c>
      <c r="AM116" t="s">
        <v>1553</v>
      </c>
      <c r="AN116">
        <v>2030</v>
      </c>
      <c r="AO116" t="s">
        <v>628</v>
      </c>
      <c r="AP116" t="s">
        <v>1554</v>
      </c>
      <c r="AQ116" t="s">
        <v>1555</v>
      </c>
      <c r="AR116" t="s">
        <v>1556</v>
      </c>
      <c r="AS116" t="s">
        <v>633</v>
      </c>
      <c r="AU116" t="s">
        <v>602</v>
      </c>
      <c r="AV116" t="s">
        <v>602</v>
      </c>
      <c r="AW116" t="s">
        <v>602</v>
      </c>
      <c r="AX116" t="s">
        <v>602</v>
      </c>
      <c r="AY116" t="s">
        <v>602</v>
      </c>
      <c r="AZ116" t="s">
        <v>602</v>
      </c>
      <c r="BA116" t="s">
        <v>606</v>
      </c>
      <c r="BB116" t="s">
        <v>1557</v>
      </c>
      <c r="BC116" t="s">
        <v>615</v>
      </c>
      <c r="BD116" t="s">
        <v>1558</v>
      </c>
      <c r="BE116" t="s">
        <v>614</v>
      </c>
      <c r="BF116" t="s">
        <v>615</v>
      </c>
      <c r="BG116" t="s">
        <v>602</v>
      </c>
      <c r="BH116" t="s">
        <v>1559</v>
      </c>
      <c r="BI116" t="s">
        <v>615</v>
      </c>
      <c r="BJ116" t="s">
        <v>715</v>
      </c>
      <c r="BM116" t="s">
        <v>606</v>
      </c>
      <c r="BN116" t="s">
        <v>617</v>
      </c>
      <c r="BO116" t="s">
        <v>1560</v>
      </c>
      <c r="BP116" t="s">
        <v>619</v>
      </c>
      <c r="BQ116">
        <v>888824160.52380002</v>
      </c>
      <c r="BS116">
        <v>311685</v>
      </c>
      <c r="BX116">
        <v>870000</v>
      </c>
      <c r="BY116">
        <v>2019</v>
      </c>
    </row>
    <row r="117" spans="1:78" hidden="1" x14ac:dyDescent="0.25">
      <c r="A117" t="s">
        <v>385</v>
      </c>
      <c r="B117" t="s">
        <v>384</v>
      </c>
      <c r="C117">
        <v>1</v>
      </c>
      <c r="D117" t="s">
        <v>633</v>
      </c>
      <c r="E117">
        <f t="shared" si="3"/>
        <v>2110</v>
      </c>
      <c r="F117">
        <f t="shared" si="2"/>
        <v>2110</v>
      </c>
      <c r="L117" t="s">
        <v>1561</v>
      </c>
      <c r="M117" t="s">
        <v>1562</v>
      </c>
      <c r="N117" t="s">
        <v>385</v>
      </c>
      <c r="O117" t="s">
        <v>384</v>
      </c>
      <c r="P117" t="s">
        <v>955</v>
      </c>
      <c r="Q117" t="s">
        <v>40</v>
      </c>
      <c r="S117" t="s">
        <v>606</v>
      </c>
      <c r="U117" t="s">
        <v>607</v>
      </c>
      <c r="AC117">
        <v>2050</v>
      </c>
      <c r="AD117" t="s">
        <v>12</v>
      </c>
      <c r="AE117">
        <v>2020</v>
      </c>
      <c r="AF117" t="s">
        <v>625</v>
      </c>
      <c r="AG117">
        <v>26</v>
      </c>
      <c r="AH117">
        <v>2007</v>
      </c>
      <c r="AN117">
        <v>2030</v>
      </c>
      <c r="AP117" t="s">
        <v>1563</v>
      </c>
      <c r="AR117" t="s">
        <v>1564</v>
      </c>
      <c r="AS117" t="s">
        <v>633</v>
      </c>
      <c r="AU117" t="s">
        <v>615</v>
      </c>
      <c r="AV117" t="s">
        <v>602</v>
      </c>
      <c r="AW117" t="s">
        <v>602</v>
      </c>
      <c r="AX117" t="s">
        <v>602</v>
      </c>
      <c r="AY117" t="s">
        <v>602</v>
      </c>
      <c r="AZ117" t="s">
        <v>602</v>
      </c>
      <c r="BA117" t="s">
        <v>606</v>
      </c>
      <c r="BB117" t="s">
        <v>1565</v>
      </c>
      <c r="BC117" t="s">
        <v>615</v>
      </c>
      <c r="BD117" t="s">
        <v>1251</v>
      </c>
      <c r="BE117" t="s">
        <v>614</v>
      </c>
      <c r="BF117" t="s">
        <v>615</v>
      </c>
      <c r="BG117" t="s">
        <v>602</v>
      </c>
      <c r="BH117" t="s">
        <v>1566</v>
      </c>
      <c r="BI117" t="s">
        <v>606</v>
      </c>
      <c r="BM117" t="s">
        <v>606</v>
      </c>
      <c r="BN117" t="s">
        <v>617</v>
      </c>
      <c r="BO117" t="s">
        <v>1567</v>
      </c>
      <c r="BP117" t="s">
        <v>619</v>
      </c>
      <c r="BQ117">
        <v>1169671633.747</v>
      </c>
      <c r="BS117">
        <v>214930</v>
      </c>
      <c r="BX117">
        <v>790000</v>
      </c>
      <c r="BY117">
        <v>2019</v>
      </c>
    </row>
    <row r="118" spans="1:78" hidden="1" x14ac:dyDescent="0.25">
      <c r="A118" t="s">
        <v>497</v>
      </c>
      <c r="B118" t="s">
        <v>496</v>
      </c>
      <c r="C118">
        <v>1</v>
      </c>
      <c r="D118" t="s">
        <v>633</v>
      </c>
      <c r="E118">
        <f t="shared" si="3"/>
        <v>2110</v>
      </c>
      <c r="F118">
        <f t="shared" si="2"/>
        <v>2110</v>
      </c>
      <c r="L118" t="s">
        <v>1568</v>
      </c>
      <c r="M118" t="s">
        <v>1569</v>
      </c>
      <c r="N118" t="s">
        <v>497</v>
      </c>
      <c r="O118" t="s">
        <v>496</v>
      </c>
      <c r="P118" t="s">
        <v>605</v>
      </c>
      <c r="Q118" t="s">
        <v>40</v>
      </c>
      <c r="S118" t="s">
        <v>606</v>
      </c>
      <c r="U118" t="s">
        <v>607</v>
      </c>
      <c r="AC118">
        <v>2050</v>
      </c>
      <c r="AD118" t="s">
        <v>12</v>
      </c>
      <c r="AE118">
        <v>2020</v>
      </c>
      <c r="AF118" t="s">
        <v>625</v>
      </c>
      <c r="AG118">
        <v>14</v>
      </c>
      <c r="AH118">
        <v>2020</v>
      </c>
      <c r="AN118">
        <v>2030</v>
      </c>
      <c r="AP118" t="s">
        <v>1570</v>
      </c>
      <c r="AQ118" t="s">
        <v>1571</v>
      </c>
      <c r="AR118" t="s">
        <v>612</v>
      </c>
      <c r="AS118" t="s">
        <v>633</v>
      </c>
      <c r="AT118" t="s">
        <v>602</v>
      </c>
      <c r="AU118" t="s">
        <v>602</v>
      </c>
      <c r="AV118" t="s">
        <v>602</v>
      </c>
      <c r="AW118" t="s">
        <v>602</v>
      </c>
      <c r="AX118" t="s">
        <v>602</v>
      </c>
      <c r="AY118" t="s">
        <v>602</v>
      </c>
      <c r="AZ118" t="s">
        <v>602</v>
      </c>
      <c r="BA118" t="s">
        <v>606</v>
      </c>
      <c r="BB118" t="s">
        <v>1572</v>
      </c>
      <c r="BC118" t="s">
        <v>615</v>
      </c>
      <c r="BD118" t="s">
        <v>1251</v>
      </c>
      <c r="BE118" t="s">
        <v>614</v>
      </c>
      <c r="BF118" t="s">
        <v>615</v>
      </c>
      <c r="BG118" t="s">
        <v>602</v>
      </c>
      <c r="BH118" t="s">
        <v>1573</v>
      </c>
      <c r="BI118" t="s">
        <v>602</v>
      </c>
      <c r="BM118" t="s">
        <v>606</v>
      </c>
      <c r="BN118" t="s">
        <v>602</v>
      </c>
      <c r="BP118" t="s">
        <v>619</v>
      </c>
      <c r="BS118">
        <v>32981642</v>
      </c>
      <c r="BX118">
        <v>25260000</v>
      </c>
      <c r="BY118">
        <v>2019</v>
      </c>
    </row>
    <row r="119" spans="1:78" x14ac:dyDescent="0.25">
      <c r="A119" t="s">
        <v>411</v>
      </c>
      <c r="B119" t="s">
        <v>410</v>
      </c>
      <c r="C119">
        <v>2</v>
      </c>
      <c r="D119" t="s">
        <v>620</v>
      </c>
      <c r="E119">
        <f t="shared" si="3"/>
        <v>2050</v>
      </c>
      <c r="F119">
        <f t="shared" si="2"/>
        <v>2065</v>
      </c>
      <c r="L119" t="s">
        <v>1574</v>
      </c>
      <c r="M119" t="s">
        <v>1575</v>
      </c>
      <c r="N119" t="s">
        <v>411</v>
      </c>
      <c r="O119" t="s">
        <v>410</v>
      </c>
      <c r="P119" t="s">
        <v>624</v>
      </c>
      <c r="Q119" t="s">
        <v>40</v>
      </c>
      <c r="S119" t="s">
        <v>606</v>
      </c>
      <c r="U119" t="s">
        <v>607</v>
      </c>
      <c r="AC119">
        <v>2050</v>
      </c>
      <c r="AD119" t="s">
        <v>10</v>
      </c>
      <c r="AE119">
        <v>2020</v>
      </c>
      <c r="AF119" t="s">
        <v>518</v>
      </c>
      <c r="AM119" t="s">
        <v>1576</v>
      </c>
      <c r="AN119">
        <v>2030</v>
      </c>
      <c r="AO119" t="s">
        <v>1577</v>
      </c>
      <c r="AP119" t="s">
        <v>1578</v>
      </c>
      <c r="AQ119" t="s">
        <v>1579</v>
      </c>
      <c r="AR119" t="s">
        <v>1580</v>
      </c>
      <c r="AS119" t="s">
        <v>620</v>
      </c>
      <c r="AT119" t="s">
        <v>615</v>
      </c>
      <c r="AU119" t="s">
        <v>602</v>
      </c>
      <c r="AV119" t="s">
        <v>602</v>
      </c>
      <c r="AW119" t="s">
        <v>602</v>
      </c>
      <c r="AX119" t="s">
        <v>602</v>
      </c>
      <c r="AY119" t="s">
        <v>602</v>
      </c>
      <c r="AZ119" t="s">
        <v>602</v>
      </c>
      <c r="BA119" t="s">
        <v>606</v>
      </c>
      <c r="BB119" t="s">
        <v>1581</v>
      </c>
      <c r="BC119" t="s">
        <v>606</v>
      </c>
      <c r="BE119" t="s">
        <v>614</v>
      </c>
      <c r="BF119" t="s">
        <v>615</v>
      </c>
      <c r="BG119" t="s">
        <v>606</v>
      </c>
      <c r="BH119" t="s">
        <v>1582</v>
      </c>
      <c r="BI119" t="s">
        <v>602</v>
      </c>
      <c r="BM119" t="s">
        <v>606</v>
      </c>
      <c r="BN119" t="s">
        <v>602</v>
      </c>
      <c r="BO119" t="s">
        <v>1581</v>
      </c>
      <c r="BQ119">
        <v>788112124415.26001</v>
      </c>
      <c r="BS119">
        <v>59392255</v>
      </c>
      <c r="BX119">
        <v>562190000</v>
      </c>
      <c r="BY119">
        <v>2019</v>
      </c>
    </row>
    <row r="120" spans="1:78" hidden="1" x14ac:dyDescent="0.25">
      <c r="A120" t="s">
        <v>499</v>
      </c>
      <c r="B120" t="s">
        <v>498</v>
      </c>
      <c r="C120">
        <v>1</v>
      </c>
      <c r="D120" t="s">
        <v>633</v>
      </c>
      <c r="E120">
        <f t="shared" si="3"/>
        <v>2110</v>
      </c>
      <c r="F120">
        <f t="shared" si="2"/>
        <v>2110</v>
      </c>
      <c r="L120" t="s">
        <v>1583</v>
      </c>
      <c r="M120" t="s">
        <v>1584</v>
      </c>
      <c r="N120" t="s">
        <v>499</v>
      </c>
      <c r="O120" t="s">
        <v>498</v>
      </c>
      <c r="P120" t="s">
        <v>624</v>
      </c>
      <c r="Q120" t="s">
        <v>40</v>
      </c>
      <c r="S120" t="s">
        <v>606</v>
      </c>
      <c r="U120" t="s">
        <v>607</v>
      </c>
      <c r="AC120">
        <v>2050</v>
      </c>
      <c r="AD120" t="s">
        <v>12</v>
      </c>
      <c r="AE120">
        <v>2021</v>
      </c>
      <c r="AF120" t="s">
        <v>608</v>
      </c>
      <c r="AG120">
        <v>25</v>
      </c>
      <c r="AK120">
        <v>162.6</v>
      </c>
      <c r="AL120">
        <v>216.8</v>
      </c>
      <c r="AN120">
        <v>2030</v>
      </c>
      <c r="AP120" t="s">
        <v>1585</v>
      </c>
      <c r="AQ120" t="s">
        <v>1586</v>
      </c>
      <c r="AR120" t="s">
        <v>612</v>
      </c>
      <c r="AS120" t="s">
        <v>633</v>
      </c>
      <c r="AU120" t="s">
        <v>602</v>
      </c>
      <c r="AV120" t="s">
        <v>602</v>
      </c>
      <c r="AW120" t="s">
        <v>602</v>
      </c>
      <c r="AX120" t="s">
        <v>602</v>
      </c>
      <c r="AY120" t="s">
        <v>602</v>
      </c>
      <c r="AZ120" t="s">
        <v>602</v>
      </c>
      <c r="BA120" t="s">
        <v>606</v>
      </c>
      <c r="BB120" t="s">
        <v>1587</v>
      </c>
      <c r="BC120" t="s">
        <v>615</v>
      </c>
      <c r="BD120" t="s">
        <v>1079</v>
      </c>
      <c r="BE120" t="s">
        <v>614</v>
      </c>
      <c r="BF120" t="s">
        <v>615</v>
      </c>
      <c r="BG120" t="s">
        <v>602</v>
      </c>
      <c r="BH120" t="s">
        <v>1588</v>
      </c>
      <c r="BI120" t="s">
        <v>615</v>
      </c>
      <c r="BJ120" t="s">
        <v>715</v>
      </c>
      <c r="BM120" t="s">
        <v>606</v>
      </c>
      <c r="BN120" t="s">
        <v>617</v>
      </c>
      <c r="BO120" t="s">
        <v>1589</v>
      </c>
      <c r="BP120" t="s">
        <v>619</v>
      </c>
      <c r="BQ120">
        <v>62412185647.573997</v>
      </c>
      <c r="BS120">
        <v>19473125</v>
      </c>
      <c r="BX120">
        <v>91360000</v>
      </c>
      <c r="BY120">
        <v>2019</v>
      </c>
    </row>
    <row r="121" spans="1:78" hidden="1" x14ac:dyDescent="0.25">
      <c r="A121" t="s">
        <v>501</v>
      </c>
      <c r="B121" t="s">
        <v>500</v>
      </c>
      <c r="C121" s="38">
        <v>0</v>
      </c>
      <c r="D121" t="s">
        <v>633</v>
      </c>
      <c r="E121">
        <f t="shared" si="3"/>
        <v>2110</v>
      </c>
      <c r="F121" t="str">
        <f t="shared" si="2"/>
        <v/>
      </c>
      <c r="L121" t="s">
        <v>1590</v>
      </c>
      <c r="M121" t="s">
        <v>1591</v>
      </c>
      <c r="N121" t="s">
        <v>501</v>
      </c>
      <c r="O121" t="s">
        <v>500</v>
      </c>
      <c r="P121" t="s">
        <v>624</v>
      </c>
      <c r="Q121" t="s">
        <v>40</v>
      </c>
      <c r="S121" t="s">
        <v>606</v>
      </c>
      <c r="U121" t="s">
        <v>625</v>
      </c>
      <c r="V121">
        <v>40</v>
      </c>
      <c r="W121">
        <v>2017</v>
      </c>
      <c r="AC121">
        <v>2030</v>
      </c>
      <c r="AD121" t="s">
        <v>10</v>
      </c>
      <c r="AE121">
        <v>2021</v>
      </c>
      <c r="AF121" t="s">
        <v>17</v>
      </c>
      <c r="AQ121" t="s">
        <v>1592</v>
      </c>
      <c r="AR121" t="s">
        <v>1593</v>
      </c>
      <c r="AS121" t="s">
        <v>633</v>
      </c>
      <c r="AU121" t="s">
        <v>602</v>
      </c>
      <c r="AV121" t="s">
        <v>602</v>
      </c>
      <c r="AW121" t="s">
        <v>602</v>
      </c>
      <c r="AX121" t="s">
        <v>602</v>
      </c>
      <c r="AY121" t="s">
        <v>602</v>
      </c>
      <c r="AZ121" t="s">
        <v>602</v>
      </c>
      <c r="BA121" t="s">
        <v>606</v>
      </c>
      <c r="BB121" t="s">
        <v>1594</v>
      </c>
      <c r="BC121" t="s">
        <v>606</v>
      </c>
      <c r="BE121" t="s">
        <v>614</v>
      </c>
      <c r="BF121" t="s">
        <v>606</v>
      </c>
      <c r="BG121" t="s">
        <v>602</v>
      </c>
      <c r="BI121" t="s">
        <v>602</v>
      </c>
      <c r="BM121" t="s">
        <v>606</v>
      </c>
      <c r="BN121" t="s">
        <v>617</v>
      </c>
      <c r="BO121" t="s">
        <v>1595</v>
      </c>
      <c r="BQ121">
        <v>33581513810.681</v>
      </c>
      <c r="BS121">
        <v>15993524</v>
      </c>
      <c r="BX121">
        <v>117960000</v>
      </c>
      <c r="BY121">
        <v>2019</v>
      </c>
    </row>
    <row r="122" spans="1:78" hidden="1" x14ac:dyDescent="0.25">
      <c r="A122" t="s">
        <v>57</v>
      </c>
      <c r="B122" t="s">
        <v>56</v>
      </c>
      <c r="C122" s="38">
        <v>0</v>
      </c>
      <c r="D122" t="s">
        <v>633</v>
      </c>
      <c r="E122">
        <f t="shared" si="3"/>
        <v>2110</v>
      </c>
      <c r="F122" t="str">
        <f t="shared" si="2"/>
        <v/>
      </c>
      <c r="L122" t="s">
        <v>1596</v>
      </c>
      <c r="M122" t="s">
        <v>1597</v>
      </c>
      <c r="N122" t="s">
        <v>57</v>
      </c>
      <c r="O122" t="s">
        <v>56</v>
      </c>
      <c r="P122" t="s">
        <v>665</v>
      </c>
      <c r="Q122" t="s">
        <v>40</v>
      </c>
      <c r="S122" t="s">
        <v>606</v>
      </c>
      <c r="U122" t="s">
        <v>625</v>
      </c>
      <c r="V122">
        <v>20.9</v>
      </c>
      <c r="W122">
        <v>2016</v>
      </c>
      <c r="AC122">
        <v>2030</v>
      </c>
      <c r="AD122" t="s">
        <v>8</v>
      </c>
      <c r="AE122">
        <v>2021</v>
      </c>
      <c r="AF122" t="s">
        <v>17</v>
      </c>
      <c r="AO122" t="s">
        <v>1598</v>
      </c>
      <c r="AP122" t="s">
        <v>1599</v>
      </c>
      <c r="AR122" t="s">
        <v>1600</v>
      </c>
      <c r="AS122" t="s">
        <v>633</v>
      </c>
      <c r="AU122" t="s">
        <v>602</v>
      </c>
      <c r="AV122" t="s">
        <v>615</v>
      </c>
      <c r="AW122" t="s">
        <v>602</v>
      </c>
      <c r="BA122" t="s">
        <v>606</v>
      </c>
      <c r="BB122" t="s">
        <v>1601</v>
      </c>
      <c r="BC122" t="s">
        <v>615</v>
      </c>
      <c r="BD122" t="s">
        <v>1493</v>
      </c>
      <c r="BE122" t="s">
        <v>674</v>
      </c>
      <c r="BF122" t="s">
        <v>615</v>
      </c>
      <c r="BG122" t="s">
        <v>602</v>
      </c>
      <c r="BH122" t="s">
        <v>1602</v>
      </c>
      <c r="BI122" t="s">
        <v>602</v>
      </c>
      <c r="BM122" t="s">
        <v>606</v>
      </c>
      <c r="BN122" t="s">
        <v>617</v>
      </c>
      <c r="BO122" t="s">
        <v>1603</v>
      </c>
      <c r="BQ122">
        <v>40825702512.805</v>
      </c>
      <c r="BS122">
        <v>2854710</v>
      </c>
      <c r="BX122">
        <v>8770000</v>
      </c>
      <c r="BY122">
        <v>2019</v>
      </c>
    </row>
    <row r="123" spans="1:78" x14ac:dyDescent="0.25">
      <c r="A123" t="s">
        <v>63</v>
      </c>
      <c r="B123" t="s">
        <v>62</v>
      </c>
      <c r="C123">
        <v>3</v>
      </c>
      <c r="D123" t="s">
        <v>633</v>
      </c>
      <c r="E123">
        <f t="shared" si="3"/>
        <v>2050</v>
      </c>
      <c r="F123">
        <f t="shared" si="2"/>
        <v>2050</v>
      </c>
      <c r="L123" t="s">
        <v>1604</v>
      </c>
      <c r="M123" t="s">
        <v>1605</v>
      </c>
      <c r="N123" t="s">
        <v>63</v>
      </c>
      <c r="O123" t="s">
        <v>62</v>
      </c>
      <c r="P123" t="s">
        <v>665</v>
      </c>
      <c r="Q123" t="s">
        <v>40</v>
      </c>
      <c r="S123" t="s">
        <v>606</v>
      </c>
      <c r="U123" t="s">
        <v>680</v>
      </c>
      <c r="AC123">
        <v>2050</v>
      </c>
      <c r="AD123" t="s">
        <v>8</v>
      </c>
      <c r="AE123">
        <v>2020</v>
      </c>
      <c r="AF123" t="s">
        <v>608</v>
      </c>
      <c r="AG123">
        <v>55</v>
      </c>
      <c r="AK123">
        <v>0.2316</v>
      </c>
      <c r="AL123">
        <v>0.52359999999999995</v>
      </c>
      <c r="AN123">
        <v>2030</v>
      </c>
      <c r="AO123" t="s">
        <v>1606</v>
      </c>
      <c r="AP123" t="s">
        <v>1607</v>
      </c>
      <c r="AQ123" t="s">
        <v>1608</v>
      </c>
      <c r="AR123" t="s">
        <v>1609</v>
      </c>
      <c r="AS123" t="s">
        <v>633</v>
      </c>
      <c r="AU123" t="s">
        <v>602</v>
      </c>
      <c r="AV123" t="s">
        <v>602</v>
      </c>
      <c r="AW123" t="s">
        <v>602</v>
      </c>
      <c r="BA123" t="s">
        <v>606</v>
      </c>
      <c r="BB123" t="s">
        <v>1610</v>
      </c>
      <c r="BC123" t="s">
        <v>615</v>
      </c>
      <c r="BD123" t="s">
        <v>725</v>
      </c>
      <c r="BE123" t="s">
        <v>614</v>
      </c>
      <c r="BF123" t="s">
        <v>615</v>
      </c>
      <c r="BG123" t="s">
        <v>606</v>
      </c>
      <c r="BH123" t="s">
        <v>1611</v>
      </c>
      <c r="BI123" t="s">
        <v>602</v>
      </c>
      <c r="BM123" t="s">
        <v>606</v>
      </c>
      <c r="BN123" t="s">
        <v>617</v>
      </c>
      <c r="BO123" t="s">
        <v>1612</v>
      </c>
      <c r="BQ123">
        <v>3154057987</v>
      </c>
      <c r="BS123">
        <v>79034</v>
      </c>
      <c r="BX123">
        <v>630000</v>
      </c>
    </row>
    <row r="124" spans="1:78" x14ac:dyDescent="0.25">
      <c r="A124" t="s">
        <v>471</v>
      </c>
      <c r="B124" t="s">
        <v>470</v>
      </c>
      <c r="C124">
        <v>3</v>
      </c>
      <c r="D124" t="s">
        <v>602</v>
      </c>
      <c r="E124">
        <f t="shared" si="3"/>
        <v>2050</v>
      </c>
      <c r="F124">
        <f t="shared" si="2"/>
        <v>2065</v>
      </c>
      <c r="L124" t="s">
        <v>1613</v>
      </c>
      <c r="M124" t="s">
        <v>1614</v>
      </c>
      <c r="N124" t="s">
        <v>471</v>
      </c>
      <c r="O124" t="s">
        <v>470</v>
      </c>
      <c r="P124" t="s">
        <v>605</v>
      </c>
      <c r="Q124" t="s">
        <v>40</v>
      </c>
      <c r="S124" t="s">
        <v>606</v>
      </c>
      <c r="U124" t="s">
        <v>607</v>
      </c>
      <c r="AC124">
        <v>2050</v>
      </c>
      <c r="AD124" t="s">
        <v>8</v>
      </c>
      <c r="AE124">
        <v>2023</v>
      </c>
      <c r="AF124" t="s">
        <v>780</v>
      </c>
      <c r="AH124">
        <v>2019</v>
      </c>
      <c r="AJ124">
        <v>225</v>
      </c>
      <c r="AK124">
        <v>182</v>
      </c>
      <c r="AN124">
        <v>2030</v>
      </c>
      <c r="AO124" t="s">
        <v>1615</v>
      </c>
      <c r="AP124" t="s">
        <v>1616</v>
      </c>
      <c r="AQ124" t="s">
        <v>1617</v>
      </c>
      <c r="AR124" t="s">
        <v>1618</v>
      </c>
      <c r="AS124" t="s">
        <v>602</v>
      </c>
      <c r="AU124" t="s">
        <v>602</v>
      </c>
      <c r="AV124" t="s">
        <v>606</v>
      </c>
      <c r="AW124" t="s">
        <v>606</v>
      </c>
      <c r="BA124" t="s">
        <v>606</v>
      </c>
      <c r="BB124" t="s">
        <v>1619</v>
      </c>
      <c r="BC124" t="s">
        <v>615</v>
      </c>
      <c r="BE124" t="s">
        <v>614</v>
      </c>
      <c r="BF124" t="s">
        <v>615</v>
      </c>
      <c r="BG124" t="s">
        <v>606</v>
      </c>
      <c r="BH124" t="s">
        <v>1620</v>
      </c>
      <c r="BI124" t="s">
        <v>615</v>
      </c>
      <c r="BJ124" t="s">
        <v>715</v>
      </c>
      <c r="BM124" t="s">
        <v>606</v>
      </c>
      <c r="BN124" t="s">
        <v>676</v>
      </c>
      <c r="BO124" t="s">
        <v>1621</v>
      </c>
      <c r="BQ124">
        <v>660342979810.375</v>
      </c>
      <c r="BS124">
        <v>9365144</v>
      </c>
      <c r="BX124">
        <v>243550000</v>
      </c>
      <c r="BY124">
        <v>2019</v>
      </c>
      <c r="BZ124" t="s">
        <v>606</v>
      </c>
    </row>
    <row r="125" spans="1:78" x14ac:dyDescent="0.25">
      <c r="A125" t="s">
        <v>75</v>
      </c>
      <c r="B125" t="s">
        <v>74</v>
      </c>
      <c r="C125">
        <v>4</v>
      </c>
      <c r="D125" t="s">
        <v>633</v>
      </c>
      <c r="E125">
        <f t="shared" si="3"/>
        <v>2050</v>
      </c>
      <c r="F125">
        <f t="shared" si="2"/>
        <v>2050</v>
      </c>
      <c r="L125" t="s">
        <v>1622</v>
      </c>
      <c r="M125" t="s">
        <v>1623</v>
      </c>
      <c r="N125" t="s">
        <v>75</v>
      </c>
      <c r="O125" t="s">
        <v>74</v>
      </c>
      <c r="P125" t="s">
        <v>955</v>
      </c>
      <c r="Q125" t="s">
        <v>40</v>
      </c>
      <c r="S125" t="s">
        <v>606</v>
      </c>
      <c r="U125" t="s">
        <v>607</v>
      </c>
      <c r="AC125">
        <v>2050</v>
      </c>
      <c r="AD125" t="s">
        <v>667</v>
      </c>
      <c r="AE125">
        <v>2022</v>
      </c>
      <c r="AF125" t="s">
        <v>625</v>
      </c>
      <c r="AG125">
        <v>43</v>
      </c>
      <c r="AH125">
        <v>2005</v>
      </c>
      <c r="AN125">
        <v>2030</v>
      </c>
      <c r="AO125" t="s">
        <v>1624</v>
      </c>
      <c r="AP125" t="s">
        <v>1624</v>
      </c>
      <c r="AQ125" t="s">
        <v>1625</v>
      </c>
      <c r="AR125" t="s">
        <v>1626</v>
      </c>
      <c r="AS125" t="s">
        <v>633</v>
      </c>
      <c r="AU125" t="s">
        <v>602</v>
      </c>
      <c r="AV125" t="s">
        <v>606</v>
      </c>
      <c r="AW125" t="s">
        <v>606</v>
      </c>
      <c r="BA125" t="s">
        <v>606</v>
      </c>
      <c r="BB125" t="s">
        <v>1627</v>
      </c>
      <c r="BC125" t="s">
        <v>615</v>
      </c>
      <c r="BD125" t="s">
        <v>1628</v>
      </c>
      <c r="BE125" t="s">
        <v>674</v>
      </c>
      <c r="BF125" t="s">
        <v>615</v>
      </c>
      <c r="BG125" t="s">
        <v>606</v>
      </c>
      <c r="BH125" t="s">
        <v>1629</v>
      </c>
      <c r="BI125" t="s">
        <v>602</v>
      </c>
      <c r="BM125" t="s">
        <v>606</v>
      </c>
      <c r="BN125" t="s">
        <v>676</v>
      </c>
      <c r="BO125" t="s">
        <v>1630</v>
      </c>
      <c r="BQ125">
        <v>1269164459441.5</v>
      </c>
      <c r="BS125">
        <v>25921089</v>
      </c>
      <c r="BX125">
        <v>608490000</v>
      </c>
      <c r="BY125">
        <v>2019</v>
      </c>
      <c r="BZ125" t="s">
        <v>606</v>
      </c>
    </row>
    <row r="126" spans="1:78" hidden="1" x14ac:dyDescent="0.25">
      <c r="A126" t="s">
        <v>79</v>
      </c>
      <c r="B126" t="s">
        <v>78</v>
      </c>
      <c r="C126" s="38">
        <v>0</v>
      </c>
      <c r="D126" t="s">
        <v>633</v>
      </c>
      <c r="E126">
        <f t="shared" si="3"/>
        <v>2110</v>
      </c>
      <c r="F126" t="str">
        <f t="shared" si="2"/>
        <v/>
      </c>
      <c r="L126" t="s">
        <v>1631</v>
      </c>
      <c r="M126" t="s">
        <v>1632</v>
      </c>
      <c r="N126" t="s">
        <v>79</v>
      </c>
      <c r="O126" t="s">
        <v>78</v>
      </c>
      <c r="P126" t="s">
        <v>605</v>
      </c>
      <c r="Q126" t="s">
        <v>40</v>
      </c>
      <c r="S126" t="s">
        <v>606</v>
      </c>
      <c r="U126" t="s">
        <v>625</v>
      </c>
      <c r="V126">
        <v>40</v>
      </c>
      <c r="W126">
        <v>1990</v>
      </c>
      <c r="AC126">
        <v>2050</v>
      </c>
      <c r="AD126" t="s">
        <v>8</v>
      </c>
      <c r="AE126">
        <v>2023</v>
      </c>
      <c r="AF126" t="s">
        <v>17</v>
      </c>
      <c r="AO126" t="s">
        <v>1633</v>
      </c>
      <c r="AQ126" t="s">
        <v>1634</v>
      </c>
      <c r="AR126" t="s">
        <v>1635</v>
      </c>
      <c r="AS126" t="s">
        <v>633</v>
      </c>
      <c r="AU126" t="s">
        <v>606</v>
      </c>
      <c r="AV126" t="s">
        <v>606</v>
      </c>
      <c r="AW126" t="s">
        <v>606</v>
      </c>
      <c r="BA126" t="s">
        <v>606</v>
      </c>
      <c r="BB126" t="s">
        <v>1636</v>
      </c>
      <c r="BC126" t="s">
        <v>615</v>
      </c>
      <c r="BE126" t="s">
        <v>614</v>
      </c>
      <c r="BF126" t="s">
        <v>606</v>
      </c>
      <c r="BG126" t="s">
        <v>602</v>
      </c>
      <c r="BH126" t="s">
        <v>1637</v>
      </c>
      <c r="BI126" t="s">
        <v>606</v>
      </c>
      <c r="BM126" t="s">
        <v>606</v>
      </c>
      <c r="BN126" t="s">
        <v>602</v>
      </c>
      <c r="BO126" t="s">
        <v>1638</v>
      </c>
      <c r="BQ126">
        <v>146304571771.41</v>
      </c>
      <c r="BS126">
        <v>10312992</v>
      </c>
      <c r="BX126">
        <v>52890000</v>
      </c>
      <c r="BY126">
        <v>2019</v>
      </c>
    </row>
    <row r="127" spans="1:78" hidden="1" x14ac:dyDescent="0.25">
      <c r="A127" t="s">
        <v>115</v>
      </c>
      <c r="B127" t="s">
        <v>114</v>
      </c>
      <c r="C127">
        <v>1</v>
      </c>
      <c r="D127" t="s">
        <v>633</v>
      </c>
      <c r="E127">
        <f t="shared" si="3"/>
        <v>2110</v>
      </c>
      <c r="F127">
        <f t="shared" si="2"/>
        <v>2110</v>
      </c>
      <c r="L127" t="s">
        <v>1639</v>
      </c>
      <c r="M127" t="s">
        <v>1640</v>
      </c>
      <c r="N127" t="s">
        <v>115</v>
      </c>
      <c r="O127" t="s">
        <v>114</v>
      </c>
      <c r="P127" t="s">
        <v>624</v>
      </c>
      <c r="Q127" t="s">
        <v>40</v>
      </c>
      <c r="S127" t="s">
        <v>606</v>
      </c>
      <c r="U127" t="s">
        <v>607</v>
      </c>
      <c r="AC127">
        <v>2050</v>
      </c>
      <c r="AD127" t="s">
        <v>12</v>
      </c>
      <c r="AE127">
        <v>2019</v>
      </c>
      <c r="AF127" t="s">
        <v>608</v>
      </c>
      <c r="AG127">
        <v>20</v>
      </c>
      <c r="AK127">
        <v>60000</v>
      </c>
      <c r="AL127">
        <v>75000</v>
      </c>
      <c r="AN127">
        <v>2030</v>
      </c>
      <c r="AO127" t="s">
        <v>619</v>
      </c>
      <c r="AP127" t="s">
        <v>1641</v>
      </c>
      <c r="AQ127" t="s">
        <v>1642</v>
      </c>
      <c r="AR127" t="s">
        <v>628</v>
      </c>
      <c r="AS127" t="s">
        <v>633</v>
      </c>
      <c r="AU127" t="s">
        <v>602</v>
      </c>
      <c r="AV127" t="s">
        <v>602</v>
      </c>
      <c r="AW127" t="s">
        <v>602</v>
      </c>
      <c r="BA127" t="s">
        <v>615</v>
      </c>
      <c r="BC127" t="s">
        <v>615</v>
      </c>
      <c r="BD127" t="s">
        <v>829</v>
      </c>
      <c r="BE127" t="s">
        <v>674</v>
      </c>
      <c r="BF127" t="s">
        <v>615</v>
      </c>
      <c r="BG127" t="s">
        <v>606</v>
      </c>
      <c r="BH127" t="s">
        <v>1643</v>
      </c>
      <c r="BI127" t="s">
        <v>602</v>
      </c>
      <c r="BM127" t="s">
        <v>606</v>
      </c>
      <c r="BN127" t="s">
        <v>617</v>
      </c>
      <c r="BQ127">
        <v>8848986839.4797993</v>
      </c>
      <c r="BS127">
        <v>12551213</v>
      </c>
      <c r="BX127">
        <v>8040000</v>
      </c>
      <c r="BY127">
        <v>2019</v>
      </c>
    </row>
    <row r="128" spans="1:78" hidden="1" x14ac:dyDescent="0.25">
      <c r="A128" t="s">
        <v>111</v>
      </c>
      <c r="B128" t="s">
        <v>110</v>
      </c>
      <c r="C128">
        <v>1</v>
      </c>
      <c r="D128" t="s">
        <v>602</v>
      </c>
      <c r="E128">
        <f t="shared" si="3"/>
        <v>2110</v>
      </c>
      <c r="F128">
        <f t="shared" si="2"/>
        <v>2125</v>
      </c>
      <c r="L128" t="s">
        <v>1644</v>
      </c>
      <c r="M128" t="s">
        <v>1645</v>
      </c>
      <c r="N128" t="s">
        <v>111</v>
      </c>
      <c r="O128" t="s">
        <v>110</v>
      </c>
      <c r="P128" t="s">
        <v>665</v>
      </c>
      <c r="Q128" t="s">
        <v>40</v>
      </c>
      <c r="S128" t="s">
        <v>606</v>
      </c>
      <c r="U128" t="s">
        <v>607</v>
      </c>
      <c r="AC128">
        <v>2050</v>
      </c>
      <c r="AD128" t="s">
        <v>12</v>
      </c>
      <c r="AE128">
        <v>2019</v>
      </c>
      <c r="AF128" t="s">
        <v>625</v>
      </c>
      <c r="AG128">
        <v>40</v>
      </c>
      <c r="AH128">
        <v>1990</v>
      </c>
      <c r="AN128">
        <v>2030</v>
      </c>
      <c r="AO128" t="s">
        <v>619</v>
      </c>
      <c r="AP128" t="s">
        <v>1646</v>
      </c>
      <c r="AR128" t="s">
        <v>628</v>
      </c>
      <c r="AS128" t="s">
        <v>602</v>
      </c>
      <c r="AU128" t="s">
        <v>602</v>
      </c>
      <c r="AV128" t="s">
        <v>602</v>
      </c>
      <c r="AW128" t="s">
        <v>602</v>
      </c>
      <c r="BA128" t="s">
        <v>606</v>
      </c>
      <c r="BB128" t="s">
        <v>1647</v>
      </c>
      <c r="BC128" t="s">
        <v>606</v>
      </c>
      <c r="BE128" t="s">
        <v>614</v>
      </c>
      <c r="BF128" t="s">
        <v>606</v>
      </c>
      <c r="BG128" t="s">
        <v>602</v>
      </c>
      <c r="BI128" t="s">
        <v>602</v>
      </c>
      <c r="BQ128">
        <v>161660073527.32001</v>
      </c>
      <c r="BS128">
        <v>6885868</v>
      </c>
      <c r="BX128">
        <v>17480000</v>
      </c>
      <c r="BY128">
        <v>2019</v>
      </c>
    </row>
    <row r="129" spans="1:78" x14ac:dyDescent="0.25">
      <c r="A129" t="s">
        <v>83</v>
      </c>
      <c r="B129" t="s">
        <v>82</v>
      </c>
      <c r="C129">
        <v>2</v>
      </c>
      <c r="D129" t="s">
        <v>602</v>
      </c>
      <c r="E129">
        <f t="shared" si="3"/>
        <v>2060</v>
      </c>
      <c r="F129">
        <f t="shared" si="2"/>
        <v>2075</v>
      </c>
      <c r="L129" t="s">
        <v>1648</v>
      </c>
      <c r="M129" t="s">
        <v>1649</v>
      </c>
      <c r="N129" t="s">
        <v>83</v>
      </c>
      <c r="O129" t="s">
        <v>82</v>
      </c>
      <c r="P129" t="s">
        <v>605</v>
      </c>
      <c r="Q129" t="s">
        <v>40</v>
      </c>
      <c r="S129" t="s">
        <v>606</v>
      </c>
      <c r="U129" t="s">
        <v>607</v>
      </c>
      <c r="AC129">
        <v>2060</v>
      </c>
      <c r="AD129" t="s">
        <v>10</v>
      </c>
      <c r="AE129">
        <v>2021</v>
      </c>
      <c r="AF129" t="s">
        <v>17</v>
      </c>
      <c r="AQ129" t="s">
        <v>1650</v>
      </c>
      <c r="AR129" t="s">
        <v>1651</v>
      </c>
      <c r="AS129" t="s">
        <v>602</v>
      </c>
      <c r="AU129" t="s">
        <v>602</v>
      </c>
      <c r="AV129" t="s">
        <v>602</v>
      </c>
      <c r="AW129" t="s">
        <v>602</v>
      </c>
      <c r="BA129" t="s">
        <v>606</v>
      </c>
      <c r="BC129" t="s">
        <v>606</v>
      </c>
      <c r="BE129" t="s">
        <v>614</v>
      </c>
      <c r="BF129" t="s">
        <v>606</v>
      </c>
      <c r="BG129" t="s">
        <v>602</v>
      </c>
      <c r="BH129" t="s">
        <v>1652</v>
      </c>
      <c r="BI129" t="s">
        <v>615</v>
      </c>
      <c r="BJ129" t="s">
        <v>715</v>
      </c>
      <c r="BM129" t="s">
        <v>606</v>
      </c>
      <c r="BN129" t="s">
        <v>617</v>
      </c>
      <c r="BO129" t="s">
        <v>1653</v>
      </c>
      <c r="BQ129">
        <v>72266880694.009995</v>
      </c>
      <c r="BS129">
        <v>1463266</v>
      </c>
      <c r="BX129">
        <v>54410000</v>
      </c>
      <c r="BY129">
        <v>2019</v>
      </c>
      <c r="BZ129" t="s">
        <v>606</v>
      </c>
    </row>
    <row r="130" spans="1:78" hidden="1" x14ac:dyDescent="0.25">
      <c r="A130" t="s">
        <v>103</v>
      </c>
      <c r="B130" t="s">
        <v>102</v>
      </c>
      <c r="C130" s="38">
        <v>0</v>
      </c>
      <c r="D130" t="s">
        <v>633</v>
      </c>
      <c r="E130">
        <f t="shared" si="3"/>
        <v>2110</v>
      </c>
      <c r="F130" t="str">
        <f t="shared" si="2"/>
        <v/>
      </c>
      <c r="L130" t="s">
        <v>1654</v>
      </c>
      <c r="M130" t="s">
        <v>1655</v>
      </c>
      <c r="N130" t="s">
        <v>103</v>
      </c>
      <c r="O130" t="s">
        <v>102</v>
      </c>
      <c r="P130" t="s">
        <v>665</v>
      </c>
      <c r="Q130" t="s">
        <v>40</v>
      </c>
      <c r="S130" t="s">
        <v>606</v>
      </c>
      <c r="U130" t="s">
        <v>625</v>
      </c>
      <c r="V130">
        <v>50</v>
      </c>
      <c r="W130">
        <v>2014</v>
      </c>
      <c r="AC130">
        <v>2050</v>
      </c>
      <c r="AD130" t="s">
        <v>10</v>
      </c>
      <c r="AE130">
        <v>2021</v>
      </c>
      <c r="AF130" t="s">
        <v>625</v>
      </c>
      <c r="AG130">
        <v>12.8</v>
      </c>
      <c r="AH130">
        <v>2014</v>
      </c>
      <c r="AN130">
        <v>2030</v>
      </c>
      <c r="AO130" t="s">
        <v>1656</v>
      </c>
      <c r="AP130" t="s">
        <v>1657</v>
      </c>
      <c r="AQ130" t="s">
        <v>1658</v>
      </c>
      <c r="AR130" t="s">
        <v>1659</v>
      </c>
      <c r="AS130" t="s">
        <v>633</v>
      </c>
      <c r="AU130" t="s">
        <v>606</v>
      </c>
      <c r="AV130" t="s">
        <v>606</v>
      </c>
      <c r="AW130" t="s">
        <v>606</v>
      </c>
      <c r="BA130" t="s">
        <v>606</v>
      </c>
      <c r="BC130" t="s">
        <v>615</v>
      </c>
      <c r="BD130" t="s">
        <v>1660</v>
      </c>
      <c r="BE130" t="s">
        <v>614</v>
      </c>
      <c r="BF130" t="s">
        <v>615</v>
      </c>
      <c r="BG130" t="s">
        <v>602</v>
      </c>
      <c r="BH130" t="s">
        <v>1661</v>
      </c>
      <c r="BI130" t="s">
        <v>602</v>
      </c>
      <c r="BM130" t="s">
        <v>606</v>
      </c>
      <c r="BN130" t="s">
        <v>617</v>
      </c>
      <c r="BO130" t="s">
        <v>1662</v>
      </c>
      <c r="BQ130">
        <v>51023941806.646004</v>
      </c>
      <c r="BS130">
        <v>3270943</v>
      </c>
      <c r="BX130">
        <v>24500000</v>
      </c>
      <c r="BY130">
        <v>2019</v>
      </c>
    </row>
    <row r="131" spans="1:78" hidden="1" x14ac:dyDescent="0.25">
      <c r="A131" t="s">
        <v>89</v>
      </c>
      <c r="B131" t="s">
        <v>88</v>
      </c>
      <c r="C131" s="38">
        <v>0</v>
      </c>
      <c r="D131" t="s">
        <v>633</v>
      </c>
      <c r="E131">
        <f t="shared" si="3"/>
        <v>2110</v>
      </c>
      <c r="F131" t="str">
        <f t="shared" ref="F131" si="4">IF(U131="Reduction v. BAU","",IF(U131="Other","",IF(U131="Emissions reduction target","",IF(D131="Not Specified",E131+$H$1,IF(D131="Carbon dioxide only",E131+$H$1,IF(D131="Carbon dioxide and other GHGs",E131,""))))))</f>
        <v/>
      </c>
      <c r="L131" t="s">
        <v>1663</v>
      </c>
      <c r="M131" t="s">
        <v>1664</v>
      </c>
      <c r="N131" t="s">
        <v>89</v>
      </c>
      <c r="O131" t="s">
        <v>88</v>
      </c>
      <c r="P131" t="s">
        <v>665</v>
      </c>
      <c r="Q131" t="s">
        <v>40</v>
      </c>
      <c r="S131" t="s">
        <v>606</v>
      </c>
      <c r="U131" t="s">
        <v>625</v>
      </c>
      <c r="V131">
        <v>35</v>
      </c>
      <c r="W131">
        <v>1990</v>
      </c>
      <c r="AC131">
        <v>2030</v>
      </c>
      <c r="AD131" t="s">
        <v>8</v>
      </c>
      <c r="AE131">
        <v>2021</v>
      </c>
      <c r="AF131" t="s">
        <v>17</v>
      </c>
      <c r="AO131" t="s">
        <v>1665</v>
      </c>
      <c r="AR131" t="s">
        <v>1666</v>
      </c>
      <c r="AS131" t="s">
        <v>633</v>
      </c>
      <c r="AU131" t="s">
        <v>602</v>
      </c>
      <c r="AV131" t="s">
        <v>602</v>
      </c>
      <c r="AW131" t="s">
        <v>602</v>
      </c>
      <c r="BA131" t="s">
        <v>606</v>
      </c>
      <c r="BB131" t="s">
        <v>1667</v>
      </c>
      <c r="BC131" t="s">
        <v>615</v>
      </c>
      <c r="BD131" t="s">
        <v>735</v>
      </c>
      <c r="BE131" t="s">
        <v>614</v>
      </c>
      <c r="BF131" t="s">
        <v>606</v>
      </c>
      <c r="BG131" t="s">
        <v>602</v>
      </c>
      <c r="BH131" t="s">
        <v>1668</v>
      </c>
      <c r="BI131" t="s">
        <v>602</v>
      </c>
      <c r="BM131" t="s">
        <v>606</v>
      </c>
      <c r="BN131" t="s">
        <v>617</v>
      </c>
      <c r="BO131" t="s">
        <v>1669</v>
      </c>
      <c r="BQ131">
        <v>184482446353.98999</v>
      </c>
      <c r="BS131">
        <v>9578168</v>
      </c>
      <c r="BX131">
        <v>65330000</v>
      </c>
      <c r="BY131">
        <v>2019</v>
      </c>
    </row>
    <row r="132" spans="1:78" hidden="1" x14ac:dyDescent="0.25">
      <c r="A132" t="s">
        <v>97</v>
      </c>
      <c r="B132" t="s">
        <v>96</v>
      </c>
      <c r="C132" s="38">
        <v>0</v>
      </c>
      <c r="D132" t="s">
        <v>602</v>
      </c>
      <c r="E132">
        <f t="shared" ref="E132:E195" si="5">IF(C132&gt;1,AC132,2110)</f>
        <v>2110</v>
      </c>
      <c r="F132" t="str">
        <f>IF(U132="Reduction v. BAU","",IF(U132="Other","",IF(U132="Emissions reduction target","",IF(D132="Not Specified",E132+$H$1,IF(D132="Carbon dioxide only",E132+$H$1,IF(D132="Carbon dioxide and other GHGs",E132,""))))))</f>
        <v/>
      </c>
      <c r="L132" t="s">
        <v>1670</v>
      </c>
      <c r="M132" t="s">
        <v>1671</v>
      </c>
      <c r="N132" t="s">
        <v>97</v>
      </c>
      <c r="O132" t="s">
        <v>96</v>
      </c>
      <c r="P132" t="s">
        <v>636</v>
      </c>
      <c r="Q132" t="s">
        <v>40</v>
      </c>
      <c r="S132" t="s">
        <v>606</v>
      </c>
      <c r="U132" t="s">
        <v>518</v>
      </c>
      <c r="AB132" t="s">
        <v>1672</v>
      </c>
      <c r="AC132">
        <v>2035</v>
      </c>
      <c r="AD132" t="s">
        <v>8</v>
      </c>
      <c r="AO132" t="s">
        <v>1673</v>
      </c>
      <c r="AR132" t="s">
        <v>1674</v>
      </c>
      <c r="AS132" t="s">
        <v>602</v>
      </c>
      <c r="AU132" t="s">
        <v>606</v>
      </c>
      <c r="AV132" t="s">
        <v>606</v>
      </c>
      <c r="AW132" t="s">
        <v>606</v>
      </c>
      <c r="BA132" t="s">
        <v>606</v>
      </c>
      <c r="BB132" t="s">
        <v>1675</v>
      </c>
      <c r="BC132" t="s">
        <v>606</v>
      </c>
      <c r="BE132" t="s">
        <v>630</v>
      </c>
      <c r="BF132" t="s">
        <v>606</v>
      </c>
      <c r="BG132" t="s">
        <v>602</v>
      </c>
      <c r="BI132" t="s">
        <v>602</v>
      </c>
      <c r="BM132" t="s">
        <v>606</v>
      </c>
      <c r="BN132" t="s">
        <v>606</v>
      </c>
      <c r="BO132" t="s">
        <v>1676</v>
      </c>
      <c r="BQ132">
        <v>4952669361.6372004</v>
      </c>
      <c r="BS132">
        <v>64185</v>
      </c>
    </row>
    <row r="133" spans="1:78" hidden="1" x14ac:dyDescent="0.25">
      <c r="A133" t="s">
        <v>101</v>
      </c>
      <c r="B133" t="s">
        <v>100</v>
      </c>
      <c r="C133" s="38">
        <v>0</v>
      </c>
      <c r="D133" t="s">
        <v>602</v>
      </c>
      <c r="E133">
        <f t="shared" si="5"/>
        <v>2110</v>
      </c>
      <c r="F133">
        <f t="shared" ref="F133:F196" si="6">IF(U133="Reduction v. BAU","",IF(U133="Other","",IF(U133="Emissions reduction target","",IF(D133="Not Specified",E133+$H$1,IF(D133="Carbon dioxide only",E133+$H$1,IF(D133="Carbon dioxide and other GHGs",E133,""))))))</f>
        <v>2125</v>
      </c>
      <c r="L133" t="s">
        <v>1677</v>
      </c>
      <c r="M133" t="s">
        <v>1678</v>
      </c>
      <c r="N133" t="s">
        <v>101</v>
      </c>
      <c r="O133" t="s">
        <v>100</v>
      </c>
      <c r="P133" t="s">
        <v>636</v>
      </c>
      <c r="Q133" t="s">
        <v>40</v>
      </c>
      <c r="S133" t="s">
        <v>606</v>
      </c>
      <c r="U133" t="s">
        <v>17</v>
      </c>
      <c r="AD133" t="s">
        <v>8</v>
      </c>
      <c r="AE133">
        <v>2021</v>
      </c>
      <c r="AF133" t="s">
        <v>17</v>
      </c>
      <c r="AQ133" t="s">
        <v>1679</v>
      </c>
      <c r="AR133" t="s">
        <v>1680</v>
      </c>
      <c r="AS133" t="s">
        <v>602</v>
      </c>
      <c r="AU133" t="s">
        <v>602</v>
      </c>
      <c r="AV133" t="s">
        <v>602</v>
      </c>
      <c r="AW133" t="s">
        <v>602</v>
      </c>
      <c r="BA133" t="s">
        <v>606</v>
      </c>
      <c r="BC133" t="s">
        <v>606</v>
      </c>
      <c r="BE133" t="s">
        <v>614</v>
      </c>
      <c r="BF133" t="s">
        <v>615</v>
      </c>
      <c r="BG133" t="s">
        <v>602</v>
      </c>
      <c r="BH133" t="s">
        <v>1681</v>
      </c>
      <c r="BI133" t="s">
        <v>602</v>
      </c>
      <c r="BM133" t="s">
        <v>606</v>
      </c>
      <c r="BN133" t="s">
        <v>602</v>
      </c>
      <c r="BQ133">
        <v>97266051942.897995</v>
      </c>
      <c r="BS133">
        <v>12079472</v>
      </c>
      <c r="BX133">
        <v>138720000</v>
      </c>
      <c r="BY133">
        <v>2019</v>
      </c>
    </row>
    <row r="134" spans="1:78" x14ac:dyDescent="0.25">
      <c r="A134" t="s">
        <v>107</v>
      </c>
      <c r="B134" t="s">
        <v>106</v>
      </c>
      <c r="C134">
        <v>3</v>
      </c>
      <c r="D134" t="s">
        <v>633</v>
      </c>
      <c r="E134">
        <f t="shared" si="5"/>
        <v>2050</v>
      </c>
      <c r="F134">
        <f t="shared" si="6"/>
        <v>2050</v>
      </c>
      <c r="L134" t="s">
        <v>1682</v>
      </c>
      <c r="M134" t="s">
        <v>1683</v>
      </c>
      <c r="N134" t="s">
        <v>107</v>
      </c>
      <c r="O134" t="s">
        <v>106</v>
      </c>
      <c r="P134" t="s">
        <v>636</v>
      </c>
      <c r="Q134" t="s">
        <v>40</v>
      </c>
      <c r="S134" t="s">
        <v>606</v>
      </c>
      <c r="U134" t="s">
        <v>680</v>
      </c>
      <c r="AC134">
        <v>2050</v>
      </c>
      <c r="AD134" t="s">
        <v>8</v>
      </c>
      <c r="AE134">
        <v>2020</v>
      </c>
      <c r="AF134" t="s">
        <v>625</v>
      </c>
      <c r="AG134">
        <v>48.4</v>
      </c>
      <c r="AH134">
        <v>2005</v>
      </c>
      <c r="AN134">
        <v>2025</v>
      </c>
      <c r="AO134" t="s">
        <v>1684</v>
      </c>
      <c r="AP134" t="s">
        <v>1685</v>
      </c>
      <c r="AQ134" t="s">
        <v>1686</v>
      </c>
      <c r="AR134" t="s">
        <v>1687</v>
      </c>
      <c r="AS134" t="s">
        <v>633</v>
      </c>
      <c r="AU134" t="s">
        <v>602</v>
      </c>
      <c r="AV134" t="s">
        <v>602</v>
      </c>
      <c r="AW134" t="s">
        <v>602</v>
      </c>
      <c r="BA134" t="s">
        <v>606</v>
      </c>
      <c r="BB134" t="s">
        <v>1688</v>
      </c>
      <c r="BC134" t="s">
        <v>606</v>
      </c>
      <c r="BE134" t="s">
        <v>614</v>
      </c>
      <c r="BF134" t="s">
        <v>606</v>
      </c>
      <c r="BG134" t="s">
        <v>602</v>
      </c>
      <c r="BH134" t="s">
        <v>1689</v>
      </c>
      <c r="BI134" t="s">
        <v>602</v>
      </c>
      <c r="BM134" t="s">
        <v>606</v>
      </c>
      <c r="BN134" t="s">
        <v>602</v>
      </c>
      <c r="BO134" t="s">
        <v>1690</v>
      </c>
      <c r="BQ134">
        <v>3127523894542</v>
      </c>
      <c r="BS134">
        <v>214326223</v>
      </c>
      <c r="BX134">
        <v>1451630000</v>
      </c>
      <c r="BY134">
        <v>2019</v>
      </c>
    </row>
    <row r="135" spans="1:78" hidden="1" x14ac:dyDescent="0.25">
      <c r="A135" t="s">
        <v>1691</v>
      </c>
      <c r="B135" t="s">
        <v>108</v>
      </c>
      <c r="C135" s="38">
        <v>0</v>
      </c>
      <c r="D135" t="s">
        <v>633</v>
      </c>
      <c r="E135">
        <f t="shared" si="5"/>
        <v>2110</v>
      </c>
      <c r="F135" t="str">
        <f t="shared" si="6"/>
        <v/>
      </c>
      <c r="L135" t="s">
        <v>1692</v>
      </c>
      <c r="M135" t="s">
        <v>1693</v>
      </c>
      <c r="N135" t="s">
        <v>1691</v>
      </c>
      <c r="O135" t="s">
        <v>108</v>
      </c>
      <c r="P135" t="s">
        <v>790</v>
      </c>
      <c r="Q135" t="s">
        <v>40</v>
      </c>
      <c r="S135" t="s">
        <v>606</v>
      </c>
      <c r="U135" t="s">
        <v>625</v>
      </c>
      <c r="V135">
        <v>20</v>
      </c>
      <c r="W135">
        <v>2015</v>
      </c>
      <c r="AC135">
        <v>2030</v>
      </c>
      <c r="AD135" t="s">
        <v>8</v>
      </c>
      <c r="AE135">
        <v>2020</v>
      </c>
      <c r="AF135" t="s">
        <v>17</v>
      </c>
      <c r="AO135" t="s">
        <v>1694</v>
      </c>
      <c r="AQ135" t="s">
        <v>1695</v>
      </c>
      <c r="AR135" t="s">
        <v>1696</v>
      </c>
      <c r="AS135" t="s">
        <v>633</v>
      </c>
      <c r="AU135" t="s">
        <v>606</v>
      </c>
      <c r="AV135" t="s">
        <v>606</v>
      </c>
      <c r="AW135" t="s">
        <v>606</v>
      </c>
      <c r="BA135" t="s">
        <v>606</v>
      </c>
      <c r="BB135" t="s">
        <v>1697</v>
      </c>
      <c r="BC135" t="s">
        <v>615</v>
      </c>
      <c r="BD135" t="s">
        <v>1502</v>
      </c>
      <c r="BE135" t="s">
        <v>614</v>
      </c>
      <c r="BF135" t="s">
        <v>615</v>
      </c>
      <c r="BG135" t="s">
        <v>615</v>
      </c>
      <c r="BH135" t="s">
        <v>1698</v>
      </c>
      <c r="BI135" t="s">
        <v>615</v>
      </c>
      <c r="BJ135" t="s">
        <v>715</v>
      </c>
      <c r="BM135" t="s">
        <v>606</v>
      </c>
      <c r="BN135" t="s">
        <v>617</v>
      </c>
      <c r="BO135" t="s">
        <v>1699</v>
      </c>
      <c r="BQ135">
        <v>26774930286.987999</v>
      </c>
      <c r="BS135">
        <v>445373</v>
      </c>
      <c r="BX135">
        <v>9630000</v>
      </c>
      <c r="BY135">
        <v>2019</v>
      </c>
    </row>
    <row r="136" spans="1:78" hidden="1" x14ac:dyDescent="0.25">
      <c r="A136" t="s">
        <v>105</v>
      </c>
      <c r="B136" t="s">
        <v>104</v>
      </c>
      <c r="C136" s="38">
        <v>0</v>
      </c>
      <c r="D136" t="s">
        <v>633</v>
      </c>
      <c r="E136">
        <f t="shared" si="5"/>
        <v>2110</v>
      </c>
      <c r="F136" t="str">
        <f t="shared" si="6"/>
        <v/>
      </c>
      <c r="L136" t="s">
        <v>1700</v>
      </c>
      <c r="M136" t="s">
        <v>1701</v>
      </c>
      <c r="N136" t="s">
        <v>105</v>
      </c>
      <c r="O136" t="s">
        <v>104</v>
      </c>
      <c r="P136" t="s">
        <v>624</v>
      </c>
      <c r="Q136" t="s">
        <v>40</v>
      </c>
      <c r="S136" t="s">
        <v>606</v>
      </c>
      <c r="U136" t="s">
        <v>625</v>
      </c>
      <c r="V136">
        <v>15</v>
      </c>
      <c r="W136">
        <v>2010</v>
      </c>
      <c r="AC136">
        <v>2030</v>
      </c>
      <c r="AD136" t="s">
        <v>8</v>
      </c>
      <c r="AE136">
        <v>2016</v>
      </c>
      <c r="AF136" t="s">
        <v>17</v>
      </c>
      <c r="AO136" t="s">
        <v>1702</v>
      </c>
      <c r="AQ136" t="s">
        <v>1703</v>
      </c>
      <c r="AR136" t="s">
        <v>1704</v>
      </c>
      <c r="AS136" t="s">
        <v>633</v>
      </c>
      <c r="AU136" t="s">
        <v>602</v>
      </c>
      <c r="AV136" t="s">
        <v>602</v>
      </c>
      <c r="AW136" t="s">
        <v>602</v>
      </c>
      <c r="BB136" t="s">
        <v>1705</v>
      </c>
      <c r="BC136" t="s">
        <v>615</v>
      </c>
      <c r="BD136" t="s">
        <v>829</v>
      </c>
      <c r="BE136" t="s">
        <v>674</v>
      </c>
      <c r="BF136" t="s">
        <v>606</v>
      </c>
      <c r="BG136" t="s">
        <v>615</v>
      </c>
      <c r="BH136" t="s">
        <v>1706</v>
      </c>
      <c r="BI136" t="s">
        <v>602</v>
      </c>
      <c r="BM136" t="s">
        <v>606</v>
      </c>
      <c r="BN136" t="s">
        <v>602</v>
      </c>
      <c r="BQ136">
        <v>38413025239.945999</v>
      </c>
      <c r="BS136">
        <v>2588423</v>
      </c>
      <c r="BX136">
        <v>52340000</v>
      </c>
      <c r="BY136">
        <v>2019</v>
      </c>
    </row>
    <row r="137" spans="1:78" hidden="1" x14ac:dyDescent="0.25">
      <c r="A137" t="s">
        <v>1707</v>
      </c>
      <c r="B137" t="s">
        <v>146</v>
      </c>
      <c r="C137" s="38">
        <v>0</v>
      </c>
      <c r="D137" t="s">
        <v>633</v>
      </c>
      <c r="E137">
        <f t="shared" si="5"/>
        <v>2110</v>
      </c>
      <c r="F137" t="str">
        <f t="shared" si="6"/>
        <v/>
      </c>
      <c r="L137" t="s">
        <v>1708</v>
      </c>
      <c r="M137" t="s">
        <v>1709</v>
      </c>
      <c r="N137" t="s">
        <v>1707</v>
      </c>
      <c r="O137" t="s">
        <v>146</v>
      </c>
      <c r="P137" t="s">
        <v>624</v>
      </c>
      <c r="Q137" t="s">
        <v>40</v>
      </c>
      <c r="S137" t="s">
        <v>606</v>
      </c>
      <c r="U137" t="s">
        <v>608</v>
      </c>
      <c r="V137">
        <v>30.41</v>
      </c>
      <c r="Z137">
        <v>37</v>
      </c>
      <c r="AA137">
        <v>52.86</v>
      </c>
      <c r="AC137">
        <v>2030</v>
      </c>
      <c r="AD137" t="s">
        <v>10</v>
      </c>
      <c r="AE137">
        <v>2022</v>
      </c>
      <c r="AF137" t="s">
        <v>17</v>
      </c>
      <c r="AO137" t="s">
        <v>1710</v>
      </c>
      <c r="AQ137" t="s">
        <v>1711</v>
      </c>
      <c r="AR137" t="s">
        <v>1712</v>
      </c>
      <c r="AS137" t="s">
        <v>633</v>
      </c>
      <c r="AU137" t="s">
        <v>602</v>
      </c>
      <c r="AV137" t="s">
        <v>602</v>
      </c>
      <c r="AW137" t="s">
        <v>602</v>
      </c>
      <c r="BB137" t="s">
        <v>1713</v>
      </c>
      <c r="BC137" t="s">
        <v>606</v>
      </c>
      <c r="BE137" t="s">
        <v>614</v>
      </c>
      <c r="BF137" t="s">
        <v>615</v>
      </c>
      <c r="BG137" t="s">
        <v>602</v>
      </c>
      <c r="BH137" t="s">
        <v>1714</v>
      </c>
      <c r="BI137" t="s">
        <v>602</v>
      </c>
      <c r="BN137" t="s">
        <v>602</v>
      </c>
      <c r="BQ137">
        <v>146270621620.48001</v>
      </c>
      <c r="BS137">
        <v>27478249</v>
      </c>
      <c r="BX137">
        <v>51510000</v>
      </c>
      <c r="BY137">
        <v>2019</v>
      </c>
    </row>
    <row r="138" spans="1:78" hidden="1" x14ac:dyDescent="0.25">
      <c r="A138" t="s">
        <v>119</v>
      </c>
      <c r="B138" t="s">
        <v>118</v>
      </c>
      <c r="C138" s="38">
        <v>0</v>
      </c>
      <c r="D138" t="s">
        <v>633</v>
      </c>
      <c r="E138">
        <f t="shared" si="5"/>
        <v>2110</v>
      </c>
      <c r="F138" t="str">
        <f t="shared" si="6"/>
        <v/>
      </c>
      <c r="L138" t="s">
        <v>1715</v>
      </c>
      <c r="M138" t="s">
        <v>1716</v>
      </c>
      <c r="N138" t="s">
        <v>119</v>
      </c>
      <c r="O138" t="s">
        <v>118</v>
      </c>
      <c r="P138" t="s">
        <v>624</v>
      </c>
      <c r="Q138" t="s">
        <v>40</v>
      </c>
      <c r="S138" t="s">
        <v>606</v>
      </c>
      <c r="U138" t="s">
        <v>608</v>
      </c>
      <c r="V138">
        <v>35</v>
      </c>
      <c r="Z138">
        <v>76.825000000000003</v>
      </c>
      <c r="AA138">
        <v>119.084</v>
      </c>
      <c r="AC138">
        <v>2030</v>
      </c>
      <c r="AD138" t="s">
        <v>8</v>
      </c>
      <c r="AE138">
        <v>2021</v>
      </c>
      <c r="AF138" t="s">
        <v>17</v>
      </c>
      <c r="AO138" t="s">
        <v>1717</v>
      </c>
      <c r="AQ138" t="s">
        <v>1718</v>
      </c>
      <c r="AR138" t="s">
        <v>1719</v>
      </c>
      <c r="AS138" t="s">
        <v>633</v>
      </c>
      <c r="AU138" t="s">
        <v>602</v>
      </c>
      <c r="AV138" t="s">
        <v>602</v>
      </c>
      <c r="AW138" t="s">
        <v>602</v>
      </c>
      <c r="BA138" t="s">
        <v>606</v>
      </c>
      <c r="BE138" t="s">
        <v>630</v>
      </c>
      <c r="BF138" t="s">
        <v>606</v>
      </c>
      <c r="BG138" t="s">
        <v>602</v>
      </c>
      <c r="BI138" t="s">
        <v>602</v>
      </c>
      <c r="BM138" t="s">
        <v>606</v>
      </c>
      <c r="BN138" t="s">
        <v>602</v>
      </c>
      <c r="BQ138">
        <v>100721476466.53999</v>
      </c>
      <c r="BS138">
        <v>27198628</v>
      </c>
      <c r="BX138">
        <v>124790000</v>
      </c>
      <c r="BY138">
        <v>2021</v>
      </c>
    </row>
    <row r="139" spans="1:78" hidden="1" x14ac:dyDescent="0.25">
      <c r="A139" t="s">
        <v>151</v>
      </c>
      <c r="B139" t="s">
        <v>150</v>
      </c>
      <c r="C139" s="38">
        <v>0</v>
      </c>
      <c r="D139" t="s">
        <v>633</v>
      </c>
      <c r="E139">
        <f t="shared" si="5"/>
        <v>2110</v>
      </c>
      <c r="F139" t="str">
        <f t="shared" si="6"/>
        <v/>
      </c>
      <c r="L139" t="s">
        <v>1720</v>
      </c>
      <c r="M139" t="s">
        <v>1721</v>
      </c>
      <c r="N139" t="s">
        <v>151</v>
      </c>
      <c r="O139" t="s">
        <v>150</v>
      </c>
      <c r="P139" t="s">
        <v>636</v>
      </c>
      <c r="Q139" t="s">
        <v>40</v>
      </c>
      <c r="S139" t="s">
        <v>606</v>
      </c>
      <c r="U139" t="s">
        <v>518</v>
      </c>
      <c r="AB139" t="s">
        <v>1722</v>
      </c>
      <c r="AC139">
        <v>2030</v>
      </c>
      <c r="AD139" t="s">
        <v>8</v>
      </c>
      <c r="AE139">
        <v>2020</v>
      </c>
      <c r="AF139" t="s">
        <v>17</v>
      </c>
      <c r="AR139" t="s">
        <v>1723</v>
      </c>
      <c r="AS139" t="s">
        <v>633</v>
      </c>
      <c r="AU139" t="s">
        <v>606</v>
      </c>
      <c r="AV139" t="s">
        <v>606</v>
      </c>
      <c r="AW139" t="s">
        <v>606</v>
      </c>
      <c r="BA139" t="s">
        <v>606</v>
      </c>
      <c r="BB139" t="s">
        <v>1724</v>
      </c>
      <c r="BC139" t="s">
        <v>615</v>
      </c>
      <c r="BD139" t="s">
        <v>1251</v>
      </c>
      <c r="BE139" t="s">
        <v>614</v>
      </c>
      <c r="BF139" t="s">
        <v>615</v>
      </c>
      <c r="BG139" t="s">
        <v>602</v>
      </c>
      <c r="BH139" t="s">
        <v>1725</v>
      </c>
      <c r="BI139" t="s">
        <v>615</v>
      </c>
      <c r="BJ139" t="s">
        <v>715</v>
      </c>
      <c r="BN139" t="s">
        <v>767</v>
      </c>
      <c r="BO139" t="s">
        <v>1726</v>
      </c>
      <c r="BS139">
        <v>11256373</v>
      </c>
      <c r="BX139">
        <v>38190000</v>
      </c>
      <c r="BY139">
        <v>2019</v>
      </c>
    </row>
    <row r="140" spans="1:78" hidden="1" x14ac:dyDescent="0.25">
      <c r="A140" t="s">
        <v>125</v>
      </c>
      <c r="B140" t="s">
        <v>124</v>
      </c>
      <c r="C140" s="38">
        <v>0</v>
      </c>
      <c r="D140" t="s">
        <v>633</v>
      </c>
      <c r="E140">
        <f t="shared" si="5"/>
        <v>2110</v>
      </c>
      <c r="F140" t="str">
        <f t="shared" si="6"/>
        <v/>
      </c>
      <c r="L140" t="s">
        <v>1727</v>
      </c>
      <c r="M140" t="s">
        <v>1728</v>
      </c>
      <c r="N140" t="s">
        <v>125</v>
      </c>
      <c r="O140" t="s">
        <v>124</v>
      </c>
      <c r="P140" t="s">
        <v>636</v>
      </c>
      <c r="Q140" t="s">
        <v>40</v>
      </c>
      <c r="S140" t="s">
        <v>606</v>
      </c>
      <c r="U140" t="s">
        <v>518</v>
      </c>
      <c r="AB140" t="s">
        <v>1729</v>
      </c>
      <c r="AC140">
        <v>2040</v>
      </c>
      <c r="AD140" t="s">
        <v>8</v>
      </c>
      <c r="AE140">
        <v>2011</v>
      </c>
      <c r="AF140" t="s">
        <v>17</v>
      </c>
      <c r="AO140" t="s">
        <v>1730</v>
      </c>
      <c r="AQ140" t="s">
        <v>1731</v>
      </c>
      <c r="AR140" t="s">
        <v>1732</v>
      </c>
      <c r="AS140" t="s">
        <v>633</v>
      </c>
      <c r="AU140" t="s">
        <v>602</v>
      </c>
      <c r="AV140" t="s">
        <v>602</v>
      </c>
      <c r="AW140" t="s">
        <v>602</v>
      </c>
      <c r="BA140" t="s">
        <v>606</v>
      </c>
      <c r="BB140" t="s">
        <v>1733</v>
      </c>
      <c r="BC140" t="s">
        <v>615</v>
      </c>
      <c r="BD140" t="s">
        <v>1079</v>
      </c>
      <c r="BE140" t="s">
        <v>674</v>
      </c>
      <c r="BF140" t="s">
        <v>615</v>
      </c>
      <c r="BG140" t="s">
        <v>602</v>
      </c>
      <c r="BH140" t="s">
        <v>1734</v>
      </c>
      <c r="BI140" t="s">
        <v>602</v>
      </c>
      <c r="BM140" t="s">
        <v>606</v>
      </c>
      <c r="BN140" t="s">
        <v>767</v>
      </c>
      <c r="BO140" t="s">
        <v>1735</v>
      </c>
      <c r="BQ140">
        <v>4782361653</v>
      </c>
      <c r="BS140">
        <v>68136</v>
      </c>
      <c r="BZ140" t="s">
        <v>615</v>
      </c>
    </row>
    <row r="141" spans="1:78" hidden="1" x14ac:dyDescent="0.25">
      <c r="A141" t="s">
        <v>59</v>
      </c>
      <c r="B141" t="s">
        <v>58</v>
      </c>
      <c r="C141" s="38">
        <v>0</v>
      </c>
      <c r="D141" t="s">
        <v>633</v>
      </c>
      <c r="E141">
        <f t="shared" si="5"/>
        <v>2110</v>
      </c>
      <c r="F141" t="str">
        <f t="shared" si="6"/>
        <v/>
      </c>
      <c r="L141" t="s">
        <v>1736</v>
      </c>
      <c r="M141" t="s">
        <v>1737</v>
      </c>
      <c r="N141" t="s">
        <v>59</v>
      </c>
      <c r="O141" t="s">
        <v>58</v>
      </c>
      <c r="P141" t="s">
        <v>624</v>
      </c>
      <c r="Q141" t="s">
        <v>40</v>
      </c>
      <c r="S141" t="s">
        <v>606</v>
      </c>
      <c r="U141" t="s">
        <v>608</v>
      </c>
      <c r="V141">
        <v>7</v>
      </c>
      <c r="Z141">
        <v>168</v>
      </c>
      <c r="AA141">
        <v>180.6</v>
      </c>
      <c r="AC141">
        <v>2030</v>
      </c>
      <c r="AD141" t="s">
        <v>8</v>
      </c>
      <c r="AE141">
        <v>2015</v>
      </c>
      <c r="AF141" t="s">
        <v>17</v>
      </c>
      <c r="AO141" t="s">
        <v>1738</v>
      </c>
      <c r="AQ141" t="s">
        <v>1739</v>
      </c>
      <c r="AR141" t="s">
        <v>1740</v>
      </c>
      <c r="AS141" t="s">
        <v>633</v>
      </c>
      <c r="AU141" t="s">
        <v>606</v>
      </c>
      <c r="AV141" t="s">
        <v>606</v>
      </c>
      <c r="AW141" t="s">
        <v>606</v>
      </c>
      <c r="BA141" t="s">
        <v>606</v>
      </c>
      <c r="BB141" t="s">
        <v>1741</v>
      </c>
      <c r="BC141" t="s">
        <v>615</v>
      </c>
      <c r="BD141" t="s">
        <v>1015</v>
      </c>
      <c r="BE141" t="s">
        <v>630</v>
      </c>
      <c r="BF141" t="s">
        <v>615</v>
      </c>
      <c r="BG141" t="s">
        <v>602</v>
      </c>
      <c r="BH141" t="s">
        <v>1742</v>
      </c>
      <c r="BI141" t="s">
        <v>602</v>
      </c>
      <c r="BM141" t="s">
        <v>606</v>
      </c>
      <c r="BN141" t="s">
        <v>602</v>
      </c>
      <c r="BQ141">
        <v>488871506301.40002</v>
      </c>
      <c r="BS141">
        <v>44177969</v>
      </c>
      <c r="BX141">
        <v>282230000</v>
      </c>
      <c r="BY141">
        <v>2019</v>
      </c>
    </row>
    <row r="142" spans="1:78" hidden="1" x14ac:dyDescent="0.25">
      <c r="A142" t="s">
        <v>167</v>
      </c>
      <c r="B142" t="s">
        <v>166</v>
      </c>
      <c r="C142" s="38">
        <v>0</v>
      </c>
      <c r="D142" t="s">
        <v>633</v>
      </c>
      <c r="E142">
        <f t="shared" si="5"/>
        <v>2110</v>
      </c>
      <c r="F142" t="str">
        <f t="shared" si="6"/>
        <v/>
      </c>
      <c r="L142" t="s">
        <v>1743</v>
      </c>
      <c r="M142" t="s">
        <v>1744</v>
      </c>
      <c r="N142" t="s">
        <v>167</v>
      </c>
      <c r="O142" t="s">
        <v>166</v>
      </c>
      <c r="P142" t="s">
        <v>624</v>
      </c>
      <c r="Q142" t="s">
        <v>40</v>
      </c>
      <c r="S142" t="s">
        <v>606</v>
      </c>
      <c r="U142" t="s">
        <v>518</v>
      </c>
      <c r="AB142" t="s">
        <v>1745</v>
      </c>
      <c r="AC142">
        <v>2030</v>
      </c>
      <c r="AD142" t="s">
        <v>8</v>
      </c>
      <c r="AE142">
        <v>2022</v>
      </c>
      <c r="AF142" t="s">
        <v>17</v>
      </c>
      <c r="AO142" t="s">
        <v>1746</v>
      </c>
      <c r="AQ142" t="s">
        <v>1747</v>
      </c>
      <c r="AR142" t="s">
        <v>1748</v>
      </c>
      <c r="AS142" t="s">
        <v>633</v>
      </c>
      <c r="AU142" t="s">
        <v>602</v>
      </c>
      <c r="AV142" t="s">
        <v>615</v>
      </c>
      <c r="AW142" t="s">
        <v>602</v>
      </c>
      <c r="BA142" t="s">
        <v>606</v>
      </c>
      <c r="BB142" t="s">
        <v>1749</v>
      </c>
      <c r="BC142" t="s">
        <v>615</v>
      </c>
      <c r="BD142" t="s">
        <v>1251</v>
      </c>
      <c r="BE142" t="s">
        <v>614</v>
      </c>
      <c r="BF142" t="s">
        <v>615</v>
      </c>
      <c r="BG142" t="s">
        <v>602</v>
      </c>
      <c r="BH142" t="s">
        <v>1750</v>
      </c>
      <c r="BI142" t="s">
        <v>602</v>
      </c>
      <c r="BM142" t="s">
        <v>606</v>
      </c>
      <c r="BN142" t="s">
        <v>602</v>
      </c>
      <c r="BQ142">
        <v>1263731775435.1001</v>
      </c>
      <c r="BS142">
        <v>109262178</v>
      </c>
      <c r="BX142">
        <v>351960000</v>
      </c>
      <c r="BY142">
        <v>2019</v>
      </c>
    </row>
    <row r="143" spans="1:78" x14ac:dyDescent="0.25">
      <c r="A143" t="s">
        <v>197</v>
      </c>
      <c r="B143" t="s">
        <v>196</v>
      </c>
      <c r="C143">
        <v>3</v>
      </c>
      <c r="D143" t="s">
        <v>633</v>
      </c>
      <c r="E143">
        <f t="shared" si="5"/>
        <v>2050</v>
      </c>
      <c r="F143">
        <f t="shared" si="6"/>
        <v>2050</v>
      </c>
      <c r="L143" t="s">
        <v>1751</v>
      </c>
      <c r="M143" t="s">
        <v>1752</v>
      </c>
      <c r="N143" t="s">
        <v>197</v>
      </c>
      <c r="O143" t="s">
        <v>196</v>
      </c>
      <c r="P143" t="s">
        <v>605</v>
      </c>
      <c r="Q143" t="s">
        <v>40</v>
      </c>
      <c r="S143" t="s">
        <v>606</v>
      </c>
      <c r="U143" t="s">
        <v>666</v>
      </c>
      <c r="AC143">
        <v>2050</v>
      </c>
      <c r="AD143" t="s">
        <v>8</v>
      </c>
      <c r="AE143">
        <v>2023</v>
      </c>
      <c r="AF143" t="s">
        <v>625</v>
      </c>
      <c r="AG143">
        <v>47</v>
      </c>
      <c r="AH143">
        <v>1990</v>
      </c>
      <c r="AN143">
        <v>2030</v>
      </c>
      <c r="AO143" t="s">
        <v>1753</v>
      </c>
      <c r="AP143" t="s">
        <v>1754</v>
      </c>
      <c r="AQ143" t="s">
        <v>1755</v>
      </c>
      <c r="AR143" t="s">
        <v>1756</v>
      </c>
      <c r="AS143" t="s">
        <v>633</v>
      </c>
      <c r="AU143" t="s">
        <v>606</v>
      </c>
      <c r="AV143" t="s">
        <v>606</v>
      </c>
      <c r="AW143" t="s">
        <v>606</v>
      </c>
      <c r="BA143" t="s">
        <v>606</v>
      </c>
      <c r="BB143" t="s">
        <v>1757</v>
      </c>
      <c r="BC143" t="s">
        <v>615</v>
      </c>
      <c r="BD143" t="s">
        <v>1015</v>
      </c>
      <c r="BE143" t="s">
        <v>614</v>
      </c>
      <c r="BF143" t="s">
        <v>615</v>
      </c>
      <c r="BG143" t="s">
        <v>602</v>
      </c>
      <c r="BH143" t="s">
        <v>1758</v>
      </c>
      <c r="BI143" t="s">
        <v>602</v>
      </c>
      <c r="BM143" t="s">
        <v>606</v>
      </c>
      <c r="BN143" t="s">
        <v>617</v>
      </c>
      <c r="BO143" t="s">
        <v>1759</v>
      </c>
      <c r="BQ143">
        <v>57378557016.936996</v>
      </c>
      <c r="BS143">
        <v>3757980</v>
      </c>
      <c r="BX143">
        <v>17640000</v>
      </c>
      <c r="BY143">
        <v>2019</v>
      </c>
    </row>
    <row r="144" spans="1:78" x14ac:dyDescent="0.25">
      <c r="A144" t="s">
        <v>201</v>
      </c>
      <c r="B144" t="s">
        <v>200</v>
      </c>
      <c r="C144">
        <v>2</v>
      </c>
      <c r="D144" t="s">
        <v>633</v>
      </c>
      <c r="E144">
        <f t="shared" si="5"/>
        <v>2070</v>
      </c>
      <c r="F144">
        <f t="shared" si="6"/>
        <v>2070</v>
      </c>
      <c r="L144" t="s">
        <v>1760</v>
      </c>
      <c r="M144" t="s">
        <v>1761</v>
      </c>
      <c r="N144" t="s">
        <v>201</v>
      </c>
      <c r="O144" t="s">
        <v>200</v>
      </c>
      <c r="P144" t="s">
        <v>624</v>
      </c>
      <c r="Q144" t="s">
        <v>40</v>
      </c>
      <c r="S144" t="s">
        <v>606</v>
      </c>
      <c r="U144" t="s">
        <v>607</v>
      </c>
      <c r="AC144">
        <v>2070</v>
      </c>
      <c r="AD144" t="s">
        <v>10</v>
      </c>
      <c r="AE144">
        <v>2022</v>
      </c>
      <c r="AF144" t="s">
        <v>780</v>
      </c>
      <c r="AH144">
        <v>2019</v>
      </c>
      <c r="AJ144">
        <v>58.8</v>
      </c>
      <c r="AK144">
        <v>64</v>
      </c>
      <c r="AN144">
        <v>2030</v>
      </c>
      <c r="AO144" t="s">
        <v>1762</v>
      </c>
      <c r="AP144" t="s">
        <v>1763</v>
      </c>
      <c r="AQ144" t="s">
        <v>1764</v>
      </c>
      <c r="AR144" t="s">
        <v>1765</v>
      </c>
      <c r="AS144" t="s">
        <v>633</v>
      </c>
      <c r="AU144" t="s">
        <v>602</v>
      </c>
      <c r="AV144" t="s">
        <v>602</v>
      </c>
      <c r="AW144" t="s">
        <v>602</v>
      </c>
      <c r="BA144" t="s">
        <v>606</v>
      </c>
      <c r="BB144" t="s">
        <v>1766</v>
      </c>
      <c r="BC144" t="s">
        <v>606</v>
      </c>
      <c r="BE144" t="s">
        <v>614</v>
      </c>
      <c r="BF144" t="s">
        <v>615</v>
      </c>
      <c r="BG144" t="s">
        <v>602</v>
      </c>
      <c r="BH144" t="s">
        <v>1767</v>
      </c>
      <c r="BI144" t="s">
        <v>615</v>
      </c>
      <c r="BJ144" t="s">
        <v>1199</v>
      </c>
      <c r="BL144" t="s">
        <v>1768</v>
      </c>
      <c r="BM144" t="s">
        <v>606</v>
      </c>
      <c r="BN144" t="s">
        <v>617</v>
      </c>
      <c r="BO144" t="s">
        <v>1769</v>
      </c>
      <c r="BP144" t="s">
        <v>619</v>
      </c>
      <c r="BQ144">
        <v>178455327397.32001</v>
      </c>
      <c r="BS144">
        <v>32833032</v>
      </c>
      <c r="BX144">
        <v>12750000</v>
      </c>
      <c r="BY144">
        <v>2019</v>
      </c>
    </row>
    <row r="145" spans="1:78" hidden="1" x14ac:dyDescent="0.25">
      <c r="A145" t="s">
        <v>171</v>
      </c>
      <c r="B145" t="s">
        <v>170</v>
      </c>
      <c r="C145" s="38">
        <v>0</v>
      </c>
      <c r="D145" t="s">
        <v>633</v>
      </c>
      <c r="E145">
        <f t="shared" si="5"/>
        <v>2110</v>
      </c>
      <c r="F145" t="str">
        <f t="shared" si="6"/>
        <v/>
      </c>
      <c r="L145" t="s">
        <v>1770</v>
      </c>
      <c r="M145" t="s">
        <v>1771</v>
      </c>
      <c r="N145" t="s">
        <v>171</v>
      </c>
      <c r="O145" t="s">
        <v>170</v>
      </c>
      <c r="P145" t="s">
        <v>624</v>
      </c>
      <c r="Q145" t="s">
        <v>40</v>
      </c>
      <c r="S145" t="s">
        <v>606</v>
      </c>
      <c r="U145" t="s">
        <v>625</v>
      </c>
      <c r="V145">
        <v>50</v>
      </c>
      <c r="W145">
        <v>2010</v>
      </c>
      <c r="AC145">
        <v>2050</v>
      </c>
      <c r="AD145" t="s">
        <v>8</v>
      </c>
      <c r="AE145">
        <v>2018</v>
      </c>
      <c r="AF145" t="s">
        <v>625</v>
      </c>
      <c r="AG145">
        <v>20</v>
      </c>
      <c r="AH145">
        <v>2010</v>
      </c>
      <c r="AN145">
        <v>2030</v>
      </c>
      <c r="AO145" t="s">
        <v>1772</v>
      </c>
      <c r="AP145" t="s">
        <v>1772</v>
      </c>
      <c r="AQ145" t="s">
        <v>1773</v>
      </c>
      <c r="AR145" t="s">
        <v>1774</v>
      </c>
      <c r="AS145" t="s">
        <v>633</v>
      </c>
      <c r="AU145" t="s">
        <v>602</v>
      </c>
      <c r="AV145" t="s">
        <v>602</v>
      </c>
      <c r="AW145" t="s">
        <v>602</v>
      </c>
      <c r="BA145" t="s">
        <v>606</v>
      </c>
      <c r="BB145" t="s">
        <v>1775</v>
      </c>
      <c r="BC145" t="s">
        <v>615</v>
      </c>
      <c r="BD145" t="s">
        <v>1015</v>
      </c>
      <c r="BE145" t="s">
        <v>614</v>
      </c>
      <c r="BF145" t="s">
        <v>606</v>
      </c>
      <c r="BG145" t="s">
        <v>602</v>
      </c>
      <c r="BI145" t="s">
        <v>602</v>
      </c>
      <c r="BN145" t="s">
        <v>676</v>
      </c>
      <c r="BO145" t="s">
        <v>1776</v>
      </c>
      <c r="BQ145">
        <v>23923688215.331001</v>
      </c>
      <c r="BS145">
        <v>1634466</v>
      </c>
      <c r="BX145">
        <v>15240000</v>
      </c>
      <c r="BY145">
        <v>2019</v>
      </c>
    </row>
    <row r="146" spans="1:78" hidden="1" x14ac:dyDescent="0.25">
      <c r="A146" t="s">
        <v>213</v>
      </c>
      <c r="B146" t="s">
        <v>212</v>
      </c>
      <c r="C146" s="38">
        <v>0</v>
      </c>
      <c r="D146" t="s">
        <v>633</v>
      </c>
      <c r="E146">
        <f t="shared" si="5"/>
        <v>2110</v>
      </c>
      <c r="F146" t="str">
        <f t="shared" si="6"/>
        <v/>
      </c>
      <c r="L146" t="s">
        <v>1777</v>
      </c>
      <c r="M146" t="s">
        <v>1778</v>
      </c>
      <c r="N146" t="s">
        <v>213</v>
      </c>
      <c r="O146" t="s">
        <v>212</v>
      </c>
      <c r="P146" t="s">
        <v>636</v>
      </c>
      <c r="Q146" t="s">
        <v>40</v>
      </c>
      <c r="S146" t="s">
        <v>606</v>
      </c>
      <c r="U146" t="s">
        <v>625</v>
      </c>
      <c r="V146">
        <v>11.2</v>
      </c>
      <c r="W146">
        <v>2015</v>
      </c>
      <c r="AC146">
        <v>2030</v>
      </c>
      <c r="AD146" t="s">
        <v>667</v>
      </c>
      <c r="AE146">
        <v>2020</v>
      </c>
      <c r="AF146" t="s">
        <v>17</v>
      </c>
      <c r="AO146" t="s">
        <v>1779</v>
      </c>
      <c r="AQ146" t="s">
        <v>1780</v>
      </c>
      <c r="AR146" t="s">
        <v>1781</v>
      </c>
      <c r="AS146" t="s">
        <v>633</v>
      </c>
      <c r="AU146" t="s">
        <v>602</v>
      </c>
      <c r="AV146" t="s">
        <v>602</v>
      </c>
      <c r="AW146" t="s">
        <v>602</v>
      </c>
      <c r="BA146" t="s">
        <v>606</v>
      </c>
      <c r="BB146" t="s">
        <v>1782</v>
      </c>
      <c r="BC146" t="s">
        <v>615</v>
      </c>
      <c r="BD146" t="s">
        <v>917</v>
      </c>
      <c r="BE146" t="s">
        <v>614</v>
      </c>
      <c r="BF146" t="s">
        <v>615</v>
      </c>
      <c r="BG146" t="s">
        <v>606</v>
      </c>
      <c r="BH146" t="s">
        <v>1783</v>
      </c>
      <c r="BI146" t="s">
        <v>602</v>
      </c>
      <c r="BM146" t="s">
        <v>606</v>
      </c>
      <c r="BN146" t="s">
        <v>602</v>
      </c>
      <c r="BQ146">
        <v>152148137270.76001</v>
      </c>
      <c r="BS146">
        <v>16291004</v>
      </c>
      <c r="BX146">
        <v>35810000</v>
      </c>
      <c r="BY146">
        <v>2016</v>
      </c>
    </row>
    <row r="147" spans="1:78" hidden="1" x14ac:dyDescent="0.25">
      <c r="A147" t="s">
        <v>223</v>
      </c>
      <c r="B147" t="s">
        <v>222</v>
      </c>
      <c r="C147" s="38">
        <v>0</v>
      </c>
      <c r="D147" t="s">
        <v>633</v>
      </c>
      <c r="E147">
        <f t="shared" si="5"/>
        <v>2110</v>
      </c>
      <c r="F147" t="str">
        <f t="shared" si="6"/>
        <v/>
      </c>
      <c r="L147" t="s">
        <v>1784</v>
      </c>
      <c r="M147" t="s">
        <v>1785</v>
      </c>
      <c r="N147" t="s">
        <v>223</v>
      </c>
      <c r="O147" t="s">
        <v>222</v>
      </c>
      <c r="P147" t="s">
        <v>636</v>
      </c>
      <c r="Q147" t="s">
        <v>40</v>
      </c>
      <c r="S147" t="s">
        <v>606</v>
      </c>
      <c r="U147" t="s">
        <v>608</v>
      </c>
      <c r="V147">
        <v>16</v>
      </c>
      <c r="Z147">
        <v>28.945</v>
      </c>
      <c r="AA147">
        <v>33.576000000000001</v>
      </c>
      <c r="AC147">
        <v>2030</v>
      </c>
      <c r="AD147" t="s">
        <v>8</v>
      </c>
      <c r="AE147">
        <v>2021</v>
      </c>
      <c r="AF147" t="s">
        <v>17</v>
      </c>
      <c r="AO147" t="s">
        <v>1786</v>
      </c>
      <c r="AQ147" t="s">
        <v>1787</v>
      </c>
      <c r="AR147" t="s">
        <v>1787</v>
      </c>
      <c r="AS147" t="s">
        <v>633</v>
      </c>
      <c r="AU147" t="s">
        <v>602</v>
      </c>
      <c r="AV147" t="s">
        <v>602</v>
      </c>
      <c r="AW147" t="s">
        <v>602</v>
      </c>
      <c r="BC147" t="s">
        <v>615</v>
      </c>
      <c r="BD147" t="s">
        <v>844</v>
      </c>
      <c r="BE147" t="s">
        <v>614</v>
      </c>
      <c r="BG147" t="s">
        <v>602</v>
      </c>
      <c r="BI147" t="s">
        <v>602</v>
      </c>
      <c r="BN147" t="s">
        <v>602</v>
      </c>
      <c r="BQ147">
        <v>57272757483.992996</v>
      </c>
      <c r="BS147">
        <v>10278346</v>
      </c>
      <c r="BX147">
        <v>28140000</v>
      </c>
      <c r="BY147">
        <v>2019</v>
      </c>
    </row>
    <row r="148" spans="1:78" x14ac:dyDescent="0.25">
      <c r="A148" t="s">
        <v>233</v>
      </c>
      <c r="B148" t="s">
        <v>232</v>
      </c>
      <c r="C148" s="554">
        <v>2</v>
      </c>
      <c r="D148" t="s">
        <v>602</v>
      </c>
      <c r="E148">
        <f t="shared" si="5"/>
        <v>2060</v>
      </c>
      <c r="F148">
        <f t="shared" si="6"/>
        <v>2075</v>
      </c>
      <c r="L148" t="s">
        <v>1788</v>
      </c>
      <c r="M148" t="s">
        <v>1789</v>
      </c>
      <c r="N148" t="s">
        <v>233</v>
      </c>
      <c r="O148" t="s">
        <v>232</v>
      </c>
      <c r="P148" t="s">
        <v>790</v>
      </c>
      <c r="Q148" t="s">
        <v>40</v>
      </c>
      <c r="S148" t="s">
        <v>606</v>
      </c>
      <c r="U148" t="s">
        <v>607</v>
      </c>
      <c r="AC148">
        <v>2060</v>
      </c>
      <c r="AD148" t="s">
        <v>12</v>
      </c>
      <c r="AE148">
        <v>2021</v>
      </c>
      <c r="AF148" t="s">
        <v>625</v>
      </c>
      <c r="AG148">
        <v>29</v>
      </c>
      <c r="AH148">
        <v>2030</v>
      </c>
      <c r="AN148">
        <v>2030</v>
      </c>
      <c r="AO148" t="s">
        <v>1790</v>
      </c>
      <c r="AP148" t="s">
        <v>1791</v>
      </c>
      <c r="AQ148" t="s">
        <v>1792</v>
      </c>
      <c r="AR148" t="s">
        <v>1793</v>
      </c>
      <c r="AS148" t="s">
        <v>602</v>
      </c>
      <c r="AU148" t="s">
        <v>602</v>
      </c>
      <c r="AV148" t="s">
        <v>602</v>
      </c>
      <c r="AW148" t="s">
        <v>602</v>
      </c>
      <c r="BA148" t="s">
        <v>606</v>
      </c>
      <c r="BB148" t="s">
        <v>1794</v>
      </c>
      <c r="BC148" t="s">
        <v>615</v>
      </c>
      <c r="BD148" t="s">
        <v>1373</v>
      </c>
      <c r="BE148" t="s">
        <v>614</v>
      </c>
      <c r="BF148" t="s">
        <v>615</v>
      </c>
      <c r="BG148" t="s">
        <v>602</v>
      </c>
      <c r="BH148" t="s">
        <v>1795</v>
      </c>
      <c r="BI148" t="s">
        <v>602</v>
      </c>
      <c r="BM148" t="s">
        <v>606</v>
      </c>
      <c r="BN148" t="s">
        <v>676</v>
      </c>
      <c r="BO148" t="s">
        <v>1796</v>
      </c>
      <c r="BQ148">
        <v>3246205446906.6001</v>
      </c>
      <c r="BS148">
        <v>273753191</v>
      </c>
      <c r="BX148">
        <v>1959710000</v>
      </c>
      <c r="BY148">
        <v>2019</v>
      </c>
    </row>
    <row r="149" spans="1:78" x14ac:dyDescent="0.25">
      <c r="A149" t="s">
        <v>231</v>
      </c>
      <c r="B149" t="s">
        <v>230</v>
      </c>
      <c r="C149">
        <v>3</v>
      </c>
      <c r="D149" t="s">
        <v>602</v>
      </c>
      <c r="E149">
        <f t="shared" si="5"/>
        <v>2070</v>
      </c>
      <c r="F149">
        <f t="shared" si="6"/>
        <v>2085</v>
      </c>
      <c r="L149" t="s">
        <v>1797</v>
      </c>
      <c r="M149" t="s">
        <v>1798</v>
      </c>
      <c r="N149" t="s">
        <v>231</v>
      </c>
      <c r="O149" t="s">
        <v>230</v>
      </c>
      <c r="P149" t="s">
        <v>700</v>
      </c>
      <c r="Q149" t="s">
        <v>40</v>
      </c>
      <c r="S149" t="s">
        <v>606</v>
      </c>
      <c r="U149" t="s">
        <v>607</v>
      </c>
      <c r="AC149">
        <v>2070</v>
      </c>
      <c r="AD149" t="s">
        <v>8</v>
      </c>
      <c r="AE149">
        <v>2022</v>
      </c>
      <c r="AF149" t="s">
        <v>791</v>
      </c>
      <c r="AG149">
        <v>45</v>
      </c>
      <c r="AH149">
        <v>2005</v>
      </c>
      <c r="AI149" t="s">
        <v>1799</v>
      </c>
      <c r="AN149">
        <v>2030</v>
      </c>
      <c r="AO149" t="s">
        <v>1800</v>
      </c>
      <c r="AP149" t="s">
        <v>1801</v>
      </c>
      <c r="AQ149" t="s">
        <v>1802</v>
      </c>
      <c r="AR149" t="s">
        <v>1803</v>
      </c>
      <c r="AS149" t="s">
        <v>602</v>
      </c>
      <c r="AU149" t="s">
        <v>602</v>
      </c>
      <c r="AV149" t="s">
        <v>615</v>
      </c>
      <c r="AW149" t="s">
        <v>602</v>
      </c>
      <c r="BA149" t="s">
        <v>606</v>
      </c>
      <c r="BB149" t="s">
        <v>1804</v>
      </c>
      <c r="BC149" t="s">
        <v>606</v>
      </c>
      <c r="BE149" t="s">
        <v>614</v>
      </c>
      <c r="BF149" t="s">
        <v>615</v>
      </c>
      <c r="BG149" t="s">
        <v>602</v>
      </c>
      <c r="BI149" t="s">
        <v>602</v>
      </c>
      <c r="BM149" t="s">
        <v>615</v>
      </c>
      <c r="BN149" t="s">
        <v>617</v>
      </c>
      <c r="BO149" t="s">
        <v>1805</v>
      </c>
      <c r="BQ149">
        <v>9301492226683.8008</v>
      </c>
      <c r="BS149">
        <v>1407563842</v>
      </c>
      <c r="BX149">
        <v>3363590000</v>
      </c>
      <c r="BY149">
        <v>2019</v>
      </c>
      <c r="BZ149" t="s">
        <v>606</v>
      </c>
    </row>
    <row r="150" spans="1:78" hidden="1" x14ac:dyDescent="0.25">
      <c r="A150" t="s">
        <v>1806</v>
      </c>
      <c r="B150" t="s">
        <v>234</v>
      </c>
      <c r="C150" s="38">
        <v>0</v>
      </c>
      <c r="D150" t="s">
        <v>633</v>
      </c>
      <c r="E150">
        <f>IF(C150&gt;1,AC150,2110)</f>
        <v>2110</v>
      </c>
      <c r="F150" t="str">
        <f t="shared" si="6"/>
        <v/>
      </c>
      <c r="L150" t="s">
        <v>1807</v>
      </c>
      <c r="M150" t="s">
        <v>1808</v>
      </c>
      <c r="N150" t="s">
        <v>1806</v>
      </c>
      <c r="O150" t="s">
        <v>234</v>
      </c>
      <c r="P150" t="s">
        <v>605</v>
      </c>
      <c r="Q150" t="s">
        <v>40</v>
      </c>
      <c r="S150" t="s">
        <v>606</v>
      </c>
      <c r="U150" t="s">
        <v>518</v>
      </c>
      <c r="AB150" t="s">
        <v>1809</v>
      </c>
      <c r="AC150">
        <v>2030</v>
      </c>
      <c r="AD150" t="s">
        <v>667</v>
      </c>
      <c r="AE150">
        <v>2017</v>
      </c>
      <c r="AF150" t="s">
        <v>625</v>
      </c>
      <c r="AG150">
        <v>3.49</v>
      </c>
      <c r="AH150">
        <v>2017</v>
      </c>
      <c r="AN150">
        <v>2021</v>
      </c>
      <c r="AO150" t="s">
        <v>1810</v>
      </c>
      <c r="AP150" t="s">
        <v>1811</v>
      </c>
      <c r="AQ150" t="s">
        <v>1812</v>
      </c>
      <c r="AR150" t="s">
        <v>1813</v>
      </c>
      <c r="AS150" t="s">
        <v>633</v>
      </c>
      <c r="AU150" t="s">
        <v>615</v>
      </c>
      <c r="AV150" t="s">
        <v>606</v>
      </c>
      <c r="AW150" t="s">
        <v>606</v>
      </c>
      <c r="BA150" t="s">
        <v>615</v>
      </c>
      <c r="BB150" t="s">
        <v>1814</v>
      </c>
      <c r="BC150" t="s">
        <v>615</v>
      </c>
      <c r="BD150" t="s">
        <v>735</v>
      </c>
      <c r="BE150" t="s">
        <v>614</v>
      </c>
      <c r="BF150" t="s">
        <v>606</v>
      </c>
      <c r="BG150" t="s">
        <v>602</v>
      </c>
      <c r="BH150" t="s">
        <v>1815</v>
      </c>
      <c r="BI150" t="s">
        <v>602</v>
      </c>
      <c r="BM150" t="s">
        <v>606</v>
      </c>
      <c r="BN150" t="s">
        <v>767</v>
      </c>
      <c r="BO150" t="s">
        <v>1816</v>
      </c>
      <c r="BQ150">
        <v>1131039620719.1799</v>
      </c>
      <c r="BS150">
        <v>81790841</v>
      </c>
      <c r="BX150">
        <v>844140000</v>
      </c>
      <c r="BY150">
        <v>2015</v>
      </c>
    </row>
    <row r="151" spans="1:78" hidden="1" x14ac:dyDescent="0.25">
      <c r="A151" t="s">
        <v>237</v>
      </c>
      <c r="B151" t="s">
        <v>236</v>
      </c>
      <c r="C151" s="38">
        <v>0</v>
      </c>
      <c r="D151" t="s">
        <v>633</v>
      </c>
      <c r="E151">
        <f t="shared" si="5"/>
        <v>2110</v>
      </c>
      <c r="F151" t="str">
        <f t="shared" si="6"/>
        <v/>
      </c>
      <c r="L151" t="s">
        <v>1817</v>
      </c>
      <c r="M151" t="s">
        <v>1818</v>
      </c>
      <c r="N151" t="s">
        <v>237</v>
      </c>
      <c r="O151" t="s">
        <v>236</v>
      </c>
      <c r="P151" t="s">
        <v>605</v>
      </c>
      <c r="Q151" t="s">
        <v>40</v>
      </c>
      <c r="S151" t="s">
        <v>606</v>
      </c>
      <c r="U151" t="s">
        <v>518</v>
      </c>
      <c r="AB151" t="s">
        <v>1819</v>
      </c>
      <c r="AC151">
        <v>2030</v>
      </c>
      <c r="AD151" t="s">
        <v>8</v>
      </c>
      <c r="AE151">
        <v>2021</v>
      </c>
      <c r="AF151" t="s">
        <v>17</v>
      </c>
      <c r="AO151" t="s">
        <v>1820</v>
      </c>
      <c r="AQ151" t="s">
        <v>1821</v>
      </c>
      <c r="AR151" t="s">
        <v>1822</v>
      </c>
      <c r="AS151" t="s">
        <v>633</v>
      </c>
      <c r="AU151" t="s">
        <v>606</v>
      </c>
      <c r="AV151" t="s">
        <v>606</v>
      </c>
      <c r="AW151" t="s">
        <v>606</v>
      </c>
      <c r="BA151" t="s">
        <v>606</v>
      </c>
      <c r="BB151" t="s">
        <v>1823</v>
      </c>
      <c r="BC151" t="s">
        <v>615</v>
      </c>
      <c r="BD151" t="s">
        <v>1015</v>
      </c>
      <c r="BE151" t="s">
        <v>630</v>
      </c>
      <c r="BF151" t="s">
        <v>606</v>
      </c>
      <c r="BG151" t="s">
        <v>602</v>
      </c>
      <c r="BH151" t="s">
        <v>1824</v>
      </c>
      <c r="BI151" t="s">
        <v>602</v>
      </c>
      <c r="BM151" t="s">
        <v>606</v>
      </c>
      <c r="BN151" t="s">
        <v>1477</v>
      </c>
      <c r="BO151" t="s">
        <v>1825</v>
      </c>
      <c r="BQ151">
        <v>390165209954.5</v>
      </c>
      <c r="BS151">
        <v>43533593</v>
      </c>
      <c r="BX151">
        <v>321310000</v>
      </c>
      <c r="BY151">
        <v>2019</v>
      </c>
    </row>
    <row r="152" spans="1:78" x14ac:dyDescent="0.25">
      <c r="A152" t="s">
        <v>241</v>
      </c>
      <c r="B152" t="s">
        <v>240</v>
      </c>
      <c r="C152" s="554">
        <v>2</v>
      </c>
      <c r="D152" t="s">
        <v>602</v>
      </c>
      <c r="E152">
        <f t="shared" si="5"/>
        <v>2050</v>
      </c>
      <c r="F152">
        <f t="shared" si="6"/>
        <v>2065</v>
      </c>
      <c r="L152" t="s">
        <v>1826</v>
      </c>
      <c r="M152" t="s">
        <v>1827</v>
      </c>
      <c r="N152" t="s">
        <v>241</v>
      </c>
      <c r="O152" t="s">
        <v>240</v>
      </c>
      <c r="P152" t="s">
        <v>605</v>
      </c>
      <c r="Q152" t="s">
        <v>40</v>
      </c>
      <c r="S152" t="s">
        <v>606</v>
      </c>
      <c r="U152" t="s">
        <v>607</v>
      </c>
      <c r="AC152">
        <v>2050</v>
      </c>
      <c r="AD152" t="s">
        <v>12</v>
      </c>
      <c r="AE152">
        <v>2021</v>
      </c>
      <c r="AF152" t="s">
        <v>625</v>
      </c>
      <c r="AG152">
        <v>27</v>
      </c>
      <c r="AH152">
        <v>2015</v>
      </c>
      <c r="AN152">
        <v>2030</v>
      </c>
      <c r="AO152" t="s">
        <v>1828</v>
      </c>
      <c r="AP152" t="s">
        <v>1829</v>
      </c>
      <c r="AQ152" t="s">
        <v>1830</v>
      </c>
      <c r="AR152" t="s">
        <v>1831</v>
      </c>
      <c r="AS152" t="s">
        <v>602</v>
      </c>
      <c r="AU152" t="s">
        <v>602</v>
      </c>
      <c r="AV152" t="s">
        <v>602</v>
      </c>
      <c r="AW152" t="s">
        <v>602</v>
      </c>
      <c r="BA152" t="s">
        <v>606</v>
      </c>
      <c r="BB152" t="s">
        <v>1832</v>
      </c>
      <c r="BC152" t="s">
        <v>606</v>
      </c>
      <c r="BE152" t="s">
        <v>674</v>
      </c>
      <c r="BF152" t="s">
        <v>606</v>
      </c>
      <c r="BG152" t="s">
        <v>602</v>
      </c>
      <c r="BH152" t="s">
        <v>1833</v>
      </c>
      <c r="BI152" t="s">
        <v>602</v>
      </c>
      <c r="BM152" t="s">
        <v>606</v>
      </c>
      <c r="BN152" t="s">
        <v>602</v>
      </c>
      <c r="BQ152">
        <v>389378280736.65002</v>
      </c>
      <c r="BS152">
        <v>8900059</v>
      </c>
      <c r="BX152">
        <v>87260000</v>
      </c>
      <c r="BY152">
        <v>2019</v>
      </c>
    </row>
    <row r="153" spans="1:78" hidden="1" x14ac:dyDescent="0.25">
      <c r="A153" t="s">
        <v>249</v>
      </c>
      <c r="B153" t="s">
        <v>248</v>
      </c>
      <c r="C153" s="38">
        <v>0</v>
      </c>
      <c r="D153" t="s">
        <v>633</v>
      </c>
      <c r="E153">
        <f t="shared" si="5"/>
        <v>2110</v>
      </c>
      <c r="F153" t="str">
        <f t="shared" si="6"/>
        <v/>
      </c>
      <c r="L153" t="s">
        <v>1834</v>
      </c>
      <c r="M153" t="s">
        <v>1835</v>
      </c>
      <c r="N153" t="s">
        <v>249</v>
      </c>
      <c r="O153" t="s">
        <v>248</v>
      </c>
      <c r="P153" t="s">
        <v>605</v>
      </c>
      <c r="Q153" t="s">
        <v>40</v>
      </c>
      <c r="S153" t="s">
        <v>606</v>
      </c>
      <c r="U153" t="s">
        <v>608</v>
      </c>
      <c r="V153">
        <v>31</v>
      </c>
      <c r="Z153">
        <v>30.291</v>
      </c>
      <c r="AA153">
        <v>43.988999999999997</v>
      </c>
      <c r="AC153">
        <v>2030</v>
      </c>
      <c r="AD153" t="s">
        <v>8</v>
      </c>
      <c r="AE153">
        <v>2021</v>
      </c>
      <c r="AF153" t="s">
        <v>17</v>
      </c>
      <c r="AO153" t="s">
        <v>1836</v>
      </c>
      <c r="AQ153" t="s">
        <v>1837</v>
      </c>
      <c r="AR153" t="s">
        <v>1838</v>
      </c>
      <c r="AS153" t="s">
        <v>633</v>
      </c>
      <c r="AU153" t="s">
        <v>615</v>
      </c>
      <c r="AV153" t="s">
        <v>602</v>
      </c>
      <c r="AW153" t="s">
        <v>602</v>
      </c>
      <c r="BA153" t="s">
        <v>606</v>
      </c>
      <c r="BB153" t="s">
        <v>1839</v>
      </c>
      <c r="BC153" t="s">
        <v>615</v>
      </c>
      <c r="BD153" t="s">
        <v>950</v>
      </c>
      <c r="BE153" t="s">
        <v>674</v>
      </c>
      <c r="BF153" t="s">
        <v>615</v>
      </c>
      <c r="BG153" t="s">
        <v>602</v>
      </c>
      <c r="BH153" t="s">
        <v>1840</v>
      </c>
      <c r="BI153" t="s">
        <v>602</v>
      </c>
      <c r="BM153" t="s">
        <v>606</v>
      </c>
      <c r="BN153" t="s">
        <v>602</v>
      </c>
      <c r="BQ153">
        <v>102372973365.97</v>
      </c>
      <c r="BS153">
        <v>11148278</v>
      </c>
      <c r="BX153">
        <v>36570000</v>
      </c>
      <c r="BY153">
        <v>2019</v>
      </c>
    </row>
    <row r="154" spans="1:78" x14ac:dyDescent="0.25">
      <c r="A154" t="s">
        <v>251</v>
      </c>
      <c r="B154" t="s">
        <v>250</v>
      </c>
      <c r="C154">
        <v>3</v>
      </c>
      <c r="D154" t="s">
        <v>633</v>
      </c>
      <c r="E154">
        <f t="shared" si="5"/>
        <v>2060</v>
      </c>
      <c r="F154">
        <f t="shared" si="6"/>
        <v>2060</v>
      </c>
      <c r="L154" t="s">
        <v>1841</v>
      </c>
      <c r="M154" t="s">
        <v>1842</v>
      </c>
      <c r="N154" t="s">
        <v>251</v>
      </c>
      <c r="O154" t="s">
        <v>250</v>
      </c>
      <c r="P154" t="s">
        <v>605</v>
      </c>
      <c r="Q154" t="s">
        <v>40</v>
      </c>
      <c r="S154" t="s">
        <v>606</v>
      </c>
      <c r="U154" t="s">
        <v>607</v>
      </c>
      <c r="AC154">
        <v>2060</v>
      </c>
      <c r="AD154" t="s">
        <v>8</v>
      </c>
      <c r="AE154">
        <v>2020</v>
      </c>
      <c r="AF154" t="s">
        <v>625</v>
      </c>
      <c r="AG154">
        <v>25</v>
      </c>
      <c r="AH154">
        <v>1990</v>
      </c>
      <c r="AN154">
        <v>2030</v>
      </c>
      <c r="AO154" t="s">
        <v>1843</v>
      </c>
      <c r="AP154" t="s">
        <v>1844</v>
      </c>
      <c r="AQ154" t="s">
        <v>1845</v>
      </c>
      <c r="AR154" t="s">
        <v>1846</v>
      </c>
      <c r="AS154" t="s">
        <v>633</v>
      </c>
      <c r="AU154" t="s">
        <v>602</v>
      </c>
      <c r="AV154" t="s">
        <v>602</v>
      </c>
      <c r="AW154" t="s">
        <v>602</v>
      </c>
      <c r="BA154" t="s">
        <v>606</v>
      </c>
      <c r="BB154" t="s">
        <v>1847</v>
      </c>
      <c r="BC154" t="s">
        <v>615</v>
      </c>
      <c r="BD154" t="s">
        <v>1848</v>
      </c>
      <c r="BE154" t="s">
        <v>674</v>
      </c>
      <c r="BF154" t="s">
        <v>615</v>
      </c>
      <c r="BG154" t="s">
        <v>606</v>
      </c>
      <c r="BH154" t="s">
        <v>1849</v>
      </c>
      <c r="BI154" t="s">
        <v>602</v>
      </c>
      <c r="BM154" t="s">
        <v>615</v>
      </c>
      <c r="BN154" t="s">
        <v>602</v>
      </c>
      <c r="BQ154">
        <v>494698852061.37</v>
      </c>
      <c r="BS154">
        <v>19196466</v>
      </c>
      <c r="BX154">
        <v>271680000</v>
      </c>
      <c r="BY154">
        <v>2019</v>
      </c>
    </row>
    <row r="155" spans="1:78" hidden="1" x14ac:dyDescent="0.25">
      <c r="A155" t="s">
        <v>253</v>
      </c>
      <c r="B155" t="s">
        <v>252</v>
      </c>
      <c r="C155" s="38">
        <v>0</v>
      </c>
      <c r="D155" t="s">
        <v>633</v>
      </c>
      <c r="E155">
        <f t="shared" si="5"/>
        <v>2110</v>
      </c>
      <c r="F155" t="str">
        <f t="shared" si="6"/>
        <v/>
      </c>
      <c r="L155" t="s">
        <v>1850</v>
      </c>
      <c r="M155" t="s">
        <v>1851</v>
      </c>
      <c r="N155" t="s">
        <v>253</v>
      </c>
      <c r="O155" t="s">
        <v>252</v>
      </c>
      <c r="P155" t="s">
        <v>624</v>
      </c>
      <c r="Q155" t="s">
        <v>40</v>
      </c>
      <c r="S155" t="s">
        <v>606</v>
      </c>
      <c r="U155" t="s">
        <v>608</v>
      </c>
      <c r="V155">
        <v>32</v>
      </c>
      <c r="Z155">
        <v>97.24</v>
      </c>
      <c r="AA155">
        <v>143</v>
      </c>
      <c r="AC155">
        <v>2030</v>
      </c>
      <c r="AD155" t="s">
        <v>8</v>
      </c>
      <c r="AE155">
        <v>2020</v>
      </c>
      <c r="AF155" t="s">
        <v>17</v>
      </c>
      <c r="AN155">
        <v>2025</v>
      </c>
      <c r="AO155" t="s">
        <v>1852</v>
      </c>
      <c r="AP155" t="s">
        <v>1853</v>
      </c>
      <c r="AR155" t="s">
        <v>1854</v>
      </c>
      <c r="AS155" t="s">
        <v>633</v>
      </c>
      <c r="AU155" t="s">
        <v>602</v>
      </c>
      <c r="AV155" t="s">
        <v>606</v>
      </c>
      <c r="AW155" t="s">
        <v>606</v>
      </c>
      <c r="BA155" t="s">
        <v>606</v>
      </c>
      <c r="BC155" t="s">
        <v>615</v>
      </c>
      <c r="BD155" t="s">
        <v>1855</v>
      </c>
      <c r="BE155" t="s">
        <v>614</v>
      </c>
      <c r="BF155" t="s">
        <v>615</v>
      </c>
      <c r="BG155" t="s">
        <v>602</v>
      </c>
      <c r="BI155" t="s">
        <v>606</v>
      </c>
      <c r="BM155" t="s">
        <v>606</v>
      </c>
      <c r="BN155" t="s">
        <v>606</v>
      </c>
      <c r="BQ155">
        <v>251431410850.29001</v>
      </c>
      <c r="BS155">
        <v>53005614</v>
      </c>
      <c r="BX155">
        <v>73400000</v>
      </c>
      <c r="BY155">
        <v>2019</v>
      </c>
    </row>
    <row r="156" spans="1:78" hidden="1" x14ac:dyDescent="0.25">
      <c r="A156" t="s">
        <v>263</v>
      </c>
      <c r="B156" t="s">
        <v>262</v>
      </c>
      <c r="C156">
        <v>1</v>
      </c>
      <c r="D156" t="s">
        <v>602</v>
      </c>
      <c r="E156">
        <f t="shared" si="5"/>
        <v>2110</v>
      </c>
      <c r="F156">
        <f t="shared" si="6"/>
        <v>2125</v>
      </c>
      <c r="L156" t="s">
        <v>1856</v>
      </c>
      <c r="M156" t="s">
        <v>1857</v>
      </c>
      <c r="N156" t="s">
        <v>263</v>
      </c>
      <c r="O156" t="s">
        <v>262</v>
      </c>
      <c r="P156" t="s">
        <v>605</v>
      </c>
      <c r="Q156" t="s">
        <v>40</v>
      </c>
      <c r="S156" t="s">
        <v>606</v>
      </c>
      <c r="U156" t="s">
        <v>680</v>
      </c>
      <c r="AC156">
        <v>2050</v>
      </c>
      <c r="AD156" t="s">
        <v>12</v>
      </c>
      <c r="AE156">
        <v>2021</v>
      </c>
      <c r="AF156" t="s">
        <v>608</v>
      </c>
      <c r="AG156">
        <v>16.63</v>
      </c>
      <c r="AK156">
        <v>7572261979</v>
      </c>
      <c r="AL156">
        <v>9082717979</v>
      </c>
      <c r="AN156">
        <v>2025</v>
      </c>
      <c r="AO156" t="s">
        <v>1858</v>
      </c>
      <c r="AP156" t="s">
        <v>1859</v>
      </c>
      <c r="AQ156" t="s">
        <v>1860</v>
      </c>
      <c r="AR156" t="s">
        <v>1861</v>
      </c>
      <c r="AS156" t="s">
        <v>602</v>
      </c>
      <c r="AU156" t="s">
        <v>602</v>
      </c>
      <c r="AV156" t="s">
        <v>602</v>
      </c>
      <c r="AW156" t="s">
        <v>602</v>
      </c>
      <c r="BA156" t="s">
        <v>606</v>
      </c>
      <c r="BC156" t="s">
        <v>606</v>
      </c>
      <c r="BE156" t="s">
        <v>614</v>
      </c>
      <c r="BF156" t="s">
        <v>606</v>
      </c>
      <c r="BG156" t="s">
        <v>602</v>
      </c>
      <c r="BI156" t="s">
        <v>602</v>
      </c>
      <c r="BM156" t="s">
        <v>606</v>
      </c>
      <c r="BN156" t="s">
        <v>602</v>
      </c>
      <c r="BQ156">
        <v>32220725489.726002</v>
      </c>
      <c r="BS156">
        <v>6527744</v>
      </c>
      <c r="BX156">
        <v>13640000</v>
      </c>
      <c r="BY156">
        <v>2019</v>
      </c>
    </row>
    <row r="157" spans="1:78" x14ac:dyDescent="0.25">
      <c r="A157" t="s">
        <v>261</v>
      </c>
      <c r="B157" t="s">
        <v>260</v>
      </c>
      <c r="C157">
        <v>2</v>
      </c>
      <c r="D157" t="s">
        <v>602</v>
      </c>
      <c r="E157">
        <f t="shared" si="5"/>
        <v>2060</v>
      </c>
      <c r="F157">
        <f t="shared" si="6"/>
        <v>2075</v>
      </c>
      <c r="L157" t="s">
        <v>1862</v>
      </c>
      <c r="M157" t="s">
        <v>1863</v>
      </c>
      <c r="N157" t="s">
        <v>261</v>
      </c>
      <c r="O157" t="s">
        <v>260</v>
      </c>
      <c r="P157" t="s">
        <v>605</v>
      </c>
      <c r="Q157" t="s">
        <v>40</v>
      </c>
      <c r="S157" t="s">
        <v>606</v>
      </c>
      <c r="U157" t="s">
        <v>680</v>
      </c>
      <c r="AC157">
        <v>2060</v>
      </c>
      <c r="AD157" t="s">
        <v>10</v>
      </c>
      <c r="AE157">
        <v>2022</v>
      </c>
      <c r="AF157" t="s">
        <v>17</v>
      </c>
      <c r="AO157" t="s">
        <v>1864</v>
      </c>
      <c r="AR157" t="s">
        <v>1865</v>
      </c>
      <c r="AS157" t="s">
        <v>602</v>
      </c>
      <c r="AU157" t="s">
        <v>602</v>
      </c>
      <c r="AV157" t="s">
        <v>602</v>
      </c>
      <c r="AW157" t="s">
        <v>602</v>
      </c>
      <c r="BA157" t="s">
        <v>606</v>
      </c>
      <c r="BB157" t="s">
        <v>1866</v>
      </c>
      <c r="BC157" t="s">
        <v>606</v>
      </c>
      <c r="BE157" t="s">
        <v>630</v>
      </c>
      <c r="BF157" t="s">
        <v>606</v>
      </c>
      <c r="BG157" t="s">
        <v>602</v>
      </c>
      <c r="BH157" t="s">
        <v>1867</v>
      </c>
      <c r="BI157" t="s">
        <v>602</v>
      </c>
      <c r="BM157" t="s">
        <v>606</v>
      </c>
      <c r="BN157" t="s">
        <v>602</v>
      </c>
      <c r="BO157" t="s">
        <v>1868</v>
      </c>
      <c r="BQ157">
        <v>202010996133.61099</v>
      </c>
      <c r="BS157">
        <v>4250114</v>
      </c>
      <c r="BX157">
        <v>136690000</v>
      </c>
      <c r="BY157">
        <v>2019</v>
      </c>
    </row>
    <row r="158" spans="1:78" hidden="1" x14ac:dyDescent="0.25">
      <c r="A158" t="s">
        <v>275</v>
      </c>
      <c r="B158" t="s">
        <v>274</v>
      </c>
      <c r="C158">
        <v>0</v>
      </c>
      <c r="D158" t="s">
        <v>602</v>
      </c>
      <c r="E158">
        <f t="shared" si="5"/>
        <v>2110</v>
      </c>
      <c r="L158" t="s">
        <v>1869</v>
      </c>
      <c r="M158" t="s">
        <v>1870</v>
      </c>
      <c r="N158" t="s">
        <v>275</v>
      </c>
      <c r="O158" t="s">
        <v>274</v>
      </c>
      <c r="P158" t="s">
        <v>624</v>
      </c>
      <c r="Q158" t="s">
        <v>40</v>
      </c>
      <c r="S158" t="s">
        <v>606</v>
      </c>
      <c r="U158" t="s">
        <v>17</v>
      </c>
      <c r="AF158" t="s">
        <v>17</v>
      </c>
      <c r="AQ158" t="s">
        <v>1871</v>
      </c>
      <c r="AS158" t="s">
        <v>602</v>
      </c>
      <c r="BQ158">
        <v>147941526581.64001</v>
      </c>
      <c r="BS158">
        <v>6735277</v>
      </c>
      <c r="BX158">
        <v>126690000</v>
      </c>
      <c r="BY158">
        <v>2019</v>
      </c>
    </row>
    <row r="159" spans="1:78" hidden="1" x14ac:dyDescent="0.25">
      <c r="A159" t="s">
        <v>277</v>
      </c>
      <c r="B159" t="s">
        <v>276</v>
      </c>
      <c r="C159" s="38">
        <v>0</v>
      </c>
      <c r="D159" t="s">
        <v>633</v>
      </c>
      <c r="E159">
        <f t="shared" si="5"/>
        <v>2110</v>
      </c>
      <c r="F159" t="str">
        <f t="shared" si="6"/>
        <v/>
      </c>
      <c r="L159" t="s">
        <v>1872</v>
      </c>
      <c r="M159" t="s">
        <v>1873</v>
      </c>
      <c r="N159" t="s">
        <v>277</v>
      </c>
      <c r="O159" t="s">
        <v>276</v>
      </c>
      <c r="P159" t="s">
        <v>665</v>
      </c>
      <c r="Q159" t="s">
        <v>40</v>
      </c>
      <c r="S159" t="s">
        <v>606</v>
      </c>
      <c r="U159" t="s">
        <v>625</v>
      </c>
      <c r="V159">
        <v>40</v>
      </c>
      <c r="W159">
        <v>1990</v>
      </c>
      <c r="AC159">
        <v>2030</v>
      </c>
      <c r="AD159" t="s">
        <v>8</v>
      </c>
      <c r="AE159">
        <v>2015</v>
      </c>
      <c r="AF159" t="s">
        <v>17</v>
      </c>
      <c r="AO159" t="s">
        <v>1874</v>
      </c>
      <c r="AR159" t="s">
        <v>1875</v>
      </c>
      <c r="AS159" t="s">
        <v>633</v>
      </c>
      <c r="AU159" t="s">
        <v>602</v>
      </c>
      <c r="AV159" t="s">
        <v>602</v>
      </c>
      <c r="AW159" t="s">
        <v>602</v>
      </c>
      <c r="BA159" t="s">
        <v>606</v>
      </c>
      <c r="BB159" t="s">
        <v>1876</v>
      </c>
      <c r="BC159" t="s">
        <v>606</v>
      </c>
      <c r="BE159" t="s">
        <v>614</v>
      </c>
      <c r="BF159" t="s">
        <v>615</v>
      </c>
      <c r="BG159" t="s">
        <v>602</v>
      </c>
      <c r="BH159" t="s">
        <v>1877</v>
      </c>
      <c r="BI159" t="s">
        <v>602</v>
      </c>
      <c r="BM159" t="s">
        <v>606</v>
      </c>
      <c r="BN159" t="s">
        <v>602</v>
      </c>
      <c r="BS159">
        <v>39040</v>
      </c>
      <c r="BX159">
        <v>160000</v>
      </c>
      <c r="BY159">
        <v>2019</v>
      </c>
    </row>
    <row r="160" spans="1:78" x14ac:dyDescent="0.25">
      <c r="A160" t="s">
        <v>415</v>
      </c>
      <c r="B160" t="s">
        <v>414</v>
      </c>
      <c r="C160">
        <v>2</v>
      </c>
      <c r="D160" t="s">
        <v>633</v>
      </c>
      <c r="E160">
        <f t="shared" si="5"/>
        <v>2050</v>
      </c>
      <c r="F160">
        <f t="shared" si="6"/>
        <v>2050</v>
      </c>
      <c r="L160" t="s">
        <v>1878</v>
      </c>
      <c r="M160" t="s">
        <v>1879</v>
      </c>
      <c r="N160" t="s">
        <v>415</v>
      </c>
      <c r="O160" t="s">
        <v>414</v>
      </c>
      <c r="P160" t="s">
        <v>700</v>
      </c>
      <c r="Q160" t="s">
        <v>40</v>
      </c>
      <c r="S160" t="s">
        <v>606</v>
      </c>
      <c r="U160" t="s">
        <v>680</v>
      </c>
      <c r="AC160">
        <v>2050</v>
      </c>
      <c r="AD160" t="s">
        <v>10</v>
      </c>
      <c r="AE160">
        <v>2021</v>
      </c>
      <c r="AF160" t="s">
        <v>608</v>
      </c>
      <c r="AG160">
        <v>48.7</v>
      </c>
      <c r="AK160">
        <v>21900000</v>
      </c>
      <c r="AL160">
        <v>42800000</v>
      </c>
      <c r="AN160">
        <v>2030</v>
      </c>
      <c r="AO160" t="s">
        <v>1880</v>
      </c>
      <c r="AP160" t="s">
        <v>1880</v>
      </c>
      <c r="AQ160" t="s">
        <v>1881</v>
      </c>
      <c r="AR160" t="s">
        <v>1882</v>
      </c>
      <c r="AS160" t="s">
        <v>633</v>
      </c>
      <c r="AU160" t="s">
        <v>615</v>
      </c>
      <c r="AV160" t="s">
        <v>606</v>
      </c>
      <c r="AW160" t="s">
        <v>606</v>
      </c>
      <c r="BA160" t="s">
        <v>606</v>
      </c>
      <c r="BB160" t="s">
        <v>1883</v>
      </c>
      <c r="BC160" t="s">
        <v>615</v>
      </c>
      <c r="BD160" t="s">
        <v>917</v>
      </c>
      <c r="BE160" t="s">
        <v>614</v>
      </c>
      <c r="BF160" t="s">
        <v>615</v>
      </c>
      <c r="BG160" t="s">
        <v>606</v>
      </c>
      <c r="BH160" t="s">
        <v>1884</v>
      </c>
      <c r="BI160" t="s">
        <v>602</v>
      </c>
      <c r="BM160" t="s">
        <v>606</v>
      </c>
      <c r="BN160" t="s">
        <v>617</v>
      </c>
      <c r="BO160" t="s">
        <v>1885</v>
      </c>
      <c r="BQ160">
        <v>284911627786.77002</v>
      </c>
      <c r="BS160">
        <v>21773441</v>
      </c>
      <c r="BX160">
        <v>37900000</v>
      </c>
      <c r="BY160">
        <v>2019</v>
      </c>
    </row>
    <row r="161" spans="1:78" hidden="1" x14ac:dyDescent="0.25">
      <c r="A161" t="s">
        <v>319</v>
      </c>
      <c r="B161" t="s">
        <v>318</v>
      </c>
      <c r="C161" s="38">
        <v>0</v>
      </c>
      <c r="D161" t="s">
        <v>633</v>
      </c>
      <c r="E161">
        <f t="shared" si="5"/>
        <v>2110</v>
      </c>
      <c r="F161" t="str">
        <f t="shared" si="6"/>
        <v/>
      </c>
      <c r="L161" t="s">
        <v>1886</v>
      </c>
      <c r="M161" t="s">
        <v>1887</v>
      </c>
      <c r="N161" t="s">
        <v>319</v>
      </c>
      <c r="O161" t="s">
        <v>318</v>
      </c>
      <c r="P161" t="s">
        <v>624</v>
      </c>
      <c r="Q161" t="s">
        <v>40</v>
      </c>
      <c r="S161" t="s">
        <v>606</v>
      </c>
      <c r="U161" t="s">
        <v>608</v>
      </c>
      <c r="V161">
        <v>18.3</v>
      </c>
      <c r="Z161">
        <v>116.1</v>
      </c>
      <c r="AA161">
        <v>142.30000000000001</v>
      </c>
      <c r="AC161">
        <v>2030</v>
      </c>
      <c r="AD161" t="s">
        <v>8</v>
      </c>
      <c r="AE161">
        <v>2020</v>
      </c>
      <c r="AF161" t="s">
        <v>17</v>
      </c>
      <c r="AO161" t="s">
        <v>1888</v>
      </c>
      <c r="AQ161" t="s">
        <v>1889</v>
      </c>
      <c r="AR161" t="s">
        <v>1890</v>
      </c>
      <c r="AS161" t="s">
        <v>633</v>
      </c>
      <c r="AU161" t="s">
        <v>602</v>
      </c>
      <c r="AV161" t="s">
        <v>602</v>
      </c>
      <c r="AW161" t="s">
        <v>602</v>
      </c>
      <c r="BA161" t="s">
        <v>615</v>
      </c>
      <c r="BB161" t="s">
        <v>1891</v>
      </c>
      <c r="BC161" t="s">
        <v>615</v>
      </c>
      <c r="BD161" t="s">
        <v>950</v>
      </c>
      <c r="BE161" t="s">
        <v>614</v>
      </c>
      <c r="BF161" t="s">
        <v>615</v>
      </c>
      <c r="BG161" t="s">
        <v>602</v>
      </c>
      <c r="BH161" t="s">
        <v>1892</v>
      </c>
      <c r="BI161" t="s">
        <v>602</v>
      </c>
      <c r="BM161" t="s">
        <v>606</v>
      </c>
      <c r="BN161" t="s">
        <v>617</v>
      </c>
      <c r="BO161" t="s">
        <v>1893</v>
      </c>
      <c r="BQ161">
        <v>281360291456.90997</v>
      </c>
      <c r="BS161">
        <v>37076585</v>
      </c>
      <c r="BX161">
        <v>91150000</v>
      </c>
      <c r="BY161">
        <v>2021</v>
      </c>
    </row>
    <row r="162" spans="1:78" hidden="1" x14ac:dyDescent="0.25">
      <c r="A162" t="s">
        <v>1894</v>
      </c>
      <c r="B162" t="s">
        <v>310</v>
      </c>
      <c r="C162" s="38">
        <v>0</v>
      </c>
      <c r="D162" t="s">
        <v>633</v>
      </c>
      <c r="E162">
        <f t="shared" si="5"/>
        <v>2110</v>
      </c>
      <c r="F162" t="str">
        <f t="shared" si="6"/>
        <v/>
      </c>
      <c r="L162" t="s">
        <v>1895</v>
      </c>
      <c r="M162" t="s">
        <v>1896</v>
      </c>
      <c r="N162" t="s">
        <v>1894</v>
      </c>
      <c r="O162" t="s">
        <v>310</v>
      </c>
      <c r="P162" t="s">
        <v>665</v>
      </c>
      <c r="Q162" t="s">
        <v>40</v>
      </c>
      <c r="S162" t="s">
        <v>606</v>
      </c>
      <c r="U162" t="s">
        <v>625</v>
      </c>
      <c r="V162">
        <v>88</v>
      </c>
      <c r="W162">
        <v>1990</v>
      </c>
      <c r="AC162">
        <v>2030</v>
      </c>
      <c r="AD162" t="s">
        <v>8</v>
      </c>
      <c r="AE162">
        <v>2021</v>
      </c>
      <c r="AF162" t="s">
        <v>17</v>
      </c>
      <c r="AO162" t="s">
        <v>1897</v>
      </c>
      <c r="AQ162" t="s">
        <v>1898</v>
      </c>
      <c r="AR162" t="s">
        <v>1899</v>
      </c>
      <c r="AS162" t="s">
        <v>633</v>
      </c>
      <c r="AU162" t="s">
        <v>602</v>
      </c>
      <c r="AV162" t="s">
        <v>602</v>
      </c>
      <c r="AW162" t="s">
        <v>602</v>
      </c>
      <c r="BA162" t="s">
        <v>606</v>
      </c>
      <c r="BB162" t="s">
        <v>1900</v>
      </c>
      <c r="BC162" t="s">
        <v>615</v>
      </c>
      <c r="BD162" t="s">
        <v>844</v>
      </c>
      <c r="BE162" t="s">
        <v>614</v>
      </c>
      <c r="BF162" t="s">
        <v>615</v>
      </c>
      <c r="BG162" t="s">
        <v>602</v>
      </c>
      <c r="BH162" t="s">
        <v>1901</v>
      </c>
      <c r="BI162" t="s">
        <v>602</v>
      </c>
      <c r="BM162" t="s">
        <v>606</v>
      </c>
      <c r="BN162" t="s">
        <v>617</v>
      </c>
      <c r="BO162" t="s">
        <v>1902</v>
      </c>
      <c r="BQ162">
        <v>36636913878.042999</v>
      </c>
      <c r="BS162">
        <v>3061507</v>
      </c>
      <c r="BX162">
        <v>13500000</v>
      </c>
    </row>
    <row r="163" spans="1:78" hidden="1" x14ac:dyDescent="0.25">
      <c r="A163" t="s">
        <v>1903</v>
      </c>
      <c r="B163" t="s">
        <v>284</v>
      </c>
      <c r="C163" s="38">
        <v>0</v>
      </c>
      <c r="D163" t="s">
        <v>633</v>
      </c>
      <c r="E163">
        <f t="shared" si="5"/>
        <v>2110</v>
      </c>
      <c r="F163" t="str">
        <f t="shared" si="6"/>
        <v/>
      </c>
      <c r="L163" t="s">
        <v>1904</v>
      </c>
      <c r="M163" t="s">
        <v>1905</v>
      </c>
      <c r="N163" t="s">
        <v>1903</v>
      </c>
      <c r="O163" t="s">
        <v>284</v>
      </c>
      <c r="P163" t="s">
        <v>665</v>
      </c>
      <c r="Q163" t="s">
        <v>40</v>
      </c>
      <c r="S163" t="s">
        <v>606</v>
      </c>
      <c r="U163" t="s">
        <v>625</v>
      </c>
      <c r="V163">
        <v>82</v>
      </c>
      <c r="W163">
        <v>1990</v>
      </c>
      <c r="AC163">
        <v>2030</v>
      </c>
      <c r="AD163" t="s">
        <v>8</v>
      </c>
      <c r="AE163">
        <v>2021</v>
      </c>
      <c r="AO163" t="s">
        <v>1906</v>
      </c>
      <c r="AP163" t="s">
        <v>1907</v>
      </c>
      <c r="AQ163" t="s">
        <v>1908</v>
      </c>
      <c r="AR163" t="s">
        <v>1909</v>
      </c>
      <c r="AS163" t="s">
        <v>633</v>
      </c>
      <c r="AU163" t="s">
        <v>606</v>
      </c>
      <c r="AV163" t="s">
        <v>606</v>
      </c>
      <c r="AW163" t="s">
        <v>606</v>
      </c>
      <c r="BA163" t="s">
        <v>606</v>
      </c>
      <c r="BB163" t="s">
        <v>1910</v>
      </c>
      <c r="BC163" t="s">
        <v>615</v>
      </c>
      <c r="BD163" t="s">
        <v>1493</v>
      </c>
      <c r="BE163" t="s">
        <v>614</v>
      </c>
      <c r="BF163" t="s">
        <v>615</v>
      </c>
      <c r="BG163" t="s">
        <v>606</v>
      </c>
      <c r="BH163" t="s">
        <v>1911</v>
      </c>
      <c r="BI163" t="s">
        <v>606</v>
      </c>
      <c r="BM163" t="s">
        <v>606</v>
      </c>
      <c r="BN163" t="s">
        <v>767</v>
      </c>
      <c r="BO163" t="s">
        <v>1912</v>
      </c>
      <c r="BP163" t="s">
        <v>619</v>
      </c>
      <c r="BQ163">
        <v>34000368752.118999</v>
      </c>
      <c r="BS163">
        <v>2103330</v>
      </c>
      <c r="BX163">
        <v>11260000</v>
      </c>
      <c r="BY163">
        <v>2019</v>
      </c>
    </row>
    <row r="164" spans="1:78" hidden="1" x14ac:dyDescent="0.25">
      <c r="A164" t="s">
        <v>1913</v>
      </c>
      <c r="B164" t="s">
        <v>1914</v>
      </c>
      <c r="C164" s="38">
        <v>0</v>
      </c>
      <c r="D164" t="s">
        <v>633</v>
      </c>
      <c r="E164">
        <f t="shared" si="5"/>
        <v>2110</v>
      </c>
      <c r="F164" t="str">
        <f t="shared" si="6"/>
        <v/>
      </c>
      <c r="L164" t="s">
        <v>1915</v>
      </c>
      <c r="M164" t="s">
        <v>1916</v>
      </c>
      <c r="N164" t="s">
        <v>1913</v>
      </c>
      <c r="O164" t="s">
        <v>1914</v>
      </c>
      <c r="P164" t="s">
        <v>665</v>
      </c>
      <c r="Q164" t="s">
        <v>40</v>
      </c>
      <c r="S164" t="s">
        <v>606</v>
      </c>
      <c r="U164" t="s">
        <v>625</v>
      </c>
      <c r="V164">
        <v>35</v>
      </c>
      <c r="W164">
        <v>1990</v>
      </c>
      <c r="AC164">
        <v>2030</v>
      </c>
      <c r="AD164" t="s">
        <v>8</v>
      </c>
      <c r="AE164">
        <v>2021</v>
      </c>
      <c r="AF164" t="s">
        <v>17</v>
      </c>
      <c r="AO164" t="s">
        <v>1917</v>
      </c>
      <c r="AQ164" t="s">
        <v>1918</v>
      </c>
      <c r="AR164" t="s">
        <v>1919</v>
      </c>
      <c r="AS164" t="s">
        <v>633</v>
      </c>
      <c r="AU164" t="s">
        <v>606</v>
      </c>
      <c r="AV164" t="s">
        <v>606</v>
      </c>
      <c r="AW164" t="s">
        <v>606</v>
      </c>
      <c r="BB164" t="s">
        <v>1920</v>
      </c>
      <c r="BC164" t="s">
        <v>615</v>
      </c>
      <c r="BD164" t="s">
        <v>1493</v>
      </c>
      <c r="BE164" t="s">
        <v>614</v>
      </c>
      <c r="BF164" t="s">
        <v>615</v>
      </c>
      <c r="BG164" t="s">
        <v>615</v>
      </c>
      <c r="BH164" t="s">
        <v>1921</v>
      </c>
      <c r="BI164" t="s">
        <v>615</v>
      </c>
      <c r="BJ164" t="s">
        <v>715</v>
      </c>
      <c r="BM164" t="s">
        <v>615</v>
      </c>
      <c r="BN164" t="s">
        <v>617</v>
      </c>
      <c r="BO164" t="s">
        <v>1922</v>
      </c>
      <c r="BP164" t="s">
        <v>619</v>
      </c>
      <c r="BQ164">
        <v>12754997663.229</v>
      </c>
      <c r="BS164">
        <v>627859</v>
      </c>
      <c r="BX164">
        <v>3860000</v>
      </c>
      <c r="BY164">
        <v>2019</v>
      </c>
    </row>
    <row r="165" spans="1:78" hidden="1" x14ac:dyDescent="0.25">
      <c r="A165" t="s">
        <v>315</v>
      </c>
      <c r="B165" t="s">
        <v>314</v>
      </c>
      <c r="C165" s="38">
        <v>0</v>
      </c>
      <c r="D165" t="s">
        <v>633</v>
      </c>
      <c r="E165">
        <f t="shared" si="5"/>
        <v>2110</v>
      </c>
      <c r="F165" t="str">
        <f t="shared" si="6"/>
        <v/>
      </c>
      <c r="L165" t="s">
        <v>1923</v>
      </c>
      <c r="M165" t="s">
        <v>1924</v>
      </c>
      <c r="N165" t="s">
        <v>315</v>
      </c>
      <c r="O165" t="s">
        <v>314</v>
      </c>
      <c r="P165" t="s">
        <v>790</v>
      </c>
      <c r="Q165" t="s">
        <v>40</v>
      </c>
      <c r="S165" t="s">
        <v>606</v>
      </c>
      <c r="U165" t="s">
        <v>625</v>
      </c>
      <c r="V165">
        <v>22.7</v>
      </c>
      <c r="W165">
        <v>2010</v>
      </c>
      <c r="AC165">
        <v>2030</v>
      </c>
      <c r="AD165" t="s">
        <v>8</v>
      </c>
      <c r="AE165">
        <v>2019</v>
      </c>
      <c r="AF165" t="s">
        <v>17</v>
      </c>
      <c r="AO165" t="s">
        <v>1925</v>
      </c>
      <c r="AR165" t="s">
        <v>1926</v>
      </c>
      <c r="AS165" t="s">
        <v>633</v>
      </c>
      <c r="AV165" t="s">
        <v>606</v>
      </c>
      <c r="AW165" t="s">
        <v>606</v>
      </c>
      <c r="BA165" t="s">
        <v>606</v>
      </c>
      <c r="BB165" t="s">
        <v>1927</v>
      </c>
      <c r="BC165" t="s">
        <v>615</v>
      </c>
      <c r="BD165" t="s">
        <v>1251</v>
      </c>
      <c r="BE165" t="s">
        <v>614</v>
      </c>
      <c r="BF165" t="s">
        <v>615</v>
      </c>
      <c r="BG165" t="s">
        <v>602</v>
      </c>
      <c r="BH165" t="s">
        <v>1928</v>
      </c>
      <c r="BI165" t="s">
        <v>602</v>
      </c>
      <c r="BM165" t="s">
        <v>606</v>
      </c>
      <c r="BN165" t="s">
        <v>676</v>
      </c>
      <c r="BO165" t="s">
        <v>1929</v>
      </c>
      <c r="BP165" t="s">
        <v>619</v>
      </c>
      <c r="BQ165">
        <v>38980435332.110001</v>
      </c>
      <c r="BS165">
        <v>3347783</v>
      </c>
      <c r="BX165">
        <v>59150000</v>
      </c>
      <c r="BY165">
        <v>2019</v>
      </c>
    </row>
    <row r="166" spans="1:78" x14ac:dyDescent="0.25">
      <c r="A166" t="s">
        <v>291</v>
      </c>
      <c r="B166" t="s">
        <v>290</v>
      </c>
      <c r="C166">
        <v>3</v>
      </c>
      <c r="D166" t="s">
        <v>633</v>
      </c>
      <c r="E166">
        <f t="shared" si="5"/>
        <v>2050</v>
      </c>
      <c r="F166">
        <f t="shared" si="6"/>
        <v>2050</v>
      </c>
      <c r="L166" t="s">
        <v>1930</v>
      </c>
      <c r="M166" t="s">
        <v>1931</v>
      </c>
      <c r="N166" t="s">
        <v>291</v>
      </c>
      <c r="O166" t="s">
        <v>290</v>
      </c>
      <c r="P166" t="s">
        <v>790</v>
      </c>
      <c r="Q166" t="s">
        <v>40</v>
      </c>
      <c r="S166" t="s">
        <v>606</v>
      </c>
      <c r="U166" t="s">
        <v>607</v>
      </c>
      <c r="AC166">
        <v>2050</v>
      </c>
      <c r="AD166" t="s">
        <v>8</v>
      </c>
      <c r="AE166">
        <v>2021</v>
      </c>
      <c r="AF166" t="s">
        <v>791</v>
      </c>
      <c r="AG166">
        <v>45</v>
      </c>
      <c r="AH166">
        <v>2005</v>
      </c>
      <c r="AI166" t="s">
        <v>1799</v>
      </c>
      <c r="AN166">
        <v>2030</v>
      </c>
      <c r="AO166" t="s">
        <v>1932</v>
      </c>
      <c r="AP166" t="s">
        <v>1933</v>
      </c>
      <c r="AQ166" t="s">
        <v>1934</v>
      </c>
      <c r="AR166" t="s">
        <v>1935</v>
      </c>
      <c r="AS166" t="s">
        <v>633</v>
      </c>
      <c r="AU166" t="s">
        <v>602</v>
      </c>
      <c r="AV166" t="s">
        <v>602</v>
      </c>
      <c r="AW166" t="s">
        <v>602</v>
      </c>
      <c r="BA166" t="s">
        <v>606</v>
      </c>
      <c r="BB166" t="s">
        <v>1936</v>
      </c>
      <c r="BC166" t="s">
        <v>615</v>
      </c>
      <c r="BD166" t="s">
        <v>844</v>
      </c>
      <c r="BE166" t="s">
        <v>614</v>
      </c>
      <c r="BF166" t="s">
        <v>615</v>
      </c>
      <c r="BG166" t="s">
        <v>602</v>
      </c>
      <c r="BH166" t="s">
        <v>1937</v>
      </c>
      <c r="BI166" t="s">
        <v>602</v>
      </c>
      <c r="BM166" t="s">
        <v>606</v>
      </c>
      <c r="BN166" t="s">
        <v>617</v>
      </c>
      <c r="BO166" t="s">
        <v>1938</v>
      </c>
      <c r="BQ166">
        <v>883621610681.67004</v>
      </c>
      <c r="BS166">
        <v>33573874</v>
      </c>
      <c r="BX166">
        <v>396110000</v>
      </c>
      <c r="BY166">
        <v>2019</v>
      </c>
      <c r="BZ166" t="s">
        <v>606</v>
      </c>
    </row>
    <row r="167" spans="1:78" x14ac:dyDescent="0.25">
      <c r="A167" t="s">
        <v>343</v>
      </c>
      <c r="B167" t="s">
        <v>342</v>
      </c>
      <c r="C167">
        <v>4</v>
      </c>
      <c r="D167" t="s">
        <v>633</v>
      </c>
      <c r="E167">
        <f t="shared" si="5"/>
        <v>2070</v>
      </c>
      <c r="F167">
        <f t="shared" si="6"/>
        <v>2070</v>
      </c>
      <c r="L167" t="s">
        <v>1939</v>
      </c>
      <c r="M167" t="s">
        <v>1940</v>
      </c>
      <c r="N167" t="s">
        <v>343</v>
      </c>
      <c r="O167" t="s">
        <v>342</v>
      </c>
      <c r="P167" t="s">
        <v>624</v>
      </c>
      <c r="Q167" t="s">
        <v>40</v>
      </c>
      <c r="S167" t="s">
        <v>606</v>
      </c>
      <c r="U167" t="s">
        <v>607</v>
      </c>
      <c r="AC167">
        <v>2070</v>
      </c>
      <c r="AD167" t="s">
        <v>667</v>
      </c>
      <c r="AE167">
        <v>2021</v>
      </c>
      <c r="AF167" t="s">
        <v>608</v>
      </c>
      <c r="AG167">
        <v>20</v>
      </c>
      <c r="AK167">
        <v>362.4</v>
      </c>
      <c r="AL167">
        <v>453</v>
      </c>
      <c r="AN167">
        <v>2030</v>
      </c>
      <c r="AO167" t="s">
        <v>1941</v>
      </c>
      <c r="AP167" t="s">
        <v>1942</v>
      </c>
      <c r="AQ167" t="s">
        <v>1943</v>
      </c>
      <c r="AR167" t="s">
        <v>1944</v>
      </c>
      <c r="AS167" t="s">
        <v>633</v>
      </c>
      <c r="AU167" t="s">
        <v>602</v>
      </c>
      <c r="AV167" t="s">
        <v>602</v>
      </c>
      <c r="AW167" t="s">
        <v>602</v>
      </c>
      <c r="BA167" t="s">
        <v>606</v>
      </c>
      <c r="BB167" t="s">
        <v>1945</v>
      </c>
      <c r="BC167" t="s">
        <v>615</v>
      </c>
      <c r="BD167" t="s">
        <v>673</v>
      </c>
      <c r="BE167" t="s">
        <v>614</v>
      </c>
      <c r="BF167" t="s">
        <v>606</v>
      </c>
      <c r="BG167" t="s">
        <v>602</v>
      </c>
      <c r="BH167" t="s">
        <v>1946</v>
      </c>
      <c r="BI167" t="s">
        <v>602</v>
      </c>
      <c r="BM167" t="s">
        <v>606</v>
      </c>
      <c r="BN167" t="s">
        <v>602</v>
      </c>
      <c r="BO167" t="s">
        <v>1947</v>
      </c>
      <c r="BQ167">
        <v>1050496277960.6</v>
      </c>
      <c r="BS167">
        <v>213401323</v>
      </c>
      <c r="BX167">
        <v>354330000</v>
      </c>
      <c r="BY167">
        <v>2019</v>
      </c>
    </row>
    <row r="168" spans="1:78" hidden="1" x14ac:dyDescent="0.25">
      <c r="A168" t="s">
        <v>331</v>
      </c>
      <c r="B168" t="s">
        <v>330</v>
      </c>
      <c r="C168">
        <v>4</v>
      </c>
      <c r="D168" t="s">
        <v>633</v>
      </c>
      <c r="E168">
        <f t="shared" si="5"/>
        <v>2050</v>
      </c>
      <c r="F168" t="str">
        <f t="shared" si="6"/>
        <v/>
      </c>
      <c r="L168" t="s">
        <v>1948</v>
      </c>
      <c r="M168" t="s">
        <v>1949</v>
      </c>
      <c r="N168" t="s">
        <v>331</v>
      </c>
      <c r="O168" t="s">
        <v>330</v>
      </c>
      <c r="P168" t="s">
        <v>665</v>
      </c>
      <c r="Q168" t="s">
        <v>40</v>
      </c>
      <c r="S168" t="s">
        <v>606</v>
      </c>
      <c r="U168" t="s">
        <v>625</v>
      </c>
      <c r="V168">
        <v>95</v>
      </c>
      <c r="W168">
        <v>1990</v>
      </c>
      <c r="AC168">
        <v>2050</v>
      </c>
      <c r="AD168" t="s">
        <v>667</v>
      </c>
      <c r="AE168">
        <v>2019</v>
      </c>
      <c r="AF168" t="s">
        <v>625</v>
      </c>
      <c r="AG168">
        <v>49</v>
      </c>
      <c r="AH168">
        <v>1990</v>
      </c>
      <c r="AN168">
        <v>2030</v>
      </c>
      <c r="AO168" t="s">
        <v>1950</v>
      </c>
      <c r="AP168" t="s">
        <v>1950</v>
      </c>
      <c r="AQ168" t="s">
        <v>1951</v>
      </c>
      <c r="AR168" t="s">
        <v>1952</v>
      </c>
      <c r="AS168" t="s">
        <v>633</v>
      </c>
      <c r="AU168" t="s">
        <v>606</v>
      </c>
      <c r="AV168" t="s">
        <v>606</v>
      </c>
      <c r="AW168" t="s">
        <v>606</v>
      </c>
      <c r="BA168" t="s">
        <v>606</v>
      </c>
      <c r="BB168" t="s">
        <v>1953</v>
      </c>
      <c r="BC168" t="s">
        <v>615</v>
      </c>
      <c r="BD168" t="s">
        <v>1954</v>
      </c>
      <c r="BE168" t="s">
        <v>674</v>
      </c>
      <c r="BF168" t="s">
        <v>615</v>
      </c>
      <c r="BG168" t="s">
        <v>606</v>
      </c>
      <c r="BH168" t="s">
        <v>1955</v>
      </c>
      <c r="BI168" t="s">
        <v>615</v>
      </c>
      <c r="BJ168" t="s">
        <v>1342</v>
      </c>
      <c r="BM168" t="s">
        <v>606</v>
      </c>
      <c r="BN168" t="s">
        <v>676</v>
      </c>
      <c r="BO168" t="s">
        <v>1956</v>
      </c>
      <c r="BQ168">
        <v>995213859493.5</v>
      </c>
      <c r="BS168">
        <v>17501696</v>
      </c>
      <c r="BX168">
        <v>173590000</v>
      </c>
      <c r="BY168">
        <v>2019</v>
      </c>
      <c r="BZ168" t="s">
        <v>615</v>
      </c>
    </row>
    <row r="169" spans="1:78" x14ac:dyDescent="0.25">
      <c r="A169" t="s">
        <v>351</v>
      </c>
      <c r="B169" t="s">
        <v>350</v>
      </c>
      <c r="C169">
        <v>3</v>
      </c>
      <c r="D169" t="s">
        <v>620</v>
      </c>
      <c r="E169">
        <f t="shared" si="5"/>
        <v>2050</v>
      </c>
      <c r="F169">
        <f t="shared" si="6"/>
        <v>2065</v>
      </c>
      <c r="L169" t="s">
        <v>1957</v>
      </c>
      <c r="M169" t="s">
        <v>1958</v>
      </c>
      <c r="N169" t="s">
        <v>351</v>
      </c>
      <c r="O169" t="s">
        <v>350</v>
      </c>
      <c r="P169" t="s">
        <v>605</v>
      </c>
      <c r="Q169" t="s">
        <v>40</v>
      </c>
      <c r="S169" t="s">
        <v>606</v>
      </c>
      <c r="U169" t="s">
        <v>607</v>
      </c>
      <c r="AC169">
        <v>2050</v>
      </c>
      <c r="AD169" t="s">
        <v>8</v>
      </c>
      <c r="AE169">
        <v>2022</v>
      </c>
      <c r="AF169" t="s">
        <v>608</v>
      </c>
      <c r="AG169">
        <v>7</v>
      </c>
      <c r="AK169">
        <v>116.486</v>
      </c>
      <c r="AL169">
        <v>125.254</v>
      </c>
      <c r="AN169">
        <v>2030</v>
      </c>
      <c r="AO169" t="s">
        <v>1959</v>
      </c>
      <c r="AP169" t="s">
        <v>1960</v>
      </c>
      <c r="AR169" t="s">
        <v>1961</v>
      </c>
      <c r="AS169" t="s">
        <v>620</v>
      </c>
      <c r="AU169" t="s">
        <v>602</v>
      </c>
      <c r="AV169" t="s">
        <v>602</v>
      </c>
      <c r="AW169" t="s">
        <v>602</v>
      </c>
      <c r="BA169" t="s">
        <v>606</v>
      </c>
      <c r="BB169" t="s">
        <v>1962</v>
      </c>
      <c r="BC169" t="s">
        <v>615</v>
      </c>
      <c r="BD169" t="s">
        <v>1015</v>
      </c>
      <c r="BE169" t="s">
        <v>614</v>
      </c>
      <c r="BF169" t="s">
        <v>606</v>
      </c>
      <c r="BG169" t="s">
        <v>602</v>
      </c>
      <c r="BH169" t="s">
        <v>1963</v>
      </c>
      <c r="BI169" t="s">
        <v>602</v>
      </c>
      <c r="BM169" t="s">
        <v>606</v>
      </c>
      <c r="BN169" t="s">
        <v>676</v>
      </c>
      <c r="BO169" t="s">
        <v>1964</v>
      </c>
      <c r="BQ169">
        <v>355264704200.52002</v>
      </c>
      <c r="BS169">
        <v>4520471</v>
      </c>
      <c r="BX169">
        <v>100280000</v>
      </c>
      <c r="BY169">
        <v>2019</v>
      </c>
    </row>
    <row r="170" spans="1:78" x14ac:dyDescent="0.25">
      <c r="A170" t="s">
        <v>357</v>
      </c>
      <c r="B170" t="s">
        <v>356</v>
      </c>
      <c r="C170">
        <v>3</v>
      </c>
      <c r="D170" t="s">
        <v>633</v>
      </c>
      <c r="E170">
        <f t="shared" si="5"/>
        <v>2050</v>
      </c>
      <c r="F170">
        <f t="shared" si="6"/>
        <v>2050</v>
      </c>
      <c r="L170" t="s">
        <v>1965</v>
      </c>
      <c r="M170" t="s">
        <v>1966</v>
      </c>
      <c r="N170" t="s">
        <v>357</v>
      </c>
      <c r="O170" t="s">
        <v>356</v>
      </c>
      <c r="P170" t="s">
        <v>636</v>
      </c>
      <c r="Q170" t="s">
        <v>40</v>
      </c>
      <c r="S170" t="s">
        <v>606</v>
      </c>
      <c r="U170" t="s">
        <v>607</v>
      </c>
      <c r="AC170">
        <v>2050</v>
      </c>
      <c r="AD170" t="s">
        <v>8</v>
      </c>
      <c r="AE170">
        <v>2021</v>
      </c>
      <c r="AF170" t="s">
        <v>518</v>
      </c>
      <c r="AM170" t="s">
        <v>1967</v>
      </c>
      <c r="AN170">
        <v>2030</v>
      </c>
      <c r="AO170" t="s">
        <v>1968</v>
      </c>
      <c r="AP170" t="s">
        <v>1969</v>
      </c>
      <c r="AQ170" t="s">
        <v>1969</v>
      </c>
      <c r="AR170" t="s">
        <v>1969</v>
      </c>
      <c r="AS170" t="s">
        <v>633</v>
      </c>
      <c r="AU170" t="s">
        <v>615</v>
      </c>
      <c r="AV170" t="s">
        <v>606</v>
      </c>
      <c r="AW170" t="s">
        <v>606</v>
      </c>
      <c r="BA170" t="s">
        <v>606</v>
      </c>
      <c r="BB170" t="s">
        <v>1970</v>
      </c>
      <c r="BC170" t="s">
        <v>615</v>
      </c>
      <c r="BD170" t="s">
        <v>854</v>
      </c>
      <c r="BE170" t="s">
        <v>614</v>
      </c>
      <c r="BF170" t="s">
        <v>615</v>
      </c>
      <c r="BG170" t="s">
        <v>606</v>
      </c>
      <c r="BH170" t="s">
        <v>1971</v>
      </c>
      <c r="BI170" t="s">
        <v>606</v>
      </c>
      <c r="BM170" t="s">
        <v>606</v>
      </c>
      <c r="BN170" t="s">
        <v>617</v>
      </c>
      <c r="BO170" t="s">
        <v>1972</v>
      </c>
      <c r="BP170" t="s">
        <v>619</v>
      </c>
      <c r="BQ170">
        <v>126351715567.67</v>
      </c>
      <c r="BS170">
        <v>4351267</v>
      </c>
      <c r="BX170">
        <v>25300000</v>
      </c>
      <c r="BY170">
        <v>2019</v>
      </c>
    </row>
    <row r="171" spans="1:78" hidden="1" x14ac:dyDescent="0.25">
      <c r="A171" t="s">
        <v>365</v>
      </c>
      <c r="B171" t="s">
        <v>364</v>
      </c>
      <c r="C171" s="38">
        <v>0</v>
      </c>
      <c r="D171" t="s">
        <v>633</v>
      </c>
      <c r="E171">
        <f t="shared" si="5"/>
        <v>2110</v>
      </c>
      <c r="F171" t="str">
        <f t="shared" si="6"/>
        <v/>
      </c>
      <c r="L171" t="s">
        <v>1973</v>
      </c>
      <c r="M171" t="s">
        <v>1974</v>
      </c>
      <c r="N171" t="s">
        <v>365</v>
      </c>
      <c r="O171" t="s">
        <v>364</v>
      </c>
      <c r="P171" t="s">
        <v>790</v>
      </c>
      <c r="Q171" t="s">
        <v>40</v>
      </c>
      <c r="S171" t="s">
        <v>606</v>
      </c>
      <c r="U171" t="s">
        <v>608</v>
      </c>
      <c r="V171">
        <v>75</v>
      </c>
      <c r="Z171">
        <v>835.07500000000005</v>
      </c>
      <c r="AA171">
        <v>3340.3</v>
      </c>
      <c r="AC171">
        <v>2030</v>
      </c>
      <c r="AD171" t="s">
        <v>8</v>
      </c>
      <c r="AE171">
        <v>2021</v>
      </c>
      <c r="AF171" t="s">
        <v>518</v>
      </c>
      <c r="AM171" t="s">
        <v>1975</v>
      </c>
      <c r="AN171">
        <v>2030</v>
      </c>
      <c r="AO171" t="s">
        <v>1976</v>
      </c>
      <c r="AP171" t="s">
        <v>1977</v>
      </c>
      <c r="AQ171" t="s">
        <v>1978</v>
      </c>
      <c r="AR171" t="s">
        <v>1979</v>
      </c>
      <c r="AS171" t="s">
        <v>633</v>
      </c>
      <c r="AU171" t="s">
        <v>602</v>
      </c>
      <c r="AV171" t="s">
        <v>606</v>
      </c>
      <c r="AW171" t="s">
        <v>606</v>
      </c>
      <c r="BA171" t="s">
        <v>606</v>
      </c>
      <c r="BB171" t="s">
        <v>1980</v>
      </c>
      <c r="BC171" t="s">
        <v>615</v>
      </c>
      <c r="BD171" t="s">
        <v>917</v>
      </c>
      <c r="BE171" t="s">
        <v>674</v>
      </c>
      <c r="BF171" t="s">
        <v>615</v>
      </c>
      <c r="BG171" t="s">
        <v>602</v>
      </c>
      <c r="BH171" t="s">
        <v>1981</v>
      </c>
      <c r="BI171" t="s">
        <v>615</v>
      </c>
      <c r="BJ171" t="s">
        <v>715</v>
      </c>
      <c r="BM171" t="s">
        <v>606</v>
      </c>
      <c r="BN171" t="s">
        <v>602</v>
      </c>
      <c r="BO171" t="s">
        <v>1982</v>
      </c>
      <c r="BQ171">
        <v>921826293241.60999</v>
      </c>
      <c r="BS171">
        <v>113880328</v>
      </c>
      <c r="BX171">
        <v>236790000</v>
      </c>
      <c r="BY171">
        <v>2019</v>
      </c>
    </row>
    <row r="172" spans="1:78" hidden="1" x14ac:dyDescent="0.25">
      <c r="A172" t="s">
        <v>369</v>
      </c>
      <c r="B172" t="s">
        <v>368</v>
      </c>
      <c r="C172" s="38">
        <v>0</v>
      </c>
      <c r="D172" t="s">
        <v>620</v>
      </c>
      <c r="E172">
        <f t="shared" si="5"/>
        <v>2110</v>
      </c>
      <c r="F172" t="str">
        <f t="shared" si="6"/>
        <v/>
      </c>
      <c r="L172" t="s">
        <v>1983</v>
      </c>
      <c r="M172" t="s">
        <v>1984</v>
      </c>
      <c r="N172" t="s">
        <v>369</v>
      </c>
      <c r="O172" t="s">
        <v>368</v>
      </c>
      <c r="P172" t="s">
        <v>665</v>
      </c>
      <c r="Q172" t="s">
        <v>40</v>
      </c>
      <c r="S172" t="s">
        <v>606</v>
      </c>
      <c r="U172" t="s">
        <v>625</v>
      </c>
      <c r="V172">
        <v>30</v>
      </c>
      <c r="W172">
        <v>1990</v>
      </c>
      <c r="AC172">
        <v>2030</v>
      </c>
      <c r="AD172" t="s">
        <v>8</v>
      </c>
      <c r="AE172">
        <v>2019</v>
      </c>
      <c r="AF172" t="s">
        <v>17</v>
      </c>
      <c r="AO172" t="s">
        <v>1985</v>
      </c>
      <c r="AQ172" t="s">
        <v>1986</v>
      </c>
      <c r="AR172" t="s">
        <v>1987</v>
      </c>
      <c r="AS172" t="s">
        <v>620</v>
      </c>
      <c r="AU172" t="s">
        <v>602</v>
      </c>
      <c r="AV172" t="s">
        <v>602</v>
      </c>
      <c r="AW172" t="s">
        <v>602</v>
      </c>
      <c r="BA172" t="s">
        <v>606</v>
      </c>
      <c r="BC172" t="s">
        <v>615</v>
      </c>
      <c r="BE172" t="s">
        <v>614</v>
      </c>
      <c r="BF172" t="s">
        <v>606</v>
      </c>
      <c r="BG172" t="s">
        <v>602</v>
      </c>
      <c r="BH172" t="s">
        <v>1988</v>
      </c>
      <c r="BM172" t="s">
        <v>606</v>
      </c>
      <c r="BN172" t="s">
        <v>602</v>
      </c>
      <c r="BQ172">
        <v>1298270048013.1001</v>
      </c>
      <c r="BS172">
        <v>38307726</v>
      </c>
      <c r="BX172">
        <v>320230000</v>
      </c>
      <c r="BY172">
        <v>2019</v>
      </c>
    </row>
    <row r="173" spans="1:78" hidden="1" x14ac:dyDescent="0.25">
      <c r="A173" t="s">
        <v>257</v>
      </c>
      <c r="B173" t="s">
        <v>256</v>
      </c>
      <c r="C173" s="38">
        <v>0</v>
      </c>
      <c r="D173" t="s">
        <v>633</v>
      </c>
      <c r="E173">
        <f t="shared" si="5"/>
        <v>2110</v>
      </c>
      <c r="F173" t="str">
        <f t="shared" si="6"/>
        <v/>
      </c>
      <c r="L173" t="s">
        <v>1989</v>
      </c>
      <c r="M173" t="s">
        <v>1990</v>
      </c>
      <c r="N173" t="s">
        <v>257</v>
      </c>
      <c r="O173" t="s">
        <v>256</v>
      </c>
      <c r="P173" t="s">
        <v>790</v>
      </c>
      <c r="Q173" t="s">
        <v>40</v>
      </c>
      <c r="S173" t="s">
        <v>606</v>
      </c>
      <c r="U173" t="s">
        <v>608</v>
      </c>
      <c r="V173">
        <v>52</v>
      </c>
      <c r="Z173">
        <v>104.64</v>
      </c>
      <c r="AA173">
        <v>218</v>
      </c>
      <c r="AC173">
        <v>2030</v>
      </c>
      <c r="AD173" t="s">
        <v>8</v>
      </c>
      <c r="AE173">
        <v>2019</v>
      </c>
      <c r="AF173" t="s">
        <v>17</v>
      </c>
      <c r="AO173" t="s">
        <v>1991</v>
      </c>
      <c r="AQ173" t="s">
        <v>1992</v>
      </c>
      <c r="AR173" t="s">
        <v>1993</v>
      </c>
      <c r="AS173" t="s">
        <v>633</v>
      </c>
      <c r="AU173" t="s">
        <v>602</v>
      </c>
      <c r="AV173" t="s">
        <v>602</v>
      </c>
      <c r="AW173" t="s">
        <v>602</v>
      </c>
      <c r="BA173" t="s">
        <v>606</v>
      </c>
      <c r="BC173" t="s">
        <v>606</v>
      </c>
      <c r="BE173" t="s">
        <v>614</v>
      </c>
      <c r="BF173" t="s">
        <v>615</v>
      </c>
      <c r="BG173" t="s">
        <v>602</v>
      </c>
      <c r="BI173" t="s">
        <v>602</v>
      </c>
      <c r="BM173" t="s">
        <v>606</v>
      </c>
      <c r="BN173" t="s">
        <v>617</v>
      </c>
      <c r="BO173" t="s">
        <v>1994</v>
      </c>
      <c r="BS173">
        <v>25971909</v>
      </c>
      <c r="BX173">
        <v>82690000</v>
      </c>
      <c r="BY173">
        <v>2019</v>
      </c>
    </row>
    <row r="174" spans="1:78" hidden="1" x14ac:dyDescent="0.25">
      <c r="A174" t="s">
        <v>361</v>
      </c>
      <c r="B174" t="s">
        <v>360</v>
      </c>
      <c r="C174" s="38">
        <v>0</v>
      </c>
      <c r="D174" t="s">
        <v>633</v>
      </c>
      <c r="E174">
        <f t="shared" si="5"/>
        <v>2110</v>
      </c>
      <c r="F174" t="str">
        <f t="shared" si="6"/>
        <v/>
      </c>
      <c r="L174" t="s">
        <v>1995</v>
      </c>
      <c r="M174" t="s">
        <v>1996</v>
      </c>
      <c r="N174" t="s">
        <v>361</v>
      </c>
      <c r="O174" t="s">
        <v>360</v>
      </c>
      <c r="P174" t="s">
        <v>636</v>
      </c>
      <c r="Q174" t="s">
        <v>40</v>
      </c>
      <c r="S174" t="s">
        <v>606</v>
      </c>
      <c r="U174" t="s">
        <v>608</v>
      </c>
      <c r="V174">
        <v>20</v>
      </c>
      <c r="Z174">
        <v>102542</v>
      </c>
      <c r="AA174">
        <v>10254</v>
      </c>
      <c r="AC174">
        <v>2030</v>
      </c>
      <c r="AD174" t="s">
        <v>8</v>
      </c>
      <c r="AE174">
        <v>2016</v>
      </c>
      <c r="AF174" t="s">
        <v>17</v>
      </c>
      <c r="AO174" t="s">
        <v>1997</v>
      </c>
      <c r="AQ174" t="s">
        <v>1998</v>
      </c>
      <c r="AR174" t="s">
        <v>1999</v>
      </c>
      <c r="AS174" t="s">
        <v>633</v>
      </c>
      <c r="AU174" t="s">
        <v>602</v>
      </c>
      <c r="AV174" t="s">
        <v>602</v>
      </c>
      <c r="AW174" t="s">
        <v>602</v>
      </c>
      <c r="BA174" t="s">
        <v>606</v>
      </c>
      <c r="BB174" t="s">
        <v>2000</v>
      </c>
      <c r="BC174" t="s">
        <v>615</v>
      </c>
      <c r="BD174" t="s">
        <v>1373</v>
      </c>
      <c r="BE174" t="s">
        <v>674</v>
      </c>
      <c r="BF174" t="s">
        <v>615</v>
      </c>
      <c r="BG174" t="s">
        <v>602</v>
      </c>
      <c r="BH174" t="s">
        <v>2001</v>
      </c>
      <c r="BN174" t="s">
        <v>617</v>
      </c>
      <c r="BQ174">
        <v>91845200438.035004</v>
      </c>
      <c r="BS174">
        <v>6703799</v>
      </c>
      <c r="BX174">
        <v>96600000</v>
      </c>
      <c r="BY174">
        <v>2019</v>
      </c>
    </row>
    <row r="175" spans="1:78" hidden="1" x14ac:dyDescent="0.25">
      <c r="A175" t="s">
        <v>2002</v>
      </c>
      <c r="B175" t="s">
        <v>2003</v>
      </c>
      <c r="C175" s="38">
        <v>0</v>
      </c>
      <c r="D175" t="s">
        <v>633</v>
      </c>
      <c r="E175">
        <f t="shared" si="5"/>
        <v>2110</v>
      </c>
      <c r="F175" t="str">
        <f t="shared" si="6"/>
        <v/>
      </c>
      <c r="L175" t="s">
        <v>2004</v>
      </c>
      <c r="M175" t="s">
        <v>2005</v>
      </c>
      <c r="N175" t="s">
        <v>2002</v>
      </c>
      <c r="O175" t="s">
        <v>2003</v>
      </c>
      <c r="P175" t="s">
        <v>605</v>
      </c>
      <c r="Q175" t="s">
        <v>40</v>
      </c>
      <c r="S175" t="s">
        <v>606</v>
      </c>
      <c r="U175" t="s">
        <v>518</v>
      </c>
      <c r="AB175" t="s">
        <v>2006</v>
      </c>
      <c r="AC175">
        <v>2040</v>
      </c>
      <c r="AD175" t="s">
        <v>8</v>
      </c>
      <c r="AE175">
        <v>2021</v>
      </c>
      <c r="AF175" t="s">
        <v>17</v>
      </c>
      <c r="AR175" t="s">
        <v>2007</v>
      </c>
      <c r="AS175" t="s">
        <v>633</v>
      </c>
      <c r="AU175" t="s">
        <v>606</v>
      </c>
      <c r="AV175" t="s">
        <v>606</v>
      </c>
      <c r="AW175" t="s">
        <v>606</v>
      </c>
      <c r="BA175" t="s">
        <v>606</v>
      </c>
      <c r="BB175" t="s">
        <v>2008</v>
      </c>
      <c r="BC175" t="s">
        <v>615</v>
      </c>
      <c r="BD175" t="s">
        <v>725</v>
      </c>
      <c r="BE175" t="s">
        <v>674</v>
      </c>
      <c r="BF175" t="s">
        <v>615</v>
      </c>
      <c r="BG175" t="s">
        <v>602</v>
      </c>
      <c r="BI175" t="s">
        <v>602</v>
      </c>
      <c r="BM175" t="s">
        <v>606</v>
      </c>
      <c r="BN175" t="s">
        <v>606</v>
      </c>
      <c r="BQ175">
        <v>30518341297.195801</v>
      </c>
      <c r="BS175">
        <v>5133392</v>
      </c>
    </row>
    <row r="176" spans="1:78" hidden="1" x14ac:dyDescent="0.25">
      <c r="A176" t="s">
        <v>375</v>
      </c>
      <c r="B176" t="s">
        <v>374</v>
      </c>
      <c r="C176" s="38">
        <v>0</v>
      </c>
      <c r="D176" t="s">
        <v>633</v>
      </c>
      <c r="E176">
        <f t="shared" si="5"/>
        <v>2110</v>
      </c>
      <c r="F176" t="str">
        <f t="shared" si="6"/>
        <v/>
      </c>
      <c r="L176" t="s">
        <v>2009</v>
      </c>
      <c r="M176" t="s">
        <v>2010</v>
      </c>
      <c r="N176" t="s">
        <v>375</v>
      </c>
      <c r="O176" t="s">
        <v>374</v>
      </c>
      <c r="P176" t="s">
        <v>605</v>
      </c>
      <c r="Q176" t="s">
        <v>40</v>
      </c>
      <c r="S176" t="s">
        <v>606</v>
      </c>
      <c r="U176" t="s">
        <v>625</v>
      </c>
      <c r="V176">
        <v>25</v>
      </c>
      <c r="W176">
        <v>2019</v>
      </c>
      <c r="AC176">
        <v>2030</v>
      </c>
      <c r="AD176" t="s">
        <v>8</v>
      </c>
      <c r="AE176">
        <v>2021</v>
      </c>
      <c r="AF176" t="s">
        <v>17</v>
      </c>
      <c r="AO176" t="s">
        <v>2011</v>
      </c>
      <c r="AR176" t="s">
        <v>2012</v>
      </c>
      <c r="AS176" t="s">
        <v>633</v>
      </c>
      <c r="AU176" t="s">
        <v>602</v>
      </c>
      <c r="AV176" t="s">
        <v>602</v>
      </c>
      <c r="AW176" t="s">
        <v>602</v>
      </c>
      <c r="BA176" t="s">
        <v>606</v>
      </c>
      <c r="BB176" t="s">
        <v>2013</v>
      </c>
      <c r="BC176" t="s">
        <v>606</v>
      </c>
      <c r="BE176" t="s">
        <v>614</v>
      </c>
      <c r="BF176" t="s">
        <v>606</v>
      </c>
      <c r="BG176" t="s">
        <v>602</v>
      </c>
      <c r="BH176" t="s">
        <v>2014</v>
      </c>
      <c r="BI176" t="s">
        <v>602</v>
      </c>
      <c r="BM176" t="s">
        <v>615</v>
      </c>
      <c r="BN176" t="s">
        <v>676</v>
      </c>
      <c r="BO176" t="s">
        <v>2015</v>
      </c>
      <c r="BQ176">
        <v>249470302290.29999</v>
      </c>
      <c r="BS176">
        <v>2688235</v>
      </c>
      <c r="BX176">
        <v>114760000</v>
      </c>
      <c r="BY176">
        <v>2019</v>
      </c>
    </row>
    <row r="177" spans="1:78" x14ac:dyDescent="0.25">
      <c r="A177" t="s">
        <v>379</v>
      </c>
      <c r="B177" t="s">
        <v>378</v>
      </c>
      <c r="C177">
        <v>3</v>
      </c>
      <c r="D177" t="s">
        <v>633</v>
      </c>
      <c r="E177">
        <f t="shared" si="5"/>
        <v>2050</v>
      </c>
      <c r="F177">
        <f t="shared" si="6"/>
        <v>2050</v>
      </c>
      <c r="L177" t="s">
        <v>2016</v>
      </c>
      <c r="M177" t="s">
        <v>2017</v>
      </c>
      <c r="N177" t="s">
        <v>379</v>
      </c>
      <c r="O177" t="s">
        <v>378</v>
      </c>
      <c r="P177" t="s">
        <v>665</v>
      </c>
      <c r="Q177" t="s">
        <v>40</v>
      </c>
      <c r="S177" t="s">
        <v>606</v>
      </c>
      <c r="U177" t="s">
        <v>666</v>
      </c>
      <c r="AC177">
        <v>2050</v>
      </c>
      <c r="AD177" t="s">
        <v>8</v>
      </c>
      <c r="AF177" t="s">
        <v>625</v>
      </c>
      <c r="AG177">
        <v>44</v>
      </c>
      <c r="AH177">
        <v>2005</v>
      </c>
      <c r="AN177">
        <v>2030</v>
      </c>
      <c r="AO177" t="s">
        <v>2018</v>
      </c>
      <c r="AP177" t="s">
        <v>2019</v>
      </c>
      <c r="AQ177" t="s">
        <v>2020</v>
      </c>
      <c r="AR177" t="s">
        <v>2021</v>
      </c>
      <c r="AS177" t="s">
        <v>633</v>
      </c>
      <c r="AU177" t="s">
        <v>606</v>
      </c>
      <c r="AV177" t="s">
        <v>606</v>
      </c>
      <c r="AW177" t="s">
        <v>606</v>
      </c>
      <c r="BA177" t="s">
        <v>606</v>
      </c>
      <c r="BC177" t="s">
        <v>615</v>
      </c>
      <c r="BD177" t="s">
        <v>893</v>
      </c>
      <c r="BE177" t="s">
        <v>614</v>
      </c>
      <c r="BF177" t="s">
        <v>606</v>
      </c>
      <c r="BG177" t="s">
        <v>602</v>
      </c>
      <c r="BH177" t="s">
        <v>2022</v>
      </c>
      <c r="BI177" t="s">
        <v>606</v>
      </c>
      <c r="BM177" t="s">
        <v>606</v>
      </c>
      <c r="BN177" t="s">
        <v>606</v>
      </c>
      <c r="BO177" t="s">
        <v>2023</v>
      </c>
      <c r="BP177" t="s">
        <v>619</v>
      </c>
      <c r="BQ177">
        <v>589791004835.87</v>
      </c>
      <c r="BS177">
        <v>19328560</v>
      </c>
      <c r="BX177">
        <v>78360000</v>
      </c>
      <c r="BY177">
        <v>2019</v>
      </c>
    </row>
    <row r="178" spans="1:78" x14ac:dyDescent="0.25">
      <c r="A178" t="s">
        <v>381</v>
      </c>
      <c r="B178" t="s">
        <v>380</v>
      </c>
      <c r="C178">
        <v>3</v>
      </c>
      <c r="D178" t="s">
        <v>633</v>
      </c>
      <c r="E178">
        <f t="shared" si="5"/>
        <v>2060</v>
      </c>
      <c r="F178">
        <f t="shared" si="6"/>
        <v>2060</v>
      </c>
      <c r="L178" t="s">
        <v>2024</v>
      </c>
      <c r="M178" t="s">
        <v>2025</v>
      </c>
      <c r="N178" t="s">
        <v>381</v>
      </c>
      <c r="O178" t="s">
        <v>380</v>
      </c>
      <c r="P178" t="s">
        <v>665</v>
      </c>
      <c r="Q178" t="s">
        <v>40</v>
      </c>
      <c r="S178" t="s">
        <v>606</v>
      </c>
      <c r="U178" t="s">
        <v>680</v>
      </c>
      <c r="AC178">
        <v>2060</v>
      </c>
      <c r="AD178" t="s">
        <v>8</v>
      </c>
      <c r="AE178">
        <v>2021</v>
      </c>
      <c r="AF178" t="s">
        <v>625</v>
      </c>
      <c r="AG178">
        <v>30</v>
      </c>
      <c r="AH178">
        <v>1990</v>
      </c>
      <c r="AN178">
        <v>2030</v>
      </c>
      <c r="AO178" t="s">
        <v>2026</v>
      </c>
      <c r="AP178" t="s">
        <v>2027</v>
      </c>
      <c r="AQ178" t="s">
        <v>2028</v>
      </c>
      <c r="AR178" t="s">
        <v>2029</v>
      </c>
      <c r="AS178" t="s">
        <v>633</v>
      </c>
      <c r="AU178" t="s">
        <v>602</v>
      </c>
      <c r="AV178" t="s">
        <v>602</v>
      </c>
      <c r="AW178" t="s">
        <v>602</v>
      </c>
      <c r="BA178" t="s">
        <v>606</v>
      </c>
      <c r="BB178" t="s">
        <v>2030</v>
      </c>
      <c r="BC178" t="s">
        <v>615</v>
      </c>
      <c r="BE178" t="s">
        <v>630</v>
      </c>
      <c r="BF178" t="s">
        <v>606</v>
      </c>
      <c r="BG178" t="s">
        <v>606</v>
      </c>
      <c r="BH178" t="s">
        <v>2031</v>
      </c>
      <c r="BI178" t="s">
        <v>602</v>
      </c>
      <c r="BM178" t="s">
        <v>606</v>
      </c>
      <c r="BN178" t="s">
        <v>617</v>
      </c>
      <c r="BO178" t="s">
        <v>2032</v>
      </c>
      <c r="BQ178">
        <v>4080294904824.7002</v>
      </c>
      <c r="BS178">
        <v>145102755</v>
      </c>
      <c r="BX178">
        <v>1924820000</v>
      </c>
      <c r="BY178">
        <v>2019</v>
      </c>
    </row>
    <row r="179" spans="1:78" x14ac:dyDescent="0.25">
      <c r="A179" t="s">
        <v>391</v>
      </c>
      <c r="B179" t="s">
        <v>390</v>
      </c>
      <c r="C179">
        <v>3</v>
      </c>
      <c r="D179" t="s">
        <v>633</v>
      </c>
      <c r="E179">
        <f t="shared" si="5"/>
        <v>2060</v>
      </c>
      <c r="F179">
        <f t="shared" si="6"/>
        <v>2060</v>
      </c>
      <c r="L179" t="s">
        <v>2033</v>
      </c>
      <c r="M179" t="s">
        <v>2034</v>
      </c>
      <c r="N179" t="s">
        <v>391</v>
      </c>
      <c r="O179" t="s">
        <v>390</v>
      </c>
      <c r="P179" t="s">
        <v>605</v>
      </c>
      <c r="Q179" t="s">
        <v>40</v>
      </c>
      <c r="S179" t="s">
        <v>606</v>
      </c>
      <c r="U179" t="s">
        <v>607</v>
      </c>
      <c r="AC179">
        <v>2060</v>
      </c>
      <c r="AD179" t="s">
        <v>8</v>
      </c>
      <c r="AE179">
        <v>2021</v>
      </c>
      <c r="AF179" t="s">
        <v>518</v>
      </c>
      <c r="AM179" t="s">
        <v>2035</v>
      </c>
      <c r="AN179">
        <v>2030</v>
      </c>
      <c r="AO179" t="s">
        <v>2036</v>
      </c>
      <c r="AP179" t="s">
        <v>2037</v>
      </c>
      <c r="AQ179" t="s">
        <v>2038</v>
      </c>
      <c r="AR179" t="s">
        <v>2039</v>
      </c>
      <c r="AS179" t="s">
        <v>633</v>
      </c>
      <c r="AU179" t="s">
        <v>606</v>
      </c>
      <c r="AV179" t="s">
        <v>606</v>
      </c>
      <c r="AW179" t="s">
        <v>606</v>
      </c>
      <c r="BA179" t="s">
        <v>606</v>
      </c>
      <c r="BB179" t="s">
        <v>2040</v>
      </c>
      <c r="BC179" t="s">
        <v>606</v>
      </c>
      <c r="BE179" t="s">
        <v>614</v>
      </c>
      <c r="BF179" t="s">
        <v>606</v>
      </c>
      <c r="BG179" t="s">
        <v>606</v>
      </c>
      <c r="BI179" t="s">
        <v>615</v>
      </c>
      <c r="BJ179" t="s">
        <v>1199</v>
      </c>
      <c r="BL179" t="s">
        <v>2041</v>
      </c>
      <c r="BM179" t="s">
        <v>606</v>
      </c>
      <c r="BN179" t="s">
        <v>676</v>
      </c>
      <c r="BO179" t="s">
        <v>2042</v>
      </c>
      <c r="BQ179">
        <v>1594015847278.2</v>
      </c>
      <c r="BS179">
        <v>35950396</v>
      </c>
      <c r="BX179">
        <v>723150000</v>
      </c>
      <c r="BY179">
        <v>2019</v>
      </c>
    </row>
    <row r="180" spans="1:78" hidden="1" x14ac:dyDescent="0.25">
      <c r="A180" t="s">
        <v>427</v>
      </c>
      <c r="B180" t="s">
        <v>426</v>
      </c>
      <c r="C180">
        <v>1</v>
      </c>
      <c r="D180" t="s">
        <v>633</v>
      </c>
      <c r="E180">
        <f t="shared" si="5"/>
        <v>2110</v>
      </c>
      <c r="F180">
        <f t="shared" si="6"/>
        <v>2110</v>
      </c>
      <c r="L180" t="s">
        <v>2043</v>
      </c>
      <c r="M180" t="s">
        <v>2044</v>
      </c>
      <c r="N180" t="s">
        <v>427</v>
      </c>
      <c r="O180" t="s">
        <v>426</v>
      </c>
      <c r="P180" t="s">
        <v>624</v>
      </c>
      <c r="Q180" t="s">
        <v>40</v>
      </c>
      <c r="S180" t="s">
        <v>606</v>
      </c>
      <c r="U180" t="s">
        <v>607</v>
      </c>
      <c r="AC180">
        <v>2050</v>
      </c>
      <c r="AD180" t="s">
        <v>12</v>
      </c>
      <c r="AE180">
        <v>2021</v>
      </c>
      <c r="AF180" t="s">
        <v>518</v>
      </c>
      <c r="AM180" t="s">
        <v>2045</v>
      </c>
      <c r="AN180">
        <v>2030</v>
      </c>
      <c r="AO180" t="s">
        <v>2046</v>
      </c>
      <c r="AQ180" t="s">
        <v>2047</v>
      </c>
      <c r="AR180" t="s">
        <v>628</v>
      </c>
      <c r="AS180" t="s">
        <v>633</v>
      </c>
      <c r="AU180" t="s">
        <v>602</v>
      </c>
      <c r="AV180" t="s">
        <v>602</v>
      </c>
      <c r="AW180" t="s">
        <v>602</v>
      </c>
      <c r="BA180" t="s">
        <v>606</v>
      </c>
      <c r="BB180" t="s">
        <v>2048</v>
      </c>
      <c r="BC180" t="s">
        <v>606</v>
      </c>
      <c r="BE180" t="s">
        <v>614</v>
      </c>
      <c r="BF180" t="s">
        <v>606</v>
      </c>
      <c r="BG180" t="s">
        <v>602</v>
      </c>
      <c r="BH180" t="s">
        <v>2049</v>
      </c>
      <c r="BI180" t="s">
        <v>602</v>
      </c>
      <c r="BM180" t="s">
        <v>606</v>
      </c>
      <c r="BN180" t="s">
        <v>602</v>
      </c>
      <c r="BO180" t="s">
        <v>2050</v>
      </c>
      <c r="BP180" t="s">
        <v>619</v>
      </c>
      <c r="BQ180">
        <v>172395320232.78</v>
      </c>
      <c r="BS180">
        <v>45657202</v>
      </c>
      <c r="BX180">
        <v>127070000</v>
      </c>
      <c r="BY180">
        <v>2019</v>
      </c>
    </row>
    <row r="181" spans="1:78" hidden="1" x14ac:dyDescent="0.25">
      <c r="A181" t="s">
        <v>169</v>
      </c>
      <c r="B181" t="s">
        <v>168</v>
      </c>
      <c r="C181" s="38">
        <v>0</v>
      </c>
      <c r="D181" t="s">
        <v>633</v>
      </c>
      <c r="E181">
        <f t="shared" si="5"/>
        <v>2110</v>
      </c>
      <c r="F181">
        <f t="shared" si="6"/>
        <v>2110</v>
      </c>
      <c r="L181" t="s">
        <v>2051</v>
      </c>
      <c r="M181" t="s">
        <v>2052</v>
      </c>
      <c r="N181" t="s">
        <v>169</v>
      </c>
      <c r="O181" t="s">
        <v>168</v>
      </c>
      <c r="P181" t="s">
        <v>636</v>
      </c>
      <c r="Q181" t="s">
        <v>40</v>
      </c>
      <c r="S181" t="s">
        <v>606</v>
      </c>
      <c r="U181" t="s">
        <v>780</v>
      </c>
      <c r="W181">
        <v>2019</v>
      </c>
      <c r="Y181">
        <v>0.98599999999999999</v>
      </c>
      <c r="Z181">
        <v>0.79300000000000004</v>
      </c>
      <c r="AC181">
        <v>2030</v>
      </c>
      <c r="AD181" t="s">
        <v>8</v>
      </c>
      <c r="AE181">
        <v>2021</v>
      </c>
      <c r="AF181" t="s">
        <v>17</v>
      </c>
      <c r="AO181" t="s">
        <v>2053</v>
      </c>
      <c r="AQ181" t="s">
        <v>2054</v>
      </c>
      <c r="AR181" t="s">
        <v>2055</v>
      </c>
      <c r="AS181" t="s">
        <v>633</v>
      </c>
      <c r="AU181" t="s">
        <v>602</v>
      </c>
      <c r="AV181" t="s">
        <v>602</v>
      </c>
      <c r="AW181" t="s">
        <v>602</v>
      </c>
      <c r="BB181" t="s">
        <v>2056</v>
      </c>
      <c r="BC181" t="s">
        <v>615</v>
      </c>
      <c r="BD181" t="s">
        <v>1251</v>
      </c>
      <c r="BE181" t="s">
        <v>614</v>
      </c>
      <c r="BF181" t="s">
        <v>615</v>
      </c>
      <c r="BG181" t="s">
        <v>602</v>
      </c>
      <c r="BI181" t="s">
        <v>602</v>
      </c>
      <c r="BM181" t="s">
        <v>606</v>
      </c>
      <c r="BN181" t="s">
        <v>617</v>
      </c>
      <c r="BQ181">
        <v>57369274335.195</v>
      </c>
      <c r="BS181">
        <v>6314168</v>
      </c>
      <c r="BX181">
        <v>13920000</v>
      </c>
      <c r="BY181">
        <v>2019</v>
      </c>
    </row>
    <row r="182" spans="1:78" hidden="1" x14ac:dyDescent="0.25">
      <c r="A182" t="s">
        <v>387</v>
      </c>
      <c r="B182" t="s">
        <v>386</v>
      </c>
      <c r="C182" s="38">
        <v>0</v>
      </c>
      <c r="D182" t="s">
        <v>633</v>
      </c>
      <c r="E182">
        <f t="shared" si="5"/>
        <v>2110</v>
      </c>
      <c r="F182" t="str">
        <f t="shared" si="6"/>
        <v/>
      </c>
      <c r="L182" t="s">
        <v>2057</v>
      </c>
      <c r="M182" t="s">
        <v>2058</v>
      </c>
      <c r="N182" t="s">
        <v>387</v>
      </c>
      <c r="O182" t="s">
        <v>386</v>
      </c>
      <c r="P182" t="s">
        <v>665</v>
      </c>
      <c r="Q182" t="s">
        <v>40</v>
      </c>
      <c r="S182" t="s">
        <v>606</v>
      </c>
      <c r="U182" t="s">
        <v>625</v>
      </c>
      <c r="V182">
        <v>20</v>
      </c>
      <c r="W182">
        <v>2005</v>
      </c>
      <c r="AC182">
        <v>2030</v>
      </c>
      <c r="AD182" t="s">
        <v>8</v>
      </c>
      <c r="AE182">
        <v>2015</v>
      </c>
      <c r="AF182" t="s">
        <v>17</v>
      </c>
      <c r="AO182" t="s">
        <v>2059</v>
      </c>
      <c r="AQ182" t="s">
        <v>2060</v>
      </c>
      <c r="AR182" t="s">
        <v>2061</v>
      </c>
      <c r="AS182" t="s">
        <v>633</v>
      </c>
      <c r="AU182" t="s">
        <v>602</v>
      </c>
      <c r="AV182" t="s">
        <v>615</v>
      </c>
      <c r="AW182" t="s">
        <v>615</v>
      </c>
      <c r="BA182" t="s">
        <v>606</v>
      </c>
      <c r="BB182" t="s">
        <v>2062</v>
      </c>
      <c r="BC182" t="s">
        <v>606</v>
      </c>
      <c r="BE182" t="s">
        <v>630</v>
      </c>
      <c r="BF182" t="s">
        <v>606</v>
      </c>
      <c r="BG182" t="s">
        <v>602</v>
      </c>
      <c r="BI182" t="s">
        <v>602</v>
      </c>
      <c r="BQ182">
        <v>2021751373.1352301</v>
      </c>
      <c r="BS182">
        <v>33746</v>
      </c>
    </row>
    <row r="183" spans="1:78" hidden="1" x14ac:dyDescent="0.25">
      <c r="A183" t="s">
        <v>409</v>
      </c>
      <c r="B183" t="s">
        <v>408</v>
      </c>
      <c r="C183">
        <v>1</v>
      </c>
      <c r="D183" t="s">
        <v>633</v>
      </c>
      <c r="E183">
        <f t="shared" si="5"/>
        <v>2110</v>
      </c>
      <c r="F183">
        <f t="shared" si="6"/>
        <v>2110</v>
      </c>
      <c r="L183" t="s">
        <v>2063</v>
      </c>
      <c r="M183" t="s">
        <v>2064</v>
      </c>
      <c r="N183" t="s">
        <v>409</v>
      </c>
      <c r="O183" t="s">
        <v>408</v>
      </c>
      <c r="P183" t="s">
        <v>624</v>
      </c>
      <c r="Q183" t="s">
        <v>40</v>
      </c>
      <c r="S183" t="s">
        <v>606</v>
      </c>
      <c r="U183" t="s">
        <v>607</v>
      </c>
      <c r="AC183">
        <v>2050</v>
      </c>
      <c r="AD183" t="s">
        <v>12</v>
      </c>
      <c r="AE183">
        <v>2019</v>
      </c>
      <c r="AF183" t="s">
        <v>608</v>
      </c>
      <c r="AG183">
        <v>30</v>
      </c>
      <c r="AK183">
        <v>75</v>
      </c>
      <c r="AL183">
        <v>107.4</v>
      </c>
      <c r="AN183">
        <v>2030</v>
      </c>
      <c r="AO183" t="s">
        <v>619</v>
      </c>
      <c r="AP183" t="s">
        <v>2065</v>
      </c>
      <c r="AQ183" t="s">
        <v>2066</v>
      </c>
      <c r="AR183" t="s">
        <v>2066</v>
      </c>
      <c r="AS183" t="s">
        <v>633</v>
      </c>
      <c r="AU183" t="s">
        <v>602</v>
      </c>
      <c r="AV183" t="s">
        <v>602</v>
      </c>
      <c r="AW183" t="s">
        <v>602</v>
      </c>
      <c r="BA183" t="s">
        <v>606</v>
      </c>
      <c r="BB183" t="s">
        <v>2067</v>
      </c>
      <c r="BC183" t="s">
        <v>615</v>
      </c>
      <c r="BD183" t="s">
        <v>1301</v>
      </c>
      <c r="BE183" t="s">
        <v>614</v>
      </c>
      <c r="BF183" t="s">
        <v>615</v>
      </c>
      <c r="BG183" t="s">
        <v>602</v>
      </c>
      <c r="BH183" t="s">
        <v>2068</v>
      </c>
      <c r="BI183" t="s">
        <v>615</v>
      </c>
      <c r="BJ183" t="s">
        <v>2069</v>
      </c>
      <c r="BM183" t="s">
        <v>606</v>
      </c>
      <c r="BN183" t="s">
        <v>617</v>
      </c>
      <c r="BO183" t="s">
        <v>2070</v>
      </c>
      <c r="BP183" t="s">
        <v>619</v>
      </c>
      <c r="BQ183">
        <v>19395201831.577</v>
      </c>
      <c r="BS183">
        <v>16537016</v>
      </c>
      <c r="BX183">
        <v>42510000</v>
      </c>
      <c r="BY183">
        <v>2019</v>
      </c>
    </row>
    <row r="184" spans="1:78" hidden="1" x14ac:dyDescent="0.25">
      <c r="A184" t="s">
        <v>2071</v>
      </c>
      <c r="B184" t="s">
        <v>2072</v>
      </c>
      <c r="C184" s="38">
        <v>0</v>
      </c>
      <c r="D184" t="s">
        <v>633</v>
      </c>
      <c r="E184">
        <f t="shared" si="5"/>
        <v>2110</v>
      </c>
      <c r="F184" t="str">
        <f t="shared" si="6"/>
        <v/>
      </c>
      <c r="L184" t="s">
        <v>2073</v>
      </c>
      <c r="M184" t="s">
        <v>2074</v>
      </c>
      <c r="N184" t="s">
        <v>2071</v>
      </c>
      <c r="O184" t="s">
        <v>2072</v>
      </c>
      <c r="P184" t="s">
        <v>665</v>
      </c>
      <c r="Q184" t="s">
        <v>40</v>
      </c>
      <c r="S184" t="s">
        <v>606</v>
      </c>
      <c r="U184" t="s">
        <v>625</v>
      </c>
      <c r="V184">
        <v>33.299999999999997</v>
      </c>
      <c r="W184">
        <v>1990</v>
      </c>
      <c r="AC184">
        <v>2030</v>
      </c>
      <c r="AD184" t="s">
        <v>8</v>
      </c>
      <c r="AE184">
        <v>2021</v>
      </c>
      <c r="AF184" t="s">
        <v>17</v>
      </c>
      <c r="AQ184" t="s">
        <v>2075</v>
      </c>
      <c r="AR184" t="s">
        <v>2076</v>
      </c>
      <c r="AS184" t="s">
        <v>633</v>
      </c>
      <c r="AU184" t="s">
        <v>602</v>
      </c>
      <c r="AV184" t="s">
        <v>602</v>
      </c>
      <c r="AW184" t="s">
        <v>602</v>
      </c>
      <c r="BA184" t="s">
        <v>606</v>
      </c>
      <c r="BB184" t="s">
        <v>2077</v>
      </c>
      <c r="BC184" t="s">
        <v>615</v>
      </c>
      <c r="BD184" t="s">
        <v>844</v>
      </c>
      <c r="BE184" t="s">
        <v>614</v>
      </c>
      <c r="BF184" t="s">
        <v>615</v>
      </c>
      <c r="BG184" t="s">
        <v>606</v>
      </c>
      <c r="BH184" t="s">
        <v>2078</v>
      </c>
      <c r="BI184" t="s">
        <v>602</v>
      </c>
      <c r="BM184" t="s">
        <v>615</v>
      </c>
      <c r="BN184" t="s">
        <v>602</v>
      </c>
      <c r="BQ184">
        <v>135250256377.06</v>
      </c>
      <c r="BS184">
        <v>7464880</v>
      </c>
      <c r="BX184">
        <v>63270000</v>
      </c>
      <c r="BY184">
        <v>2017</v>
      </c>
    </row>
    <row r="185" spans="1:78" hidden="1" x14ac:dyDescent="0.25">
      <c r="A185" t="s">
        <v>2079</v>
      </c>
      <c r="B185" t="s">
        <v>430</v>
      </c>
      <c r="C185" s="38">
        <v>0</v>
      </c>
      <c r="D185" t="s">
        <v>633</v>
      </c>
      <c r="E185">
        <f t="shared" si="5"/>
        <v>2110</v>
      </c>
      <c r="F185" t="str">
        <f t="shared" si="6"/>
        <v/>
      </c>
      <c r="L185" t="s">
        <v>2080</v>
      </c>
      <c r="M185" t="s">
        <v>2081</v>
      </c>
      <c r="N185" t="s">
        <v>2079</v>
      </c>
      <c r="O185" t="s">
        <v>430</v>
      </c>
      <c r="P185" t="s">
        <v>624</v>
      </c>
      <c r="Q185" t="s">
        <v>40</v>
      </c>
      <c r="S185" t="s">
        <v>606</v>
      </c>
      <c r="U185" t="s">
        <v>608</v>
      </c>
      <c r="V185">
        <v>5</v>
      </c>
      <c r="Z185">
        <v>0</v>
      </c>
      <c r="AA185">
        <v>0</v>
      </c>
      <c r="AC185">
        <v>2030</v>
      </c>
      <c r="AD185" t="s">
        <v>8</v>
      </c>
      <c r="AE185">
        <v>2021</v>
      </c>
      <c r="AF185" t="s">
        <v>17</v>
      </c>
      <c r="AO185" t="s">
        <v>2082</v>
      </c>
      <c r="AQ185" t="s">
        <v>2083</v>
      </c>
      <c r="AR185" t="s">
        <v>2084</v>
      </c>
      <c r="AS185" t="s">
        <v>633</v>
      </c>
      <c r="AU185" t="s">
        <v>602</v>
      </c>
      <c r="AV185" t="s">
        <v>602</v>
      </c>
      <c r="AW185" t="s">
        <v>602</v>
      </c>
      <c r="BA185" t="s">
        <v>606</v>
      </c>
      <c r="BB185" t="s">
        <v>2085</v>
      </c>
      <c r="BC185" t="s">
        <v>615</v>
      </c>
      <c r="BD185" t="s">
        <v>1462</v>
      </c>
      <c r="BE185" t="s">
        <v>614</v>
      </c>
      <c r="BF185" t="s">
        <v>615</v>
      </c>
      <c r="BG185" t="s">
        <v>606</v>
      </c>
      <c r="BH185" t="s">
        <v>2086</v>
      </c>
      <c r="BI185" t="s">
        <v>615</v>
      </c>
      <c r="BJ185" t="s">
        <v>715</v>
      </c>
      <c r="BM185" t="s">
        <v>606</v>
      </c>
      <c r="BN185" t="s">
        <v>617</v>
      </c>
      <c r="BO185" t="s">
        <v>2087</v>
      </c>
      <c r="BQ185">
        <v>10474973831.290001</v>
      </c>
      <c r="BS185">
        <v>1192271</v>
      </c>
      <c r="BX185">
        <v>2690000</v>
      </c>
      <c r="BY185">
        <v>2019</v>
      </c>
    </row>
    <row r="186" spans="1:78" hidden="1" x14ac:dyDescent="0.25">
      <c r="A186" t="s">
        <v>2088</v>
      </c>
      <c r="B186" t="s">
        <v>436</v>
      </c>
      <c r="C186" s="38">
        <v>0</v>
      </c>
      <c r="D186" t="s">
        <v>602</v>
      </c>
      <c r="E186">
        <f t="shared" si="5"/>
        <v>2110</v>
      </c>
      <c r="F186">
        <f t="shared" si="6"/>
        <v>2125</v>
      </c>
      <c r="L186" t="s">
        <v>2089</v>
      </c>
      <c r="M186" t="s">
        <v>2090</v>
      </c>
      <c r="N186" t="s">
        <v>2088</v>
      </c>
      <c r="O186" t="s">
        <v>436</v>
      </c>
      <c r="P186" t="s">
        <v>605</v>
      </c>
      <c r="Q186" t="s">
        <v>40</v>
      </c>
      <c r="S186" t="s">
        <v>606</v>
      </c>
      <c r="U186" t="s">
        <v>17</v>
      </c>
      <c r="AF186" t="s">
        <v>17</v>
      </c>
      <c r="AR186" t="s">
        <v>2091</v>
      </c>
      <c r="AS186" t="s">
        <v>602</v>
      </c>
      <c r="BE186" t="s">
        <v>614</v>
      </c>
      <c r="BS186">
        <v>21324367</v>
      </c>
      <c r="BX186">
        <v>48480000</v>
      </c>
      <c r="BY186">
        <v>2019</v>
      </c>
    </row>
    <row r="187" spans="1:78" x14ac:dyDescent="0.25">
      <c r="A187" t="s">
        <v>445</v>
      </c>
      <c r="B187" t="s">
        <v>444</v>
      </c>
      <c r="C187">
        <v>3</v>
      </c>
      <c r="D187" t="s">
        <v>633</v>
      </c>
      <c r="E187">
        <f t="shared" si="5"/>
        <v>2065</v>
      </c>
      <c r="F187">
        <f t="shared" si="6"/>
        <v>2065</v>
      </c>
      <c r="L187" t="s">
        <v>2092</v>
      </c>
      <c r="M187" t="s">
        <v>2093</v>
      </c>
      <c r="N187" t="s">
        <v>445</v>
      </c>
      <c r="O187" t="s">
        <v>444</v>
      </c>
      <c r="P187" t="s">
        <v>790</v>
      </c>
      <c r="Q187" t="s">
        <v>40</v>
      </c>
      <c r="S187" t="s">
        <v>606</v>
      </c>
      <c r="U187" t="s">
        <v>607</v>
      </c>
      <c r="AC187">
        <v>2065</v>
      </c>
      <c r="AD187" t="s">
        <v>8</v>
      </c>
      <c r="AE187">
        <v>2021</v>
      </c>
      <c r="AF187" t="s">
        <v>608</v>
      </c>
      <c r="AG187">
        <v>30</v>
      </c>
      <c r="AK187">
        <v>388.5</v>
      </c>
      <c r="AL187">
        <v>555</v>
      </c>
      <c r="AN187">
        <v>2030</v>
      </c>
      <c r="AO187" t="s">
        <v>2094</v>
      </c>
      <c r="AP187" t="s">
        <v>2095</v>
      </c>
      <c r="AQ187" t="s">
        <v>2096</v>
      </c>
      <c r="AR187" t="s">
        <v>2097</v>
      </c>
      <c r="AS187" t="s">
        <v>633</v>
      </c>
      <c r="AU187" t="s">
        <v>602</v>
      </c>
      <c r="AV187" t="s">
        <v>602</v>
      </c>
      <c r="AW187" t="s">
        <v>602</v>
      </c>
      <c r="BA187" t="s">
        <v>606</v>
      </c>
      <c r="BB187" t="s">
        <v>2098</v>
      </c>
      <c r="BC187" t="s">
        <v>606</v>
      </c>
      <c r="BE187" t="s">
        <v>614</v>
      </c>
      <c r="BF187" t="s">
        <v>606</v>
      </c>
      <c r="BG187" t="s">
        <v>602</v>
      </c>
      <c r="BH187" t="s">
        <v>2099</v>
      </c>
      <c r="BI187" t="s">
        <v>602</v>
      </c>
      <c r="BM187" t="s">
        <v>606</v>
      </c>
      <c r="BN187" t="s">
        <v>1477</v>
      </c>
      <c r="BO187" t="s">
        <v>2100</v>
      </c>
      <c r="BQ187">
        <v>1223126078700.3999</v>
      </c>
      <c r="BS187">
        <v>71601103</v>
      </c>
      <c r="BX187">
        <v>437180000</v>
      </c>
      <c r="BY187">
        <v>2019</v>
      </c>
      <c r="BZ187" t="s">
        <v>606</v>
      </c>
    </row>
    <row r="188" spans="1:78" hidden="1" x14ac:dyDescent="0.25">
      <c r="A188" t="s">
        <v>441</v>
      </c>
      <c r="B188" t="s">
        <v>440</v>
      </c>
      <c r="C188" s="38">
        <v>0</v>
      </c>
      <c r="D188" t="s">
        <v>633</v>
      </c>
      <c r="E188">
        <f t="shared" si="5"/>
        <v>2110</v>
      </c>
      <c r="F188" t="str">
        <f t="shared" si="6"/>
        <v/>
      </c>
      <c r="L188" t="s">
        <v>2101</v>
      </c>
      <c r="M188" t="s">
        <v>2102</v>
      </c>
      <c r="N188" t="s">
        <v>441</v>
      </c>
      <c r="O188" t="s">
        <v>440</v>
      </c>
      <c r="P188" t="s">
        <v>605</v>
      </c>
      <c r="Q188" t="s">
        <v>40</v>
      </c>
      <c r="S188" t="s">
        <v>606</v>
      </c>
      <c r="U188" t="s">
        <v>625</v>
      </c>
      <c r="V188">
        <v>30</v>
      </c>
      <c r="W188">
        <v>1990</v>
      </c>
      <c r="AC188">
        <v>2030</v>
      </c>
      <c r="AD188" t="s">
        <v>8</v>
      </c>
      <c r="AE188">
        <v>2021</v>
      </c>
      <c r="AF188" t="s">
        <v>17</v>
      </c>
      <c r="AO188" t="s">
        <v>2103</v>
      </c>
      <c r="AR188" t="s">
        <v>2104</v>
      </c>
      <c r="AS188" t="s">
        <v>633</v>
      </c>
      <c r="AU188" t="s">
        <v>606</v>
      </c>
      <c r="AV188" t="s">
        <v>606</v>
      </c>
      <c r="AW188" t="s">
        <v>606</v>
      </c>
      <c r="BA188" t="s">
        <v>606</v>
      </c>
      <c r="BB188" t="s">
        <v>2105</v>
      </c>
      <c r="BC188" t="s">
        <v>615</v>
      </c>
      <c r="BD188" t="s">
        <v>2106</v>
      </c>
      <c r="BE188" t="s">
        <v>614</v>
      </c>
      <c r="BF188" t="s">
        <v>615</v>
      </c>
      <c r="BG188" t="s">
        <v>602</v>
      </c>
      <c r="BH188" t="s">
        <v>2107</v>
      </c>
      <c r="BI188" t="s">
        <v>602</v>
      </c>
      <c r="BM188" t="s">
        <v>606</v>
      </c>
      <c r="BN188" t="s">
        <v>767</v>
      </c>
      <c r="BO188" t="s">
        <v>2108</v>
      </c>
      <c r="BQ188">
        <v>38057619883.091003</v>
      </c>
      <c r="BS188">
        <v>9537642</v>
      </c>
      <c r="BX188">
        <v>15080000</v>
      </c>
      <c r="BY188">
        <v>2019</v>
      </c>
    </row>
    <row r="189" spans="1:78" hidden="1" x14ac:dyDescent="0.25">
      <c r="A189" t="s">
        <v>461</v>
      </c>
      <c r="B189" t="s">
        <v>460</v>
      </c>
      <c r="C189" s="38">
        <v>0</v>
      </c>
      <c r="D189" t="s">
        <v>633</v>
      </c>
      <c r="E189">
        <f t="shared" si="5"/>
        <v>2110</v>
      </c>
      <c r="F189" t="str">
        <f t="shared" si="6"/>
        <v/>
      </c>
      <c r="L189" t="s">
        <v>2109</v>
      </c>
      <c r="M189" t="s">
        <v>2110</v>
      </c>
      <c r="N189" t="s">
        <v>461</v>
      </c>
      <c r="O189" t="s">
        <v>460</v>
      </c>
      <c r="P189" t="s">
        <v>605</v>
      </c>
      <c r="Q189" t="s">
        <v>40</v>
      </c>
      <c r="S189" t="s">
        <v>606</v>
      </c>
      <c r="U189" t="s">
        <v>625</v>
      </c>
      <c r="V189">
        <v>20</v>
      </c>
      <c r="W189">
        <v>2010</v>
      </c>
      <c r="AC189">
        <v>2030</v>
      </c>
      <c r="AD189" t="s">
        <v>8</v>
      </c>
      <c r="AE189">
        <v>2015</v>
      </c>
      <c r="AF189" t="s">
        <v>17</v>
      </c>
      <c r="AO189" t="s">
        <v>2111</v>
      </c>
      <c r="AR189" t="s">
        <v>2112</v>
      </c>
      <c r="AS189" t="s">
        <v>633</v>
      </c>
      <c r="AU189" t="s">
        <v>602</v>
      </c>
      <c r="AV189" t="s">
        <v>602</v>
      </c>
      <c r="AW189" t="s">
        <v>602</v>
      </c>
      <c r="BA189" t="s">
        <v>606</v>
      </c>
      <c r="BB189" t="s">
        <v>2113</v>
      </c>
      <c r="BC189" t="s">
        <v>615</v>
      </c>
      <c r="BD189" t="s">
        <v>1079</v>
      </c>
      <c r="BE189" t="s">
        <v>614</v>
      </c>
      <c r="BF189" t="s">
        <v>615</v>
      </c>
      <c r="BG189" t="s">
        <v>615</v>
      </c>
      <c r="BH189" t="s">
        <v>2114</v>
      </c>
      <c r="BI189" t="s">
        <v>602</v>
      </c>
      <c r="BM189" t="s">
        <v>606</v>
      </c>
      <c r="BN189" t="s">
        <v>602</v>
      </c>
      <c r="BQ189">
        <v>76192141990.112396</v>
      </c>
      <c r="BS189">
        <v>5766432</v>
      </c>
      <c r="BX189">
        <v>155080000</v>
      </c>
      <c r="BY189">
        <v>2015</v>
      </c>
    </row>
    <row r="190" spans="1:78" x14ac:dyDescent="0.25">
      <c r="A190" t="s">
        <v>457</v>
      </c>
      <c r="B190" t="s">
        <v>456</v>
      </c>
      <c r="C190">
        <v>3</v>
      </c>
      <c r="D190" t="s">
        <v>620</v>
      </c>
      <c r="E190">
        <f t="shared" si="5"/>
        <v>2050</v>
      </c>
      <c r="F190">
        <f t="shared" si="6"/>
        <v>2065</v>
      </c>
      <c r="L190" t="s">
        <v>2115</v>
      </c>
      <c r="M190" t="s">
        <v>2116</v>
      </c>
      <c r="N190" t="s">
        <v>457</v>
      </c>
      <c r="O190" t="s">
        <v>456</v>
      </c>
      <c r="P190" t="s">
        <v>624</v>
      </c>
      <c r="Q190" t="s">
        <v>40</v>
      </c>
      <c r="S190" t="s">
        <v>606</v>
      </c>
      <c r="U190" t="s">
        <v>680</v>
      </c>
      <c r="AC190">
        <v>2050</v>
      </c>
      <c r="AD190" t="s">
        <v>8</v>
      </c>
      <c r="AE190">
        <v>2022</v>
      </c>
      <c r="AF190" t="s">
        <v>791</v>
      </c>
      <c r="AG190">
        <v>45</v>
      </c>
      <c r="AH190">
        <v>2010</v>
      </c>
      <c r="AI190" t="s">
        <v>2117</v>
      </c>
      <c r="AN190">
        <v>2030</v>
      </c>
      <c r="AO190" t="s">
        <v>2118</v>
      </c>
      <c r="AP190" t="s">
        <v>2119</v>
      </c>
      <c r="AQ190" t="s">
        <v>2120</v>
      </c>
      <c r="AR190" t="s">
        <v>2121</v>
      </c>
      <c r="AS190" t="s">
        <v>620</v>
      </c>
      <c r="AU190" t="s">
        <v>602</v>
      </c>
      <c r="AV190" t="s">
        <v>602</v>
      </c>
      <c r="AW190" t="s">
        <v>602</v>
      </c>
      <c r="BA190" t="s">
        <v>606</v>
      </c>
      <c r="BB190" t="s">
        <v>2122</v>
      </c>
      <c r="BC190" t="s">
        <v>615</v>
      </c>
      <c r="BD190" t="s">
        <v>1493</v>
      </c>
      <c r="BE190" t="s">
        <v>614</v>
      </c>
      <c r="BF190" t="s">
        <v>615</v>
      </c>
      <c r="BG190" t="s">
        <v>602</v>
      </c>
      <c r="BH190" t="s">
        <v>2123</v>
      </c>
      <c r="BI190" t="s">
        <v>615</v>
      </c>
      <c r="BJ190" t="s">
        <v>1199</v>
      </c>
      <c r="BL190" t="s">
        <v>2124</v>
      </c>
      <c r="BM190" t="s">
        <v>606</v>
      </c>
      <c r="BN190" t="s">
        <v>676</v>
      </c>
      <c r="BO190" t="s">
        <v>2125</v>
      </c>
      <c r="BQ190">
        <v>125971671205.2</v>
      </c>
      <c r="BS190">
        <v>12262946</v>
      </c>
      <c r="BX190">
        <v>37810000</v>
      </c>
      <c r="BY190">
        <v>2019</v>
      </c>
    </row>
    <row r="191" spans="1:78" x14ac:dyDescent="0.25">
      <c r="A191" t="s">
        <v>2126</v>
      </c>
      <c r="B191" t="s">
        <v>458</v>
      </c>
      <c r="C191">
        <v>3</v>
      </c>
      <c r="D191" t="s">
        <v>633</v>
      </c>
      <c r="E191">
        <f t="shared" si="5"/>
        <v>2053</v>
      </c>
      <c r="F191">
        <f t="shared" si="6"/>
        <v>2053</v>
      </c>
      <c r="L191" t="s">
        <v>2127</v>
      </c>
      <c r="M191" t="s">
        <v>2128</v>
      </c>
      <c r="N191" t="s">
        <v>2126</v>
      </c>
      <c r="O191" t="s">
        <v>458</v>
      </c>
      <c r="P191" t="s">
        <v>605</v>
      </c>
      <c r="Q191" t="s">
        <v>40</v>
      </c>
      <c r="S191" t="s">
        <v>606</v>
      </c>
      <c r="U191" t="s">
        <v>607</v>
      </c>
      <c r="AC191">
        <v>2053</v>
      </c>
      <c r="AD191" t="s">
        <v>8</v>
      </c>
      <c r="AE191">
        <v>2021</v>
      </c>
      <c r="AF191" t="s">
        <v>608</v>
      </c>
      <c r="AG191">
        <v>41</v>
      </c>
      <c r="AK191">
        <v>695</v>
      </c>
      <c r="AL191">
        <v>1175</v>
      </c>
      <c r="AN191">
        <v>2030</v>
      </c>
      <c r="AO191" t="s">
        <v>2129</v>
      </c>
      <c r="AP191" t="s">
        <v>2130</v>
      </c>
      <c r="AQ191" t="s">
        <v>2131</v>
      </c>
      <c r="AR191" t="s">
        <v>2132</v>
      </c>
      <c r="AS191" t="s">
        <v>633</v>
      </c>
      <c r="AU191" t="s">
        <v>602</v>
      </c>
      <c r="AV191" t="s">
        <v>602</v>
      </c>
      <c r="AW191" t="s">
        <v>602</v>
      </c>
      <c r="BA191" t="s">
        <v>606</v>
      </c>
      <c r="BB191" t="s">
        <v>2133</v>
      </c>
      <c r="BC191" t="s">
        <v>615</v>
      </c>
      <c r="BD191" t="s">
        <v>2134</v>
      </c>
      <c r="BE191" t="s">
        <v>614</v>
      </c>
      <c r="BF191" t="s">
        <v>615</v>
      </c>
      <c r="BG191" t="s">
        <v>602</v>
      </c>
      <c r="BH191" t="s">
        <v>2135</v>
      </c>
      <c r="BI191" t="s">
        <v>602</v>
      </c>
      <c r="BM191" t="s">
        <v>606</v>
      </c>
      <c r="BN191" t="s">
        <v>602</v>
      </c>
      <c r="BQ191">
        <v>2657762128817.7002</v>
      </c>
      <c r="BS191">
        <v>84775404</v>
      </c>
      <c r="BX191">
        <v>459860000</v>
      </c>
      <c r="BY191">
        <v>2019</v>
      </c>
    </row>
    <row r="192" spans="1:78" hidden="1" x14ac:dyDescent="0.25">
      <c r="A192" t="s">
        <v>443</v>
      </c>
      <c r="B192" t="s">
        <v>442</v>
      </c>
      <c r="C192">
        <v>1</v>
      </c>
      <c r="D192" t="s">
        <v>620</v>
      </c>
      <c r="E192">
        <f t="shared" si="5"/>
        <v>2110</v>
      </c>
      <c r="F192">
        <f t="shared" si="6"/>
        <v>2125</v>
      </c>
      <c r="L192" t="s">
        <v>2136</v>
      </c>
      <c r="M192" t="s">
        <v>2137</v>
      </c>
      <c r="N192" t="s">
        <v>443</v>
      </c>
      <c r="O192" t="s">
        <v>442</v>
      </c>
      <c r="P192" t="s">
        <v>624</v>
      </c>
      <c r="Q192" t="s">
        <v>40</v>
      </c>
      <c r="S192" t="s">
        <v>606</v>
      </c>
      <c r="U192" t="s">
        <v>607</v>
      </c>
      <c r="AC192">
        <v>2050</v>
      </c>
      <c r="AD192" t="s">
        <v>12</v>
      </c>
      <c r="AE192">
        <v>2019</v>
      </c>
      <c r="AF192" t="s">
        <v>518</v>
      </c>
      <c r="AM192" t="s">
        <v>2138</v>
      </c>
      <c r="AN192">
        <v>2030</v>
      </c>
      <c r="AP192" t="s">
        <v>2139</v>
      </c>
      <c r="AQ192" t="s">
        <v>2140</v>
      </c>
      <c r="AR192" t="s">
        <v>628</v>
      </c>
      <c r="AS192" t="s">
        <v>620</v>
      </c>
      <c r="AU192" t="s">
        <v>606</v>
      </c>
      <c r="AV192" t="s">
        <v>606</v>
      </c>
      <c r="AW192" t="s">
        <v>606</v>
      </c>
      <c r="BA192" t="s">
        <v>606</v>
      </c>
      <c r="BB192" t="s">
        <v>2141</v>
      </c>
      <c r="BC192" t="s">
        <v>615</v>
      </c>
      <c r="BD192" t="s">
        <v>2142</v>
      </c>
      <c r="BE192" t="s">
        <v>614</v>
      </c>
      <c r="BF192" t="s">
        <v>615</v>
      </c>
      <c r="BG192" t="s">
        <v>602</v>
      </c>
      <c r="BH192" t="s">
        <v>2143</v>
      </c>
      <c r="BI192" t="s">
        <v>602</v>
      </c>
      <c r="BM192" t="s">
        <v>606</v>
      </c>
      <c r="BN192" t="s">
        <v>617</v>
      </c>
      <c r="BO192" t="s">
        <v>2144</v>
      </c>
      <c r="BP192" t="s">
        <v>619</v>
      </c>
      <c r="BQ192">
        <v>159326111433.89001</v>
      </c>
      <c r="BS192">
        <v>61704518</v>
      </c>
      <c r="BX192">
        <v>154890000</v>
      </c>
      <c r="BY192">
        <v>2019</v>
      </c>
    </row>
    <row r="193" spans="1:78" x14ac:dyDescent="0.25">
      <c r="A193" t="s">
        <v>469</v>
      </c>
      <c r="B193" t="s">
        <v>468</v>
      </c>
      <c r="C193">
        <v>3</v>
      </c>
      <c r="D193" t="s">
        <v>633</v>
      </c>
      <c r="E193">
        <f t="shared" si="5"/>
        <v>2060</v>
      </c>
      <c r="F193">
        <f t="shared" si="6"/>
        <v>2060</v>
      </c>
      <c r="L193" t="s">
        <v>2145</v>
      </c>
      <c r="M193" t="s">
        <v>2146</v>
      </c>
      <c r="N193" t="s">
        <v>469</v>
      </c>
      <c r="O193" t="s">
        <v>468</v>
      </c>
      <c r="P193" t="s">
        <v>665</v>
      </c>
      <c r="Q193" t="s">
        <v>40</v>
      </c>
      <c r="S193" t="s">
        <v>606</v>
      </c>
      <c r="U193" t="s">
        <v>680</v>
      </c>
      <c r="AC193">
        <v>2060</v>
      </c>
      <c r="AD193" t="s">
        <v>8</v>
      </c>
      <c r="AF193" t="s">
        <v>625</v>
      </c>
      <c r="AG193">
        <v>65</v>
      </c>
      <c r="AH193">
        <v>1990</v>
      </c>
      <c r="AN193">
        <v>2030</v>
      </c>
      <c r="AO193" t="s">
        <v>2147</v>
      </c>
      <c r="AP193" t="s">
        <v>2148</v>
      </c>
      <c r="AR193" t="s">
        <v>2149</v>
      </c>
      <c r="AS193" t="s">
        <v>633</v>
      </c>
      <c r="AU193" t="s">
        <v>602</v>
      </c>
      <c r="AV193" t="s">
        <v>602</v>
      </c>
      <c r="AW193" t="s">
        <v>602</v>
      </c>
      <c r="BB193" t="s">
        <v>2150</v>
      </c>
      <c r="BC193" t="s">
        <v>606</v>
      </c>
      <c r="BE193" t="s">
        <v>614</v>
      </c>
      <c r="BF193" t="s">
        <v>606</v>
      </c>
      <c r="BG193" t="s">
        <v>602</v>
      </c>
      <c r="BH193" t="s">
        <v>2151</v>
      </c>
      <c r="BI193" t="s">
        <v>602</v>
      </c>
      <c r="BM193" t="s">
        <v>606</v>
      </c>
      <c r="BN193" t="s">
        <v>602</v>
      </c>
      <c r="BO193" t="s">
        <v>2152</v>
      </c>
      <c r="BQ193">
        <v>535578870143.44</v>
      </c>
      <c r="BS193">
        <v>43531422</v>
      </c>
      <c r="BX193">
        <v>221290000</v>
      </c>
      <c r="BY193">
        <v>2019</v>
      </c>
    </row>
    <row r="194" spans="1:78" hidden="1" x14ac:dyDescent="0.25">
      <c r="A194" t="s">
        <v>479</v>
      </c>
      <c r="B194" t="s">
        <v>478</v>
      </c>
      <c r="C194" s="38">
        <v>0</v>
      </c>
      <c r="D194" t="s">
        <v>633</v>
      </c>
      <c r="E194">
        <f t="shared" si="5"/>
        <v>2110</v>
      </c>
      <c r="F194">
        <f t="shared" si="6"/>
        <v>2110</v>
      </c>
      <c r="L194" t="s">
        <v>2153</v>
      </c>
      <c r="M194" t="s">
        <v>2154</v>
      </c>
      <c r="N194" t="s">
        <v>479</v>
      </c>
      <c r="O194" t="s">
        <v>478</v>
      </c>
      <c r="P194" t="s">
        <v>605</v>
      </c>
      <c r="Q194" t="s">
        <v>40</v>
      </c>
      <c r="S194" t="s">
        <v>606</v>
      </c>
      <c r="U194" t="s">
        <v>791</v>
      </c>
      <c r="V194">
        <v>35</v>
      </c>
      <c r="W194">
        <v>2010</v>
      </c>
      <c r="X194" t="s">
        <v>1799</v>
      </c>
      <c r="AC194">
        <v>2030</v>
      </c>
      <c r="AD194" t="s">
        <v>8</v>
      </c>
      <c r="AE194">
        <v>2021</v>
      </c>
      <c r="AF194" t="s">
        <v>17</v>
      </c>
      <c r="AO194" t="s">
        <v>2155</v>
      </c>
      <c r="AR194" t="s">
        <v>2156</v>
      </c>
      <c r="AS194" t="s">
        <v>633</v>
      </c>
      <c r="AU194" t="s">
        <v>606</v>
      </c>
      <c r="AV194" t="s">
        <v>606</v>
      </c>
      <c r="AW194" t="s">
        <v>606</v>
      </c>
      <c r="BA194" t="s">
        <v>606</v>
      </c>
      <c r="BB194" t="s">
        <v>2157</v>
      </c>
      <c r="BC194" t="s">
        <v>615</v>
      </c>
      <c r="BD194" t="s">
        <v>2158</v>
      </c>
      <c r="BE194" t="s">
        <v>614</v>
      </c>
      <c r="BF194" t="s">
        <v>615</v>
      </c>
      <c r="BG194" t="s">
        <v>602</v>
      </c>
      <c r="BH194" t="s">
        <v>2159</v>
      </c>
      <c r="BI194" t="s">
        <v>606</v>
      </c>
      <c r="BM194" t="s">
        <v>606</v>
      </c>
      <c r="BN194" t="s">
        <v>617</v>
      </c>
      <c r="BQ194">
        <v>270062447215.25</v>
      </c>
      <c r="BS194">
        <v>34081449</v>
      </c>
      <c r="BX194">
        <v>185390000</v>
      </c>
      <c r="BY194">
        <v>2019</v>
      </c>
    </row>
    <row r="195" spans="1:78" hidden="1" x14ac:dyDescent="0.25">
      <c r="A195" t="s">
        <v>2160</v>
      </c>
      <c r="B195" t="s">
        <v>484</v>
      </c>
      <c r="C195" s="38">
        <v>0</v>
      </c>
      <c r="D195" t="s">
        <v>633</v>
      </c>
      <c r="E195">
        <f t="shared" si="5"/>
        <v>2110</v>
      </c>
      <c r="F195" t="str">
        <f t="shared" si="6"/>
        <v/>
      </c>
      <c r="L195" t="s">
        <v>2161</v>
      </c>
      <c r="M195" t="s">
        <v>2162</v>
      </c>
      <c r="N195" t="s">
        <v>2160</v>
      </c>
      <c r="O195" t="s">
        <v>484</v>
      </c>
      <c r="P195" t="s">
        <v>636</v>
      </c>
      <c r="Q195" t="s">
        <v>40</v>
      </c>
      <c r="S195" t="s">
        <v>606</v>
      </c>
      <c r="U195" t="s">
        <v>625</v>
      </c>
      <c r="V195">
        <v>20</v>
      </c>
      <c r="W195">
        <v>2015</v>
      </c>
      <c r="AC195">
        <v>2030</v>
      </c>
      <c r="AD195" t="s">
        <v>8</v>
      </c>
      <c r="AE195">
        <v>2015</v>
      </c>
      <c r="AF195" t="s">
        <v>17</v>
      </c>
      <c r="AR195" t="s">
        <v>2163</v>
      </c>
      <c r="AS195" t="s">
        <v>633</v>
      </c>
      <c r="AU195" t="s">
        <v>606</v>
      </c>
      <c r="AV195" t="s">
        <v>606</v>
      </c>
      <c r="AW195" t="s">
        <v>606</v>
      </c>
      <c r="BA195" t="s">
        <v>606</v>
      </c>
      <c r="BC195" t="s">
        <v>615</v>
      </c>
      <c r="BE195" t="s">
        <v>614</v>
      </c>
      <c r="BF195" t="s">
        <v>615</v>
      </c>
      <c r="BG195" t="s">
        <v>602</v>
      </c>
      <c r="BH195" t="s">
        <v>2164</v>
      </c>
      <c r="BI195" t="s">
        <v>615</v>
      </c>
      <c r="BJ195" t="s">
        <v>715</v>
      </c>
      <c r="BM195" t="s">
        <v>606</v>
      </c>
      <c r="BN195" t="s">
        <v>617</v>
      </c>
      <c r="BO195" t="s">
        <v>2165</v>
      </c>
      <c r="BS195">
        <v>28199867</v>
      </c>
      <c r="BX195">
        <v>299600000</v>
      </c>
      <c r="BY195">
        <v>2019</v>
      </c>
    </row>
    <row r="196" spans="1:78" x14ac:dyDescent="0.25">
      <c r="A196" t="s">
        <v>487</v>
      </c>
      <c r="B196" t="s">
        <v>486</v>
      </c>
      <c r="C196">
        <v>3</v>
      </c>
      <c r="D196" t="s">
        <v>633</v>
      </c>
      <c r="E196">
        <f t="shared" ref="E196:E200" si="7">IF(C196&gt;1,AC196,2110)</f>
        <v>2050</v>
      </c>
      <c r="F196">
        <f t="shared" si="6"/>
        <v>2050</v>
      </c>
      <c r="L196" t="s">
        <v>2166</v>
      </c>
      <c r="M196" t="s">
        <v>2167</v>
      </c>
      <c r="N196" t="s">
        <v>487</v>
      </c>
      <c r="O196" t="s">
        <v>486</v>
      </c>
      <c r="P196" t="s">
        <v>790</v>
      </c>
      <c r="Q196" t="s">
        <v>40</v>
      </c>
      <c r="S196" t="s">
        <v>606</v>
      </c>
      <c r="U196" t="s">
        <v>607</v>
      </c>
      <c r="AC196">
        <v>2050</v>
      </c>
      <c r="AD196" t="s">
        <v>8</v>
      </c>
      <c r="AE196">
        <v>2022</v>
      </c>
      <c r="AF196" t="s">
        <v>608</v>
      </c>
      <c r="AG196">
        <v>15.8</v>
      </c>
      <c r="AK196">
        <v>781.6</v>
      </c>
      <c r="AL196">
        <v>927.9</v>
      </c>
      <c r="AN196">
        <v>2030</v>
      </c>
      <c r="AO196" t="s">
        <v>2168</v>
      </c>
      <c r="AP196" t="s">
        <v>2169</v>
      </c>
      <c r="AQ196" t="s">
        <v>2170</v>
      </c>
      <c r="AR196" t="s">
        <v>2171</v>
      </c>
      <c r="AS196" t="s">
        <v>633</v>
      </c>
      <c r="AU196" t="s">
        <v>602</v>
      </c>
      <c r="AV196" t="s">
        <v>602</v>
      </c>
      <c r="AW196" t="s">
        <v>602</v>
      </c>
      <c r="BA196" t="s">
        <v>606</v>
      </c>
      <c r="BB196" t="s">
        <v>2172</v>
      </c>
      <c r="BC196" t="s">
        <v>615</v>
      </c>
      <c r="BD196" t="s">
        <v>1079</v>
      </c>
      <c r="BE196" t="s">
        <v>614</v>
      </c>
      <c r="BF196" t="s">
        <v>606</v>
      </c>
      <c r="BG196" t="s">
        <v>606</v>
      </c>
      <c r="BH196" t="s">
        <v>2173</v>
      </c>
      <c r="BI196" t="s">
        <v>602</v>
      </c>
      <c r="BM196" t="s">
        <v>606</v>
      </c>
      <c r="BN196" t="s">
        <v>617</v>
      </c>
      <c r="BO196" t="s">
        <v>2174</v>
      </c>
      <c r="BQ196">
        <v>1032365278911.2</v>
      </c>
      <c r="BS196">
        <v>97468029</v>
      </c>
      <c r="BX196">
        <v>438110000</v>
      </c>
      <c r="BY196">
        <v>2019</v>
      </c>
      <c r="BZ196" t="s">
        <v>606</v>
      </c>
    </row>
    <row r="197" spans="1:78" hidden="1" x14ac:dyDescent="0.25">
      <c r="A197" t="s">
        <v>2175</v>
      </c>
      <c r="B197" t="s">
        <v>2176</v>
      </c>
      <c r="C197">
        <v>1</v>
      </c>
      <c r="D197" t="s">
        <v>602</v>
      </c>
      <c r="E197">
        <f t="shared" si="7"/>
        <v>2110</v>
      </c>
      <c r="F197">
        <f t="shared" ref="F197:F200" si="8">IF(U197="Reduction v. BAU","",IF(U197="Other","",IF(U197="Emissions reduction target","",IF(D197="Not Specified",E197+$H$1,IF(D197="Carbon dioxide only",E197+$H$1,IF(D197="Carbon dioxide and other GHGs",E197,""))))))</f>
        <v>2125</v>
      </c>
      <c r="L197" t="s">
        <v>2177</v>
      </c>
      <c r="M197" t="s">
        <v>2178</v>
      </c>
      <c r="N197" t="s">
        <v>2175</v>
      </c>
      <c r="O197" t="s">
        <v>2176</v>
      </c>
      <c r="P197" t="s">
        <v>624</v>
      </c>
      <c r="Q197" t="s">
        <v>40</v>
      </c>
      <c r="S197" t="s">
        <v>606</v>
      </c>
      <c r="U197" t="s">
        <v>607</v>
      </c>
      <c r="AC197">
        <v>2050</v>
      </c>
      <c r="AD197" t="s">
        <v>12</v>
      </c>
      <c r="AE197">
        <v>2019</v>
      </c>
      <c r="AF197" t="s">
        <v>518</v>
      </c>
      <c r="AM197" t="s">
        <v>2179</v>
      </c>
      <c r="AN197">
        <v>2030</v>
      </c>
      <c r="AO197" t="s">
        <v>2180</v>
      </c>
      <c r="AP197" t="s">
        <v>2181</v>
      </c>
      <c r="AQ197" t="s">
        <v>2182</v>
      </c>
      <c r="AR197" t="s">
        <v>2183</v>
      </c>
      <c r="AS197" t="s">
        <v>602</v>
      </c>
      <c r="AU197" t="s">
        <v>602</v>
      </c>
      <c r="AV197" t="s">
        <v>602</v>
      </c>
      <c r="AW197" t="s">
        <v>602</v>
      </c>
      <c r="BA197" t="s">
        <v>606</v>
      </c>
      <c r="BB197" t="s">
        <v>2184</v>
      </c>
      <c r="BC197" t="s">
        <v>615</v>
      </c>
      <c r="BD197" t="s">
        <v>1462</v>
      </c>
      <c r="BE197" t="s">
        <v>614</v>
      </c>
      <c r="BF197" t="s">
        <v>615</v>
      </c>
      <c r="BG197" t="s">
        <v>615</v>
      </c>
      <c r="BH197" t="s">
        <v>2185</v>
      </c>
      <c r="BI197" t="s">
        <v>606</v>
      </c>
      <c r="BM197" t="s">
        <v>606</v>
      </c>
      <c r="BN197" t="s">
        <v>617</v>
      </c>
      <c r="BO197" t="s">
        <v>2186</v>
      </c>
      <c r="BQ197">
        <v>13230895757.7817</v>
      </c>
      <c r="BS197">
        <v>10748273</v>
      </c>
      <c r="BX197">
        <v>60330000</v>
      </c>
      <c r="BY197">
        <v>2019</v>
      </c>
    </row>
    <row r="198" spans="1:78" x14ac:dyDescent="0.25">
      <c r="A198" t="s">
        <v>401</v>
      </c>
      <c r="B198" t="s">
        <v>400</v>
      </c>
      <c r="C198">
        <v>3</v>
      </c>
      <c r="D198" t="s">
        <v>633</v>
      </c>
      <c r="E198">
        <f t="shared" si="7"/>
        <v>2050</v>
      </c>
      <c r="F198">
        <f t="shared" si="8"/>
        <v>2050</v>
      </c>
      <c r="L198" t="s">
        <v>2187</v>
      </c>
      <c r="M198" t="s">
        <v>2188</v>
      </c>
      <c r="N198" t="s">
        <v>401</v>
      </c>
      <c r="O198" t="s">
        <v>400</v>
      </c>
      <c r="P198" t="s">
        <v>790</v>
      </c>
      <c r="Q198" t="s">
        <v>40</v>
      </c>
      <c r="S198" t="s">
        <v>606</v>
      </c>
      <c r="U198" t="s">
        <v>607</v>
      </c>
      <c r="AC198">
        <v>2050</v>
      </c>
      <c r="AD198" t="s">
        <v>8</v>
      </c>
      <c r="AE198">
        <v>2022</v>
      </c>
      <c r="AF198" t="s">
        <v>518</v>
      </c>
      <c r="AM198" t="s">
        <v>2189</v>
      </c>
      <c r="AN198">
        <v>2030</v>
      </c>
      <c r="AO198" t="s">
        <v>2190</v>
      </c>
      <c r="AP198" t="s">
        <v>2191</v>
      </c>
      <c r="AR198" t="s">
        <v>2192</v>
      </c>
      <c r="AS198" t="s">
        <v>633</v>
      </c>
      <c r="AU198" t="s">
        <v>602</v>
      </c>
      <c r="AV198" t="s">
        <v>602</v>
      </c>
      <c r="AW198" t="s">
        <v>602</v>
      </c>
      <c r="BA198" t="s">
        <v>606</v>
      </c>
      <c r="BB198" t="s">
        <v>2193</v>
      </c>
      <c r="BC198" t="s">
        <v>615</v>
      </c>
      <c r="BD198" t="s">
        <v>1079</v>
      </c>
      <c r="BE198" t="s">
        <v>674</v>
      </c>
      <c r="BF198" t="s">
        <v>606</v>
      </c>
      <c r="BG198" t="s">
        <v>606</v>
      </c>
      <c r="BH198" t="s">
        <v>2194</v>
      </c>
      <c r="BI198" t="s">
        <v>602</v>
      </c>
      <c r="BM198" t="s">
        <v>606</v>
      </c>
      <c r="BN198" t="s">
        <v>676</v>
      </c>
      <c r="BO198" t="s">
        <v>2195</v>
      </c>
      <c r="BQ198">
        <v>578253735823.57996</v>
      </c>
      <c r="BS198">
        <v>5941061</v>
      </c>
      <c r="BX198">
        <v>67260000</v>
      </c>
      <c r="BY198">
        <v>2019</v>
      </c>
    </row>
    <row r="199" spans="1:78" x14ac:dyDescent="0.25">
      <c r="A199" t="s">
        <v>2196</v>
      </c>
      <c r="B199" t="s">
        <v>2197</v>
      </c>
      <c r="C199">
        <v>4</v>
      </c>
      <c r="D199" t="s">
        <v>633</v>
      </c>
      <c r="E199">
        <f t="shared" si="7"/>
        <v>2050</v>
      </c>
      <c r="F199">
        <f t="shared" si="8"/>
        <v>2050</v>
      </c>
      <c r="L199" t="s">
        <v>2198</v>
      </c>
      <c r="M199" t="s">
        <v>2199</v>
      </c>
      <c r="N199" t="s">
        <v>2196</v>
      </c>
      <c r="O199" t="s">
        <v>2197</v>
      </c>
      <c r="Q199" t="s">
        <v>40</v>
      </c>
      <c r="S199" t="s">
        <v>606</v>
      </c>
      <c r="U199" t="s">
        <v>666</v>
      </c>
      <c r="AC199">
        <v>2050</v>
      </c>
      <c r="AD199" t="s">
        <v>667</v>
      </c>
      <c r="AE199">
        <v>2021</v>
      </c>
      <c r="AF199" t="s">
        <v>625</v>
      </c>
      <c r="AG199">
        <v>55</v>
      </c>
      <c r="AH199">
        <v>1990</v>
      </c>
      <c r="AN199">
        <v>2030</v>
      </c>
      <c r="AO199" t="s">
        <v>2200</v>
      </c>
      <c r="AP199" t="s">
        <v>2201</v>
      </c>
      <c r="AQ199" t="s">
        <v>2202</v>
      </c>
      <c r="AR199" t="s">
        <v>2203</v>
      </c>
      <c r="AS199" t="s">
        <v>633</v>
      </c>
      <c r="AU199" t="s">
        <v>606</v>
      </c>
      <c r="AV199" t="s">
        <v>615</v>
      </c>
      <c r="AW199" t="s">
        <v>606</v>
      </c>
      <c r="BA199" t="s">
        <v>606</v>
      </c>
      <c r="BB199" t="s">
        <v>2204</v>
      </c>
      <c r="BC199" t="s">
        <v>615</v>
      </c>
      <c r="BD199" t="s">
        <v>950</v>
      </c>
      <c r="BE199" t="s">
        <v>674</v>
      </c>
      <c r="BF199" t="s">
        <v>606</v>
      </c>
      <c r="BG199" t="s">
        <v>606</v>
      </c>
      <c r="BH199" t="s">
        <v>2205</v>
      </c>
      <c r="BI199" t="s">
        <v>606</v>
      </c>
      <c r="BM199" t="s">
        <v>606</v>
      </c>
      <c r="BN199" t="s">
        <v>676</v>
      </c>
      <c r="BO199" t="s">
        <v>2206</v>
      </c>
      <c r="BQ199">
        <v>21648464335747.5</v>
      </c>
      <c r="BS199">
        <v>446828803</v>
      </c>
      <c r="BX199">
        <v>3330000000</v>
      </c>
      <c r="BY199">
        <v>2019</v>
      </c>
    </row>
    <row r="200" spans="1:78" hidden="1" x14ac:dyDescent="0.25">
      <c r="A200" t="s">
        <v>345</v>
      </c>
      <c r="B200" t="s">
        <v>344</v>
      </c>
      <c r="C200">
        <v>1</v>
      </c>
      <c r="D200" t="s">
        <v>602</v>
      </c>
      <c r="E200">
        <f t="shared" si="7"/>
        <v>2110</v>
      </c>
      <c r="F200">
        <f t="shared" si="8"/>
        <v>2125</v>
      </c>
      <c r="L200" t="s">
        <v>2207</v>
      </c>
      <c r="M200" t="s">
        <v>2208</v>
      </c>
      <c r="N200" t="s">
        <v>345</v>
      </c>
      <c r="O200" t="s">
        <v>344</v>
      </c>
      <c r="P200" t="s">
        <v>955</v>
      </c>
      <c r="Q200" t="s">
        <v>40</v>
      </c>
      <c r="S200" t="s">
        <v>606</v>
      </c>
      <c r="U200" t="s">
        <v>607</v>
      </c>
      <c r="AC200">
        <v>2050</v>
      </c>
      <c r="AD200" t="s">
        <v>12</v>
      </c>
      <c r="AE200">
        <v>2019</v>
      </c>
      <c r="AF200" t="s">
        <v>518</v>
      </c>
      <c r="AM200" t="s">
        <v>2209</v>
      </c>
      <c r="AN200">
        <v>2030</v>
      </c>
      <c r="AO200" t="s">
        <v>2210</v>
      </c>
      <c r="AP200" t="s">
        <v>2211</v>
      </c>
      <c r="AQ200" t="s">
        <v>628</v>
      </c>
      <c r="AR200" t="s">
        <v>2212</v>
      </c>
      <c r="AS200" t="s">
        <v>602</v>
      </c>
      <c r="AU200" t="s">
        <v>602</v>
      </c>
      <c r="AV200" t="s">
        <v>602</v>
      </c>
      <c r="AW200" t="s">
        <v>602</v>
      </c>
      <c r="BA200" t="s">
        <v>606</v>
      </c>
      <c r="BC200" t="s">
        <v>606</v>
      </c>
      <c r="BE200" t="s">
        <v>614</v>
      </c>
      <c r="BF200" t="s">
        <v>606</v>
      </c>
      <c r="BG200" t="s">
        <v>602</v>
      </c>
      <c r="BI200" t="s">
        <v>602</v>
      </c>
      <c r="BM200" t="s">
        <v>606</v>
      </c>
      <c r="BN200" t="s">
        <v>602</v>
      </c>
      <c r="BS200">
        <v>1937</v>
      </c>
      <c r="BX200">
        <v>10000</v>
      </c>
      <c r="BY200">
        <v>2019</v>
      </c>
    </row>
  </sheetData>
  <autoFilter ref="A2:F200" xr:uid="{C17630ED-F9B5-46D3-B853-9DCBABF74431}">
    <filterColumn colId="5">
      <filters>
        <filter val="2030"/>
        <filter val="2035"/>
        <filter val="2040"/>
        <filter val="2045"/>
        <filter val="2050"/>
        <filter val="2053"/>
        <filter val="2055"/>
        <filter val="2060"/>
        <filter val="2065"/>
        <filter val="2070"/>
        <filter val="2075"/>
        <filter val="2085"/>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1D44-12AD-4A45-9101-B47C3BC6A18F}">
  <sheetPr>
    <tabColor theme="7" tint="0.59999389629810485"/>
  </sheetPr>
  <dimension ref="A1:EK450"/>
  <sheetViews>
    <sheetView topLeftCell="DQ1" workbookViewId="0">
      <selection activeCell="DZ13" sqref="DZ13"/>
    </sheetView>
  </sheetViews>
  <sheetFormatPr defaultRowHeight="15" x14ac:dyDescent="0.25"/>
  <cols>
    <col min="1" max="1" width="14.85546875" bestFit="1" customWidth="1"/>
    <col min="2" max="2" width="8.42578125" bestFit="1" customWidth="1"/>
    <col min="3" max="3" width="9.85546875" bestFit="1" customWidth="1"/>
    <col min="4" max="4" width="8.7109375" bestFit="1" customWidth="1"/>
    <col min="5" max="5" width="7.7109375" bestFit="1" customWidth="1"/>
    <col min="6" max="6" width="7.7109375" customWidth="1"/>
    <col min="7" max="7" width="12.7109375" bestFit="1" customWidth="1"/>
    <col min="8" max="8" width="12" bestFit="1" customWidth="1"/>
    <col min="9" max="9" width="32.28515625" bestFit="1" customWidth="1"/>
    <col min="10" max="50" width="8.42578125" bestFit="1" customWidth="1"/>
    <col min="51" max="51" width="12" bestFit="1" customWidth="1"/>
    <col min="52" max="52" width="32.28515625" bestFit="1" customWidth="1"/>
    <col min="53" max="93" width="8.42578125" bestFit="1" customWidth="1"/>
    <col min="94" max="94" width="12" bestFit="1" customWidth="1"/>
    <col min="95" max="95" width="32.28515625" bestFit="1" customWidth="1"/>
    <col min="96" max="136" width="8.42578125" bestFit="1" customWidth="1"/>
  </cols>
  <sheetData>
    <row r="1" spans="1:141" ht="20.25" thickBot="1" x14ac:dyDescent="0.35">
      <c r="A1" s="97" t="s">
        <v>2420</v>
      </c>
      <c r="B1" s="97"/>
      <c r="C1" s="97"/>
      <c r="D1" s="97"/>
      <c r="E1" s="97"/>
      <c r="F1" s="97"/>
      <c r="G1" s="97"/>
      <c r="H1" s="97"/>
      <c r="I1" s="97"/>
      <c r="J1" s="97"/>
      <c r="K1" s="97"/>
      <c r="L1" s="97"/>
      <c r="M1" s="97"/>
      <c r="N1" s="97"/>
      <c r="O1" s="97"/>
      <c r="P1" s="97"/>
      <c r="Q1" s="97"/>
      <c r="R1" s="97"/>
      <c r="S1" s="97"/>
      <c r="T1" s="97"/>
      <c r="U1" s="97"/>
      <c r="V1" s="97"/>
      <c r="W1" s="97"/>
      <c r="X1" s="97"/>
      <c r="Y1" s="97"/>
      <c r="Z1" s="97"/>
      <c r="AA1" s="97"/>
      <c r="AB1" s="97"/>
      <c r="AC1" s="97"/>
      <c r="AD1" s="97"/>
      <c r="AE1" s="97"/>
      <c r="AF1" s="97"/>
      <c r="AG1" s="97"/>
    </row>
    <row r="2" spans="1:141" ht="16.5" thickTop="1" x14ac:dyDescent="0.25">
      <c r="A2" s="25" t="s">
        <v>26</v>
      </c>
      <c r="B2" s="25" t="s">
        <v>49</v>
      </c>
      <c r="C2" s="25" t="s">
        <v>25</v>
      </c>
      <c r="D2" s="25" t="s">
        <v>22</v>
      </c>
      <c r="E2" s="25" t="s">
        <v>23</v>
      </c>
      <c r="F2" s="25" t="s">
        <v>2421</v>
      </c>
      <c r="G2" s="25" t="s">
        <v>2422</v>
      </c>
      <c r="H2" s="323" t="s">
        <v>2423</v>
      </c>
      <c r="I2" s="323" t="s">
        <v>50</v>
      </c>
      <c r="J2" s="324" t="s">
        <v>2424</v>
      </c>
      <c r="K2" s="324" t="s">
        <v>2425</v>
      </c>
      <c r="L2" s="324" t="s">
        <v>2426</v>
      </c>
      <c r="M2" s="324" t="s">
        <v>2427</v>
      </c>
      <c r="N2" s="324" t="s">
        <v>2428</v>
      </c>
      <c r="O2" s="324" t="s">
        <v>2429</v>
      </c>
      <c r="P2" s="324" t="s">
        <v>2430</v>
      </c>
      <c r="Q2" s="324" t="s">
        <v>2431</v>
      </c>
      <c r="R2" s="324" t="s">
        <v>2432</v>
      </c>
      <c r="S2" s="324" t="s">
        <v>2433</v>
      </c>
      <c r="T2" s="324" t="s">
        <v>2434</v>
      </c>
      <c r="U2" s="324" t="s">
        <v>2435</v>
      </c>
      <c r="V2" s="324" t="s">
        <v>2436</v>
      </c>
      <c r="W2" s="324" t="s">
        <v>2437</v>
      </c>
      <c r="X2" s="324" t="s">
        <v>2438</v>
      </c>
      <c r="Y2" s="324" t="s">
        <v>2439</v>
      </c>
      <c r="Z2" s="324" t="s">
        <v>2440</v>
      </c>
      <c r="AA2" s="324" t="s">
        <v>2441</v>
      </c>
      <c r="AB2" s="324" t="s">
        <v>2442</v>
      </c>
      <c r="AC2" s="324" t="s">
        <v>2443</v>
      </c>
      <c r="AD2" s="324" t="s">
        <v>2444</v>
      </c>
      <c r="AE2" s="324" t="s">
        <v>2445</v>
      </c>
      <c r="AF2" s="324" t="s">
        <v>2446</v>
      </c>
      <c r="AG2" s="324" t="s">
        <v>2447</v>
      </c>
      <c r="AH2" s="324" t="s">
        <v>2448</v>
      </c>
      <c r="AI2" s="324" t="s">
        <v>2449</v>
      </c>
      <c r="AJ2" s="324" t="s">
        <v>2450</v>
      </c>
      <c r="AK2" s="324" t="s">
        <v>2451</v>
      </c>
      <c r="AL2" s="324" t="s">
        <v>2452</v>
      </c>
      <c r="AM2" s="324" t="s">
        <v>2453</v>
      </c>
      <c r="AN2" s="324" t="s">
        <v>2454</v>
      </c>
      <c r="AO2" s="324" t="s">
        <v>2455</v>
      </c>
      <c r="AP2" s="324" t="s">
        <v>2456</v>
      </c>
      <c r="AQ2" s="324" t="s">
        <v>2457</v>
      </c>
      <c r="AR2" s="324" t="s">
        <v>2458</v>
      </c>
      <c r="AS2" s="324" t="s">
        <v>2459</v>
      </c>
      <c r="AT2" s="324" t="s">
        <v>2460</v>
      </c>
      <c r="AU2" s="324" t="s">
        <v>2461</v>
      </c>
      <c r="AV2" s="324" t="s">
        <v>2462</v>
      </c>
      <c r="AW2" s="324" t="s">
        <v>2463</v>
      </c>
      <c r="AX2" s="324" t="s">
        <v>2464</v>
      </c>
      <c r="AY2" s="325" t="s">
        <v>2423</v>
      </c>
      <c r="AZ2" s="325" t="s">
        <v>50</v>
      </c>
      <c r="BA2" s="325" t="s">
        <v>2424</v>
      </c>
      <c r="BB2" s="325" t="s">
        <v>2425</v>
      </c>
      <c r="BC2" s="325" t="s">
        <v>2426</v>
      </c>
      <c r="BD2" s="325" t="s">
        <v>2427</v>
      </c>
      <c r="BE2" s="325" t="s">
        <v>2428</v>
      </c>
      <c r="BF2" s="325" t="s">
        <v>2429</v>
      </c>
      <c r="BG2" s="325" t="s">
        <v>2430</v>
      </c>
      <c r="BH2" s="325" t="s">
        <v>2431</v>
      </c>
      <c r="BI2" s="325" t="s">
        <v>2432</v>
      </c>
      <c r="BJ2" s="325" t="s">
        <v>2433</v>
      </c>
      <c r="BK2" s="325" t="s">
        <v>2434</v>
      </c>
      <c r="BL2" s="325" t="s">
        <v>2435</v>
      </c>
      <c r="BM2" s="325" t="s">
        <v>2436</v>
      </c>
      <c r="BN2" s="325" t="s">
        <v>2437</v>
      </c>
      <c r="BO2" s="325" t="s">
        <v>2438</v>
      </c>
      <c r="BP2" s="325" t="s">
        <v>2439</v>
      </c>
      <c r="BQ2" s="325" t="s">
        <v>2440</v>
      </c>
      <c r="BR2" s="325" t="s">
        <v>2441</v>
      </c>
      <c r="BS2" s="325" t="s">
        <v>2442</v>
      </c>
      <c r="BT2" s="325" t="s">
        <v>2443</v>
      </c>
      <c r="BU2" s="325" t="s">
        <v>2444</v>
      </c>
      <c r="BV2" s="325" t="s">
        <v>2445</v>
      </c>
      <c r="BW2" s="325" t="s">
        <v>2446</v>
      </c>
      <c r="BX2" s="325" t="s">
        <v>2447</v>
      </c>
      <c r="BY2" s="325" t="s">
        <v>2448</v>
      </c>
      <c r="BZ2" s="325" t="s">
        <v>2449</v>
      </c>
      <c r="CA2" s="325" t="s">
        <v>2450</v>
      </c>
      <c r="CB2" s="325" t="s">
        <v>2451</v>
      </c>
      <c r="CC2" s="325" t="s">
        <v>2452</v>
      </c>
      <c r="CD2" s="325" t="s">
        <v>2453</v>
      </c>
      <c r="CE2" s="325" t="s">
        <v>2454</v>
      </c>
      <c r="CF2" s="325" t="s">
        <v>2455</v>
      </c>
      <c r="CG2" s="325" t="s">
        <v>2456</v>
      </c>
      <c r="CH2" s="325" t="s">
        <v>2457</v>
      </c>
      <c r="CI2" s="325" t="s">
        <v>2458</v>
      </c>
      <c r="CJ2" s="325" t="s">
        <v>2459</v>
      </c>
      <c r="CK2" s="325" t="s">
        <v>2460</v>
      </c>
      <c r="CL2" s="325" t="s">
        <v>2461</v>
      </c>
      <c r="CM2" s="325" t="s">
        <v>2462</v>
      </c>
      <c r="CN2" s="325" t="s">
        <v>2463</v>
      </c>
      <c r="CO2" s="325" t="s">
        <v>2464</v>
      </c>
      <c r="CP2" s="326" t="s">
        <v>2423</v>
      </c>
      <c r="CQ2" s="326" t="s">
        <v>50</v>
      </c>
      <c r="CR2" s="326" t="s">
        <v>2424</v>
      </c>
      <c r="CS2" s="326" t="s">
        <v>2425</v>
      </c>
      <c r="CT2" s="326" t="s">
        <v>2426</v>
      </c>
      <c r="CU2" s="326" t="s">
        <v>2427</v>
      </c>
      <c r="CV2" s="326" t="s">
        <v>2428</v>
      </c>
      <c r="CW2" s="326" t="s">
        <v>2429</v>
      </c>
      <c r="CX2" s="326" t="s">
        <v>2430</v>
      </c>
      <c r="CY2" s="326" t="s">
        <v>2431</v>
      </c>
      <c r="CZ2" s="326" t="s">
        <v>2432</v>
      </c>
      <c r="DA2" s="326" t="s">
        <v>2433</v>
      </c>
      <c r="DB2" s="326" t="s">
        <v>2434</v>
      </c>
      <c r="DC2" s="326" t="s">
        <v>2435</v>
      </c>
      <c r="DD2" s="326" t="s">
        <v>2436</v>
      </c>
      <c r="DE2" s="326" t="s">
        <v>2437</v>
      </c>
      <c r="DF2" s="326" t="s">
        <v>2438</v>
      </c>
      <c r="DG2" s="326" t="s">
        <v>2439</v>
      </c>
      <c r="DH2" s="326" t="s">
        <v>2440</v>
      </c>
      <c r="DI2" s="326" t="s">
        <v>2441</v>
      </c>
      <c r="DJ2" s="326" t="s">
        <v>2442</v>
      </c>
      <c r="DK2" s="326" t="s">
        <v>2443</v>
      </c>
      <c r="DL2" s="326" t="s">
        <v>2444</v>
      </c>
      <c r="DM2" s="326" t="s">
        <v>2445</v>
      </c>
      <c r="DN2" s="326" t="s">
        <v>2446</v>
      </c>
      <c r="DO2" s="326" t="s">
        <v>2447</v>
      </c>
      <c r="DP2" s="326" t="s">
        <v>2448</v>
      </c>
      <c r="DQ2" s="326">
        <v>2015</v>
      </c>
      <c r="DR2" s="326" t="s">
        <v>2450</v>
      </c>
      <c r="DS2" s="326" t="s">
        <v>2451</v>
      </c>
      <c r="DT2" s="326" t="s">
        <v>2452</v>
      </c>
      <c r="DU2" s="326" t="s">
        <v>2453</v>
      </c>
      <c r="DV2" s="326" t="s">
        <v>2454</v>
      </c>
      <c r="DW2" s="326" t="s">
        <v>2455</v>
      </c>
      <c r="DX2" s="327" t="s">
        <v>2465</v>
      </c>
      <c r="DY2" s="327" t="s">
        <v>2466</v>
      </c>
      <c r="DZ2" s="327" t="s">
        <v>2467</v>
      </c>
      <c r="EA2" s="328" t="s">
        <v>2468</v>
      </c>
      <c r="EB2" s="329" t="s">
        <v>2469</v>
      </c>
      <c r="EC2" s="329" t="s">
        <v>2470</v>
      </c>
      <c r="ED2" s="329" t="s">
        <v>2471</v>
      </c>
      <c r="EE2" s="329" t="s">
        <v>2472</v>
      </c>
      <c r="EF2" s="328" t="s">
        <v>2468</v>
      </c>
      <c r="EG2" s="328" t="s">
        <v>2473</v>
      </c>
      <c r="EH2" s="328" t="s">
        <v>2715</v>
      </c>
      <c r="EI2" s="330" t="s">
        <v>2474</v>
      </c>
      <c r="EJ2" s="330"/>
      <c r="EK2" s="330"/>
    </row>
    <row r="3" spans="1:141" x14ac:dyDescent="0.25">
      <c r="A3" s="31">
        <v>25</v>
      </c>
      <c r="B3" s="31" t="s">
        <v>54</v>
      </c>
      <c r="C3" s="31">
        <v>1</v>
      </c>
      <c r="D3" s="31">
        <v>0</v>
      </c>
      <c r="E3" s="31">
        <v>0</v>
      </c>
      <c r="F3" s="31">
        <v>0</v>
      </c>
      <c r="G3" s="31">
        <v>0</v>
      </c>
      <c r="H3" s="331" t="s">
        <v>2475</v>
      </c>
      <c r="I3" s="331" t="s">
        <v>55</v>
      </c>
      <c r="J3" s="331"/>
      <c r="K3" s="331"/>
      <c r="L3" s="331"/>
      <c r="M3" s="331"/>
      <c r="N3" s="331"/>
      <c r="O3" s="331"/>
      <c r="P3" s="331"/>
      <c r="Q3" s="331"/>
      <c r="R3" s="331"/>
      <c r="S3" s="331"/>
      <c r="T3" s="331"/>
      <c r="U3" s="331"/>
      <c r="V3" s="331"/>
      <c r="W3" s="331"/>
      <c r="X3" s="331"/>
      <c r="Y3" s="331"/>
      <c r="Z3" s="331"/>
      <c r="AA3" s="331"/>
      <c r="AB3" s="331"/>
      <c r="AC3" s="331"/>
      <c r="AD3" s="331"/>
      <c r="AE3" s="331"/>
      <c r="AF3" s="331"/>
      <c r="AG3" s="331"/>
      <c r="AH3" s="331"/>
      <c r="AI3" s="331"/>
      <c r="AJ3" s="331"/>
      <c r="AK3" s="331"/>
      <c r="AL3" s="331"/>
      <c r="AM3" s="331"/>
      <c r="AN3" s="331"/>
      <c r="AO3" s="331"/>
      <c r="AP3" s="331"/>
      <c r="AQ3" s="331"/>
      <c r="AR3" s="331"/>
      <c r="AS3" s="331"/>
      <c r="AT3" s="331"/>
      <c r="AU3" s="331"/>
      <c r="AV3" s="331"/>
      <c r="AW3" s="331"/>
      <c r="AX3" s="331"/>
      <c r="AY3" s="332" t="s">
        <v>2476</v>
      </c>
      <c r="AZ3" s="332" t="s">
        <v>55</v>
      </c>
      <c r="BA3" s="332"/>
      <c r="BB3" s="332"/>
      <c r="BC3" s="332"/>
      <c r="BD3" s="332"/>
      <c r="BE3" s="332"/>
      <c r="BF3" s="332"/>
      <c r="BG3" s="332"/>
      <c r="BH3" s="332"/>
      <c r="BI3" s="332"/>
      <c r="BJ3" s="332"/>
      <c r="BK3" s="332"/>
      <c r="BL3" s="332"/>
      <c r="BM3" s="332"/>
      <c r="BN3" s="332"/>
      <c r="BO3" s="332"/>
      <c r="BP3" s="332"/>
      <c r="BQ3" s="332"/>
      <c r="BR3" s="332"/>
      <c r="BS3" s="332"/>
      <c r="BT3" s="332"/>
      <c r="BU3" s="332"/>
      <c r="BV3" s="332"/>
      <c r="BW3" s="332"/>
      <c r="BX3" s="332"/>
      <c r="BY3" s="332"/>
      <c r="BZ3" s="332"/>
      <c r="CA3" s="332"/>
      <c r="CB3" s="332"/>
      <c r="CC3" s="332"/>
      <c r="CD3" s="332"/>
      <c r="CE3" s="332"/>
      <c r="CF3" s="332"/>
      <c r="CG3" s="332"/>
      <c r="CH3" s="332"/>
      <c r="CI3" s="332"/>
      <c r="CJ3" s="332"/>
      <c r="CK3" s="332"/>
      <c r="CL3" s="332"/>
      <c r="CM3" s="332"/>
      <c r="CN3" s="332"/>
      <c r="CO3" s="332"/>
      <c r="CP3" s="333" t="s">
        <v>27</v>
      </c>
      <c r="CQ3" s="333" t="s">
        <v>55</v>
      </c>
      <c r="CR3" s="334">
        <v>9.4310700000000001</v>
      </c>
      <c r="CS3" s="334">
        <v>9.4310700000000001</v>
      </c>
      <c r="CT3" s="334">
        <v>9.4310700000000001</v>
      </c>
      <c r="CU3" s="334">
        <v>9.4310700000000001</v>
      </c>
      <c r="CV3" s="334">
        <v>9.4310700000000001</v>
      </c>
      <c r="CW3" s="334">
        <v>9.4310700000000001</v>
      </c>
      <c r="CX3" s="334">
        <v>9.4310700000000001</v>
      </c>
      <c r="CY3" s="334">
        <v>9.4310700000000001</v>
      </c>
      <c r="CZ3" s="334">
        <v>9.4310700000000001</v>
      </c>
      <c r="DA3" s="334">
        <v>9.4310700000000001</v>
      </c>
      <c r="DB3" s="334">
        <v>9.4310700000000001</v>
      </c>
      <c r="DC3" s="334">
        <v>9.4310700000000001</v>
      </c>
      <c r="DD3" s="334">
        <v>9.4310700000000001</v>
      </c>
      <c r="DE3" s="334">
        <v>9.4310700000000001</v>
      </c>
      <c r="DF3" s="334">
        <v>9.4310700000000001</v>
      </c>
      <c r="DG3" s="334">
        <v>9.4310700000000001</v>
      </c>
      <c r="DH3" s="334">
        <v>9.4310700000000001</v>
      </c>
      <c r="DI3" s="334">
        <v>9.4310700000000001</v>
      </c>
      <c r="DJ3" s="334">
        <v>9.4310700000000001</v>
      </c>
      <c r="DK3" s="334">
        <v>9.4310700000000001</v>
      </c>
      <c r="DL3" s="334">
        <v>9.4310700000000001</v>
      </c>
      <c r="DM3" s="334">
        <v>9.4310700000000001</v>
      </c>
      <c r="DN3" s="334">
        <v>9.4310700000000001</v>
      </c>
      <c r="DO3" s="334">
        <v>9.4310700000000001</v>
      </c>
      <c r="DP3" s="334">
        <v>9.4310700000000001</v>
      </c>
      <c r="DQ3" s="334">
        <v>9.4310700000000001</v>
      </c>
      <c r="DR3" s="334">
        <v>9.4310700000000001</v>
      </c>
      <c r="DS3" s="334">
        <v>9.4310700000000001</v>
      </c>
      <c r="DT3" s="334">
        <v>9.4310700000000001</v>
      </c>
      <c r="DU3" s="335">
        <v>9.4310700000000001</v>
      </c>
      <c r="DV3" s="335">
        <v>9.4310700000000001</v>
      </c>
      <c r="DW3" s="335">
        <v>9.4310700000000001</v>
      </c>
      <c r="EA3" s="333"/>
      <c r="EB3" s="333"/>
      <c r="EC3" s="333"/>
      <c r="ED3" s="333"/>
      <c r="EE3" s="333"/>
      <c r="EF3" s="333"/>
      <c r="EI3" s="336">
        <f t="shared" ref="EI3:EI66" si="0">AVERAGE(DQ3:DU3)</f>
        <v>9.4310700000000001</v>
      </c>
      <c r="EJ3" s="336">
        <f>EI3-'[13]FAOSTAT21 CO2'!EH3</f>
        <v>9.356587900000001</v>
      </c>
    </row>
    <row r="4" spans="1:141" x14ac:dyDescent="0.25">
      <c r="A4" s="31">
        <v>12</v>
      </c>
      <c r="B4" s="31" t="s">
        <v>56</v>
      </c>
      <c r="C4" s="31">
        <v>2</v>
      </c>
      <c r="D4" s="31">
        <v>0</v>
      </c>
      <c r="E4" s="31">
        <v>0</v>
      </c>
      <c r="F4" s="31">
        <v>0</v>
      </c>
      <c r="G4" s="31">
        <v>0</v>
      </c>
      <c r="H4" s="331" t="s">
        <v>2475</v>
      </c>
      <c r="I4" s="331" t="s">
        <v>57</v>
      </c>
      <c r="J4" s="331"/>
      <c r="K4" s="331"/>
      <c r="L4" s="331"/>
      <c r="M4" s="331"/>
      <c r="N4" s="331"/>
      <c r="O4" s="331"/>
      <c r="P4" s="331"/>
      <c r="Q4" s="331"/>
      <c r="R4" s="331"/>
      <c r="S4" s="331"/>
      <c r="T4" s="331"/>
      <c r="U4" s="331"/>
      <c r="V4" s="331"/>
      <c r="W4" s="331"/>
      <c r="X4" s="331"/>
      <c r="Y4" s="331"/>
      <c r="Z4" s="331"/>
      <c r="AA4" s="331"/>
      <c r="AB4" s="331"/>
      <c r="AC4" s="331"/>
      <c r="AD4" s="331"/>
      <c r="AE4" s="331"/>
      <c r="AF4" s="331"/>
      <c r="AG4" s="331"/>
      <c r="AH4" s="331"/>
      <c r="AI4" s="331"/>
      <c r="AJ4" s="331"/>
      <c r="AK4" s="331"/>
      <c r="AL4" s="331"/>
      <c r="AM4" s="331"/>
      <c r="AN4" s="331"/>
      <c r="AO4" s="331"/>
      <c r="AP4" s="331"/>
      <c r="AQ4" s="331"/>
      <c r="AR4" s="331"/>
      <c r="AS4" s="331"/>
      <c r="AT4" s="331"/>
      <c r="AU4" s="331"/>
      <c r="AV4" s="331"/>
      <c r="AW4" s="331"/>
      <c r="AX4" s="331"/>
      <c r="AY4" s="332" t="s">
        <v>2476</v>
      </c>
      <c r="AZ4" s="332" t="s">
        <v>57</v>
      </c>
      <c r="BA4" s="332"/>
      <c r="BB4" s="332"/>
      <c r="BC4" s="332"/>
      <c r="BD4" s="332"/>
      <c r="BE4" s="332"/>
      <c r="BF4" s="332"/>
      <c r="BG4" s="332"/>
      <c r="BH4" s="332"/>
      <c r="BI4" s="332"/>
      <c r="BJ4" s="332"/>
      <c r="BK4" s="332"/>
      <c r="BL4" s="332"/>
      <c r="BM4" s="332"/>
      <c r="BN4" s="332"/>
      <c r="BO4" s="332"/>
      <c r="BP4" s="332"/>
      <c r="BQ4" s="332"/>
      <c r="BR4" s="332"/>
      <c r="BS4" s="332"/>
      <c r="BT4" s="332"/>
      <c r="BU4" s="332"/>
      <c r="BV4" s="332"/>
      <c r="BW4" s="332"/>
      <c r="BX4" s="332"/>
      <c r="BY4" s="332"/>
      <c r="BZ4" s="332"/>
      <c r="CA4" s="332"/>
      <c r="CB4" s="332"/>
      <c r="CC4" s="332"/>
      <c r="CD4" s="332"/>
      <c r="CE4" s="332"/>
      <c r="CF4" s="332"/>
      <c r="CG4" s="332"/>
      <c r="CH4" s="332"/>
      <c r="CI4" s="332"/>
      <c r="CJ4" s="332"/>
      <c r="CK4" s="332"/>
      <c r="CL4" s="332"/>
      <c r="CM4" s="332"/>
      <c r="CN4" s="332"/>
      <c r="CO4" s="332"/>
      <c r="CP4" s="333" t="s">
        <v>27</v>
      </c>
      <c r="CQ4" s="333" t="s">
        <v>57</v>
      </c>
      <c r="CR4" s="334">
        <v>1.5099388999999996</v>
      </c>
      <c r="CS4" s="334">
        <v>1.5099388999999996</v>
      </c>
      <c r="CT4" s="334">
        <v>1.5099388999999996</v>
      </c>
      <c r="CU4" s="334">
        <v>1.5099388999999996</v>
      </c>
      <c r="CV4" s="334">
        <v>1.5099388999999996</v>
      </c>
      <c r="CW4" s="334">
        <v>1.5099388999999996</v>
      </c>
      <c r="CX4" s="334">
        <v>1.5099388999999996</v>
      </c>
      <c r="CY4" s="334">
        <v>1.5099388999999996</v>
      </c>
      <c r="CZ4" s="334">
        <v>1.5099388999999996</v>
      </c>
      <c r="DA4" s="334">
        <v>1.5099388999999996</v>
      </c>
      <c r="DB4" s="334">
        <v>1.5099388999999996</v>
      </c>
      <c r="DC4" s="334">
        <v>1.5099388999999996</v>
      </c>
      <c r="DD4" s="334">
        <v>1.5099388999999996</v>
      </c>
      <c r="DE4" s="334">
        <v>1.5099388999999996</v>
      </c>
      <c r="DF4" s="334">
        <v>1.5099388999999996</v>
      </c>
      <c r="DG4" s="334">
        <v>1.5099388999999996</v>
      </c>
      <c r="DH4" s="334">
        <v>1.5099388999999996</v>
      </c>
      <c r="DI4" s="334">
        <v>1.5099388999999996</v>
      </c>
      <c r="DJ4" s="334">
        <v>1.5099388999999996</v>
      </c>
      <c r="DK4" s="334">
        <v>1.5099388999999996</v>
      </c>
      <c r="DL4" s="334">
        <v>1.6419587000000002</v>
      </c>
      <c r="DM4" s="334">
        <v>4.3715386999999994</v>
      </c>
      <c r="DN4" s="334">
        <v>5.3535786999999999</v>
      </c>
      <c r="DO4" s="334">
        <v>1.3449286999999999</v>
      </c>
      <c r="DP4" s="334">
        <v>1.2246086999999997</v>
      </c>
      <c r="DQ4" s="334">
        <v>1.2718487000000001</v>
      </c>
      <c r="DR4" s="334">
        <v>1.3455687000000003</v>
      </c>
      <c r="DS4" s="334">
        <v>1.4318900000000001</v>
      </c>
      <c r="DT4" s="334">
        <v>1.4318900000000001</v>
      </c>
      <c r="DU4" s="335">
        <v>1.4318900000000001</v>
      </c>
      <c r="DV4" s="335">
        <v>1.9532669816091968</v>
      </c>
      <c r="DW4" s="335">
        <v>1.9695025311753795</v>
      </c>
      <c r="DX4" s="198">
        <v>1.9532669816091968</v>
      </c>
      <c r="DY4" s="198">
        <v>1.9532669816091968</v>
      </c>
      <c r="DZ4" s="198">
        <v>1.9532669816091968</v>
      </c>
      <c r="EA4" s="198">
        <v>-1.6235549566182783E-2</v>
      </c>
      <c r="EB4" s="198">
        <v>1.9532669816091968</v>
      </c>
      <c r="EC4" s="198">
        <v>1.9532669816091968</v>
      </c>
      <c r="ED4" s="198">
        <v>1.9532669816091968</v>
      </c>
      <c r="EE4" s="198">
        <v>1.9532669816091968</v>
      </c>
      <c r="EF4" s="198">
        <v>-1.6235549566182783E-2</v>
      </c>
      <c r="EG4" s="198">
        <v>0</v>
      </c>
      <c r="EH4" s="198">
        <v>2.1375887929383</v>
      </c>
      <c r="EI4" s="336">
        <f t="shared" si="0"/>
        <v>1.38261748</v>
      </c>
      <c r="EJ4" s="336">
        <f>EI4-'[13]FAOSTAT21 CO2'!EH4</f>
        <v>1.7409472799999999</v>
      </c>
    </row>
    <row r="5" spans="1:141" x14ac:dyDescent="0.25">
      <c r="A5" s="31">
        <v>7</v>
      </c>
      <c r="B5" s="31" t="s">
        <v>58</v>
      </c>
      <c r="C5" s="31">
        <v>3</v>
      </c>
      <c r="D5" s="31">
        <v>0</v>
      </c>
      <c r="E5" s="31">
        <v>0</v>
      </c>
      <c r="F5" s="31">
        <v>0</v>
      </c>
      <c r="G5" s="31">
        <v>0</v>
      </c>
      <c r="H5" s="331" t="s">
        <v>2475</v>
      </c>
      <c r="I5" s="331" t="s">
        <v>59</v>
      </c>
      <c r="J5" s="331"/>
      <c r="K5" s="331"/>
      <c r="L5" s="331"/>
      <c r="M5" s="331"/>
      <c r="N5" s="331"/>
      <c r="O5" s="331"/>
      <c r="P5" s="331"/>
      <c r="Q5" s="331"/>
      <c r="R5" s="331"/>
      <c r="S5" s="331"/>
      <c r="T5" s="331"/>
      <c r="U5" s="331"/>
      <c r="V5" s="331"/>
      <c r="W5" s="331"/>
      <c r="X5" s="331"/>
      <c r="Y5" s="331"/>
      <c r="Z5" s="331"/>
      <c r="AA5" s="331"/>
      <c r="AB5" s="331"/>
      <c r="AC5" s="331"/>
      <c r="AD5" s="331"/>
      <c r="AE5" s="331"/>
      <c r="AF5" s="331"/>
      <c r="AG5" s="331"/>
      <c r="AH5" s="331"/>
      <c r="AI5" s="331"/>
      <c r="AJ5" s="331"/>
      <c r="AK5" s="331"/>
      <c r="AL5" s="331"/>
      <c r="AM5" s="331"/>
      <c r="AN5" s="331"/>
      <c r="AO5" s="331"/>
      <c r="AP5" s="331"/>
      <c r="AQ5" s="331"/>
      <c r="AR5" s="331"/>
      <c r="AS5" s="331"/>
      <c r="AT5" s="331"/>
      <c r="AU5" s="331"/>
      <c r="AV5" s="331"/>
      <c r="AW5" s="331"/>
      <c r="AX5" s="331"/>
      <c r="AY5" s="332" t="s">
        <v>2476</v>
      </c>
      <c r="AZ5" s="332" t="s">
        <v>59</v>
      </c>
      <c r="BA5" s="332"/>
      <c r="BB5" s="332"/>
      <c r="BC5" s="332"/>
      <c r="BD5" s="332"/>
      <c r="BE5" s="332"/>
      <c r="BF5" s="332"/>
      <c r="BG5" s="332"/>
      <c r="BH5" s="332"/>
      <c r="BI5" s="332"/>
      <c r="BJ5" s="332"/>
      <c r="BK5" s="332"/>
      <c r="BL5" s="332"/>
      <c r="BM5" s="332"/>
      <c r="BN5" s="332"/>
      <c r="BO5" s="332"/>
      <c r="BP5" s="332"/>
      <c r="BQ5" s="332"/>
      <c r="BR5" s="332"/>
      <c r="BS5" s="332"/>
      <c r="BT5" s="332"/>
      <c r="BU5" s="332"/>
      <c r="BV5" s="332"/>
      <c r="BW5" s="332"/>
      <c r="BX5" s="332"/>
      <c r="BY5" s="332"/>
      <c r="BZ5" s="332"/>
      <c r="CA5" s="332"/>
      <c r="CB5" s="332"/>
      <c r="CC5" s="332"/>
      <c r="CD5" s="332"/>
      <c r="CE5" s="332"/>
      <c r="CF5" s="332"/>
      <c r="CG5" s="332"/>
      <c r="CH5" s="332"/>
      <c r="CI5" s="332"/>
      <c r="CJ5" s="332"/>
      <c r="CK5" s="332"/>
      <c r="CL5" s="332"/>
      <c r="CM5" s="332"/>
      <c r="CN5" s="332"/>
      <c r="CO5" s="332"/>
      <c r="CP5" s="333" t="s">
        <v>27</v>
      </c>
      <c r="CQ5" s="333" t="s">
        <v>59</v>
      </c>
      <c r="CR5" s="334">
        <v>-5.5545</v>
      </c>
      <c r="CS5" s="334">
        <v>-7.2429899999999998</v>
      </c>
      <c r="CT5" s="334">
        <v>-6.5244900000000001</v>
      </c>
      <c r="CU5" s="334">
        <v>-2.14459</v>
      </c>
      <c r="CV5" s="334">
        <v>23.317509999999999</v>
      </c>
      <c r="CW5" s="334">
        <v>-4.4379600000000003</v>
      </c>
      <c r="CX5" s="334">
        <v>-7.7065799999999998</v>
      </c>
      <c r="CY5" s="334">
        <v>-6.34483</v>
      </c>
      <c r="CZ5" s="334">
        <v>-5.0520100000000001</v>
      </c>
      <c r="DA5" s="334">
        <v>-4.54033</v>
      </c>
      <c r="DB5" s="334">
        <v>-2.5564299999999998</v>
      </c>
      <c r="DC5" s="334">
        <v>-7.4466800000000006</v>
      </c>
      <c r="DD5" s="334">
        <v>-7.83697</v>
      </c>
      <c r="DE5" s="334">
        <v>-7.68283</v>
      </c>
      <c r="DF5" s="334">
        <v>-5.5155200000000004</v>
      </c>
      <c r="DG5" s="334">
        <v>-5.6755200000000006</v>
      </c>
      <c r="DH5" s="334">
        <v>-7.12629</v>
      </c>
      <c r="DI5" s="334">
        <v>-3.8974099999999998</v>
      </c>
      <c r="DJ5" s="334">
        <v>-6.4474799999999997</v>
      </c>
      <c r="DK5" s="334">
        <v>-7.05246</v>
      </c>
      <c r="DL5" s="334">
        <v>-7.7258699999999996</v>
      </c>
      <c r="DM5" s="334">
        <v>-8.9248399999999997</v>
      </c>
      <c r="DN5" s="334">
        <v>-1.09023</v>
      </c>
      <c r="DO5" s="334">
        <v>-10.83835</v>
      </c>
      <c r="DP5" s="334">
        <v>-8.9046000000000003</v>
      </c>
      <c r="DQ5" s="334">
        <v>-12.194330000000001</v>
      </c>
      <c r="DR5" s="334">
        <v>-11.02069</v>
      </c>
      <c r="DS5" s="334">
        <v>-7.2347099999999998</v>
      </c>
      <c r="DT5" s="334">
        <v>-10.35957</v>
      </c>
      <c r="DU5" s="335">
        <v>-10.70734</v>
      </c>
      <c r="DV5" s="335">
        <v>-8.9334100000000003</v>
      </c>
      <c r="DW5" s="335">
        <v>-10.657188064516049</v>
      </c>
      <c r="DX5" s="198">
        <v>-8</v>
      </c>
      <c r="DY5" s="198">
        <v>-16</v>
      </c>
      <c r="DZ5" s="198">
        <v>-8</v>
      </c>
      <c r="EA5" s="198">
        <v>-5.3428119354839509</v>
      </c>
      <c r="EB5" s="198">
        <v>-8.9334100000000003</v>
      </c>
      <c r="EC5" s="198">
        <v>-8.9334100000000003</v>
      </c>
      <c r="ED5" s="198">
        <v>-8.9334100000000003</v>
      </c>
      <c r="EE5" s="198">
        <v>-8.9334100000000003</v>
      </c>
      <c r="EF5" s="198">
        <v>1.7237780645160488</v>
      </c>
      <c r="EG5" s="198">
        <v>7.0665899999999997</v>
      </c>
      <c r="EH5" s="198">
        <v>-11.303417674520281</v>
      </c>
      <c r="EI5" s="336">
        <f t="shared" si="0"/>
        <v>-10.303328</v>
      </c>
      <c r="EJ5" s="336">
        <f>EI5-'[13]FAOSTAT21 CO2'!EH5</f>
        <v>-10.335940800000001</v>
      </c>
    </row>
    <row r="6" spans="1:141" x14ac:dyDescent="0.25">
      <c r="A6" s="31">
        <v>24</v>
      </c>
      <c r="B6" s="31" t="s">
        <v>60</v>
      </c>
      <c r="C6" s="31">
        <v>4</v>
      </c>
      <c r="D6" s="31">
        <v>0</v>
      </c>
      <c r="E6" s="31">
        <v>0</v>
      </c>
      <c r="F6" s="31">
        <v>0</v>
      </c>
      <c r="G6" s="31">
        <v>0</v>
      </c>
      <c r="H6" s="331" t="s">
        <v>2475</v>
      </c>
      <c r="I6" s="331" t="s">
        <v>61</v>
      </c>
      <c r="J6" s="331"/>
      <c r="K6" s="331"/>
      <c r="L6" s="331"/>
      <c r="M6" s="331"/>
      <c r="N6" s="331"/>
      <c r="O6" s="331"/>
      <c r="P6" s="331"/>
      <c r="Q6" s="331"/>
      <c r="R6" s="331"/>
      <c r="S6" s="331"/>
      <c r="T6" s="331"/>
      <c r="U6" s="331"/>
      <c r="V6" s="331"/>
      <c r="W6" s="331"/>
      <c r="X6" s="331"/>
      <c r="Y6" s="331"/>
      <c r="Z6" s="331"/>
      <c r="AA6" s="331"/>
      <c r="AB6" s="331"/>
      <c r="AC6" s="331"/>
      <c r="AD6" s="331"/>
      <c r="AE6" s="331"/>
      <c r="AF6" s="331"/>
      <c r="AG6" s="331"/>
      <c r="AH6" s="331"/>
      <c r="AI6" s="331"/>
      <c r="AJ6" s="331"/>
      <c r="AK6" s="331"/>
      <c r="AL6" s="331"/>
      <c r="AM6" s="331"/>
      <c r="AN6" s="331"/>
      <c r="AO6" s="331"/>
      <c r="AP6" s="331"/>
      <c r="AQ6" s="331"/>
      <c r="AR6" s="331"/>
      <c r="AS6" s="331"/>
      <c r="AT6" s="331"/>
      <c r="AU6" s="331"/>
      <c r="AV6" s="331"/>
      <c r="AW6" s="331"/>
      <c r="AX6" s="331"/>
      <c r="AY6" s="332" t="s">
        <v>2476</v>
      </c>
      <c r="AZ6" s="332" t="s">
        <v>61</v>
      </c>
      <c r="BA6" s="332"/>
      <c r="BB6" s="332"/>
      <c r="BC6" s="332"/>
      <c r="BD6" s="332"/>
      <c r="BE6" s="332"/>
      <c r="BF6" s="332"/>
      <c r="BG6" s="332"/>
      <c r="BH6" s="332"/>
      <c r="BI6" s="332"/>
      <c r="BJ6" s="332"/>
      <c r="BK6" s="332"/>
      <c r="BL6" s="332"/>
      <c r="BM6" s="332"/>
      <c r="BN6" s="332"/>
      <c r="BO6" s="332"/>
      <c r="BP6" s="332"/>
      <c r="BQ6" s="332"/>
      <c r="BR6" s="332"/>
      <c r="BS6" s="332"/>
      <c r="BT6" s="332"/>
      <c r="BU6" s="332"/>
      <c r="BV6" s="332"/>
      <c r="BW6" s="332"/>
      <c r="BX6" s="332"/>
      <c r="BY6" s="332"/>
      <c r="BZ6" s="332"/>
      <c r="CA6" s="332"/>
      <c r="CB6" s="332"/>
      <c r="CC6" s="332"/>
      <c r="CD6" s="332"/>
      <c r="CE6" s="332"/>
      <c r="CF6" s="332"/>
      <c r="CG6" s="332"/>
      <c r="CH6" s="332"/>
      <c r="CI6" s="332"/>
      <c r="CJ6" s="332"/>
      <c r="CK6" s="332"/>
      <c r="CL6" s="332"/>
      <c r="CM6" s="332"/>
      <c r="CN6" s="332"/>
      <c r="CO6" s="332"/>
      <c r="CP6" s="333" t="s">
        <v>27</v>
      </c>
      <c r="CQ6" s="333" t="s">
        <v>61</v>
      </c>
      <c r="CR6" s="334">
        <v>-1.1499999999999999</v>
      </c>
      <c r="CS6" s="334">
        <v>-1.1499999999999999</v>
      </c>
      <c r="CT6" s="334">
        <v>-1.1499999999999999</v>
      </c>
      <c r="CU6" s="334">
        <v>-1.1499999999999999</v>
      </c>
      <c r="CV6" s="334">
        <v>-1.1499999999999999</v>
      </c>
      <c r="CW6" s="334">
        <v>-1.1499999999999999</v>
      </c>
      <c r="CX6" s="334">
        <v>-1.1499999999999999</v>
      </c>
      <c r="CY6" s="334">
        <v>-1.1499999999999999</v>
      </c>
      <c r="CZ6" s="334">
        <v>-1.1499999999999999</v>
      </c>
      <c r="DA6" s="334">
        <v>-1.1499999999999999</v>
      </c>
      <c r="DB6" s="334">
        <v>-1.1499999999999999</v>
      </c>
      <c r="DC6" s="334">
        <v>-1.0938571428571429</v>
      </c>
      <c r="DD6" s="334">
        <v>-1.0377142857142858</v>
      </c>
      <c r="DE6" s="334">
        <v>-0.98157142857142865</v>
      </c>
      <c r="DF6" s="334">
        <v>-0.92542857142857149</v>
      </c>
      <c r="DG6" s="334">
        <v>-0.86928571428571433</v>
      </c>
      <c r="DH6" s="334">
        <v>-0.81314285714285706</v>
      </c>
      <c r="DI6" s="334">
        <v>-0.75700000000000001</v>
      </c>
      <c r="DJ6" s="334">
        <v>-0.75700000000000001</v>
      </c>
      <c r="DK6" s="334">
        <v>-0.75700000000000001</v>
      </c>
      <c r="DL6" s="334">
        <v>-0.75700000000000001</v>
      </c>
      <c r="DM6" s="334">
        <v>-0.75700000000000001</v>
      </c>
      <c r="DN6" s="334">
        <v>-0.75700000000000001</v>
      </c>
      <c r="DO6" s="334">
        <v>-0.75700000000000001</v>
      </c>
      <c r="DP6" s="334">
        <v>-0.75700000000000001</v>
      </c>
      <c r="DQ6" s="334">
        <v>-0.75700000000000001</v>
      </c>
      <c r="DR6" s="334">
        <v>-0.75700000000000001</v>
      </c>
      <c r="DS6" s="334">
        <v>-0.75700000000000001</v>
      </c>
      <c r="DT6" s="334">
        <v>-0.75700000000000001</v>
      </c>
      <c r="DU6" s="335">
        <v>-0.75700000000000001</v>
      </c>
      <c r="DV6" s="335">
        <v>-0.75700000000000001</v>
      </c>
      <c r="DW6" s="335">
        <v>-0.63783225806452037</v>
      </c>
      <c r="DX6" s="198">
        <v>-0.75700000000000001</v>
      </c>
      <c r="DY6" s="198">
        <v>-0.75700000000000001</v>
      </c>
      <c r="DZ6" s="198">
        <v>-0.75700000000000001</v>
      </c>
      <c r="EA6" s="198">
        <v>-0.11916774193547963</v>
      </c>
      <c r="EB6" s="198">
        <v>-0.75700000000000001</v>
      </c>
      <c r="EC6" s="198">
        <v>-0.75700000000000001</v>
      </c>
      <c r="ED6" s="198">
        <v>-0.75700000000000001</v>
      </c>
      <c r="EE6" s="198">
        <v>-0.75700000000000001</v>
      </c>
      <c r="EF6" s="198">
        <v>-0.11916774193547963</v>
      </c>
      <c r="EG6" s="198">
        <v>0</v>
      </c>
      <c r="EH6" s="198">
        <v>-0.70635243102693901</v>
      </c>
      <c r="EI6" s="336">
        <f t="shared" si="0"/>
        <v>-0.75700000000000001</v>
      </c>
      <c r="EJ6" s="336">
        <f>EI6-'[13]FAOSTAT21 CO2'!EH6</f>
        <v>-0.71690271999999999</v>
      </c>
    </row>
    <row r="7" spans="1:141" x14ac:dyDescent="0.25">
      <c r="A7" s="31">
        <v>11</v>
      </c>
      <c r="B7" s="31" t="s">
        <v>62</v>
      </c>
      <c r="C7" s="31">
        <v>5</v>
      </c>
      <c r="D7" s="31">
        <v>0</v>
      </c>
      <c r="E7" s="31">
        <v>0</v>
      </c>
      <c r="F7" s="31">
        <v>0</v>
      </c>
      <c r="G7" s="31">
        <v>0</v>
      </c>
      <c r="H7" s="331" t="s">
        <v>2475</v>
      </c>
      <c r="I7" s="331" t="s">
        <v>63</v>
      </c>
      <c r="J7" s="331"/>
      <c r="K7" s="331"/>
      <c r="L7" s="331"/>
      <c r="M7" s="331"/>
      <c r="N7" s="331"/>
      <c r="O7" s="331"/>
      <c r="P7" s="331"/>
      <c r="Q7" s="331"/>
      <c r="R7" s="331"/>
      <c r="S7" s="331"/>
      <c r="T7" s="331"/>
      <c r="U7" s="331"/>
      <c r="V7" s="331"/>
      <c r="W7" s="331"/>
      <c r="X7" s="331"/>
      <c r="Y7" s="331"/>
      <c r="Z7" s="331"/>
      <c r="AA7" s="331"/>
      <c r="AB7" s="331"/>
      <c r="AC7" s="331"/>
      <c r="AD7" s="331"/>
      <c r="AE7" s="331"/>
      <c r="AF7" s="331"/>
      <c r="AG7" s="331"/>
      <c r="AH7" s="331"/>
      <c r="AI7" s="331"/>
      <c r="AJ7" s="331"/>
      <c r="AK7" s="331"/>
      <c r="AL7" s="331"/>
      <c r="AM7" s="331"/>
      <c r="AN7" s="331"/>
      <c r="AO7" s="331"/>
      <c r="AP7" s="331"/>
      <c r="AQ7" s="331"/>
      <c r="AR7" s="331"/>
      <c r="AS7" s="331"/>
      <c r="AT7" s="331"/>
      <c r="AU7" s="331"/>
      <c r="AV7" s="331"/>
      <c r="AW7" s="331"/>
      <c r="AX7" s="331"/>
      <c r="AY7" s="332" t="s">
        <v>2476</v>
      </c>
      <c r="AZ7" s="332" t="s">
        <v>63</v>
      </c>
      <c r="BA7" s="332"/>
      <c r="BB7" s="332"/>
      <c r="BC7" s="332"/>
      <c r="BD7" s="332"/>
      <c r="BE7" s="332"/>
      <c r="BF7" s="332"/>
      <c r="BG7" s="332"/>
      <c r="BH7" s="332"/>
      <c r="BI7" s="332"/>
      <c r="BJ7" s="332"/>
      <c r="BK7" s="332"/>
      <c r="BL7" s="332"/>
      <c r="BM7" s="332"/>
      <c r="BN7" s="332"/>
      <c r="BO7" s="332"/>
      <c r="BP7" s="332"/>
      <c r="BQ7" s="332"/>
      <c r="BR7" s="332"/>
      <c r="BS7" s="332"/>
      <c r="BT7" s="332"/>
      <c r="BU7" s="332"/>
      <c r="BV7" s="332"/>
      <c r="BW7" s="332"/>
      <c r="BX7" s="332"/>
      <c r="BY7" s="332"/>
      <c r="BZ7" s="332"/>
      <c r="CA7" s="332"/>
      <c r="CB7" s="332"/>
      <c r="CC7" s="332"/>
      <c r="CD7" s="332"/>
      <c r="CE7" s="332"/>
      <c r="CF7" s="332"/>
      <c r="CG7" s="332"/>
      <c r="CH7" s="332"/>
      <c r="CI7" s="332"/>
      <c r="CJ7" s="332"/>
      <c r="CK7" s="332"/>
      <c r="CL7" s="332"/>
      <c r="CM7" s="332"/>
      <c r="CN7" s="332"/>
      <c r="CO7" s="332"/>
      <c r="CP7" s="333" t="s">
        <v>27</v>
      </c>
      <c r="CQ7" s="333" t="s">
        <v>63</v>
      </c>
      <c r="CR7" s="334">
        <v>-0.13000999999999999</v>
      </c>
      <c r="CS7" s="334">
        <v>-0.13015199999999999</v>
      </c>
      <c r="CT7" s="334">
        <v>-0.13029399999999999</v>
      </c>
      <c r="CU7" s="334">
        <v>-0.130436</v>
      </c>
      <c r="CV7" s="334">
        <v>-0.130578</v>
      </c>
      <c r="CW7" s="334">
        <v>-0.13072</v>
      </c>
      <c r="CX7" s="334">
        <v>-0.1328</v>
      </c>
      <c r="CY7" s="334">
        <v>-0.13488</v>
      </c>
      <c r="CZ7" s="334">
        <v>-0.13696</v>
      </c>
      <c r="DA7" s="334">
        <v>-0.13904</v>
      </c>
      <c r="DB7" s="334">
        <v>-0.14112</v>
      </c>
      <c r="DC7" s="334">
        <v>-0.14153399999999999</v>
      </c>
      <c r="DD7" s="334">
        <v>-0.14194799999999999</v>
      </c>
      <c r="DE7" s="334">
        <v>-0.14236199999999999</v>
      </c>
      <c r="DF7" s="334">
        <v>-0.14277599999999999</v>
      </c>
      <c r="DG7" s="334">
        <v>-0.14318999999999998</v>
      </c>
      <c r="DH7" s="334">
        <v>-0.14290999999999998</v>
      </c>
      <c r="DI7" s="334">
        <v>-0.14262999999999998</v>
      </c>
      <c r="DJ7" s="334">
        <v>-0.14234999999999998</v>
      </c>
      <c r="DK7" s="334">
        <v>-0.14206999999999997</v>
      </c>
      <c r="DL7" s="334">
        <v>-0.14179</v>
      </c>
      <c r="DM7" s="334">
        <v>-0.13575999999999999</v>
      </c>
      <c r="DN7" s="334">
        <v>-0.13586999999999999</v>
      </c>
      <c r="DO7" s="334">
        <v>-0.13525999999999999</v>
      </c>
      <c r="DP7" s="334">
        <v>-0.13527</v>
      </c>
      <c r="DQ7" s="334">
        <v>-0.13538</v>
      </c>
      <c r="DR7" s="334">
        <v>-0.13544999999999999</v>
      </c>
      <c r="DS7" s="334">
        <v>-0.1356</v>
      </c>
      <c r="DT7" s="334">
        <v>-0.13661999999999999</v>
      </c>
      <c r="DU7" s="335">
        <v>-0.13582</v>
      </c>
      <c r="DV7" s="335">
        <v>-0.14005073563218395</v>
      </c>
      <c r="DW7" s="335">
        <v>-0.14024415943641083</v>
      </c>
      <c r="DX7" s="198">
        <v>-0.14005073563218395</v>
      </c>
      <c r="DY7" s="198">
        <v>-0.14005073563218395</v>
      </c>
      <c r="DZ7" s="198">
        <v>-0.14005073563218395</v>
      </c>
      <c r="EA7" s="198">
        <v>1.9342380422687766E-4</v>
      </c>
      <c r="EB7" s="198">
        <v>0.14000000000000001</v>
      </c>
      <c r="EC7" s="198">
        <v>0.14000000000000001</v>
      </c>
      <c r="ED7" s="198">
        <v>0.14000000000000001</v>
      </c>
      <c r="EE7" s="198">
        <v>0.14000000000000001</v>
      </c>
      <c r="EF7" s="198">
        <v>0.28024415943641084</v>
      </c>
      <c r="EG7" s="198">
        <v>0.28005073563218397</v>
      </c>
      <c r="EH7" s="198">
        <v>-0.14502096718698307</v>
      </c>
      <c r="EI7" s="336">
        <f t="shared" si="0"/>
        <v>-0.13577400000000001</v>
      </c>
      <c r="EJ7" s="336">
        <f>EI7-'[13]FAOSTAT21 CO2'!EH7</f>
        <v>-0.13577400000000001</v>
      </c>
    </row>
    <row r="8" spans="1:141" x14ac:dyDescent="0.25">
      <c r="A8" s="31">
        <v>26</v>
      </c>
      <c r="B8" s="31" t="s">
        <v>64</v>
      </c>
      <c r="C8" s="31">
        <v>6</v>
      </c>
      <c r="D8" s="31">
        <v>0</v>
      </c>
      <c r="E8" s="31">
        <v>0</v>
      </c>
      <c r="F8" s="31">
        <v>0</v>
      </c>
      <c r="G8" s="31">
        <v>0</v>
      </c>
      <c r="H8" s="331" t="s">
        <v>2475</v>
      </c>
      <c r="I8" s="331" t="s">
        <v>65</v>
      </c>
      <c r="J8" s="331"/>
      <c r="K8" s="331"/>
      <c r="L8" s="331"/>
      <c r="M8" s="331"/>
      <c r="N8" s="331"/>
      <c r="O8" s="331"/>
      <c r="P8" s="331"/>
      <c r="Q8" s="331"/>
      <c r="R8" s="331"/>
      <c r="S8" s="331"/>
      <c r="T8" s="331"/>
      <c r="U8" s="331"/>
      <c r="V8" s="331"/>
      <c r="W8" s="331"/>
      <c r="X8" s="331"/>
      <c r="Y8" s="331"/>
      <c r="Z8" s="331"/>
      <c r="AA8" s="331"/>
      <c r="AB8" s="331"/>
      <c r="AC8" s="331"/>
      <c r="AD8" s="331"/>
      <c r="AE8" s="331"/>
      <c r="AF8" s="331"/>
      <c r="AG8" s="331"/>
      <c r="AH8" s="331"/>
      <c r="AI8" s="331"/>
      <c r="AJ8" s="331"/>
      <c r="AK8" s="331"/>
      <c r="AL8" s="331"/>
      <c r="AM8" s="331"/>
      <c r="AN8" s="331"/>
      <c r="AO8" s="331"/>
      <c r="AP8" s="331"/>
      <c r="AQ8" s="331"/>
      <c r="AR8" s="331"/>
      <c r="AS8" s="331"/>
      <c r="AT8" s="331"/>
      <c r="AU8" s="331"/>
      <c r="AV8" s="331"/>
      <c r="AW8" s="331"/>
      <c r="AX8" s="331"/>
      <c r="AY8" s="332" t="s">
        <v>2476</v>
      </c>
      <c r="AZ8" s="332" t="s">
        <v>65</v>
      </c>
      <c r="BA8" s="332"/>
      <c r="BB8" s="332"/>
      <c r="BC8" s="332"/>
      <c r="BD8" s="332"/>
      <c r="BE8" s="332"/>
      <c r="BF8" s="332"/>
      <c r="BG8" s="332"/>
      <c r="BH8" s="332"/>
      <c r="BI8" s="332"/>
      <c r="BJ8" s="332"/>
      <c r="BK8" s="332"/>
      <c r="BL8" s="332"/>
      <c r="BM8" s="332"/>
      <c r="BN8" s="332"/>
      <c r="BO8" s="332"/>
      <c r="BP8" s="332"/>
      <c r="BQ8" s="332"/>
      <c r="BR8" s="332"/>
      <c r="BS8" s="332"/>
      <c r="BT8" s="332"/>
      <c r="BU8" s="332"/>
      <c r="BV8" s="332"/>
      <c r="BW8" s="332"/>
      <c r="BX8" s="332"/>
      <c r="BY8" s="332"/>
      <c r="BZ8" s="332"/>
      <c r="CA8" s="332"/>
      <c r="CB8" s="332"/>
      <c r="CC8" s="332"/>
      <c r="CD8" s="332"/>
      <c r="CE8" s="332"/>
      <c r="CF8" s="332"/>
      <c r="CG8" s="332"/>
      <c r="CH8" s="332"/>
      <c r="CI8" s="332"/>
      <c r="CJ8" s="332"/>
      <c r="CK8" s="332"/>
      <c r="CL8" s="332"/>
      <c r="CM8" s="332"/>
      <c r="CN8" s="332"/>
      <c r="CO8" s="332"/>
      <c r="CP8" s="333" t="s">
        <v>27</v>
      </c>
      <c r="CQ8" s="333" t="s">
        <v>65</v>
      </c>
      <c r="CR8" s="334">
        <v>40.062605000000005</v>
      </c>
      <c r="CS8" s="334">
        <v>40.062605000000005</v>
      </c>
      <c r="CT8" s="334">
        <v>40.062605000000005</v>
      </c>
      <c r="CU8" s="334">
        <v>40.062605000000005</v>
      </c>
      <c r="CV8" s="334">
        <v>40.062605000000005</v>
      </c>
      <c r="CW8" s="334">
        <v>40.062605000000005</v>
      </c>
      <c r="CX8" s="334">
        <v>40.062605000000005</v>
      </c>
      <c r="CY8" s="334">
        <v>40.062605000000005</v>
      </c>
      <c r="CZ8" s="334">
        <v>40.062605000000005</v>
      </c>
      <c r="DA8" s="334">
        <v>40.062605000000005</v>
      </c>
      <c r="DB8" s="334">
        <v>40.062605000000005</v>
      </c>
      <c r="DC8" s="334">
        <v>40.062605000000005</v>
      </c>
      <c r="DD8" s="334">
        <v>40.062605000000005</v>
      </c>
      <c r="DE8" s="334">
        <v>40.062605000000005</v>
      </c>
      <c r="DF8" s="334">
        <v>40.062605000000005</v>
      </c>
      <c r="DG8" s="334">
        <v>40.062605000000005</v>
      </c>
      <c r="DH8" s="334">
        <v>39.907396999999996</v>
      </c>
      <c r="DI8" s="334">
        <v>40.153357000000007</v>
      </c>
      <c r="DJ8" s="334">
        <v>40.065406000000003</v>
      </c>
      <c r="DK8" s="334">
        <v>40.233865999999999</v>
      </c>
      <c r="DL8" s="334">
        <v>40.189886000000001</v>
      </c>
      <c r="DM8" s="334">
        <v>70.552361000000005</v>
      </c>
      <c r="DN8" s="334">
        <v>70.392155000000002</v>
      </c>
      <c r="DO8" s="334">
        <v>70.417382000000003</v>
      </c>
      <c r="DP8" s="334">
        <v>70.432479000000001</v>
      </c>
      <c r="DQ8" s="334">
        <v>70.360441999999992</v>
      </c>
      <c r="DR8" s="334">
        <v>70.430964000000003</v>
      </c>
      <c r="DS8" s="334">
        <v>70.406683999999998</v>
      </c>
      <c r="DT8" s="334">
        <v>70.409589999999994</v>
      </c>
      <c r="DU8" s="335">
        <v>67.300693256157501</v>
      </c>
      <c r="DV8" s="335">
        <v>68.557627636453162</v>
      </c>
      <c r="DW8" s="335">
        <v>69.814562016748823</v>
      </c>
      <c r="DX8" s="198">
        <v>68.557627636453162</v>
      </c>
      <c r="DY8" s="198">
        <v>68.557627636453162</v>
      </c>
      <c r="DZ8" s="198">
        <v>68.557627636453162</v>
      </c>
      <c r="EA8" s="198">
        <v>-1.256934380295661</v>
      </c>
      <c r="EB8" s="198">
        <v>68.557627636453162</v>
      </c>
      <c r="EC8" s="198">
        <v>68.557627636453162</v>
      </c>
      <c r="ED8" s="198">
        <v>68.557627636453162</v>
      </c>
      <c r="EE8" s="198">
        <v>68.557627636453162</v>
      </c>
      <c r="EF8" s="198">
        <v>-1.256934380295661</v>
      </c>
      <c r="EG8" s="198">
        <v>0</v>
      </c>
      <c r="EH8" s="198">
        <v>54.965157517352708</v>
      </c>
      <c r="EI8" s="336">
        <f t="shared" si="0"/>
        <v>69.781674651231498</v>
      </c>
      <c r="EJ8" s="336">
        <f>EI8-'[13]FAOSTAT21 CO2'!EH8</f>
        <v>34.185581791231492</v>
      </c>
    </row>
    <row r="9" spans="1:141" x14ac:dyDescent="0.25">
      <c r="A9" s="31">
        <v>4</v>
      </c>
      <c r="B9" s="31" t="s">
        <v>66</v>
      </c>
      <c r="C9" s="31">
        <v>171</v>
      </c>
      <c r="D9" s="31">
        <v>0</v>
      </c>
      <c r="E9" s="31">
        <v>0</v>
      </c>
      <c r="F9" s="31">
        <v>0</v>
      </c>
      <c r="G9" s="31">
        <v>0</v>
      </c>
      <c r="H9" s="331" t="s">
        <v>2475</v>
      </c>
      <c r="I9" s="331" t="s">
        <v>67</v>
      </c>
      <c r="J9" s="331"/>
      <c r="K9" s="331"/>
      <c r="L9" s="331"/>
      <c r="M9" s="331"/>
      <c r="N9" s="331"/>
      <c r="O9" s="331"/>
      <c r="P9" s="331"/>
      <c r="Q9" s="331"/>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331"/>
      <c r="AU9" s="331"/>
      <c r="AV9" s="331"/>
      <c r="AW9" s="331"/>
      <c r="AX9" s="331"/>
      <c r="AY9" s="332" t="s">
        <v>2476</v>
      </c>
      <c r="AZ9" s="332" t="s">
        <v>67</v>
      </c>
      <c r="BA9" s="332"/>
      <c r="BB9" s="332"/>
      <c r="BC9" s="332"/>
      <c r="BD9" s="332"/>
      <c r="BE9" s="332"/>
      <c r="BF9" s="332"/>
      <c r="BG9" s="332"/>
      <c r="BH9" s="332"/>
      <c r="BI9" s="332"/>
      <c r="BJ9" s="332"/>
      <c r="BK9" s="332"/>
      <c r="BL9" s="332"/>
      <c r="BM9" s="332"/>
      <c r="BN9" s="332"/>
      <c r="BO9" s="332"/>
      <c r="BP9" s="332"/>
      <c r="BQ9" s="332"/>
      <c r="BR9" s="332"/>
      <c r="BS9" s="332"/>
      <c r="BT9" s="332"/>
      <c r="BU9" s="332"/>
      <c r="BV9" s="332"/>
      <c r="BW9" s="332"/>
      <c r="BX9" s="332"/>
      <c r="BY9" s="332"/>
      <c r="BZ9" s="332"/>
      <c r="CA9" s="332"/>
      <c r="CB9" s="332"/>
      <c r="CC9" s="332"/>
      <c r="CD9" s="332"/>
      <c r="CE9" s="332"/>
      <c r="CF9" s="332"/>
      <c r="CG9" s="332"/>
      <c r="CH9" s="332"/>
      <c r="CI9" s="332"/>
      <c r="CJ9" s="332"/>
      <c r="CK9" s="332"/>
      <c r="CL9" s="332"/>
      <c r="CM9" s="332"/>
      <c r="CN9" s="332"/>
      <c r="CO9" s="332"/>
      <c r="CP9" s="333" t="s">
        <v>27</v>
      </c>
      <c r="CQ9" s="333" t="s">
        <v>67</v>
      </c>
      <c r="CR9" s="334">
        <v>0</v>
      </c>
      <c r="CS9" s="334">
        <v>0</v>
      </c>
      <c r="CT9" s="334">
        <v>0</v>
      </c>
      <c r="CU9" s="334">
        <v>0</v>
      </c>
      <c r="CV9" s="334">
        <v>0</v>
      </c>
      <c r="CW9" s="334">
        <v>0</v>
      </c>
      <c r="CX9" s="334">
        <v>0</v>
      </c>
      <c r="CY9" s="334">
        <v>0</v>
      </c>
      <c r="CZ9" s="334">
        <v>0</v>
      </c>
      <c r="DA9" s="334">
        <v>0</v>
      </c>
      <c r="DB9" s="334">
        <v>0</v>
      </c>
      <c r="DC9" s="334">
        <v>0</v>
      </c>
      <c r="DD9" s="334">
        <v>0</v>
      </c>
      <c r="DE9" s="334">
        <v>0</v>
      </c>
      <c r="DF9" s="334">
        <v>0</v>
      </c>
      <c r="DG9" s="334">
        <v>0</v>
      </c>
      <c r="DH9" s="334">
        <v>0</v>
      </c>
      <c r="DI9" s="334">
        <v>0</v>
      </c>
      <c r="DJ9" s="334">
        <v>0</v>
      </c>
      <c r="DK9" s="334">
        <v>0</v>
      </c>
      <c r="DL9" s="334">
        <v>0</v>
      </c>
      <c r="DM9" s="334">
        <v>0</v>
      </c>
      <c r="DN9" s="334">
        <v>0</v>
      </c>
      <c r="DO9" s="334">
        <v>0</v>
      </c>
      <c r="DP9" s="334">
        <v>0</v>
      </c>
      <c r="DQ9" s="334">
        <v>0</v>
      </c>
      <c r="DR9" s="334">
        <v>0</v>
      </c>
      <c r="DS9" s="334">
        <v>0</v>
      </c>
      <c r="DT9" s="334">
        <v>0</v>
      </c>
      <c r="DU9" s="335">
        <v>0</v>
      </c>
      <c r="DV9" s="335">
        <v>0</v>
      </c>
      <c r="DW9" s="335">
        <v>0</v>
      </c>
      <c r="DX9" s="198" t="s">
        <v>2477</v>
      </c>
      <c r="DY9" s="198" t="s">
        <v>2477</v>
      </c>
      <c r="DZ9" s="198" t="s">
        <v>2477</v>
      </c>
      <c r="EA9" s="198" t="s">
        <v>2477</v>
      </c>
      <c r="EB9" s="198" t="s">
        <v>2477</v>
      </c>
      <c r="EC9" s="198" t="s">
        <v>2477</v>
      </c>
      <c r="ED9" s="198" t="s">
        <v>2477</v>
      </c>
      <c r="EE9" s="198" t="s">
        <v>2477</v>
      </c>
      <c r="EF9" s="198" t="s">
        <v>2477</v>
      </c>
      <c r="EG9" s="198" t="s">
        <v>2477</v>
      </c>
      <c r="EH9" s="198" t="s">
        <v>2477</v>
      </c>
      <c r="EI9" s="336">
        <f t="shared" si="0"/>
        <v>0</v>
      </c>
      <c r="EJ9" s="336">
        <f>EI9-'[13]FAOSTAT21 CO2'!EH9</f>
        <v>0</v>
      </c>
    </row>
    <row r="10" spans="1:141" x14ac:dyDescent="0.25">
      <c r="A10" s="31">
        <v>6</v>
      </c>
      <c r="B10" s="31" t="s">
        <v>68</v>
      </c>
      <c r="C10" s="31">
        <v>8</v>
      </c>
      <c r="D10" s="31">
        <v>0</v>
      </c>
      <c r="E10" s="31">
        <v>1</v>
      </c>
      <c r="F10" s="31">
        <v>0</v>
      </c>
      <c r="G10" s="31">
        <v>1</v>
      </c>
      <c r="H10" s="331" t="s">
        <v>2475</v>
      </c>
      <c r="I10" s="331" t="s">
        <v>69</v>
      </c>
      <c r="J10" s="337"/>
      <c r="K10" s="337"/>
      <c r="L10" s="337"/>
      <c r="M10" s="337"/>
      <c r="N10" s="337"/>
      <c r="O10" s="337"/>
      <c r="P10" s="337"/>
      <c r="Q10" s="337"/>
      <c r="R10" s="337"/>
      <c r="S10" s="337"/>
      <c r="T10" s="337"/>
      <c r="U10" s="337"/>
      <c r="V10" s="337"/>
      <c r="W10" s="337"/>
      <c r="X10" s="337"/>
      <c r="Y10" s="337"/>
      <c r="Z10" s="337"/>
      <c r="AA10" s="337"/>
      <c r="AB10" s="337"/>
      <c r="AC10" s="337"/>
      <c r="AD10" s="337"/>
      <c r="AE10" s="331"/>
      <c r="AF10" s="331"/>
      <c r="AG10" s="331"/>
      <c r="AH10" s="331"/>
      <c r="AI10" s="331"/>
      <c r="AJ10" s="331"/>
      <c r="AK10" s="331"/>
      <c r="AL10" s="331"/>
      <c r="AM10" s="331"/>
      <c r="AN10" s="331"/>
      <c r="AO10" s="331"/>
      <c r="AP10" s="331"/>
      <c r="AQ10" s="331"/>
      <c r="AR10" s="331"/>
      <c r="AS10" s="331"/>
      <c r="AT10" s="331"/>
      <c r="AU10" s="331"/>
      <c r="AV10" s="331"/>
      <c r="AW10" s="331"/>
      <c r="AX10" s="331"/>
      <c r="AY10" s="332" t="s">
        <v>2476</v>
      </c>
      <c r="AZ10" s="332" t="s">
        <v>69</v>
      </c>
      <c r="BA10" s="338"/>
      <c r="BB10" s="338"/>
      <c r="BC10" s="338"/>
      <c r="BD10" s="338"/>
      <c r="BE10" s="338"/>
      <c r="BF10" s="338"/>
      <c r="BG10" s="338"/>
      <c r="BH10" s="338"/>
      <c r="BI10" s="338"/>
      <c r="BJ10" s="338"/>
      <c r="BK10" s="338"/>
      <c r="BL10" s="338"/>
      <c r="BM10" s="338"/>
      <c r="BN10" s="338"/>
      <c r="BO10" s="338"/>
      <c r="BP10" s="338"/>
      <c r="BQ10" s="338"/>
      <c r="BR10" s="338"/>
      <c r="BS10" s="338"/>
      <c r="BT10" s="338"/>
      <c r="BU10" s="338"/>
      <c r="BV10" s="332"/>
      <c r="BW10" s="332"/>
      <c r="BX10" s="332"/>
      <c r="BY10" s="332"/>
      <c r="BZ10" s="332"/>
      <c r="CA10" s="332"/>
      <c r="CB10" s="332"/>
      <c r="CC10" s="332"/>
      <c r="CD10" s="332"/>
      <c r="CE10" s="332"/>
      <c r="CF10" s="332"/>
      <c r="CG10" s="332"/>
      <c r="CH10" s="332"/>
      <c r="CI10" s="332"/>
      <c r="CJ10" s="332"/>
      <c r="CK10" s="332"/>
      <c r="CL10" s="332"/>
      <c r="CM10" s="332"/>
      <c r="CN10" s="332"/>
      <c r="CO10" s="332"/>
      <c r="CP10" s="333" t="s">
        <v>27</v>
      </c>
      <c r="CQ10" s="333" t="s">
        <v>69</v>
      </c>
      <c r="CR10" s="334">
        <v>46.991570000000003</v>
      </c>
      <c r="CS10" s="334">
        <v>67.709600000000009</v>
      </c>
      <c r="CT10" s="334">
        <v>70.080329999999989</v>
      </c>
      <c r="CU10" s="334">
        <v>62.701120000000003</v>
      </c>
      <c r="CV10" s="334">
        <v>65.649110000000007</v>
      </c>
      <c r="CW10" s="334">
        <v>69.458799999999997</v>
      </c>
      <c r="CX10" s="334">
        <v>88.511369999999999</v>
      </c>
      <c r="CY10" s="334">
        <v>83.992209999999986</v>
      </c>
      <c r="CZ10" s="334">
        <v>102.28325</v>
      </c>
      <c r="DA10" s="334">
        <v>87.84617999999999</v>
      </c>
      <c r="DB10" s="334">
        <v>85.192239999999998</v>
      </c>
      <c r="DC10" s="334">
        <v>82.860210000000009</v>
      </c>
      <c r="DD10" s="334">
        <v>97.579769999999996</v>
      </c>
      <c r="DE10" s="334">
        <v>96.100430000000003</v>
      </c>
      <c r="DF10" s="334">
        <v>104.48795000000001</v>
      </c>
      <c r="DG10" s="334">
        <v>93.19453</v>
      </c>
      <c r="DH10" s="334">
        <v>110.14103999999999</v>
      </c>
      <c r="DI10" s="334">
        <v>117.31939</v>
      </c>
      <c r="DJ10" s="334">
        <v>93.362719999999996</v>
      </c>
      <c r="DK10" s="334">
        <v>69.928759999999997</v>
      </c>
      <c r="DL10" s="334">
        <v>75.138300000000001</v>
      </c>
      <c r="DM10" s="334">
        <v>52.976889999999997</v>
      </c>
      <c r="DN10" s="334">
        <v>90.854199999999992</v>
      </c>
      <c r="DO10" s="334">
        <v>85.342309999999998</v>
      </c>
      <c r="DP10" s="334">
        <v>57.213529999999999</v>
      </c>
      <c r="DQ10" s="334">
        <v>36.609119999999997</v>
      </c>
      <c r="DR10" s="334">
        <v>29.689109999999996</v>
      </c>
      <c r="DS10" s="334">
        <v>36.113759999999999</v>
      </c>
      <c r="DT10" s="334">
        <v>37.312089999999998</v>
      </c>
      <c r="DU10" s="335">
        <v>7.7522000000000011</v>
      </c>
      <c r="DV10" s="335">
        <v>67.849910000000008</v>
      </c>
      <c r="DW10" s="335">
        <v>56.380224322580489</v>
      </c>
      <c r="DX10" s="198">
        <v>67.849910000000008</v>
      </c>
      <c r="DY10" s="198">
        <v>-26.650089999999992</v>
      </c>
      <c r="DZ10" s="198">
        <v>-42.56</v>
      </c>
      <c r="EA10" s="198">
        <v>-98.940224322580491</v>
      </c>
      <c r="EB10" s="198">
        <v>67.849910000000008</v>
      </c>
      <c r="EC10" s="198">
        <v>-26.650089999999992</v>
      </c>
      <c r="ED10" s="198">
        <v>67.849910000000008</v>
      </c>
      <c r="EE10" s="198">
        <v>-26.650089999999992</v>
      </c>
      <c r="EF10" s="198">
        <v>-83.03031432258048</v>
      </c>
      <c r="EG10" s="198">
        <v>15.909910000000011</v>
      </c>
      <c r="EH10" s="198">
        <v>-17.89451</v>
      </c>
      <c r="EI10" s="336">
        <f t="shared" si="0"/>
        <v>29.495255999999994</v>
      </c>
      <c r="EJ10" s="336">
        <f>EI10-'[13]FAOSTAT21 CO2'!EH10</f>
        <v>-7.3829049800000028</v>
      </c>
    </row>
    <row r="11" spans="1:141" x14ac:dyDescent="0.25">
      <c r="A11" s="31">
        <v>16</v>
      </c>
      <c r="B11" s="31" t="s">
        <v>70</v>
      </c>
      <c r="C11" s="31">
        <v>14</v>
      </c>
      <c r="D11" s="31">
        <v>0</v>
      </c>
      <c r="E11" s="31">
        <v>0</v>
      </c>
      <c r="F11" s="31">
        <v>0</v>
      </c>
      <c r="G11" s="31">
        <v>0</v>
      </c>
      <c r="H11" s="331" t="s">
        <v>2475</v>
      </c>
      <c r="I11" s="331" t="s">
        <v>71</v>
      </c>
      <c r="J11" s="331"/>
      <c r="K11" s="331"/>
      <c r="L11" s="331"/>
      <c r="M11" s="331"/>
      <c r="N11" s="331"/>
      <c r="O11" s="331"/>
      <c r="P11" s="331"/>
      <c r="Q11" s="331"/>
      <c r="R11" s="331"/>
      <c r="S11" s="331"/>
      <c r="T11" s="331"/>
      <c r="U11" s="331"/>
      <c r="V11" s="331"/>
      <c r="W11" s="331"/>
      <c r="X11" s="331"/>
      <c r="Y11" s="331"/>
      <c r="Z11" s="331"/>
      <c r="AA11" s="331"/>
      <c r="AB11" s="331"/>
      <c r="AC11" s="331"/>
      <c r="AD11" s="331"/>
      <c r="AE11" s="331"/>
      <c r="AF11" s="331"/>
      <c r="AG11" s="331"/>
      <c r="AH11" s="331"/>
      <c r="AI11" s="331"/>
      <c r="AJ11" s="331"/>
      <c r="AK11" s="331"/>
      <c r="AL11" s="331"/>
      <c r="AM11" s="331"/>
      <c r="AN11" s="331"/>
      <c r="AO11" s="331"/>
      <c r="AP11" s="331"/>
      <c r="AQ11" s="331"/>
      <c r="AR11" s="331"/>
      <c r="AS11" s="331"/>
      <c r="AT11" s="331"/>
      <c r="AU11" s="331"/>
      <c r="AV11" s="331"/>
      <c r="AW11" s="331"/>
      <c r="AX11" s="331"/>
      <c r="AY11" s="332" t="s">
        <v>2476</v>
      </c>
      <c r="AZ11" s="332" t="s">
        <v>71</v>
      </c>
      <c r="BA11" s="332"/>
      <c r="BB11" s="332"/>
      <c r="BC11" s="332"/>
      <c r="BD11" s="332"/>
      <c r="BE11" s="332"/>
      <c r="BF11" s="332"/>
      <c r="BG11" s="332"/>
      <c r="BH11" s="332"/>
      <c r="BI11" s="332"/>
      <c r="BJ11" s="332"/>
      <c r="BK11" s="332"/>
      <c r="BL11" s="332"/>
      <c r="BM11" s="332"/>
      <c r="BN11" s="332"/>
      <c r="BO11" s="332"/>
      <c r="BP11" s="332"/>
      <c r="BQ11" s="332"/>
      <c r="BR11" s="332"/>
      <c r="BS11" s="332"/>
      <c r="BT11" s="332"/>
      <c r="BU11" s="332"/>
      <c r="BV11" s="332"/>
      <c r="BW11" s="332"/>
      <c r="BX11" s="332"/>
      <c r="BY11" s="332"/>
      <c r="BZ11" s="332"/>
      <c r="CA11" s="332"/>
      <c r="CB11" s="332"/>
      <c r="CC11" s="332"/>
      <c r="CD11" s="332"/>
      <c r="CE11" s="332"/>
      <c r="CF11" s="332"/>
      <c r="CG11" s="332"/>
      <c r="CH11" s="332"/>
      <c r="CI11" s="332"/>
      <c r="CJ11" s="332"/>
      <c r="CK11" s="332"/>
      <c r="CL11" s="332"/>
      <c r="CM11" s="332"/>
      <c r="CN11" s="332"/>
      <c r="CO11" s="332"/>
      <c r="CP11" s="333" t="s">
        <v>27</v>
      </c>
      <c r="CQ11" s="333" t="s">
        <v>71</v>
      </c>
      <c r="CR11" s="334">
        <v>-0.66449999999999998</v>
      </c>
      <c r="CS11" s="334">
        <v>-0.63493999999999995</v>
      </c>
      <c r="CT11" s="334">
        <v>-0.60537999999999992</v>
      </c>
      <c r="CU11" s="334">
        <v>-0.57581999999999989</v>
      </c>
      <c r="CV11" s="334">
        <v>-0.54625999999999986</v>
      </c>
      <c r="CW11" s="334">
        <v>-0.51670000000000005</v>
      </c>
      <c r="CX11" s="334">
        <v>-0.50752000000000008</v>
      </c>
      <c r="CY11" s="334">
        <v>-0.49834000000000006</v>
      </c>
      <c r="CZ11" s="334">
        <v>-0.48916000000000004</v>
      </c>
      <c r="DA11" s="334">
        <v>-0.47998000000000002</v>
      </c>
      <c r="DB11" s="334">
        <v>-0.4708</v>
      </c>
      <c r="DC11" s="334">
        <v>-0.45139999999999997</v>
      </c>
      <c r="DD11" s="334">
        <v>-0.46250000000000002</v>
      </c>
      <c r="DE11" s="334">
        <v>-0.45400000000000001</v>
      </c>
      <c r="DF11" s="334">
        <v>-0.497</v>
      </c>
      <c r="DG11" s="334">
        <v>-0.52679999999999993</v>
      </c>
      <c r="DH11" s="334">
        <v>-0.52710000000000001</v>
      </c>
      <c r="DI11" s="334">
        <v>-0.56989999999999996</v>
      </c>
      <c r="DJ11" s="334">
        <v>-0.56399999999999995</v>
      </c>
      <c r="DK11" s="334">
        <v>-0.55320000000000003</v>
      </c>
      <c r="DL11" s="334">
        <v>-0.55289999999999995</v>
      </c>
      <c r="DM11" s="334">
        <v>-0.54689999999999994</v>
      </c>
      <c r="DN11" s="334">
        <v>-0.52210000000000001</v>
      </c>
      <c r="DO11" s="334">
        <v>-0.53070000000000006</v>
      </c>
      <c r="DP11" s="334">
        <v>-0.53420000000000001</v>
      </c>
      <c r="DQ11" s="334">
        <v>-0.53320000000000001</v>
      </c>
      <c r="DR11" s="334">
        <v>-0.54100000000000004</v>
      </c>
      <c r="DS11" s="334">
        <v>-0.52400000000000002</v>
      </c>
      <c r="DT11" s="334">
        <v>-0.51234682539682552</v>
      </c>
      <c r="DU11" s="335">
        <v>-0.51103010399562132</v>
      </c>
      <c r="DV11" s="335">
        <v>-0.50971338259441712</v>
      </c>
      <c r="DW11" s="335">
        <v>-0.50839666119321292</v>
      </c>
      <c r="DX11" s="198">
        <v>-0.50971338259441712</v>
      </c>
      <c r="DY11" s="198">
        <v>-1.5097133825944171</v>
      </c>
      <c r="DZ11" s="198">
        <v>-1.5097133825944171</v>
      </c>
      <c r="EA11" s="198">
        <v>-1.0013167214012042</v>
      </c>
      <c r="EB11" s="198">
        <v>-0.50971338259441712</v>
      </c>
      <c r="EC11" s="198">
        <v>-0.50971338259441712</v>
      </c>
      <c r="ED11" s="198">
        <v>-0.50971338259441712</v>
      </c>
      <c r="EE11" s="198">
        <v>-0.50971338259441712</v>
      </c>
      <c r="EF11" s="198">
        <v>-1.3167214012042017E-3</v>
      </c>
      <c r="EG11" s="198">
        <v>1</v>
      </c>
      <c r="EH11" s="198">
        <v>-0.67899388067232835</v>
      </c>
      <c r="EI11" s="336">
        <f t="shared" si="0"/>
        <v>-0.52431538587848947</v>
      </c>
      <c r="EJ11" s="336">
        <f>EI11-'[13]FAOSTAT21 CO2'!EH11</f>
        <v>-0.53752688587848951</v>
      </c>
    </row>
    <row r="12" spans="1:141" x14ac:dyDescent="0.25">
      <c r="A12" s="31">
        <v>4</v>
      </c>
      <c r="B12" s="31" t="s">
        <v>72</v>
      </c>
      <c r="C12" s="31">
        <v>139</v>
      </c>
      <c r="D12" s="31">
        <v>0</v>
      </c>
      <c r="E12" s="31">
        <v>0</v>
      </c>
      <c r="F12" s="31">
        <v>0</v>
      </c>
      <c r="G12" s="31">
        <v>0</v>
      </c>
      <c r="H12" s="331" t="s">
        <v>2475</v>
      </c>
      <c r="I12" s="331" t="s">
        <v>73</v>
      </c>
      <c r="J12" s="331"/>
      <c r="K12" s="331"/>
      <c r="L12" s="331"/>
      <c r="M12" s="331"/>
      <c r="N12" s="331"/>
      <c r="O12" s="331"/>
      <c r="P12" s="331"/>
      <c r="Q12" s="331"/>
      <c r="R12" s="331"/>
      <c r="S12" s="331"/>
      <c r="T12" s="331"/>
      <c r="U12" s="331"/>
      <c r="V12" s="331"/>
      <c r="W12" s="331"/>
      <c r="X12" s="331"/>
      <c r="Y12" s="331"/>
      <c r="Z12" s="331"/>
      <c r="AA12" s="331"/>
      <c r="AB12" s="331"/>
      <c r="AC12" s="331"/>
      <c r="AD12" s="331"/>
      <c r="AE12" s="331"/>
      <c r="AF12" s="331"/>
      <c r="AG12" s="331"/>
      <c r="AH12" s="331"/>
      <c r="AI12" s="331"/>
      <c r="AJ12" s="331"/>
      <c r="AK12" s="331"/>
      <c r="AL12" s="331"/>
      <c r="AM12" s="331"/>
      <c r="AN12" s="331"/>
      <c r="AO12" s="331"/>
      <c r="AP12" s="331"/>
      <c r="AQ12" s="331"/>
      <c r="AR12" s="331"/>
      <c r="AS12" s="331"/>
      <c r="AT12" s="331"/>
      <c r="AU12" s="331"/>
      <c r="AV12" s="331"/>
      <c r="AW12" s="331"/>
      <c r="AX12" s="331"/>
      <c r="AY12" s="332" t="s">
        <v>2476</v>
      </c>
      <c r="AZ12" s="332" t="s">
        <v>73</v>
      </c>
      <c r="BA12" s="332"/>
      <c r="BB12" s="332"/>
      <c r="BC12" s="332"/>
      <c r="BD12" s="332"/>
      <c r="BE12" s="332"/>
      <c r="BF12" s="332"/>
      <c r="BG12" s="332"/>
      <c r="BH12" s="332"/>
      <c r="BI12" s="332"/>
      <c r="BJ12" s="332"/>
      <c r="BK12" s="332"/>
      <c r="BL12" s="332"/>
      <c r="BM12" s="332"/>
      <c r="BN12" s="332"/>
      <c r="BO12" s="332"/>
      <c r="BP12" s="332"/>
      <c r="BQ12" s="332"/>
      <c r="BR12" s="332"/>
      <c r="BS12" s="332"/>
      <c r="BT12" s="332"/>
      <c r="BU12" s="332"/>
      <c r="BV12" s="332"/>
      <c r="BW12" s="332"/>
      <c r="BX12" s="332"/>
      <c r="BY12" s="332"/>
      <c r="BZ12" s="332"/>
      <c r="CA12" s="332"/>
      <c r="CB12" s="332"/>
      <c r="CC12" s="332"/>
      <c r="CD12" s="332"/>
      <c r="CE12" s="332"/>
      <c r="CF12" s="332"/>
      <c r="CG12" s="332"/>
      <c r="CH12" s="332"/>
      <c r="CI12" s="332"/>
      <c r="CJ12" s="332"/>
      <c r="CK12" s="332"/>
      <c r="CL12" s="332"/>
      <c r="CM12" s="332"/>
      <c r="CN12" s="332"/>
      <c r="CO12" s="332"/>
      <c r="CP12" s="333" t="s">
        <v>27</v>
      </c>
      <c r="CQ12" s="333" t="s">
        <v>73</v>
      </c>
      <c r="CR12" s="334">
        <v>0</v>
      </c>
      <c r="CS12" s="334">
        <v>0</v>
      </c>
      <c r="CT12" s="334">
        <v>0</v>
      </c>
      <c r="CU12" s="334">
        <v>0</v>
      </c>
      <c r="CV12" s="334">
        <v>0</v>
      </c>
      <c r="CW12" s="334">
        <v>0</v>
      </c>
      <c r="CX12" s="334">
        <v>0</v>
      </c>
      <c r="CY12" s="334">
        <v>0</v>
      </c>
      <c r="CZ12" s="334">
        <v>0</v>
      </c>
      <c r="DA12" s="334">
        <v>0</v>
      </c>
      <c r="DB12" s="334">
        <v>0</v>
      </c>
      <c r="DC12" s="334">
        <v>0</v>
      </c>
      <c r="DD12" s="334">
        <v>0</v>
      </c>
      <c r="DE12" s="334">
        <v>0</v>
      </c>
      <c r="DF12" s="334">
        <v>0</v>
      </c>
      <c r="DG12" s="334">
        <v>0</v>
      </c>
      <c r="DH12" s="334">
        <v>0</v>
      </c>
      <c r="DI12" s="334">
        <v>0</v>
      </c>
      <c r="DJ12" s="334">
        <v>0</v>
      </c>
      <c r="DK12" s="334">
        <v>0</v>
      </c>
      <c r="DL12" s="334">
        <v>0</v>
      </c>
      <c r="DM12" s="334">
        <v>0</v>
      </c>
      <c r="DN12" s="334">
        <v>0</v>
      </c>
      <c r="DO12" s="334">
        <v>0</v>
      </c>
      <c r="DP12" s="334">
        <v>0</v>
      </c>
      <c r="DQ12" s="334">
        <v>0</v>
      </c>
      <c r="DR12" s="334">
        <v>0</v>
      </c>
      <c r="DS12" s="334">
        <v>0</v>
      </c>
      <c r="DT12" s="334">
        <v>0</v>
      </c>
      <c r="DU12" s="335">
        <v>0</v>
      </c>
      <c r="DV12" s="335">
        <v>0</v>
      </c>
      <c r="DW12" s="335">
        <v>0</v>
      </c>
      <c r="DX12" s="198" t="s">
        <v>2477</v>
      </c>
      <c r="DY12" s="198" t="s">
        <v>2477</v>
      </c>
      <c r="DZ12" s="198" t="s">
        <v>2477</v>
      </c>
      <c r="EA12" s="198" t="s">
        <v>2477</v>
      </c>
      <c r="EB12" s="198" t="s">
        <v>2477</v>
      </c>
      <c r="EC12" s="198" t="s">
        <v>2477</v>
      </c>
      <c r="ED12" s="198" t="s">
        <v>2477</v>
      </c>
      <c r="EE12" s="198" t="s">
        <v>2477</v>
      </c>
      <c r="EF12" s="198" t="s">
        <v>2477</v>
      </c>
      <c r="EG12" s="198" t="s">
        <v>2477</v>
      </c>
      <c r="EH12" s="198"/>
      <c r="EI12" s="336">
        <f t="shared" si="0"/>
        <v>0</v>
      </c>
      <c r="EJ12" s="336">
        <f>EI12-'[13]FAOSTAT21 CO2'!EH12</f>
        <v>1.0906000000000002E-4</v>
      </c>
    </row>
    <row r="13" spans="1:141" x14ac:dyDescent="0.25">
      <c r="A13" s="31">
        <v>24</v>
      </c>
      <c r="B13" s="31" t="s">
        <v>74</v>
      </c>
      <c r="C13" s="31">
        <v>9</v>
      </c>
      <c r="D13" s="31">
        <v>0</v>
      </c>
      <c r="E13" s="31">
        <v>1</v>
      </c>
      <c r="F13" s="31">
        <v>1</v>
      </c>
      <c r="G13" s="31">
        <v>1</v>
      </c>
      <c r="H13" s="331" t="s">
        <v>2475</v>
      </c>
      <c r="I13" s="331" t="s">
        <v>75</v>
      </c>
      <c r="J13" s="331"/>
      <c r="K13" s="331"/>
      <c r="L13" s="331"/>
      <c r="M13" s="331"/>
      <c r="N13" s="331"/>
      <c r="O13" s="331"/>
      <c r="P13" s="331"/>
      <c r="Q13" s="331"/>
      <c r="R13" s="331"/>
      <c r="S13" s="331"/>
      <c r="T13" s="331"/>
      <c r="U13" s="331"/>
      <c r="V13" s="331"/>
      <c r="W13" s="331"/>
      <c r="X13" s="331"/>
      <c r="Y13" s="331"/>
      <c r="Z13" s="331"/>
      <c r="AA13" s="331"/>
      <c r="AB13" s="331"/>
      <c r="AC13" s="331"/>
      <c r="AD13" s="331"/>
      <c r="AE13" s="331"/>
      <c r="AF13" s="331"/>
      <c r="AG13" s="331"/>
      <c r="AH13" s="331"/>
      <c r="AI13" s="331"/>
      <c r="AJ13" s="331"/>
      <c r="AK13" s="331"/>
      <c r="AL13" s="331"/>
      <c r="AM13" s="331"/>
      <c r="AN13" s="331"/>
      <c r="AO13" s="331"/>
      <c r="AP13" s="331"/>
      <c r="AQ13" s="331"/>
      <c r="AR13" s="331"/>
      <c r="AS13" s="331"/>
      <c r="AT13" s="331"/>
      <c r="AU13" s="331"/>
      <c r="AV13" s="331"/>
      <c r="AW13" s="331"/>
      <c r="AX13" s="331"/>
      <c r="AY13" s="332" t="s">
        <v>2476</v>
      </c>
      <c r="AZ13" s="332" t="s">
        <v>75</v>
      </c>
      <c r="BA13" s="332"/>
      <c r="BB13" s="332"/>
      <c r="BC13" s="332"/>
      <c r="BD13" s="332"/>
      <c r="BE13" s="332"/>
      <c r="BF13" s="332"/>
      <c r="BG13" s="332"/>
      <c r="BH13" s="332"/>
      <c r="BI13" s="332"/>
      <c r="BJ13" s="332"/>
      <c r="BK13" s="332"/>
      <c r="BL13" s="332"/>
      <c r="BM13" s="332"/>
      <c r="BN13" s="332"/>
      <c r="BO13" s="332"/>
      <c r="BP13" s="332"/>
      <c r="BQ13" s="332"/>
      <c r="BR13" s="332"/>
      <c r="BS13" s="332"/>
      <c r="BT13" s="332"/>
      <c r="BU13" s="332"/>
      <c r="BV13" s="332"/>
      <c r="BW13" s="332"/>
      <c r="BX13" s="332"/>
      <c r="BY13" s="332"/>
      <c r="BZ13" s="332"/>
      <c r="CA13" s="332"/>
      <c r="CB13" s="332"/>
      <c r="CC13" s="332"/>
      <c r="CD13" s="332"/>
      <c r="CE13" s="332"/>
      <c r="CF13" s="332"/>
      <c r="CG13" s="332"/>
      <c r="CH13" s="332"/>
      <c r="CI13" s="332"/>
      <c r="CJ13" s="332"/>
      <c r="CK13" s="332"/>
      <c r="CL13" s="332"/>
      <c r="CM13" s="332"/>
      <c r="CN13" s="332"/>
      <c r="CO13" s="332"/>
      <c r="CP13" s="333" t="s">
        <v>27</v>
      </c>
      <c r="CQ13" s="333" t="s">
        <v>75</v>
      </c>
      <c r="CR13" s="334">
        <v>198.21188987830686</v>
      </c>
      <c r="CS13" s="334">
        <v>183.44773386628327</v>
      </c>
      <c r="CT13" s="334">
        <v>115.0135389227962</v>
      </c>
      <c r="CU13" s="334">
        <v>93.036736601719056</v>
      </c>
      <c r="CV13" s="334">
        <v>88.348367651538723</v>
      </c>
      <c r="CW13" s="334">
        <v>63.135504401490358</v>
      </c>
      <c r="CX13" s="334">
        <v>64.735736788539327</v>
      </c>
      <c r="CY13" s="334">
        <v>53.014652205352746</v>
      </c>
      <c r="CZ13" s="334">
        <v>40.295819556987595</v>
      </c>
      <c r="DA13" s="334">
        <v>49.63910461902401</v>
      </c>
      <c r="DB13" s="334">
        <v>64.769318743418211</v>
      </c>
      <c r="DC13" s="334">
        <v>77.180274172959585</v>
      </c>
      <c r="DD13" s="334">
        <v>69.353553955349582</v>
      </c>
      <c r="DE13" s="334">
        <v>79.772770099129161</v>
      </c>
      <c r="DF13" s="334">
        <v>56.026371070781678</v>
      </c>
      <c r="DG13" s="334">
        <v>80.703403748299749</v>
      </c>
      <c r="DH13" s="334">
        <v>86.772698061442554</v>
      </c>
      <c r="DI13" s="334">
        <v>94.783562181553464</v>
      </c>
      <c r="DJ13" s="334">
        <v>81.122493901969548</v>
      </c>
      <c r="DK13" s="334">
        <v>78.779197701024927</v>
      </c>
      <c r="DL13" s="334">
        <v>66.159892005582464</v>
      </c>
      <c r="DM13" s="334">
        <v>45.024895918946278</v>
      </c>
      <c r="DN13" s="334">
        <v>26.77189364671052</v>
      </c>
      <c r="DO13" s="334">
        <v>17.302671851995555</v>
      </c>
      <c r="DP13" s="334">
        <v>20.366032863299743</v>
      </c>
      <c r="DQ13" s="334">
        <v>-3.3196150418878121</v>
      </c>
      <c r="DR13" s="334">
        <v>-39.871822235817604</v>
      </c>
      <c r="DS13" s="334">
        <v>-49.77157043442125</v>
      </c>
      <c r="DT13" s="334">
        <v>-46.601057598158619</v>
      </c>
      <c r="DU13" s="335">
        <v>-49.387874426500694</v>
      </c>
      <c r="DV13" s="335">
        <v>-42.506756906139501</v>
      </c>
      <c r="DW13" s="335">
        <v>-63.860982206518798</v>
      </c>
      <c r="DX13" s="198">
        <v>-33</v>
      </c>
      <c r="DY13" s="198">
        <v>-42</v>
      </c>
      <c r="DZ13" s="198">
        <v>-42</v>
      </c>
      <c r="EA13" s="198">
        <v>21.860982206518798</v>
      </c>
      <c r="EB13" s="198">
        <v>-42.506756906139501</v>
      </c>
      <c r="EC13" s="198">
        <v>-60</v>
      </c>
      <c r="ED13" s="198">
        <v>-42.506756906139501</v>
      </c>
      <c r="EE13" s="198">
        <v>-60</v>
      </c>
      <c r="EF13" s="198">
        <v>3.8609822065187984</v>
      </c>
      <c r="EG13" s="198">
        <v>-18</v>
      </c>
      <c r="EH13" s="198">
        <v>-118.215218490265</v>
      </c>
      <c r="EI13" s="336">
        <f t="shared" si="0"/>
        <v>-37.790387947357196</v>
      </c>
      <c r="EJ13" s="336">
        <f>EI13-'[13]FAOSTAT21 CO2'!EH13</f>
        <v>-33.652092687357197</v>
      </c>
    </row>
    <row r="14" spans="1:141" x14ac:dyDescent="0.25">
      <c r="A14" s="31">
        <v>11</v>
      </c>
      <c r="B14" s="31" t="s">
        <v>76</v>
      </c>
      <c r="C14" s="31">
        <v>10</v>
      </c>
      <c r="D14" s="31">
        <v>1</v>
      </c>
      <c r="E14" s="31">
        <v>0</v>
      </c>
      <c r="F14" s="31">
        <v>1</v>
      </c>
      <c r="G14" s="31">
        <v>0</v>
      </c>
      <c r="H14" s="331" t="s">
        <v>2475</v>
      </c>
      <c r="I14" s="331" t="s">
        <v>77</v>
      </c>
      <c r="J14" s="331"/>
      <c r="K14" s="331"/>
      <c r="L14" s="331"/>
      <c r="M14" s="331"/>
      <c r="N14" s="331"/>
      <c r="O14" s="331"/>
      <c r="P14" s="331"/>
      <c r="Q14" s="331"/>
      <c r="R14" s="331"/>
      <c r="S14" s="331"/>
      <c r="T14" s="331"/>
      <c r="U14" s="331"/>
      <c r="V14" s="331"/>
      <c r="W14" s="331"/>
      <c r="X14" s="331"/>
      <c r="Y14" s="331"/>
      <c r="Z14" s="331"/>
      <c r="AA14" s="331"/>
      <c r="AB14" s="331"/>
      <c r="AC14" s="331"/>
      <c r="AD14" s="331"/>
      <c r="AE14" s="331"/>
      <c r="AF14" s="331"/>
      <c r="AG14" s="331"/>
      <c r="AH14" s="331"/>
      <c r="AI14" s="331"/>
      <c r="AJ14" s="331"/>
      <c r="AK14" s="331"/>
      <c r="AL14" s="331"/>
      <c r="AM14" s="331"/>
      <c r="AN14" s="331"/>
      <c r="AO14" s="331"/>
      <c r="AP14" s="331"/>
      <c r="AQ14" s="331"/>
      <c r="AR14" s="331"/>
      <c r="AS14" s="331"/>
      <c r="AT14" s="331"/>
      <c r="AU14" s="331"/>
      <c r="AV14" s="331"/>
      <c r="AW14" s="331"/>
      <c r="AX14" s="331"/>
      <c r="AY14" s="332" t="s">
        <v>2476</v>
      </c>
      <c r="AZ14" s="332" t="s">
        <v>77</v>
      </c>
      <c r="BA14" s="332"/>
      <c r="BB14" s="332"/>
      <c r="BC14" s="332"/>
      <c r="BD14" s="332"/>
      <c r="BE14" s="332"/>
      <c r="BF14" s="332"/>
      <c r="BG14" s="332"/>
      <c r="BH14" s="332"/>
      <c r="BI14" s="332"/>
      <c r="BJ14" s="332"/>
      <c r="BK14" s="332"/>
      <c r="BL14" s="332"/>
      <c r="BM14" s="332"/>
      <c r="BN14" s="332"/>
      <c r="BO14" s="332"/>
      <c r="BP14" s="332"/>
      <c r="BQ14" s="332"/>
      <c r="BR14" s="332"/>
      <c r="BS14" s="332"/>
      <c r="BT14" s="332"/>
      <c r="BU14" s="332"/>
      <c r="BV14" s="332"/>
      <c r="BW14" s="332"/>
      <c r="BX14" s="332"/>
      <c r="BY14" s="332"/>
      <c r="BZ14" s="332"/>
      <c r="CA14" s="332"/>
      <c r="CB14" s="332"/>
      <c r="CC14" s="332"/>
      <c r="CD14" s="332"/>
      <c r="CE14" s="332"/>
      <c r="CF14" s="332"/>
      <c r="CG14" s="332"/>
      <c r="CH14" s="332"/>
      <c r="CI14" s="332"/>
      <c r="CJ14" s="332"/>
      <c r="CK14" s="332"/>
      <c r="CL14" s="332"/>
      <c r="CM14" s="332"/>
      <c r="CN14" s="332"/>
      <c r="CO14" s="332"/>
      <c r="CP14" s="333" t="s">
        <v>27</v>
      </c>
      <c r="CQ14" s="333" t="s">
        <v>77</v>
      </c>
      <c r="CR14" s="334">
        <v>-12.218915444174236</v>
      </c>
      <c r="CS14" s="334">
        <v>-19.212583727776305</v>
      </c>
      <c r="CT14" s="334">
        <v>-9.5347696609854378</v>
      </c>
      <c r="CU14" s="334">
        <v>-17.074870872109138</v>
      </c>
      <c r="CV14" s="334">
        <v>-9.6836010928015028</v>
      </c>
      <c r="CW14" s="334">
        <v>-19.783361181875414</v>
      </c>
      <c r="CX14" s="334">
        <v>-18.868144239059287</v>
      </c>
      <c r="CY14" s="334">
        <v>-22.690816353112005</v>
      </c>
      <c r="CZ14" s="334">
        <v>-19.265985333689795</v>
      </c>
      <c r="DA14" s="334">
        <v>-20.488042192149198</v>
      </c>
      <c r="DB14" s="334">
        <v>-14.295946433750492</v>
      </c>
      <c r="DC14" s="334">
        <v>-29.438612546149621</v>
      </c>
      <c r="DD14" s="334">
        <v>-13.1964004266288</v>
      </c>
      <c r="DE14" s="334">
        <v>-15.313622102924663</v>
      </c>
      <c r="DF14" s="334">
        <v>-22.437328557431133</v>
      </c>
      <c r="DG14" s="334">
        <v>-18.430543086683961</v>
      </c>
      <c r="DH14" s="334">
        <v>-9.0851420926191526</v>
      </c>
      <c r="DI14" s="334">
        <v>-5.6945434105043589</v>
      </c>
      <c r="DJ14" s="334">
        <v>-12.3858845076933</v>
      </c>
      <c r="DK14" s="334">
        <v>-8.0615929157716728</v>
      </c>
      <c r="DL14" s="334">
        <v>-19.771762687539784</v>
      </c>
      <c r="DM14" s="334">
        <v>-15.372538089804824</v>
      </c>
      <c r="DN14" s="334">
        <v>-5.7800352245990636</v>
      </c>
      <c r="DO14" s="334">
        <v>-6.2546992565707606</v>
      </c>
      <c r="DP14" s="334">
        <v>-7.6244389218812101</v>
      </c>
      <c r="DQ14" s="334">
        <v>-6.5752725743058118</v>
      </c>
      <c r="DR14" s="334">
        <v>-7.0049547712855009</v>
      </c>
      <c r="DS14" s="334">
        <v>-3.2616030593913363</v>
      </c>
      <c r="DT14" s="334">
        <v>4.9088410614632956</v>
      </c>
      <c r="DU14" s="335">
        <v>2.1205724814188196</v>
      </c>
      <c r="DV14" s="335">
        <v>-5.2338985189962326</v>
      </c>
      <c r="DW14" s="335">
        <v>-10.413110277530894</v>
      </c>
      <c r="DX14" s="198">
        <v>-5.2338985189962326</v>
      </c>
      <c r="DY14" s="198">
        <v>-5.2338985189962326</v>
      </c>
      <c r="DZ14" s="198">
        <v>-5.2338985189962326</v>
      </c>
      <c r="EA14" s="198">
        <v>5.1792117585346613</v>
      </c>
      <c r="EB14" s="198">
        <v>-5.2338985189962326</v>
      </c>
      <c r="EC14" s="198">
        <v>-5.2338985189962326</v>
      </c>
      <c r="ED14" s="198">
        <v>-5.2338985189962326</v>
      </c>
      <c r="EE14" s="198">
        <v>-5.2338985189962326</v>
      </c>
      <c r="EF14" s="198">
        <v>5.1792117585346613</v>
      </c>
      <c r="EG14" s="198">
        <v>0</v>
      </c>
      <c r="EH14" s="198">
        <v>-9.0584389885547711</v>
      </c>
      <c r="EI14" s="336">
        <f t="shared" si="0"/>
        <v>-1.9624833724201067</v>
      </c>
      <c r="EJ14" s="336">
        <f>EI14-'[13]FAOSTAT21 CO2'!EH14</f>
        <v>5.1494857475798925</v>
      </c>
    </row>
    <row r="15" spans="1:141" x14ac:dyDescent="0.25">
      <c r="A15" s="31">
        <v>16</v>
      </c>
      <c r="B15" s="31" t="s">
        <v>78</v>
      </c>
      <c r="C15" s="31">
        <v>7</v>
      </c>
      <c r="D15" s="31">
        <v>0</v>
      </c>
      <c r="E15" s="31">
        <v>0</v>
      </c>
      <c r="F15" s="31">
        <v>0</v>
      </c>
      <c r="G15" s="31">
        <v>0</v>
      </c>
      <c r="H15" s="331" t="s">
        <v>2475</v>
      </c>
      <c r="I15" s="331" t="s">
        <v>79</v>
      </c>
      <c r="J15" s="331"/>
      <c r="K15" s="331"/>
      <c r="L15" s="331"/>
      <c r="M15" s="331"/>
      <c r="N15" s="331"/>
      <c r="O15" s="331"/>
      <c r="P15" s="331"/>
      <c r="Q15" s="331"/>
      <c r="R15" s="331"/>
      <c r="S15" s="331"/>
      <c r="T15" s="331"/>
      <c r="U15" s="331"/>
      <c r="V15" s="331"/>
      <c r="W15" s="331"/>
      <c r="X15" s="331"/>
      <c r="Y15" s="331"/>
      <c r="Z15" s="331"/>
      <c r="AA15" s="331"/>
      <c r="AB15" s="331"/>
      <c r="AC15" s="331"/>
      <c r="AD15" s="331"/>
      <c r="AE15" s="331"/>
      <c r="AF15" s="331"/>
      <c r="AG15" s="331"/>
      <c r="AH15" s="331"/>
      <c r="AI15" s="331"/>
      <c r="AJ15" s="331"/>
      <c r="AK15" s="331"/>
      <c r="AL15" s="331"/>
      <c r="AM15" s="331"/>
      <c r="AN15" s="331"/>
      <c r="AO15" s="331"/>
      <c r="AP15" s="331"/>
      <c r="AQ15" s="331"/>
      <c r="AR15" s="331"/>
      <c r="AS15" s="331"/>
      <c r="AT15" s="331"/>
      <c r="AU15" s="331"/>
      <c r="AV15" s="331"/>
      <c r="AW15" s="331"/>
      <c r="AX15" s="331"/>
      <c r="AY15" s="332" t="s">
        <v>2476</v>
      </c>
      <c r="AZ15" s="332" t="s">
        <v>79</v>
      </c>
      <c r="BA15" s="332"/>
      <c r="BB15" s="332"/>
      <c r="BC15" s="332"/>
      <c r="BD15" s="332"/>
      <c r="BE15" s="332"/>
      <c r="BF15" s="332"/>
      <c r="BG15" s="332"/>
      <c r="BH15" s="332"/>
      <c r="BI15" s="332"/>
      <c r="BJ15" s="332"/>
      <c r="BK15" s="332"/>
      <c r="BL15" s="332"/>
      <c r="BM15" s="332"/>
      <c r="BN15" s="332"/>
      <c r="BO15" s="332"/>
      <c r="BP15" s="332"/>
      <c r="BQ15" s="332"/>
      <c r="BR15" s="332"/>
      <c r="BS15" s="332"/>
      <c r="BT15" s="332"/>
      <c r="BU15" s="332"/>
      <c r="BV15" s="332"/>
      <c r="BW15" s="332"/>
      <c r="BX15" s="332"/>
      <c r="BY15" s="332"/>
      <c r="BZ15" s="332"/>
      <c r="CA15" s="332"/>
      <c r="CB15" s="332"/>
      <c r="CC15" s="332"/>
      <c r="CD15" s="332"/>
      <c r="CE15" s="332"/>
      <c r="CF15" s="332"/>
      <c r="CG15" s="332"/>
      <c r="CH15" s="332"/>
      <c r="CI15" s="332"/>
      <c r="CJ15" s="332"/>
      <c r="CK15" s="332"/>
      <c r="CL15" s="332"/>
      <c r="CM15" s="332"/>
      <c r="CN15" s="332"/>
      <c r="CO15" s="332"/>
      <c r="CP15" s="333" t="s">
        <v>27</v>
      </c>
      <c r="CQ15" s="333" t="s">
        <v>79</v>
      </c>
      <c r="CR15" s="334">
        <v>-3.69</v>
      </c>
      <c r="CS15" s="334">
        <v>-3.4432</v>
      </c>
      <c r="CT15" s="334">
        <v>-3.1964000000000001</v>
      </c>
      <c r="CU15" s="334">
        <v>-2.9496000000000002</v>
      </c>
      <c r="CV15" s="334">
        <v>-2.7028000000000003</v>
      </c>
      <c r="CW15" s="334">
        <v>-2.456</v>
      </c>
      <c r="CX15" s="334">
        <v>-2.9388000000000001</v>
      </c>
      <c r="CY15" s="334">
        <v>-3.4216000000000002</v>
      </c>
      <c r="CZ15" s="334">
        <v>-3.9044000000000003</v>
      </c>
      <c r="DA15" s="334">
        <v>-4.3872</v>
      </c>
      <c r="DB15" s="334">
        <v>-4.87</v>
      </c>
      <c r="DC15" s="334">
        <v>-4.9657999999999998</v>
      </c>
      <c r="DD15" s="334">
        <v>-5.0615999999999994</v>
      </c>
      <c r="DE15" s="334">
        <v>-5.1573999999999991</v>
      </c>
      <c r="DF15" s="334">
        <v>-5.2531999999999988</v>
      </c>
      <c r="DG15" s="334">
        <v>-5.3490000000000002</v>
      </c>
      <c r="DH15" s="334">
        <v>-5.3612000000000002</v>
      </c>
      <c r="DI15" s="334">
        <v>-5.3734000000000002</v>
      </c>
      <c r="DJ15" s="334">
        <v>-5.3856000000000002</v>
      </c>
      <c r="DK15" s="334">
        <v>-5.3978000000000002</v>
      </c>
      <c r="DL15" s="334">
        <v>-5.41</v>
      </c>
      <c r="DM15" s="334">
        <v>-5.7729999999999997</v>
      </c>
      <c r="DN15" s="334">
        <v>-6.0819999999999999</v>
      </c>
      <c r="DO15" s="334">
        <v>-6.335</v>
      </c>
      <c r="DP15" s="334">
        <v>-7.0439999999999996</v>
      </c>
      <c r="DQ15" s="334">
        <v>-7.1189999999999998</v>
      </c>
      <c r="DR15" s="334">
        <v>-7.2240000000000002</v>
      </c>
      <c r="DS15" s="334">
        <v>-7.0986438746438694</v>
      </c>
      <c r="DT15" s="334">
        <v>-7.2611078551078663</v>
      </c>
      <c r="DU15" s="335">
        <v>-7.4235718355718063</v>
      </c>
      <c r="DV15" s="335">
        <v>-7.5860358160358032</v>
      </c>
      <c r="DW15" s="335">
        <v>-7.7484997964998001</v>
      </c>
      <c r="DX15" s="198">
        <v>-7.5860358160358032</v>
      </c>
      <c r="DY15" s="198">
        <v>-7.5860358160358032</v>
      </c>
      <c r="DZ15" s="198">
        <v>-7.5860358160358032</v>
      </c>
      <c r="EA15" s="198">
        <v>0.1624639804639969</v>
      </c>
      <c r="EB15" s="198">
        <v>-7.5860358160358032</v>
      </c>
      <c r="EC15" s="198">
        <v>-7.5860358160358032</v>
      </c>
      <c r="ED15" s="198">
        <v>-7.5860358160358032</v>
      </c>
      <c r="EE15" s="198">
        <v>-7.5860358160358032</v>
      </c>
      <c r="EF15" s="198">
        <v>0.1624639804639969</v>
      </c>
      <c r="EG15" s="198">
        <v>0</v>
      </c>
      <c r="EH15" s="198">
        <v>-10.105428018059341</v>
      </c>
      <c r="EI15" s="336">
        <f t="shared" si="0"/>
        <v>-7.2252647130647087</v>
      </c>
      <c r="EJ15" s="336">
        <f>EI15-'[13]FAOSTAT21 CO2'!EH15</f>
        <v>-5.1227770330647093</v>
      </c>
    </row>
    <row r="16" spans="1:141" x14ac:dyDescent="0.25">
      <c r="A16" s="31">
        <v>4</v>
      </c>
      <c r="B16" s="31" t="s">
        <v>80</v>
      </c>
      <c r="C16" s="31">
        <v>11</v>
      </c>
      <c r="D16" s="31">
        <v>0</v>
      </c>
      <c r="E16" s="31">
        <v>0</v>
      </c>
      <c r="F16" s="31">
        <v>0</v>
      </c>
      <c r="G16" s="31">
        <v>0</v>
      </c>
      <c r="H16" s="331" t="s">
        <v>2475</v>
      </c>
      <c r="I16" s="331" t="s">
        <v>81</v>
      </c>
      <c r="J16" s="331"/>
      <c r="K16" s="331"/>
      <c r="L16" s="331"/>
      <c r="M16" s="331"/>
      <c r="N16" s="331"/>
      <c r="O16" s="331"/>
      <c r="P16" s="331"/>
      <c r="Q16" s="331"/>
      <c r="R16" s="331"/>
      <c r="S16" s="331"/>
      <c r="T16" s="331"/>
      <c r="U16" s="331"/>
      <c r="V16" s="331"/>
      <c r="W16" s="331"/>
      <c r="X16" s="331"/>
      <c r="Y16" s="331"/>
      <c r="Z16" s="331"/>
      <c r="AA16" s="331"/>
      <c r="AB16" s="331"/>
      <c r="AC16" s="331"/>
      <c r="AD16" s="331"/>
      <c r="AE16" s="331"/>
      <c r="AF16" s="331"/>
      <c r="AG16" s="331"/>
      <c r="AH16" s="331"/>
      <c r="AI16" s="331"/>
      <c r="AJ16" s="331"/>
      <c r="AK16" s="331"/>
      <c r="AL16" s="331"/>
      <c r="AM16" s="331"/>
      <c r="AN16" s="331"/>
      <c r="AO16" s="331"/>
      <c r="AP16" s="331"/>
      <c r="AQ16" s="331"/>
      <c r="AR16" s="331"/>
      <c r="AS16" s="331"/>
      <c r="AT16" s="331"/>
      <c r="AU16" s="331"/>
      <c r="AV16" s="331"/>
      <c r="AW16" s="331"/>
      <c r="AX16" s="331"/>
      <c r="AY16" s="332" t="s">
        <v>2476</v>
      </c>
      <c r="AZ16" s="332" t="s">
        <v>81</v>
      </c>
      <c r="BA16" s="332"/>
      <c r="BB16" s="332"/>
      <c r="BC16" s="332"/>
      <c r="BD16" s="332"/>
      <c r="BE16" s="332"/>
      <c r="BF16" s="332"/>
      <c r="BG16" s="332"/>
      <c r="BH16" s="332"/>
      <c r="BI16" s="332"/>
      <c r="BJ16" s="332"/>
      <c r="BK16" s="332"/>
      <c r="BL16" s="332"/>
      <c r="BM16" s="332"/>
      <c r="BN16" s="332"/>
      <c r="BO16" s="332"/>
      <c r="BP16" s="332"/>
      <c r="BQ16" s="332"/>
      <c r="BR16" s="332"/>
      <c r="BS16" s="332"/>
      <c r="BT16" s="332"/>
      <c r="BU16" s="332"/>
      <c r="BV16" s="332"/>
      <c r="BW16" s="332"/>
      <c r="BX16" s="332"/>
      <c r="BY16" s="332"/>
      <c r="BZ16" s="332"/>
      <c r="CA16" s="332"/>
      <c r="CB16" s="332"/>
      <c r="CC16" s="332"/>
      <c r="CD16" s="332"/>
      <c r="CE16" s="332"/>
      <c r="CF16" s="332"/>
      <c r="CG16" s="332"/>
      <c r="CH16" s="332"/>
      <c r="CI16" s="332"/>
      <c r="CJ16" s="332"/>
      <c r="CK16" s="332"/>
      <c r="CL16" s="332"/>
      <c r="CM16" s="332"/>
      <c r="CN16" s="332"/>
      <c r="CO16" s="332"/>
      <c r="CP16" s="333" t="s">
        <v>27</v>
      </c>
      <c r="CQ16" s="333" t="s">
        <v>81</v>
      </c>
      <c r="CR16" s="334">
        <v>2.3775999999999997</v>
      </c>
      <c r="CS16" s="334">
        <v>2.3775999999999997</v>
      </c>
      <c r="CT16" s="334">
        <v>2.3775999999999997</v>
      </c>
      <c r="CU16" s="334">
        <v>2.3775999999999997</v>
      </c>
      <c r="CV16" s="334">
        <v>2.3775999999999997</v>
      </c>
      <c r="CW16" s="334">
        <v>2.3775999999999997</v>
      </c>
      <c r="CX16" s="334">
        <v>2.3775999999999997</v>
      </c>
      <c r="CY16" s="334">
        <v>2.3775999999999997</v>
      </c>
      <c r="CZ16" s="334">
        <v>2.3775999999999997</v>
      </c>
      <c r="DA16" s="334">
        <v>2.3775999999999997</v>
      </c>
      <c r="DB16" s="334">
        <v>2.3775999999999997</v>
      </c>
      <c r="DC16" s="334">
        <v>2.3775999999999997</v>
      </c>
      <c r="DD16" s="334">
        <v>2.3775999999999997</v>
      </c>
      <c r="DE16" s="334">
        <v>2.3775999999999997</v>
      </c>
      <c r="DF16" s="334">
        <v>2.3775999999999997</v>
      </c>
      <c r="DG16" s="334">
        <v>0.95565999999999995</v>
      </c>
      <c r="DH16" s="334">
        <v>0.95565999999999995</v>
      </c>
      <c r="DI16" s="334">
        <v>0.95565999999999995</v>
      </c>
      <c r="DJ16" s="334">
        <v>0.95565999999999995</v>
      </c>
      <c r="DK16" s="334">
        <v>0.95565999999999995</v>
      </c>
      <c r="DL16" s="334">
        <v>3.0428200000000003</v>
      </c>
      <c r="DM16" s="334">
        <v>3.0428200000000003</v>
      </c>
      <c r="DN16" s="334">
        <v>3.0428200000000003</v>
      </c>
      <c r="DO16" s="334">
        <v>3.0428200000000003</v>
      </c>
      <c r="DP16" s="334">
        <v>3.0428200000000003</v>
      </c>
      <c r="DQ16" s="334">
        <v>2.9791099999999999</v>
      </c>
      <c r="DR16" s="334">
        <v>2.9791099999999999</v>
      </c>
      <c r="DS16" s="334">
        <v>2.9791099999999999</v>
      </c>
      <c r="DT16" s="334">
        <v>2.9791099999999999</v>
      </c>
      <c r="DU16" s="335">
        <v>2.5913432512315282</v>
      </c>
      <c r="DV16" s="335">
        <v>2.6087596059113309</v>
      </c>
      <c r="DW16" s="335">
        <v>2.6261759605911408</v>
      </c>
      <c r="DX16" s="198">
        <v>2.6087596059113309</v>
      </c>
      <c r="DY16" s="198">
        <v>2.6087596059113309</v>
      </c>
      <c r="DZ16" s="198">
        <v>2.6087596059113309</v>
      </c>
      <c r="EA16" s="198">
        <v>-1.7416354679809842E-2</v>
      </c>
      <c r="EB16" s="198">
        <v>2.6087596059113309</v>
      </c>
      <c r="EC16" s="198">
        <v>2.6087596059113309</v>
      </c>
      <c r="ED16" s="198">
        <v>2.6087596059113309</v>
      </c>
      <c r="EE16" s="198">
        <v>2.6087596059113309</v>
      </c>
      <c r="EF16" s="198">
        <v>-1.7416354679809842E-2</v>
      </c>
      <c r="EG16" s="198">
        <v>0</v>
      </c>
      <c r="EH16" s="198">
        <v>1.5510421998188266</v>
      </c>
      <c r="EI16" s="336">
        <f t="shared" si="0"/>
        <v>2.9015566502463055</v>
      </c>
      <c r="EJ16" s="336">
        <f>EI16-'[13]FAOSTAT21 CO2'!EH16</f>
        <v>2.9015566502463055</v>
      </c>
    </row>
    <row r="17" spans="1:140" x14ac:dyDescent="0.25">
      <c r="A17" s="31">
        <v>17</v>
      </c>
      <c r="B17" s="31" t="s">
        <v>82</v>
      </c>
      <c r="C17" s="31">
        <v>12</v>
      </c>
      <c r="D17" s="31">
        <v>0</v>
      </c>
      <c r="E17" s="31">
        <v>0</v>
      </c>
      <c r="F17" s="31">
        <v>0</v>
      </c>
      <c r="G17" s="31">
        <v>0</v>
      </c>
      <c r="H17" s="331" t="s">
        <v>2475</v>
      </c>
      <c r="I17" s="331" t="s">
        <v>83</v>
      </c>
      <c r="J17" s="331"/>
      <c r="K17" s="331"/>
      <c r="L17" s="331"/>
      <c r="M17" s="331"/>
      <c r="N17" s="331"/>
      <c r="O17" s="331"/>
      <c r="P17" s="331"/>
      <c r="Q17" s="331"/>
      <c r="R17" s="331"/>
      <c r="S17" s="331"/>
      <c r="T17" s="331"/>
      <c r="U17" s="331"/>
      <c r="V17" s="331"/>
      <c r="W17" s="331"/>
      <c r="X17" s="331"/>
      <c r="Y17" s="331"/>
      <c r="Z17" s="331"/>
      <c r="AA17" s="331"/>
      <c r="AB17" s="331"/>
      <c r="AC17" s="331"/>
      <c r="AD17" s="331"/>
      <c r="AE17" s="331"/>
      <c r="AF17" s="331"/>
      <c r="AG17" s="331"/>
      <c r="AH17" s="331"/>
      <c r="AI17" s="331"/>
      <c r="AJ17" s="331"/>
      <c r="AK17" s="331"/>
      <c r="AL17" s="331"/>
      <c r="AM17" s="331"/>
      <c r="AN17" s="331"/>
      <c r="AO17" s="331"/>
      <c r="AP17" s="331"/>
      <c r="AQ17" s="331"/>
      <c r="AR17" s="331"/>
      <c r="AS17" s="331"/>
      <c r="AT17" s="331"/>
      <c r="AU17" s="331"/>
      <c r="AV17" s="331"/>
      <c r="AW17" s="331"/>
      <c r="AX17" s="331"/>
      <c r="AY17" s="332" t="s">
        <v>2476</v>
      </c>
      <c r="AZ17" s="332" t="s">
        <v>83</v>
      </c>
      <c r="BA17" s="332"/>
      <c r="BB17" s="332"/>
      <c r="BC17" s="332"/>
      <c r="BD17" s="332"/>
      <c r="BE17" s="332"/>
      <c r="BF17" s="332"/>
      <c r="BG17" s="332"/>
      <c r="BH17" s="332"/>
      <c r="BI17" s="332"/>
      <c r="BJ17" s="332"/>
      <c r="BK17" s="332"/>
      <c r="BL17" s="332"/>
      <c r="BM17" s="332"/>
      <c r="BN17" s="332"/>
      <c r="BO17" s="332"/>
      <c r="BP17" s="332"/>
      <c r="BQ17" s="332"/>
      <c r="BR17" s="332"/>
      <c r="BS17" s="332"/>
      <c r="BT17" s="332"/>
      <c r="BU17" s="332"/>
      <c r="BV17" s="332"/>
      <c r="BW17" s="332"/>
      <c r="BX17" s="332"/>
      <c r="BY17" s="332"/>
      <c r="BZ17" s="332"/>
      <c r="CA17" s="332"/>
      <c r="CB17" s="332"/>
      <c r="CC17" s="332"/>
      <c r="CD17" s="332"/>
      <c r="CE17" s="332"/>
      <c r="CF17" s="332"/>
      <c r="CG17" s="332"/>
      <c r="CH17" s="332"/>
      <c r="CI17" s="332"/>
      <c r="CJ17" s="332"/>
      <c r="CK17" s="332"/>
      <c r="CL17" s="332"/>
      <c r="CM17" s="332"/>
      <c r="CN17" s="332"/>
      <c r="CO17" s="332"/>
      <c r="CP17" s="333" t="s">
        <v>27</v>
      </c>
      <c r="CQ17" s="333" t="s">
        <v>83</v>
      </c>
      <c r="CR17" s="334">
        <v>-2.4799999999999999E-2</v>
      </c>
      <c r="CS17" s="334">
        <v>-2.4799999999999999E-2</v>
      </c>
      <c r="CT17" s="334">
        <v>-2.4799999999999999E-2</v>
      </c>
      <c r="CU17" s="334">
        <v>-2.4799999999999999E-2</v>
      </c>
      <c r="CV17" s="334">
        <v>-2.4799999999999999E-2</v>
      </c>
      <c r="CW17" s="334">
        <v>-2.4799999999999999E-2</v>
      </c>
      <c r="CX17" s="334">
        <v>-2.4799999999999999E-2</v>
      </c>
      <c r="CY17" s="334">
        <v>-2.4799999999999999E-2</v>
      </c>
      <c r="CZ17" s="334">
        <v>-2.4799999999999999E-2</v>
      </c>
      <c r="DA17" s="334">
        <v>-2.4799999999999999E-2</v>
      </c>
      <c r="DB17" s="334">
        <v>-2.4799999999999999E-2</v>
      </c>
      <c r="DC17" s="334">
        <v>-2.4799999999999999E-2</v>
      </c>
      <c r="DD17" s="334">
        <v>-2.4799999999999999E-2</v>
      </c>
      <c r="DE17" s="334">
        <v>-2.4799999999999999E-2</v>
      </c>
      <c r="DF17" s="334">
        <v>-2.4799999999999999E-2</v>
      </c>
      <c r="DG17" s="334">
        <v>-2.4799999999999999E-2</v>
      </c>
      <c r="DH17" s="334">
        <v>-2.4799999999999999E-2</v>
      </c>
      <c r="DI17" s="334">
        <v>-2.4799999999999992E-2</v>
      </c>
      <c r="DJ17" s="334">
        <v>-2.4799999999999992E-2</v>
      </c>
      <c r="DK17" s="334">
        <v>-2.4799999999999989E-2</v>
      </c>
      <c r="DL17" s="334">
        <v>-2.4799999999999989E-2</v>
      </c>
      <c r="DM17" s="334">
        <v>-2.4799999999999989E-2</v>
      </c>
      <c r="DN17" s="334">
        <v>-2.4799999999999985E-2</v>
      </c>
      <c r="DO17" s="334">
        <v>-2.4799999999999989E-2</v>
      </c>
      <c r="DP17" s="334">
        <v>-2.4799999999999982E-2</v>
      </c>
      <c r="DQ17" s="334">
        <v>-2.4799999999999978E-2</v>
      </c>
      <c r="DR17" s="334">
        <v>-2.4799999999999975E-2</v>
      </c>
      <c r="DS17" s="334">
        <v>-2.4799999999999971E-2</v>
      </c>
      <c r="DT17" s="334">
        <v>-2.4799999999999971E-2</v>
      </c>
      <c r="DU17" s="335">
        <v>-2.4799999999999964E-2</v>
      </c>
      <c r="DV17" s="335">
        <v>-2.4799999999999964E-2</v>
      </c>
      <c r="DW17" s="335">
        <v>-2.4799999999999957E-2</v>
      </c>
      <c r="DX17" s="198">
        <v>-2.4799999999999964E-2</v>
      </c>
      <c r="DY17" s="198">
        <v>-2.4799999999999964E-2</v>
      </c>
      <c r="DZ17" s="198">
        <v>-2.4799999999999964E-2</v>
      </c>
      <c r="EA17" s="198">
        <v>-6.9388939039072284E-18</v>
      </c>
      <c r="EB17" s="198">
        <v>-2.4799999999999964E-2</v>
      </c>
      <c r="EC17" s="198">
        <v>-2.4799999999999964E-2</v>
      </c>
      <c r="ED17" s="198">
        <v>-2.4799999999999964E-2</v>
      </c>
      <c r="EE17" s="198">
        <v>-2.4799999999999964E-2</v>
      </c>
      <c r="EF17" s="198">
        <v>0</v>
      </c>
      <c r="EG17" s="198">
        <v>6.9388939039072284E-18</v>
      </c>
      <c r="EH17" s="198">
        <v>-3.1253048894261989E-2</v>
      </c>
      <c r="EI17" s="336">
        <f t="shared" si="0"/>
        <v>-2.4799999999999971E-2</v>
      </c>
      <c r="EJ17" s="336">
        <f>EI17-'[13]FAOSTAT21 CO2'!EH17</f>
        <v>-2.1909939999999972E-2</v>
      </c>
    </row>
    <row r="18" spans="1:140" x14ac:dyDescent="0.25">
      <c r="A18" s="31">
        <v>25</v>
      </c>
      <c r="B18" s="31" t="s">
        <v>84</v>
      </c>
      <c r="C18" s="31">
        <v>13</v>
      </c>
      <c r="D18" s="31">
        <v>0</v>
      </c>
      <c r="E18" s="31">
        <v>0</v>
      </c>
      <c r="F18" s="31">
        <v>0</v>
      </c>
      <c r="G18" s="31">
        <v>0</v>
      </c>
      <c r="H18" s="331" t="s">
        <v>2475</v>
      </c>
      <c r="I18" s="331" t="s">
        <v>85</v>
      </c>
      <c r="J18" s="331"/>
      <c r="K18" s="331"/>
      <c r="L18" s="331"/>
      <c r="M18" s="331"/>
      <c r="N18" s="331"/>
      <c r="O18" s="331"/>
      <c r="P18" s="331"/>
      <c r="Q18" s="331"/>
      <c r="R18" s="331"/>
      <c r="S18" s="331"/>
      <c r="T18" s="331"/>
      <c r="U18" s="331"/>
      <c r="V18" s="331"/>
      <c r="W18" s="331"/>
      <c r="X18" s="331"/>
      <c r="Y18" s="331"/>
      <c r="Z18" s="331"/>
      <c r="AA18" s="331"/>
      <c r="AB18" s="331"/>
      <c r="AC18" s="331"/>
      <c r="AD18" s="331"/>
      <c r="AE18" s="331"/>
      <c r="AF18" s="331"/>
      <c r="AG18" s="331"/>
      <c r="AH18" s="331"/>
      <c r="AI18" s="331"/>
      <c r="AJ18" s="331"/>
      <c r="AK18" s="331"/>
      <c r="AL18" s="331"/>
      <c r="AM18" s="331"/>
      <c r="AN18" s="331"/>
      <c r="AO18" s="331"/>
      <c r="AP18" s="331"/>
      <c r="AQ18" s="331"/>
      <c r="AR18" s="331"/>
      <c r="AS18" s="331"/>
      <c r="AT18" s="331"/>
      <c r="AU18" s="331"/>
      <c r="AV18" s="331"/>
      <c r="AW18" s="331"/>
      <c r="AX18" s="331"/>
      <c r="AY18" s="332" t="s">
        <v>2476</v>
      </c>
      <c r="AZ18" s="332" t="s">
        <v>85</v>
      </c>
      <c r="BA18" s="332"/>
      <c r="BB18" s="332"/>
      <c r="BC18" s="332"/>
      <c r="BD18" s="332"/>
      <c r="BE18" s="332"/>
      <c r="BF18" s="332"/>
      <c r="BG18" s="332"/>
      <c r="BH18" s="332"/>
      <c r="BI18" s="332"/>
      <c r="BJ18" s="332"/>
      <c r="BK18" s="332"/>
      <c r="BL18" s="332"/>
      <c r="BM18" s="332"/>
      <c r="BN18" s="332"/>
      <c r="BO18" s="332"/>
      <c r="BP18" s="332"/>
      <c r="BQ18" s="332"/>
      <c r="BR18" s="332"/>
      <c r="BS18" s="332"/>
      <c r="BT18" s="332"/>
      <c r="BU18" s="332"/>
      <c r="BV18" s="332"/>
      <c r="BW18" s="332"/>
      <c r="BX18" s="332"/>
      <c r="BY18" s="332"/>
      <c r="BZ18" s="332"/>
      <c r="CA18" s="332"/>
      <c r="CB18" s="332"/>
      <c r="CC18" s="332"/>
      <c r="CD18" s="332"/>
      <c r="CE18" s="332"/>
      <c r="CF18" s="332"/>
      <c r="CG18" s="332"/>
      <c r="CH18" s="332"/>
      <c r="CI18" s="332"/>
      <c r="CJ18" s="332"/>
      <c r="CK18" s="332"/>
      <c r="CL18" s="332"/>
      <c r="CM18" s="332"/>
      <c r="CN18" s="332"/>
      <c r="CO18" s="332"/>
      <c r="CP18" s="333" t="s">
        <v>27</v>
      </c>
      <c r="CQ18" s="333" t="s">
        <v>85</v>
      </c>
      <c r="CR18" s="334">
        <v>6.23292</v>
      </c>
      <c r="CS18" s="334">
        <v>6.23292</v>
      </c>
      <c r="CT18" s="334">
        <v>6.23292</v>
      </c>
      <c r="CU18" s="334">
        <v>6.23292</v>
      </c>
      <c r="CV18" s="334">
        <v>6.23292</v>
      </c>
      <c r="CW18" s="334">
        <v>6.23292</v>
      </c>
      <c r="CX18" s="334">
        <v>6.23292</v>
      </c>
      <c r="CY18" s="334">
        <v>6.23292</v>
      </c>
      <c r="CZ18" s="334">
        <v>6.23292</v>
      </c>
      <c r="DA18" s="334">
        <v>6.23292</v>
      </c>
      <c r="DB18" s="334">
        <v>6.23292</v>
      </c>
      <c r="DC18" s="334">
        <v>6.23292</v>
      </c>
      <c r="DD18" s="334">
        <v>6.23292</v>
      </c>
      <c r="DE18" s="334">
        <v>6.23292</v>
      </c>
      <c r="DF18" s="334">
        <v>6.23292</v>
      </c>
      <c r="DG18" s="334">
        <v>6.23292</v>
      </c>
      <c r="DH18" s="334">
        <v>6.23292</v>
      </c>
      <c r="DI18" s="334">
        <v>6.23292</v>
      </c>
      <c r="DJ18" s="334">
        <v>6.23292</v>
      </c>
      <c r="DK18" s="334">
        <v>6.23292</v>
      </c>
      <c r="DL18" s="334">
        <v>6.23292</v>
      </c>
      <c r="DM18" s="334">
        <v>6.23292</v>
      </c>
      <c r="DN18" s="334">
        <v>6.23292</v>
      </c>
      <c r="DO18" s="334">
        <v>6.23292</v>
      </c>
      <c r="DP18" s="334">
        <v>7.03817</v>
      </c>
      <c r="DQ18" s="334">
        <v>7.8105799999999999</v>
      </c>
      <c r="DR18" s="334">
        <v>8.4649999999999999</v>
      </c>
      <c r="DS18" s="334">
        <v>9.5261899999999997</v>
      </c>
      <c r="DT18" s="334">
        <v>10.15959</v>
      </c>
      <c r="DU18" s="335">
        <v>10.769600000000001</v>
      </c>
      <c r="DV18" s="335">
        <v>8.2258265747126416</v>
      </c>
      <c r="DW18" s="335">
        <v>8.3191934289951917</v>
      </c>
      <c r="DX18" s="198">
        <v>8.2258265747126416</v>
      </c>
      <c r="DY18" s="198">
        <v>8.2258265747126416</v>
      </c>
      <c r="DZ18" s="198">
        <v>8.2258265747126416</v>
      </c>
      <c r="EA18" s="198">
        <v>-9.3366854282550094E-2</v>
      </c>
      <c r="EB18" s="198">
        <v>8.2258265747126416</v>
      </c>
      <c r="EC18" s="198">
        <v>8.2258265747126416</v>
      </c>
      <c r="ED18" s="198">
        <v>8.2258265747126416</v>
      </c>
      <c r="EE18" s="198">
        <v>8.2258265747126416</v>
      </c>
      <c r="EF18" s="198">
        <v>-9.3366854282550094E-2</v>
      </c>
      <c r="EG18" s="198">
        <v>0</v>
      </c>
      <c r="EH18" s="198">
        <v>7.636921810173293</v>
      </c>
      <c r="EI18" s="336">
        <f t="shared" si="0"/>
        <v>9.3461919999999985</v>
      </c>
      <c r="EJ18" s="336">
        <f>EI18-'[13]FAOSTAT21 CO2'!EH18</f>
        <v>-12.425452460000006</v>
      </c>
    </row>
    <row r="19" spans="1:140" x14ac:dyDescent="0.25">
      <c r="A19" s="31">
        <v>4</v>
      </c>
      <c r="B19" s="31" t="s">
        <v>86</v>
      </c>
      <c r="C19" s="31">
        <v>15</v>
      </c>
      <c r="D19" s="31">
        <v>0</v>
      </c>
      <c r="E19" s="31">
        <v>0</v>
      </c>
      <c r="F19" s="31">
        <v>0</v>
      </c>
      <c r="G19" s="31">
        <v>0</v>
      </c>
      <c r="H19" s="331" t="s">
        <v>2475</v>
      </c>
      <c r="I19" s="331" t="s">
        <v>87</v>
      </c>
      <c r="J19" s="331"/>
      <c r="K19" s="331"/>
      <c r="L19" s="331"/>
      <c r="M19" s="331"/>
      <c r="N19" s="331"/>
      <c r="O19" s="331"/>
      <c r="P19" s="331"/>
      <c r="Q19" s="331"/>
      <c r="R19" s="331"/>
      <c r="S19" s="331"/>
      <c r="T19" s="331"/>
      <c r="U19" s="331"/>
      <c r="V19" s="331"/>
      <c r="W19" s="331"/>
      <c r="X19" s="331"/>
      <c r="Y19" s="331"/>
      <c r="Z19" s="331"/>
      <c r="AA19" s="331"/>
      <c r="AB19" s="331"/>
      <c r="AC19" s="331"/>
      <c r="AD19" s="331"/>
      <c r="AE19" s="331"/>
      <c r="AF19" s="331"/>
      <c r="AG19" s="331"/>
      <c r="AH19" s="331"/>
      <c r="AI19" s="331"/>
      <c r="AJ19" s="331"/>
      <c r="AK19" s="331"/>
      <c r="AL19" s="331"/>
      <c r="AM19" s="331"/>
      <c r="AN19" s="331"/>
      <c r="AO19" s="331"/>
      <c r="AP19" s="331"/>
      <c r="AQ19" s="331"/>
      <c r="AR19" s="331"/>
      <c r="AS19" s="331"/>
      <c r="AT19" s="331"/>
      <c r="AU19" s="331"/>
      <c r="AV19" s="331"/>
      <c r="AW19" s="331"/>
      <c r="AX19" s="331"/>
      <c r="AY19" s="332" t="s">
        <v>2476</v>
      </c>
      <c r="AZ19" s="332" t="s">
        <v>87</v>
      </c>
      <c r="BA19" s="332"/>
      <c r="BB19" s="332"/>
      <c r="BC19" s="332"/>
      <c r="BD19" s="332"/>
      <c r="BE19" s="332"/>
      <c r="BF19" s="332"/>
      <c r="BG19" s="332"/>
      <c r="BH19" s="332"/>
      <c r="BI19" s="332"/>
      <c r="BJ19" s="332"/>
      <c r="BK19" s="332"/>
      <c r="BL19" s="332"/>
      <c r="BM19" s="332"/>
      <c r="BN19" s="332"/>
      <c r="BO19" s="332"/>
      <c r="BP19" s="332"/>
      <c r="BQ19" s="332"/>
      <c r="BR19" s="332"/>
      <c r="BS19" s="332"/>
      <c r="BT19" s="332"/>
      <c r="BU19" s="332"/>
      <c r="BV19" s="332"/>
      <c r="BW19" s="332"/>
      <c r="BX19" s="332"/>
      <c r="BY19" s="332"/>
      <c r="BZ19" s="332"/>
      <c r="CA19" s="332"/>
      <c r="CB19" s="332"/>
      <c r="CC19" s="332"/>
      <c r="CD19" s="332"/>
      <c r="CE19" s="332"/>
      <c r="CF19" s="332"/>
      <c r="CG19" s="332"/>
      <c r="CH19" s="332"/>
      <c r="CI19" s="332"/>
      <c r="CJ19" s="332"/>
      <c r="CK19" s="332"/>
      <c r="CL19" s="332"/>
      <c r="CM19" s="332"/>
      <c r="CN19" s="332"/>
      <c r="CO19" s="332"/>
      <c r="CP19" s="333" t="s">
        <v>27</v>
      </c>
      <c r="CQ19" s="333" t="s">
        <v>87</v>
      </c>
      <c r="CR19" s="334">
        <v>-1.0999999999999999E-2</v>
      </c>
      <c r="CS19" s="334">
        <v>-1.0999999999999999E-2</v>
      </c>
      <c r="CT19" s="334">
        <v>-1.0999999999999999E-2</v>
      </c>
      <c r="CU19" s="334">
        <v>-1.0999999999999999E-2</v>
      </c>
      <c r="CV19" s="334">
        <v>-1.0999999999999999E-2</v>
      </c>
      <c r="CW19" s="334">
        <v>-1.0999999999999999E-2</v>
      </c>
      <c r="CX19" s="334">
        <v>-1.0999999999999999E-2</v>
      </c>
      <c r="CY19" s="334">
        <v>-1.0999999999999999E-2</v>
      </c>
      <c r="CZ19" s="334">
        <v>-2.2333333333333334E-2</v>
      </c>
      <c r="DA19" s="334">
        <v>-3.3666666666666664E-2</v>
      </c>
      <c r="DB19" s="334">
        <v>-4.4999999999999998E-2</v>
      </c>
      <c r="DC19" s="334">
        <v>-4.4999999999999998E-2</v>
      </c>
      <c r="DD19" s="334">
        <v>-4.4999999999999998E-2</v>
      </c>
      <c r="DE19" s="334">
        <v>-4.4999999999999998E-2</v>
      </c>
      <c r="DF19" s="334">
        <v>-4.5999999999999999E-2</v>
      </c>
      <c r="DG19" s="334">
        <v>-5.2999999999999999E-2</v>
      </c>
      <c r="DH19" s="334">
        <v>-4.7E-2</v>
      </c>
      <c r="DI19" s="334">
        <v>-4.8000000000000001E-2</v>
      </c>
      <c r="DJ19" s="334">
        <v>-4.9000000000000002E-2</v>
      </c>
      <c r="DK19" s="334">
        <v>-0.05</v>
      </c>
      <c r="DL19" s="334">
        <v>-5.9000000000000004E-2</v>
      </c>
      <c r="DM19" s="334">
        <v>-6.2457142857143211E-2</v>
      </c>
      <c r="DN19" s="334">
        <v>-6.5208658008658382E-2</v>
      </c>
      <c r="DO19" s="334">
        <v>-6.7960173160173554E-2</v>
      </c>
      <c r="DP19" s="334">
        <v>-7.0711688311687837E-2</v>
      </c>
      <c r="DQ19" s="334">
        <v>-7.3463203463203897E-2</v>
      </c>
      <c r="DR19" s="334">
        <v>-7.621471861471818E-2</v>
      </c>
      <c r="DS19" s="334">
        <v>-7.896623376623424E-2</v>
      </c>
      <c r="DT19" s="334">
        <v>-8.1717748917748523E-2</v>
      </c>
      <c r="DU19" s="335">
        <v>-8.4469264069264582E-2</v>
      </c>
      <c r="DV19" s="335">
        <v>-8.7220779220778866E-2</v>
      </c>
      <c r="DW19" s="335">
        <v>-8.9972294372294925E-2</v>
      </c>
      <c r="DX19" s="198">
        <v>-8.7220779220778866E-2</v>
      </c>
      <c r="DY19" s="198">
        <v>-8.7220779220778866E-2</v>
      </c>
      <c r="DZ19" s="198">
        <v>-8.7220779220778866E-2</v>
      </c>
      <c r="EA19" s="198">
        <v>2.7515151515160596E-3</v>
      </c>
      <c r="EB19" s="198">
        <v>-8.7220779220778866E-2</v>
      </c>
      <c r="EC19" s="198">
        <v>-8.7220779220778866E-2</v>
      </c>
      <c r="ED19" s="198">
        <v>-8.7220779220778866E-2</v>
      </c>
      <c r="EE19" s="198">
        <v>-8.7220779220778866E-2</v>
      </c>
      <c r="EF19" s="198">
        <v>2.7515151515160596E-3</v>
      </c>
      <c r="EG19" s="198">
        <v>0</v>
      </c>
      <c r="EH19" s="198">
        <v>-0.12258430453208917</v>
      </c>
      <c r="EI19" s="336">
        <f t="shared" si="0"/>
        <v>-7.8966233766233879E-2</v>
      </c>
      <c r="EJ19" s="336">
        <f>EI19-'[13]FAOSTAT21 CO2'!EH19</f>
        <v>-7.7330493766233882E-2</v>
      </c>
    </row>
    <row r="20" spans="1:140" x14ac:dyDescent="0.25">
      <c r="A20" s="31">
        <v>14</v>
      </c>
      <c r="B20" s="31" t="s">
        <v>88</v>
      </c>
      <c r="C20" s="31">
        <v>30</v>
      </c>
      <c r="D20" s="31">
        <v>0</v>
      </c>
      <c r="E20" s="31">
        <v>0</v>
      </c>
      <c r="F20" s="31">
        <v>1</v>
      </c>
      <c r="G20" s="31">
        <v>0</v>
      </c>
      <c r="H20" s="331" t="s">
        <v>2475</v>
      </c>
      <c r="I20" s="331" t="s">
        <v>89</v>
      </c>
      <c r="J20" s="331"/>
      <c r="K20" s="331"/>
      <c r="L20" s="331"/>
      <c r="M20" s="331"/>
      <c r="N20" s="331"/>
      <c r="O20" s="331"/>
      <c r="P20" s="331"/>
      <c r="Q20" s="331"/>
      <c r="R20" s="331"/>
      <c r="S20" s="331"/>
      <c r="T20" s="331"/>
      <c r="U20" s="331"/>
      <c r="V20" s="331"/>
      <c r="W20" s="331"/>
      <c r="X20" s="331"/>
      <c r="Y20" s="331"/>
      <c r="Z20" s="331"/>
      <c r="AA20" s="331"/>
      <c r="AB20" s="331"/>
      <c r="AC20" s="331"/>
      <c r="AD20" s="331"/>
      <c r="AE20" s="331"/>
      <c r="AF20" s="331"/>
      <c r="AG20" s="331"/>
      <c r="AH20" s="331"/>
      <c r="AI20" s="331"/>
      <c r="AJ20" s="331"/>
      <c r="AK20" s="331"/>
      <c r="AL20" s="331"/>
      <c r="AM20" s="331"/>
      <c r="AN20" s="331"/>
      <c r="AO20" s="331"/>
      <c r="AP20" s="331"/>
      <c r="AQ20" s="331"/>
      <c r="AR20" s="331"/>
      <c r="AS20" s="331"/>
      <c r="AT20" s="331"/>
      <c r="AU20" s="331"/>
      <c r="AV20" s="331"/>
      <c r="AW20" s="331"/>
      <c r="AX20" s="331"/>
      <c r="AY20" s="332" t="s">
        <v>2476</v>
      </c>
      <c r="AZ20" s="332" t="s">
        <v>89</v>
      </c>
      <c r="BA20" s="332"/>
      <c r="BB20" s="332"/>
      <c r="BC20" s="332"/>
      <c r="BD20" s="332"/>
      <c r="BE20" s="332"/>
      <c r="BF20" s="332"/>
      <c r="BG20" s="332"/>
      <c r="BH20" s="332"/>
      <c r="BI20" s="332"/>
      <c r="BJ20" s="332"/>
      <c r="BK20" s="332"/>
      <c r="BL20" s="332"/>
      <c r="BM20" s="332"/>
      <c r="BN20" s="332"/>
      <c r="BO20" s="332"/>
      <c r="BP20" s="332"/>
      <c r="BQ20" s="332"/>
      <c r="BR20" s="332"/>
      <c r="BS20" s="332"/>
      <c r="BT20" s="332"/>
      <c r="BU20" s="332"/>
      <c r="BV20" s="332"/>
      <c r="BW20" s="332"/>
      <c r="BX20" s="332"/>
      <c r="BY20" s="332"/>
      <c r="BZ20" s="332"/>
      <c r="CA20" s="332"/>
      <c r="CB20" s="332"/>
      <c r="CC20" s="332"/>
      <c r="CD20" s="332"/>
      <c r="CE20" s="332"/>
      <c r="CF20" s="332"/>
      <c r="CG20" s="332"/>
      <c r="CH20" s="332"/>
      <c r="CI20" s="332"/>
      <c r="CJ20" s="332"/>
      <c r="CK20" s="332"/>
      <c r="CL20" s="332"/>
      <c r="CM20" s="332"/>
      <c r="CN20" s="332"/>
      <c r="CO20" s="332"/>
      <c r="CP20" s="333" t="s">
        <v>27</v>
      </c>
      <c r="CQ20" s="333" t="s">
        <v>89</v>
      </c>
      <c r="CR20" s="334">
        <v>-29.399078384002369</v>
      </c>
      <c r="CS20" s="334">
        <v>-29.629991682722022</v>
      </c>
      <c r="CT20" s="334">
        <v>-28.381999213039379</v>
      </c>
      <c r="CU20" s="334">
        <v>-21.736966972488432</v>
      </c>
      <c r="CV20" s="334">
        <v>-30.1597104889997</v>
      </c>
      <c r="CW20" s="334">
        <v>-29.937292497370091</v>
      </c>
      <c r="CX20" s="334">
        <v>-29.386127696721459</v>
      </c>
      <c r="CY20" s="334">
        <v>-28.696237297747064</v>
      </c>
      <c r="CZ20" s="334">
        <v>-27.240211319010651</v>
      </c>
      <c r="DA20" s="334">
        <v>-33.388002600845184</v>
      </c>
      <c r="DB20" s="334">
        <v>-34.637771736339644</v>
      </c>
      <c r="DC20" s="334">
        <v>-33.718627548109708</v>
      </c>
      <c r="DD20" s="334">
        <v>-32.11399227942232</v>
      </c>
      <c r="DE20" s="334">
        <v>-29.461680466136553</v>
      </c>
      <c r="DF20" s="334">
        <v>-31.979990340992433</v>
      </c>
      <c r="DG20" s="334">
        <v>-34.074534857680419</v>
      </c>
      <c r="DH20" s="334">
        <v>-36.809911336840202</v>
      </c>
      <c r="DI20" s="334">
        <v>-39.149677522659545</v>
      </c>
      <c r="DJ20" s="334">
        <v>-39.543532403806616</v>
      </c>
      <c r="DK20" s="334">
        <v>-42.718460892748041</v>
      </c>
      <c r="DL20" s="334">
        <v>-46.146215735201643</v>
      </c>
      <c r="DM20" s="334">
        <v>-45.228001509832595</v>
      </c>
      <c r="DN20" s="334">
        <v>-43.44662138271687</v>
      </c>
      <c r="DO20" s="334">
        <v>-46.019840676164307</v>
      </c>
      <c r="DP20" s="334">
        <v>-45.602417371607793</v>
      </c>
      <c r="DQ20" s="334">
        <v>-43.808659689530721</v>
      </c>
      <c r="DR20" s="334">
        <v>-40.113540800078944</v>
      </c>
      <c r="DS20" s="334">
        <v>-36.961139427605723</v>
      </c>
      <c r="DT20" s="334">
        <v>-39.91239077414594</v>
      </c>
      <c r="DU20" s="335">
        <v>-35.63020685934481</v>
      </c>
      <c r="DV20" s="335">
        <v>-37.448417533237354</v>
      </c>
      <c r="DW20" s="335">
        <v>-43.073284186682045</v>
      </c>
      <c r="DX20" s="198">
        <v>-10</v>
      </c>
      <c r="DY20" s="198">
        <v>-29.22</v>
      </c>
      <c r="DZ20" s="198">
        <v>-29.22</v>
      </c>
      <c r="EA20" s="198">
        <v>13.853284186682046</v>
      </c>
      <c r="EB20" s="198">
        <v>-37.448417533237354</v>
      </c>
      <c r="EC20" s="198">
        <v>-37.448417533237354</v>
      </c>
      <c r="ED20" s="198">
        <v>-37.448417533237354</v>
      </c>
      <c r="EE20" s="198">
        <v>-37.448417533237354</v>
      </c>
      <c r="EF20" s="198">
        <v>5.6248666534446912</v>
      </c>
      <c r="EG20" s="198">
        <v>-8.228417533237355</v>
      </c>
      <c r="EH20" s="198">
        <v>-49.885381106744745</v>
      </c>
      <c r="EI20" s="336">
        <f t="shared" si="0"/>
        <v>-39.285187510141228</v>
      </c>
      <c r="EJ20" s="336">
        <f>EI20-'[13]FAOSTAT21 CO2'!EH20</f>
        <v>-18.835586950141227</v>
      </c>
    </row>
    <row r="21" spans="1:140" x14ac:dyDescent="0.25">
      <c r="A21" s="31">
        <v>11</v>
      </c>
      <c r="B21" s="31" t="s">
        <v>90</v>
      </c>
      <c r="C21" s="31">
        <v>16</v>
      </c>
      <c r="D21" s="31">
        <v>1</v>
      </c>
      <c r="E21" s="31">
        <v>0</v>
      </c>
      <c r="F21" s="31">
        <v>1</v>
      </c>
      <c r="G21" s="31">
        <v>0</v>
      </c>
      <c r="H21" s="331" t="s">
        <v>2475</v>
      </c>
      <c r="I21" s="331" t="s">
        <v>91</v>
      </c>
      <c r="J21" s="331"/>
      <c r="K21" s="331"/>
      <c r="L21" s="331"/>
      <c r="M21" s="331"/>
      <c r="N21" s="331"/>
      <c r="O21" s="331"/>
      <c r="P21" s="331"/>
      <c r="Q21" s="331"/>
      <c r="R21" s="331"/>
      <c r="S21" s="331"/>
      <c r="T21" s="331"/>
      <c r="U21" s="331"/>
      <c r="V21" s="331"/>
      <c r="W21" s="331"/>
      <c r="X21" s="331"/>
      <c r="Y21" s="331"/>
      <c r="Z21" s="331"/>
      <c r="AA21" s="331"/>
      <c r="AB21" s="331"/>
      <c r="AC21" s="331"/>
      <c r="AD21" s="331"/>
      <c r="AE21" s="331"/>
      <c r="AF21" s="331"/>
      <c r="AG21" s="331"/>
      <c r="AH21" s="331"/>
      <c r="AI21" s="331"/>
      <c r="AJ21" s="331"/>
      <c r="AK21" s="331"/>
      <c r="AL21" s="331"/>
      <c r="AM21" s="331"/>
      <c r="AN21" s="331"/>
      <c r="AO21" s="331"/>
      <c r="AP21" s="331"/>
      <c r="AQ21" s="331"/>
      <c r="AR21" s="331"/>
      <c r="AS21" s="331"/>
      <c r="AT21" s="331"/>
      <c r="AU21" s="331"/>
      <c r="AV21" s="331"/>
      <c r="AW21" s="331"/>
      <c r="AX21" s="331"/>
      <c r="AY21" s="332" t="s">
        <v>2476</v>
      </c>
      <c r="AZ21" s="332" t="s">
        <v>91</v>
      </c>
      <c r="BA21" s="332"/>
      <c r="BB21" s="332"/>
      <c r="BC21" s="332"/>
      <c r="BD21" s="332"/>
      <c r="BE21" s="332"/>
      <c r="BF21" s="332"/>
      <c r="BG21" s="332"/>
      <c r="BH21" s="332"/>
      <c r="BI21" s="332"/>
      <c r="BJ21" s="332"/>
      <c r="BK21" s="332"/>
      <c r="BL21" s="332"/>
      <c r="BM21" s="332"/>
      <c r="BN21" s="332"/>
      <c r="BO21" s="332"/>
      <c r="BP21" s="332"/>
      <c r="BQ21" s="332"/>
      <c r="BR21" s="332"/>
      <c r="BS21" s="332"/>
      <c r="BT21" s="332"/>
      <c r="BU21" s="332"/>
      <c r="BV21" s="332"/>
      <c r="BW21" s="332"/>
      <c r="BX21" s="332"/>
      <c r="BY21" s="332"/>
      <c r="BZ21" s="332"/>
      <c r="CA21" s="332"/>
      <c r="CB21" s="332"/>
      <c r="CC21" s="332"/>
      <c r="CD21" s="332"/>
      <c r="CE21" s="332"/>
      <c r="CF21" s="332"/>
      <c r="CG21" s="332"/>
      <c r="CH21" s="332"/>
      <c r="CI21" s="332"/>
      <c r="CJ21" s="332"/>
      <c r="CK21" s="332"/>
      <c r="CL21" s="332"/>
      <c r="CM21" s="332"/>
      <c r="CN21" s="332"/>
      <c r="CO21" s="332"/>
      <c r="CP21" s="333" t="s">
        <v>27</v>
      </c>
      <c r="CQ21" s="333" t="s">
        <v>91</v>
      </c>
      <c r="CR21" s="334">
        <v>-2.9371105328958218</v>
      </c>
      <c r="CS21" s="334">
        <v>-2.4723417225926116</v>
      </c>
      <c r="CT21" s="334">
        <v>-2.2928236971946463</v>
      </c>
      <c r="CU21" s="334">
        <v>-2.3102151201349979</v>
      </c>
      <c r="CV21" s="334">
        <v>-2.0589345266743493</v>
      </c>
      <c r="CW21" s="334">
        <v>-2.2883050778109899</v>
      </c>
      <c r="CX21" s="334">
        <v>-2.4852435248891154</v>
      </c>
      <c r="CY21" s="334">
        <v>-2.0347056085374509</v>
      </c>
      <c r="CZ21" s="334">
        <v>-2.5915526583895141</v>
      </c>
      <c r="DA21" s="334">
        <v>-2.114841969216001</v>
      </c>
      <c r="DB21" s="334">
        <v>-1.6939745191342346</v>
      </c>
      <c r="DC21" s="334">
        <v>-1.5230547801834018</v>
      </c>
      <c r="DD21" s="334">
        <v>-2.1163726482154122</v>
      </c>
      <c r="DE21" s="334">
        <v>-2.0109944805764193</v>
      </c>
      <c r="DF21" s="334">
        <v>-1.7198625738177147</v>
      </c>
      <c r="DG21" s="334">
        <v>-1.7801209316499087</v>
      </c>
      <c r="DH21" s="334">
        <v>-1.7572275151522729</v>
      </c>
      <c r="DI21" s="334">
        <v>-1.4555000575260069</v>
      </c>
      <c r="DJ21" s="334">
        <v>-1.3822520709158992</v>
      </c>
      <c r="DK21" s="334">
        <v>-1.2095218354094404</v>
      </c>
      <c r="DL21" s="334">
        <v>-0.38017394861708148</v>
      </c>
      <c r="DM21" s="334">
        <v>-0.30976604787519413</v>
      </c>
      <c r="DN21" s="334">
        <v>-0.29514061609701381</v>
      </c>
      <c r="DO21" s="334">
        <v>-0.94273440099834604</v>
      </c>
      <c r="DP21" s="334">
        <v>-0.92584212032911639</v>
      </c>
      <c r="DQ21" s="334">
        <v>-0.87487334049433418</v>
      </c>
      <c r="DR21" s="334">
        <v>-0.78721114036442863</v>
      </c>
      <c r="DS21" s="334">
        <v>-0.66424818165098598</v>
      </c>
      <c r="DT21" s="334">
        <v>-0.62734688318000476</v>
      </c>
      <c r="DU21" s="335">
        <v>-0.49971316436229141</v>
      </c>
      <c r="DV21" s="335">
        <v>-0.35387688274222762</v>
      </c>
      <c r="DW21" s="335">
        <v>-0.34309454335841871</v>
      </c>
      <c r="DX21" s="198">
        <v>-0.35387688274222762</v>
      </c>
      <c r="DY21" s="198">
        <v>-0.35387688274222762</v>
      </c>
      <c r="DZ21" s="198">
        <v>-0.35387688274222762</v>
      </c>
      <c r="EA21" s="198">
        <v>-1.0782339383808903E-2</v>
      </c>
      <c r="EB21" s="198">
        <v>-0.35387688274222762</v>
      </c>
      <c r="EC21" s="198">
        <v>-0.35387688274222762</v>
      </c>
      <c r="ED21" s="198">
        <v>-0.35387688274222762</v>
      </c>
      <c r="EE21" s="198">
        <v>-0.35387688274222762</v>
      </c>
      <c r="EF21" s="198">
        <v>-1.0782339383808903E-2</v>
      </c>
      <c r="EG21" s="198">
        <v>0</v>
      </c>
      <c r="EH21" s="198">
        <v>-0.61246356614403574</v>
      </c>
      <c r="EI21" s="336">
        <f t="shared" si="0"/>
        <v>-0.6906785420104089</v>
      </c>
      <c r="EJ21" s="336">
        <f>EI21-'[13]FAOSTAT21 CO2'!EH21</f>
        <v>-0.34621032201040891</v>
      </c>
    </row>
    <row r="22" spans="1:140" x14ac:dyDescent="0.25">
      <c r="A22" s="31">
        <v>4</v>
      </c>
      <c r="B22" s="31" t="s">
        <v>92</v>
      </c>
      <c r="C22" s="31">
        <v>23</v>
      </c>
      <c r="D22" s="31">
        <v>0</v>
      </c>
      <c r="E22" s="31">
        <v>0</v>
      </c>
      <c r="F22" s="31">
        <v>0</v>
      </c>
      <c r="G22" s="31">
        <v>0</v>
      </c>
      <c r="H22" s="331" t="s">
        <v>2475</v>
      </c>
      <c r="I22" s="331" t="s">
        <v>93</v>
      </c>
      <c r="J22" s="331"/>
      <c r="K22" s="331"/>
      <c r="L22" s="331"/>
      <c r="M22" s="331"/>
      <c r="N22" s="331"/>
      <c r="O22" s="331"/>
      <c r="P22" s="331"/>
      <c r="Q22" s="331"/>
      <c r="R22" s="331"/>
      <c r="S22" s="331"/>
      <c r="T22" s="331"/>
      <c r="U22" s="331"/>
      <c r="V22" s="331"/>
      <c r="W22" s="331"/>
      <c r="X22" s="331"/>
      <c r="Y22" s="331"/>
      <c r="Z22" s="331"/>
      <c r="AA22" s="331"/>
      <c r="AB22" s="331"/>
      <c r="AC22" s="331"/>
      <c r="AD22" s="331"/>
      <c r="AE22" s="331"/>
      <c r="AF22" s="331"/>
      <c r="AG22" s="331"/>
      <c r="AH22" s="331"/>
      <c r="AI22" s="331"/>
      <c r="AJ22" s="331"/>
      <c r="AK22" s="331"/>
      <c r="AL22" s="331"/>
      <c r="AM22" s="331"/>
      <c r="AN22" s="331"/>
      <c r="AO22" s="331"/>
      <c r="AP22" s="331"/>
      <c r="AQ22" s="331"/>
      <c r="AR22" s="331"/>
      <c r="AS22" s="331"/>
      <c r="AT22" s="331"/>
      <c r="AU22" s="331"/>
      <c r="AV22" s="331"/>
      <c r="AW22" s="331"/>
      <c r="AX22" s="331"/>
      <c r="AY22" s="332" t="s">
        <v>2476</v>
      </c>
      <c r="AZ22" s="332" t="s">
        <v>93</v>
      </c>
      <c r="BA22" s="332"/>
      <c r="BB22" s="332"/>
      <c r="BC22" s="332"/>
      <c r="BD22" s="332"/>
      <c r="BE22" s="332"/>
      <c r="BF22" s="332"/>
      <c r="BG22" s="332"/>
      <c r="BH22" s="332"/>
      <c r="BI22" s="332"/>
      <c r="BJ22" s="332"/>
      <c r="BK22" s="332"/>
      <c r="BL22" s="332"/>
      <c r="BM22" s="332"/>
      <c r="BN22" s="332"/>
      <c r="BO22" s="332"/>
      <c r="BP22" s="332"/>
      <c r="BQ22" s="332"/>
      <c r="BR22" s="332"/>
      <c r="BS22" s="332"/>
      <c r="BT22" s="332"/>
      <c r="BU22" s="332"/>
      <c r="BV22" s="332"/>
      <c r="BW22" s="332"/>
      <c r="BX22" s="332"/>
      <c r="BY22" s="332"/>
      <c r="BZ22" s="332"/>
      <c r="CA22" s="332"/>
      <c r="CB22" s="332"/>
      <c r="CC22" s="332"/>
      <c r="CD22" s="332"/>
      <c r="CE22" s="332"/>
      <c r="CF22" s="332"/>
      <c r="CG22" s="332"/>
      <c r="CH22" s="332"/>
      <c r="CI22" s="332"/>
      <c r="CJ22" s="332"/>
      <c r="CK22" s="332"/>
      <c r="CL22" s="332"/>
      <c r="CM22" s="332"/>
      <c r="CN22" s="332"/>
      <c r="CO22" s="332"/>
      <c r="CP22" s="333" t="s">
        <v>27</v>
      </c>
      <c r="CQ22" s="333" t="s">
        <v>93</v>
      </c>
      <c r="CR22" s="334">
        <v>-14.575091</v>
      </c>
      <c r="CS22" s="334">
        <v>-14.575091</v>
      </c>
      <c r="CT22" s="334">
        <v>-14.575091</v>
      </c>
      <c r="CU22" s="334">
        <v>-14.575091</v>
      </c>
      <c r="CV22" s="334">
        <v>-14.575091</v>
      </c>
      <c r="CW22" s="334">
        <v>-14.424131666666668</v>
      </c>
      <c r="CX22" s="334">
        <v>-14.273172333333335</v>
      </c>
      <c r="CY22" s="334">
        <v>-14.122213</v>
      </c>
      <c r="CZ22" s="334">
        <v>-13.984313999999999</v>
      </c>
      <c r="DA22" s="334">
        <v>-13.846414999999999</v>
      </c>
      <c r="DB22" s="334">
        <v>-13.708515999999999</v>
      </c>
      <c r="DC22" s="334">
        <v>-13.105831666666667</v>
      </c>
      <c r="DD22" s="334">
        <v>-12.503147333333335</v>
      </c>
      <c r="DE22" s="334">
        <v>-11.900463</v>
      </c>
      <c r="DF22" s="334">
        <v>-11.722789666666667</v>
      </c>
      <c r="DG22" s="334">
        <v>-11.545116333333334</v>
      </c>
      <c r="DH22" s="334">
        <v>-11.367443</v>
      </c>
      <c r="DI22" s="334">
        <v>-10.926786333333332</v>
      </c>
      <c r="DJ22" s="334">
        <v>-10.486129666666665</v>
      </c>
      <c r="DK22" s="334">
        <v>-10.045472999999999</v>
      </c>
      <c r="DL22" s="334">
        <v>-9.360001333333333</v>
      </c>
      <c r="DM22" s="334">
        <v>-8.6745296666666665</v>
      </c>
      <c r="DN22" s="334">
        <v>-7.989058</v>
      </c>
      <c r="DO22" s="334">
        <v>-7.416086</v>
      </c>
      <c r="DP22" s="334">
        <v>-6.8431139999999999</v>
      </c>
      <c r="DQ22" s="334">
        <v>-6.2701419999999999</v>
      </c>
      <c r="DR22" s="334">
        <v>-6.5650499999999994</v>
      </c>
      <c r="DS22" s="334">
        <v>-6.8599579999999998</v>
      </c>
      <c r="DT22" s="334">
        <v>-10.952068000000001</v>
      </c>
      <c r="DU22" s="335">
        <v>-8.8486270000000005</v>
      </c>
      <c r="DV22" s="335">
        <v>-6.7078298091954593</v>
      </c>
      <c r="DW22" s="335">
        <v>-6.4080854291436253</v>
      </c>
      <c r="DX22" s="198">
        <v>-6.7078298091954593</v>
      </c>
      <c r="DY22" s="198">
        <v>-6.7078298091954593</v>
      </c>
      <c r="DZ22" s="198">
        <v>-6.7078298091954593</v>
      </c>
      <c r="EA22" s="198">
        <v>-0.29974438005183401</v>
      </c>
      <c r="EB22" s="198">
        <v>-6.7078298091954593</v>
      </c>
      <c r="EC22" s="198">
        <v>-9.5999999999999979</v>
      </c>
      <c r="ED22" s="198">
        <v>-6.7078298091954593</v>
      </c>
      <c r="EE22" s="198">
        <v>-9.5999999999999979</v>
      </c>
      <c r="EF22" s="198">
        <v>-3.1919145708563725</v>
      </c>
      <c r="EG22" s="198">
        <v>-2.8921701908045385</v>
      </c>
      <c r="EH22" s="198">
        <v>-9.427508667383572</v>
      </c>
      <c r="EI22" s="336">
        <f t="shared" si="0"/>
        <v>-7.8991690000000006</v>
      </c>
      <c r="EJ22" s="336">
        <f>EI22-'[13]FAOSTAT21 CO2'!EH22</f>
        <v>-13.1802271</v>
      </c>
    </row>
    <row r="23" spans="1:140" x14ac:dyDescent="0.25">
      <c r="A23" s="31">
        <v>8</v>
      </c>
      <c r="B23" s="31" t="s">
        <v>94</v>
      </c>
      <c r="C23" s="31">
        <v>52</v>
      </c>
      <c r="D23" s="31">
        <v>0</v>
      </c>
      <c r="E23" s="31">
        <v>0</v>
      </c>
      <c r="F23" s="31">
        <v>0</v>
      </c>
      <c r="G23" s="31">
        <v>0</v>
      </c>
      <c r="H23" s="331" t="s">
        <v>2475</v>
      </c>
      <c r="I23" s="331" t="s">
        <v>95</v>
      </c>
      <c r="J23" s="331"/>
      <c r="K23" s="331"/>
      <c r="L23" s="331"/>
      <c r="M23" s="331"/>
      <c r="N23" s="331"/>
      <c r="O23" s="331"/>
      <c r="P23" s="331"/>
      <c r="Q23" s="331"/>
      <c r="R23" s="331"/>
      <c r="S23" s="331"/>
      <c r="T23" s="331"/>
      <c r="U23" s="331"/>
      <c r="V23" s="331"/>
      <c r="W23" s="331"/>
      <c r="X23" s="331"/>
      <c r="Y23" s="331"/>
      <c r="Z23" s="331"/>
      <c r="AA23" s="331"/>
      <c r="AB23" s="331"/>
      <c r="AC23" s="331"/>
      <c r="AD23" s="331"/>
      <c r="AE23" s="331"/>
      <c r="AF23" s="331"/>
      <c r="AG23" s="331"/>
      <c r="AH23" s="331"/>
      <c r="AI23" s="331"/>
      <c r="AJ23" s="331"/>
      <c r="AK23" s="331"/>
      <c r="AL23" s="331"/>
      <c r="AM23" s="331"/>
      <c r="AN23" s="331"/>
      <c r="AO23" s="331"/>
      <c r="AP23" s="331"/>
      <c r="AQ23" s="331"/>
      <c r="AR23" s="331"/>
      <c r="AS23" s="331"/>
      <c r="AT23" s="331"/>
      <c r="AU23" s="331"/>
      <c r="AV23" s="331"/>
      <c r="AW23" s="331"/>
      <c r="AX23" s="331"/>
      <c r="AY23" s="332" t="s">
        <v>2476</v>
      </c>
      <c r="AZ23" s="332" t="s">
        <v>95</v>
      </c>
      <c r="BA23" s="332"/>
      <c r="BB23" s="332"/>
      <c r="BC23" s="332"/>
      <c r="BD23" s="332"/>
      <c r="BE23" s="332"/>
      <c r="BF23" s="332"/>
      <c r="BG23" s="332"/>
      <c r="BH23" s="332"/>
      <c r="BI23" s="332"/>
      <c r="BJ23" s="332"/>
      <c r="BK23" s="332"/>
      <c r="BL23" s="332"/>
      <c r="BM23" s="332"/>
      <c r="BN23" s="332"/>
      <c r="BO23" s="332"/>
      <c r="BP23" s="332"/>
      <c r="BQ23" s="332"/>
      <c r="BR23" s="332"/>
      <c r="BS23" s="332"/>
      <c r="BT23" s="332"/>
      <c r="BU23" s="332"/>
      <c r="BV23" s="332"/>
      <c r="BW23" s="332"/>
      <c r="BX23" s="332"/>
      <c r="BY23" s="332"/>
      <c r="BZ23" s="332"/>
      <c r="CA23" s="332"/>
      <c r="CB23" s="332"/>
      <c r="CC23" s="332"/>
      <c r="CD23" s="332"/>
      <c r="CE23" s="332"/>
      <c r="CF23" s="332"/>
      <c r="CG23" s="332"/>
      <c r="CH23" s="332"/>
      <c r="CI23" s="332"/>
      <c r="CJ23" s="332"/>
      <c r="CK23" s="332"/>
      <c r="CL23" s="332"/>
      <c r="CM23" s="332"/>
      <c r="CN23" s="332"/>
      <c r="CO23" s="332"/>
      <c r="CP23" s="333" t="s">
        <v>27</v>
      </c>
      <c r="CQ23" s="333" t="s">
        <v>95</v>
      </c>
      <c r="CR23" s="334">
        <v>-4.3294700000000006</v>
      </c>
      <c r="CS23" s="334">
        <v>-4.3154320000000004</v>
      </c>
      <c r="CT23" s="334">
        <v>-4.3013940000000002</v>
      </c>
      <c r="CU23" s="334">
        <v>-4.2873559999999999</v>
      </c>
      <c r="CV23" s="334">
        <v>-4.2733179999999997</v>
      </c>
      <c r="CW23" s="334">
        <v>-4.2592799999999995</v>
      </c>
      <c r="CX23" s="334">
        <v>-3.9583259999999996</v>
      </c>
      <c r="CY23" s="334">
        <v>-3.6573719999999996</v>
      </c>
      <c r="CZ23" s="334">
        <v>-3.3564179999999997</v>
      </c>
      <c r="DA23" s="334">
        <v>-3.0554639999999997</v>
      </c>
      <c r="DB23" s="334">
        <v>-2.7545100000000002</v>
      </c>
      <c r="DC23" s="334">
        <v>-2.8638780000000001</v>
      </c>
      <c r="DD23" s="334">
        <v>-2.9732460000000001</v>
      </c>
      <c r="DE23" s="334">
        <v>-3.082614</v>
      </c>
      <c r="DF23" s="334">
        <v>-3.1919819999999999</v>
      </c>
      <c r="DG23" s="334">
        <v>-3.3013499999999998</v>
      </c>
      <c r="DH23" s="334">
        <v>-3.5970219999999999</v>
      </c>
      <c r="DI23" s="334">
        <v>-3.8926940000000001</v>
      </c>
      <c r="DJ23" s="334">
        <v>-4.1883660000000003</v>
      </c>
      <c r="DK23" s="334">
        <v>-4.484038</v>
      </c>
      <c r="DL23" s="334">
        <v>-4.7797099999999997</v>
      </c>
      <c r="DM23" s="334">
        <v>-3.7430700000000003</v>
      </c>
      <c r="DN23" s="334">
        <v>-4.0503</v>
      </c>
      <c r="DO23" s="334">
        <v>-3.66987</v>
      </c>
      <c r="DP23" s="334">
        <v>-4.0996999999999995</v>
      </c>
      <c r="DQ23" s="334">
        <v>-3.9598100000000001</v>
      </c>
      <c r="DR23" s="334">
        <v>-3.7484301846153842</v>
      </c>
      <c r="DS23" s="334">
        <v>-3.7456757538461556</v>
      </c>
      <c r="DT23" s="334">
        <v>-3.7429213230769234</v>
      </c>
      <c r="DU23" s="335">
        <v>-3.7401668923076938</v>
      </c>
      <c r="DV23" s="335">
        <v>-3.7374124615384625</v>
      </c>
      <c r="DW23" s="335">
        <v>-3.7346580307692339</v>
      </c>
      <c r="DX23" s="198">
        <v>5</v>
      </c>
      <c r="DY23" s="198">
        <v>-10</v>
      </c>
      <c r="DZ23" s="198">
        <v>-10</v>
      </c>
      <c r="EA23" s="198">
        <v>-6.2653419692307661</v>
      </c>
      <c r="EB23" s="198">
        <v>-3.7374124615384625</v>
      </c>
      <c r="EC23" s="198">
        <v>-163</v>
      </c>
      <c r="ED23" s="198">
        <v>-3.7374124615384625</v>
      </c>
      <c r="EE23" s="198">
        <v>-163</v>
      </c>
      <c r="EF23" s="198">
        <v>-159.26534196923078</v>
      </c>
      <c r="EG23" s="198">
        <v>-153</v>
      </c>
      <c r="EH23" s="198">
        <v>-4.8500274552030085</v>
      </c>
      <c r="EI23" s="336">
        <f t="shared" si="0"/>
        <v>-3.7874008307692315</v>
      </c>
      <c r="EJ23" s="336">
        <f>EI23-'[13]FAOSTAT21 CO2'!EH23</f>
        <v>-14.497734130769231</v>
      </c>
    </row>
    <row r="24" spans="1:140" x14ac:dyDescent="0.25">
      <c r="A24" s="31">
        <v>4</v>
      </c>
      <c r="B24" s="31" t="s">
        <v>96</v>
      </c>
      <c r="C24" s="31">
        <v>17</v>
      </c>
      <c r="D24" s="31">
        <v>0</v>
      </c>
      <c r="E24" s="31">
        <v>0</v>
      </c>
      <c r="F24" s="31">
        <v>0</v>
      </c>
      <c r="G24" s="31">
        <v>0</v>
      </c>
      <c r="H24" s="331" t="s">
        <v>2475</v>
      </c>
      <c r="I24" s="331" t="s">
        <v>97</v>
      </c>
      <c r="J24" s="331"/>
      <c r="K24" s="331"/>
      <c r="L24" s="331"/>
      <c r="M24" s="331"/>
      <c r="N24" s="331"/>
      <c r="O24" s="331"/>
      <c r="P24" s="331"/>
      <c r="Q24" s="331"/>
      <c r="R24" s="331"/>
      <c r="S24" s="331"/>
      <c r="T24" s="331"/>
      <c r="U24" s="331"/>
      <c r="V24" s="331"/>
      <c r="W24" s="331"/>
      <c r="X24" s="331"/>
      <c r="Y24" s="331"/>
      <c r="Z24" s="331"/>
      <c r="AA24" s="331"/>
      <c r="AB24" s="331"/>
      <c r="AC24" s="331"/>
      <c r="AD24" s="331"/>
      <c r="AE24" s="331"/>
      <c r="AF24" s="331"/>
      <c r="AG24" s="331"/>
      <c r="AH24" s="331"/>
      <c r="AI24" s="331"/>
      <c r="AJ24" s="331"/>
      <c r="AK24" s="331"/>
      <c r="AL24" s="331"/>
      <c r="AM24" s="331"/>
      <c r="AN24" s="331"/>
      <c r="AO24" s="331"/>
      <c r="AP24" s="331"/>
      <c r="AQ24" s="331"/>
      <c r="AR24" s="331"/>
      <c r="AS24" s="331"/>
      <c r="AT24" s="331"/>
      <c r="AU24" s="331"/>
      <c r="AV24" s="331"/>
      <c r="AW24" s="331"/>
      <c r="AX24" s="331"/>
      <c r="AY24" s="332" t="s">
        <v>2476</v>
      </c>
      <c r="AZ24" s="332" t="s">
        <v>97</v>
      </c>
      <c r="BA24" s="332"/>
      <c r="BB24" s="332"/>
      <c r="BC24" s="332"/>
      <c r="BD24" s="332"/>
      <c r="BE24" s="332"/>
      <c r="BF24" s="332"/>
      <c r="BG24" s="332"/>
      <c r="BH24" s="332"/>
      <c r="BI24" s="332"/>
      <c r="BJ24" s="332"/>
      <c r="BK24" s="332"/>
      <c r="BL24" s="332"/>
      <c r="BM24" s="332"/>
      <c r="BN24" s="332"/>
      <c r="BO24" s="332"/>
      <c r="BP24" s="332"/>
      <c r="BQ24" s="332"/>
      <c r="BR24" s="332"/>
      <c r="BS24" s="332"/>
      <c r="BT24" s="332"/>
      <c r="BU24" s="332"/>
      <c r="BV24" s="332"/>
      <c r="BW24" s="332"/>
      <c r="BX24" s="332"/>
      <c r="BY24" s="332"/>
      <c r="BZ24" s="332"/>
      <c r="CA24" s="332"/>
      <c r="CB24" s="332"/>
      <c r="CC24" s="332"/>
      <c r="CD24" s="332"/>
      <c r="CE24" s="332"/>
      <c r="CF24" s="332"/>
      <c r="CG24" s="332"/>
      <c r="CH24" s="332"/>
      <c r="CI24" s="332"/>
      <c r="CJ24" s="332"/>
      <c r="CK24" s="332"/>
      <c r="CL24" s="332"/>
      <c r="CM24" s="332"/>
      <c r="CN24" s="332"/>
      <c r="CO24" s="332"/>
      <c r="CP24" s="333" t="s">
        <v>27</v>
      </c>
      <c r="CQ24" s="333" t="s">
        <v>97</v>
      </c>
      <c r="CR24" s="334">
        <v>0</v>
      </c>
      <c r="CS24" s="334">
        <v>0</v>
      </c>
      <c r="CT24" s="334">
        <v>0</v>
      </c>
      <c r="CU24" s="334">
        <v>0</v>
      </c>
      <c r="CV24" s="334">
        <v>0</v>
      </c>
      <c r="CW24" s="334">
        <v>0</v>
      </c>
      <c r="CX24" s="334">
        <v>0</v>
      </c>
      <c r="CY24" s="334">
        <v>0</v>
      </c>
      <c r="CZ24" s="334">
        <v>0</v>
      </c>
      <c r="DA24" s="334">
        <v>0</v>
      </c>
      <c r="DB24" s="334">
        <v>0</v>
      </c>
      <c r="DC24" s="334">
        <v>0</v>
      </c>
      <c r="DD24" s="334">
        <v>0</v>
      </c>
      <c r="DE24" s="334">
        <v>0</v>
      </c>
      <c r="DF24" s="334">
        <v>0</v>
      </c>
      <c r="DG24" s="334">
        <v>0</v>
      </c>
      <c r="DH24" s="334">
        <v>0</v>
      </c>
      <c r="DI24" s="334">
        <v>0</v>
      </c>
      <c r="DJ24" s="334">
        <v>0</v>
      </c>
      <c r="DK24" s="334">
        <v>0</v>
      </c>
      <c r="DL24" s="334">
        <v>0</v>
      </c>
      <c r="DM24" s="334">
        <v>0</v>
      </c>
      <c r="DN24" s="334">
        <v>0</v>
      </c>
      <c r="DO24" s="334">
        <v>0</v>
      </c>
      <c r="DP24" s="334">
        <v>0</v>
      </c>
      <c r="DQ24" s="334">
        <v>0</v>
      </c>
      <c r="DR24" s="334">
        <v>0</v>
      </c>
      <c r="DS24" s="334">
        <v>0</v>
      </c>
      <c r="DT24" s="334">
        <v>0</v>
      </c>
      <c r="DU24" s="335">
        <v>0</v>
      </c>
      <c r="DV24" s="335">
        <v>0</v>
      </c>
      <c r="DW24" s="335">
        <v>0</v>
      </c>
      <c r="DX24" s="198" t="s">
        <v>2477</v>
      </c>
      <c r="DY24" s="198" t="s">
        <v>2477</v>
      </c>
      <c r="DZ24" s="198" t="s">
        <v>2477</v>
      </c>
      <c r="EA24" s="198" t="s">
        <v>2477</v>
      </c>
      <c r="EB24" s="198" t="s">
        <v>2477</v>
      </c>
      <c r="EC24" s="198" t="s">
        <v>2477</v>
      </c>
      <c r="ED24" s="198" t="s">
        <v>2477</v>
      </c>
      <c r="EE24" s="198" t="s">
        <v>2477</v>
      </c>
      <c r="EF24" s="198" t="s">
        <v>2477</v>
      </c>
      <c r="EG24" s="198" t="s">
        <v>2477</v>
      </c>
      <c r="EH24" s="198"/>
      <c r="EI24" s="336">
        <f t="shared" si="0"/>
        <v>0</v>
      </c>
      <c r="EJ24" s="336">
        <f>EI24-'[13]FAOSTAT21 CO2'!EH24</f>
        <v>0</v>
      </c>
    </row>
    <row r="25" spans="1:140" x14ac:dyDescent="0.25">
      <c r="A25" s="31">
        <v>25</v>
      </c>
      <c r="B25" s="31" t="s">
        <v>98</v>
      </c>
      <c r="C25" s="31">
        <v>18</v>
      </c>
      <c r="D25" s="31">
        <v>0</v>
      </c>
      <c r="E25" s="31">
        <v>0</v>
      </c>
      <c r="F25" s="31">
        <v>0</v>
      </c>
      <c r="G25" s="31">
        <v>0</v>
      </c>
      <c r="H25" s="331" t="s">
        <v>2475</v>
      </c>
      <c r="I25" s="331" t="s">
        <v>99</v>
      </c>
      <c r="J25" s="331"/>
      <c r="K25" s="331"/>
      <c r="L25" s="331"/>
      <c r="M25" s="331"/>
      <c r="N25" s="331"/>
      <c r="O25" s="331"/>
      <c r="P25" s="331"/>
      <c r="Q25" s="331"/>
      <c r="R25" s="331"/>
      <c r="S25" s="331"/>
      <c r="T25" s="331"/>
      <c r="U25" s="331"/>
      <c r="V25" s="331"/>
      <c r="W25" s="331"/>
      <c r="X25" s="331"/>
      <c r="Y25" s="331"/>
      <c r="Z25" s="331"/>
      <c r="AA25" s="331"/>
      <c r="AB25" s="331"/>
      <c r="AC25" s="331"/>
      <c r="AD25" s="331"/>
      <c r="AE25" s="331"/>
      <c r="AF25" s="331"/>
      <c r="AG25" s="331"/>
      <c r="AH25" s="331"/>
      <c r="AI25" s="331"/>
      <c r="AJ25" s="331"/>
      <c r="AK25" s="331"/>
      <c r="AL25" s="331"/>
      <c r="AM25" s="331"/>
      <c r="AN25" s="331"/>
      <c r="AO25" s="331"/>
      <c r="AP25" s="331"/>
      <c r="AQ25" s="331"/>
      <c r="AR25" s="331"/>
      <c r="AS25" s="331"/>
      <c r="AT25" s="331"/>
      <c r="AU25" s="331"/>
      <c r="AV25" s="331"/>
      <c r="AW25" s="331"/>
      <c r="AX25" s="331"/>
      <c r="AY25" s="332" t="s">
        <v>2476</v>
      </c>
      <c r="AZ25" s="332" t="s">
        <v>99</v>
      </c>
      <c r="BA25" s="332"/>
      <c r="BB25" s="332"/>
      <c r="BC25" s="332"/>
      <c r="BD25" s="332"/>
      <c r="BE25" s="332"/>
      <c r="BF25" s="332"/>
      <c r="BG25" s="332"/>
      <c r="BH25" s="332"/>
      <c r="BI25" s="332"/>
      <c r="BJ25" s="332"/>
      <c r="BK25" s="332"/>
      <c r="BL25" s="332"/>
      <c r="BM25" s="332"/>
      <c r="BN25" s="332"/>
      <c r="BO25" s="332"/>
      <c r="BP25" s="332"/>
      <c r="BQ25" s="332"/>
      <c r="BR25" s="332"/>
      <c r="BS25" s="332"/>
      <c r="BT25" s="332"/>
      <c r="BU25" s="332"/>
      <c r="BV25" s="332"/>
      <c r="BW25" s="332"/>
      <c r="BX25" s="332"/>
      <c r="BY25" s="332"/>
      <c r="BZ25" s="332"/>
      <c r="CA25" s="332"/>
      <c r="CB25" s="332"/>
      <c r="CC25" s="332"/>
      <c r="CD25" s="332"/>
      <c r="CE25" s="332"/>
      <c r="CF25" s="332"/>
      <c r="CG25" s="332"/>
      <c r="CH25" s="332"/>
      <c r="CI25" s="332"/>
      <c r="CJ25" s="332"/>
      <c r="CK25" s="332"/>
      <c r="CL25" s="332"/>
      <c r="CM25" s="332"/>
      <c r="CN25" s="332"/>
      <c r="CO25" s="332"/>
      <c r="CP25" s="333" t="s">
        <v>27</v>
      </c>
      <c r="CQ25" s="333" t="s">
        <v>99</v>
      </c>
      <c r="CR25" s="334">
        <v>-3.5495200000000002</v>
      </c>
      <c r="CS25" s="334">
        <v>-3.5495200000000002</v>
      </c>
      <c r="CT25" s="334">
        <v>-3.5495200000000002</v>
      </c>
      <c r="CU25" s="334">
        <v>-3.5495200000000002</v>
      </c>
      <c r="CV25" s="334">
        <v>-3.5495200000000002</v>
      </c>
      <c r="CW25" s="334">
        <v>-4.0095383333333334</v>
      </c>
      <c r="CX25" s="334">
        <v>-4.4695566666666666</v>
      </c>
      <c r="CY25" s="334">
        <v>-4.9295749999999998</v>
      </c>
      <c r="CZ25" s="334">
        <v>-5.389593333333333</v>
      </c>
      <c r="DA25" s="334">
        <v>-5.8496116666666662</v>
      </c>
      <c r="DB25" s="334">
        <v>-6.3096300000000003</v>
      </c>
      <c r="DC25" s="334">
        <v>-6.4118265133333336</v>
      </c>
      <c r="DD25" s="334">
        <v>-6.514023026666667</v>
      </c>
      <c r="DE25" s="334">
        <v>-6.6162195400000003</v>
      </c>
      <c r="DF25" s="334">
        <v>-6.7184160533333337</v>
      </c>
      <c r="DG25" s="334">
        <v>-6.820612566666667</v>
      </c>
      <c r="DH25" s="334">
        <v>-6.9228090800000004</v>
      </c>
      <c r="DI25" s="334">
        <v>-7.0250055933333337</v>
      </c>
      <c r="DJ25" s="334">
        <v>-7.1272021066666671</v>
      </c>
      <c r="DK25" s="334">
        <v>-7.2293986200000004</v>
      </c>
      <c r="DL25" s="334">
        <v>-7.3315951333333338</v>
      </c>
      <c r="DM25" s="334">
        <v>-7.4337916466666671</v>
      </c>
      <c r="DN25" s="334">
        <v>-7.5359881600000005</v>
      </c>
      <c r="DO25" s="334">
        <v>-7.6381846733333338</v>
      </c>
      <c r="DP25" s="334">
        <v>-7.7403811866666672</v>
      </c>
      <c r="DQ25" s="334">
        <v>-7.8425776999999997</v>
      </c>
      <c r="DR25" s="334">
        <v>-8.6022485772307391</v>
      </c>
      <c r="DS25" s="334">
        <v>-8.7961099060285051</v>
      </c>
      <c r="DT25" s="334">
        <v>-8.9899712348261573</v>
      </c>
      <c r="DU25" s="335">
        <v>-9.1838325636239233</v>
      </c>
      <c r="DV25" s="335">
        <v>-9.3776938924216324</v>
      </c>
      <c r="DW25" s="335">
        <v>-9.5715552212193415</v>
      </c>
      <c r="DX25" s="198">
        <v>-9.3776938924216324</v>
      </c>
      <c r="DY25" s="198">
        <v>-9.3776938924216324</v>
      </c>
      <c r="DZ25" s="198">
        <v>-9.3776938924216324</v>
      </c>
      <c r="EA25" s="198">
        <v>0.19386132879770912</v>
      </c>
      <c r="EB25" s="198">
        <v>-7.2549999999999999</v>
      </c>
      <c r="EC25" s="198">
        <v>-7.2549999999999999</v>
      </c>
      <c r="ED25" s="198">
        <v>-7.2549999999999999</v>
      </c>
      <c r="EE25" s="198">
        <v>-7.2549999999999999</v>
      </c>
      <c r="EF25" s="198">
        <v>2.3165552212193417</v>
      </c>
      <c r="EG25" s="198">
        <v>2.1226938924216325</v>
      </c>
      <c r="EH25" s="198">
        <v>-10.049063336389221</v>
      </c>
      <c r="EI25" s="336">
        <f t="shared" si="0"/>
        <v>-8.6829479963418645</v>
      </c>
      <c r="EJ25" s="336">
        <f>EI25-'[13]FAOSTAT21 CO2'!EH25</f>
        <v>-7.3650160963418649</v>
      </c>
    </row>
    <row r="26" spans="1:140" x14ac:dyDescent="0.25">
      <c r="A26" s="31">
        <v>6</v>
      </c>
      <c r="B26" s="31" t="s">
        <v>100</v>
      </c>
      <c r="C26" s="31">
        <v>19</v>
      </c>
      <c r="D26" s="31">
        <v>0</v>
      </c>
      <c r="E26" s="31">
        <v>0</v>
      </c>
      <c r="F26" s="31">
        <v>0</v>
      </c>
      <c r="G26" s="31">
        <v>0</v>
      </c>
      <c r="H26" s="331" t="s">
        <v>2475</v>
      </c>
      <c r="I26" s="331" t="s">
        <v>101</v>
      </c>
      <c r="J26" s="331"/>
      <c r="K26" s="331"/>
      <c r="L26" s="331"/>
      <c r="M26" s="331"/>
      <c r="N26" s="331"/>
      <c r="O26" s="331"/>
      <c r="P26" s="331"/>
      <c r="Q26" s="331"/>
      <c r="R26" s="331"/>
      <c r="S26" s="331"/>
      <c r="T26" s="331"/>
      <c r="U26" s="331"/>
      <c r="V26" s="331"/>
      <c r="W26" s="331"/>
      <c r="X26" s="331"/>
      <c r="Y26" s="331"/>
      <c r="Z26" s="331"/>
      <c r="AA26" s="331"/>
      <c r="AB26" s="331"/>
      <c r="AC26" s="331"/>
      <c r="AD26" s="331"/>
      <c r="AE26" s="331"/>
      <c r="AF26" s="331"/>
      <c r="AG26" s="331"/>
      <c r="AH26" s="331"/>
      <c r="AI26" s="331"/>
      <c r="AJ26" s="331"/>
      <c r="AK26" s="331"/>
      <c r="AL26" s="331"/>
      <c r="AM26" s="331"/>
      <c r="AN26" s="331"/>
      <c r="AO26" s="331"/>
      <c r="AP26" s="331"/>
      <c r="AQ26" s="331"/>
      <c r="AR26" s="331"/>
      <c r="AS26" s="331"/>
      <c r="AT26" s="331"/>
      <c r="AU26" s="331"/>
      <c r="AV26" s="331"/>
      <c r="AW26" s="331"/>
      <c r="AX26" s="331"/>
      <c r="AY26" s="332" t="s">
        <v>2476</v>
      </c>
      <c r="AZ26" s="332" t="s">
        <v>101</v>
      </c>
      <c r="BA26" s="332"/>
      <c r="BB26" s="332"/>
      <c r="BC26" s="332"/>
      <c r="BD26" s="332"/>
      <c r="BE26" s="332"/>
      <c r="BF26" s="332"/>
      <c r="BG26" s="332"/>
      <c r="BH26" s="332"/>
      <c r="BI26" s="332"/>
      <c r="BJ26" s="332"/>
      <c r="BK26" s="332"/>
      <c r="BL26" s="332"/>
      <c r="BM26" s="332"/>
      <c r="BN26" s="332"/>
      <c r="BO26" s="332"/>
      <c r="BP26" s="332"/>
      <c r="BQ26" s="332"/>
      <c r="BR26" s="332"/>
      <c r="BS26" s="332"/>
      <c r="BT26" s="332"/>
      <c r="BU26" s="332"/>
      <c r="BV26" s="332"/>
      <c r="BW26" s="332"/>
      <c r="BX26" s="332"/>
      <c r="BY26" s="332"/>
      <c r="BZ26" s="332"/>
      <c r="CA26" s="332"/>
      <c r="CB26" s="332"/>
      <c r="CC26" s="332"/>
      <c r="CD26" s="332"/>
      <c r="CE26" s="332"/>
      <c r="CF26" s="332"/>
      <c r="CG26" s="332"/>
      <c r="CH26" s="332"/>
      <c r="CI26" s="332"/>
      <c r="CJ26" s="332"/>
      <c r="CK26" s="332"/>
      <c r="CL26" s="332"/>
      <c r="CM26" s="332"/>
      <c r="CN26" s="332"/>
      <c r="CO26" s="332"/>
      <c r="CP26" s="333" t="s">
        <v>27</v>
      </c>
      <c r="CQ26" s="333" t="s">
        <v>101</v>
      </c>
      <c r="CR26" s="334">
        <v>-11.884230000000001</v>
      </c>
      <c r="CS26" s="334">
        <v>-11.884230000000001</v>
      </c>
      <c r="CT26" s="334">
        <v>-11.884230000000001</v>
      </c>
      <c r="CU26" s="334">
        <v>-11.884230000000001</v>
      </c>
      <c r="CV26" s="334">
        <v>-11.884230000000001</v>
      </c>
      <c r="CW26" s="334">
        <v>-11.884230000000001</v>
      </c>
      <c r="CX26" s="334">
        <v>-11.884230000000001</v>
      </c>
      <c r="CY26" s="334">
        <v>-11.884230000000001</v>
      </c>
      <c r="CZ26" s="334">
        <v>-11.884230000000001</v>
      </c>
      <c r="DA26" s="334">
        <v>-11.884230000000001</v>
      </c>
      <c r="DB26" s="334">
        <v>-11.884230000000001</v>
      </c>
      <c r="DC26" s="334">
        <v>-11.884230000000001</v>
      </c>
      <c r="DD26" s="334">
        <v>-11.884230000000001</v>
      </c>
      <c r="DE26" s="334">
        <v>-11.884230000000001</v>
      </c>
      <c r="DF26" s="334">
        <v>-11.884230000000001</v>
      </c>
      <c r="DG26" s="334">
        <v>-11.884230000000001</v>
      </c>
      <c r="DH26" s="334">
        <v>-11.884230000000001</v>
      </c>
      <c r="DI26" s="334">
        <v>-15.956975</v>
      </c>
      <c r="DJ26" s="334">
        <v>-20.029720000000001</v>
      </c>
      <c r="DK26" s="334">
        <v>-14.385038333333284</v>
      </c>
      <c r="DL26" s="334">
        <v>-14.570812666666654</v>
      </c>
      <c r="DM26" s="334">
        <v>-14.756586999999968</v>
      </c>
      <c r="DN26" s="334">
        <v>-14.942361333333281</v>
      </c>
      <c r="DO26" s="334">
        <v>-15.128135666666651</v>
      </c>
      <c r="DP26" s="334">
        <v>-15.313910000000021</v>
      </c>
      <c r="DQ26" s="334">
        <v>-15.499684333333335</v>
      </c>
      <c r="DR26" s="334">
        <v>-15.685458666666648</v>
      </c>
      <c r="DS26" s="334">
        <v>-15.871233000000018</v>
      </c>
      <c r="DT26" s="334">
        <v>-16.057007333333331</v>
      </c>
      <c r="DU26" s="335">
        <v>-16.242781666666644</v>
      </c>
      <c r="DV26" s="335">
        <v>-16.428555999999958</v>
      </c>
      <c r="DW26" s="335">
        <v>-16.614330333333328</v>
      </c>
      <c r="DX26" s="198">
        <v>-16.428555999999958</v>
      </c>
      <c r="DY26" s="198">
        <v>-55.428555999999958</v>
      </c>
      <c r="DZ26" s="198">
        <v>-55.428555999999958</v>
      </c>
      <c r="EA26" s="198">
        <v>-38.81422566666663</v>
      </c>
      <c r="EB26" s="198">
        <v>-16.428555999999958</v>
      </c>
      <c r="EC26" s="198">
        <v>-16.428555999999958</v>
      </c>
      <c r="ED26" s="198">
        <v>-16.428555999999958</v>
      </c>
      <c r="EE26" s="198">
        <v>-16.428555999999958</v>
      </c>
      <c r="EF26" s="198">
        <v>0.18577433333337012</v>
      </c>
      <c r="EG26" s="198">
        <v>39</v>
      </c>
      <c r="EH26" s="198">
        <v>-20.676427107572291</v>
      </c>
      <c r="EI26" s="336">
        <f t="shared" si="0"/>
        <v>-15.871232999999995</v>
      </c>
      <c r="EJ26" s="336">
        <f>EI26-'[13]FAOSTAT21 CO2'!EH26</f>
        <v>-81.732513299999994</v>
      </c>
    </row>
    <row r="27" spans="1:140" x14ac:dyDescent="0.25">
      <c r="A27" s="31">
        <v>12</v>
      </c>
      <c r="B27" s="31" t="s">
        <v>102</v>
      </c>
      <c r="C27" s="31">
        <v>20</v>
      </c>
      <c r="D27" s="31">
        <v>0</v>
      </c>
      <c r="E27" s="31">
        <v>0</v>
      </c>
      <c r="F27" s="31">
        <v>0</v>
      </c>
      <c r="G27" s="31">
        <v>0</v>
      </c>
      <c r="H27" s="331" t="s">
        <v>2475</v>
      </c>
      <c r="I27" s="331" t="s">
        <v>103</v>
      </c>
      <c r="J27" s="331"/>
      <c r="K27" s="331"/>
      <c r="L27" s="331"/>
      <c r="M27" s="331"/>
      <c r="N27" s="331"/>
      <c r="O27" s="331"/>
      <c r="P27" s="331"/>
      <c r="Q27" s="331"/>
      <c r="R27" s="331"/>
      <c r="S27" s="331"/>
      <c r="T27" s="331"/>
      <c r="U27" s="331"/>
      <c r="V27" s="331"/>
      <c r="W27" s="331"/>
      <c r="X27" s="331"/>
      <c r="Y27" s="331"/>
      <c r="Z27" s="331"/>
      <c r="AA27" s="331"/>
      <c r="AB27" s="331"/>
      <c r="AC27" s="331"/>
      <c r="AD27" s="331"/>
      <c r="AE27" s="331"/>
      <c r="AF27" s="331"/>
      <c r="AG27" s="331"/>
      <c r="AH27" s="331"/>
      <c r="AI27" s="331"/>
      <c r="AJ27" s="331"/>
      <c r="AK27" s="331"/>
      <c r="AL27" s="331"/>
      <c r="AM27" s="331"/>
      <c r="AN27" s="331"/>
      <c r="AO27" s="331"/>
      <c r="AP27" s="331"/>
      <c r="AQ27" s="331"/>
      <c r="AR27" s="331"/>
      <c r="AS27" s="331"/>
      <c r="AT27" s="331"/>
      <c r="AU27" s="331"/>
      <c r="AV27" s="331"/>
      <c r="AW27" s="331"/>
      <c r="AX27" s="331"/>
      <c r="AY27" s="332" t="s">
        <v>2476</v>
      </c>
      <c r="AZ27" s="332" t="s">
        <v>103</v>
      </c>
      <c r="BA27" s="332"/>
      <c r="BB27" s="332"/>
      <c r="BC27" s="332"/>
      <c r="BD27" s="332"/>
      <c r="BE27" s="332"/>
      <c r="BF27" s="332"/>
      <c r="BG27" s="332"/>
      <c r="BH27" s="332"/>
      <c r="BI27" s="332"/>
      <c r="BJ27" s="332"/>
      <c r="BK27" s="332"/>
      <c r="BL27" s="332"/>
      <c r="BM27" s="332"/>
      <c r="BN27" s="332"/>
      <c r="BO27" s="332"/>
      <c r="BP27" s="332"/>
      <c r="BQ27" s="332"/>
      <c r="BR27" s="332"/>
      <c r="BS27" s="332"/>
      <c r="BT27" s="332"/>
      <c r="BU27" s="332"/>
      <c r="BV27" s="332"/>
      <c r="BW27" s="332"/>
      <c r="BX27" s="332"/>
      <c r="BY27" s="332"/>
      <c r="BZ27" s="332"/>
      <c r="CA27" s="332"/>
      <c r="CB27" s="332"/>
      <c r="CC27" s="332"/>
      <c r="CD27" s="332"/>
      <c r="CE27" s="332"/>
      <c r="CF27" s="332"/>
      <c r="CG27" s="332"/>
      <c r="CH27" s="332"/>
      <c r="CI27" s="332"/>
      <c r="CJ27" s="332"/>
      <c r="CK27" s="332"/>
      <c r="CL27" s="332"/>
      <c r="CM27" s="332"/>
      <c r="CN27" s="332"/>
      <c r="CO27" s="332"/>
      <c r="CP27" s="333" t="s">
        <v>27</v>
      </c>
      <c r="CQ27" s="333" t="s">
        <v>103</v>
      </c>
      <c r="CR27" s="334">
        <v>-7.4235299999999995</v>
      </c>
      <c r="CS27" s="334">
        <v>-7.4288695652173908</v>
      </c>
      <c r="CT27" s="334">
        <v>-7.4342091304347822</v>
      </c>
      <c r="CU27" s="334">
        <v>-7.4395486956521735</v>
      </c>
      <c r="CV27" s="334">
        <v>-7.4448882608695648</v>
      </c>
      <c r="CW27" s="334">
        <v>-7.4502278260869561</v>
      </c>
      <c r="CX27" s="334">
        <v>-7.4555673913043474</v>
      </c>
      <c r="CY27" s="334">
        <v>-7.4609069565217387</v>
      </c>
      <c r="CZ27" s="334">
        <v>-7.4662465217391301</v>
      </c>
      <c r="DA27" s="334">
        <v>-7.4715860869565214</v>
      </c>
      <c r="DB27" s="334">
        <v>-7.4769256521739127</v>
      </c>
      <c r="DC27" s="334">
        <v>-7.482265217391304</v>
      </c>
      <c r="DD27" s="334">
        <v>-7.4876047826086953</v>
      </c>
      <c r="DE27" s="334">
        <v>-7.4929443478260866</v>
      </c>
      <c r="DF27" s="334">
        <v>-7.498283913043478</v>
      </c>
      <c r="DG27" s="334">
        <v>-7.5036234782608693</v>
      </c>
      <c r="DH27" s="334">
        <v>-7.5089630434782606</v>
      </c>
      <c r="DI27" s="334">
        <v>-7.5143026086956519</v>
      </c>
      <c r="DJ27" s="334">
        <v>-7.5196421739130432</v>
      </c>
      <c r="DK27" s="334">
        <v>-7.5249817391304346</v>
      </c>
      <c r="DL27" s="334">
        <v>-7.5303213043478259</v>
      </c>
      <c r="DM27" s="334">
        <v>-7.5356608695652172</v>
      </c>
      <c r="DN27" s="334">
        <v>-7.5463399999999998</v>
      </c>
      <c r="DO27" s="334">
        <v>-6.141</v>
      </c>
      <c r="DP27" s="334">
        <v>-6.3976699999999997</v>
      </c>
      <c r="DQ27" s="334">
        <v>-6.1405600000000007</v>
      </c>
      <c r="DR27" s="334">
        <v>-5.8815600000000003</v>
      </c>
      <c r="DS27" s="334">
        <v>-5.8440900000000005</v>
      </c>
      <c r="DT27" s="334">
        <v>-5.8318999999999992</v>
      </c>
      <c r="DU27" s="335">
        <v>-6.4757642696508952</v>
      </c>
      <c r="DV27" s="335">
        <v>-6.4285526472477983</v>
      </c>
      <c r="DW27" s="335">
        <v>-6.3813410248447298</v>
      </c>
      <c r="DX27" s="198">
        <v>-6.4285526472477983</v>
      </c>
      <c r="DY27" s="198">
        <v>-9.2999999999999999E-2</v>
      </c>
      <c r="DZ27" s="198">
        <v>-9.2999999999999999E-2</v>
      </c>
      <c r="EA27" s="198">
        <v>6.2883410248447298</v>
      </c>
      <c r="EB27" s="198">
        <v>-6.4285526472477983</v>
      </c>
      <c r="EC27" s="198">
        <v>-6.4285526472477983</v>
      </c>
      <c r="ED27" s="198">
        <v>-6.4285526472477983</v>
      </c>
      <c r="EE27" s="198">
        <v>-6.4285526472477983</v>
      </c>
      <c r="EF27" s="198">
        <v>-4.7211622403068532E-2</v>
      </c>
      <c r="EG27" s="198">
        <v>-6.3355526472477983</v>
      </c>
      <c r="EH27" s="198">
        <v>-5.8219164427136807</v>
      </c>
      <c r="EI27" s="336">
        <f t="shared" si="0"/>
        <v>-6.0347748539301787</v>
      </c>
      <c r="EJ27" s="336">
        <f>EI27-'[13]FAOSTAT21 CO2'!EH27</f>
        <v>-3.9026920539301786</v>
      </c>
    </row>
    <row r="28" spans="1:140" x14ac:dyDescent="0.25">
      <c r="A28" s="31">
        <v>26</v>
      </c>
      <c r="B28" s="31" t="s">
        <v>104</v>
      </c>
      <c r="C28" s="31">
        <v>21</v>
      </c>
      <c r="D28" s="31">
        <v>0</v>
      </c>
      <c r="E28" s="31">
        <v>0</v>
      </c>
      <c r="F28" s="31">
        <v>0</v>
      </c>
      <c r="G28" s="31">
        <v>0</v>
      </c>
      <c r="H28" s="331" t="s">
        <v>2475</v>
      </c>
      <c r="I28" s="331" t="s">
        <v>105</v>
      </c>
      <c r="J28" s="331"/>
      <c r="K28" s="331"/>
      <c r="L28" s="331"/>
      <c r="M28" s="331"/>
      <c r="N28" s="331"/>
      <c r="O28" s="331"/>
      <c r="P28" s="331"/>
      <c r="Q28" s="331"/>
      <c r="R28" s="331"/>
      <c r="S28" s="331"/>
      <c r="T28" s="331"/>
      <c r="U28" s="331"/>
      <c r="V28" s="331"/>
      <c r="W28" s="331"/>
      <c r="X28" s="331"/>
      <c r="Y28" s="331"/>
      <c r="Z28" s="331"/>
      <c r="AA28" s="331"/>
      <c r="AB28" s="331"/>
      <c r="AC28" s="331"/>
      <c r="AD28" s="331"/>
      <c r="AE28" s="331"/>
      <c r="AF28" s="331"/>
      <c r="AG28" s="331"/>
      <c r="AH28" s="331"/>
      <c r="AI28" s="331"/>
      <c r="AJ28" s="331"/>
      <c r="AK28" s="331"/>
      <c r="AL28" s="331"/>
      <c r="AM28" s="331"/>
      <c r="AN28" s="331"/>
      <c r="AO28" s="331"/>
      <c r="AP28" s="331"/>
      <c r="AQ28" s="331"/>
      <c r="AR28" s="331"/>
      <c r="AS28" s="331"/>
      <c r="AT28" s="331"/>
      <c r="AU28" s="331"/>
      <c r="AV28" s="331"/>
      <c r="AW28" s="331"/>
      <c r="AX28" s="331"/>
      <c r="AY28" s="332" t="s">
        <v>2476</v>
      </c>
      <c r="AZ28" s="332" t="s">
        <v>105</v>
      </c>
      <c r="BA28" s="332"/>
      <c r="BB28" s="332"/>
      <c r="BC28" s="332"/>
      <c r="BD28" s="332"/>
      <c r="BE28" s="332"/>
      <c r="BF28" s="332"/>
      <c r="BG28" s="332"/>
      <c r="BH28" s="332"/>
      <c r="BI28" s="332"/>
      <c r="BJ28" s="332"/>
      <c r="BK28" s="332"/>
      <c r="BL28" s="332"/>
      <c r="BM28" s="332"/>
      <c r="BN28" s="332"/>
      <c r="BO28" s="332"/>
      <c r="BP28" s="332"/>
      <c r="BQ28" s="332"/>
      <c r="BR28" s="332"/>
      <c r="BS28" s="332"/>
      <c r="BT28" s="332"/>
      <c r="BU28" s="332"/>
      <c r="BV28" s="332"/>
      <c r="BW28" s="332"/>
      <c r="BX28" s="332"/>
      <c r="BY28" s="332"/>
      <c r="BZ28" s="332"/>
      <c r="CA28" s="332"/>
      <c r="CB28" s="332"/>
      <c r="CC28" s="332"/>
      <c r="CD28" s="332"/>
      <c r="CE28" s="332"/>
      <c r="CF28" s="332"/>
      <c r="CG28" s="332"/>
      <c r="CH28" s="332"/>
      <c r="CI28" s="332"/>
      <c r="CJ28" s="332"/>
      <c r="CK28" s="332"/>
      <c r="CL28" s="332"/>
      <c r="CM28" s="332"/>
      <c r="CN28" s="332"/>
      <c r="CO28" s="332"/>
      <c r="CP28" s="333" t="s">
        <v>27</v>
      </c>
      <c r="CQ28" s="333" t="s">
        <v>105</v>
      </c>
      <c r="CR28" s="334">
        <v>-38.733601</v>
      </c>
      <c r="CS28" s="334">
        <v>-38.733601</v>
      </c>
      <c r="CT28" s="334">
        <v>-38.733601</v>
      </c>
      <c r="CU28" s="334">
        <v>-38.733601</v>
      </c>
      <c r="CV28" s="334">
        <v>-38.733601</v>
      </c>
      <c r="CW28" s="334">
        <v>-39.434834166666668</v>
      </c>
      <c r="CX28" s="334">
        <v>-40.136067333333337</v>
      </c>
      <c r="CY28" s="334">
        <v>-40.837300500000005</v>
      </c>
      <c r="CZ28" s="334">
        <v>-41.538533666666673</v>
      </c>
      <c r="DA28" s="334">
        <v>-42.239766833333341</v>
      </c>
      <c r="DB28" s="334">
        <v>-42.941000000000003</v>
      </c>
      <c r="DC28" s="334">
        <v>-41.912966304133334</v>
      </c>
      <c r="DD28" s="334">
        <v>-40.884932608266666</v>
      </c>
      <c r="DE28" s="334">
        <v>-39.856898912399998</v>
      </c>
      <c r="DF28" s="334">
        <v>-38.82886521653333</v>
      </c>
      <c r="DG28" s="334">
        <v>-37.800831520666662</v>
      </c>
      <c r="DH28" s="334">
        <v>-36.772797824799994</v>
      </c>
      <c r="DI28" s="334">
        <v>-35.744764128933326</v>
      </c>
      <c r="DJ28" s="334">
        <v>-34.716730433066658</v>
      </c>
      <c r="DK28" s="334">
        <v>-33.68869673719999</v>
      </c>
      <c r="DL28" s="334">
        <v>-32.660663041333322</v>
      </c>
      <c r="DM28" s="334">
        <v>-31.632629345466654</v>
      </c>
      <c r="DN28" s="334">
        <v>-30.604595649599986</v>
      </c>
      <c r="DO28" s="334">
        <v>-29.576561953733318</v>
      </c>
      <c r="DP28" s="334">
        <v>-28.54852825786665</v>
      </c>
      <c r="DQ28" s="334">
        <v>-27.520494562</v>
      </c>
      <c r="DR28" s="334">
        <v>-30.700102534941607</v>
      </c>
      <c r="DS28" s="334">
        <v>-30.234735588823355</v>
      </c>
      <c r="DT28" s="334">
        <v>-29.76936864270499</v>
      </c>
      <c r="DU28" s="335">
        <v>-29.304001696586738</v>
      </c>
      <c r="DV28" s="335">
        <v>-28.838634750468373</v>
      </c>
      <c r="DW28" s="335">
        <v>-28.373267804350121</v>
      </c>
      <c r="DX28" s="198">
        <v>-28.838634750468373</v>
      </c>
      <c r="DY28" s="198">
        <v>-28.838634750468373</v>
      </c>
      <c r="DZ28" s="198">
        <v>-28.838634750468373</v>
      </c>
      <c r="EA28" s="198">
        <v>-0.46536694611825169</v>
      </c>
      <c r="EB28" s="198">
        <v>-28.838634750468373</v>
      </c>
      <c r="EC28" s="198">
        <v>-28.838634750468373</v>
      </c>
      <c r="ED28" s="198">
        <v>-28.838634750468373</v>
      </c>
      <c r="EE28" s="198">
        <v>-28.838634750468373</v>
      </c>
      <c r="EF28" s="198">
        <v>-0.46536694611825169</v>
      </c>
      <c r="EG28" s="198">
        <v>0</v>
      </c>
      <c r="EH28" s="198">
        <v>-34.556281271144755</v>
      </c>
      <c r="EI28" s="336">
        <f t="shared" si="0"/>
        <v>-29.50574060501134</v>
      </c>
      <c r="EJ28" s="336">
        <f>EI28-'[13]FAOSTAT21 CO2'!EH28</f>
        <v>-70.83477022501134</v>
      </c>
    </row>
    <row r="29" spans="1:140" x14ac:dyDescent="0.25">
      <c r="A29" s="31">
        <v>5</v>
      </c>
      <c r="B29" s="31" t="s">
        <v>106</v>
      </c>
      <c r="C29" s="31">
        <v>22</v>
      </c>
      <c r="D29" s="31">
        <v>0</v>
      </c>
      <c r="E29" s="31">
        <v>1</v>
      </c>
      <c r="F29" s="31">
        <v>0</v>
      </c>
      <c r="G29" s="31">
        <v>1</v>
      </c>
      <c r="H29" s="331" t="s">
        <v>2475</v>
      </c>
      <c r="I29" s="331" t="s">
        <v>107</v>
      </c>
      <c r="J29" s="331"/>
      <c r="K29" s="331"/>
      <c r="L29" s="331"/>
      <c r="M29" s="331"/>
      <c r="N29" s="331"/>
      <c r="O29" s="331"/>
      <c r="P29" s="331"/>
      <c r="Q29" s="331"/>
      <c r="R29" s="331"/>
      <c r="S29" s="331"/>
      <c r="T29" s="331"/>
      <c r="U29" s="331"/>
      <c r="V29" s="331"/>
      <c r="W29" s="331"/>
      <c r="X29" s="331"/>
      <c r="Y29" s="331"/>
      <c r="Z29" s="331"/>
      <c r="AA29" s="331"/>
      <c r="AB29" s="331"/>
      <c r="AC29" s="331"/>
      <c r="AD29" s="331"/>
      <c r="AE29" s="331"/>
      <c r="AF29" s="331"/>
      <c r="AG29" s="331"/>
      <c r="AH29" s="331"/>
      <c r="AI29" s="331"/>
      <c r="AJ29" s="331"/>
      <c r="AK29" s="331"/>
      <c r="AL29" s="331"/>
      <c r="AM29" s="331"/>
      <c r="AN29" s="331"/>
      <c r="AO29" s="331"/>
      <c r="AP29" s="331"/>
      <c r="AQ29" s="331"/>
      <c r="AR29" s="331"/>
      <c r="AS29" s="331"/>
      <c r="AT29" s="331"/>
      <c r="AU29" s="331"/>
      <c r="AV29" s="331"/>
      <c r="AW29" s="331"/>
      <c r="AX29" s="331"/>
      <c r="AY29" s="332" t="s">
        <v>2476</v>
      </c>
      <c r="AZ29" s="332" t="s">
        <v>107</v>
      </c>
      <c r="BA29" s="332"/>
      <c r="BB29" s="332"/>
      <c r="BC29" s="332"/>
      <c r="BD29" s="332"/>
      <c r="BE29" s="332"/>
      <c r="BF29" s="332"/>
      <c r="BG29" s="332"/>
      <c r="BH29" s="332"/>
      <c r="BI29" s="332"/>
      <c r="BJ29" s="332"/>
      <c r="BK29" s="332"/>
      <c r="BL29" s="332"/>
      <c r="BM29" s="332"/>
      <c r="BN29" s="332"/>
      <c r="BO29" s="332"/>
      <c r="BP29" s="332"/>
      <c r="BQ29" s="332"/>
      <c r="BR29" s="332"/>
      <c r="BS29" s="332"/>
      <c r="BT29" s="332"/>
      <c r="BU29" s="332"/>
      <c r="BV29" s="332"/>
      <c r="BW29" s="332"/>
      <c r="BX29" s="332"/>
      <c r="BY29" s="332"/>
      <c r="BZ29" s="332"/>
      <c r="CA29" s="332"/>
      <c r="CB29" s="332"/>
      <c r="CC29" s="332"/>
      <c r="CD29" s="332"/>
      <c r="CE29" s="332"/>
      <c r="CF29" s="332"/>
      <c r="CG29" s="332"/>
      <c r="CH29" s="332"/>
      <c r="CI29" s="332"/>
      <c r="CJ29" s="332"/>
      <c r="CK29" s="332"/>
      <c r="CL29" s="332"/>
      <c r="CM29" s="332"/>
      <c r="CN29" s="332"/>
      <c r="CO29" s="332"/>
      <c r="CP29" s="333" t="s">
        <v>27</v>
      </c>
      <c r="CQ29" s="333" t="s">
        <v>107</v>
      </c>
      <c r="CR29" s="334">
        <v>799.77885000000015</v>
      </c>
      <c r="CS29" s="334">
        <v>662.57815000000005</v>
      </c>
      <c r="CT29" s="334">
        <v>806.30669999999998</v>
      </c>
      <c r="CU29" s="334">
        <v>868.27410000000009</v>
      </c>
      <c r="CV29" s="334">
        <v>868.2594499999999</v>
      </c>
      <c r="CW29" s="334">
        <v>1865.1514499999998</v>
      </c>
      <c r="CX29" s="334">
        <v>1187.68705</v>
      </c>
      <c r="CY29" s="334">
        <v>882.46134999999992</v>
      </c>
      <c r="CZ29" s="334">
        <v>1140.73335</v>
      </c>
      <c r="DA29" s="334">
        <v>1132.7393</v>
      </c>
      <c r="DB29" s="334">
        <v>1194.56</v>
      </c>
      <c r="DC29" s="334">
        <v>1190.23505</v>
      </c>
      <c r="DD29" s="334">
        <v>1408.8722999999998</v>
      </c>
      <c r="DE29" s="334">
        <v>2327.2557499999998</v>
      </c>
      <c r="DF29" s="334">
        <v>2525.6668999999997</v>
      </c>
      <c r="DG29" s="334">
        <v>1533.4318499999999</v>
      </c>
      <c r="DH29" s="334">
        <v>1119.0682000000002</v>
      </c>
      <c r="DI29" s="334">
        <v>824.85654999999997</v>
      </c>
      <c r="DJ29" s="334">
        <v>929.41280000000006</v>
      </c>
      <c r="DK29" s="334">
        <v>320.78834999999998</v>
      </c>
      <c r="DL29" s="334">
        <v>284.20415000000003</v>
      </c>
      <c r="DM29" s="334">
        <v>197.21115</v>
      </c>
      <c r="DN29" s="334">
        <v>63.991750000000003</v>
      </c>
      <c r="DO29" s="334">
        <v>253.65979999999999</v>
      </c>
      <c r="DP29" s="334">
        <v>121.58150000000001</v>
      </c>
      <c r="DQ29" s="334">
        <v>236.00580000000002</v>
      </c>
      <c r="DR29" s="334">
        <v>294.44009999999997</v>
      </c>
      <c r="DS29" s="334">
        <v>445.71869928775413</v>
      </c>
      <c r="DT29" s="334">
        <v>411.31444831094996</v>
      </c>
      <c r="DU29" s="335">
        <v>376.91019733416033</v>
      </c>
      <c r="DV29" s="335">
        <v>342.50594635735615</v>
      </c>
      <c r="DW29" s="335">
        <v>308.10169538055197</v>
      </c>
      <c r="DX29" s="198">
        <v>338</v>
      </c>
      <c r="DY29" s="198">
        <v>-15</v>
      </c>
      <c r="DZ29" s="198">
        <v>-15</v>
      </c>
      <c r="EA29" s="198">
        <v>-323.10169538055197</v>
      </c>
      <c r="EB29" s="198">
        <v>342.50594635735615</v>
      </c>
      <c r="EC29" s="198">
        <v>-15</v>
      </c>
      <c r="ED29" s="198">
        <v>342.50594635735615</v>
      </c>
      <c r="EE29" s="198">
        <v>-15</v>
      </c>
      <c r="EF29" s="198">
        <v>-323.10169538055197</v>
      </c>
      <c r="EG29" s="198">
        <v>0</v>
      </c>
      <c r="EH29" s="198">
        <v>596.41523221459602</v>
      </c>
      <c r="EI29" s="336">
        <f t="shared" si="0"/>
        <v>352.87784898657287</v>
      </c>
      <c r="EJ29" s="336">
        <f>EI29-'[13]FAOSTAT21 CO2'!EH29</f>
        <v>-6.962126573427156</v>
      </c>
    </row>
    <row r="30" spans="1:140" x14ac:dyDescent="0.25">
      <c r="A30" s="31">
        <v>21</v>
      </c>
      <c r="B30" s="31" t="s">
        <v>108</v>
      </c>
      <c r="C30" s="31">
        <v>26</v>
      </c>
      <c r="D30" s="31">
        <v>0</v>
      </c>
      <c r="E30" s="31">
        <v>0</v>
      </c>
      <c r="F30" s="31">
        <v>0</v>
      </c>
      <c r="G30" s="31">
        <v>0</v>
      </c>
      <c r="H30" s="331" t="s">
        <v>2475</v>
      </c>
      <c r="I30" s="331" t="s">
        <v>109</v>
      </c>
      <c r="J30" s="331"/>
      <c r="K30" s="331"/>
      <c r="L30" s="331"/>
      <c r="M30" s="331"/>
      <c r="N30" s="331"/>
      <c r="O30" s="331"/>
      <c r="P30" s="331"/>
      <c r="Q30" s="331"/>
      <c r="R30" s="331"/>
      <c r="S30" s="331"/>
      <c r="T30" s="331"/>
      <c r="U30" s="331"/>
      <c r="V30" s="331"/>
      <c r="W30" s="331"/>
      <c r="X30" s="331"/>
      <c r="Y30" s="331"/>
      <c r="Z30" s="331"/>
      <c r="AA30" s="331"/>
      <c r="AB30" s="331"/>
      <c r="AC30" s="331"/>
      <c r="AD30" s="331"/>
      <c r="AE30" s="331"/>
      <c r="AF30" s="331"/>
      <c r="AG30" s="331"/>
      <c r="AH30" s="331"/>
      <c r="AI30" s="331"/>
      <c r="AJ30" s="331"/>
      <c r="AK30" s="331"/>
      <c r="AL30" s="331"/>
      <c r="AM30" s="331"/>
      <c r="AN30" s="331"/>
      <c r="AO30" s="331"/>
      <c r="AP30" s="331"/>
      <c r="AQ30" s="331"/>
      <c r="AR30" s="331"/>
      <c r="AS30" s="331"/>
      <c r="AT30" s="331"/>
      <c r="AU30" s="331"/>
      <c r="AV30" s="331"/>
      <c r="AW30" s="331"/>
      <c r="AX30" s="331"/>
      <c r="AY30" s="332" t="s">
        <v>2476</v>
      </c>
      <c r="AZ30" s="332" t="s">
        <v>109</v>
      </c>
      <c r="BA30" s="332"/>
      <c r="BB30" s="332"/>
      <c r="BC30" s="332"/>
      <c r="BD30" s="332"/>
      <c r="BE30" s="332"/>
      <c r="BF30" s="332"/>
      <c r="BG30" s="332"/>
      <c r="BH30" s="332"/>
      <c r="BI30" s="332"/>
      <c r="BJ30" s="332"/>
      <c r="BK30" s="332"/>
      <c r="BL30" s="332"/>
      <c r="BM30" s="332"/>
      <c r="BN30" s="332"/>
      <c r="BO30" s="332"/>
      <c r="BP30" s="332"/>
      <c r="BQ30" s="332"/>
      <c r="BR30" s="332"/>
      <c r="BS30" s="332"/>
      <c r="BT30" s="332"/>
      <c r="BU30" s="332"/>
      <c r="BV30" s="332"/>
      <c r="BW30" s="332"/>
      <c r="BX30" s="332"/>
      <c r="BY30" s="332"/>
      <c r="BZ30" s="332"/>
      <c r="CA30" s="332"/>
      <c r="CB30" s="332"/>
      <c r="CC30" s="332"/>
      <c r="CD30" s="332"/>
      <c r="CE30" s="332"/>
      <c r="CF30" s="332"/>
      <c r="CG30" s="332"/>
      <c r="CH30" s="332"/>
      <c r="CI30" s="332"/>
      <c r="CJ30" s="332"/>
      <c r="CK30" s="332"/>
      <c r="CL30" s="332"/>
      <c r="CM30" s="332"/>
      <c r="CN30" s="332"/>
      <c r="CO30" s="332"/>
      <c r="CP30" s="333" t="s">
        <v>27</v>
      </c>
      <c r="CQ30" s="333" t="s">
        <v>109</v>
      </c>
      <c r="CR30" s="334">
        <v>-2.7364000000000002</v>
      </c>
      <c r="CS30" s="334">
        <v>-2.7364000000000002</v>
      </c>
      <c r="CT30" s="334">
        <v>-2.7364000000000002</v>
      </c>
      <c r="CU30" s="334">
        <v>-2.7364000000000002</v>
      </c>
      <c r="CV30" s="334">
        <v>-2.7364000000000002</v>
      </c>
      <c r="CW30" s="334">
        <v>-2.7364000000000002</v>
      </c>
      <c r="CX30" s="334">
        <v>-2.7364000000000002</v>
      </c>
      <c r="CY30" s="334">
        <v>-2.7364000000000002</v>
      </c>
      <c r="CZ30" s="334">
        <v>-2.7364000000000002</v>
      </c>
      <c r="DA30" s="334">
        <v>-2.7364000000000002</v>
      </c>
      <c r="DB30" s="334">
        <v>-2.7364000000000002</v>
      </c>
      <c r="DC30" s="334">
        <v>-2.7364000000000002</v>
      </c>
      <c r="DD30" s="334">
        <v>-2.7364000000000002</v>
      </c>
      <c r="DE30" s="334">
        <v>-2.7364000000000002</v>
      </c>
      <c r="DF30" s="334">
        <v>-2.7364000000000002</v>
      </c>
      <c r="DG30" s="334">
        <v>-2.7364000000000002</v>
      </c>
      <c r="DH30" s="334">
        <v>-2.7364000000000002</v>
      </c>
      <c r="DI30" s="334">
        <v>-2.7364000000000002</v>
      </c>
      <c r="DJ30" s="334">
        <v>-2.7364000000000002</v>
      </c>
      <c r="DK30" s="334">
        <v>-2.7364000000000002</v>
      </c>
      <c r="DL30" s="334">
        <v>-2.7364000000000002</v>
      </c>
      <c r="DM30" s="334">
        <v>-2.7859499999999997</v>
      </c>
      <c r="DN30" s="334">
        <v>-2.7992399999999997</v>
      </c>
      <c r="DO30" s="334">
        <v>-2.8198699999999999</v>
      </c>
      <c r="DP30" s="334">
        <v>-2.8398000000000003</v>
      </c>
      <c r="DQ30" s="334">
        <v>-2.7807036000000012</v>
      </c>
      <c r="DR30" s="334">
        <v>-2.7831907692307709</v>
      </c>
      <c r="DS30" s="334">
        <v>-2.7856779384615398</v>
      </c>
      <c r="DT30" s="334">
        <v>-2.7881651076923095</v>
      </c>
      <c r="DU30" s="335">
        <v>-2.7906522769230784</v>
      </c>
      <c r="DV30" s="335">
        <v>-2.7931394461538481</v>
      </c>
      <c r="DW30" s="335">
        <v>-2.795626615384617</v>
      </c>
      <c r="DX30" s="198">
        <v>-2.7931394461538481</v>
      </c>
      <c r="DY30" s="198">
        <v>-2.7931394461538481</v>
      </c>
      <c r="DZ30" s="198">
        <v>-2.7931394461538481</v>
      </c>
      <c r="EA30" s="198">
        <v>2.4871692307688598E-3</v>
      </c>
      <c r="EB30" s="198">
        <v>-2.7931394461538481</v>
      </c>
      <c r="EC30" s="198">
        <v>-2.7931394461538481</v>
      </c>
      <c r="ED30" s="198">
        <v>-2.7931394461538481</v>
      </c>
      <c r="EE30" s="198">
        <v>-2.7931394461538481</v>
      </c>
      <c r="EF30" s="198">
        <v>2.4871692307688598E-3</v>
      </c>
      <c r="EG30" s="198">
        <v>0</v>
      </c>
      <c r="EH30" s="198">
        <v>-3.1048108845401643</v>
      </c>
      <c r="EI30" s="336">
        <f t="shared" si="0"/>
        <v>-2.7856779384615398</v>
      </c>
      <c r="EJ30" s="336">
        <f>EI30-'[13]FAOSTAT21 CO2'!EH30</f>
        <v>-3.1321584984615396</v>
      </c>
    </row>
    <row r="31" spans="1:140" x14ac:dyDescent="0.25">
      <c r="A31" s="31">
        <v>12</v>
      </c>
      <c r="B31" s="31" t="s">
        <v>110</v>
      </c>
      <c r="C31" s="31">
        <v>27</v>
      </c>
      <c r="D31" s="31">
        <v>1</v>
      </c>
      <c r="E31" s="31">
        <v>0</v>
      </c>
      <c r="F31" s="31">
        <v>1</v>
      </c>
      <c r="G31" s="31">
        <v>0</v>
      </c>
      <c r="H31" s="331" t="s">
        <v>2475</v>
      </c>
      <c r="I31" s="331" t="s">
        <v>111</v>
      </c>
      <c r="J31" s="331"/>
      <c r="K31" s="331"/>
      <c r="L31" s="331"/>
      <c r="M31" s="331"/>
      <c r="N31" s="331"/>
      <c r="O31" s="331"/>
      <c r="P31" s="331"/>
      <c r="Q31" s="331"/>
      <c r="R31" s="331"/>
      <c r="S31" s="331"/>
      <c r="T31" s="331"/>
      <c r="U31" s="331"/>
      <c r="V31" s="331"/>
      <c r="W31" s="331"/>
      <c r="X31" s="331"/>
      <c r="Y31" s="331"/>
      <c r="Z31" s="331"/>
      <c r="AA31" s="331"/>
      <c r="AB31" s="331"/>
      <c r="AC31" s="331"/>
      <c r="AD31" s="331"/>
      <c r="AE31" s="331"/>
      <c r="AF31" s="331"/>
      <c r="AG31" s="331"/>
      <c r="AH31" s="331"/>
      <c r="AI31" s="331"/>
      <c r="AJ31" s="331"/>
      <c r="AK31" s="331"/>
      <c r="AL31" s="331"/>
      <c r="AM31" s="331"/>
      <c r="AN31" s="331"/>
      <c r="AO31" s="331"/>
      <c r="AP31" s="331"/>
      <c r="AQ31" s="331"/>
      <c r="AR31" s="331"/>
      <c r="AS31" s="331"/>
      <c r="AT31" s="331"/>
      <c r="AU31" s="331"/>
      <c r="AV31" s="331"/>
      <c r="AW31" s="331"/>
      <c r="AX31" s="331"/>
      <c r="AY31" s="332" t="s">
        <v>2476</v>
      </c>
      <c r="AZ31" s="332" t="s">
        <v>111</v>
      </c>
      <c r="BA31" s="332"/>
      <c r="BB31" s="332"/>
      <c r="BC31" s="332"/>
      <c r="BD31" s="332"/>
      <c r="BE31" s="332"/>
      <c r="BF31" s="332"/>
      <c r="BG31" s="332"/>
      <c r="BH31" s="332"/>
      <c r="BI31" s="332"/>
      <c r="BJ31" s="332"/>
      <c r="BK31" s="332"/>
      <c r="BL31" s="332"/>
      <c r="BM31" s="332"/>
      <c r="BN31" s="332"/>
      <c r="BO31" s="332"/>
      <c r="BP31" s="332"/>
      <c r="BQ31" s="332"/>
      <c r="BR31" s="332"/>
      <c r="BS31" s="332"/>
      <c r="BT31" s="332"/>
      <c r="BU31" s="332"/>
      <c r="BV31" s="332"/>
      <c r="BW31" s="332"/>
      <c r="BX31" s="332"/>
      <c r="BY31" s="332"/>
      <c r="BZ31" s="332"/>
      <c r="CA31" s="332"/>
      <c r="CB31" s="332"/>
      <c r="CC31" s="332"/>
      <c r="CD31" s="332"/>
      <c r="CE31" s="332"/>
      <c r="CF31" s="332"/>
      <c r="CG31" s="332"/>
      <c r="CH31" s="332"/>
      <c r="CI31" s="332"/>
      <c r="CJ31" s="332"/>
      <c r="CK31" s="332"/>
      <c r="CL31" s="332"/>
      <c r="CM31" s="332"/>
      <c r="CN31" s="332"/>
      <c r="CO31" s="332"/>
      <c r="CP31" s="333" t="s">
        <v>27</v>
      </c>
      <c r="CQ31" s="333" t="s">
        <v>111</v>
      </c>
      <c r="CR31" s="334">
        <v>-16.402494965484813</v>
      </c>
      <c r="CS31" s="334">
        <v>-16.472310389582713</v>
      </c>
      <c r="CT31" s="334">
        <v>-16.005280515530082</v>
      </c>
      <c r="CU31" s="334">
        <v>-16.339913116728287</v>
      </c>
      <c r="CV31" s="334">
        <v>-16.462681167176083</v>
      </c>
      <c r="CW31" s="334">
        <v>-16.572052871415853</v>
      </c>
      <c r="CX31" s="334">
        <v>-15.983232710475633</v>
      </c>
      <c r="CY31" s="334">
        <v>-16.230431552173009</v>
      </c>
      <c r="CZ31" s="334">
        <v>-16.007328582482586</v>
      </c>
      <c r="DA31" s="334">
        <v>-15.873508854114592</v>
      </c>
      <c r="DB31" s="334">
        <v>-17.116851197281537</v>
      </c>
      <c r="DC31" s="334">
        <v>-14.460218897730044</v>
      </c>
      <c r="DD31" s="334">
        <v>-14.80011195447601</v>
      </c>
      <c r="DE31" s="334">
        <v>-14.393691716235528</v>
      </c>
      <c r="DF31" s="334">
        <v>-15.163282302496464</v>
      </c>
      <c r="DG31" s="334">
        <v>-16.486771012391891</v>
      </c>
      <c r="DH31" s="334">
        <v>-13.16355246077819</v>
      </c>
      <c r="DI31" s="334">
        <v>-14.106028126001412</v>
      </c>
      <c r="DJ31" s="334">
        <v>-12.423846266316179</v>
      </c>
      <c r="DK31" s="334">
        <v>-12.519218293856088</v>
      </c>
      <c r="DL31" s="334">
        <v>-11.910266589271595</v>
      </c>
      <c r="DM31" s="334">
        <v>-8.5551545075628113</v>
      </c>
      <c r="DN31" s="334">
        <v>-8.060174659867398</v>
      </c>
      <c r="DO31" s="334">
        <v>-6.9316775835667332</v>
      </c>
      <c r="DP31" s="334">
        <v>-8.2089449135066417</v>
      </c>
      <c r="DQ31" s="334">
        <v>-7.7352752457119172</v>
      </c>
      <c r="DR31" s="334">
        <v>-9.5335053108862411</v>
      </c>
      <c r="DS31" s="334">
        <v>-9.471268532118815</v>
      </c>
      <c r="DT31" s="334">
        <v>-9.6082699985971924</v>
      </c>
      <c r="DU31" s="335">
        <v>-9.4082409108393286</v>
      </c>
      <c r="DV31" s="335">
        <v>-9.4482010814052639</v>
      </c>
      <c r="DW31" s="335">
        <v>-9.1867509136221646</v>
      </c>
      <c r="DX31" s="198">
        <v>-9.4482010814052639</v>
      </c>
      <c r="DY31" s="198">
        <v>-9.4482010814052639</v>
      </c>
      <c r="DZ31" s="198">
        <v>-9.4482010814052639</v>
      </c>
      <c r="EA31" s="198">
        <v>-0.26145016778309937</v>
      </c>
      <c r="EB31" s="198">
        <v>-9.4482010814052639</v>
      </c>
      <c r="EC31" s="198">
        <v>-9.4482010814052639</v>
      </c>
      <c r="ED31" s="198">
        <v>-9.4482010814052639</v>
      </c>
      <c r="EE31" s="198">
        <v>-9.4482010814052639</v>
      </c>
      <c r="EF31" s="198">
        <v>-0.26145016778309937</v>
      </c>
      <c r="EG31" s="198">
        <v>0</v>
      </c>
      <c r="EH31" s="198">
        <v>-10.724190204313601</v>
      </c>
      <c r="EI31" s="336">
        <f t="shared" si="0"/>
        <v>-9.151311999630698</v>
      </c>
      <c r="EJ31" s="336">
        <f>EI31-'[13]FAOSTAT21 CO2'!EH31</f>
        <v>20.315345280369307</v>
      </c>
    </row>
    <row r="32" spans="1:140" x14ac:dyDescent="0.25">
      <c r="A32" s="31">
        <v>8</v>
      </c>
      <c r="B32" s="31" t="s">
        <v>112</v>
      </c>
      <c r="C32" s="31">
        <v>216</v>
      </c>
      <c r="D32" s="31">
        <v>0</v>
      </c>
      <c r="E32" s="31">
        <v>0</v>
      </c>
      <c r="F32" s="31">
        <v>0</v>
      </c>
      <c r="G32" s="31">
        <v>0</v>
      </c>
      <c r="H32" s="331" t="s">
        <v>2475</v>
      </c>
      <c r="I32" s="331" t="s">
        <v>113</v>
      </c>
      <c r="J32" s="331"/>
      <c r="K32" s="331"/>
      <c r="L32" s="331"/>
      <c r="M32" s="331"/>
      <c r="N32" s="331"/>
      <c r="O32" s="331"/>
      <c r="P32" s="331"/>
      <c r="Q32" s="331"/>
      <c r="R32" s="331"/>
      <c r="S32" s="331"/>
      <c r="T32" s="331"/>
      <c r="U32" s="331"/>
      <c r="V32" s="331"/>
      <c r="W32" s="331"/>
      <c r="X32" s="331"/>
      <c r="Y32" s="331"/>
      <c r="Z32" s="331"/>
      <c r="AA32" s="331"/>
      <c r="AB32" s="331"/>
      <c r="AC32" s="331"/>
      <c r="AD32" s="331"/>
      <c r="AE32" s="331"/>
      <c r="AF32" s="331"/>
      <c r="AG32" s="331"/>
      <c r="AH32" s="331"/>
      <c r="AI32" s="331"/>
      <c r="AJ32" s="331"/>
      <c r="AK32" s="331"/>
      <c r="AL32" s="331"/>
      <c r="AM32" s="331"/>
      <c r="AN32" s="331"/>
      <c r="AO32" s="331"/>
      <c r="AP32" s="331"/>
      <c r="AQ32" s="331"/>
      <c r="AR32" s="331"/>
      <c r="AS32" s="331"/>
      <c r="AT32" s="331"/>
      <c r="AU32" s="331"/>
      <c r="AV32" s="331"/>
      <c r="AW32" s="331"/>
      <c r="AX32" s="331"/>
      <c r="AY32" s="332" t="s">
        <v>2476</v>
      </c>
      <c r="AZ32" s="332" t="s">
        <v>113</v>
      </c>
      <c r="BA32" s="332"/>
      <c r="BB32" s="332"/>
      <c r="BC32" s="332"/>
      <c r="BD32" s="332"/>
      <c r="BE32" s="332"/>
      <c r="BF32" s="332"/>
      <c r="BG32" s="332"/>
      <c r="BH32" s="332"/>
      <c r="BI32" s="332"/>
      <c r="BJ32" s="332"/>
      <c r="BK32" s="332"/>
      <c r="BL32" s="332"/>
      <c r="BM32" s="332"/>
      <c r="BN32" s="332"/>
      <c r="BO32" s="332"/>
      <c r="BP32" s="332"/>
      <c r="BQ32" s="332"/>
      <c r="BR32" s="332"/>
      <c r="BS32" s="332"/>
      <c r="BT32" s="332"/>
      <c r="BU32" s="332"/>
      <c r="BV32" s="332"/>
      <c r="BW32" s="332"/>
      <c r="BX32" s="332"/>
      <c r="BY32" s="332"/>
      <c r="BZ32" s="332"/>
      <c r="CA32" s="332"/>
      <c r="CB32" s="332"/>
      <c r="CC32" s="332"/>
      <c r="CD32" s="332"/>
      <c r="CE32" s="332"/>
      <c r="CF32" s="332"/>
      <c r="CG32" s="332"/>
      <c r="CH32" s="332"/>
      <c r="CI32" s="332"/>
      <c r="CJ32" s="332"/>
      <c r="CK32" s="332"/>
      <c r="CL32" s="332"/>
      <c r="CM32" s="332"/>
      <c r="CN32" s="332"/>
      <c r="CO32" s="332"/>
      <c r="CP32" s="333" t="s">
        <v>27</v>
      </c>
      <c r="CQ32" s="333" t="s">
        <v>113</v>
      </c>
      <c r="CR32" s="334">
        <v>-1.4119999999999999</v>
      </c>
      <c r="CS32" s="334">
        <v>-1.4119999999999999</v>
      </c>
      <c r="CT32" s="334">
        <v>-1.4119999999999999</v>
      </c>
      <c r="CU32" s="334">
        <v>-1.4119999999999999</v>
      </c>
      <c r="CV32" s="334">
        <v>-1.4119999999999999</v>
      </c>
      <c r="CW32" s="334">
        <v>23.091900000000003</v>
      </c>
      <c r="CX32" s="334">
        <v>24.259502307692308</v>
      </c>
      <c r="CY32" s="334">
        <v>25.427104615384614</v>
      </c>
      <c r="CZ32" s="334">
        <v>26.59470692307692</v>
      </c>
      <c r="DA32" s="334">
        <v>27.762309230769226</v>
      </c>
      <c r="DB32" s="334">
        <v>28.929911538461532</v>
      </c>
      <c r="DC32" s="334">
        <v>30.097513846153838</v>
      </c>
      <c r="DD32" s="334">
        <v>31.265116153846144</v>
      </c>
      <c r="DE32" s="334">
        <v>32.43271846153845</v>
      </c>
      <c r="DF32" s="334">
        <v>33.600320769230756</v>
      </c>
      <c r="DG32" s="334">
        <v>34.767923076923061</v>
      </c>
      <c r="DH32" s="334">
        <v>35.935525384615367</v>
      </c>
      <c r="DI32" s="334">
        <v>37.103127692307673</v>
      </c>
      <c r="DJ32" s="334">
        <v>38.270729999999993</v>
      </c>
      <c r="DK32" s="334">
        <v>39.556950000000008</v>
      </c>
      <c r="DL32" s="334">
        <v>41.30838</v>
      </c>
      <c r="DM32" s="334">
        <v>41.772580000000005</v>
      </c>
      <c r="DN32" s="334">
        <v>39.942569999999996</v>
      </c>
      <c r="DO32" s="334">
        <v>42.445649999999993</v>
      </c>
      <c r="DP32" s="334">
        <v>41.603919999999995</v>
      </c>
      <c r="DQ32" s="334">
        <v>43.558439999999997</v>
      </c>
      <c r="DR32" s="334">
        <v>46.633950000000006</v>
      </c>
      <c r="DS32" s="334">
        <v>47.3309</v>
      </c>
      <c r="DT32" s="334">
        <v>54.12180865079381</v>
      </c>
      <c r="DU32" s="335">
        <v>55.867569469075534</v>
      </c>
      <c r="DV32" s="335">
        <v>57.613330287356803</v>
      </c>
      <c r="DW32" s="335">
        <v>59.359091105638072</v>
      </c>
      <c r="DX32" s="198">
        <v>62.772673749863777</v>
      </c>
      <c r="DY32" s="198">
        <v>52.097953351830661</v>
      </c>
      <c r="DZ32" s="198">
        <v>48.444447649167181</v>
      </c>
      <c r="EA32" s="198">
        <v>-10.914643456470891</v>
      </c>
      <c r="EB32" s="198">
        <v>57.613330287356803</v>
      </c>
      <c r="EC32" s="198">
        <v>57.613330287356803</v>
      </c>
      <c r="ED32" s="198">
        <v>57.613330287356803</v>
      </c>
      <c r="EE32" s="198">
        <v>57.613330287356803</v>
      </c>
      <c r="EF32" s="198">
        <v>-1.7457608182812692</v>
      </c>
      <c r="EG32" s="198">
        <v>9.168882638189622</v>
      </c>
      <c r="EH32" s="198">
        <v>40.462037575533856</v>
      </c>
      <c r="EI32" s="336">
        <f t="shared" si="0"/>
        <v>49.502533623973868</v>
      </c>
      <c r="EJ32" s="336">
        <f>EI32-'[13]FAOSTAT21 CO2'!EH32</f>
        <v>29.047578963973869</v>
      </c>
    </row>
    <row r="33" spans="1:140" x14ac:dyDescent="0.25">
      <c r="A33" s="31">
        <v>9</v>
      </c>
      <c r="B33" s="31" t="s">
        <v>114</v>
      </c>
      <c r="C33" s="31">
        <v>29</v>
      </c>
      <c r="D33" s="31">
        <v>0</v>
      </c>
      <c r="E33" s="31">
        <v>0</v>
      </c>
      <c r="F33" s="31">
        <v>0</v>
      </c>
      <c r="G33" s="31">
        <v>0</v>
      </c>
      <c r="H33" s="331" t="s">
        <v>2475</v>
      </c>
      <c r="I33" s="331" t="s">
        <v>115</v>
      </c>
      <c r="J33" s="331"/>
      <c r="K33" s="331"/>
      <c r="L33" s="331"/>
      <c r="M33" s="331"/>
      <c r="N33" s="331"/>
      <c r="O33" s="331"/>
      <c r="P33" s="331"/>
      <c r="Q33" s="331"/>
      <c r="R33" s="331"/>
      <c r="S33" s="331"/>
      <c r="T33" s="331"/>
      <c r="U33" s="331"/>
      <c r="V33" s="331"/>
      <c r="W33" s="331"/>
      <c r="X33" s="331"/>
      <c r="Y33" s="331"/>
      <c r="Z33" s="331"/>
      <c r="AA33" s="331"/>
      <c r="AB33" s="331"/>
      <c r="AC33" s="331"/>
      <c r="AD33" s="331"/>
      <c r="AE33" s="331"/>
      <c r="AF33" s="331"/>
      <c r="AG33" s="331"/>
      <c r="AH33" s="331"/>
      <c r="AI33" s="331"/>
      <c r="AJ33" s="331"/>
      <c r="AK33" s="331"/>
      <c r="AL33" s="331"/>
      <c r="AM33" s="331"/>
      <c r="AN33" s="331"/>
      <c r="AO33" s="331"/>
      <c r="AP33" s="331"/>
      <c r="AQ33" s="331"/>
      <c r="AR33" s="331"/>
      <c r="AS33" s="331"/>
      <c r="AT33" s="331"/>
      <c r="AU33" s="331"/>
      <c r="AV33" s="331"/>
      <c r="AW33" s="331"/>
      <c r="AX33" s="331"/>
      <c r="AY33" s="332" t="s">
        <v>2476</v>
      </c>
      <c r="AZ33" s="332" t="s">
        <v>115</v>
      </c>
      <c r="BA33" s="332"/>
      <c r="BB33" s="332"/>
      <c r="BC33" s="332"/>
      <c r="BD33" s="332"/>
      <c r="BE33" s="332"/>
      <c r="BF33" s="332"/>
      <c r="BG33" s="332"/>
      <c r="BH33" s="332"/>
      <c r="BI33" s="332"/>
      <c r="BJ33" s="332"/>
      <c r="BK33" s="332"/>
      <c r="BL33" s="332"/>
      <c r="BM33" s="332"/>
      <c r="BN33" s="332"/>
      <c r="BO33" s="332"/>
      <c r="BP33" s="332"/>
      <c r="BQ33" s="332"/>
      <c r="BR33" s="332"/>
      <c r="BS33" s="332"/>
      <c r="BT33" s="332"/>
      <c r="BU33" s="332"/>
      <c r="BV33" s="332"/>
      <c r="BW33" s="332"/>
      <c r="BX33" s="332"/>
      <c r="BY33" s="332"/>
      <c r="BZ33" s="332"/>
      <c r="CA33" s="332"/>
      <c r="CB33" s="332"/>
      <c r="CC33" s="332"/>
      <c r="CD33" s="332"/>
      <c r="CE33" s="332"/>
      <c r="CF33" s="332"/>
      <c r="CG33" s="332"/>
      <c r="CH33" s="332"/>
      <c r="CI33" s="332"/>
      <c r="CJ33" s="332"/>
      <c r="CK33" s="332"/>
      <c r="CL33" s="332"/>
      <c r="CM33" s="332"/>
      <c r="CN33" s="332"/>
      <c r="CO33" s="332"/>
      <c r="CP33" s="333" t="s">
        <v>27</v>
      </c>
      <c r="CQ33" s="333" t="s">
        <v>115</v>
      </c>
      <c r="CR33" s="334">
        <v>-1.4119999999999999</v>
      </c>
      <c r="CS33" s="334">
        <v>-1.4119999999999999</v>
      </c>
      <c r="CT33" s="334">
        <v>-1.4119999999999999</v>
      </c>
      <c r="CU33" s="334">
        <v>-1.4119999999999999</v>
      </c>
      <c r="CV33" s="334">
        <v>-1.4119999999999999</v>
      </c>
      <c r="CW33" s="334">
        <v>-1.4119999999999999</v>
      </c>
      <c r="CX33" s="334">
        <v>-1.4119999999999999</v>
      </c>
      <c r="CY33" s="334">
        <v>-1.4119999999999999</v>
      </c>
      <c r="CZ33" s="334">
        <v>-1.4119999999999999</v>
      </c>
      <c r="DA33" s="334">
        <v>-1.4119999999999999</v>
      </c>
      <c r="DB33" s="334">
        <v>-1.4119999999999999</v>
      </c>
      <c r="DC33" s="334">
        <v>-1.4119999999999999</v>
      </c>
      <c r="DD33" s="334">
        <v>-1.4119999999999999</v>
      </c>
      <c r="DE33" s="334">
        <v>-1.4119999999999999</v>
      </c>
      <c r="DF33" s="334">
        <v>-1.4119999999999999</v>
      </c>
      <c r="DG33" s="334">
        <v>-1.4119999999999999</v>
      </c>
      <c r="DH33" s="334">
        <v>-3.6360000000000001</v>
      </c>
      <c r="DI33" s="334">
        <v>-5.9320000000000004</v>
      </c>
      <c r="DJ33" s="334">
        <v>-7.9960000000000004</v>
      </c>
      <c r="DK33" s="334">
        <v>-9.6020000000000003</v>
      </c>
      <c r="DL33" s="334">
        <v>-10.205</v>
      </c>
      <c r="DM33" s="334">
        <v>-10.888</v>
      </c>
      <c r="DN33" s="334">
        <v>-11.555</v>
      </c>
      <c r="DO33" s="334">
        <v>-12.161</v>
      </c>
      <c r="DP33" s="334">
        <v>-12.811999999999999</v>
      </c>
      <c r="DQ33" s="334">
        <v>-13.198</v>
      </c>
      <c r="DR33" s="334">
        <v>-13.916</v>
      </c>
      <c r="DS33" s="334">
        <v>-14.432</v>
      </c>
      <c r="DT33" s="334">
        <v>-14.952</v>
      </c>
      <c r="DU33" s="335">
        <v>-15.428000000000001</v>
      </c>
      <c r="DV33" s="335">
        <v>-14.780629885057579</v>
      </c>
      <c r="DW33" s="335">
        <v>-15.34861675936213</v>
      </c>
      <c r="DX33" s="198">
        <v>-14.780629885057579</v>
      </c>
      <c r="DY33" s="198">
        <v>-15.780629885057579</v>
      </c>
      <c r="DZ33" s="198">
        <v>-15.780629885057579</v>
      </c>
      <c r="EA33" s="198">
        <v>-0.43201312569544825</v>
      </c>
      <c r="EB33" s="198">
        <v>-14.780629885057579</v>
      </c>
      <c r="EC33" s="198">
        <v>-14.780629885057579</v>
      </c>
      <c r="ED33" s="198">
        <v>-14.780629885057579</v>
      </c>
      <c r="EE33" s="198">
        <v>-14.780629885057579</v>
      </c>
      <c r="EF33" s="198">
        <v>0.56798687430455175</v>
      </c>
      <c r="EG33" s="198">
        <v>1</v>
      </c>
      <c r="EH33" s="198">
        <v>-18.262306364567948</v>
      </c>
      <c r="EI33" s="336">
        <f t="shared" si="0"/>
        <v>-14.385200000000001</v>
      </c>
      <c r="EJ33" s="336">
        <f>EI33-'[13]FAOSTAT21 CO2'!EH33</f>
        <v>-16.891609380000002</v>
      </c>
    </row>
    <row r="34" spans="1:140" x14ac:dyDescent="0.25">
      <c r="A34" s="31">
        <v>21</v>
      </c>
      <c r="B34" s="31" t="s">
        <v>116</v>
      </c>
      <c r="C34" s="31">
        <v>31</v>
      </c>
      <c r="D34" s="31">
        <v>0</v>
      </c>
      <c r="E34" s="31">
        <v>0</v>
      </c>
      <c r="F34" s="31">
        <v>0</v>
      </c>
      <c r="G34" s="31">
        <v>0</v>
      </c>
      <c r="H34" s="331" t="s">
        <v>2475</v>
      </c>
      <c r="I34" s="331" t="s">
        <v>117</v>
      </c>
      <c r="J34" s="331"/>
      <c r="K34" s="331"/>
      <c r="L34" s="331"/>
      <c r="M34" s="331"/>
      <c r="N34" s="331"/>
      <c r="O34" s="331"/>
      <c r="P34" s="331"/>
      <c r="Q34" s="331"/>
      <c r="R34" s="331"/>
      <c r="S34" s="331"/>
      <c r="T34" s="331"/>
      <c r="U34" s="331"/>
      <c r="V34" s="331"/>
      <c r="W34" s="331"/>
      <c r="X34" s="331"/>
      <c r="Y34" s="331"/>
      <c r="Z34" s="331"/>
      <c r="AA34" s="331"/>
      <c r="AB34" s="331"/>
      <c r="AC34" s="331"/>
      <c r="AD34" s="331"/>
      <c r="AE34" s="331"/>
      <c r="AF34" s="331"/>
      <c r="AG34" s="331"/>
      <c r="AH34" s="331"/>
      <c r="AI34" s="331"/>
      <c r="AJ34" s="331"/>
      <c r="AK34" s="331"/>
      <c r="AL34" s="331"/>
      <c r="AM34" s="331"/>
      <c r="AN34" s="331"/>
      <c r="AO34" s="331"/>
      <c r="AP34" s="331"/>
      <c r="AQ34" s="331"/>
      <c r="AR34" s="331"/>
      <c r="AS34" s="331"/>
      <c r="AT34" s="331"/>
      <c r="AU34" s="331"/>
      <c r="AV34" s="331"/>
      <c r="AW34" s="331"/>
      <c r="AX34" s="331"/>
      <c r="AY34" s="332" t="s">
        <v>2476</v>
      </c>
      <c r="AZ34" s="332" t="s">
        <v>117</v>
      </c>
      <c r="BA34" s="332"/>
      <c r="BB34" s="332"/>
      <c r="BC34" s="332"/>
      <c r="BD34" s="332"/>
      <c r="BE34" s="332"/>
      <c r="BF34" s="332"/>
      <c r="BG34" s="332"/>
      <c r="BH34" s="332"/>
      <c r="BI34" s="332"/>
      <c r="BJ34" s="332"/>
      <c r="BK34" s="332"/>
      <c r="BL34" s="332"/>
      <c r="BM34" s="332"/>
      <c r="BN34" s="332"/>
      <c r="BO34" s="332"/>
      <c r="BP34" s="332"/>
      <c r="BQ34" s="332"/>
      <c r="BR34" s="332"/>
      <c r="BS34" s="332"/>
      <c r="BT34" s="332"/>
      <c r="BU34" s="332"/>
      <c r="BV34" s="332"/>
      <c r="BW34" s="332"/>
      <c r="BX34" s="332"/>
      <c r="BY34" s="332"/>
      <c r="BZ34" s="332"/>
      <c r="CA34" s="332"/>
      <c r="CB34" s="332"/>
      <c r="CC34" s="332"/>
      <c r="CD34" s="332"/>
      <c r="CE34" s="332"/>
      <c r="CF34" s="332"/>
      <c r="CG34" s="332"/>
      <c r="CH34" s="332"/>
      <c r="CI34" s="332"/>
      <c r="CJ34" s="332"/>
      <c r="CK34" s="332"/>
      <c r="CL34" s="332"/>
      <c r="CM34" s="332"/>
      <c r="CN34" s="332"/>
      <c r="CO34" s="332"/>
      <c r="CP34" s="333" t="s">
        <v>27</v>
      </c>
      <c r="CQ34" s="333" t="s">
        <v>117</v>
      </c>
      <c r="CR34" s="334">
        <v>27.018619999999999</v>
      </c>
      <c r="CS34" s="334">
        <v>27.018619999999999</v>
      </c>
      <c r="CT34" s="334">
        <v>27.018619999999999</v>
      </c>
      <c r="CU34" s="334">
        <v>27.018619999999999</v>
      </c>
      <c r="CV34" s="334">
        <v>27.018619999999999</v>
      </c>
      <c r="CW34" s="334">
        <v>27.018619999999999</v>
      </c>
      <c r="CX34" s="334">
        <v>27.018619999999999</v>
      </c>
      <c r="CY34" s="334">
        <v>27.018619999999999</v>
      </c>
      <c r="CZ34" s="334">
        <v>27.018619999999999</v>
      </c>
      <c r="DA34" s="334">
        <v>27.018619999999999</v>
      </c>
      <c r="DB34" s="334">
        <v>27.018619999999999</v>
      </c>
      <c r="DC34" s="334">
        <v>25.605528</v>
      </c>
      <c r="DD34" s="334">
        <v>24.192436000000001</v>
      </c>
      <c r="DE34" s="334">
        <v>22.779344000000002</v>
      </c>
      <c r="DF34" s="334">
        <v>21.366252000000003</v>
      </c>
      <c r="DG34" s="334">
        <v>19.95316</v>
      </c>
      <c r="DH34" s="334">
        <v>19.952646000000001</v>
      </c>
      <c r="DI34" s="334">
        <v>19.952132000000002</v>
      </c>
      <c r="DJ34" s="334">
        <v>19.951618000000003</v>
      </c>
      <c r="DK34" s="334">
        <v>19.951104000000004</v>
      </c>
      <c r="DL34" s="334">
        <v>19.950590000000002</v>
      </c>
      <c r="DM34" s="334">
        <v>19.17800219047615</v>
      </c>
      <c r="DN34" s="334">
        <v>18.709943385281349</v>
      </c>
      <c r="DO34" s="334">
        <v>18.241884580086662</v>
      </c>
      <c r="DP34" s="334">
        <v>17.773825774891748</v>
      </c>
      <c r="DQ34" s="334">
        <v>17.305766969696947</v>
      </c>
      <c r="DR34" s="334">
        <v>16.837708164502146</v>
      </c>
      <c r="DS34" s="334">
        <v>16.369649359307346</v>
      </c>
      <c r="DT34" s="334">
        <v>15.901590554112545</v>
      </c>
      <c r="DU34" s="335">
        <v>15.433531748917744</v>
      </c>
      <c r="DV34" s="335">
        <v>14.965472943722943</v>
      </c>
      <c r="DW34" s="335">
        <v>14.497414138528143</v>
      </c>
      <c r="DX34" s="198">
        <v>76.3</v>
      </c>
      <c r="DY34" s="198">
        <v>76.3</v>
      </c>
      <c r="DZ34" s="198">
        <v>38.200000000000003</v>
      </c>
      <c r="EA34" s="198">
        <v>23.70258586147186</v>
      </c>
      <c r="EB34" s="198">
        <v>14.965472943722943</v>
      </c>
      <c r="EC34" s="198">
        <v>14.965472943722943</v>
      </c>
      <c r="ED34" s="198">
        <v>14.965472943722943</v>
      </c>
      <c r="EE34" s="198">
        <v>14.965472943722943</v>
      </c>
      <c r="EF34" s="198">
        <v>0.4680588051948007</v>
      </c>
      <c r="EG34" s="198">
        <v>-23.234527056277059</v>
      </c>
      <c r="EH34" s="198">
        <v>5.4908092785881166</v>
      </c>
      <c r="EI34" s="336">
        <f t="shared" si="0"/>
        <v>16.369649359307346</v>
      </c>
      <c r="EJ34" s="336">
        <f>EI34-'[13]FAOSTAT21 CO2'!EH34</f>
        <v>-19.819475080692648</v>
      </c>
    </row>
    <row r="35" spans="1:140" x14ac:dyDescent="0.25">
      <c r="A35" s="31">
        <v>8</v>
      </c>
      <c r="B35" s="31" t="s">
        <v>118</v>
      </c>
      <c r="C35" s="31">
        <v>32</v>
      </c>
      <c r="D35" s="31">
        <v>0</v>
      </c>
      <c r="E35" s="31">
        <v>0</v>
      </c>
      <c r="F35" s="31">
        <v>0</v>
      </c>
      <c r="G35" s="31">
        <v>0</v>
      </c>
      <c r="H35" s="331" t="s">
        <v>2475</v>
      </c>
      <c r="I35" s="331" t="s">
        <v>119</v>
      </c>
      <c r="J35" s="331"/>
      <c r="K35" s="331"/>
      <c r="L35" s="331"/>
      <c r="M35" s="331"/>
      <c r="N35" s="331"/>
      <c r="O35" s="331"/>
      <c r="P35" s="331"/>
      <c r="Q35" s="331"/>
      <c r="R35" s="331"/>
      <c r="S35" s="331"/>
      <c r="T35" s="331"/>
      <c r="U35" s="331"/>
      <c r="V35" s="331"/>
      <c r="W35" s="331"/>
      <c r="X35" s="331"/>
      <c r="Y35" s="331"/>
      <c r="Z35" s="331"/>
      <c r="AA35" s="331"/>
      <c r="AB35" s="331"/>
      <c r="AC35" s="331"/>
      <c r="AD35" s="331"/>
      <c r="AE35" s="331"/>
      <c r="AF35" s="331"/>
      <c r="AG35" s="331"/>
      <c r="AH35" s="331"/>
      <c r="AI35" s="331"/>
      <c r="AJ35" s="331"/>
      <c r="AK35" s="331"/>
      <c r="AL35" s="331"/>
      <c r="AM35" s="331"/>
      <c r="AN35" s="331"/>
      <c r="AO35" s="331"/>
      <c r="AP35" s="331"/>
      <c r="AQ35" s="331"/>
      <c r="AR35" s="331"/>
      <c r="AS35" s="331"/>
      <c r="AT35" s="331"/>
      <c r="AU35" s="331"/>
      <c r="AV35" s="331"/>
      <c r="AW35" s="331"/>
      <c r="AX35" s="331"/>
      <c r="AY35" s="332" t="s">
        <v>2476</v>
      </c>
      <c r="AZ35" s="332" t="s">
        <v>119</v>
      </c>
      <c r="BA35" s="332"/>
      <c r="BB35" s="332"/>
      <c r="BC35" s="332"/>
      <c r="BD35" s="332"/>
      <c r="BE35" s="332"/>
      <c r="BF35" s="332"/>
      <c r="BG35" s="332"/>
      <c r="BH35" s="332"/>
      <c r="BI35" s="332"/>
      <c r="BJ35" s="332"/>
      <c r="BK35" s="332"/>
      <c r="BL35" s="332"/>
      <c r="BM35" s="332"/>
      <c r="BN35" s="332"/>
      <c r="BO35" s="332"/>
      <c r="BP35" s="332"/>
      <c r="BQ35" s="332"/>
      <c r="BR35" s="332"/>
      <c r="BS35" s="332"/>
      <c r="BT35" s="332"/>
      <c r="BU35" s="332"/>
      <c r="BV35" s="332"/>
      <c r="BW35" s="332"/>
      <c r="BX35" s="332"/>
      <c r="BY35" s="332"/>
      <c r="BZ35" s="332"/>
      <c r="CA35" s="332"/>
      <c r="CB35" s="332"/>
      <c r="CC35" s="332"/>
      <c r="CD35" s="332"/>
      <c r="CE35" s="332"/>
      <c r="CF35" s="332"/>
      <c r="CG35" s="332"/>
      <c r="CH35" s="332"/>
      <c r="CI35" s="332"/>
      <c r="CJ35" s="332"/>
      <c r="CK35" s="332"/>
      <c r="CL35" s="332"/>
      <c r="CM35" s="332"/>
      <c r="CN35" s="332"/>
      <c r="CO35" s="332"/>
      <c r="CP35" s="333" t="s">
        <v>27</v>
      </c>
      <c r="CQ35" s="333" t="s">
        <v>119</v>
      </c>
      <c r="CR35" s="334">
        <v>22.186366999999997</v>
      </c>
      <c r="CS35" s="334">
        <v>22.186366999999997</v>
      </c>
      <c r="CT35" s="334">
        <v>22.186366999999997</v>
      </c>
      <c r="CU35" s="334">
        <v>22.186366999999997</v>
      </c>
      <c r="CV35" s="334">
        <v>22.186366999999997</v>
      </c>
      <c r="CW35" s="334">
        <v>5.7251391666666613</v>
      </c>
      <c r="CX35" s="334">
        <v>-10.736088666666674</v>
      </c>
      <c r="CY35" s="334">
        <v>-27.19731650000001</v>
      </c>
      <c r="CZ35" s="334">
        <v>-43.658544333333346</v>
      </c>
      <c r="DA35" s="334">
        <v>-60.119772166666678</v>
      </c>
      <c r="DB35" s="334">
        <v>-76.581000000000003</v>
      </c>
      <c r="DC35" s="339">
        <v>-72.091574227273668</v>
      </c>
      <c r="DD35" s="339">
        <v>-82.566901030302688</v>
      </c>
      <c r="DE35" s="339">
        <v>-93.042227833335346</v>
      </c>
      <c r="DF35" s="339">
        <v>-103.517554636368</v>
      </c>
      <c r="DG35" s="339">
        <v>-113.99288143939339</v>
      </c>
      <c r="DH35" s="339">
        <v>-124.46820824242604</v>
      </c>
      <c r="DI35" s="339">
        <v>-134.94353504545506</v>
      </c>
      <c r="DJ35" s="339">
        <v>-145.41886184848408</v>
      </c>
      <c r="DK35" s="339">
        <v>-155.89418865151674</v>
      </c>
      <c r="DL35" s="339">
        <v>-166.3695154545494</v>
      </c>
      <c r="DM35" s="339">
        <v>-176.84484225757842</v>
      </c>
      <c r="DN35" s="339">
        <v>-187.32016906060744</v>
      </c>
      <c r="DO35" s="339">
        <v>-197.7954958636401</v>
      </c>
      <c r="DP35" s="339">
        <v>-208.27082266667276</v>
      </c>
      <c r="DQ35" s="339">
        <v>-218.74614946969814</v>
      </c>
      <c r="DR35" s="339">
        <v>-229.2214762727308</v>
      </c>
      <c r="DS35" s="339">
        <v>-239.69680307576346</v>
      </c>
      <c r="DT35" s="339">
        <v>-250.17212987878884</v>
      </c>
      <c r="DU35" s="340">
        <v>-260.6474566818215</v>
      </c>
      <c r="DV35" s="340">
        <v>-271.12278348485415</v>
      </c>
      <c r="DW35" s="340">
        <v>-281.59811028788317</v>
      </c>
      <c r="DX35" s="198">
        <v>-281.59811028788317</v>
      </c>
      <c r="DY35" s="198">
        <v>-288.43629228788319</v>
      </c>
      <c r="DZ35" s="198">
        <v>-300.9945322878832</v>
      </c>
      <c r="EA35" s="198">
        <v>-19.39642200000003</v>
      </c>
      <c r="EB35" s="198">
        <v>-271.12278348485415</v>
      </c>
      <c r="EC35" s="198">
        <v>-271.12278348485415</v>
      </c>
      <c r="ED35" s="198">
        <v>-271.12278348485415</v>
      </c>
      <c r="EE35" s="198">
        <v>-271.12278348485415</v>
      </c>
      <c r="EF35" s="198">
        <v>10.47532680302902</v>
      </c>
      <c r="EG35" s="198">
        <v>29.87174880302905</v>
      </c>
      <c r="EH35" s="198">
        <v>-314.62897054840988</v>
      </c>
      <c r="EI35" s="336">
        <f t="shared" si="0"/>
        <v>-239.69680307576056</v>
      </c>
      <c r="EJ35" s="336">
        <f>EI35-'[13]FAOSTAT21 CO2'!EH35</f>
        <v>-273.45241809576055</v>
      </c>
    </row>
    <row r="36" spans="1:140" x14ac:dyDescent="0.25">
      <c r="A36" s="31">
        <v>1</v>
      </c>
      <c r="B36" s="31" t="s">
        <v>120</v>
      </c>
      <c r="C36" s="31">
        <v>33</v>
      </c>
      <c r="D36" s="31">
        <v>0</v>
      </c>
      <c r="E36" s="31">
        <v>1</v>
      </c>
      <c r="F36" s="31">
        <v>1</v>
      </c>
      <c r="G36" s="31">
        <v>1</v>
      </c>
      <c r="H36" s="331" t="s">
        <v>2475</v>
      </c>
      <c r="I36" s="331" t="s">
        <v>121</v>
      </c>
      <c r="J36" s="331"/>
      <c r="K36" s="331"/>
      <c r="L36" s="331"/>
      <c r="M36" s="331"/>
      <c r="N36" s="331"/>
      <c r="O36" s="331"/>
      <c r="P36" s="331"/>
      <c r="Q36" s="331"/>
      <c r="R36" s="331"/>
      <c r="S36" s="331"/>
      <c r="T36" s="331"/>
      <c r="U36" s="331"/>
      <c r="V36" s="331"/>
      <c r="W36" s="331"/>
      <c r="X36" s="331"/>
      <c r="Y36" s="331"/>
      <c r="Z36" s="331"/>
      <c r="AA36" s="331"/>
      <c r="AB36" s="331"/>
      <c r="AC36" s="331"/>
      <c r="AD36" s="331"/>
      <c r="AE36" s="331"/>
      <c r="AF36" s="331"/>
      <c r="AG36" s="331"/>
      <c r="AH36" s="331"/>
      <c r="AI36" s="331"/>
      <c r="AJ36" s="331"/>
      <c r="AK36" s="331"/>
      <c r="AL36" s="331"/>
      <c r="AM36" s="331"/>
      <c r="AN36" s="331"/>
      <c r="AO36" s="331"/>
      <c r="AP36" s="331"/>
      <c r="AQ36" s="331"/>
      <c r="AR36" s="331"/>
      <c r="AS36" s="331"/>
      <c r="AT36" s="331"/>
      <c r="AU36" s="331"/>
      <c r="AV36" s="331"/>
      <c r="AW36" s="331"/>
      <c r="AX36" s="331"/>
      <c r="AY36" s="332" t="s">
        <v>2476</v>
      </c>
      <c r="AZ36" s="332" t="s">
        <v>121</v>
      </c>
      <c r="BA36" s="332"/>
      <c r="BB36" s="332"/>
      <c r="BC36" s="332"/>
      <c r="BD36" s="332"/>
      <c r="BE36" s="332"/>
      <c r="BF36" s="332"/>
      <c r="BG36" s="332"/>
      <c r="BH36" s="332"/>
      <c r="BI36" s="332"/>
      <c r="BJ36" s="332"/>
      <c r="BK36" s="332"/>
      <c r="BL36" s="332"/>
      <c r="BM36" s="332"/>
      <c r="BN36" s="332"/>
      <c r="BO36" s="332"/>
      <c r="BP36" s="332"/>
      <c r="BQ36" s="332"/>
      <c r="BR36" s="332"/>
      <c r="BS36" s="332"/>
      <c r="BT36" s="332"/>
      <c r="BU36" s="332"/>
      <c r="BV36" s="332"/>
      <c r="BW36" s="332"/>
      <c r="BX36" s="332"/>
      <c r="BY36" s="332"/>
      <c r="BZ36" s="332"/>
      <c r="CA36" s="332"/>
      <c r="CB36" s="332"/>
      <c r="CC36" s="332"/>
      <c r="CD36" s="332"/>
      <c r="CE36" s="332"/>
      <c r="CF36" s="332"/>
      <c r="CG36" s="332"/>
      <c r="CH36" s="332"/>
      <c r="CI36" s="332"/>
      <c r="CJ36" s="332"/>
      <c r="CK36" s="332"/>
      <c r="CL36" s="332"/>
      <c r="CM36" s="332"/>
      <c r="CN36" s="332"/>
      <c r="CO36" s="332"/>
      <c r="CP36" s="333" t="s">
        <v>27</v>
      </c>
      <c r="CQ36" s="333" t="s">
        <v>121</v>
      </c>
      <c r="CR36" s="334">
        <v>-64.507019009756874</v>
      </c>
      <c r="CS36" s="334">
        <v>-68.481765795513581</v>
      </c>
      <c r="CT36" s="334">
        <v>-57.012304017656888</v>
      </c>
      <c r="CU36" s="334">
        <v>-47.740162063216879</v>
      </c>
      <c r="CV36" s="334">
        <v>-56.969893799140237</v>
      </c>
      <c r="CW36" s="334">
        <v>-42.366941537206849</v>
      </c>
      <c r="CX36" s="334">
        <v>-47.901701126580008</v>
      </c>
      <c r="CY36" s="334">
        <v>-51.588086602620287</v>
      </c>
      <c r="CZ36" s="334">
        <v>-57.537446347706982</v>
      </c>
      <c r="DA36" s="334">
        <v>-49.64436561481358</v>
      </c>
      <c r="DB36" s="334">
        <v>-37.776712386430297</v>
      </c>
      <c r="DC36" s="334">
        <v>-46.399251617103523</v>
      </c>
      <c r="DD36" s="334">
        <v>-11.694585521116794</v>
      </c>
      <c r="DE36" s="334">
        <v>-10.900151527253577</v>
      </c>
      <c r="DF36" s="334">
        <v>-12.433658139606909</v>
      </c>
      <c r="DG36" s="334">
        <v>-5.5424084940968603</v>
      </c>
      <c r="DH36" s="334">
        <v>-19.332704491033365</v>
      </c>
      <c r="DI36" s="334">
        <v>-16.876490624566738</v>
      </c>
      <c r="DJ36" s="334">
        <v>-21.375973995276798</v>
      </c>
      <c r="DK36" s="334">
        <v>-48.795120854516775</v>
      </c>
      <c r="DL36" s="334">
        <v>-18.172999274153494</v>
      </c>
      <c r="DM36" s="334">
        <v>-11.950000175123366</v>
      </c>
      <c r="DN36" s="334">
        <v>-21.186490211673487</v>
      </c>
      <c r="DO36" s="334">
        <v>-19.733201804206473</v>
      </c>
      <c r="DP36" s="334">
        <v>-39.315970269230107</v>
      </c>
      <c r="DQ36" s="334">
        <v>2.39010918365384E-2</v>
      </c>
      <c r="DR36" s="334">
        <v>-10.955832839356736</v>
      </c>
      <c r="DS36" s="334">
        <v>-16.22661127552681</v>
      </c>
      <c r="DT36" s="334">
        <v>-11.293649032956949</v>
      </c>
      <c r="DU36" s="335">
        <v>-18.821111441463596</v>
      </c>
      <c r="DV36" s="335">
        <v>-13.387681901136894</v>
      </c>
      <c r="DW36" s="335">
        <v>-17.302570733916816</v>
      </c>
      <c r="DX36" s="198">
        <v>-26</v>
      </c>
      <c r="DY36" s="198">
        <v>-32</v>
      </c>
      <c r="DZ36" s="198">
        <v>-32</v>
      </c>
      <c r="EA36" s="198">
        <v>-14.697429266083184</v>
      </c>
      <c r="EB36" s="198">
        <v>-13.387681901136894</v>
      </c>
      <c r="EC36" s="198">
        <v>-100</v>
      </c>
      <c r="ED36" s="198">
        <v>-13.387681901136894</v>
      </c>
      <c r="EE36" s="198">
        <v>-100</v>
      </c>
      <c r="EF36" s="198">
        <v>-82.697429266083191</v>
      </c>
      <c r="EG36" s="198">
        <v>-68</v>
      </c>
      <c r="EH36" s="198">
        <v>-28.496770730000001</v>
      </c>
      <c r="EI36" s="336">
        <f t="shared" si="0"/>
        <v>-11.454660699493511</v>
      </c>
      <c r="EJ36" s="336">
        <f>EI36-'[13]FAOSTAT21 CO2'!EH36</f>
        <v>-66.649526999493503</v>
      </c>
    </row>
    <row r="37" spans="1:140" x14ac:dyDescent="0.25">
      <c r="A37" s="31">
        <v>8</v>
      </c>
      <c r="B37" s="31" t="s">
        <v>122</v>
      </c>
      <c r="C37" s="31">
        <v>34</v>
      </c>
      <c r="D37" s="31">
        <v>0</v>
      </c>
      <c r="E37" s="31">
        <v>0</v>
      </c>
      <c r="F37" s="31">
        <v>0</v>
      </c>
      <c r="G37" s="31">
        <v>0</v>
      </c>
      <c r="H37" s="331" t="s">
        <v>2475</v>
      </c>
      <c r="I37" s="331" t="s">
        <v>123</v>
      </c>
      <c r="J37" s="331"/>
      <c r="K37" s="331"/>
      <c r="L37" s="331"/>
      <c r="M37" s="331"/>
      <c r="N37" s="331"/>
      <c r="O37" s="331"/>
      <c r="P37" s="331"/>
      <c r="Q37" s="331"/>
      <c r="R37" s="331"/>
      <c r="S37" s="331"/>
      <c r="T37" s="331"/>
      <c r="U37" s="331"/>
      <c r="V37" s="331"/>
      <c r="W37" s="331"/>
      <c r="X37" s="331"/>
      <c r="Y37" s="331"/>
      <c r="Z37" s="331"/>
      <c r="AA37" s="331"/>
      <c r="AB37" s="331"/>
      <c r="AC37" s="331"/>
      <c r="AD37" s="331"/>
      <c r="AE37" s="331"/>
      <c r="AF37" s="331"/>
      <c r="AG37" s="331"/>
      <c r="AH37" s="331"/>
      <c r="AI37" s="331"/>
      <c r="AJ37" s="331"/>
      <c r="AK37" s="331"/>
      <c r="AL37" s="331"/>
      <c r="AM37" s="331"/>
      <c r="AN37" s="331"/>
      <c r="AO37" s="331"/>
      <c r="AP37" s="331"/>
      <c r="AQ37" s="331"/>
      <c r="AR37" s="331"/>
      <c r="AS37" s="331"/>
      <c r="AT37" s="331"/>
      <c r="AU37" s="331"/>
      <c r="AV37" s="331"/>
      <c r="AW37" s="331"/>
      <c r="AX37" s="331"/>
      <c r="AY37" s="332" t="s">
        <v>2476</v>
      </c>
      <c r="AZ37" s="332" t="s">
        <v>123</v>
      </c>
      <c r="BA37" s="332"/>
      <c r="BB37" s="332"/>
      <c r="BC37" s="332"/>
      <c r="BD37" s="332"/>
      <c r="BE37" s="332"/>
      <c r="BF37" s="332"/>
      <c r="BG37" s="332"/>
      <c r="BH37" s="332"/>
      <c r="BI37" s="332"/>
      <c r="BJ37" s="332"/>
      <c r="BK37" s="332"/>
      <c r="BL37" s="332"/>
      <c r="BM37" s="332"/>
      <c r="BN37" s="332"/>
      <c r="BO37" s="332"/>
      <c r="BP37" s="332"/>
      <c r="BQ37" s="332"/>
      <c r="BR37" s="332"/>
      <c r="BS37" s="332"/>
      <c r="BT37" s="332"/>
      <c r="BU37" s="332"/>
      <c r="BV37" s="332"/>
      <c r="BW37" s="332"/>
      <c r="BX37" s="332"/>
      <c r="BY37" s="332"/>
      <c r="BZ37" s="332"/>
      <c r="CA37" s="332"/>
      <c r="CB37" s="332"/>
      <c r="CC37" s="332"/>
      <c r="CD37" s="332"/>
      <c r="CE37" s="332"/>
      <c r="CF37" s="332"/>
      <c r="CG37" s="332"/>
      <c r="CH37" s="332"/>
      <c r="CI37" s="332"/>
      <c r="CJ37" s="332"/>
      <c r="CK37" s="332"/>
      <c r="CL37" s="332"/>
      <c r="CM37" s="332"/>
      <c r="CN37" s="332"/>
      <c r="CO37" s="332"/>
      <c r="CP37" s="333" t="s">
        <v>27</v>
      </c>
      <c r="CQ37" s="333" t="s">
        <v>123</v>
      </c>
      <c r="CR37" s="334">
        <v>-1.4119999999999999</v>
      </c>
      <c r="CS37" s="334">
        <v>-1.4119999999999999</v>
      </c>
      <c r="CT37" s="334">
        <v>-1.4119999999999999</v>
      </c>
      <c r="CU37" s="334">
        <v>-1.4119999999999999</v>
      </c>
      <c r="CV37" s="334">
        <v>-1.4119999999999999</v>
      </c>
      <c r="CW37" s="334">
        <v>-0.19677</v>
      </c>
      <c r="CX37" s="334">
        <v>-0.20338999999999999</v>
      </c>
      <c r="CY37" s="334">
        <v>-0.21001</v>
      </c>
      <c r="CZ37" s="334">
        <v>-0.21662999999999999</v>
      </c>
      <c r="DA37" s="334">
        <v>-0.22325</v>
      </c>
      <c r="DB37" s="334">
        <v>-0.22986999999999999</v>
      </c>
      <c r="DC37" s="334">
        <v>-0.22832</v>
      </c>
      <c r="DD37" s="334">
        <v>-0.23086000000000001</v>
      </c>
      <c r="DE37" s="334">
        <v>-0.23338999999999999</v>
      </c>
      <c r="DF37" s="334">
        <v>-0.23593</v>
      </c>
      <c r="DG37" s="334">
        <v>-0.23738000000000001</v>
      </c>
      <c r="DH37" s="334">
        <v>-0.23863000000000001</v>
      </c>
      <c r="DI37" s="334">
        <v>-0.23913000000000001</v>
      </c>
      <c r="DJ37" s="334">
        <v>-0.23935000000000001</v>
      </c>
      <c r="DK37" s="334">
        <v>-0.2422</v>
      </c>
      <c r="DL37" s="334">
        <v>-0.23677000000000001</v>
      </c>
      <c r="DM37" s="334">
        <v>0.154317095238099</v>
      </c>
      <c r="DN37" s="334">
        <v>0.21467440692640594</v>
      </c>
      <c r="DO37" s="334">
        <v>0.27503171861471287</v>
      </c>
      <c r="DP37" s="334">
        <v>0.33538903030303402</v>
      </c>
      <c r="DQ37" s="334">
        <v>0.39574634199134096</v>
      </c>
      <c r="DR37" s="334">
        <v>0.45610365367964789</v>
      </c>
      <c r="DS37" s="334">
        <v>0.51646096536796904</v>
      </c>
      <c r="DT37" s="334">
        <v>0.57681827705627597</v>
      </c>
      <c r="DU37" s="335">
        <v>0.63717558874458291</v>
      </c>
      <c r="DV37" s="335">
        <v>0.69753290043290406</v>
      </c>
      <c r="DW37" s="335">
        <v>0.75789021212121099</v>
      </c>
      <c r="DX37" s="198">
        <v>0.69753290043290406</v>
      </c>
      <c r="DY37" s="198">
        <v>0.69753290043290406</v>
      </c>
      <c r="DZ37" s="198">
        <v>0.69753290043290406</v>
      </c>
      <c r="EA37" s="198">
        <v>-6.0357311688306936E-2</v>
      </c>
      <c r="EB37" s="198">
        <v>0.69753290043290406</v>
      </c>
      <c r="EC37" s="198">
        <v>0.69753290043290406</v>
      </c>
      <c r="ED37" s="198">
        <v>0.69753290043290406</v>
      </c>
      <c r="EE37" s="198">
        <v>0.69753290043290406</v>
      </c>
      <c r="EF37" s="198">
        <v>-6.0357311688306936E-2</v>
      </c>
      <c r="EG37" s="198">
        <v>0</v>
      </c>
      <c r="EH37" s="198">
        <v>0.48987972552041359</v>
      </c>
      <c r="EI37" s="336">
        <f t="shared" si="0"/>
        <v>0.51646096536796338</v>
      </c>
      <c r="EJ37" s="336">
        <f>EI37-'[13]FAOSTAT21 CO2'!EH37</f>
        <v>0.57938096536796335</v>
      </c>
    </row>
    <row r="38" spans="1:140" x14ac:dyDescent="0.25">
      <c r="A38" s="31">
        <v>4</v>
      </c>
      <c r="B38" s="31" t="s">
        <v>124</v>
      </c>
      <c r="C38" s="31">
        <v>35</v>
      </c>
      <c r="D38" s="31">
        <v>0</v>
      </c>
      <c r="E38" s="31">
        <v>0</v>
      </c>
      <c r="F38" s="31">
        <v>0</v>
      </c>
      <c r="G38" s="31">
        <v>0</v>
      </c>
      <c r="H38" s="331" t="s">
        <v>2475</v>
      </c>
      <c r="I38" s="331" t="s">
        <v>125</v>
      </c>
      <c r="J38" s="331"/>
      <c r="K38" s="331"/>
      <c r="L38" s="331"/>
      <c r="M38" s="331"/>
      <c r="N38" s="331"/>
      <c r="O38" s="331"/>
      <c r="P38" s="331"/>
      <c r="Q38" s="331"/>
      <c r="R38" s="331"/>
      <c r="S38" s="331"/>
      <c r="T38" s="331"/>
      <c r="U38" s="331"/>
      <c r="V38" s="331"/>
      <c r="W38" s="331"/>
      <c r="X38" s="331"/>
      <c r="Y38" s="331"/>
      <c r="Z38" s="331"/>
      <c r="AA38" s="331"/>
      <c r="AB38" s="331"/>
      <c r="AC38" s="331"/>
      <c r="AD38" s="331"/>
      <c r="AE38" s="331"/>
      <c r="AF38" s="331"/>
      <c r="AG38" s="331"/>
      <c r="AH38" s="331"/>
      <c r="AI38" s="331"/>
      <c r="AJ38" s="331"/>
      <c r="AK38" s="331"/>
      <c r="AL38" s="331"/>
      <c r="AM38" s="331"/>
      <c r="AN38" s="331"/>
      <c r="AO38" s="331"/>
      <c r="AP38" s="331"/>
      <c r="AQ38" s="331"/>
      <c r="AR38" s="331"/>
      <c r="AS38" s="331"/>
      <c r="AT38" s="331"/>
      <c r="AU38" s="331"/>
      <c r="AV38" s="331"/>
      <c r="AW38" s="331"/>
      <c r="AX38" s="331"/>
      <c r="AY38" s="332" t="s">
        <v>2476</v>
      </c>
      <c r="AZ38" s="332" t="s">
        <v>125</v>
      </c>
      <c r="BA38" s="332"/>
      <c r="BB38" s="332"/>
      <c r="BC38" s="332"/>
      <c r="BD38" s="332"/>
      <c r="BE38" s="332"/>
      <c r="BF38" s="332"/>
      <c r="BG38" s="332"/>
      <c r="BH38" s="332"/>
      <c r="BI38" s="332"/>
      <c r="BJ38" s="332"/>
      <c r="BK38" s="332"/>
      <c r="BL38" s="332"/>
      <c r="BM38" s="332"/>
      <c r="BN38" s="332"/>
      <c r="BO38" s="332"/>
      <c r="BP38" s="332"/>
      <c r="BQ38" s="332"/>
      <c r="BR38" s="332"/>
      <c r="BS38" s="332"/>
      <c r="BT38" s="332"/>
      <c r="BU38" s="332"/>
      <c r="BV38" s="332"/>
      <c r="BW38" s="332"/>
      <c r="BX38" s="332"/>
      <c r="BY38" s="332"/>
      <c r="BZ38" s="332"/>
      <c r="CA38" s="332"/>
      <c r="CB38" s="332"/>
      <c r="CC38" s="332"/>
      <c r="CD38" s="332"/>
      <c r="CE38" s="332"/>
      <c r="CF38" s="332"/>
      <c r="CG38" s="332"/>
      <c r="CH38" s="332"/>
      <c r="CI38" s="332"/>
      <c r="CJ38" s="332"/>
      <c r="CK38" s="332"/>
      <c r="CL38" s="332"/>
      <c r="CM38" s="332"/>
      <c r="CN38" s="332"/>
      <c r="CO38" s="332"/>
      <c r="CP38" s="333" t="s">
        <v>27</v>
      </c>
      <c r="CQ38" s="333" t="s">
        <v>125</v>
      </c>
      <c r="CR38" s="334">
        <v>0</v>
      </c>
      <c r="CS38" s="334">
        <v>0</v>
      </c>
      <c r="CT38" s="334">
        <v>0</v>
      </c>
      <c r="CU38" s="334">
        <v>0</v>
      </c>
      <c r="CV38" s="334">
        <v>0</v>
      </c>
      <c r="CW38" s="334">
        <v>0</v>
      </c>
      <c r="CX38" s="334">
        <v>0</v>
      </c>
      <c r="CY38" s="334">
        <v>0</v>
      </c>
      <c r="CZ38" s="334">
        <v>0</v>
      </c>
      <c r="DA38" s="334">
        <v>0</v>
      </c>
      <c r="DB38" s="334">
        <v>0</v>
      </c>
      <c r="DC38" s="334">
        <v>0</v>
      </c>
      <c r="DD38" s="334">
        <v>0</v>
      </c>
      <c r="DE38" s="334">
        <v>0</v>
      </c>
      <c r="DF38" s="334">
        <v>0</v>
      </c>
      <c r="DG38" s="334">
        <v>0</v>
      </c>
      <c r="DH38" s="334">
        <v>0</v>
      </c>
      <c r="DI38" s="334">
        <v>0</v>
      </c>
      <c r="DJ38" s="334">
        <v>0</v>
      </c>
      <c r="DK38" s="334">
        <v>0</v>
      </c>
      <c r="DL38" s="334">
        <v>0</v>
      </c>
      <c r="DM38" s="334">
        <v>0</v>
      </c>
      <c r="DN38" s="334">
        <v>0</v>
      </c>
      <c r="DO38" s="334">
        <v>0</v>
      </c>
      <c r="DP38" s="334">
        <v>0</v>
      </c>
      <c r="DQ38" s="334">
        <v>0</v>
      </c>
      <c r="DR38" s="334">
        <v>0</v>
      </c>
      <c r="DS38" s="334">
        <v>0</v>
      </c>
      <c r="DT38" s="334">
        <v>0</v>
      </c>
      <c r="DU38" s="335">
        <v>0</v>
      </c>
      <c r="DV38" s="335">
        <v>0</v>
      </c>
      <c r="DW38" s="335">
        <v>0</v>
      </c>
      <c r="DX38" s="198" t="s">
        <v>2477</v>
      </c>
      <c r="DY38" s="198" t="s">
        <v>2477</v>
      </c>
      <c r="DZ38" s="198" t="s">
        <v>2477</v>
      </c>
      <c r="EA38" s="198" t="s">
        <v>2477</v>
      </c>
      <c r="EB38" s="198" t="s">
        <v>2477</v>
      </c>
      <c r="EC38" s="198" t="s">
        <v>2477</v>
      </c>
      <c r="ED38" s="198" t="s">
        <v>2477</v>
      </c>
      <c r="EE38" s="198" t="s">
        <v>2477</v>
      </c>
      <c r="EF38" s="198" t="s">
        <v>2477</v>
      </c>
      <c r="EG38" s="198" t="s">
        <v>2477</v>
      </c>
      <c r="EH38" s="198"/>
      <c r="EI38" s="336">
        <f t="shared" si="0"/>
        <v>0</v>
      </c>
      <c r="EJ38" s="336">
        <f>EI38-'[13]FAOSTAT21 CO2'!EH38</f>
        <v>3.3026399999999999E-3</v>
      </c>
    </row>
    <row r="39" spans="1:140" x14ac:dyDescent="0.25">
      <c r="A39" s="31">
        <v>8</v>
      </c>
      <c r="B39" s="31" t="s">
        <v>126</v>
      </c>
      <c r="C39" s="31">
        <v>36</v>
      </c>
      <c r="D39" s="31">
        <v>0</v>
      </c>
      <c r="E39" s="31">
        <v>0</v>
      </c>
      <c r="F39" s="31">
        <v>0</v>
      </c>
      <c r="G39" s="31">
        <v>0</v>
      </c>
      <c r="H39" s="331" t="s">
        <v>2475</v>
      </c>
      <c r="I39" s="331" t="s">
        <v>127</v>
      </c>
      <c r="J39" s="331"/>
      <c r="K39" s="331"/>
      <c r="L39" s="331"/>
      <c r="M39" s="331"/>
      <c r="N39" s="331"/>
      <c r="O39" s="331"/>
      <c r="P39" s="331"/>
      <c r="Q39" s="331"/>
      <c r="R39" s="331"/>
      <c r="S39" s="331"/>
      <c r="T39" s="331"/>
      <c r="U39" s="331"/>
      <c r="V39" s="331"/>
      <c r="W39" s="331"/>
      <c r="X39" s="331"/>
      <c r="Y39" s="331"/>
      <c r="Z39" s="331"/>
      <c r="AA39" s="331"/>
      <c r="AB39" s="331"/>
      <c r="AC39" s="331"/>
      <c r="AD39" s="331"/>
      <c r="AE39" s="331"/>
      <c r="AF39" s="331"/>
      <c r="AG39" s="331"/>
      <c r="AH39" s="331"/>
      <c r="AI39" s="331"/>
      <c r="AJ39" s="331"/>
      <c r="AK39" s="331"/>
      <c r="AL39" s="331"/>
      <c r="AM39" s="331"/>
      <c r="AN39" s="331"/>
      <c r="AO39" s="331"/>
      <c r="AP39" s="331"/>
      <c r="AQ39" s="331"/>
      <c r="AR39" s="331"/>
      <c r="AS39" s="331"/>
      <c r="AT39" s="331"/>
      <c r="AU39" s="331"/>
      <c r="AV39" s="331"/>
      <c r="AW39" s="331"/>
      <c r="AX39" s="331"/>
      <c r="AY39" s="332" t="s">
        <v>2476</v>
      </c>
      <c r="AZ39" s="332" t="s">
        <v>127</v>
      </c>
      <c r="BA39" s="332"/>
      <c r="BB39" s="332"/>
      <c r="BC39" s="332"/>
      <c r="BD39" s="332"/>
      <c r="BE39" s="332"/>
      <c r="BF39" s="332"/>
      <c r="BG39" s="332"/>
      <c r="BH39" s="332"/>
      <c r="BI39" s="332"/>
      <c r="BJ39" s="332"/>
      <c r="BK39" s="332"/>
      <c r="BL39" s="332"/>
      <c r="BM39" s="332"/>
      <c r="BN39" s="332"/>
      <c r="BO39" s="332"/>
      <c r="BP39" s="332"/>
      <c r="BQ39" s="332"/>
      <c r="BR39" s="332"/>
      <c r="BS39" s="332"/>
      <c r="BT39" s="332"/>
      <c r="BU39" s="332"/>
      <c r="BV39" s="332"/>
      <c r="BW39" s="332"/>
      <c r="BX39" s="332"/>
      <c r="BY39" s="332"/>
      <c r="BZ39" s="332"/>
      <c r="CA39" s="332"/>
      <c r="CB39" s="332"/>
      <c r="CC39" s="332"/>
      <c r="CD39" s="332"/>
      <c r="CE39" s="332"/>
      <c r="CF39" s="332"/>
      <c r="CG39" s="332"/>
      <c r="CH39" s="332"/>
      <c r="CI39" s="332"/>
      <c r="CJ39" s="332"/>
      <c r="CK39" s="332"/>
      <c r="CL39" s="332"/>
      <c r="CM39" s="332"/>
      <c r="CN39" s="332"/>
      <c r="CO39" s="332"/>
      <c r="CP39" s="333" t="s">
        <v>27</v>
      </c>
      <c r="CQ39" s="333" t="s">
        <v>127</v>
      </c>
      <c r="CR39" s="334">
        <v>6.9301000000000004</v>
      </c>
      <c r="CS39" s="334">
        <v>6.9301000000000004</v>
      </c>
      <c r="CT39" s="334">
        <v>6.9301000000000004</v>
      </c>
      <c r="CU39" s="334">
        <v>6.9301000000000004</v>
      </c>
      <c r="CV39" s="334">
        <v>6.9301000000000004</v>
      </c>
      <c r="CW39" s="334">
        <v>6.9301000000000004</v>
      </c>
      <c r="CX39" s="334">
        <v>6.9301000000000004</v>
      </c>
      <c r="CY39" s="334">
        <v>6.9301000000000004</v>
      </c>
      <c r="CZ39" s="334">
        <v>6.9301000000000004</v>
      </c>
      <c r="DA39" s="334">
        <v>6.9301000000000004</v>
      </c>
      <c r="DB39" s="334">
        <v>6.9301000000000004</v>
      </c>
      <c r="DC39" s="334">
        <v>6.9301000000000004</v>
      </c>
      <c r="DD39" s="334">
        <v>6.9301000000000004</v>
      </c>
      <c r="DE39" s="334">
        <v>6.9301000000000004</v>
      </c>
      <c r="DF39" s="334">
        <v>6.9301000000000004</v>
      </c>
      <c r="DG39" s="334">
        <v>6.9301000000000004</v>
      </c>
      <c r="DH39" s="334">
        <v>6.9301000000000004</v>
      </c>
      <c r="DI39" s="334">
        <v>6.9301000000000004</v>
      </c>
      <c r="DJ39" s="334">
        <v>6.9301000000000004</v>
      </c>
      <c r="DK39" s="334">
        <v>6.9301000000000004</v>
      </c>
      <c r="DL39" s="334">
        <v>6.9301000000000004</v>
      </c>
      <c r="DM39" s="334">
        <v>6.7913999999999994</v>
      </c>
      <c r="DN39" s="334">
        <v>6.9260000000000002</v>
      </c>
      <c r="DO39" s="334">
        <v>4.9673999999999996</v>
      </c>
      <c r="DP39" s="334">
        <v>5.4276</v>
      </c>
      <c r="DQ39" s="334">
        <v>5.5487000000000002</v>
      </c>
      <c r="DR39" s="334">
        <v>6.8616999999999999</v>
      </c>
      <c r="DS39" s="334">
        <v>6.9169999999999998</v>
      </c>
      <c r="DT39" s="334">
        <v>5.9283000000000001</v>
      </c>
      <c r="DU39" s="335">
        <v>6.2484943349753834</v>
      </c>
      <c r="DV39" s="335">
        <v>6.2170141871921274</v>
      </c>
      <c r="DW39" s="335">
        <v>6.1855340394088714</v>
      </c>
      <c r="DX39" s="198">
        <v>7.0990098024182275</v>
      </c>
      <c r="DY39" s="198">
        <v>6.936854824538683</v>
      </c>
      <c r="DZ39" s="198">
        <v>6.449775667498991</v>
      </c>
      <c r="EA39" s="198">
        <v>0.26424162809011964</v>
      </c>
      <c r="EB39" s="198">
        <v>6.2170141871921274</v>
      </c>
      <c r="EC39" s="198">
        <v>6.2170141871921274</v>
      </c>
      <c r="ED39" s="198">
        <v>6.2170141871921274</v>
      </c>
      <c r="EE39" s="198">
        <v>6.2170141871921274</v>
      </c>
      <c r="EF39" s="198">
        <v>3.1480147783256029E-2</v>
      </c>
      <c r="EG39" s="198">
        <v>-0.23276148030686361</v>
      </c>
      <c r="EH39" s="198">
        <v>5.2193902371566985</v>
      </c>
      <c r="EI39" s="336">
        <f t="shared" si="0"/>
        <v>6.3008388669950763</v>
      </c>
      <c r="EJ39" s="336">
        <f>EI39-'[13]FAOSTAT21 CO2'!EH39</f>
        <v>-7.6789248730049229</v>
      </c>
    </row>
    <row r="40" spans="1:140" x14ac:dyDescent="0.25">
      <c r="A40" s="31">
        <v>8</v>
      </c>
      <c r="B40" s="31" t="s">
        <v>128</v>
      </c>
      <c r="C40" s="31">
        <v>38</v>
      </c>
      <c r="D40" s="31">
        <v>0</v>
      </c>
      <c r="E40" s="31">
        <v>0</v>
      </c>
      <c r="F40" s="31">
        <v>0</v>
      </c>
      <c r="G40" s="31">
        <v>0</v>
      </c>
      <c r="H40" s="331" t="s">
        <v>2475</v>
      </c>
      <c r="I40" s="331" t="s">
        <v>129</v>
      </c>
      <c r="J40" s="331"/>
      <c r="K40" s="331"/>
      <c r="L40" s="331"/>
      <c r="M40" s="331"/>
      <c r="N40" s="331"/>
      <c r="O40" s="331"/>
      <c r="P40" s="331"/>
      <c r="Q40" s="331"/>
      <c r="R40" s="331"/>
      <c r="S40" s="331"/>
      <c r="T40" s="331"/>
      <c r="U40" s="331"/>
      <c r="V40" s="331"/>
      <c r="W40" s="331"/>
      <c r="X40" s="331"/>
      <c r="Y40" s="331"/>
      <c r="Z40" s="331"/>
      <c r="AA40" s="331"/>
      <c r="AB40" s="331"/>
      <c r="AC40" s="331"/>
      <c r="AD40" s="331"/>
      <c r="AE40" s="331"/>
      <c r="AF40" s="331"/>
      <c r="AG40" s="331"/>
      <c r="AH40" s="331"/>
      <c r="AI40" s="331"/>
      <c r="AJ40" s="331"/>
      <c r="AK40" s="331"/>
      <c r="AL40" s="331"/>
      <c r="AM40" s="331"/>
      <c r="AN40" s="331"/>
      <c r="AO40" s="331"/>
      <c r="AP40" s="331"/>
      <c r="AQ40" s="331"/>
      <c r="AR40" s="331"/>
      <c r="AS40" s="331"/>
      <c r="AT40" s="331"/>
      <c r="AU40" s="331"/>
      <c r="AV40" s="331"/>
      <c r="AW40" s="331"/>
      <c r="AX40" s="331"/>
      <c r="AY40" s="332" t="s">
        <v>2476</v>
      </c>
      <c r="AZ40" s="332" t="s">
        <v>129</v>
      </c>
      <c r="BA40" s="332"/>
      <c r="BB40" s="332"/>
      <c r="BC40" s="332"/>
      <c r="BD40" s="332"/>
      <c r="BE40" s="332"/>
      <c r="BF40" s="332"/>
      <c r="BG40" s="332"/>
      <c r="BH40" s="332"/>
      <c r="BI40" s="332"/>
      <c r="BJ40" s="332"/>
      <c r="BK40" s="332"/>
      <c r="BL40" s="332"/>
      <c r="BM40" s="332"/>
      <c r="BN40" s="332"/>
      <c r="BO40" s="332"/>
      <c r="BP40" s="332"/>
      <c r="BQ40" s="332"/>
      <c r="BR40" s="332"/>
      <c r="BS40" s="332"/>
      <c r="BT40" s="332"/>
      <c r="BU40" s="332"/>
      <c r="BV40" s="332"/>
      <c r="BW40" s="332"/>
      <c r="BX40" s="332"/>
      <c r="BY40" s="332"/>
      <c r="BZ40" s="332"/>
      <c r="CA40" s="332"/>
      <c r="CB40" s="332"/>
      <c r="CC40" s="332"/>
      <c r="CD40" s="332"/>
      <c r="CE40" s="332"/>
      <c r="CF40" s="332"/>
      <c r="CG40" s="332"/>
      <c r="CH40" s="332"/>
      <c r="CI40" s="332"/>
      <c r="CJ40" s="332"/>
      <c r="CK40" s="332"/>
      <c r="CL40" s="332"/>
      <c r="CM40" s="332"/>
      <c r="CN40" s="332"/>
      <c r="CO40" s="332"/>
      <c r="CP40" s="333" t="s">
        <v>27</v>
      </c>
      <c r="CQ40" s="333" t="s">
        <v>129</v>
      </c>
      <c r="CR40" s="334">
        <v>-46.198120000000003</v>
      </c>
      <c r="CS40" s="334">
        <v>-46.198120000000003</v>
      </c>
      <c r="CT40" s="334">
        <v>-46.198120000000003</v>
      </c>
      <c r="CU40" s="334">
        <v>-46.198120000000003</v>
      </c>
      <c r="CV40" s="334">
        <v>-42.932358333333333</v>
      </c>
      <c r="CW40" s="334">
        <v>-39.666596666666663</v>
      </c>
      <c r="CX40" s="334">
        <v>-36.400834999999994</v>
      </c>
      <c r="CY40" s="334">
        <v>-33.135073333333324</v>
      </c>
      <c r="CZ40" s="334">
        <v>-29.869311666666658</v>
      </c>
      <c r="DA40" s="334">
        <v>-26.603549999999998</v>
      </c>
      <c r="DB40" s="334">
        <v>-45.318950000000001</v>
      </c>
      <c r="DC40" s="334">
        <v>-44.552239999999998</v>
      </c>
      <c r="DD40" s="334">
        <v>-43.773019999999995</v>
      </c>
      <c r="DE40" s="334">
        <v>-37.693870000000004</v>
      </c>
      <c r="DF40" s="334">
        <v>-32.307970142857144</v>
      </c>
      <c r="DG40" s="334">
        <v>-26.922070285714284</v>
      </c>
      <c r="DH40" s="334">
        <v>-21.536170428571424</v>
      </c>
      <c r="DI40" s="334">
        <v>-16.150270571428564</v>
      </c>
      <c r="DJ40" s="334">
        <v>-10.764370714285706</v>
      </c>
      <c r="DK40" s="334">
        <v>-5.3784708571428474</v>
      </c>
      <c r="DL40" s="334">
        <v>7.4290000000000007E-3</v>
      </c>
      <c r="DM40" s="334">
        <v>-11.243208599999889</v>
      </c>
      <c r="DN40" s="334">
        <v>-9.3311618536790775</v>
      </c>
      <c r="DO40" s="334">
        <v>-7.4191151073591755</v>
      </c>
      <c r="DP40" s="334">
        <v>-5.5070683610388187</v>
      </c>
      <c r="DQ40" s="334">
        <v>-3.5950216147184619</v>
      </c>
      <c r="DR40" s="334">
        <v>-1.6829748683981052</v>
      </c>
      <c r="DS40" s="334">
        <v>0.22907187792225159</v>
      </c>
      <c r="DT40" s="334">
        <v>2.1411186242426083</v>
      </c>
      <c r="DU40" s="335">
        <v>4.0531653705629651</v>
      </c>
      <c r="DV40" s="335">
        <v>5.9652121168833219</v>
      </c>
      <c r="DW40" s="335">
        <v>7.8772588632036786</v>
      </c>
      <c r="DX40" s="198">
        <v>5.9652121168833219</v>
      </c>
      <c r="DY40" s="198">
        <v>5.9652121168833219</v>
      </c>
      <c r="DZ40" s="198">
        <v>5.9652121168833219</v>
      </c>
      <c r="EA40" s="198">
        <v>-1.9120467463203568</v>
      </c>
      <c r="EB40" s="198">
        <v>5.9652121168833219</v>
      </c>
      <c r="EC40" s="198">
        <v>5.9652121168833219</v>
      </c>
      <c r="ED40" s="198">
        <v>5.9652121168833219</v>
      </c>
      <c r="EE40" s="198">
        <v>5.9652121168833219</v>
      </c>
      <c r="EF40" s="198">
        <v>-1.9120467463203568</v>
      </c>
      <c r="EG40" s="198">
        <v>0</v>
      </c>
      <c r="EH40" s="198">
        <v>4.1893887337446643</v>
      </c>
      <c r="EI40" s="336">
        <f t="shared" si="0"/>
        <v>0.22907187792225159</v>
      </c>
      <c r="EJ40" s="336">
        <f>EI40-'[13]FAOSTAT21 CO2'!EH40</f>
        <v>-23.617112422077746</v>
      </c>
    </row>
    <row r="41" spans="1:140" x14ac:dyDescent="0.25">
      <c r="A41" s="31">
        <v>6</v>
      </c>
      <c r="B41" s="31" t="s">
        <v>130</v>
      </c>
      <c r="C41" s="31">
        <v>39</v>
      </c>
      <c r="D41" s="31">
        <v>0</v>
      </c>
      <c r="E41" s="31">
        <v>0</v>
      </c>
      <c r="F41" s="31">
        <v>0</v>
      </c>
      <c r="G41" s="31">
        <v>1</v>
      </c>
      <c r="H41" s="331" t="s">
        <v>2475</v>
      </c>
      <c r="I41" s="331" t="s">
        <v>131</v>
      </c>
      <c r="J41" s="331"/>
      <c r="K41" s="331"/>
      <c r="L41" s="331"/>
      <c r="M41" s="331"/>
      <c r="N41" s="331"/>
      <c r="O41" s="331"/>
      <c r="P41" s="331"/>
      <c r="Q41" s="331"/>
      <c r="R41" s="331"/>
      <c r="S41" s="331"/>
      <c r="T41" s="331"/>
      <c r="U41" s="331"/>
      <c r="V41" s="331"/>
      <c r="W41" s="331"/>
      <c r="X41" s="331"/>
      <c r="Y41" s="331"/>
      <c r="Z41" s="331"/>
      <c r="AA41" s="331"/>
      <c r="AB41" s="331"/>
      <c r="AC41" s="331"/>
      <c r="AD41" s="331"/>
      <c r="AE41" s="331"/>
      <c r="AF41" s="331"/>
      <c r="AG41" s="331"/>
      <c r="AH41" s="331"/>
      <c r="AI41" s="331"/>
      <c r="AJ41" s="331"/>
      <c r="AK41" s="331"/>
      <c r="AL41" s="331"/>
      <c r="AM41" s="331"/>
      <c r="AN41" s="331"/>
      <c r="AO41" s="331"/>
      <c r="AP41" s="331"/>
      <c r="AQ41" s="331"/>
      <c r="AR41" s="331"/>
      <c r="AS41" s="331"/>
      <c r="AT41" s="331"/>
      <c r="AU41" s="331"/>
      <c r="AV41" s="331"/>
      <c r="AW41" s="331"/>
      <c r="AX41" s="331"/>
      <c r="AY41" s="332" t="s">
        <v>2476</v>
      </c>
      <c r="AZ41" s="332" t="s">
        <v>131</v>
      </c>
      <c r="BA41" s="332"/>
      <c r="BB41" s="332"/>
      <c r="BC41" s="332"/>
      <c r="BD41" s="332"/>
      <c r="BE41" s="332"/>
      <c r="BF41" s="332"/>
      <c r="BG41" s="332"/>
      <c r="BH41" s="332"/>
      <c r="BI41" s="332"/>
      <c r="BJ41" s="332"/>
      <c r="BK41" s="332"/>
      <c r="BL41" s="332"/>
      <c r="BM41" s="332"/>
      <c r="BN41" s="332"/>
      <c r="BO41" s="332"/>
      <c r="BP41" s="332"/>
      <c r="BQ41" s="332"/>
      <c r="BR41" s="332"/>
      <c r="BS41" s="332"/>
      <c r="BT41" s="332"/>
      <c r="BU41" s="332"/>
      <c r="BV41" s="332"/>
      <c r="BW41" s="332"/>
      <c r="BX41" s="332"/>
      <c r="BY41" s="332"/>
      <c r="BZ41" s="332"/>
      <c r="CA41" s="332"/>
      <c r="CB41" s="332"/>
      <c r="CC41" s="332"/>
      <c r="CD41" s="332"/>
      <c r="CE41" s="332"/>
      <c r="CF41" s="332"/>
      <c r="CG41" s="332"/>
      <c r="CH41" s="332"/>
      <c r="CI41" s="332"/>
      <c r="CJ41" s="332"/>
      <c r="CK41" s="332"/>
      <c r="CL41" s="332"/>
      <c r="CM41" s="332"/>
      <c r="CN41" s="332"/>
      <c r="CO41" s="332"/>
      <c r="CP41" s="333" t="s">
        <v>27</v>
      </c>
      <c r="CQ41" s="333" t="s">
        <v>131</v>
      </c>
      <c r="CR41" s="334">
        <v>-65.811600000000013</v>
      </c>
      <c r="CS41" s="334">
        <v>-61.073800000000006</v>
      </c>
      <c r="CT41" s="334">
        <v>-61.84</v>
      </c>
      <c r="CU41" s="334">
        <v>-61.465699999999998</v>
      </c>
      <c r="CV41" s="334">
        <v>-61.407499999999999</v>
      </c>
      <c r="CW41" s="334">
        <v>-60.762800000000006</v>
      </c>
      <c r="CX41" s="334">
        <v>-59.603499999999997</v>
      </c>
      <c r="CY41" s="334">
        <v>-62.432699999999997</v>
      </c>
      <c r="CZ41" s="334">
        <v>-44.038800000000002</v>
      </c>
      <c r="DA41" s="334">
        <v>-57.668199999999999</v>
      </c>
      <c r="DB41" s="334">
        <v>-66.219700000000003</v>
      </c>
      <c r="DC41" s="334">
        <v>-66.857199999999992</v>
      </c>
      <c r="DD41" s="334">
        <v>-56.141599999999997</v>
      </c>
      <c r="DE41" s="334">
        <v>-69.395800000000008</v>
      </c>
      <c r="DF41" s="334">
        <v>-63.648900000000005</v>
      </c>
      <c r="DG41" s="334">
        <v>-62.344999999999999</v>
      </c>
      <c r="DH41" s="334">
        <v>-65.062600000000003</v>
      </c>
      <c r="DI41" s="334">
        <v>-53.179400000000001</v>
      </c>
      <c r="DJ41" s="334">
        <v>-52.951999999999998</v>
      </c>
      <c r="DK41" s="334">
        <v>-56.078699999999998</v>
      </c>
      <c r="DL41" s="334">
        <v>-63.615499999999997</v>
      </c>
      <c r="DM41" s="334">
        <v>-63.981699999999996</v>
      </c>
      <c r="DN41" s="334">
        <v>-57.857699999999994</v>
      </c>
      <c r="DO41" s="334">
        <v>-64.525199999999998</v>
      </c>
      <c r="DP41" s="334">
        <v>-56.574400000000004</v>
      </c>
      <c r="DQ41" s="334">
        <v>-46.443100000000001</v>
      </c>
      <c r="DR41" s="334">
        <v>-61.910899999999998</v>
      </c>
      <c r="DS41" s="334">
        <v>-14.8743</v>
      </c>
      <c r="DT41" s="334">
        <v>-51.5792</v>
      </c>
      <c r="DU41" s="335">
        <v>-48.537699999999994</v>
      </c>
      <c r="DV41" s="335">
        <v>-49.727400000000003</v>
      </c>
      <c r="DW41" s="335">
        <v>-49.796879354838779</v>
      </c>
      <c r="DX41" s="198">
        <v>-49.727400000000003</v>
      </c>
      <c r="DY41" s="198">
        <v>-7.4</v>
      </c>
      <c r="DZ41" s="198">
        <v>-7.4</v>
      </c>
      <c r="EA41" s="198">
        <v>42.396879354838781</v>
      </c>
      <c r="EB41" s="198">
        <v>-49.727400000000003</v>
      </c>
      <c r="EC41" s="198">
        <v>65</v>
      </c>
      <c r="ED41" s="198">
        <v>-49.727400000000003</v>
      </c>
      <c r="EE41" s="198">
        <v>65</v>
      </c>
      <c r="EF41" s="198">
        <v>114.79687935483878</v>
      </c>
      <c r="EG41" s="198">
        <v>72.400000000000006</v>
      </c>
      <c r="EH41" s="198">
        <v>-62.585230336074154</v>
      </c>
      <c r="EI41" s="336">
        <f t="shared" si="0"/>
        <v>-44.669040000000003</v>
      </c>
      <c r="EJ41" s="336">
        <f>EI41-'[13]FAOSTAT21 CO2'!EH41</f>
        <v>17.895151140000003</v>
      </c>
    </row>
    <row r="42" spans="1:140" x14ac:dyDescent="0.25">
      <c r="A42" s="31">
        <v>20</v>
      </c>
      <c r="B42" s="31" t="s">
        <v>132</v>
      </c>
      <c r="C42" s="31">
        <v>40</v>
      </c>
      <c r="D42" s="31">
        <v>0</v>
      </c>
      <c r="E42" s="31">
        <v>1</v>
      </c>
      <c r="F42" s="31">
        <v>0</v>
      </c>
      <c r="G42" s="31">
        <v>1</v>
      </c>
      <c r="H42" s="331" t="s">
        <v>2475</v>
      </c>
      <c r="I42" s="331" t="s">
        <v>133</v>
      </c>
      <c r="J42" s="331"/>
      <c r="K42" s="331"/>
      <c r="L42" s="331"/>
      <c r="M42" s="331"/>
      <c r="N42" s="331"/>
      <c r="O42" s="331"/>
      <c r="P42" s="331"/>
      <c r="Q42" s="331"/>
      <c r="R42" s="331"/>
      <c r="S42" s="331"/>
      <c r="T42" s="331"/>
      <c r="U42" s="331"/>
      <c r="V42" s="331"/>
      <c r="W42" s="331"/>
      <c r="X42" s="331"/>
      <c r="Y42" s="331"/>
      <c r="Z42" s="331"/>
      <c r="AA42" s="331"/>
      <c r="AB42" s="331"/>
      <c r="AC42" s="331"/>
      <c r="AD42" s="331"/>
      <c r="AE42" s="331"/>
      <c r="AF42" s="331"/>
      <c r="AG42" s="331"/>
      <c r="AH42" s="331"/>
      <c r="AI42" s="331"/>
      <c r="AJ42" s="331"/>
      <c r="AK42" s="331"/>
      <c r="AL42" s="331"/>
      <c r="AM42" s="331"/>
      <c r="AN42" s="331"/>
      <c r="AO42" s="331"/>
      <c r="AP42" s="331"/>
      <c r="AQ42" s="331"/>
      <c r="AR42" s="331"/>
      <c r="AS42" s="331"/>
      <c r="AT42" s="331"/>
      <c r="AU42" s="331"/>
      <c r="AV42" s="331"/>
      <c r="AW42" s="331"/>
      <c r="AX42" s="331"/>
      <c r="AY42" s="332" t="s">
        <v>2476</v>
      </c>
      <c r="AZ42" s="332" t="s">
        <v>133</v>
      </c>
      <c r="BA42" s="332"/>
      <c r="BB42" s="332"/>
      <c r="BC42" s="332"/>
      <c r="BD42" s="332"/>
      <c r="BE42" s="332"/>
      <c r="BF42" s="332"/>
      <c r="BG42" s="332"/>
      <c r="BH42" s="332"/>
      <c r="BI42" s="332"/>
      <c r="BJ42" s="332"/>
      <c r="BK42" s="332"/>
      <c r="BL42" s="332"/>
      <c r="BM42" s="332"/>
      <c r="BN42" s="332"/>
      <c r="BO42" s="332"/>
      <c r="BP42" s="332"/>
      <c r="BQ42" s="332"/>
      <c r="BR42" s="332"/>
      <c r="BS42" s="332"/>
      <c r="BT42" s="332"/>
      <c r="BU42" s="332"/>
      <c r="BV42" s="332"/>
      <c r="BW42" s="332"/>
      <c r="BX42" s="332"/>
      <c r="BY42" s="332"/>
      <c r="BZ42" s="332"/>
      <c r="CA42" s="332"/>
      <c r="CB42" s="332"/>
      <c r="CC42" s="332"/>
      <c r="CD42" s="332"/>
      <c r="CE42" s="332"/>
      <c r="CF42" s="332"/>
      <c r="CG42" s="332"/>
      <c r="CH42" s="332"/>
      <c r="CI42" s="332"/>
      <c r="CJ42" s="332"/>
      <c r="CK42" s="332"/>
      <c r="CL42" s="332"/>
      <c r="CM42" s="332"/>
      <c r="CN42" s="332"/>
      <c r="CO42" s="332"/>
      <c r="CP42" s="333" t="s">
        <v>27</v>
      </c>
      <c r="CQ42" s="333" t="s">
        <v>133</v>
      </c>
      <c r="CR42" s="334">
        <v>-407</v>
      </c>
      <c r="CS42" s="334">
        <v>-407</v>
      </c>
      <c r="CT42" s="334">
        <v>-407</v>
      </c>
      <c r="CU42" s="334">
        <v>-407</v>
      </c>
      <c r="CV42" s="334">
        <v>-407</v>
      </c>
      <c r="CW42" s="334">
        <v>-440</v>
      </c>
      <c r="CX42" s="334">
        <v>-473</v>
      </c>
      <c r="CY42" s="334">
        <v>-506</v>
      </c>
      <c r="CZ42" s="334">
        <v>-539</v>
      </c>
      <c r="DA42" s="334">
        <v>-572</v>
      </c>
      <c r="DB42" s="334">
        <v>-605</v>
      </c>
      <c r="DC42" s="334">
        <v>-638</v>
      </c>
      <c r="DD42" s="334">
        <v>-671</v>
      </c>
      <c r="DE42" s="334">
        <v>-704</v>
      </c>
      <c r="DF42" s="334">
        <v>-737</v>
      </c>
      <c r="DG42" s="334">
        <v>-770</v>
      </c>
      <c r="DH42" s="334">
        <v>-814.6</v>
      </c>
      <c r="DI42" s="334">
        <v>-859.2</v>
      </c>
      <c r="DJ42" s="334">
        <v>-903.80000000000007</v>
      </c>
      <c r="DK42" s="334">
        <v>-948.40000000000009</v>
      </c>
      <c r="DL42" s="334">
        <v>-993</v>
      </c>
      <c r="DM42" s="334">
        <v>-784.5</v>
      </c>
      <c r="DN42" s="334">
        <v>-576</v>
      </c>
      <c r="DO42" s="334">
        <v>-845.5</v>
      </c>
      <c r="DP42" s="334">
        <v>-1115</v>
      </c>
      <c r="DQ42" s="334">
        <v>-1150.5</v>
      </c>
      <c r="DR42" s="334">
        <v>-1186</v>
      </c>
      <c r="DS42" s="334">
        <v>-1221.5</v>
      </c>
      <c r="DT42" s="334">
        <v>-1257</v>
      </c>
      <c r="DU42" s="335">
        <v>-1181.8669950738913</v>
      </c>
      <c r="DV42" s="335">
        <v>-1211.5891625615768</v>
      </c>
      <c r="DW42" s="335">
        <v>-1241.3113300492623</v>
      </c>
      <c r="DX42" s="198">
        <v>-770</v>
      </c>
      <c r="DY42" s="198">
        <v>-935</v>
      </c>
      <c r="DZ42" s="198">
        <v>-935</v>
      </c>
      <c r="EA42" s="198">
        <v>306.31133004926232</v>
      </c>
      <c r="EB42" s="198">
        <v>-1211.5891625615768</v>
      </c>
      <c r="EC42" s="198">
        <v>-1211.5891625615768</v>
      </c>
      <c r="ED42" s="198">
        <v>-1211.5891625615768</v>
      </c>
      <c r="EE42" s="198">
        <v>-935</v>
      </c>
      <c r="EF42" s="198">
        <v>29.72216748768551</v>
      </c>
      <c r="EG42" s="198">
        <v>-276.58916256157681</v>
      </c>
      <c r="EH42" s="198">
        <v>-1377.2090599999999</v>
      </c>
      <c r="EI42" s="336">
        <f t="shared" si="0"/>
        <v>-1199.3733990147782</v>
      </c>
      <c r="EJ42" s="336">
        <f>EI42-'[13]FAOSTAT21 CO2'!EH42</f>
        <v>-537.2589471747782</v>
      </c>
    </row>
    <row r="43" spans="1:140" x14ac:dyDescent="0.25">
      <c r="A43" s="31">
        <v>6</v>
      </c>
      <c r="B43" s="31" t="s">
        <v>134</v>
      </c>
      <c r="C43" s="31">
        <v>42</v>
      </c>
      <c r="D43" s="31">
        <v>0</v>
      </c>
      <c r="E43" s="31">
        <v>0</v>
      </c>
      <c r="F43" s="31">
        <v>0</v>
      </c>
      <c r="G43" s="31">
        <v>1</v>
      </c>
      <c r="H43" s="331" t="s">
        <v>2475</v>
      </c>
      <c r="I43" s="331" t="s">
        <v>135</v>
      </c>
      <c r="J43" s="331"/>
      <c r="K43" s="331"/>
      <c r="L43" s="331"/>
      <c r="M43" s="331"/>
      <c r="N43" s="331"/>
      <c r="O43" s="331"/>
      <c r="P43" s="331"/>
      <c r="Q43" s="331"/>
      <c r="R43" s="331"/>
      <c r="S43" s="331"/>
      <c r="T43" s="331"/>
      <c r="U43" s="331"/>
      <c r="V43" s="331"/>
      <c r="W43" s="331"/>
      <c r="X43" s="331"/>
      <c r="Y43" s="331"/>
      <c r="Z43" s="331"/>
      <c r="AA43" s="331"/>
      <c r="AB43" s="331"/>
      <c r="AC43" s="331"/>
      <c r="AD43" s="331"/>
      <c r="AE43" s="331"/>
      <c r="AF43" s="331"/>
      <c r="AG43" s="331"/>
      <c r="AH43" s="331"/>
      <c r="AI43" s="331"/>
      <c r="AJ43" s="331"/>
      <c r="AK43" s="331"/>
      <c r="AL43" s="331"/>
      <c r="AM43" s="331"/>
      <c r="AN43" s="331"/>
      <c r="AO43" s="331"/>
      <c r="AP43" s="331"/>
      <c r="AQ43" s="331"/>
      <c r="AR43" s="331"/>
      <c r="AS43" s="331"/>
      <c r="AT43" s="331"/>
      <c r="AU43" s="331"/>
      <c r="AV43" s="331"/>
      <c r="AW43" s="331"/>
      <c r="AX43" s="331"/>
      <c r="AY43" s="332" t="s">
        <v>2476</v>
      </c>
      <c r="AZ43" s="332" t="s">
        <v>135</v>
      </c>
      <c r="BA43" s="332"/>
      <c r="BB43" s="332"/>
      <c r="BC43" s="332"/>
      <c r="BD43" s="332"/>
      <c r="BE43" s="332"/>
      <c r="BF43" s="332"/>
      <c r="BG43" s="332"/>
      <c r="BH43" s="332"/>
      <c r="BI43" s="332"/>
      <c r="BJ43" s="332"/>
      <c r="BK43" s="332"/>
      <c r="BL43" s="332"/>
      <c r="BM43" s="332"/>
      <c r="BN43" s="332"/>
      <c r="BO43" s="332"/>
      <c r="BP43" s="332"/>
      <c r="BQ43" s="332"/>
      <c r="BR43" s="332"/>
      <c r="BS43" s="332"/>
      <c r="BT43" s="332"/>
      <c r="BU43" s="332"/>
      <c r="BV43" s="332"/>
      <c r="BW43" s="332"/>
      <c r="BX43" s="332"/>
      <c r="BY43" s="332"/>
      <c r="BZ43" s="332"/>
      <c r="CA43" s="332"/>
      <c r="CB43" s="332"/>
      <c r="CC43" s="332"/>
      <c r="CD43" s="332"/>
      <c r="CE43" s="332"/>
      <c r="CF43" s="332"/>
      <c r="CG43" s="332"/>
      <c r="CH43" s="332"/>
      <c r="CI43" s="332"/>
      <c r="CJ43" s="332"/>
      <c r="CK43" s="332"/>
      <c r="CL43" s="332"/>
      <c r="CM43" s="332"/>
      <c r="CN43" s="332"/>
      <c r="CO43" s="332"/>
      <c r="CP43" s="333" t="s">
        <v>27</v>
      </c>
      <c r="CQ43" s="333" t="s">
        <v>135</v>
      </c>
      <c r="CR43" s="334">
        <v>118.377</v>
      </c>
      <c r="CS43" s="334">
        <v>119.46599999999999</v>
      </c>
      <c r="CT43" s="334">
        <v>119.721</v>
      </c>
      <c r="CU43" s="334">
        <v>120.18899999999999</v>
      </c>
      <c r="CV43" s="334">
        <v>120.95099999999999</v>
      </c>
      <c r="CW43" s="334">
        <v>120.822</v>
      </c>
      <c r="CX43" s="334">
        <v>120.88800000000001</v>
      </c>
      <c r="CY43" s="334">
        <v>122.59399999999999</v>
      </c>
      <c r="CZ43" s="334">
        <v>121.81</v>
      </c>
      <c r="DA43" s="334">
        <v>122.04</v>
      </c>
      <c r="DB43" s="334">
        <v>103.21</v>
      </c>
      <c r="DC43" s="334">
        <v>84.807000000000002</v>
      </c>
      <c r="DD43" s="334">
        <v>84.536000000000001</v>
      </c>
      <c r="DE43" s="334">
        <v>98.662999999999997</v>
      </c>
      <c r="DF43" s="334">
        <v>98.231999999999999</v>
      </c>
      <c r="DG43" s="334">
        <v>85.614999999999995</v>
      </c>
      <c r="DH43" s="334">
        <v>84.001999999999995</v>
      </c>
      <c r="DI43" s="334">
        <v>85.528000000000006</v>
      </c>
      <c r="DJ43" s="334">
        <v>81.064999999999998</v>
      </c>
      <c r="DK43" s="334">
        <v>75.03</v>
      </c>
      <c r="DL43" s="334">
        <v>75.16</v>
      </c>
      <c r="DM43" s="334">
        <v>84.100999999999999</v>
      </c>
      <c r="DN43" s="334">
        <v>81.569999999999993</v>
      </c>
      <c r="DO43" s="334">
        <v>66.974000000000004</v>
      </c>
      <c r="DP43" s="334">
        <v>70.605000000000004</v>
      </c>
      <c r="DQ43" s="334">
        <v>62.408999999999999</v>
      </c>
      <c r="DR43" s="334">
        <v>79.653999999999996</v>
      </c>
      <c r="DS43" s="334">
        <v>106.834</v>
      </c>
      <c r="DT43" s="334">
        <v>98.471000000000004</v>
      </c>
      <c r="DU43" s="335">
        <v>69.32505911330054</v>
      </c>
      <c r="DV43" s="335">
        <v>67.479318226601208</v>
      </c>
      <c r="DW43" s="335">
        <v>65.633577339901422</v>
      </c>
      <c r="DX43" s="198">
        <v>97.36</v>
      </c>
      <c r="DY43" s="198">
        <v>97.36</v>
      </c>
      <c r="DZ43" s="198">
        <v>0</v>
      </c>
      <c r="EA43" s="198">
        <v>-65.633577339901422</v>
      </c>
      <c r="EB43" s="198">
        <v>67.479318226601208</v>
      </c>
      <c r="EC43" s="198">
        <v>-281.84500000000003</v>
      </c>
      <c r="ED43" s="198">
        <v>67.479318226601208</v>
      </c>
      <c r="EE43" s="198">
        <v>-281.84500000000003</v>
      </c>
      <c r="EF43" s="198">
        <v>-347.47857733990145</v>
      </c>
      <c r="EG43" s="198">
        <v>-281.84500000000003</v>
      </c>
      <c r="EH43" s="198">
        <v>109.487478</v>
      </c>
      <c r="EI43" s="336">
        <f t="shared" si="0"/>
        <v>83.338611822660113</v>
      </c>
      <c r="EJ43" s="336">
        <f>EI43-'[13]FAOSTAT21 CO2'!EH43</f>
        <v>5.6647951826601144</v>
      </c>
    </row>
    <row r="44" spans="1:140" x14ac:dyDescent="0.25">
      <c r="A44" s="31">
        <v>9</v>
      </c>
      <c r="B44" s="31" t="s">
        <v>136</v>
      </c>
      <c r="C44" s="31">
        <v>43</v>
      </c>
      <c r="D44" s="31">
        <v>0</v>
      </c>
      <c r="E44" s="31">
        <v>0</v>
      </c>
      <c r="F44" s="31">
        <v>0</v>
      </c>
      <c r="G44" s="31">
        <v>0</v>
      </c>
      <c r="H44" s="331" t="s">
        <v>2475</v>
      </c>
      <c r="I44" s="331" t="s">
        <v>137</v>
      </c>
      <c r="J44" s="331"/>
      <c r="K44" s="331"/>
      <c r="L44" s="331"/>
      <c r="M44" s="331"/>
      <c r="N44" s="331"/>
      <c r="O44" s="331"/>
      <c r="P44" s="331"/>
      <c r="Q44" s="331"/>
      <c r="R44" s="331"/>
      <c r="S44" s="331"/>
      <c r="T44" s="331"/>
      <c r="U44" s="331"/>
      <c r="V44" s="331"/>
      <c r="W44" s="331"/>
      <c r="X44" s="331"/>
      <c r="Y44" s="331"/>
      <c r="Z44" s="331"/>
      <c r="AA44" s="331"/>
      <c r="AB44" s="331"/>
      <c r="AC44" s="331"/>
      <c r="AD44" s="331"/>
      <c r="AE44" s="331"/>
      <c r="AF44" s="331"/>
      <c r="AG44" s="331"/>
      <c r="AH44" s="331"/>
      <c r="AI44" s="331"/>
      <c r="AJ44" s="331"/>
      <c r="AK44" s="331"/>
      <c r="AL44" s="331"/>
      <c r="AM44" s="331"/>
      <c r="AN44" s="331"/>
      <c r="AO44" s="331"/>
      <c r="AP44" s="331"/>
      <c r="AQ44" s="331"/>
      <c r="AR44" s="331"/>
      <c r="AS44" s="331"/>
      <c r="AT44" s="331"/>
      <c r="AU44" s="331"/>
      <c r="AV44" s="331"/>
      <c r="AW44" s="331"/>
      <c r="AX44" s="331"/>
      <c r="AY44" s="332" t="s">
        <v>2476</v>
      </c>
      <c r="AZ44" s="332" t="s">
        <v>137</v>
      </c>
      <c r="BA44" s="332"/>
      <c r="BB44" s="332"/>
      <c r="BC44" s="332"/>
      <c r="BD44" s="332"/>
      <c r="BE44" s="332"/>
      <c r="BF44" s="332"/>
      <c r="BG44" s="332"/>
      <c r="BH44" s="332"/>
      <c r="BI44" s="332"/>
      <c r="BJ44" s="332"/>
      <c r="BK44" s="332"/>
      <c r="BL44" s="332"/>
      <c r="BM44" s="332"/>
      <c r="BN44" s="332"/>
      <c r="BO44" s="332"/>
      <c r="BP44" s="332"/>
      <c r="BQ44" s="332"/>
      <c r="BR44" s="332"/>
      <c r="BS44" s="332"/>
      <c r="BT44" s="332"/>
      <c r="BU44" s="332"/>
      <c r="BV44" s="332"/>
      <c r="BW44" s="332"/>
      <c r="BX44" s="332"/>
      <c r="BY44" s="332"/>
      <c r="BZ44" s="332"/>
      <c r="CA44" s="332"/>
      <c r="CB44" s="332"/>
      <c r="CC44" s="332"/>
      <c r="CD44" s="332"/>
      <c r="CE44" s="332"/>
      <c r="CF44" s="332"/>
      <c r="CG44" s="332"/>
      <c r="CH44" s="332"/>
      <c r="CI44" s="332"/>
      <c r="CJ44" s="332"/>
      <c r="CK44" s="332"/>
      <c r="CL44" s="332"/>
      <c r="CM44" s="332"/>
      <c r="CN44" s="332"/>
      <c r="CO44" s="332"/>
      <c r="CP44" s="333" t="s">
        <v>27</v>
      </c>
      <c r="CQ44" s="333" t="s">
        <v>137</v>
      </c>
      <c r="CR44" s="334">
        <v>-0.89511339999999995</v>
      </c>
      <c r="CS44" s="334">
        <v>-0.89511339999999995</v>
      </c>
      <c r="CT44" s="334">
        <v>-0.89511339999999995</v>
      </c>
      <c r="CU44" s="334">
        <v>-0.89511339999999995</v>
      </c>
      <c r="CV44" s="334">
        <v>-0.89511339999999995</v>
      </c>
      <c r="CW44" s="334">
        <v>-1.2750028333333332</v>
      </c>
      <c r="CX44" s="334">
        <v>-1.6548922666666666</v>
      </c>
      <c r="CY44" s="334">
        <v>-2.0347816999999999</v>
      </c>
      <c r="CZ44" s="334">
        <v>-2.4146711333333331</v>
      </c>
      <c r="DA44" s="334">
        <v>-2.7945605666666662</v>
      </c>
      <c r="DB44" s="334">
        <v>-3.1744499999999998</v>
      </c>
      <c r="DC44" s="334">
        <v>-3.0708437909090662</v>
      </c>
      <c r="DD44" s="334">
        <v>-3.312591612121139</v>
      </c>
      <c r="DE44" s="334">
        <v>-3.5543394333333254</v>
      </c>
      <c r="DF44" s="334">
        <v>-3.7960872545453981</v>
      </c>
      <c r="DG44" s="334">
        <v>-4.0378350757575845</v>
      </c>
      <c r="DH44" s="334">
        <v>-4.2795828969697141</v>
      </c>
      <c r="DI44" s="334">
        <v>-4.5213307181817868</v>
      </c>
      <c r="DJ44" s="334">
        <v>-4.7630785393939163</v>
      </c>
      <c r="DK44" s="334">
        <v>-5.0048263606060459</v>
      </c>
      <c r="DL44" s="334">
        <v>-5.2465741818181186</v>
      </c>
      <c r="DM44" s="334">
        <v>-5.4883220030302482</v>
      </c>
      <c r="DN44" s="334">
        <v>-5.7300698242423778</v>
      </c>
      <c r="DO44" s="334">
        <v>-5.9718176454545073</v>
      </c>
      <c r="DP44" s="334">
        <v>-6.2135654666665801</v>
      </c>
      <c r="DQ44" s="334">
        <v>-6.4553132878787096</v>
      </c>
      <c r="DR44" s="334">
        <v>-6.6970611090908392</v>
      </c>
      <c r="DS44" s="334">
        <v>-6.9388089303029687</v>
      </c>
      <c r="DT44" s="334">
        <v>-7.1805567515150983</v>
      </c>
      <c r="DU44" s="335">
        <v>-7.4223045727272279</v>
      </c>
      <c r="DV44" s="335">
        <v>-7.6640523939393006</v>
      </c>
      <c r="DW44" s="335">
        <v>-7.9058002151514302</v>
      </c>
      <c r="DX44" s="198">
        <v>15</v>
      </c>
      <c r="DY44" s="198">
        <v>-9</v>
      </c>
      <c r="DZ44" s="198">
        <v>-9</v>
      </c>
      <c r="EA44" s="198">
        <v>-1.0941997848485698</v>
      </c>
      <c r="EB44" s="198">
        <v>-7.6640523939393006</v>
      </c>
      <c r="EC44" s="198">
        <v>-7.6640523939393006</v>
      </c>
      <c r="ED44" s="198">
        <v>-7.6640523939393006</v>
      </c>
      <c r="EE44" s="198">
        <v>-7.6640523939393006</v>
      </c>
      <c r="EF44" s="198">
        <v>0.24174782121212957</v>
      </c>
      <c r="EG44" s="198">
        <v>1.3359476060606994</v>
      </c>
      <c r="EH44" s="198">
        <v>-9.1835536769803383</v>
      </c>
      <c r="EI44" s="336">
        <f t="shared" si="0"/>
        <v>-6.9388089303029687</v>
      </c>
      <c r="EJ44" s="336">
        <f>EI44-'[13]FAOSTAT21 CO2'!EH44</f>
        <v>-6.9986645303029684</v>
      </c>
    </row>
    <row r="45" spans="1:140" x14ac:dyDescent="0.25">
      <c r="A45" s="31">
        <v>8</v>
      </c>
      <c r="B45" s="31" t="s">
        <v>138</v>
      </c>
      <c r="C45" s="31">
        <v>45</v>
      </c>
      <c r="D45" s="31">
        <v>0</v>
      </c>
      <c r="E45" s="31">
        <v>0</v>
      </c>
      <c r="F45" s="31">
        <v>0</v>
      </c>
      <c r="G45" s="31">
        <v>1</v>
      </c>
      <c r="H45" s="331" t="s">
        <v>2475</v>
      </c>
      <c r="I45" s="331" t="s">
        <v>139</v>
      </c>
      <c r="J45" s="331"/>
      <c r="K45" s="331"/>
      <c r="L45" s="331"/>
      <c r="M45" s="331"/>
      <c r="N45" s="331"/>
      <c r="O45" s="331"/>
      <c r="P45" s="331"/>
      <c r="Q45" s="331"/>
      <c r="R45" s="331"/>
      <c r="S45" s="331"/>
      <c r="T45" s="331"/>
      <c r="U45" s="331"/>
      <c r="V45" s="331"/>
      <c r="W45" s="331"/>
      <c r="X45" s="331"/>
      <c r="Y45" s="331"/>
      <c r="Z45" s="331"/>
      <c r="AA45" s="331"/>
      <c r="AB45" s="331"/>
      <c r="AC45" s="331"/>
      <c r="AD45" s="331"/>
      <c r="AE45" s="331"/>
      <c r="AF45" s="331"/>
      <c r="AG45" s="331"/>
      <c r="AH45" s="331"/>
      <c r="AI45" s="331"/>
      <c r="AJ45" s="331"/>
      <c r="AK45" s="331"/>
      <c r="AL45" s="331"/>
      <c r="AM45" s="331"/>
      <c r="AN45" s="331"/>
      <c r="AO45" s="331"/>
      <c r="AP45" s="331"/>
      <c r="AQ45" s="331"/>
      <c r="AR45" s="331"/>
      <c r="AS45" s="331"/>
      <c r="AT45" s="331"/>
      <c r="AU45" s="331"/>
      <c r="AV45" s="331"/>
      <c r="AW45" s="331"/>
      <c r="AX45" s="331"/>
      <c r="AY45" s="332" t="s">
        <v>2476</v>
      </c>
      <c r="AZ45" s="332" t="s">
        <v>139</v>
      </c>
      <c r="BA45" s="332"/>
      <c r="BB45" s="332"/>
      <c r="BC45" s="332"/>
      <c r="BD45" s="332"/>
      <c r="BE45" s="332"/>
      <c r="BF45" s="332"/>
      <c r="BG45" s="332"/>
      <c r="BH45" s="332"/>
      <c r="BI45" s="332"/>
      <c r="BJ45" s="332"/>
      <c r="BK45" s="332"/>
      <c r="BL45" s="332"/>
      <c r="BM45" s="332"/>
      <c r="BN45" s="332"/>
      <c r="BO45" s="332"/>
      <c r="BP45" s="332"/>
      <c r="BQ45" s="332"/>
      <c r="BR45" s="332"/>
      <c r="BS45" s="332"/>
      <c r="BT45" s="332"/>
      <c r="BU45" s="332"/>
      <c r="BV45" s="332"/>
      <c r="BW45" s="332"/>
      <c r="BX45" s="332"/>
      <c r="BY45" s="332"/>
      <c r="BZ45" s="332"/>
      <c r="CA45" s="332"/>
      <c r="CB45" s="332"/>
      <c r="CC45" s="332"/>
      <c r="CD45" s="332"/>
      <c r="CE45" s="332"/>
      <c r="CF45" s="332"/>
      <c r="CG45" s="332"/>
      <c r="CH45" s="332"/>
      <c r="CI45" s="332"/>
      <c r="CJ45" s="332"/>
      <c r="CK45" s="332"/>
      <c r="CL45" s="332"/>
      <c r="CM45" s="332"/>
      <c r="CN45" s="332"/>
      <c r="CO45" s="332"/>
      <c r="CP45" s="333" t="s">
        <v>27</v>
      </c>
      <c r="CQ45" s="333" t="s">
        <v>139</v>
      </c>
      <c r="CR45" s="334">
        <v>344.14605</v>
      </c>
      <c r="CS45" s="334">
        <v>344.14605</v>
      </c>
      <c r="CT45" s="334">
        <v>344.14605</v>
      </c>
      <c r="CU45" s="334">
        <v>344.14605</v>
      </c>
      <c r="CV45" s="334">
        <v>344.14605</v>
      </c>
      <c r="CW45" s="334">
        <v>344.14605</v>
      </c>
      <c r="CX45" s="334">
        <v>344.14605</v>
      </c>
      <c r="CY45" s="334">
        <v>344.14605</v>
      </c>
      <c r="CZ45" s="334">
        <v>344.14605</v>
      </c>
      <c r="DA45" s="334">
        <v>344.14605</v>
      </c>
      <c r="DB45" s="334">
        <v>344.14605</v>
      </c>
      <c r="DC45" s="334">
        <v>344.14605</v>
      </c>
      <c r="DD45" s="334">
        <v>344.14605</v>
      </c>
      <c r="DE45" s="334">
        <v>344.14605</v>
      </c>
      <c r="DF45" s="334">
        <v>344.14605</v>
      </c>
      <c r="DG45" s="334">
        <v>344.14605</v>
      </c>
      <c r="DH45" s="334">
        <v>344.14605</v>
      </c>
      <c r="DI45" s="334">
        <v>344.14605</v>
      </c>
      <c r="DJ45" s="334">
        <v>344.14605</v>
      </c>
      <c r="DK45" s="334">
        <v>344.14605</v>
      </c>
      <c r="DL45" s="334">
        <v>344.14605</v>
      </c>
      <c r="DM45" s="334">
        <v>487.39522999999997</v>
      </c>
      <c r="DN45" s="334">
        <v>487.39522999999997</v>
      </c>
      <c r="DO45" s="334">
        <v>487.39522999999997</v>
      </c>
      <c r="DP45" s="334">
        <v>487.39522999999997</v>
      </c>
      <c r="DQ45" s="334">
        <v>-8.6302299999999814</v>
      </c>
      <c r="DR45" s="334">
        <v>-8.6302299999999814</v>
      </c>
      <c r="DS45" s="334">
        <v>-8.6302299999999814</v>
      </c>
      <c r="DT45" s="334">
        <v>-8.6302299999999814</v>
      </c>
      <c r="DU45" s="335">
        <v>220.89840655172338</v>
      </c>
      <c r="DV45" s="335">
        <v>214.60858296551669</v>
      </c>
      <c r="DW45" s="335">
        <v>208.31875937930999</v>
      </c>
      <c r="DX45" s="198">
        <v>790.89840655172338</v>
      </c>
      <c r="DY45" s="198">
        <v>790.89840655172338</v>
      </c>
      <c r="DZ45" s="198">
        <v>490.89840655172338</v>
      </c>
      <c r="EA45" s="198">
        <v>490.89840655172338</v>
      </c>
      <c r="EB45" s="198">
        <v>214.60858296551669</v>
      </c>
      <c r="EC45" s="198">
        <v>214.60858296551669</v>
      </c>
      <c r="ED45" s="198">
        <v>214.60858296551669</v>
      </c>
      <c r="EE45" s="198">
        <v>214.60858296551669</v>
      </c>
      <c r="EF45" s="198">
        <v>6.289823586206694</v>
      </c>
      <c r="EG45" s="198">
        <v>-484.60858296551669</v>
      </c>
      <c r="EH45" s="198">
        <v>180.17104497651925</v>
      </c>
      <c r="EI45" s="336">
        <f t="shared" si="0"/>
        <v>37.27549731034469</v>
      </c>
      <c r="EJ45" s="336">
        <f>EI45-'[13]FAOSTAT21 CO2'!EH45</f>
        <v>-564.09630760965536</v>
      </c>
    </row>
    <row r="46" spans="1:140" x14ac:dyDescent="0.25">
      <c r="A46" s="31">
        <v>8</v>
      </c>
      <c r="B46" s="31" t="s">
        <v>140</v>
      </c>
      <c r="C46" s="31">
        <v>44</v>
      </c>
      <c r="D46" s="31">
        <v>0</v>
      </c>
      <c r="E46" s="31">
        <v>0</v>
      </c>
      <c r="F46" s="31">
        <v>0</v>
      </c>
      <c r="G46" s="31">
        <v>0</v>
      </c>
      <c r="H46" s="331" t="s">
        <v>2475</v>
      </c>
      <c r="I46" s="331" t="s">
        <v>141</v>
      </c>
      <c r="J46" s="331"/>
      <c r="K46" s="331"/>
      <c r="L46" s="331"/>
      <c r="M46" s="331"/>
      <c r="N46" s="331"/>
      <c r="O46" s="331"/>
      <c r="P46" s="331"/>
      <c r="Q46" s="331"/>
      <c r="R46" s="331"/>
      <c r="S46" s="331"/>
      <c r="T46" s="331"/>
      <c r="U46" s="331"/>
      <c r="V46" s="331"/>
      <c r="W46" s="331"/>
      <c r="X46" s="331"/>
      <c r="Y46" s="331"/>
      <c r="Z46" s="331"/>
      <c r="AA46" s="331"/>
      <c r="AB46" s="331"/>
      <c r="AC46" s="331"/>
      <c r="AD46" s="331"/>
      <c r="AE46" s="331"/>
      <c r="AF46" s="331"/>
      <c r="AG46" s="331"/>
      <c r="AH46" s="331"/>
      <c r="AI46" s="331"/>
      <c r="AJ46" s="331"/>
      <c r="AK46" s="331"/>
      <c r="AL46" s="331"/>
      <c r="AM46" s="331"/>
      <c r="AN46" s="331"/>
      <c r="AO46" s="331"/>
      <c r="AP46" s="331"/>
      <c r="AQ46" s="331"/>
      <c r="AR46" s="331"/>
      <c r="AS46" s="331"/>
      <c r="AT46" s="331"/>
      <c r="AU46" s="331"/>
      <c r="AV46" s="331"/>
      <c r="AW46" s="331"/>
      <c r="AX46" s="331"/>
      <c r="AY46" s="332" t="s">
        <v>2476</v>
      </c>
      <c r="AZ46" s="332" t="s">
        <v>141</v>
      </c>
      <c r="BA46" s="332"/>
      <c r="BB46" s="332"/>
      <c r="BC46" s="332"/>
      <c r="BD46" s="332"/>
      <c r="BE46" s="332"/>
      <c r="BF46" s="332"/>
      <c r="BG46" s="332"/>
      <c r="BH46" s="332"/>
      <c r="BI46" s="332"/>
      <c r="BJ46" s="332"/>
      <c r="BK46" s="332"/>
      <c r="BL46" s="332"/>
      <c r="BM46" s="332"/>
      <c r="BN46" s="332"/>
      <c r="BO46" s="332"/>
      <c r="BP46" s="332"/>
      <c r="BQ46" s="332"/>
      <c r="BR46" s="332"/>
      <c r="BS46" s="332"/>
      <c r="BT46" s="332"/>
      <c r="BU46" s="332"/>
      <c r="BV46" s="332"/>
      <c r="BW46" s="332"/>
      <c r="BX46" s="332"/>
      <c r="BY46" s="332"/>
      <c r="BZ46" s="332"/>
      <c r="CA46" s="332"/>
      <c r="CB46" s="332"/>
      <c r="CC46" s="332"/>
      <c r="CD46" s="332"/>
      <c r="CE46" s="332"/>
      <c r="CF46" s="332"/>
      <c r="CG46" s="332"/>
      <c r="CH46" s="332"/>
      <c r="CI46" s="332"/>
      <c r="CJ46" s="332"/>
      <c r="CK46" s="332"/>
      <c r="CL46" s="332"/>
      <c r="CM46" s="332"/>
      <c r="CN46" s="332"/>
      <c r="CO46" s="332"/>
      <c r="CP46" s="333" t="s">
        <v>27</v>
      </c>
      <c r="CQ46" s="333" t="s">
        <v>141</v>
      </c>
      <c r="CR46" s="334">
        <v>-69.860679999999988</v>
      </c>
      <c r="CS46" s="334">
        <v>-69.860679999999988</v>
      </c>
      <c r="CT46" s="334">
        <v>-69.860679999999988</v>
      </c>
      <c r="CU46" s="334">
        <v>-69.860679999999988</v>
      </c>
      <c r="CV46" s="334">
        <v>-69.860679999999988</v>
      </c>
      <c r="CW46" s="334">
        <v>-71.894978333333327</v>
      </c>
      <c r="CX46" s="334">
        <v>-73.929276666666667</v>
      </c>
      <c r="CY46" s="334">
        <v>-75.963575000000006</v>
      </c>
      <c r="CZ46" s="334">
        <v>-77.997873333333345</v>
      </c>
      <c r="DA46" s="334">
        <v>-80.032171666666684</v>
      </c>
      <c r="DB46" s="334">
        <v>-82.06647000000001</v>
      </c>
      <c r="DC46" s="334">
        <v>-81.511661363636904</v>
      </c>
      <c r="DD46" s="334">
        <v>-82.80621484848507</v>
      </c>
      <c r="DE46" s="334">
        <v>-84.100768333333235</v>
      </c>
      <c r="DF46" s="334">
        <v>-85.395321818181856</v>
      </c>
      <c r="DG46" s="334">
        <v>-86.689875303030476</v>
      </c>
      <c r="DH46" s="334">
        <v>-87.984428787878642</v>
      </c>
      <c r="DI46" s="334">
        <v>-89.278982272727717</v>
      </c>
      <c r="DJ46" s="334">
        <v>-90.573535757576337</v>
      </c>
      <c r="DK46" s="334">
        <v>-91.868089242424503</v>
      </c>
      <c r="DL46" s="334">
        <v>-93.162642727273578</v>
      </c>
      <c r="DM46" s="334">
        <v>-94.457196212121289</v>
      </c>
      <c r="DN46" s="334">
        <v>-95.75174969696991</v>
      </c>
      <c r="DO46" s="334">
        <v>-97.04630318181853</v>
      </c>
      <c r="DP46" s="334">
        <v>-98.34085666666715</v>
      </c>
      <c r="DQ46" s="334">
        <v>-99.635410151515316</v>
      </c>
      <c r="DR46" s="334">
        <v>-100.92996363636394</v>
      </c>
      <c r="DS46" s="334">
        <v>-102.22451712121256</v>
      </c>
      <c r="DT46" s="334">
        <v>-103.51907060606072</v>
      </c>
      <c r="DU46" s="335">
        <v>-104.81362409090934</v>
      </c>
      <c r="DV46" s="335">
        <v>-106.10817757575751</v>
      </c>
      <c r="DW46" s="335">
        <v>-107.40273106060613</v>
      </c>
      <c r="DX46" s="198">
        <v>15</v>
      </c>
      <c r="DY46" s="198">
        <v>-9</v>
      </c>
      <c r="DZ46" s="198">
        <v>-9</v>
      </c>
      <c r="EA46" s="198">
        <v>98.402731060606129</v>
      </c>
      <c r="EB46" s="198">
        <v>-106.10817757575751</v>
      </c>
      <c r="EC46" s="198">
        <v>-106.10817757575751</v>
      </c>
      <c r="ED46" s="198">
        <v>-106.10817757575751</v>
      </c>
      <c r="EE46" s="198">
        <v>-106.10817757575751</v>
      </c>
      <c r="EF46" s="198">
        <v>1.2945534848486204</v>
      </c>
      <c r="EG46" s="198">
        <v>-97.108177575757509</v>
      </c>
      <c r="EH46" s="198">
        <v>-123.13501008038094</v>
      </c>
      <c r="EI46" s="336">
        <f t="shared" si="0"/>
        <v>-102.22451712121237</v>
      </c>
      <c r="EJ46" s="336">
        <f>EI46-'[13]FAOSTAT21 CO2'!EH46</f>
        <v>-112.47750742121237</v>
      </c>
    </row>
    <row r="47" spans="1:140" x14ac:dyDescent="0.25">
      <c r="A47" s="31">
        <v>24</v>
      </c>
      <c r="B47" s="31" t="s">
        <v>142</v>
      </c>
      <c r="C47" s="31">
        <v>46</v>
      </c>
      <c r="D47" s="31">
        <v>0</v>
      </c>
      <c r="E47" s="31">
        <v>0</v>
      </c>
      <c r="F47" s="31">
        <v>0</v>
      </c>
      <c r="G47" s="31">
        <v>0</v>
      </c>
      <c r="H47" s="331" t="s">
        <v>2475</v>
      </c>
      <c r="I47" s="331" t="s">
        <v>143</v>
      </c>
      <c r="J47" s="331"/>
      <c r="K47" s="331"/>
      <c r="L47" s="331"/>
      <c r="M47" s="331"/>
      <c r="N47" s="331"/>
      <c r="O47" s="331"/>
      <c r="P47" s="331"/>
      <c r="Q47" s="331"/>
      <c r="R47" s="331"/>
      <c r="S47" s="331"/>
      <c r="T47" s="331"/>
      <c r="U47" s="331"/>
      <c r="V47" s="331"/>
      <c r="W47" s="331"/>
      <c r="X47" s="331"/>
      <c r="Y47" s="331"/>
      <c r="Z47" s="331"/>
      <c r="AA47" s="331"/>
      <c r="AB47" s="331"/>
      <c r="AC47" s="331"/>
      <c r="AD47" s="331"/>
      <c r="AE47" s="331"/>
      <c r="AF47" s="331"/>
      <c r="AG47" s="331"/>
      <c r="AH47" s="331"/>
      <c r="AI47" s="331"/>
      <c r="AJ47" s="331"/>
      <c r="AK47" s="331"/>
      <c r="AL47" s="331"/>
      <c r="AM47" s="331"/>
      <c r="AN47" s="331"/>
      <c r="AO47" s="331"/>
      <c r="AP47" s="331"/>
      <c r="AQ47" s="331"/>
      <c r="AR47" s="331"/>
      <c r="AS47" s="331"/>
      <c r="AT47" s="331"/>
      <c r="AU47" s="331"/>
      <c r="AV47" s="331"/>
      <c r="AW47" s="331"/>
      <c r="AX47" s="331"/>
      <c r="AY47" s="332" t="s">
        <v>2476</v>
      </c>
      <c r="AZ47" s="332" t="s">
        <v>143</v>
      </c>
      <c r="BA47" s="332"/>
      <c r="BB47" s="332"/>
      <c r="BC47" s="332"/>
      <c r="BD47" s="332"/>
      <c r="BE47" s="332"/>
      <c r="BF47" s="332"/>
      <c r="BG47" s="332"/>
      <c r="BH47" s="332"/>
      <c r="BI47" s="332"/>
      <c r="BJ47" s="332"/>
      <c r="BK47" s="332"/>
      <c r="BL47" s="332"/>
      <c r="BM47" s="332"/>
      <c r="BN47" s="332"/>
      <c r="BO47" s="332"/>
      <c r="BP47" s="332"/>
      <c r="BQ47" s="332"/>
      <c r="BR47" s="332"/>
      <c r="BS47" s="332"/>
      <c r="BT47" s="332"/>
      <c r="BU47" s="332"/>
      <c r="BV47" s="332"/>
      <c r="BW47" s="332"/>
      <c r="BX47" s="332"/>
      <c r="BY47" s="332"/>
      <c r="BZ47" s="332"/>
      <c r="CA47" s="332"/>
      <c r="CB47" s="332"/>
      <c r="CC47" s="332"/>
      <c r="CD47" s="332"/>
      <c r="CE47" s="332"/>
      <c r="CF47" s="332"/>
      <c r="CG47" s="332"/>
      <c r="CH47" s="332"/>
      <c r="CI47" s="332"/>
      <c r="CJ47" s="332"/>
      <c r="CK47" s="332"/>
      <c r="CL47" s="332"/>
      <c r="CM47" s="332"/>
      <c r="CN47" s="332"/>
      <c r="CO47" s="332"/>
      <c r="CP47" s="333" t="s">
        <v>27</v>
      </c>
      <c r="CQ47" s="333" t="s">
        <v>143</v>
      </c>
      <c r="CR47" s="334">
        <v>-0.16500000000000001</v>
      </c>
      <c r="CS47" s="334">
        <v>-0.16500000000000001</v>
      </c>
      <c r="CT47" s="334">
        <v>-0.16500000000000001</v>
      </c>
      <c r="CU47" s="334">
        <v>-0.16500000000000001</v>
      </c>
      <c r="CV47" s="334">
        <v>-0.16500000000000001</v>
      </c>
      <c r="CW47" s="334">
        <v>-0.16500000000000001</v>
      </c>
      <c r="CX47" s="334">
        <v>-0.16500000000000001</v>
      </c>
      <c r="CY47" s="334">
        <v>-0.16500000000000001</v>
      </c>
      <c r="CZ47" s="334">
        <v>-0.16500000000000001</v>
      </c>
      <c r="DA47" s="334">
        <v>-0.16500000000000001</v>
      </c>
      <c r="DB47" s="334">
        <v>-0.16500000000000001</v>
      </c>
      <c r="DC47" s="334">
        <v>-0.16500000000000001</v>
      </c>
      <c r="DD47" s="334">
        <v>-0.16500000000000001</v>
      </c>
      <c r="DE47" s="334">
        <v>-0.16500000000000001</v>
      </c>
      <c r="DF47" s="334">
        <v>-0.16500000000000001</v>
      </c>
      <c r="DG47" s="334">
        <v>-0.16500000000000001</v>
      </c>
      <c r="DH47" s="334">
        <v>-0.16500000000000001</v>
      </c>
      <c r="DI47" s="334">
        <v>-0.16500000000000001</v>
      </c>
      <c r="DJ47" s="334">
        <v>-0.16500000000000001</v>
      </c>
      <c r="DK47" s="334">
        <v>-0.16500000000000001</v>
      </c>
      <c r="DL47" s="334">
        <v>-0.16500000000000001</v>
      </c>
      <c r="DM47" s="334">
        <v>-0.16500000000000001</v>
      </c>
      <c r="DN47" s="334">
        <v>-0.16500000000000001</v>
      </c>
      <c r="DO47" s="334">
        <v>-0.16500000000000001</v>
      </c>
      <c r="DP47" s="334">
        <v>-0.16500000000000001</v>
      </c>
      <c r="DQ47" s="334">
        <v>-0.16500000000000001</v>
      </c>
      <c r="DR47" s="334">
        <v>-0.16500000000000001</v>
      </c>
      <c r="DS47" s="334">
        <v>-0.16500000000000001</v>
      </c>
      <c r="DT47" s="334">
        <v>-0.16500000000000001</v>
      </c>
      <c r="DU47" s="335">
        <v>-0.16500000000000001</v>
      </c>
      <c r="DV47" s="335">
        <v>-0.16500000000000001</v>
      </c>
      <c r="DW47" s="335">
        <v>-0.16500000000000001</v>
      </c>
      <c r="DX47" s="198">
        <v>-0.16500000000000001</v>
      </c>
      <c r="DY47" s="198">
        <v>-0.16500000000000001</v>
      </c>
      <c r="DZ47" s="198">
        <v>-0.16500000000000001</v>
      </c>
      <c r="EA47" s="198">
        <v>0</v>
      </c>
      <c r="EB47" s="198">
        <v>-0.16500000000000001</v>
      </c>
      <c r="EC47" s="198">
        <v>-0.16500000000000001</v>
      </c>
      <c r="ED47" s="198">
        <v>-0.16500000000000001</v>
      </c>
      <c r="EE47" s="198">
        <v>-0.16500000000000001</v>
      </c>
      <c r="EF47" s="198">
        <v>0</v>
      </c>
      <c r="EG47" s="198">
        <v>0</v>
      </c>
      <c r="EH47" s="198">
        <v>-0.1539605695104953</v>
      </c>
      <c r="EI47" s="336">
        <f t="shared" si="0"/>
        <v>-0.16500000000000001</v>
      </c>
      <c r="EJ47" s="336">
        <f>EI47-'[13]FAOSTAT21 CO2'!EH47</f>
        <v>-0.16195770000000001</v>
      </c>
    </row>
    <row r="48" spans="1:140" x14ac:dyDescent="0.25">
      <c r="A48" s="31">
        <v>4</v>
      </c>
      <c r="B48" s="31" t="s">
        <v>144</v>
      </c>
      <c r="C48" s="31">
        <v>47</v>
      </c>
      <c r="D48" s="31">
        <v>0</v>
      </c>
      <c r="E48" s="31">
        <v>0</v>
      </c>
      <c r="F48" s="31">
        <v>0</v>
      </c>
      <c r="G48" s="31">
        <v>0</v>
      </c>
      <c r="H48" s="331" t="s">
        <v>2475</v>
      </c>
      <c r="I48" s="331" t="s">
        <v>145</v>
      </c>
      <c r="J48" s="331"/>
      <c r="K48" s="331"/>
      <c r="L48" s="331"/>
      <c r="M48" s="331"/>
      <c r="N48" s="331"/>
      <c r="O48" s="331"/>
      <c r="P48" s="331"/>
      <c r="Q48" s="331"/>
      <c r="R48" s="331"/>
      <c r="S48" s="331"/>
      <c r="T48" s="331"/>
      <c r="U48" s="331"/>
      <c r="V48" s="331"/>
      <c r="W48" s="331"/>
      <c r="X48" s="331"/>
      <c r="Y48" s="331"/>
      <c r="Z48" s="331"/>
      <c r="AA48" s="331"/>
      <c r="AB48" s="331"/>
      <c r="AC48" s="331"/>
      <c r="AD48" s="331"/>
      <c r="AE48" s="331"/>
      <c r="AF48" s="331"/>
      <c r="AG48" s="331"/>
      <c r="AH48" s="331"/>
      <c r="AI48" s="331"/>
      <c r="AJ48" s="331"/>
      <c r="AK48" s="331"/>
      <c r="AL48" s="331"/>
      <c r="AM48" s="331"/>
      <c r="AN48" s="331"/>
      <c r="AO48" s="331"/>
      <c r="AP48" s="331"/>
      <c r="AQ48" s="331"/>
      <c r="AR48" s="331"/>
      <c r="AS48" s="331"/>
      <c r="AT48" s="331"/>
      <c r="AU48" s="331"/>
      <c r="AV48" s="331"/>
      <c r="AW48" s="331"/>
      <c r="AX48" s="331"/>
      <c r="AY48" s="332" t="s">
        <v>2476</v>
      </c>
      <c r="AZ48" s="332" t="s">
        <v>145</v>
      </c>
      <c r="BA48" s="332"/>
      <c r="BB48" s="332"/>
      <c r="BC48" s="332"/>
      <c r="BD48" s="332"/>
      <c r="BE48" s="332"/>
      <c r="BF48" s="332"/>
      <c r="BG48" s="332"/>
      <c r="BH48" s="332"/>
      <c r="BI48" s="332"/>
      <c r="BJ48" s="332"/>
      <c r="BK48" s="332"/>
      <c r="BL48" s="332"/>
      <c r="BM48" s="332"/>
      <c r="BN48" s="332"/>
      <c r="BO48" s="332"/>
      <c r="BP48" s="332"/>
      <c r="BQ48" s="332"/>
      <c r="BR48" s="332"/>
      <c r="BS48" s="332"/>
      <c r="BT48" s="332"/>
      <c r="BU48" s="332"/>
      <c r="BV48" s="332"/>
      <c r="BW48" s="332"/>
      <c r="BX48" s="332"/>
      <c r="BY48" s="332"/>
      <c r="BZ48" s="332"/>
      <c r="CA48" s="332"/>
      <c r="CB48" s="332"/>
      <c r="CC48" s="332"/>
      <c r="CD48" s="332"/>
      <c r="CE48" s="332"/>
      <c r="CF48" s="332"/>
      <c r="CG48" s="332"/>
      <c r="CH48" s="332"/>
      <c r="CI48" s="332"/>
      <c r="CJ48" s="332"/>
      <c r="CK48" s="332"/>
      <c r="CL48" s="332"/>
      <c r="CM48" s="332"/>
      <c r="CN48" s="332"/>
      <c r="CO48" s="332"/>
      <c r="CP48" s="333" t="s">
        <v>27</v>
      </c>
      <c r="CQ48" s="333" t="s">
        <v>145</v>
      </c>
      <c r="CR48" s="334">
        <v>29.103900000000003</v>
      </c>
      <c r="CS48" s="334">
        <v>25.969583333333336</v>
      </c>
      <c r="CT48" s="334">
        <v>22.835266666666669</v>
      </c>
      <c r="CU48" s="334">
        <v>19.700950000000002</v>
      </c>
      <c r="CV48" s="334">
        <v>16.566633333333336</v>
      </c>
      <c r="CW48" s="334">
        <v>13.432316666666669</v>
      </c>
      <c r="CX48" s="334">
        <v>10.298</v>
      </c>
      <c r="CY48" s="334">
        <v>12.137375</v>
      </c>
      <c r="CZ48" s="334">
        <v>13.976750000000001</v>
      </c>
      <c r="DA48" s="334">
        <v>15.816125000000001</v>
      </c>
      <c r="DB48" s="334">
        <v>17.6555</v>
      </c>
      <c r="DC48" s="334">
        <v>15.202680000000001</v>
      </c>
      <c r="DD48" s="334">
        <v>12.749860000000002</v>
      </c>
      <c r="DE48" s="334">
        <v>10.297040000000003</v>
      </c>
      <c r="DF48" s="334">
        <v>7.8442200000000026</v>
      </c>
      <c r="DG48" s="334">
        <v>5.3914</v>
      </c>
      <c r="DH48" s="334">
        <v>5.0741800000000001</v>
      </c>
      <c r="DI48" s="334">
        <v>4.7569600000000003</v>
      </c>
      <c r="DJ48" s="334">
        <v>4.4397400000000005</v>
      </c>
      <c r="DK48" s="334">
        <v>4.1225200000000006</v>
      </c>
      <c r="DL48" s="334">
        <v>3.8053000000000003</v>
      </c>
      <c r="DM48" s="334">
        <v>3.0764</v>
      </c>
      <c r="DN48" s="334">
        <v>4.2906000000000004</v>
      </c>
      <c r="DO48" s="334">
        <v>5.0010000000000003</v>
      </c>
      <c r="DP48" s="334">
        <v>-1.2909000000000002</v>
      </c>
      <c r="DQ48" s="334">
        <v>0.50509999999999999</v>
      </c>
      <c r="DR48" s="334">
        <v>-1.4610999999999998</v>
      </c>
      <c r="DS48" s="334">
        <v>-2.9683999999999999</v>
      </c>
      <c r="DT48" s="334">
        <v>-3.8461211640210422</v>
      </c>
      <c r="DU48" s="335">
        <v>-4.7969103083378286</v>
      </c>
      <c r="DV48" s="335">
        <v>-5.747699452654615</v>
      </c>
      <c r="DW48" s="335">
        <v>-6.6984885969714014</v>
      </c>
      <c r="DX48" s="198">
        <v>-5</v>
      </c>
      <c r="DY48" s="198">
        <v>-5</v>
      </c>
      <c r="DZ48" s="198">
        <v>-5</v>
      </c>
      <c r="EA48" s="198">
        <v>1.6984885969714014</v>
      </c>
      <c r="EB48" s="198">
        <v>-3.5</v>
      </c>
      <c r="EC48" s="198">
        <v>-4.5</v>
      </c>
      <c r="ED48" s="198">
        <v>-3.5</v>
      </c>
      <c r="EE48" s="198">
        <v>-4.5</v>
      </c>
      <c r="EF48" s="198">
        <v>2.1984885969714014</v>
      </c>
      <c r="EG48" s="198">
        <v>0.5</v>
      </c>
      <c r="EH48" s="198">
        <v>-8.0780949947679659</v>
      </c>
      <c r="EI48" s="336">
        <f t="shared" si="0"/>
        <v>-2.5134862944717744</v>
      </c>
      <c r="EJ48" s="336">
        <f>EI48-'[13]FAOSTAT21 CO2'!EH48</f>
        <v>4.7832444055282259</v>
      </c>
    </row>
    <row r="49" spans="1:140" x14ac:dyDescent="0.25">
      <c r="A49" s="31">
        <v>8</v>
      </c>
      <c r="B49" s="31" t="s">
        <v>146</v>
      </c>
      <c r="C49" s="31">
        <v>97</v>
      </c>
      <c r="D49" s="31">
        <v>0</v>
      </c>
      <c r="E49" s="31">
        <v>0</v>
      </c>
      <c r="F49" s="31">
        <v>0</v>
      </c>
      <c r="G49" s="31">
        <v>0</v>
      </c>
      <c r="H49" s="331" t="s">
        <v>2475</v>
      </c>
      <c r="I49" s="331" t="s">
        <v>147</v>
      </c>
      <c r="J49" s="331"/>
      <c r="K49" s="331"/>
      <c r="L49" s="331"/>
      <c r="M49" s="331"/>
      <c r="N49" s="331"/>
      <c r="O49" s="331"/>
      <c r="P49" s="331"/>
      <c r="Q49" s="331"/>
      <c r="R49" s="331"/>
      <c r="S49" s="331"/>
      <c r="T49" s="331"/>
      <c r="U49" s="331"/>
      <c r="V49" s="331"/>
      <c r="W49" s="331"/>
      <c r="X49" s="331"/>
      <c r="Y49" s="331"/>
      <c r="Z49" s="331"/>
      <c r="AA49" s="331"/>
      <c r="AB49" s="331"/>
      <c r="AC49" s="331"/>
      <c r="AD49" s="331"/>
      <c r="AE49" s="331"/>
      <c r="AF49" s="331"/>
      <c r="AG49" s="331"/>
      <c r="AH49" s="331"/>
      <c r="AI49" s="331"/>
      <c r="AJ49" s="331"/>
      <c r="AK49" s="331"/>
      <c r="AL49" s="331"/>
      <c r="AM49" s="331"/>
      <c r="AN49" s="331"/>
      <c r="AO49" s="331"/>
      <c r="AP49" s="331"/>
      <c r="AQ49" s="331"/>
      <c r="AR49" s="331"/>
      <c r="AS49" s="331"/>
      <c r="AT49" s="331"/>
      <c r="AU49" s="331"/>
      <c r="AV49" s="331"/>
      <c r="AW49" s="331"/>
      <c r="AX49" s="331"/>
      <c r="AY49" s="332" t="s">
        <v>2476</v>
      </c>
      <c r="AZ49" s="332" t="s">
        <v>147</v>
      </c>
      <c r="BA49" s="332"/>
      <c r="BB49" s="332"/>
      <c r="BC49" s="332"/>
      <c r="BD49" s="332"/>
      <c r="BE49" s="332"/>
      <c r="BF49" s="332"/>
      <c r="BG49" s="332"/>
      <c r="BH49" s="332"/>
      <c r="BI49" s="332"/>
      <c r="BJ49" s="332"/>
      <c r="BK49" s="332"/>
      <c r="BL49" s="332"/>
      <c r="BM49" s="332"/>
      <c r="BN49" s="332"/>
      <c r="BO49" s="332"/>
      <c r="BP49" s="332"/>
      <c r="BQ49" s="332"/>
      <c r="BR49" s="332"/>
      <c r="BS49" s="332"/>
      <c r="BT49" s="332"/>
      <c r="BU49" s="332"/>
      <c r="BV49" s="332"/>
      <c r="BW49" s="332"/>
      <c r="BX49" s="332"/>
      <c r="BY49" s="332"/>
      <c r="BZ49" s="332"/>
      <c r="CA49" s="332"/>
      <c r="CB49" s="332"/>
      <c r="CC49" s="332"/>
      <c r="CD49" s="332"/>
      <c r="CE49" s="332"/>
      <c r="CF49" s="332"/>
      <c r="CG49" s="332"/>
      <c r="CH49" s="332"/>
      <c r="CI49" s="332"/>
      <c r="CJ49" s="332"/>
      <c r="CK49" s="332"/>
      <c r="CL49" s="332"/>
      <c r="CM49" s="332"/>
      <c r="CN49" s="332"/>
      <c r="CO49" s="332"/>
      <c r="CP49" s="333" t="s">
        <v>27</v>
      </c>
      <c r="CQ49" s="333" t="s">
        <v>147</v>
      </c>
      <c r="CR49" s="334">
        <v>1.883046</v>
      </c>
      <c r="CS49" s="334">
        <v>2.174042</v>
      </c>
      <c r="CT49" s="334">
        <v>3.2525110000000002</v>
      </c>
      <c r="CU49" s="334">
        <v>4.9092190000000002</v>
      </c>
      <c r="CV49" s="334">
        <v>4.1949949999999996</v>
      </c>
      <c r="CW49" s="334">
        <v>5.8914169999999997</v>
      </c>
      <c r="CX49" s="334">
        <v>6.2259989999999998</v>
      </c>
      <c r="CY49" s="334">
        <v>8.1065070000000006</v>
      </c>
      <c r="CZ49" s="334">
        <v>9.5616040000000009</v>
      </c>
      <c r="DA49" s="334">
        <v>9.0722609999999992</v>
      </c>
      <c r="DB49" s="334">
        <v>15.080484</v>
      </c>
      <c r="DC49" s="334">
        <v>13.642139999999999</v>
      </c>
      <c r="DD49" s="334">
        <v>11.334485000000001</v>
      </c>
      <c r="DE49" s="334">
        <v>12.598314</v>
      </c>
      <c r="DF49" s="334">
        <v>13.69744</v>
      </c>
      <c r="DG49" s="334">
        <v>11.502656</v>
      </c>
      <c r="DH49" s="334">
        <v>14.080140999999999</v>
      </c>
      <c r="DI49" s="334">
        <v>15.091856999999999</v>
      </c>
      <c r="DJ49" s="334">
        <v>16.297232000000001</v>
      </c>
      <c r="DK49" s="334">
        <v>15.797539</v>
      </c>
      <c r="DL49" s="334">
        <v>17.334689000000001</v>
      </c>
      <c r="DM49" s="334">
        <v>17.399298999999999</v>
      </c>
      <c r="DN49" s="334">
        <v>21.273336</v>
      </c>
      <c r="DO49" s="334">
        <v>19.592528999999999</v>
      </c>
      <c r="DP49" s="334">
        <v>22.045503</v>
      </c>
      <c r="DQ49" s="334">
        <v>20.658231000000001</v>
      </c>
      <c r="DR49" s="334">
        <v>21.529122999999998</v>
      </c>
      <c r="DS49" s="334">
        <v>21.126128999999999</v>
      </c>
      <c r="DT49" s="334">
        <v>23.4129</v>
      </c>
      <c r="DU49" s="335">
        <v>28.365431000000001</v>
      </c>
      <c r="DV49" s="335">
        <v>27.207307</v>
      </c>
      <c r="DW49" s="335">
        <v>26.578228574193417</v>
      </c>
      <c r="DX49" s="198">
        <v>28.843336000000001</v>
      </c>
      <c r="DY49" s="198">
        <v>4.1346890000000052</v>
      </c>
      <c r="DZ49" s="198">
        <v>-71.146663999999987</v>
      </c>
      <c r="EA49" s="198">
        <v>-22.443539574193412</v>
      </c>
      <c r="EB49" s="198">
        <v>27.207307</v>
      </c>
      <c r="EC49" s="198">
        <v>27.207307</v>
      </c>
      <c r="ED49" s="198">
        <v>27.207307</v>
      </c>
      <c r="EE49" s="198">
        <v>27.207307</v>
      </c>
      <c r="EF49" s="198">
        <v>0.62907842580658269</v>
      </c>
      <c r="EG49" s="198">
        <v>23.072617999999995</v>
      </c>
      <c r="EH49" s="198">
        <v>19.107784130379784</v>
      </c>
      <c r="EI49" s="336">
        <f t="shared" si="0"/>
        <v>23.018362799999998</v>
      </c>
      <c r="EJ49" s="336">
        <f>EI49-'[13]FAOSTAT21 CO2'!EH49</f>
        <v>-3.6205754399999996</v>
      </c>
    </row>
    <row r="50" spans="1:140" x14ac:dyDescent="0.25">
      <c r="A50" s="31">
        <v>12</v>
      </c>
      <c r="B50" s="31" t="s">
        <v>148</v>
      </c>
      <c r="C50" s="31">
        <v>48</v>
      </c>
      <c r="D50" s="31">
        <v>1</v>
      </c>
      <c r="E50" s="31">
        <v>0</v>
      </c>
      <c r="F50" s="31">
        <v>1</v>
      </c>
      <c r="G50" s="31">
        <v>0</v>
      </c>
      <c r="H50" s="331" t="s">
        <v>2475</v>
      </c>
      <c r="I50" s="331" t="s">
        <v>149</v>
      </c>
      <c r="J50" s="331"/>
      <c r="K50" s="331"/>
      <c r="L50" s="331"/>
      <c r="M50" s="331"/>
      <c r="N50" s="331"/>
      <c r="O50" s="331"/>
      <c r="P50" s="331"/>
      <c r="Q50" s="331"/>
      <c r="R50" s="331"/>
      <c r="S50" s="331"/>
      <c r="T50" s="331"/>
      <c r="U50" s="331"/>
      <c r="V50" s="331"/>
      <c r="W50" s="331"/>
      <c r="X50" s="331"/>
      <c r="Y50" s="331"/>
      <c r="Z50" s="331"/>
      <c r="AA50" s="331"/>
      <c r="AB50" s="331"/>
      <c r="AC50" s="331"/>
      <c r="AD50" s="331"/>
      <c r="AE50" s="331"/>
      <c r="AF50" s="331"/>
      <c r="AG50" s="331"/>
      <c r="AH50" s="331"/>
      <c r="AI50" s="331"/>
      <c r="AJ50" s="331"/>
      <c r="AK50" s="331"/>
      <c r="AL50" s="331"/>
      <c r="AM50" s="331"/>
      <c r="AN50" s="331"/>
      <c r="AO50" s="331"/>
      <c r="AP50" s="331"/>
      <c r="AQ50" s="331"/>
      <c r="AR50" s="331"/>
      <c r="AS50" s="331"/>
      <c r="AT50" s="331"/>
      <c r="AU50" s="331"/>
      <c r="AV50" s="331"/>
      <c r="AW50" s="331"/>
      <c r="AX50" s="331"/>
      <c r="AY50" s="332" t="s">
        <v>2476</v>
      </c>
      <c r="AZ50" s="332" t="s">
        <v>149</v>
      </c>
      <c r="BA50" s="332"/>
      <c r="BB50" s="332"/>
      <c r="BC50" s="332"/>
      <c r="BD50" s="332"/>
      <c r="BE50" s="332"/>
      <c r="BF50" s="332"/>
      <c r="BG50" s="332"/>
      <c r="BH50" s="332"/>
      <c r="BI50" s="332"/>
      <c r="BJ50" s="332"/>
      <c r="BK50" s="332"/>
      <c r="BL50" s="332"/>
      <c r="BM50" s="332"/>
      <c r="BN50" s="332"/>
      <c r="BO50" s="332"/>
      <c r="BP50" s="332"/>
      <c r="BQ50" s="332"/>
      <c r="BR50" s="332"/>
      <c r="BS50" s="332"/>
      <c r="BT50" s="332"/>
      <c r="BU50" s="332"/>
      <c r="BV50" s="332"/>
      <c r="BW50" s="332"/>
      <c r="BX50" s="332"/>
      <c r="BY50" s="332"/>
      <c r="BZ50" s="332"/>
      <c r="CA50" s="332"/>
      <c r="CB50" s="332"/>
      <c r="CC50" s="332"/>
      <c r="CD50" s="332"/>
      <c r="CE50" s="332"/>
      <c r="CF50" s="332"/>
      <c r="CG50" s="332"/>
      <c r="CH50" s="332"/>
      <c r="CI50" s="332"/>
      <c r="CJ50" s="332"/>
      <c r="CK50" s="332"/>
      <c r="CL50" s="332"/>
      <c r="CM50" s="332"/>
      <c r="CN50" s="332"/>
      <c r="CO50" s="332"/>
      <c r="CP50" s="333" t="s">
        <v>27</v>
      </c>
      <c r="CQ50" s="333" t="s">
        <v>149</v>
      </c>
      <c r="CR50" s="334">
        <v>-6.3121998314436523</v>
      </c>
      <c r="CS50" s="334">
        <v>-7.4831924028521941</v>
      </c>
      <c r="CT50" s="334">
        <v>-7.5822579962733814</v>
      </c>
      <c r="CU50" s="334">
        <v>-7.7485273056977571</v>
      </c>
      <c r="CV50" s="334">
        <v>-8.0177127327289792</v>
      </c>
      <c r="CW50" s="334">
        <v>-8.5046954464373812</v>
      </c>
      <c r="CX50" s="334">
        <v>-8.1500721079154879</v>
      </c>
      <c r="CY50" s="334">
        <v>-7.5417413484613611</v>
      </c>
      <c r="CZ50" s="334">
        <v>-7.3485518167390858</v>
      </c>
      <c r="DA50" s="334">
        <v>-8.1430708051420844</v>
      </c>
      <c r="DB50" s="334">
        <v>-6.6954277969184588</v>
      </c>
      <c r="DC50" s="334">
        <v>-7.9411743285173184</v>
      </c>
      <c r="DD50" s="334">
        <v>-8.2226798320357641</v>
      </c>
      <c r="DE50" s="334">
        <v>-7.3993839379830622</v>
      </c>
      <c r="DF50" s="334">
        <v>-7.7283272432491286</v>
      </c>
      <c r="DG50" s="334">
        <v>-7.968676276499413</v>
      </c>
      <c r="DH50" s="334">
        <v>-7.7856369460078367</v>
      </c>
      <c r="DI50" s="334">
        <v>-6.6362020704784097</v>
      </c>
      <c r="DJ50" s="334">
        <v>-6.8396782002171479</v>
      </c>
      <c r="DK50" s="334">
        <v>-6.9414985139186989</v>
      </c>
      <c r="DL50" s="334">
        <v>-6.8876290218400662</v>
      </c>
      <c r="DM50" s="334">
        <v>-5.6181393402431494</v>
      </c>
      <c r="DN50" s="334">
        <v>-5.1808694095767063</v>
      </c>
      <c r="DO50" s="334">
        <v>-6.1477380318052299</v>
      </c>
      <c r="DP50" s="334">
        <v>-6.0060800266999488</v>
      </c>
      <c r="DQ50" s="334">
        <v>-5.6983988320062027</v>
      </c>
      <c r="DR50" s="334">
        <v>-5.7084928433501156</v>
      </c>
      <c r="DS50" s="334">
        <v>-4.8957334192509316</v>
      </c>
      <c r="DT50" s="334">
        <v>-5.5038253934152408</v>
      </c>
      <c r="DU50" s="335">
        <v>-5.735838097810726</v>
      </c>
      <c r="DV50" s="335">
        <v>-5.6667896153969712</v>
      </c>
      <c r="DW50" s="335">
        <v>-5.8023658598187957</v>
      </c>
      <c r="DX50" s="198">
        <v>-5.6667896153969712</v>
      </c>
      <c r="DY50" s="198">
        <v>-5.6667896153969712</v>
      </c>
      <c r="DZ50" s="198">
        <v>-5.6667896153969712</v>
      </c>
      <c r="EA50" s="198">
        <v>0.13557624442182448</v>
      </c>
      <c r="EB50" s="198">
        <v>-5.6667896153969712</v>
      </c>
      <c r="EC50" s="198">
        <v>-5.6667896153969712</v>
      </c>
      <c r="ED50" s="198">
        <v>-5.6667896153969712</v>
      </c>
      <c r="EE50" s="198">
        <v>-5.6667896153969712</v>
      </c>
      <c r="EF50" s="198">
        <v>0.13557624442182448</v>
      </c>
      <c r="EG50" s="198">
        <v>0</v>
      </c>
      <c r="EH50" s="198">
        <v>-5.1320378706711169</v>
      </c>
      <c r="EI50" s="336">
        <f t="shared" si="0"/>
        <v>-5.5084577171666442</v>
      </c>
      <c r="EJ50" s="336">
        <f>EI50-'[13]FAOSTAT21 CO2'!EH50</f>
        <v>-1.7331761571666444</v>
      </c>
    </row>
    <row r="51" spans="1:140" x14ac:dyDescent="0.25">
      <c r="A51" s="31">
        <v>4</v>
      </c>
      <c r="B51" s="31" t="s">
        <v>150</v>
      </c>
      <c r="C51" s="31">
        <v>49</v>
      </c>
      <c r="D51" s="31">
        <v>0</v>
      </c>
      <c r="E51" s="31">
        <v>0</v>
      </c>
      <c r="F51" s="31">
        <v>0</v>
      </c>
      <c r="G51" s="31">
        <v>0</v>
      </c>
      <c r="H51" s="331" t="s">
        <v>2475</v>
      </c>
      <c r="I51" s="331" t="s">
        <v>151</v>
      </c>
      <c r="J51" s="331"/>
      <c r="K51" s="331"/>
      <c r="L51" s="331"/>
      <c r="M51" s="331"/>
      <c r="N51" s="331"/>
      <c r="O51" s="331"/>
      <c r="P51" s="331"/>
      <c r="Q51" s="331"/>
      <c r="R51" s="331"/>
      <c r="S51" s="331"/>
      <c r="T51" s="331"/>
      <c r="U51" s="331"/>
      <c r="V51" s="331"/>
      <c r="W51" s="331"/>
      <c r="X51" s="331"/>
      <c r="Y51" s="331"/>
      <c r="Z51" s="331"/>
      <c r="AA51" s="331"/>
      <c r="AB51" s="331"/>
      <c r="AC51" s="331"/>
      <c r="AD51" s="331"/>
      <c r="AE51" s="331"/>
      <c r="AF51" s="331"/>
      <c r="AG51" s="331"/>
      <c r="AH51" s="331"/>
      <c r="AI51" s="331"/>
      <c r="AJ51" s="331"/>
      <c r="AK51" s="331"/>
      <c r="AL51" s="331"/>
      <c r="AM51" s="331"/>
      <c r="AN51" s="331"/>
      <c r="AO51" s="331"/>
      <c r="AP51" s="331"/>
      <c r="AQ51" s="331"/>
      <c r="AR51" s="331"/>
      <c r="AS51" s="331"/>
      <c r="AT51" s="331"/>
      <c r="AU51" s="331"/>
      <c r="AV51" s="331"/>
      <c r="AW51" s="331"/>
      <c r="AX51" s="331"/>
      <c r="AY51" s="332" t="s">
        <v>2476</v>
      </c>
      <c r="AZ51" s="332" t="s">
        <v>151</v>
      </c>
      <c r="BA51" s="332"/>
      <c r="BB51" s="332"/>
      <c r="BC51" s="332"/>
      <c r="BD51" s="332"/>
      <c r="BE51" s="332"/>
      <c r="BF51" s="332"/>
      <c r="BG51" s="332"/>
      <c r="BH51" s="332"/>
      <c r="BI51" s="332"/>
      <c r="BJ51" s="332"/>
      <c r="BK51" s="332"/>
      <c r="BL51" s="332"/>
      <c r="BM51" s="332"/>
      <c r="BN51" s="332"/>
      <c r="BO51" s="332"/>
      <c r="BP51" s="332"/>
      <c r="BQ51" s="332"/>
      <c r="BR51" s="332"/>
      <c r="BS51" s="332"/>
      <c r="BT51" s="332"/>
      <c r="BU51" s="332"/>
      <c r="BV51" s="332"/>
      <c r="BW51" s="332"/>
      <c r="BX51" s="332"/>
      <c r="BY51" s="332"/>
      <c r="BZ51" s="332"/>
      <c r="CA51" s="332"/>
      <c r="CB51" s="332"/>
      <c r="CC51" s="332"/>
      <c r="CD51" s="332"/>
      <c r="CE51" s="332"/>
      <c r="CF51" s="332"/>
      <c r="CG51" s="332"/>
      <c r="CH51" s="332"/>
      <c r="CI51" s="332"/>
      <c r="CJ51" s="332"/>
      <c r="CK51" s="332"/>
      <c r="CL51" s="332"/>
      <c r="CM51" s="332"/>
      <c r="CN51" s="332"/>
      <c r="CO51" s="332"/>
      <c r="CP51" s="333" t="s">
        <v>27</v>
      </c>
      <c r="CQ51" s="333" t="s">
        <v>151</v>
      </c>
      <c r="CR51" s="334">
        <v>-15.07588</v>
      </c>
      <c r="CS51" s="334">
        <v>-15.300153</v>
      </c>
      <c r="CT51" s="334">
        <v>-15.524426</v>
      </c>
      <c r="CU51" s="334">
        <v>-15.748699</v>
      </c>
      <c r="CV51" s="334">
        <v>-15.972972</v>
      </c>
      <c r="CW51" s="334">
        <v>-16.197244999999999</v>
      </c>
      <c r="CX51" s="334">
        <v>-16.421517999999999</v>
      </c>
      <c r="CY51" s="334">
        <v>-16.645790999999999</v>
      </c>
      <c r="CZ51" s="334">
        <v>-16.870063999999999</v>
      </c>
      <c r="DA51" s="334">
        <v>-17.094336999999999</v>
      </c>
      <c r="DB51" s="334">
        <v>-17.31861</v>
      </c>
      <c r="DC51" s="334">
        <v>-17.970634</v>
      </c>
      <c r="DD51" s="334">
        <v>-18.622658000000001</v>
      </c>
      <c r="DE51" s="334">
        <v>-19.274682000000002</v>
      </c>
      <c r="DF51" s="334">
        <v>-19.926706000000003</v>
      </c>
      <c r="DG51" s="334">
        <v>-20.578730000000004</v>
      </c>
      <c r="DH51" s="334">
        <v>-21.230754000000005</v>
      </c>
      <c r="DI51" s="334">
        <v>-21.882778000000005</v>
      </c>
      <c r="DJ51" s="334">
        <v>-22.534802000000006</v>
      </c>
      <c r="DK51" s="334">
        <v>-23.186826000000007</v>
      </c>
      <c r="DL51" s="334">
        <v>-23.838849999999997</v>
      </c>
      <c r="DM51" s="334">
        <v>-23.928844999999999</v>
      </c>
      <c r="DN51" s="334">
        <v>-24.018840000000001</v>
      </c>
      <c r="DO51" s="334">
        <v>-25.253170000000001</v>
      </c>
      <c r="DP51" s="334">
        <v>-26.487500000000001</v>
      </c>
      <c r="DQ51" s="334">
        <v>-26.747599999999998</v>
      </c>
      <c r="DR51" s="334">
        <v>-27.0077</v>
      </c>
      <c r="DS51" s="334">
        <v>-26.856001339031309</v>
      </c>
      <c r="DT51" s="334">
        <v>-27.343967651607727</v>
      </c>
      <c r="DU51" s="335">
        <v>-27.831933964183918</v>
      </c>
      <c r="DV51" s="335">
        <v>-28.319900276760336</v>
      </c>
      <c r="DW51" s="335">
        <v>-28.807866589336527</v>
      </c>
      <c r="DX51" s="198">
        <v>-28.319900276760336</v>
      </c>
      <c r="DY51" s="198">
        <v>-37.986566943427</v>
      </c>
      <c r="DZ51" s="198">
        <v>-42.486566943427</v>
      </c>
      <c r="EA51" s="198">
        <v>-9.1787003540904735</v>
      </c>
      <c r="EB51" s="198">
        <v>-28.319900276760336</v>
      </c>
      <c r="EC51" s="198">
        <v>-28.319900276760336</v>
      </c>
      <c r="ED51" s="198">
        <v>-28.319900276760336</v>
      </c>
      <c r="EE51" s="198">
        <v>-28.319900276760336</v>
      </c>
      <c r="EF51" s="198">
        <v>0.48796631257619083</v>
      </c>
      <c r="EG51" s="198">
        <v>9.6666666666666643</v>
      </c>
      <c r="EH51" s="198">
        <v>-39.802158509239064</v>
      </c>
      <c r="EI51" s="336">
        <f t="shared" si="0"/>
        <v>-27.15744059096459</v>
      </c>
      <c r="EJ51" s="336">
        <f>EI51-'[13]FAOSTAT21 CO2'!EH51</f>
        <v>-22.176118450964591</v>
      </c>
    </row>
    <row r="52" spans="1:140" x14ac:dyDescent="0.25">
      <c r="A52" s="31">
        <v>12</v>
      </c>
      <c r="B52" s="31" t="s">
        <v>152</v>
      </c>
      <c r="C52" s="31">
        <v>50</v>
      </c>
      <c r="D52" s="31">
        <v>1</v>
      </c>
      <c r="E52" s="31">
        <v>0</v>
      </c>
      <c r="F52" s="31">
        <v>1</v>
      </c>
      <c r="G52" s="31">
        <v>0</v>
      </c>
      <c r="H52" s="331" t="s">
        <v>2475</v>
      </c>
      <c r="I52" s="331" t="s">
        <v>153</v>
      </c>
      <c r="J52" s="331"/>
      <c r="K52" s="331"/>
      <c r="L52" s="331"/>
      <c r="M52" s="331"/>
      <c r="N52" s="331"/>
      <c r="O52" s="331"/>
      <c r="P52" s="331"/>
      <c r="Q52" s="331"/>
      <c r="R52" s="331"/>
      <c r="S52" s="331"/>
      <c r="T52" s="331"/>
      <c r="U52" s="331"/>
      <c r="V52" s="331"/>
      <c r="W52" s="331"/>
      <c r="X52" s="331"/>
      <c r="Y52" s="331"/>
      <c r="Z52" s="331"/>
      <c r="AA52" s="331"/>
      <c r="AB52" s="331"/>
      <c r="AC52" s="331"/>
      <c r="AD52" s="331"/>
      <c r="AE52" s="331"/>
      <c r="AF52" s="331"/>
      <c r="AG52" s="331"/>
      <c r="AH52" s="331"/>
      <c r="AI52" s="331"/>
      <c r="AJ52" s="331"/>
      <c r="AK52" s="331"/>
      <c r="AL52" s="331"/>
      <c r="AM52" s="331"/>
      <c r="AN52" s="331"/>
      <c r="AO52" s="331"/>
      <c r="AP52" s="331"/>
      <c r="AQ52" s="331"/>
      <c r="AR52" s="331"/>
      <c r="AS52" s="331"/>
      <c r="AT52" s="331"/>
      <c r="AU52" s="331"/>
      <c r="AV52" s="331"/>
      <c r="AW52" s="331"/>
      <c r="AX52" s="331"/>
      <c r="AY52" s="332" t="s">
        <v>2476</v>
      </c>
      <c r="AZ52" s="332" t="s">
        <v>153</v>
      </c>
      <c r="BA52" s="332"/>
      <c r="BB52" s="332"/>
      <c r="BC52" s="332"/>
      <c r="BD52" s="332"/>
      <c r="BE52" s="332"/>
      <c r="BF52" s="332"/>
      <c r="BG52" s="332"/>
      <c r="BH52" s="332"/>
      <c r="BI52" s="332"/>
      <c r="BJ52" s="332"/>
      <c r="BK52" s="332"/>
      <c r="BL52" s="332"/>
      <c r="BM52" s="332"/>
      <c r="BN52" s="332"/>
      <c r="BO52" s="332"/>
      <c r="BP52" s="332"/>
      <c r="BQ52" s="332"/>
      <c r="BR52" s="332"/>
      <c r="BS52" s="332"/>
      <c r="BT52" s="332"/>
      <c r="BU52" s="332"/>
      <c r="BV52" s="332"/>
      <c r="BW52" s="332"/>
      <c r="BX52" s="332"/>
      <c r="BY52" s="332"/>
      <c r="BZ52" s="332"/>
      <c r="CA52" s="332"/>
      <c r="CB52" s="332"/>
      <c r="CC52" s="332"/>
      <c r="CD52" s="332"/>
      <c r="CE52" s="332"/>
      <c r="CF52" s="332"/>
      <c r="CG52" s="332"/>
      <c r="CH52" s="332"/>
      <c r="CI52" s="332"/>
      <c r="CJ52" s="332"/>
      <c r="CK52" s="332"/>
      <c r="CL52" s="332"/>
      <c r="CM52" s="332"/>
      <c r="CN52" s="332"/>
      <c r="CO52" s="332"/>
      <c r="CP52" s="333" t="s">
        <v>27</v>
      </c>
      <c r="CQ52" s="333" t="s">
        <v>153</v>
      </c>
      <c r="CR52" s="334">
        <v>-0.1530693026467364</v>
      </c>
      <c r="CS52" s="334">
        <v>-0.16698752427069821</v>
      </c>
      <c r="CT52" s="334">
        <v>-0.17265532921246482</v>
      </c>
      <c r="CU52" s="334">
        <v>-0.17481343688365489</v>
      </c>
      <c r="CV52" s="334">
        <v>-0.18336086817964295</v>
      </c>
      <c r="CW52" s="334">
        <v>-0.18004724066732755</v>
      </c>
      <c r="CX52" s="334">
        <v>-0.1853727058797292</v>
      </c>
      <c r="CY52" s="334">
        <v>-0.18423267488834214</v>
      </c>
      <c r="CZ52" s="334">
        <v>-0.19051034957017088</v>
      </c>
      <c r="DA52" s="334">
        <v>-0.19839826060325685</v>
      </c>
      <c r="DB52" s="334">
        <v>-0.14252874031973714</v>
      </c>
      <c r="DC52" s="334">
        <v>-0.16864498476141621</v>
      </c>
      <c r="DD52" s="334">
        <v>-0.2020112546570586</v>
      </c>
      <c r="DE52" s="334">
        <v>-0.21412012843069647</v>
      </c>
      <c r="DF52" s="334">
        <v>-0.21467748889960719</v>
      </c>
      <c r="DG52" s="334">
        <v>-0.22098178959029857</v>
      </c>
      <c r="DH52" s="334">
        <v>-0.22266817149429272</v>
      </c>
      <c r="DI52" s="334">
        <v>-0.18307598211375703</v>
      </c>
      <c r="DJ52" s="334">
        <v>-0.25003380465910002</v>
      </c>
      <c r="DK52" s="334">
        <v>-0.2778555614836356</v>
      </c>
      <c r="DL52" s="334">
        <v>-0.26524501335598505</v>
      </c>
      <c r="DM52" s="334">
        <v>-0.30099176586839826</v>
      </c>
      <c r="DN52" s="334">
        <v>-0.29384031474500111</v>
      </c>
      <c r="DO52" s="334">
        <v>-0.29750262805867489</v>
      </c>
      <c r="DP52" s="334">
        <v>-0.29932589788814279</v>
      </c>
      <c r="DQ52" s="334">
        <v>-0.29632369325676211</v>
      </c>
      <c r="DR52" s="334">
        <v>-0.19110984741694392</v>
      </c>
      <c r="DS52" s="334">
        <v>-0.30724850324927144</v>
      </c>
      <c r="DT52" s="334">
        <v>-0.30252850744990956</v>
      </c>
      <c r="DU52" s="335">
        <v>-0.29725823001343615</v>
      </c>
      <c r="DV52" s="335">
        <v>-0.29876105859942059</v>
      </c>
      <c r="DW52" s="335">
        <v>-0.2355193441706073</v>
      </c>
      <c r="DX52" s="198">
        <v>-0.29876105859942059</v>
      </c>
      <c r="DY52" s="198">
        <v>-0.29876105859942059</v>
      </c>
      <c r="DZ52" s="198">
        <v>-0.29876105859942059</v>
      </c>
      <c r="EA52" s="198">
        <v>-6.3241714428813295E-2</v>
      </c>
      <c r="EB52" s="198">
        <v>-0.29876105859942059</v>
      </c>
      <c r="EC52" s="198">
        <v>-0.29876105859942059</v>
      </c>
      <c r="ED52" s="198">
        <v>-0.29876105859942059</v>
      </c>
      <c r="EE52" s="198">
        <v>-0.29876105859942059</v>
      </c>
      <c r="EF52" s="198">
        <v>-6.3241714428813295E-2</v>
      </c>
      <c r="EG52" s="198">
        <v>0</v>
      </c>
      <c r="EH52" s="198">
        <v>-0.33197665227444179</v>
      </c>
      <c r="EI52" s="336">
        <f t="shared" si="0"/>
        <v>-0.27889375627726459</v>
      </c>
      <c r="EJ52" s="336">
        <f>EI52-'[13]FAOSTAT21 CO2'!EH52</f>
        <v>-1.6486316277264601E-2</v>
      </c>
    </row>
    <row r="53" spans="1:140" x14ac:dyDescent="0.25">
      <c r="A53" s="31">
        <v>12</v>
      </c>
      <c r="B53" s="31" t="s">
        <v>154</v>
      </c>
      <c r="C53" s="31">
        <v>51</v>
      </c>
      <c r="D53" s="31">
        <v>1</v>
      </c>
      <c r="E53" s="31">
        <v>0</v>
      </c>
      <c r="F53" s="31">
        <v>1</v>
      </c>
      <c r="G53" s="31">
        <v>0</v>
      </c>
      <c r="H53" s="331" t="s">
        <v>2475</v>
      </c>
      <c r="I53" s="331" t="s">
        <v>155</v>
      </c>
      <c r="J53" s="331"/>
      <c r="K53" s="331"/>
      <c r="L53" s="331"/>
      <c r="M53" s="331"/>
      <c r="N53" s="331"/>
      <c r="O53" s="331"/>
      <c r="P53" s="331"/>
      <c r="Q53" s="331"/>
      <c r="R53" s="331"/>
      <c r="S53" s="331"/>
      <c r="T53" s="331"/>
      <c r="U53" s="331"/>
      <c r="V53" s="331"/>
      <c r="W53" s="331"/>
      <c r="X53" s="331"/>
      <c r="Y53" s="331"/>
      <c r="Z53" s="331"/>
      <c r="AA53" s="331"/>
      <c r="AB53" s="331"/>
      <c r="AC53" s="331"/>
      <c r="AD53" s="331"/>
      <c r="AE53" s="331"/>
      <c r="AF53" s="331"/>
      <c r="AG53" s="331"/>
      <c r="AH53" s="331"/>
      <c r="AI53" s="331"/>
      <c r="AJ53" s="331"/>
      <c r="AK53" s="331"/>
      <c r="AL53" s="331"/>
      <c r="AM53" s="331"/>
      <c r="AN53" s="331"/>
      <c r="AO53" s="331"/>
      <c r="AP53" s="331"/>
      <c r="AQ53" s="331"/>
      <c r="AR53" s="331"/>
      <c r="AS53" s="331"/>
      <c r="AT53" s="331"/>
      <c r="AU53" s="331"/>
      <c r="AV53" s="331"/>
      <c r="AW53" s="331"/>
      <c r="AX53" s="331"/>
      <c r="AY53" s="332" t="s">
        <v>2476</v>
      </c>
      <c r="AZ53" s="332" t="s">
        <v>155</v>
      </c>
      <c r="BA53" s="332"/>
      <c r="BB53" s="332"/>
      <c r="BC53" s="332"/>
      <c r="BD53" s="332"/>
      <c r="BE53" s="332"/>
      <c r="BF53" s="332"/>
      <c r="BG53" s="332"/>
      <c r="BH53" s="332"/>
      <c r="BI53" s="332"/>
      <c r="BJ53" s="332"/>
      <c r="BK53" s="332"/>
      <c r="BL53" s="332"/>
      <c r="BM53" s="332"/>
      <c r="BN53" s="332"/>
      <c r="BO53" s="332"/>
      <c r="BP53" s="332"/>
      <c r="BQ53" s="332"/>
      <c r="BR53" s="332"/>
      <c r="BS53" s="332"/>
      <c r="BT53" s="332"/>
      <c r="BU53" s="332"/>
      <c r="BV53" s="332"/>
      <c r="BW53" s="332"/>
      <c r="BX53" s="332"/>
      <c r="BY53" s="332"/>
      <c r="BZ53" s="332"/>
      <c r="CA53" s="332"/>
      <c r="CB53" s="332"/>
      <c r="CC53" s="332"/>
      <c r="CD53" s="332"/>
      <c r="CE53" s="332"/>
      <c r="CF53" s="332"/>
      <c r="CG53" s="332"/>
      <c r="CH53" s="332"/>
      <c r="CI53" s="332"/>
      <c r="CJ53" s="332"/>
      <c r="CK53" s="332"/>
      <c r="CL53" s="332"/>
      <c r="CM53" s="332"/>
      <c r="CN53" s="332"/>
      <c r="CO53" s="332"/>
      <c r="CP53" s="333" t="s">
        <v>27</v>
      </c>
      <c r="CQ53" s="333" t="s">
        <v>155</v>
      </c>
      <c r="CR53" s="334">
        <v>-8.5875223889475798</v>
      </c>
      <c r="CS53" s="334">
        <v>-9.9366668171701349</v>
      </c>
      <c r="CT53" s="334">
        <v>-10.071234030313505</v>
      </c>
      <c r="CU53" s="334">
        <v>-10.688773177777694</v>
      </c>
      <c r="CV53" s="334">
        <v>-9.3843512326913032</v>
      </c>
      <c r="CW53" s="334">
        <v>-9.6785222508945239</v>
      </c>
      <c r="CX53" s="334">
        <v>-9.4141822050204276</v>
      </c>
      <c r="CY53" s="334">
        <v>-8.4651419191498878</v>
      </c>
      <c r="CZ53" s="334">
        <v>-8.1564706856991247</v>
      </c>
      <c r="DA53" s="334">
        <v>-8.3881001009553078</v>
      </c>
      <c r="DB53" s="334">
        <v>-9.1688875846023858</v>
      </c>
      <c r="DC53" s="334">
        <v>-9.1615205112364944</v>
      </c>
      <c r="DD53" s="334">
        <v>-8.929815933448328</v>
      </c>
      <c r="DE53" s="334">
        <v>-8.3185358123744386</v>
      </c>
      <c r="DF53" s="334">
        <v>-8.1440178054667598</v>
      </c>
      <c r="DG53" s="334">
        <v>-8.2589905954402489</v>
      </c>
      <c r="DH53" s="334">
        <v>-7.0786880030823394</v>
      </c>
      <c r="DI53" s="334">
        <v>-6.5083690665973029</v>
      </c>
      <c r="DJ53" s="334">
        <v>-7.8443009400790942</v>
      </c>
      <c r="DK53" s="334">
        <v>-7.7866560058594958</v>
      </c>
      <c r="DL53" s="334">
        <v>-7.1557792978009589</v>
      </c>
      <c r="DM53" s="334">
        <v>-7.5202133474540123</v>
      </c>
      <c r="DN53" s="334">
        <v>-7.6949719069131612</v>
      </c>
      <c r="DO53" s="334">
        <v>-7.082572830605244</v>
      </c>
      <c r="DP53" s="334">
        <v>-7.0353194083000457</v>
      </c>
      <c r="DQ53" s="334">
        <v>-6.9650392768871887</v>
      </c>
      <c r="DR53" s="334">
        <v>-6.108180806242105</v>
      </c>
      <c r="DS53" s="334">
        <v>-4.499656016991227</v>
      </c>
      <c r="DT53" s="334">
        <v>1.0013776643563999</v>
      </c>
      <c r="DU53" s="335">
        <v>7.7776033474416417</v>
      </c>
      <c r="DV53" s="335">
        <v>11.267387431388597</v>
      </c>
      <c r="DW53" s="335">
        <v>8.3575322025978913</v>
      </c>
      <c r="DX53" s="198">
        <v>11.267387431388597</v>
      </c>
      <c r="DY53" s="198">
        <v>11.267387431388597</v>
      </c>
      <c r="DZ53" s="198">
        <v>11.267387431388597</v>
      </c>
      <c r="EA53" s="198">
        <v>2.9098552287907058</v>
      </c>
      <c r="EB53" s="198">
        <v>11.267387431388597</v>
      </c>
      <c r="EC53" s="198">
        <v>11.267387431388597</v>
      </c>
      <c r="ED53" s="198">
        <v>11.267387431388597</v>
      </c>
      <c r="EE53" s="198">
        <v>11.267387431388597</v>
      </c>
      <c r="EF53" s="198">
        <v>2.9098552287907058</v>
      </c>
      <c r="EG53" s="198">
        <v>0</v>
      </c>
      <c r="EH53" s="198">
        <v>9.7457153498808218</v>
      </c>
      <c r="EI53" s="336">
        <f t="shared" si="0"/>
        <v>-1.7587790176644957</v>
      </c>
      <c r="EJ53" s="336">
        <f>EI53-'[13]FAOSTAT21 CO2'!EH53</f>
        <v>3.6213476823355042</v>
      </c>
    </row>
    <row r="54" spans="1:140" x14ac:dyDescent="0.25">
      <c r="A54" s="31">
        <v>11</v>
      </c>
      <c r="B54" s="31" t="s">
        <v>156</v>
      </c>
      <c r="C54" s="31">
        <v>53</v>
      </c>
      <c r="D54" s="31">
        <v>1</v>
      </c>
      <c r="E54" s="31">
        <v>0</v>
      </c>
      <c r="F54" s="31">
        <v>1</v>
      </c>
      <c r="G54" s="31">
        <v>0</v>
      </c>
      <c r="H54" s="331" t="s">
        <v>2475</v>
      </c>
      <c r="I54" s="331" t="s">
        <v>157</v>
      </c>
      <c r="J54" s="331"/>
      <c r="K54" s="331"/>
      <c r="L54" s="331"/>
      <c r="M54" s="331"/>
      <c r="N54" s="331"/>
      <c r="O54" s="331"/>
      <c r="P54" s="331"/>
      <c r="Q54" s="331"/>
      <c r="R54" s="331"/>
      <c r="S54" s="331"/>
      <c r="T54" s="331"/>
      <c r="U54" s="331"/>
      <c r="V54" s="331"/>
      <c r="W54" s="331"/>
      <c r="X54" s="331"/>
      <c r="Y54" s="331"/>
      <c r="Z54" s="331"/>
      <c r="AA54" s="331"/>
      <c r="AB54" s="331"/>
      <c r="AC54" s="331"/>
      <c r="AD54" s="331"/>
      <c r="AE54" s="331"/>
      <c r="AF54" s="331"/>
      <c r="AG54" s="331"/>
      <c r="AH54" s="331"/>
      <c r="AI54" s="331"/>
      <c r="AJ54" s="331"/>
      <c r="AK54" s="331"/>
      <c r="AL54" s="331"/>
      <c r="AM54" s="331"/>
      <c r="AN54" s="331"/>
      <c r="AO54" s="331"/>
      <c r="AP54" s="331"/>
      <c r="AQ54" s="331"/>
      <c r="AR54" s="331"/>
      <c r="AS54" s="331"/>
      <c r="AT54" s="331"/>
      <c r="AU54" s="331"/>
      <c r="AV54" s="331"/>
      <c r="AW54" s="331"/>
      <c r="AX54" s="331"/>
      <c r="AY54" s="332" t="s">
        <v>2476</v>
      </c>
      <c r="AZ54" s="332" t="s">
        <v>157</v>
      </c>
      <c r="BA54" s="332"/>
      <c r="BB54" s="332"/>
      <c r="BC54" s="332"/>
      <c r="BD54" s="332"/>
      <c r="BE54" s="332"/>
      <c r="BF54" s="332"/>
      <c r="BG54" s="332"/>
      <c r="BH54" s="332"/>
      <c r="BI54" s="332"/>
      <c r="BJ54" s="332"/>
      <c r="BK54" s="332"/>
      <c r="BL54" s="332"/>
      <c r="BM54" s="332"/>
      <c r="BN54" s="332"/>
      <c r="BO54" s="332"/>
      <c r="BP54" s="332"/>
      <c r="BQ54" s="332"/>
      <c r="BR54" s="332"/>
      <c r="BS54" s="332"/>
      <c r="BT54" s="332"/>
      <c r="BU54" s="332"/>
      <c r="BV54" s="332"/>
      <c r="BW54" s="332"/>
      <c r="BX54" s="332"/>
      <c r="BY54" s="332"/>
      <c r="BZ54" s="332"/>
      <c r="CA54" s="332"/>
      <c r="CB54" s="332"/>
      <c r="CC54" s="332"/>
      <c r="CD54" s="332"/>
      <c r="CE54" s="332"/>
      <c r="CF54" s="332"/>
      <c r="CG54" s="332"/>
      <c r="CH54" s="332"/>
      <c r="CI54" s="332"/>
      <c r="CJ54" s="332"/>
      <c r="CK54" s="332"/>
      <c r="CL54" s="332"/>
      <c r="CM54" s="332"/>
      <c r="CN54" s="332"/>
      <c r="CO54" s="332"/>
      <c r="CP54" s="333" t="s">
        <v>27</v>
      </c>
      <c r="CQ54" s="333" t="s">
        <v>157</v>
      </c>
      <c r="CR54" s="334">
        <v>6.9310202836146164</v>
      </c>
      <c r="CS54" s="334">
        <v>6.2467956677468095</v>
      </c>
      <c r="CT54" s="334">
        <v>7.1724788448189072</v>
      </c>
      <c r="CU54" s="334">
        <v>5.8351979106214475</v>
      </c>
      <c r="CV54" s="334">
        <v>5.3811054972527828</v>
      </c>
      <c r="CW54" s="334">
        <v>5.4618043098618561</v>
      </c>
      <c r="CX54" s="334">
        <v>4.8049034168205695</v>
      </c>
      <c r="CY54" s="334">
        <v>5.2649967044785875</v>
      </c>
      <c r="CZ54" s="334">
        <v>5.1533592830079566</v>
      </c>
      <c r="DA54" s="334">
        <v>5.4492872430275421</v>
      </c>
      <c r="DB54" s="334">
        <v>5.2033765958543396</v>
      </c>
      <c r="DC54" s="334">
        <v>4.7136216081465507</v>
      </c>
      <c r="DD54" s="334">
        <v>5.7296141282229556</v>
      </c>
      <c r="DE54" s="334">
        <v>5.4695386527619645</v>
      </c>
      <c r="DF54" s="334">
        <v>5.2139125055924307</v>
      </c>
      <c r="DG54" s="334">
        <v>5.1799940523837487</v>
      </c>
      <c r="DH54" s="334">
        <v>5.3436380632426825</v>
      </c>
      <c r="DI54" s="334">
        <v>5.635500010721775</v>
      </c>
      <c r="DJ54" s="334">
        <v>4.1997376355385949</v>
      </c>
      <c r="DK54" s="334">
        <v>3.4836253895933882</v>
      </c>
      <c r="DL54" s="334">
        <v>2.5531573897284159</v>
      </c>
      <c r="DM54" s="334">
        <v>2.0006158015782347</v>
      </c>
      <c r="DN54" s="334">
        <v>1.5636933327111637</v>
      </c>
      <c r="DO54" s="334">
        <v>1.1987343326201918</v>
      </c>
      <c r="DP54" s="334">
        <v>1.9099134519910459</v>
      </c>
      <c r="DQ54" s="334">
        <v>0.88530793961080489</v>
      </c>
      <c r="DR54" s="334">
        <v>1.9669533102056793</v>
      </c>
      <c r="DS54" s="334">
        <v>1.9164927602665423</v>
      </c>
      <c r="DT54" s="334">
        <v>3.8210930811456971</v>
      </c>
      <c r="DU54" s="335">
        <v>2.9900185670731552</v>
      </c>
      <c r="DV54" s="335">
        <v>3.1379597211977632</v>
      </c>
      <c r="DW54" s="335">
        <v>2.4563489269048611</v>
      </c>
      <c r="DX54" s="198">
        <v>3.1379597211977632</v>
      </c>
      <c r="DY54" s="198">
        <v>3.1379597211977632</v>
      </c>
      <c r="DZ54" s="198">
        <v>3.1379597211977632</v>
      </c>
      <c r="EA54" s="198">
        <v>0.68161079429290217</v>
      </c>
      <c r="EB54" s="198">
        <v>3.1379597211977632</v>
      </c>
      <c r="EC54" s="198">
        <v>3.1379597211977632</v>
      </c>
      <c r="ED54" s="198">
        <v>3.1379597211977632</v>
      </c>
      <c r="EE54" s="198">
        <v>3.1379597211977632</v>
      </c>
      <c r="EF54" s="198">
        <v>0.68161079429290217</v>
      </c>
      <c r="EG54" s="198">
        <v>0</v>
      </c>
      <c r="EH54" s="198">
        <v>2.4392336180527243</v>
      </c>
      <c r="EI54" s="336">
        <f t="shared" si="0"/>
        <v>2.3159731316603756</v>
      </c>
      <c r="EJ54" s="336">
        <f>EI54-'[13]FAOSTAT21 CO2'!EH54</f>
        <v>2.0212951516603757</v>
      </c>
    </row>
    <row r="55" spans="1:140" x14ac:dyDescent="0.25">
      <c r="A55" s="31">
        <v>9</v>
      </c>
      <c r="B55" s="31" t="s">
        <v>158</v>
      </c>
      <c r="C55" s="31">
        <v>69</v>
      </c>
      <c r="D55" s="31">
        <v>0</v>
      </c>
      <c r="E55" s="31">
        <v>0</v>
      </c>
      <c r="F55" s="31">
        <v>0</v>
      </c>
      <c r="G55" s="31">
        <v>0</v>
      </c>
      <c r="H55" s="331" t="s">
        <v>2475</v>
      </c>
      <c r="I55" s="331" t="s">
        <v>159</v>
      </c>
      <c r="J55" s="331"/>
      <c r="K55" s="331"/>
      <c r="L55" s="331"/>
      <c r="M55" s="331"/>
      <c r="N55" s="331"/>
      <c r="O55" s="331"/>
      <c r="P55" s="331"/>
      <c r="Q55" s="331"/>
      <c r="R55" s="331"/>
      <c r="S55" s="331"/>
      <c r="T55" s="331"/>
      <c r="U55" s="331"/>
      <c r="V55" s="331"/>
      <c r="W55" s="331"/>
      <c r="X55" s="331"/>
      <c r="Y55" s="331"/>
      <c r="Z55" s="331"/>
      <c r="AA55" s="331"/>
      <c r="AB55" s="331"/>
      <c r="AC55" s="331"/>
      <c r="AD55" s="331"/>
      <c r="AE55" s="331"/>
      <c r="AF55" s="331"/>
      <c r="AG55" s="331"/>
      <c r="AH55" s="331"/>
      <c r="AI55" s="331"/>
      <c r="AJ55" s="331"/>
      <c r="AK55" s="331"/>
      <c r="AL55" s="331"/>
      <c r="AM55" s="331"/>
      <c r="AN55" s="331"/>
      <c r="AO55" s="331"/>
      <c r="AP55" s="331"/>
      <c r="AQ55" s="331"/>
      <c r="AR55" s="331"/>
      <c r="AS55" s="331"/>
      <c r="AT55" s="331"/>
      <c r="AU55" s="331"/>
      <c r="AV55" s="331"/>
      <c r="AW55" s="331"/>
      <c r="AX55" s="331"/>
      <c r="AY55" s="332" t="s">
        <v>2476</v>
      </c>
      <c r="AZ55" s="332" t="s">
        <v>159</v>
      </c>
      <c r="BA55" s="332"/>
      <c r="BB55" s="332"/>
      <c r="BC55" s="332"/>
      <c r="BD55" s="332"/>
      <c r="BE55" s="332"/>
      <c r="BF55" s="332"/>
      <c r="BG55" s="332"/>
      <c r="BH55" s="332"/>
      <c r="BI55" s="332"/>
      <c r="BJ55" s="332"/>
      <c r="BK55" s="332"/>
      <c r="BL55" s="332"/>
      <c r="BM55" s="332"/>
      <c r="BN55" s="332"/>
      <c r="BO55" s="332"/>
      <c r="BP55" s="332"/>
      <c r="BQ55" s="332"/>
      <c r="BR55" s="332"/>
      <c r="BS55" s="332"/>
      <c r="BT55" s="332"/>
      <c r="BU55" s="332"/>
      <c r="BV55" s="332"/>
      <c r="BW55" s="332"/>
      <c r="BX55" s="332"/>
      <c r="BY55" s="332"/>
      <c r="BZ55" s="332"/>
      <c r="CA55" s="332"/>
      <c r="CB55" s="332"/>
      <c r="CC55" s="332"/>
      <c r="CD55" s="332"/>
      <c r="CE55" s="332"/>
      <c r="CF55" s="332"/>
      <c r="CG55" s="332"/>
      <c r="CH55" s="332"/>
      <c r="CI55" s="332"/>
      <c r="CJ55" s="332"/>
      <c r="CK55" s="332"/>
      <c r="CL55" s="332"/>
      <c r="CM55" s="332"/>
      <c r="CN55" s="332"/>
      <c r="CO55" s="332"/>
      <c r="CP55" s="333" t="s">
        <v>27</v>
      </c>
      <c r="CQ55" s="333" t="s">
        <v>159</v>
      </c>
      <c r="CR55" s="334">
        <v>-1.5</v>
      </c>
      <c r="CS55" s="334">
        <v>-1.5</v>
      </c>
      <c r="CT55" s="334">
        <v>-1.5</v>
      </c>
      <c r="CU55" s="334">
        <v>-1.5</v>
      </c>
      <c r="CV55" s="334">
        <v>-1.5</v>
      </c>
      <c r="CW55" s="334">
        <v>-1.5</v>
      </c>
      <c r="CX55" s="334">
        <v>-1.5</v>
      </c>
      <c r="CY55" s="334">
        <v>-1.5</v>
      </c>
      <c r="CZ55" s="334">
        <v>-1.5</v>
      </c>
      <c r="DA55" s="334">
        <v>-1.5</v>
      </c>
      <c r="DB55" s="334">
        <v>-1.5</v>
      </c>
      <c r="DC55" s="334">
        <v>-1.5</v>
      </c>
      <c r="DD55" s="334">
        <v>-1.5</v>
      </c>
      <c r="DE55" s="334">
        <v>-1.5</v>
      </c>
      <c r="DF55" s="334">
        <v>-1.5</v>
      </c>
      <c r="DG55" s="334">
        <v>-1.5</v>
      </c>
      <c r="DH55" s="334">
        <v>-1.5</v>
      </c>
      <c r="DI55" s="334">
        <v>-1.5</v>
      </c>
      <c r="DJ55" s="334">
        <v>-1.5</v>
      </c>
      <c r="DK55" s="334">
        <v>-1.5</v>
      </c>
      <c r="DL55" s="334">
        <v>-7</v>
      </c>
      <c r="DM55" s="334">
        <v>-7.3</v>
      </c>
      <c r="DN55" s="334">
        <v>-7</v>
      </c>
      <c r="DO55" s="334">
        <v>-7</v>
      </c>
      <c r="DP55" s="334">
        <v>-7</v>
      </c>
      <c r="DQ55" s="334">
        <v>-7</v>
      </c>
      <c r="DR55" s="334">
        <v>-7</v>
      </c>
      <c r="DS55" s="334">
        <v>-7</v>
      </c>
      <c r="DT55" s="334">
        <v>-7</v>
      </c>
      <c r="DU55" s="335">
        <v>-7</v>
      </c>
      <c r="DV55" s="335">
        <v>-7</v>
      </c>
      <c r="DW55" s="335">
        <v>-7.3761290322580066</v>
      </c>
      <c r="DX55" s="198">
        <v>-2</v>
      </c>
      <c r="DY55" s="198">
        <v>-2</v>
      </c>
      <c r="DZ55" s="198">
        <v>-2</v>
      </c>
      <c r="EA55" s="198">
        <v>5.3761290322580066</v>
      </c>
      <c r="EB55" s="198">
        <v>-7</v>
      </c>
      <c r="EC55" s="198">
        <v>-7</v>
      </c>
      <c r="ED55" s="198">
        <v>-7</v>
      </c>
      <c r="EE55" s="198">
        <v>-7</v>
      </c>
      <c r="EF55" s="198">
        <v>0.37612903225800665</v>
      </c>
      <c r="EG55" s="198">
        <v>-5</v>
      </c>
      <c r="EH55" s="198">
        <v>-9.0838762207278183</v>
      </c>
      <c r="EI55" s="336">
        <f t="shared" si="0"/>
        <v>-7</v>
      </c>
      <c r="EJ55" s="336">
        <f>EI55-'[13]FAOSTAT21 CO2'!EH55</f>
        <v>-7.0000047199999997</v>
      </c>
    </row>
    <row r="56" spans="1:140" x14ac:dyDescent="0.25">
      <c r="A56" s="31">
        <v>4</v>
      </c>
      <c r="B56" s="31" t="s">
        <v>160</v>
      </c>
      <c r="C56" s="31">
        <v>54</v>
      </c>
      <c r="D56" s="31">
        <v>0</v>
      </c>
      <c r="E56" s="31">
        <v>0</v>
      </c>
      <c r="F56" s="31">
        <v>0</v>
      </c>
      <c r="G56" s="31">
        <v>0</v>
      </c>
      <c r="H56" s="331" t="s">
        <v>2475</v>
      </c>
      <c r="I56" s="331" t="s">
        <v>161</v>
      </c>
      <c r="J56" s="331"/>
      <c r="K56" s="331"/>
      <c r="L56" s="331"/>
      <c r="M56" s="331"/>
      <c r="N56" s="331"/>
      <c r="O56" s="331"/>
      <c r="P56" s="331"/>
      <c r="Q56" s="331"/>
      <c r="R56" s="331"/>
      <c r="S56" s="331"/>
      <c r="T56" s="331"/>
      <c r="U56" s="331"/>
      <c r="V56" s="331"/>
      <c r="W56" s="331"/>
      <c r="X56" s="331"/>
      <c r="Y56" s="331"/>
      <c r="Z56" s="331"/>
      <c r="AA56" s="331"/>
      <c r="AB56" s="331"/>
      <c r="AC56" s="331"/>
      <c r="AD56" s="331"/>
      <c r="AE56" s="331"/>
      <c r="AF56" s="331"/>
      <c r="AG56" s="331"/>
      <c r="AH56" s="331"/>
      <c r="AI56" s="331"/>
      <c r="AJ56" s="331"/>
      <c r="AK56" s="331"/>
      <c r="AL56" s="331"/>
      <c r="AM56" s="331"/>
      <c r="AN56" s="331"/>
      <c r="AO56" s="331"/>
      <c r="AP56" s="331"/>
      <c r="AQ56" s="331"/>
      <c r="AR56" s="331"/>
      <c r="AS56" s="331"/>
      <c r="AT56" s="331"/>
      <c r="AU56" s="331"/>
      <c r="AV56" s="331"/>
      <c r="AW56" s="331"/>
      <c r="AX56" s="331"/>
      <c r="AY56" s="332" t="s">
        <v>2476</v>
      </c>
      <c r="AZ56" s="332" t="s">
        <v>161</v>
      </c>
      <c r="BA56" s="332"/>
      <c r="BB56" s="332"/>
      <c r="BC56" s="332"/>
      <c r="BD56" s="332"/>
      <c r="BE56" s="332"/>
      <c r="BF56" s="332"/>
      <c r="BG56" s="332"/>
      <c r="BH56" s="332"/>
      <c r="BI56" s="332"/>
      <c r="BJ56" s="332"/>
      <c r="BK56" s="332"/>
      <c r="BL56" s="332"/>
      <c r="BM56" s="332"/>
      <c r="BN56" s="332"/>
      <c r="BO56" s="332"/>
      <c r="BP56" s="332"/>
      <c r="BQ56" s="332"/>
      <c r="BR56" s="332"/>
      <c r="BS56" s="332"/>
      <c r="BT56" s="332"/>
      <c r="BU56" s="332"/>
      <c r="BV56" s="332"/>
      <c r="BW56" s="332"/>
      <c r="BX56" s="332"/>
      <c r="BY56" s="332"/>
      <c r="BZ56" s="332"/>
      <c r="CA56" s="332"/>
      <c r="CB56" s="332"/>
      <c r="CC56" s="332"/>
      <c r="CD56" s="332"/>
      <c r="CE56" s="332"/>
      <c r="CF56" s="332"/>
      <c r="CG56" s="332"/>
      <c r="CH56" s="332"/>
      <c r="CI56" s="332"/>
      <c r="CJ56" s="332"/>
      <c r="CK56" s="332"/>
      <c r="CL56" s="332"/>
      <c r="CM56" s="332"/>
      <c r="CN56" s="332"/>
      <c r="CO56" s="332"/>
      <c r="CP56" s="333" t="s">
        <v>27</v>
      </c>
      <c r="CQ56" s="333" t="s">
        <v>161</v>
      </c>
      <c r="CR56" s="334">
        <v>-0.37185000000000001</v>
      </c>
      <c r="CS56" s="334">
        <v>-0.37185000000000001</v>
      </c>
      <c r="CT56" s="334">
        <v>-0.37185000000000001</v>
      </c>
      <c r="CU56" s="334">
        <v>-0.37185000000000001</v>
      </c>
      <c r="CV56" s="334">
        <v>-0.37185000000000001</v>
      </c>
      <c r="CW56" s="334">
        <v>-0.33258783333333336</v>
      </c>
      <c r="CX56" s="334">
        <v>-0.29332566666666671</v>
      </c>
      <c r="CY56" s="334">
        <v>-0.25406350000000005</v>
      </c>
      <c r="CZ56" s="334">
        <v>-0.21480133333333337</v>
      </c>
      <c r="DA56" s="334">
        <v>-0.17553916666666669</v>
      </c>
      <c r="DB56" s="334">
        <v>-0.13627699999999998</v>
      </c>
      <c r="DC56" s="334">
        <v>-0.1376</v>
      </c>
      <c r="DD56" s="334">
        <v>-0.1326</v>
      </c>
      <c r="DE56" s="334">
        <v>-0.13159999999999999</v>
      </c>
      <c r="DF56" s="334">
        <v>-0.12959999999999999</v>
      </c>
      <c r="DG56" s="334">
        <v>-0.12759999999999999</v>
      </c>
      <c r="DH56" s="334">
        <v>-0.34012766666666661</v>
      </c>
      <c r="DI56" s="334">
        <v>-0.55265533333333328</v>
      </c>
      <c r="DJ56" s="334">
        <v>-0.76518299999999995</v>
      </c>
      <c r="DK56" s="334">
        <v>-0.97771066666666662</v>
      </c>
      <c r="DL56" s="334">
        <v>-1.1902383333333333</v>
      </c>
      <c r="DM56" s="334">
        <v>-1.402766</v>
      </c>
      <c r="DN56" s="334">
        <v>-1.6152936666666666</v>
      </c>
      <c r="DO56" s="334">
        <v>-1.8278213333333333</v>
      </c>
      <c r="DP56" s="334">
        <v>-2.040349</v>
      </c>
      <c r="DQ56" s="334">
        <v>-2.2528766666666664</v>
      </c>
      <c r="DR56" s="334">
        <v>-2.4654043333333329</v>
      </c>
      <c r="DS56" s="334">
        <v>-2.6779319999999998</v>
      </c>
      <c r="DT56" s="334">
        <v>-1.932914298941796</v>
      </c>
      <c r="DU56" s="335">
        <v>-2.0119497616767035</v>
      </c>
      <c r="DV56" s="335">
        <v>-2.0909852244116109</v>
      </c>
      <c r="DW56" s="335">
        <v>-2.17002068714649</v>
      </c>
      <c r="DX56" s="198">
        <v>-2.0909852244116109</v>
      </c>
      <c r="DY56" s="198">
        <v>-2.0909852244116109</v>
      </c>
      <c r="DZ56" s="198">
        <v>-2.0909852244116109</v>
      </c>
      <c r="EA56" s="198">
        <v>7.9035462734879047E-2</v>
      </c>
      <c r="EB56" s="198">
        <v>-2.0909852244116109</v>
      </c>
      <c r="EC56" s="198">
        <v>-2.0909852244116109</v>
      </c>
      <c r="ED56" s="198">
        <v>-2.0909852244116109</v>
      </c>
      <c r="EE56" s="198">
        <v>-2.0909852244116109</v>
      </c>
      <c r="EF56" s="198">
        <v>7.9035462734879047E-2</v>
      </c>
      <c r="EG56" s="198">
        <v>0</v>
      </c>
      <c r="EH56" s="198">
        <v>-2.9387718363826241</v>
      </c>
      <c r="EI56" s="336">
        <f t="shared" si="0"/>
        <v>-2.2682154121236997</v>
      </c>
      <c r="EJ56" s="336">
        <f>EI56-'[13]FAOSTAT21 CO2'!EH56</f>
        <v>-2.2557864921236996</v>
      </c>
    </row>
    <row r="57" spans="1:140" x14ac:dyDescent="0.25">
      <c r="A57" s="31">
        <v>4</v>
      </c>
      <c r="B57" s="31" t="s">
        <v>162</v>
      </c>
      <c r="C57" s="31">
        <v>55</v>
      </c>
      <c r="D57" s="31">
        <v>0</v>
      </c>
      <c r="E57" s="31">
        <v>0</v>
      </c>
      <c r="F57" s="31">
        <v>0</v>
      </c>
      <c r="G57" s="31">
        <v>0</v>
      </c>
      <c r="H57" s="331" t="s">
        <v>2475</v>
      </c>
      <c r="I57" s="331" t="s">
        <v>163</v>
      </c>
      <c r="J57" s="331"/>
      <c r="K57" s="331"/>
      <c r="L57" s="331"/>
      <c r="M57" s="331"/>
      <c r="N57" s="331"/>
      <c r="O57" s="331"/>
      <c r="P57" s="331"/>
      <c r="Q57" s="331"/>
      <c r="R57" s="331"/>
      <c r="S57" s="331"/>
      <c r="T57" s="331"/>
      <c r="U57" s="331"/>
      <c r="V57" s="331"/>
      <c r="W57" s="331"/>
      <c r="X57" s="331"/>
      <c r="Y57" s="331"/>
      <c r="Z57" s="331"/>
      <c r="AA57" s="331"/>
      <c r="AB57" s="331"/>
      <c r="AC57" s="331"/>
      <c r="AD57" s="331"/>
      <c r="AE57" s="331"/>
      <c r="AF57" s="331"/>
      <c r="AG57" s="331"/>
      <c r="AH57" s="331"/>
      <c r="AI57" s="331"/>
      <c r="AJ57" s="331"/>
      <c r="AK57" s="331"/>
      <c r="AL57" s="331"/>
      <c r="AM57" s="331"/>
      <c r="AN57" s="331"/>
      <c r="AO57" s="331"/>
      <c r="AP57" s="331"/>
      <c r="AQ57" s="331"/>
      <c r="AR57" s="331"/>
      <c r="AS57" s="331"/>
      <c r="AT57" s="331"/>
      <c r="AU57" s="331"/>
      <c r="AV57" s="331"/>
      <c r="AW57" s="331"/>
      <c r="AX57" s="331"/>
      <c r="AY57" s="332" t="s">
        <v>2476</v>
      </c>
      <c r="AZ57" s="332" t="s">
        <v>163</v>
      </c>
      <c r="BA57" s="332"/>
      <c r="BB57" s="332"/>
      <c r="BC57" s="332"/>
      <c r="BD57" s="332"/>
      <c r="BE57" s="332"/>
      <c r="BF57" s="332"/>
      <c r="BG57" s="332"/>
      <c r="BH57" s="332"/>
      <c r="BI57" s="332"/>
      <c r="BJ57" s="332"/>
      <c r="BK57" s="332"/>
      <c r="BL57" s="332"/>
      <c r="BM57" s="332"/>
      <c r="BN57" s="332"/>
      <c r="BO57" s="332"/>
      <c r="BP57" s="332"/>
      <c r="BQ57" s="332"/>
      <c r="BR57" s="332"/>
      <c r="BS57" s="332"/>
      <c r="BT57" s="332"/>
      <c r="BU57" s="332"/>
      <c r="BV57" s="332"/>
      <c r="BW57" s="332"/>
      <c r="BX57" s="332"/>
      <c r="BY57" s="332"/>
      <c r="BZ57" s="332"/>
      <c r="CA57" s="332"/>
      <c r="CB57" s="332"/>
      <c r="CC57" s="332"/>
      <c r="CD57" s="332"/>
      <c r="CE57" s="332"/>
      <c r="CF57" s="332"/>
      <c r="CG57" s="332"/>
      <c r="CH57" s="332"/>
      <c r="CI57" s="332"/>
      <c r="CJ57" s="332"/>
      <c r="CK57" s="332"/>
      <c r="CL57" s="332"/>
      <c r="CM57" s="332"/>
      <c r="CN57" s="332"/>
      <c r="CO57" s="332"/>
      <c r="CP57" s="333" t="s">
        <v>27</v>
      </c>
      <c r="CQ57" s="333" t="s">
        <v>163</v>
      </c>
      <c r="CR57" s="334">
        <v>-5.5559899999999995</v>
      </c>
      <c r="CS57" s="334">
        <v>-5.7930475000000001</v>
      </c>
      <c r="CT57" s="334">
        <v>-6.0301050000000007</v>
      </c>
      <c r="CU57" s="334">
        <v>-6.2671625000000013</v>
      </c>
      <c r="CV57" s="334">
        <v>-6.5042200000000001</v>
      </c>
      <c r="CW57" s="334">
        <v>-8.5525333333333329</v>
      </c>
      <c r="CX57" s="334">
        <v>-10.600846666666666</v>
      </c>
      <c r="CY57" s="334">
        <v>-12.649159999999998</v>
      </c>
      <c r="CZ57" s="334">
        <v>-14.697473333333331</v>
      </c>
      <c r="DA57" s="334">
        <v>-16.745786666666664</v>
      </c>
      <c r="DB57" s="334">
        <v>-18.7941</v>
      </c>
      <c r="DC57" s="334">
        <v>-18.177993000000001</v>
      </c>
      <c r="DD57" s="334">
        <v>-17.561886000000001</v>
      </c>
      <c r="DE57" s="334">
        <v>-16.945779000000002</v>
      </c>
      <c r="DF57" s="334">
        <v>-16.329672000000002</v>
      </c>
      <c r="DG57" s="334">
        <v>-15.713565000000003</v>
      </c>
      <c r="DH57" s="334">
        <v>-15.097458000000003</v>
      </c>
      <c r="DI57" s="334">
        <v>-14.481351000000004</v>
      </c>
      <c r="DJ57" s="334">
        <v>-13.865244000000004</v>
      </c>
      <c r="DK57" s="334">
        <v>-13.249137000000005</v>
      </c>
      <c r="DL57" s="334">
        <v>-12.633030000000002</v>
      </c>
      <c r="DM57" s="334">
        <v>-12.276782000000001</v>
      </c>
      <c r="DN57" s="334">
        <v>-11.920534</v>
      </c>
      <c r="DO57" s="334">
        <v>-11.564285999999999</v>
      </c>
      <c r="DP57" s="334">
        <v>-11.208037999999998</v>
      </c>
      <c r="DQ57" s="334">
        <v>-10.851790000000001</v>
      </c>
      <c r="DR57" s="334">
        <v>-15.476438215384576</v>
      </c>
      <c r="DS57" s="334">
        <v>-15.699573325356084</v>
      </c>
      <c r="DT57" s="334">
        <v>-15.92270843532765</v>
      </c>
      <c r="DU57" s="335">
        <v>-16.145843545299101</v>
      </c>
      <c r="DV57" s="335">
        <v>-16.368978655270666</v>
      </c>
      <c r="DW57" s="335">
        <v>-16.592113765242118</v>
      </c>
      <c r="DX57" s="198">
        <v>-16.368978655270666</v>
      </c>
      <c r="DY57" s="198">
        <v>-16.368978655270666</v>
      </c>
      <c r="DZ57" s="198">
        <v>-16.368978655270666</v>
      </c>
      <c r="EA57" s="198">
        <v>0.22313510997145158</v>
      </c>
      <c r="EB57" s="198">
        <v>-16.368978655270666</v>
      </c>
      <c r="EC57" s="198">
        <v>-16.368978655270666</v>
      </c>
      <c r="ED57" s="198">
        <v>-16.368978655270666</v>
      </c>
      <c r="EE57" s="198">
        <v>-16.368978655270666</v>
      </c>
      <c r="EF57" s="198">
        <v>0.22313510997145158</v>
      </c>
      <c r="EG57" s="198">
        <v>0</v>
      </c>
      <c r="EH57" s="198">
        <v>-23.005754847451914</v>
      </c>
      <c r="EI57" s="336">
        <f t="shared" si="0"/>
        <v>-14.819270704273482</v>
      </c>
      <c r="EJ57" s="336">
        <f>EI57-'[13]FAOSTAT21 CO2'!EH57</f>
        <v>-13.338329704273482</v>
      </c>
    </row>
    <row r="58" spans="1:140" x14ac:dyDescent="0.25">
      <c r="A58" s="31">
        <v>6</v>
      </c>
      <c r="B58" s="31" t="s">
        <v>164</v>
      </c>
      <c r="C58" s="31">
        <v>56</v>
      </c>
      <c r="D58" s="31">
        <v>0</v>
      </c>
      <c r="E58" s="31">
        <v>0</v>
      </c>
      <c r="F58" s="31">
        <v>0</v>
      </c>
      <c r="G58" s="31">
        <v>0</v>
      </c>
      <c r="H58" s="331" t="s">
        <v>2475</v>
      </c>
      <c r="I58" s="331" t="s">
        <v>165</v>
      </c>
      <c r="J58" s="331"/>
      <c r="K58" s="331"/>
      <c r="L58" s="331"/>
      <c r="M58" s="331"/>
      <c r="N58" s="331"/>
      <c r="O58" s="331"/>
      <c r="P58" s="331"/>
      <c r="Q58" s="331"/>
      <c r="R58" s="331"/>
      <c r="S58" s="331"/>
      <c r="T58" s="331"/>
      <c r="U58" s="331"/>
      <c r="V58" s="331"/>
      <c r="W58" s="331"/>
      <c r="X58" s="331"/>
      <c r="Y58" s="331"/>
      <c r="Z58" s="331"/>
      <c r="AA58" s="331"/>
      <c r="AB58" s="331"/>
      <c r="AC58" s="331"/>
      <c r="AD58" s="331"/>
      <c r="AE58" s="331"/>
      <c r="AF58" s="331"/>
      <c r="AG58" s="331"/>
      <c r="AH58" s="331"/>
      <c r="AI58" s="331"/>
      <c r="AJ58" s="331"/>
      <c r="AK58" s="331"/>
      <c r="AL58" s="331"/>
      <c r="AM58" s="331"/>
      <c r="AN58" s="331"/>
      <c r="AO58" s="331"/>
      <c r="AP58" s="331"/>
      <c r="AQ58" s="331"/>
      <c r="AR58" s="331"/>
      <c r="AS58" s="331"/>
      <c r="AT58" s="331"/>
      <c r="AU58" s="331"/>
      <c r="AV58" s="331"/>
      <c r="AW58" s="331"/>
      <c r="AX58" s="331"/>
      <c r="AY58" s="332" t="s">
        <v>2476</v>
      </c>
      <c r="AZ58" s="332" t="s">
        <v>165</v>
      </c>
      <c r="BA58" s="332"/>
      <c r="BB58" s="332"/>
      <c r="BC58" s="332"/>
      <c r="BD58" s="332"/>
      <c r="BE58" s="332"/>
      <c r="BF58" s="332"/>
      <c r="BG58" s="332"/>
      <c r="BH58" s="332"/>
      <c r="BI58" s="332"/>
      <c r="BJ58" s="332"/>
      <c r="BK58" s="332"/>
      <c r="BL58" s="332"/>
      <c r="BM58" s="332"/>
      <c r="BN58" s="332"/>
      <c r="BO58" s="332"/>
      <c r="BP58" s="332"/>
      <c r="BQ58" s="332"/>
      <c r="BR58" s="332"/>
      <c r="BS58" s="332"/>
      <c r="BT58" s="332"/>
      <c r="BU58" s="332"/>
      <c r="BV58" s="332"/>
      <c r="BW58" s="332"/>
      <c r="BX58" s="332"/>
      <c r="BY58" s="332"/>
      <c r="BZ58" s="332"/>
      <c r="CA58" s="332"/>
      <c r="CB58" s="332"/>
      <c r="CC58" s="332"/>
      <c r="CD58" s="332"/>
      <c r="CE58" s="332"/>
      <c r="CF58" s="332"/>
      <c r="CG58" s="332"/>
      <c r="CH58" s="332"/>
      <c r="CI58" s="332"/>
      <c r="CJ58" s="332"/>
      <c r="CK58" s="332"/>
      <c r="CL58" s="332"/>
      <c r="CM58" s="332"/>
      <c r="CN58" s="332"/>
      <c r="CO58" s="332"/>
      <c r="CP58" s="333" t="s">
        <v>27</v>
      </c>
      <c r="CQ58" s="333" t="s">
        <v>165</v>
      </c>
      <c r="CR58" s="334">
        <v>62.708446354647251</v>
      </c>
      <c r="CS58" s="334">
        <v>62.708446354647251</v>
      </c>
      <c r="CT58" s="334">
        <v>62.708446354647251</v>
      </c>
      <c r="CU58" s="334">
        <v>62.708446354647251</v>
      </c>
      <c r="CV58" s="334">
        <v>62.708446354647251</v>
      </c>
      <c r="CW58" s="334">
        <v>59.340757935146165</v>
      </c>
      <c r="CX58" s="334">
        <v>55.973069515645079</v>
      </c>
      <c r="CY58" s="334">
        <v>52.605381096143994</v>
      </c>
      <c r="CZ58" s="334">
        <v>49.237692676642908</v>
      </c>
      <c r="DA58" s="334">
        <v>45.870004257141822</v>
      </c>
      <c r="DB58" s="334">
        <v>42.502315837640751</v>
      </c>
      <c r="DC58" s="334">
        <v>42.017972460915516</v>
      </c>
      <c r="DD58" s="334">
        <v>41.533629084190281</v>
      </c>
      <c r="DE58" s="334">
        <v>41.049285707465046</v>
      </c>
      <c r="DF58" s="334">
        <v>40.564942330739811</v>
      </c>
      <c r="DG58" s="334">
        <v>40.080598954014576</v>
      </c>
      <c r="DH58" s="334">
        <v>39.596255577289355</v>
      </c>
      <c r="DI58" s="334">
        <v>38.869740512201503</v>
      </c>
      <c r="DJ58" s="334">
        <v>38.14322544711365</v>
      </c>
      <c r="DK58" s="334">
        <v>37.416710382025798</v>
      </c>
      <c r="DL58" s="334">
        <v>26.47794981589476</v>
      </c>
      <c r="DM58" s="334">
        <v>25.382648791964449</v>
      </c>
      <c r="DN58" s="334">
        <v>24.287347768034138</v>
      </c>
      <c r="DO58" s="334">
        <v>22.284824949849607</v>
      </c>
      <c r="DP58" s="334">
        <v>20.282302131665077</v>
      </c>
      <c r="DQ58" s="334">
        <v>23.081293689139379</v>
      </c>
      <c r="DR58" s="334">
        <v>25.880285246613678</v>
      </c>
      <c r="DS58" s="334">
        <v>21.081571476575967</v>
      </c>
      <c r="DT58" s="334">
        <v>16.282857706538259</v>
      </c>
      <c r="DU58" s="335">
        <v>15.082459063171427</v>
      </c>
      <c r="DV58" s="335">
        <v>13.367531287788097</v>
      </c>
      <c r="DW58" s="335">
        <v>11.652603512404312</v>
      </c>
      <c r="DX58" s="198">
        <v>43.75</v>
      </c>
      <c r="DY58" s="198">
        <v>42</v>
      </c>
      <c r="DZ58" s="198">
        <v>35</v>
      </c>
      <c r="EA58" s="198">
        <v>23.347396487595688</v>
      </c>
      <c r="EB58" s="198">
        <v>13.367531287788097</v>
      </c>
      <c r="EC58" s="198">
        <v>13.367531287788097</v>
      </c>
      <c r="ED58" s="198">
        <v>13.367531287788097</v>
      </c>
      <c r="EE58" s="198">
        <v>13.367531287788097</v>
      </c>
      <c r="EF58" s="198">
        <v>1.714927775383785</v>
      </c>
      <c r="EG58" s="198">
        <v>-21.632468712211903</v>
      </c>
      <c r="EH58" s="198">
        <v>9.9111380456209588</v>
      </c>
      <c r="EI58" s="336">
        <f t="shared" si="0"/>
        <v>20.281693436407743</v>
      </c>
      <c r="EJ58" s="336">
        <f>EI58-'[13]FAOSTAT21 CO2'!EH58</f>
        <v>-4.0471708635922603</v>
      </c>
    </row>
    <row r="59" spans="1:140" x14ac:dyDescent="0.25">
      <c r="A59" s="31">
        <v>7</v>
      </c>
      <c r="B59" s="31" t="s">
        <v>166</v>
      </c>
      <c r="C59" s="31">
        <v>211</v>
      </c>
      <c r="D59" s="31">
        <v>0</v>
      </c>
      <c r="E59" s="31">
        <v>0</v>
      </c>
      <c r="F59" s="31">
        <v>0</v>
      </c>
      <c r="G59" s="31">
        <v>0</v>
      </c>
      <c r="H59" s="331" t="s">
        <v>2475</v>
      </c>
      <c r="I59" s="331" t="s">
        <v>167</v>
      </c>
      <c r="J59" s="331"/>
      <c r="K59" s="331"/>
      <c r="L59" s="331"/>
      <c r="M59" s="331"/>
      <c r="N59" s="331"/>
      <c r="O59" s="331"/>
      <c r="P59" s="331"/>
      <c r="Q59" s="331"/>
      <c r="R59" s="331"/>
      <c r="S59" s="331"/>
      <c r="T59" s="331"/>
      <c r="U59" s="331"/>
      <c r="V59" s="331"/>
      <c r="W59" s="331"/>
      <c r="X59" s="331"/>
      <c r="Y59" s="331"/>
      <c r="Z59" s="331"/>
      <c r="AA59" s="331"/>
      <c r="AB59" s="331"/>
      <c r="AC59" s="331"/>
      <c r="AD59" s="331"/>
      <c r="AE59" s="331"/>
      <c r="AF59" s="331"/>
      <c r="AG59" s="331"/>
      <c r="AH59" s="331"/>
      <c r="AI59" s="331"/>
      <c r="AJ59" s="331"/>
      <c r="AK59" s="331"/>
      <c r="AL59" s="331"/>
      <c r="AM59" s="331"/>
      <c r="AN59" s="331"/>
      <c r="AO59" s="331"/>
      <c r="AP59" s="331"/>
      <c r="AQ59" s="331"/>
      <c r="AR59" s="331"/>
      <c r="AS59" s="331"/>
      <c r="AT59" s="331"/>
      <c r="AU59" s="331"/>
      <c r="AV59" s="331"/>
      <c r="AW59" s="331"/>
      <c r="AX59" s="331"/>
      <c r="AY59" s="332" t="s">
        <v>2476</v>
      </c>
      <c r="AZ59" s="332" t="s">
        <v>167</v>
      </c>
      <c r="BA59" s="332"/>
      <c r="BB59" s="332"/>
      <c r="BC59" s="332"/>
      <c r="BD59" s="332"/>
      <c r="BE59" s="332"/>
      <c r="BF59" s="332"/>
      <c r="BG59" s="332"/>
      <c r="BH59" s="332"/>
      <c r="BI59" s="332"/>
      <c r="BJ59" s="332"/>
      <c r="BK59" s="332"/>
      <c r="BL59" s="332"/>
      <c r="BM59" s="332"/>
      <c r="BN59" s="332"/>
      <c r="BO59" s="332"/>
      <c r="BP59" s="332"/>
      <c r="BQ59" s="332"/>
      <c r="BR59" s="332"/>
      <c r="BS59" s="332"/>
      <c r="BT59" s="332"/>
      <c r="BU59" s="332"/>
      <c r="BV59" s="332"/>
      <c r="BW59" s="332"/>
      <c r="BX59" s="332"/>
      <c r="BY59" s="332"/>
      <c r="BZ59" s="332"/>
      <c r="CA59" s="332"/>
      <c r="CB59" s="332"/>
      <c r="CC59" s="332"/>
      <c r="CD59" s="332"/>
      <c r="CE59" s="332"/>
      <c r="CF59" s="332"/>
      <c r="CG59" s="332"/>
      <c r="CH59" s="332"/>
      <c r="CI59" s="332"/>
      <c r="CJ59" s="332"/>
      <c r="CK59" s="332"/>
      <c r="CL59" s="332"/>
      <c r="CM59" s="332"/>
      <c r="CN59" s="332"/>
      <c r="CO59" s="332"/>
      <c r="CP59" s="333" t="s">
        <v>27</v>
      </c>
      <c r="CQ59" s="333" t="s">
        <v>167</v>
      </c>
      <c r="CR59" s="334">
        <v>0</v>
      </c>
      <c r="CS59" s="334">
        <v>0</v>
      </c>
      <c r="CT59" s="334">
        <v>0</v>
      </c>
      <c r="CU59" s="334">
        <v>0</v>
      </c>
      <c r="CV59" s="334">
        <v>0</v>
      </c>
      <c r="CW59" s="334">
        <v>0</v>
      </c>
      <c r="CX59" s="334">
        <v>0</v>
      </c>
      <c r="CY59" s="334">
        <v>0</v>
      </c>
      <c r="CZ59" s="334">
        <v>0</v>
      </c>
      <c r="DA59" s="334">
        <v>0</v>
      </c>
      <c r="DB59" s="334">
        <v>0</v>
      </c>
      <c r="DC59" s="334">
        <v>0</v>
      </c>
      <c r="DD59" s="334">
        <v>0</v>
      </c>
      <c r="DE59" s="334">
        <v>0</v>
      </c>
      <c r="DF59" s="334">
        <v>0</v>
      </c>
      <c r="DG59" s="334">
        <v>0</v>
      </c>
      <c r="DH59" s="334">
        <v>0</v>
      </c>
      <c r="DI59" s="334">
        <v>0</v>
      </c>
      <c r="DJ59" s="334">
        <v>0</v>
      </c>
      <c r="DK59" s="334">
        <v>0</v>
      </c>
      <c r="DL59" s="334">
        <v>0</v>
      </c>
      <c r="DM59" s="334">
        <v>0</v>
      </c>
      <c r="DN59" s="334">
        <v>0</v>
      </c>
      <c r="DO59" s="334">
        <v>0</v>
      </c>
      <c r="DP59" s="334">
        <v>0</v>
      </c>
      <c r="DQ59" s="334">
        <v>0</v>
      </c>
      <c r="DR59" s="334">
        <v>0</v>
      </c>
      <c r="DS59" s="334">
        <v>0</v>
      </c>
      <c r="DT59" s="334">
        <v>0</v>
      </c>
      <c r="DU59" s="335">
        <v>0</v>
      </c>
      <c r="DV59" s="335">
        <v>0</v>
      </c>
      <c r="DW59" s="335">
        <v>0</v>
      </c>
      <c r="DX59" s="198" t="s">
        <v>2477</v>
      </c>
      <c r="DY59" s="198" t="s">
        <v>2477</v>
      </c>
      <c r="DZ59" s="198" t="s">
        <v>2477</v>
      </c>
      <c r="EA59" s="198" t="s">
        <v>2477</v>
      </c>
      <c r="EB59" s="198" t="s">
        <v>2477</v>
      </c>
      <c r="EC59" s="198" t="s">
        <v>2477</v>
      </c>
      <c r="ED59" s="198" t="s">
        <v>2477</v>
      </c>
      <c r="EE59" s="198" t="s">
        <v>2477</v>
      </c>
      <c r="EF59" s="198" t="s">
        <v>2477</v>
      </c>
      <c r="EG59" s="198" t="s">
        <v>2477</v>
      </c>
      <c r="EH59" s="198" t="s">
        <v>2477</v>
      </c>
      <c r="EI59" s="336">
        <f t="shared" si="0"/>
        <v>0</v>
      </c>
      <c r="EJ59" s="336">
        <f>EI59-'[13]FAOSTAT21 CO2'!EH59</f>
        <v>-0.32928440000000003</v>
      </c>
    </row>
    <row r="60" spans="1:140" x14ac:dyDescent="0.25">
      <c r="A60" s="31">
        <v>4</v>
      </c>
      <c r="B60" s="31" t="s">
        <v>168</v>
      </c>
      <c r="C60" s="31">
        <v>57</v>
      </c>
      <c r="D60" s="31">
        <v>0</v>
      </c>
      <c r="E60" s="31">
        <v>0</v>
      </c>
      <c r="F60" s="31">
        <v>0</v>
      </c>
      <c r="G60" s="31">
        <v>0</v>
      </c>
      <c r="H60" s="331" t="s">
        <v>2475</v>
      </c>
      <c r="I60" s="331" t="s">
        <v>169</v>
      </c>
      <c r="J60" s="331"/>
      <c r="K60" s="331"/>
      <c r="L60" s="331"/>
      <c r="M60" s="331"/>
      <c r="N60" s="331"/>
      <c r="O60" s="331"/>
      <c r="P60" s="331"/>
      <c r="Q60" s="331"/>
      <c r="R60" s="331"/>
      <c r="S60" s="331"/>
      <c r="T60" s="331"/>
      <c r="U60" s="331"/>
      <c r="V60" s="331"/>
      <c r="W60" s="331"/>
      <c r="X60" s="331"/>
      <c r="Y60" s="331"/>
      <c r="Z60" s="331"/>
      <c r="AA60" s="331"/>
      <c r="AB60" s="331"/>
      <c r="AC60" s="331"/>
      <c r="AD60" s="331"/>
      <c r="AE60" s="331"/>
      <c r="AF60" s="331"/>
      <c r="AG60" s="331"/>
      <c r="AH60" s="331"/>
      <c r="AI60" s="331"/>
      <c r="AJ60" s="331"/>
      <c r="AK60" s="331"/>
      <c r="AL60" s="331"/>
      <c r="AM60" s="331"/>
      <c r="AN60" s="331"/>
      <c r="AO60" s="331"/>
      <c r="AP60" s="331"/>
      <c r="AQ60" s="331"/>
      <c r="AR60" s="331"/>
      <c r="AS60" s="331"/>
      <c r="AT60" s="331"/>
      <c r="AU60" s="331"/>
      <c r="AV60" s="331"/>
      <c r="AW60" s="331"/>
      <c r="AX60" s="331"/>
      <c r="AY60" s="332" t="s">
        <v>2476</v>
      </c>
      <c r="AZ60" s="332" t="s">
        <v>169</v>
      </c>
      <c r="BA60" s="332"/>
      <c r="BB60" s="332"/>
      <c r="BC60" s="332"/>
      <c r="BD60" s="332"/>
      <c r="BE60" s="332"/>
      <c r="BF60" s="332"/>
      <c r="BG60" s="332"/>
      <c r="BH60" s="332"/>
      <c r="BI60" s="332"/>
      <c r="BJ60" s="332"/>
      <c r="BK60" s="332"/>
      <c r="BL60" s="332"/>
      <c r="BM60" s="332"/>
      <c r="BN60" s="332"/>
      <c r="BO60" s="332"/>
      <c r="BP60" s="332"/>
      <c r="BQ60" s="332"/>
      <c r="BR60" s="332"/>
      <c r="BS60" s="332"/>
      <c r="BT60" s="332"/>
      <c r="BU60" s="332"/>
      <c r="BV60" s="332"/>
      <c r="BW60" s="332"/>
      <c r="BX60" s="332"/>
      <c r="BY60" s="332"/>
      <c r="BZ60" s="332"/>
      <c r="CA60" s="332"/>
      <c r="CB60" s="332"/>
      <c r="CC60" s="332"/>
      <c r="CD60" s="332"/>
      <c r="CE60" s="332"/>
      <c r="CF60" s="332"/>
      <c r="CG60" s="332"/>
      <c r="CH60" s="332"/>
      <c r="CI60" s="332"/>
      <c r="CJ60" s="332"/>
      <c r="CK60" s="332"/>
      <c r="CL60" s="332"/>
      <c r="CM60" s="332"/>
      <c r="CN60" s="332"/>
      <c r="CO60" s="332"/>
      <c r="CP60" s="333" t="s">
        <v>27</v>
      </c>
      <c r="CQ60" s="333" t="s">
        <v>169</v>
      </c>
      <c r="CR60" s="334">
        <v>4.2776699999999996</v>
      </c>
      <c r="CS60" s="334">
        <v>4.2776699999999996</v>
      </c>
      <c r="CT60" s="334">
        <v>4.2776699999999996</v>
      </c>
      <c r="CU60" s="334">
        <v>4.2776699999999996</v>
      </c>
      <c r="CV60" s="334">
        <v>4.2776699999999996</v>
      </c>
      <c r="CW60" s="334">
        <v>4.2776699999999996</v>
      </c>
      <c r="CX60" s="334">
        <v>4.2776699999999996</v>
      </c>
      <c r="CY60" s="334">
        <v>4.2776699999999996</v>
      </c>
      <c r="CZ60" s="334">
        <v>4.2776699999999996</v>
      </c>
      <c r="DA60" s="334">
        <v>4.2776699999999996</v>
      </c>
      <c r="DB60" s="334">
        <v>4.2776699999999996</v>
      </c>
      <c r="DC60" s="334">
        <v>4.6872149999999992</v>
      </c>
      <c r="DD60" s="334">
        <v>5.0967599999999988</v>
      </c>
      <c r="DE60" s="334">
        <v>5.5063049999999985</v>
      </c>
      <c r="DF60" s="334">
        <v>5.9158499999999981</v>
      </c>
      <c r="DG60" s="334">
        <v>6.3253949999999977</v>
      </c>
      <c r="DH60" s="334">
        <v>6.7349399999999973</v>
      </c>
      <c r="DI60" s="334">
        <v>7.1444849999999969</v>
      </c>
      <c r="DJ60" s="334">
        <v>7.5540299999999965</v>
      </c>
      <c r="DK60" s="334">
        <v>7.9635749999999961</v>
      </c>
      <c r="DL60" s="334">
        <v>8.3731199999999966</v>
      </c>
      <c r="DM60" s="334">
        <v>8.7826649999999962</v>
      </c>
      <c r="DN60" s="334">
        <v>9.1922099999999958</v>
      </c>
      <c r="DO60" s="334">
        <v>9.6017549999999954</v>
      </c>
      <c r="DP60" s="334">
        <v>10.011299999999999</v>
      </c>
      <c r="DQ60" s="334">
        <v>9.2945962499999837</v>
      </c>
      <c r="DR60" s="334">
        <v>9.5481991153846479</v>
      </c>
      <c r="DS60" s="334">
        <v>9.8018019807692554</v>
      </c>
      <c r="DT60" s="334">
        <v>10.055404846153863</v>
      </c>
      <c r="DU60" s="335">
        <v>10.309007711538413</v>
      </c>
      <c r="DV60" s="335">
        <v>10.562610576923078</v>
      </c>
      <c r="DW60" s="335">
        <v>10.816213442307742</v>
      </c>
      <c r="DX60" s="198">
        <v>10.562610576923078</v>
      </c>
      <c r="DY60" s="198">
        <v>10.562610576923078</v>
      </c>
      <c r="DZ60" s="198">
        <v>10.562610576923078</v>
      </c>
      <c r="EA60" s="198">
        <v>-0.25360286538466426</v>
      </c>
      <c r="EB60" s="198">
        <v>10.562610576923078</v>
      </c>
      <c r="EC60" s="198">
        <v>10.562610576923078</v>
      </c>
      <c r="ED60" s="198">
        <v>10.562610576923078</v>
      </c>
      <c r="EE60" s="198">
        <v>10.562610576923078</v>
      </c>
      <c r="EF60" s="198">
        <v>-0.25360286538466426</v>
      </c>
      <c r="EG60" s="198">
        <v>0</v>
      </c>
      <c r="EH60" s="198">
        <v>6.280017027225167</v>
      </c>
      <c r="EI60" s="336">
        <f t="shared" si="0"/>
        <v>9.8018019807692323</v>
      </c>
      <c r="EJ60" s="336">
        <f>EI60-'[13]FAOSTAT21 CO2'!EH60</f>
        <v>8.7207219807692322</v>
      </c>
    </row>
    <row r="61" spans="1:140" x14ac:dyDescent="0.25">
      <c r="A61" s="31">
        <v>8</v>
      </c>
      <c r="B61" s="31" t="s">
        <v>170</v>
      </c>
      <c r="C61" s="31">
        <v>58</v>
      </c>
      <c r="D61" s="31">
        <v>0</v>
      </c>
      <c r="E61" s="31">
        <v>0</v>
      </c>
      <c r="F61" s="31">
        <v>0</v>
      </c>
      <c r="G61" s="31">
        <v>0</v>
      </c>
      <c r="H61" s="331" t="s">
        <v>2475</v>
      </c>
      <c r="I61" s="331" t="s">
        <v>171</v>
      </c>
      <c r="J61" s="331"/>
      <c r="K61" s="331"/>
      <c r="L61" s="331"/>
      <c r="M61" s="331"/>
      <c r="N61" s="331"/>
      <c r="O61" s="331"/>
      <c r="P61" s="331"/>
      <c r="Q61" s="331"/>
      <c r="R61" s="331"/>
      <c r="S61" s="331"/>
      <c r="T61" s="331"/>
      <c r="U61" s="331"/>
      <c r="V61" s="331"/>
      <c r="W61" s="331"/>
      <c r="X61" s="331"/>
      <c r="Y61" s="331"/>
      <c r="Z61" s="331"/>
      <c r="AA61" s="331"/>
      <c r="AB61" s="331"/>
      <c r="AC61" s="331"/>
      <c r="AD61" s="331"/>
      <c r="AE61" s="331"/>
      <c r="AF61" s="331"/>
      <c r="AG61" s="331"/>
      <c r="AH61" s="331"/>
      <c r="AI61" s="331"/>
      <c r="AJ61" s="331"/>
      <c r="AK61" s="331"/>
      <c r="AL61" s="331"/>
      <c r="AM61" s="331"/>
      <c r="AN61" s="331"/>
      <c r="AO61" s="331"/>
      <c r="AP61" s="331"/>
      <c r="AQ61" s="331"/>
      <c r="AR61" s="331"/>
      <c r="AS61" s="331"/>
      <c r="AT61" s="331"/>
      <c r="AU61" s="331"/>
      <c r="AV61" s="331"/>
      <c r="AW61" s="331"/>
      <c r="AX61" s="331"/>
      <c r="AY61" s="332" t="s">
        <v>2476</v>
      </c>
      <c r="AZ61" s="332" t="s">
        <v>171</v>
      </c>
      <c r="BA61" s="332"/>
      <c r="BB61" s="332"/>
      <c r="BC61" s="332"/>
      <c r="BD61" s="332"/>
      <c r="BE61" s="332"/>
      <c r="BF61" s="332"/>
      <c r="BG61" s="332"/>
      <c r="BH61" s="332"/>
      <c r="BI61" s="332"/>
      <c r="BJ61" s="332"/>
      <c r="BK61" s="332"/>
      <c r="BL61" s="332"/>
      <c r="BM61" s="332"/>
      <c r="BN61" s="332"/>
      <c r="BO61" s="332"/>
      <c r="BP61" s="332"/>
      <c r="BQ61" s="332"/>
      <c r="BR61" s="332"/>
      <c r="BS61" s="332"/>
      <c r="BT61" s="332"/>
      <c r="BU61" s="332"/>
      <c r="BV61" s="332"/>
      <c r="BW61" s="332"/>
      <c r="BX61" s="332"/>
      <c r="BY61" s="332"/>
      <c r="BZ61" s="332"/>
      <c r="CA61" s="332"/>
      <c r="CB61" s="332"/>
      <c r="CC61" s="332"/>
      <c r="CD61" s="332"/>
      <c r="CE61" s="332"/>
      <c r="CF61" s="332"/>
      <c r="CG61" s="332"/>
      <c r="CH61" s="332"/>
      <c r="CI61" s="332"/>
      <c r="CJ61" s="332"/>
      <c r="CK61" s="332"/>
      <c r="CL61" s="332"/>
      <c r="CM61" s="332"/>
      <c r="CN61" s="332"/>
      <c r="CO61" s="332"/>
      <c r="CP61" s="333" t="s">
        <v>27</v>
      </c>
      <c r="CQ61" s="333" t="s">
        <v>171</v>
      </c>
      <c r="CR61" s="334">
        <v>-8.7040000000000006</v>
      </c>
      <c r="CS61" s="334">
        <v>-8.7040000000000006</v>
      </c>
      <c r="CT61" s="334">
        <v>-8.7040000000000006</v>
      </c>
      <c r="CU61" s="334">
        <v>-8.7040000000000006</v>
      </c>
      <c r="CV61" s="334">
        <v>-8.7040000000000006</v>
      </c>
      <c r="CW61" s="334">
        <v>-8.7040000000000006</v>
      </c>
      <c r="CX61" s="334">
        <v>-8.7040000000000006</v>
      </c>
      <c r="CY61" s="334">
        <v>-8.7040000000000006</v>
      </c>
      <c r="CZ61" s="334">
        <v>-8.7040000000000006</v>
      </c>
      <c r="DA61" s="334">
        <v>-8.7040000000000006</v>
      </c>
      <c r="DB61" s="334">
        <v>-8.7040000000000006</v>
      </c>
      <c r="DC61" s="334">
        <v>-8.7040000000000006</v>
      </c>
      <c r="DD61" s="334">
        <v>-8.7040000000000006</v>
      </c>
      <c r="DE61" s="334">
        <v>-8.7040000000000006</v>
      </c>
      <c r="DF61" s="334">
        <v>-8.7040000000000006</v>
      </c>
      <c r="DG61" s="334">
        <v>-8.7040000000000006</v>
      </c>
      <c r="DH61" s="334">
        <v>-8.7040000000000006</v>
      </c>
      <c r="DI61" s="334">
        <v>-8.7040000000000006</v>
      </c>
      <c r="DJ61" s="334">
        <v>-8.7040000000000006</v>
      </c>
      <c r="DK61" s="334">
        <v>-8.7040000000000006</v>
      </c>
      <c r="DL61" s="334">
        <v>-8.7040000000000006</v>
      </c>
      <c r="DM61" s="334">
        <v>-8.7040000000000006</v>
      </c>
      <c r="DN61" s="334">
        <v>-8.7040000000000006</v>
      </c>
      <c r="DO61" s="334">
        <v>-8.7040000000000006</v>
      </c>
      <c r="DP61" s="334">
        <v>-8.704000000000006</v>
      </c>
      <c r="DQ61" s="334">
        <v>-8.7040000000000077</v>
      </c>
      <c r="DR61" s="334">
        <v>-8.704000000000006</v>
      </c>
      <c r="DS61" s="334">
        <v>-8.7040000000000077</v>
      </c>
      <c r="DT61" s="334">
        <v>-8.7040000000000095</v>
      </c>
      <c r="DU61" s="335">
        <v>-8.7040000000000095</v>
      </c>
      <c r="DV61" s="335">
        <v>-8.7040000000000095</v>
      </c>
      <c r="DW61" s="335">
        <v>-8.7040000000000113</v>
      </c>
      <c r="DX61" s="198">
        <v>-8.7040000000000095</v>
      </c>
      <c r="DY61" s="198">
        <v>-8.7040000000000095</v>
      </c>
      <c r="DZ61" s="198">
        <v>-8.7040000000000095</v>
      </c>
      <c r="EA61" s="198">
        <v>0</v>
      </c>
      <c r="EB61" s="198">
        <v>-8.7040000000000095</v>
      </c>
      <c r="EC61" s="198">
        <v>-8.7040000000000095</v>
      </c>
      <c r="ED61" s="198">
        <v>-8.7040000000000095</v>
      </c>
      <c r="EE61" s="198">
        <v>-8.7040000000000095</v>
      </c>
      <c r="EF61" s="198">
        <v>0</v>
      </c>
      <c r="EG61" s="198">
        <v>0</v>
      </c>
      <c r="EH61" s="198">
        <v>-10.10070243619473</v>
      </c>
      <c r="EI61" s="336">
        <f t="shared" si="0"/>
        <v>-8.7040000000000077</v>
      </c>
      <c r="EJ61" s="336">
        <f>EI61-'[13]FAOSTAT21 CO2'!EH61</f>
        <v>-12.536648440000008</v>
      </c>
    </row>
    <row r="62" spans="1:140" x14ac:dyDescent="0.25">
      <c r="A62" s="31">
        <v>9</v>
      </c>
      <c r="B62" s="31" t="s">
        <v>172</v>
      </c>
      <c r="C62" s="31">
        <v>60</v>
      </c>
      <c r="D62" s="31">
        <v>0</v>
      </c>
      <c r="E62" s="31">
        <v>0</v>
      </c>
      <c r="F62" s="31">
        <v>0</v>
      </c>
      <c r="G62" s="31">
        <v>0</v>
      </c>
      <c r="H62" s="331" t="s">
        <v>2475</v>
      </c>
      <c r="I62" s="331" t="s">
        <v>173</v>
      </c>
      <c r="J62" s="331"/>
      <c r="K62" s="331"/>
      <c r="L62" s="331"/>
      <c r="M62" s="331"/>
      <c r="N62" s="331"/>
      <c r="O62" s="331"/>
      <c r="P62" s="331"/>
      <c r="Q62" s="331"/>
      <c r="R62" s="331"/>
      <c r="S62" s="331"/>
      <c r="T62" s="331"/>
      <c r="U62" s="331"/>
      <c r="V62" s="331"/>
      <c r="W62" s="331"/>
      <c r="X62" s="331"/>
      <c r="Y62" s="331"/>
      <c r="Z62" s="331"/>
      <c r="AA62" s="331"/>
      <c r="AB62" s="331"/>
      <c r="AC62" s="331"/>
      <c r="AD62" s="331"/>
      <c r="AE62" s="331"/>
      <c r="AF62" s="331"/>
      <c r="AG62" s="331"/>
      <c r="AH62" s="331"/>
      <c r="AI62" s="331"/>
      <c r="AJ62" s="331"/>
      <c r="AK62" s="331"/>
      <c r="AL62" s="331"/>
      <c r="AM62" s="331"/>
      <c r="AN62" s="331"/>
      <c r="AO62" s="331"/>
      <c r="AP62" s="331"/>
      <c r="AQ62" s="331"/>
      <c r="AR62" s="331"/>
      <c r="AS62" s="331"/>
      <c r="AT62" s="331"/>
      <c r="AU62" s="331"/>
      <c r="AV62" s="331"/>
      <c r="AW62" s="331"/>
      <c r="AX62" s="331"/>
      <c r="AY62" s="332" t="s">
        <v>2476</v>
      </c>
      <c r="AZ62" s="332" t="s">
        <v>173</v>
      </c>
      <c r="BA62" s="332"/>
      <c r="BB62" s="332"/>
      <c r="BC62" s="332"/>
      <c r="BD62" s="332"/>
      <c r="BE62" s="332"/>
      <c r="BF62" s="332"/>
      <c r="BG62" s="332"/>
      <c r="BH62" s="332"/>
      <c r="BI62" s="332"/>
      <c r="BJ62" s="332"/>
      <c r="BK62" s="332"/>
      <c r="BL62" s="332"/>
      <c r="BM62" s="332"/>
      <c r="BN62" s="332"/>
      <c r="BO62" s="332"/>
      <c r="BP62" s="332"/>
      <c r="BQ62" s="332"/>
      <c r="BR62" s="332"/>
      <c r="BS62" s="332"/>
      <c r="BT62" s="332"/>
      <c r="BU62" s="332"/>
      <c r="BV62" s="332"/>
      <c r="BW62" s="332"/>
      <c r="BX62" s="332"/>
      <c r="BY62" s="332"/>
      <c r="BZ62" s="332"/>
      <c r="CA62" s="332"/>
      <c r="CB62" s="332"/>
      <c r="CC62" s="332"/>
      <c r="CD62" s="332"/>
      <c r="CE62" s="332"/>
      <c r="CF62" s="332"/>
      <c r="CG62" s="332"/>
      <c r="CH62" s="332"/>
      <c r="CI62" s="332"/>
      <c r="CJ62" s="332"/>
      <c r="CK62" s="332"/>
      <c r="CL62" s="332"/>
      <c r="CM62" s="332"/>
      <c r="CN62" s="332"/>
      <c r="CO62" s="332"/>
      <c r="CP62" s="333" t="s">
        <v>27</v>
      </c>
      <c r="CQ62" s="333" t="s">
        <v>173</v>
      </c>
      <c r="CR62" s="334">
        <v>-0.23088</v>
      </c>
      <c r="CS62" s="334">
        <v>-0.23088</v>
      </c>
      <c r="CT62" s="334">
        <v>-0.23088</v>
      </c>
      <c r="CU62" s="334">
        <v>-0.23088</v>
      </c>
      <c r="CV62" s="334">
        <v>-0.23088</v>
      </c>
      <c r="CW62" s="334">
        <v>-0.23088</v>
      </c>
      <c r="CX62" s="334">
        <v>-0.23088</v>
      </c>
      <c r="CY62" s="334">
        <v>-0.23088</v>
      </c>
      <c r="CZ62" s="334">
        <v>-0.23088</v>
      </c>
      <c r="DA62" s="334">
        <v>-0.23088</v>
      </c>
      <c r="DB62" s="334">
        <v>-0.23088</v>
      </c>
      <c r="DC62" s="334">
        <v>-0.22992666666666667</v>
      </c>
      <c r="DD62" s="334">
        <v>-0.22897333333333333</v>
      </c>
      <c r="DE62" s="334">
        <v>-0.22802</v>
      </c>
      <c r="DF62" s="334">
        <v>-0.22706666666666667</v>
      </c>
      <c r="DG62" s="334">
        <v>-0.22611333333333333</v>
      </c>
      <c r="DH62" s="334">
        <v>-0.22516</v>
      </c>
      <c r="DI62" s="334">
        <v>-0.22372999999999998</v>
      </c>
      <c r="DJ62" s="334">
        <v>-0.2223</v>
      </c>
      <c r="DK62" s="334">
        <v>-0.22087000000000001</v>
      </c>
      <c r="DL62" s="334">
        <v>-0.21859999999999999</v>
      </c>
      <c r="DM62" s="334">
        <v>-0.21671599999999999</v>
      </c>
      <c r="DN62" s="334">
        <v>-0.214832</v>
      </c>
      <c r="DO62" s="334">
        <v>-0.212948</v>
      </c>
      <c r="DP62" s="334">
        <v>-0.211064</v>
      </c>
      <c r="DQ62" s="334">
        <v>-0.20918</v>
      </c>
      <c r="DR62" s="334">
        <v>-0.20779033333333333</v>
      </c>
      <c r="DS62" s="334">
        <v>-0.20640066666666665</v>
      </c>
      <c r="DT62" s="334">
        <v>-0.205011</v>
      </c>
      <c r="DU62" s="335">
        <v>-0.20870213793103454</v>
      </c>
      <c r="DV62" s="335">
        <v>-0.20773197701149404</v>
      </c>
      <c r="DW62" s="335">
        <v>-0.20676181609195399</v>
      </c>
      <c r="DX62" s="198">
        <v>-0.20773197701149404</v>
      </c>
      <c r="DY62" s="198">
        <v>-0.20773197701149404</v>
      </c>
      <c r="DZ62" s="198">
        <v>-0.20773197701149404</v>
      </c>
      <c r="EA62" s="198">
        <v>-9.701609195400529E-4</v>
      </c>
      <c r="EB62" s="198">
        <v>-0.20773197701149404</v>
      </c>
      <c r="EC62" s="198">
        <v>-0.20773197701149404</v>
      </c>
      <c r="ED62" s="198">
        <v>-0.20773197701149404</v>
      </c>
      <c r="EE62" s="198">
        <v>-0.20773197701149404</v>
      </c>
      <c r="EF62" s="198">
        <v>-9.701609195400529E-4</v>
      </c>
      <c r="EG62" s="198">
        <v>0</v>
      </c>
      <c r="EH62" s="198">
        <v>-0.26957308089421261</v>
      </c>
      <c r="EI62" s="336">
        <f t="shared" si="0"/>
        <v>-0.20741682758620689</v>
      </c>
      <c r="EJ62" s="336">
        <f>EI62-'[13]FAOSTAT21 CO2'!EH62</f>
        <v>-0.64114956758620689</v>
      </c>
    </row>
    <row r="63" spans="1:140" x14ac:dyDescent="0.25">
      <c r="A63" s="31">
        <v>12</v>
      </c>
      <c r="B63" s="31" t="s">
        <v>174</v>
      </c>
      <c r="C63" s="31">
        <v>61</v>
      </c>
      <c r="D63" s="31">
        <v>1</v>
      </c>
      <c r="E63" s="31">
        <v>0</v>
      </c>
      <c r="F63" s="31">
        <v>1</v>
      </c>
      <c r="G63" s="31">
        <v>0</v>
      </c>
      <c r="H63" s="331" t="s">
        <v>2475</v>
      </c>
      <c r="I63" s="331" t="s">
        <v>175</v>
      </c>
      <c r="J63" s="331"/>
      <c r="K63" s="331"/>
      <c r="L63" s="331"/>
      <c r="M63" s="331"/>
      <c r="N63" s="331"/>
      <c r="O63" s="331"/>
      <c r="P63" s="331"/>
      <c r="Q63" s="331"/>
      <c r="R63" s="331"/>
      <c r="S63" s="331"/>
      <c r="T63" s="331"/>
      <c r="U63" s="331"/>
      <c r="V63" s="331"/>
      <c r="W63" s="331"/>
      <c r="X63" s="331"/>
      <c r="Y63" s="331"/>
      <c r="Z63" s="331"/>
      <c r="AA63" s="331"/>
      <c r="AB63" s="331"/>
      <c r="AC63" s="331"/>
      <c r="AD63" s="331"/>
      <c r="AE63" s="331"/>
      <c r="AF63" s="331"/>
      <c r="AG63" s="331"/>
      <c r="AH63" s="331"/>
      <c r="AI63" s="331"/>
      <c r="AJ63" s="331"/>
      <c r="AK63" s="331"/>
      <c r="AL63" s="331"/>
      <c r="AM63" s="331"/>
      <c r="AN63" s="331"/>
      <c r="AO63" s="331"/>
      <c r="AP63" s="331"/>
      <c r="AQ63" s="331"/>
      <c r="AR63" s="331"/>
      <c r="AS63" s="331"/>
      <c r="AT63" s="331"/>
      <c r="AU63" s="331"/>
      <c r="AV63" s="331"/>
      <c r="AW63" s="331"/>
      <c r="AX63" s="331"/>
      <c r="AY63" s="332" t="s">
        <v>2476</v>
      </c>
      <c r="AZ63" s="332" t="s">
        <v>175</v>
      </c>
      <c r="BA63" s="332"/>
      <c r="BB63" s="332"/>
      <c r="BC63" s="332"/>
      <c r="BD63" s="332"/>
      <c r="BE63" s="332"/>
      <c r="BF63" s="332"/>
      <c r="BG63" s="332"/>
      <c r="BH63" s="332"/>
      <c r="BI63" s="332"/>
      <c r="BJ63" s="332"/>
      <c r="BK63" s="332"/>
      <c r="BL63" s="332"/>
      <c r="BM63" s="332"/>
      <c r="BN63" s="332"/>
      <c r="BO63" s="332"/>
      <c r="BP63" s="332"/>
      <c r="BQ63" s="332"/>
      <c r="BR63" s="332"/>
      <c r="BS63" s="332"/>
      <c r="BT63" s="332"/>
      <c r="BU63" s="332"/>
      <c r="BV63" s="332"/>
      <c r="BW63" s="332"/>
      <c r="BX63" s="332"/>
      <c r="BY63" s="332"/>
      <c r="BZ63" s="332"/>
      <c r="CA63" s="332"/>
      <c r="CB63" s="332"/>
      <c r="CC63" s="332"/>
      <c r="CD63" s="332"/>
      <c r="CE63" s="332"/>
      <c r="CF63" s="332"/>
      <c r="CG63" s="332"/>
      <c r="CH63" s="332"/>
      <c r="CI63" s="332"/>
      <c r="CJ63" s="332"/>
      <c r="CK63" s="332"/>
      <c r="CL63" s="332"/>
      <c r="CM63" s="332"/>
      <c r="CN63" s="332"/>
      <c r="CO63" s="332"/>
      <c r="CP63" s="333" t="s">
        <v>27</v>
      </c>
      <c r="CQ63" s="333" t="s">
        <v>175</v>
      </c>
      <c r="CR63" s="334">
        <v>-3.6954824849486863</v>
      </c>
      <c r="CS63" s="334">
        <v>-3.5684702712724983</v>
      </c>
      <c r="CT63" s="334">
        <v>-2.5629902804185494</v>
      </c>
      <c r="CU63" s="334">
        <v>-3.7129392707405189</v>
      </c>
      <c r="CV63" s="334">
        <v>-3.1324409586833259</v>
      </c>
      <c r="CW63" s="334">
        <v>-3.3452951353583353</v>
      </c>
      <c r="CX63" s="334">
        <v>-3.7057958802426549</v>
      </c>
      <c r="CY63" s="334">
        <v>-3.8293008390735137</v>
      </c>
      <c r="CZ63" s="334">
        <v>-4.3361937418849497</v>
      </c>
      <c r="DA63" s="334">
        <v>-3.8959155224819955</v>
      </c>
      <c r="DB63" s="334">
        <v>-4.6787405431773674</v>
      </c>
      <c r="DC63" s="334">
        <v>-4.9190106642985754</v>
      </c>
      <c r="DD63" s="334">
        <v>-4.5963665611260458</v>
      </c>
      <c r="DE63" s="334">
        <v>-4.2636953763147298</v>
      </c>
      <c r="DF63" s="334">
        <v>-4.7283874848985965</v>
      </c>
      <c r="DG63" s="334">
        <v>-2.7545514688695474</v>
      </c>
      <c r="DH63" s="334">
        <v>-4.3343351041260716</v>
      </c>
      <c r="DI63" s="334">
        <v>-3.8966468760226434</v>
      </c>
      <c r="DJ63" s="334">
        <v>-5.1624328210471564</v>
      </c>
      <c r="DK63" s="334">
        <v>-4.8030057180089409</v>
      </c>
      <c r="DL63" s="334">
        <v>-5.4855189688282691</v>
      </c>
      <c r="DM63" s="334">
        <v>-5.2032182935511235</v>
      </c>
      <c r="DN63" s="334">
        <v>-3.5622582401386826</v>
      </c>
      <c r="DO63" s="334">
        <v>-2.7051942458716431</v>
      </c>
      <c r="DP63" s="334">
        <v>-0.26377553038445467</v>
      </c>
      <c r="DQ63" s="334">
        <v>-0.78782845446645566</v>
      </c>
      <c r="DR63" s="334">
        <v>-0.15461935477019961</v>
      </c>
      <c r="DS63" s="334">
        <v>0.26514000663433718</v>
      </c>
      <c r="DT63" s="334">
        <v>2.2524445264365176</v>
      </c>
      <c r="DU63" s="335">
        <v>1.1444637086487064</v>
      </c>
      <c r="DV63" s="335">
        <v>2.5038842991506196</v>
      </c>
      <c r="DW63" s="335">
        <v>2.8773284423441208</v>
      </c>
      <c r="DX63" s="198">
        <v>2.5038842991506196</v>
      </c>
      <c r="DY63" s="198">
        <v>2.5038842991506196</v>
      </c>
      <c r="DZ63" s="198">
        <v>2.5038842991506196</v>
      </c>
      <c r="EA63" s="198">
        <v>-0.37344414319350117</v>
      </c>
      <c r="EB63" s="198">
        <v>2.5038842991506196</v>
      </c>
      <c r="EC63" s="198">
        <v>2.5038842991506196</v>
      </c>
      <c r="ED63" s="198">
        <v>2.5038842991506196</v>
      </c>
      <c r="EE63" s="198">
        <v>2.5038842991506196</v>
      </c>
      <c r="EF63" s="198">
        <v>-0.37344414319350117</v>
      </c>
      <c r="EG63" s="198">
        <v>0</v>
      </c>
      <c r="EH63" s="198">
        <v>1.6730603028627165</v>
      </c>
      <c r="EI63" s="336">
        <f t="shared" si="0"/>
        <v>0.54392008649658119</v>
      </c>
      <c r="EJ63" s="336">
        <f>EI63-'[13]FAOSTAT21 CO2'!EH63</f>
        <v>0.21996532649658129</v>
      </c>
    </row>
    <row r="64" spans="1:140" x14ac:dyDescent="0.25">
      <c r="A64" s="31">
        <v>9</v>
      </c>
      <c r="B64" s="31" t="s">
        <v>176</v>
      </c>
      <c r="C64" s="31">
        <v>59</v>
      </c>
      <c r="D64" s="31">
        <v>0</v>
      </c>
      <c r="E64" s="31">
        <v>0</v>
      </c>
      <c r="F64" s="31">
        <v>0</v>
      </c>
      <c r="G64" s="31">
        <v>1</v>
      </c>
      <c r="H64" s="331" t="s">
        <v>2475</v>
      </c>
      <c r="I64" s="331" t="s">
        <v>177</v>
      </c>
      <c r="J64" s="331"/>
      <c r="K64" s="331"/>
      <c r="L64" s="331"/>
      <c r="M64" s="331"/>
      <c r="N64" s="331"/>
      <c r="O64" s="331"/>
      <c r="P64" s="331"/>
      <c r="Q64" s="331"/>
      <c r="R64" s="331"/>
      <c r="S64" s="331"/>
      <c r="T64" s="331"/>
      <c r="U64" s="331"/>
      <c r="V64" s="331"/>
      <c r="W64" s="331"/>
      <c r="X64" s="331"/>
      <c r="Y64" s="331"/>
      <c r="Z64" s="331"/>
      <c r="AA64" s="331"/>
      <c r="AB64" s="331"/>
      <c r="AC64" s="331"/>
      <c r="AD64" s="331"/>
      <c r="AE64" s="331"/>
      <c r="AF64" s="331"/>
      <c r="AG64" s="331"/>
      <c r="AH64" s="331"/>
      <c r="AI64" s="331"/>
      <c r="AJ64" s="331"/>
      <c r="AK64" s="331"/>
      <c r="AL64" s="331"/>
      <c r="AM64" s="331"/>
      <c r="AN64" s="331"/>
      <c r="AO64" s="331"/>
      <c r="AP64" s="331"/>
      <c r="AQ64" s="331"/>
      <c r="AR64" s="331"/>
      <c r="AS64" s="331"/>
      <c r="AT64" s="331"/>
      <c r="AU64" s="331"/>
      <c r="AV64" s="331"/>
      <c r="AW64" s="331"/>
      <c r="AX64" s="331"/>
      <c r="AY64" s="332" t="s">
        <v>2476</v>
      </c>
      <c r="AZ64" s="332" t="s">
        <v>177</v>
      </c>
      <c r="BA64" s="332"/>
      <c r="BB64" s="332"/>
      <c r="BC64" s="332"/>
      <c r="BD64" s="332"/>
      <c r="BE64" s="332"/>
      <c r="BF64" s="332"/>
      <c r="BG64" s="332"/>
      <c r="BH64" s="332"/>
      <c r="BI64" s="332"/>
      <c r="BJ64" s="332"/>
      <c r="BK64" s="332"/>
      <c r="BL64" s="332"/>
      <c r="BM64" s="332"/>
      <c r="BN64" s="332"/>
      <c r="BO64" s="332"/>
      <c r="BP64" s="332"/>
      <c r="BQ64" s="332"/>
      <c r="BR64" s="332"/>
      <c r="BS64" s="332"/>
      <c r="BT64" s="332"/>
      <c r="BU64" s="332"/>
      <c r="BV64" s="332"/>
      <c r="BW64" s="332"/>
      <c r="BX64" s="332"/>
      <c r="BY64" s="332"/>
      <c r="BZ64" s="332"/>
      <c r="CA64" s="332"/>
      <c r="CB64" s="332"/>
      <c r="CC64" s="332"/>
      <c r="CD64" s="332"/>
      <c r="CE64" s="332"/>
      <c r="CF64" s="332"/>
      <c r="CG64" s="332"/>
      <c r="CH64" s="332"/>
      <c r="CI64" s="332"/>
      <c r="CJ64" s="332"/>
      <c r="CK64" s="332"/>
      <c r="CL64" s="332"/>
      <c r="CM64" s="332"/>
      <c r="CN64" s="332"/>
      <c r="CO64" s="332"/>
      <c r="CP64" s="333" t="s">
        <v>27</v>
      </c>
      <c r="CQ64" s="333" t="s">
        <v>177</v>
      </c>
      <c r="CR64" s="334">
        <v>-60.7742</v>
      </c>
      <c r="CS64" s="334">
        <v>-60.7742</v>
      </c>
      <c r="CT64" s="334">
        <v>-60.7742</v>
      </c>
      <c r="CU64" s="334">
        <v>-60.7742</v>
      </c>
      <c r="CV64" s="334">
        <v>-60.7742</v>
      </c>
      <c r="CW64" s="334">
        <v>-63.880099999999999</v>
      </c>
      <c r="CX64" s="334">
        <v>-64.143500000000003</v>
      </c>
      <c r="CY64" s="334">
        <v>-63.662800000000004</v>
      </c>
      <c r="CZ64" s="334">
        <v>-64.175899999999999</v>
      </c>
      <c r="DA64" s="334">
        <v>-60.819499999999998</v>
      </c>
      <c r="DB64" s="334">
        <v>-64.524299999999997</v>
      </c>
      <c r="DC64" s="334">
        <v>-68.373100000000008</v>
      </c>
      <c r="DD64" s="334">
        <v>-72.320899999999995</v>
      </c>
      <c r="DE64" s="334">
        <v>-69.37660000000001</v>
      </c>
      <c r="DF64" s="334">
        <v>-71.031499999999994</v>
      </c>
      <c r="DG64" s="334">
        <v>-72.679600000000008</v>
      </c>
      <c r="DH64" s="334">
        <v>-74.346800000000002</v>
      </c>
      <c r="DI64" s="334">
        <v>-75.997199999999992</v>
      </c>
      <c r="DJ64" s="334">
        <v>-71.487800000000007</v>
      </c>
      <c r="DK64" s="334">
        <v>-78.422399999999996</v>
      </c>
      <c r="DL64" s="334">
        <v>-85.296300000000002</v>
      </c>
      <c r="DM64" s="334">
        <v>-92.166699999999992</v>
      </c>
      <c r="DN64" s="334">
        <v>-97.075299999999999</v>
      </c>
      <c r="DO64" s="334">
        <v>-102.523</v>
      </c>
      <c r="DP64" s="334">
        <v>-103.86199999999999</v>
      </c>
      <c r="DQ64" s="334">
        <v>-104.72199999999999</v>
      </c>
      <c r="DR64" s="334">
        <v>-105.97199999999999</v>
      </c>
      <c r="DS64" s="334">
        <v>-106.17100000000001</v>
      </c>
      <c r="DT64" s="334">
        <v>-108.422</v>
      </c>
      <c r="DU64" s="335">
        <v>-105.48521822660132</v>
      </c>
      <c r="DV64" s="335">
        <v>-107.35590334975404</v>
      </c>
      <c r="DW64" s="335">
        <v>-109.22658847290677</v>
      </c>
      <c r="DX64" s="198">
        <v>-92.155903349754055</v>
      </c>
      <c r="DY64" s="198">
        <v>-140.55590334975403</v>
      </c>
      <c r="DZ64" s="198">
        <v>-140.55590334975403</v>
      </c>
      <c r="EA64" s="198">
        <v>-31.329314876847263</v>
      </c>
      <c r="EB64" s="198">
        <v>-88.95</v>
      </c>
      <c r="EC64" s="198">
        <v>-274.58499999999998</v>
      </c>
      <c r="ED64" s="198">
        <v>-88.95</v>
      </c>
      <c r="EE64" s="198">
        <v>-274.58499999999998</v>
      </c>
      <c r="EF64" s="198">
        <v>-165.35841152709321</v>
      </c>
      <c r="EG64" s="198">
        <v>-134.02909665024595</v>
      </c>
      <c r="EH64" s="198">
        <v>102.02336</v>
      </c>
      <c r="EI64" s="336">
        <f t="shared" si="0"/>
        <v>-106.15444364532027</v>
      </c>
      <c r="EJ64" s="336">
        <f>EI64-'[13]FAOSTAT21 CO2'!EH64</f>
        <v>-137.86909446532027</v>
      </c>
    </row>
    <row r="65" spans="1:140" x14ac:dyDescent="0.25">
      <c r="A65" s="31">
        <v>11</v>
      </c>
      <c r="B65" s="31" t="s">
        <v>178</v>
      </c>
      <c r="C65" s="31">
        <v>62</v>
      </c>
      <c r="D65" s="31">
        <v>0</v>
      </c>
      <c r="E65" s="31">
        <v>0</v>
      </c>
      <c r="F65" s="31">
        <v>0</v>
      </c>
      <c r="G65" s="31">
        <v>0</v>
      </c>
      <c r="H65" s="331" t="s">
        <v>2475</v>
      </c>
      <c r="I65" s="331" t="s">
        <v>179</v>
      </c>
      <c r="J65" s="331"/>
      <c r="K65" s="331"/>
      <c r="L65" s="331"/>
      <c r="M65" s="331"/>
      <c r="N65" s="331"/>
      <c r="O65" s="331"/>
      <c r="P65" s="331"/>
      <c r="Q65" s="331"/>
      <c r="R65" s="331"/>
      <c r="S65" s="331"/>
      <c r="T65" s="331"/>
      <c r="U65" s="331"/>
      <c r="V65" s="331"/>
      <c r="W65" s="331"/>
      <c r="X65" s="331"/>
      <c r="Y65" s="331"/>
      <c r="Z65" s="331"/>
      <c r="AA65" s="331"/>
      <c r="AB65" s="331"/>
      <c r="AC65" s="331"/>
      <c r="AD65" s="331"/>
      <c r="AE65" s="331"/>
      <c r="AF65" s="331"/>
      <c r="AG65" s="331"/>
      <c r="AH65" s="331"/>
      <c r="AI65" s="331"/>
      <c r="AJ65" s="331"/>
      <c r="AK65" s="331"/>
      <c r="AL65" s="331"/>
      <c r="AM65" s="331"/>
      <c r="AN65" s="331"/>
      <c r="AO65" s="331"/>
      <c r="AP65" s="331"/>
      <c r="AQ65" s="331"/>
      <c r="AR65" s="331"/>
      <c r="AS65" s="331"/>
      <c r="AT65" s="331"/>
      <c r="AU65" s="331"/>
      <c r="AV65" s="331"/>
      <c r="AW65" s="331"/>
      <c r="AX65" s="331"/>
      <c r="AY65" s="332" t="s">
        <v>2476</v>
      </c>
      <c r="AZ65" s="332" t="s">
        <v>179</v>
      </c>
      <c r="BA65" s="332"/>
      <c r="BB65" s="332"/>
      <c r="BC65" s="332"/>
      <c r="BD65" s="332"/>
      <c r="BE65" s="332"/>
      <c r="BF65" s="332"/>
      <c r="BG65" s="332"/>
      <c r="BH65" s="332"/>
      <c r="BI65" s="332"/>
      <c r="BJ65" s="332"/>
      <c r="BK65" s="332"/>
      <c r="BL65" s="332"/>
      <c r="BM65" s="332"/>
      <c r="BN65" s="332"/>
      <c r="BO65" s="332"/>
      <c r="BP65" s="332"/>
      <c r="BQ65" s="332"/>
      <c r="BR65" s="332"/>
      <c r="BS65" s="332"/>
      <c r="BT65" s="332"/>
      <c r="BU65" s="332"/>
      <c r="BV65" s="332"/>
      <c r="BW65" s="332"/>
      <c r="BX65" s="332"/>
      <c r="BY65" s="332"/>
      <c r="BZ65" s="332"/>
      <c r="CA65" s="332"/>
      <c r="CB65" s="332"/>
      <c r="CC65" s="332"/>
      <c r="CD65" s="332"/>
      <c r="CE65" s="332"/>
      <c r="CF65" s="332"/>
      <c r="CG65" s="332"/>
      <c r="CH65" s="332"/>
      <c r="CI65" s="332"/>
      <c r="CJ65" s="332"/>
      <c r="CK65" s="332"/>
      <c r="CL65" s="332"/>
      <c r="CM65" s="332"/>
      <c r="CN65" s="332"/>
      <c r="CO65" s="332"/>
      <c r="CP65" s="333" t="s">
        <v>27</v>
      </c>
      <c r="CQ65" s="333" t="s">
        <v>179</v>
      </c>
      <c r="CR65" s="334">
        <v>0</v>
      </c>
      <c r="CS65" s="334">
        <v>0</v>
      </c>
      <c r="CT65" s="334">
        <v>0</v>
      </c>
      <c r="CU65" s="334">
        <v>0</v>
      </c>
      <c r="CV65" s="334">
        <v>0</v>
      </c>
      <c r="CW65" s="334">
        <v>0</v>
      </c>
      <c r="CX65" s="334">
        <v>0</v>
      </c>
      <c r="CY65" s="334">
        <v>0</v>
      </c>
      <c r="CZ65" s="334">
        <v>0</v>
      </c>
      <c r="DA65" s="334">
        <v>0</v>
      </c>
      <c r="DB65" s="334">
        <v>0</v>
      </c>
      <c r="DC65" s="334">
        <v>0</v>
      </c>
      <c r="DD65" s="334">
        <v>0</v>
      </c>
      <c r="DE65" s="334">
        <v>0</v>
      </c>
      <c r="DF65" s="334">
        <v>0</v>
      </c>
      <c r="DG65" s="334">
        <v>0</v>
      </c>
      <c r="DH65" s="334">
        <v>0</v>
      </c>
      <c r="DI65" s="334">
        <v>0</v>
      </c>
      <c r="DJ65" s="334">
        <v>0</v>
      </c>
      <c r="DK65" s="334">
        <v>0</v>
      </c>
      <c r="DL65" s="334">
        <v>0</v>
      </c>
      <c r="DM65" s="334">
        <v>0</v>
      </c>
      <c r="DN65" s="334">
        <v>0</v>
      </c>
      <c r="DO65" s="334">
        <v>0</v>
      </c>
      <c r="DP65" s="334">
        <v>0</v>
      </c>
      <c r="DQ65" s="334">
        <v>0</v>
      </c>
      <c r="DR65" s="334">
        <v>0</v>
      </c>
      <c r="DS65" s="334">
        <v>0</v>
      </c>
      <c r="DT65" s="334">
        <v>0</v>
      </c>
      <c r="DU65" s="335">
        <v>0</v>
      </c>
      <c r="DV65" s="335">
        <v>0</v>
      </c>
      <c r="DW65" s="335">
        <v>0</v>
      </c>
      <c r="DX65" s="198" t="s">
        <v>2477</v>
      </c>
      <c r="DY65" s="198" t="s">
        <v>2477</v>
      </c>
      <c r="DZ65" s="198" t="s">
        <v>2477</v>
      </c>
      <c r="EA65" s="198"/>
      <c r="EB65" s="198"/>
      <c r="EC65" s="198"/>
      <c r="ED65" s="198"/>
      <c r="EE65" s="198"/>
      <c r="EF65" s="198" t="s">
        <v>2477</v>
      </c>
      <c r="EG65" s="198" t="s">
        <v>2477</v>
      </c>
      <c r="EH65" s="198"/>
      <c r="EI65" s="336">
        <f t="shared" si="0"/>
        <v>0</v>
      </c>
      <c r="EJ65" s="336">
        <f>EI65-'[13]FAOSTAT21 CO2'!EH65</f>
        <v>-1.650954E-2</v>
      </c>
    </row>
    <row r="66" spans="1:140" x14ac:dyDescent="0.25">
      <c r="A66" s="31">
        <v>6</v>
      </c>
      <c r="B66" s="31" t="s">
        <v>180</v>
      </c>
      <c r="C66" s="31">
        <v>63</v>
      </c>
      <c r="D66" s="31">
        <v>0</v>
      </c>
      <c r="E66" s="31">
        <v>0</v>
      </c>
      <c r="F66" s="31">
        <v>0</v>
      </c>
      <c r="G66" s="31">
        <v>0</v>
      </c>
      <c r="H66" s="331" t="s">
        <v>2475</v>
      </c>
      <c r="I66" s="331" t="s">
        <v>181</v>
      </c>
      <c r="J66" s="331"/>
      <c r="K66" s="331"/>
      <c r="L66" s="331"/>
      <c r="M66" s="331"/>
      <c r="N66" s="331"/>
      <c r="O66" s="331"/>
      <c r="P66" s="331"/>
      <c r="Q66" s="331"/>
      <c r="R66" s="331"/>
      <c r="S66" s="331"/>
      <c r="T66" s="331"/>
      <c r="U66" s="331"/>
      <c r="V66" s="331"/>
      <c r="W66" s="331"/>
      <c r="X66" s="331"/>
      <c r="Y66" s="331"/>
      <c r="Z66" s="331"/>
      <c r="AA66" s="331"/>
      <c r="AB66" s="331"/>
      <c r="AC66" s="331"/>
      <c r="AD66" s="331"/>
      <c r="AE66" s="331"/>
      <c r="AF66" s="331"/>
      <c r="AG66" s="331"/>
      <c r="AH66" s="331"/>
      <c r="AI66" s="331"/>
      <c r="AJ66" s="331"/>
      <c r="AK66" s="331"/>
      <c r="AL66" s="331"/>
      <c r="AM66" s="331"/>
      <c r="AN66" s="331"/>
      <c r="AO66" s="331"/>
      <c r="AP66" s="331"/>
      <c r="AQ66" s="331"/>
      <c r="AR66" s="331"/>
      <c r="AS66" s="331"/>
      <c r="AT66" s="331"/>
      <c r="AU66" s="331"/>
      <c r="AV66" s="331"/>
      <c r="AW66" s="331"/>
      <c r="AX66" s="331"/>
      <c r="AY66" s="332" t="s">
        <v>2476</v>
      </c>
      <c r="AZ66" s="332" t="s">
        <v>181</v>
      </c>
      <c r="BA66" s="332"/>
      <c r="BB66" s="332"/>
      <c r="BC66" s="332"/>
      <c r="BD66" s="332"/>
      <c r="BE66" s="332"/>
      <c r="BF66" s="332"/>
      <c r="BG66" s="332"/>
      <c r="BH66" s="332"/>
      <c r="BI66" s="332"/>
      <c r="BJ66" s="332"/>
      <c r="BK66" s="332"/>
      <c r="BL66" s="332"/>
      <c r="BM66" s="332"/>
      <c r="BN66" s="332"/>
      <c r="BO66" s="332"/>
      <c r="BP66" s="332"/>
      <c r="BQ66" s="332"/>
      <c r="BR66" s="332"/>
      <c r="BS66" s="332"/>
      <c r="BT66" s="332"/>
      <c r="BU66" s="332"/>
      <c r="BV66" s="332"/>
      <c r="BW66" s="332"/>
      <c r="BX66" s="332"/>
      <c r="BY66" s="332"/>
      <c r="BZ66" s="332"/>
      <c r="CA66" s="332"/>
      <c r="CB66" s="332"/>
      <c r="CC66" s="332"/>
      <c r="CD66" s="332"/>
      <c r="CE66" s="332"/>
      <c r="CF66" s="332"/>
      <c r="CG66" s="332"/>
      <c r="CH66" s="332"/>
      <c r="CI66" s="332"/>
      <c r="CJ66" s="332"/>
      <c r="CK66" s="332"/>
      <c r="CL66" s="332"/>
      <c r="CM66" s="332"/>
      <c r="CN66" s="332"/>
      <c r="CO66" s="332"/>
      <c r="CP66" s="333" t="s">
        <v>27</v>
      </c>
      <c r="CQ66" s="333" t="s">
        <v>181</v>
      </c>
      <c r="CR66" s="334">
        <v>0</v>
      </c>
      <c r="CS66" s="334">
        <v>0</v>
      </c>
      <c r="CT66" s="334">
        <v>0</v>
      </c>
      <c r="CU66" s="334">
        <v>0</v>
      </c>
      <c r="CV66" s="334">
        <v>0</v>
      </c>
      <c r="CW66" s="334">
        <v>0</v>
      </c>
      <c r="CX66" s="334">
        <v>0</v>
      </c>
      <c r="CY66" s="334">
        <v>0</v>
      </c>
      <c r="CZ66" s="334">
        <v>0</v>
      </c>
      <c r="DA66" s="334">
        <v>0</v>
      </c>
      <c r="DB66" s="334">
        <v>0</v>
      </c>
      <c r="DC66" s="334">
        <v>0</v>
      </c>
      <c r="DD66" s="334">
        <v>0</v>
      </c>
      <c r="DE66" s="334">
        <v>0</v>
      </c>
      <c r="DF66" s="334">
        <v>0</v>
      </c>
      <c r="DG66" s="334">
        <v>0</v>
      </c>
      <c r="DH66" s="334">
        <v>0</v>
      </c>
      <c r="DI66" s="334">
        <v>0</v>
      </c>
      <c r="DJ66" s="334">
        <v>0</v>
      </c>
      <c r="DK66" s="334">
        <v>0</v>
      </c>
      <c r="DL66" s="334">
        <v>0</v>
      </c>
      <c r="DM66" s="334">
        <v>0</v>
      </c>
      <c r="DN66" s="334">
        <v>0</v>
      </c>
      <c r="DO66" s="334">
        <v>0</v>
      </c>
      <c r="DP66" s="334">
        <v>0</v>
      </c>
      <c r="DQ66" s="334">
        <v>0</v>
      </c>
      <c r="DR66" s="334">
        <v>0</v>
      </c>
      <c r="DS66" s="334">
        <v>0</v>
      </c>
      <c r="DT66" s="334">
        <v>0</v>
      </c>
      <c r="DU66" s="335">
        <v>0</v>
      </c>
      <c r="DV66" s="335">
        <v>0</v>
      </c>
      <c r="DW66" s="335">
        <v>0</v>
      </c>
      <c r="DX66" s="198" t="s">
        <v>2477</v>
      </c>
      <c r="DY66" s="198" t="s">
        <v>2477</v>
      </c>
      <c r="DZ66" s="198" t="s">
        <v>2477</v>
      </c>
      <c r="EA66" s="198"/>
      <c r="EB66" s="198"/>
      <c r="EC66" s="198"/>
      <c r="ED66" s="198"/>
      <c r="EE66" s="198"/>
      <c r="EF66" s="198" t="s">
        <v>2477</v>
      </c>
      <c r="EG66" s="198" t="s">
        <v>2477</v>
      </c>
      <c r="EH66" s="198"/>
      <c r="EI66" s="336">
        <f t="shared" si="0"/>
        <v>0</v>
      </c>
      <c r="EJ66" s="336">
        <f>EI66-'[13]FAOSTAT21 CO2'!EH66</f>
        <v>-0.24960620000000003</v>
      </c>
    </row>
    <row r="67" spans="1:140" x14ac:dyDescent="0.25">
      <c r="A67" s="31">
        <v>24</v>
      </c>
      <c r="B67" s="31" t="s">
        <v>182</v>
      </c>
      <c r="C67" s="31">
        <v>64</v>
      </c>
      <c r="D67" s="31">
        <v>0</v>
      </c>
      <c r="E67" s="31">
        <v>0</v>
      </c>
      <c r="F67" s="31">
        <v>0</v>
      </c>
      <c r="G67" s="31">
        <v>0</v>
      </c>
      <c r="H67" s="331" t="s">
        <v>2475</v>
      </c>
      <c r="I67" s="331" t="s">
        <v>183</v>
      </c>
      <c r="J67" s="331"/>
      <c r="K67" s="331"/>
      <c r="L67" s="331"/>
      <c r="M67" s="331"/>
      <c r="N67" s="331"/>
      <c r="O67" s="331"/>
      <c r="P67" s="331"/>
      <c r="Q67" s="331"/>
      <c r="R67" s="331"/>
      <c r="S67" s="331"/>
      <c r="T67" s="331"/>
      <c r="U67" s="331"/>
      <c r="V67" s="331"/>
      <c r="W67" s="331"/>
      <c r="X67" s="331"/>
      <c r="Y67" s="331"/>
      <c r="Z67" s="331"/>
      <c r="AA67" s="331"/>
      <c r="AB67" s="331"/>
      <c r="AC67" s="331"/>
      <c r="AD67" s="331"/>
      <c r="AE67" s="331"/>
      <c r="AF67" s="331"/>
      <c r="AG67" s="331"/>
      <c r="AH67" s="331"/>
      <c r="AI67" s="331"/>
      <c r="AJ67" s="331"/>
      <c r="AK67" s="331"/>
      <c r="AL67" s="331"/>
      <c r="AM67" s="331"/>
      <c r="AN67" s="331"/>
      <c r="AO67" s="331"/>
      <c r="AP67" s="331"/>
      <c r="AQ67" s="331"/>
      <c r="AR67" s="331"/>
      <c r="AS67" s="331"/>
      <c r="AT67" s="331"/>
      <c r="AU67" s="331"/>
      <c r="AV67" s="331"/>
      <c r="AW67" s="331"/>
      <c r="AX67" s="331"/>
      <c r="AY67" s="332" t="s">
        <v>2476</v>
      </c>
      <c r="AZ67" s="332" t="s">
        <v>183</v>
      </c>
      <c r="BA67" s="332"/>
      <c r="BB67" s="332"/>
      <c r="BC67" s="332"/>
      <c r="BD67" s="332"/>
      <c r="BE67" s="332"/>
      <c r="BF67" s="332"/>
      <c r="BG67" s="332"/>
      <c r="BH67" s="332"/>
      <c r="BI67" s="332"/>
      <c r="BJ67" s="332"/>
      <c r="BK67" s="332"/>
      <c r="BL67" s="332"/>
      <c r="BM67" s="332"/>
      <c r="BN67" s="332"/>
      <c r="BO67" s="332"/>
      <c r="BP67" s="332"/>
      <c r="BQ67" s="332"/>
      <c r="BR67" s="332"/>
      <c r="BS67" s="332"/>
      <c r="BT67" s="332"/>
      <c r="BU67" s="332"/>
      <c r="BV67" s="332"/>
      <c r="BW67" s="332"/>
      <c r="BX67" s="332"/>
      <c r="BY67" s="332"/>
      <c r="BZ67" s="332"/>
      <c r="CA67" s="332"/>
      <c r="CB67" s="332"/>
      <c r="CC67" s="332"/>
      <c r="CD67" s="332"/>
      <c r="CE67" s="332"/>
      <c r="CF67" s="332"/>
      <c r="CG67" s="332"/>
      <c r="CH67" s="332"/>
      <c r="CI67" s="332"/>
      <c r="CJ67" s="332"/>
      <c r="CK67" s="332"/>
      <c r="CL67" s="332"/>
      <c r="CM67" s="332"/>
      <c r="CN67" s="332"/>
      <c r="CO67" s="332"/>
      <c r="CP67" s="333" t="s">
        <v>27</v>
      </c>
      <c r="CQ67" s="333" t="s">
        <v>183</v>
      </c>
      <c r="CR67" s="334">
        <v>0.31</v>
      </c>
      <c r="CS67" s="334">
        <v>0.31</v>
      </c>
      <c r="CT67" s="334">
        <v>0.31</v>
      </c>
      <c r="CU67" s="334">
        <v>0.31</v>
      </c>
      <c r="CV67" s="334">
        <v>0.31</v>
      </c>
      <c r="CW67" s="334">
        <v>0.31</v>
      </c>
      <c r="CX67" s="334">
        <v>0.31</v>
      </c>
      <c r="CY67" s="334">
        <v>0.31</v>
      </c>
      <c r="CZ67" s="334">
        <v>0.31</v>
      </c>
      <c r="DA67" s="334">
        <v>0.31</v>
      </c>
      <c r="DB67" s="334">
        <v>0.31</v>
      </c>
      <c r="DC67" s="334">
        <v>0.31</v>
      </c>
      <c r="DD67" s="334">
        <v>0.31</v>
      </c>
      <c r="DE67" s="334">
        <v>0.31</v>
      </c>
      <c r="DF67" s="334">
        <v>0.31</v>
      </c>
      <c r="DG67" s="334">
        <v>0.31</v>
      </c>
      <c r="DH67" s="334">
        <v>0.31</v>
      </c>
      <c r="DI67" s="334">
        <v>0.33</v>
      </c>
      <c r="DJ67" s="334">
        <v>0.56999999999999995</v>
      </c>
      <c r="DK67" s="334">
        <v>-0.25</v>
      </c>
      <c r="DL67" s="334">
        <v>0.76</v>
      </c>
      <c r="DM67" s="334">
        <v>0.56000000000000005</v>
      </c>
      <c r="DN67" s="334">
        <v>0.38389610389610418</v>
      </c>
      <c r="DO67" s="334">
        <v>0.38866177300959848</v>
      </c>
      <c r="DP67" s="334">
        <v>0.39342744212309455</v>
      </c>
      <c r="DQ67" s="334">
        <v>0.39819311123658885</v>
      </c>
      <c r="DR67" s="334">
        <v>0.40295878035008315</v>
      </c>
      <c r="DS67" s="334">
        <v>0.40772444946357922</v>
      </c>
      <c r="DT67" s="334">
        <v>0.41249011857707529</v>
      </c>
      <c r="DU67" s="335">
        <v>0.41725578769056959</v>
      </c>
      <c r="DV67" s="335">
        <v>0.42202145680406389</v>
      </c>
      <c r="DW67" s="335">
        <v>0.42678712591755996</v>
      </c>
      <c r="DX67" s="198">
        <v>0.42202145680406389</v>
      </c>
      <c r="DY67" s="198">
        <v>0.42202145680406389</v>
      </c>
      <c r="DZ67" s="198">
        <v>0.42202145680406389</v>
      </c>
      <c r="EA67" s="198">
        <v>-4.7656691134960738E-3</v>
      </c>
      <c r="EB67" s="198">
        <v>-0.09</v>
      </c>
      <c r="EC67" s="198">
        <v>-0.26</v>
      </c>
      <c r="ED67" s="198">
        <v>-0.09</v>
      </c>
      <c r="EE67" s="198">
        <v>-0.26</v>
      </c>
      <c r="EF67" s="198">
        <v>-0.68678712591755997</v>
      </c>
      <c r="EG67" s="198">
        <v>-0.6820214568040639</v>
      </c>
      <c r="EH67" s="198">
        <v>0.4502570721826577</v>
      </c>
      <c r="EI67" s="336">
        <f t="shared" ref="EI67:EI130" si="1">AVERAGE(DQ67:DU67)</f>
        <v>0.40772444946357922</v>
      </c>
      <c r="EJ67" s="336">
        <f>EI67-'[13]FAOSTAT21 CO2'!EH67</f>
        <v>2.9522196694635796</v>
      </c>
    </row>
    <row r="68" spans="1:140" x14ac:dyDescent="0.25">
      <c r="A68" s="31">
        <v>11</v>
      </c>
      <c r="B68" s="31" t="s">
        <v>184</v>
      </c>
      <c r="C68" s="31">
        <v>65</v>
      </c>
      <c r="D68" s="31">
        <v>1</v>
      </c>
      <c r="E68" s="31">
        <v>0</v>
      </c>
      <c r="F68" s="31">
        <v>1</v>
      </c>
      <c r="G68" s="31">
        <v>0</v>
      </c>
      <c r="H68" s="331" t="s">
        <v>2475</v>
      </c>
      <c r="I68" s="331" t="s">
        <v>185</v>
      </c>
      <c r="J68" s="331"/>
      <c r="K68" s="331"/>
      <c r="L68" s="331"/>
      <c r="M68" s="331"/>
      <c r="N68" s="331"/>
      <c r="O68" s="331"/>
      <c r="P68" s="331"/>
      <c r="Q68" s="331"/>
      <c r="R68" s="331"/>
      <c r="S68" s="331"/>
      <c r="T68" s="331"/>
      <c r="U68" s="331"/>
      <c r="V68" s="331"/>
      <c r="W68" s="331"/>
      <c r="X68" s="331"/>
      <c r="Y68" s="331"/>
      <c r="Z68" s="331"/>
      <c r="AA68" s="331"/>
      <c r="AB68" s="331"/>
      <c r="AC68" s="331"/>
      <c r="AD68" s="331"/>
      <c r="AE68" s="331"/>
      <c r="AF68" s="331"/>
      <c r="AG68" s="331"/>
      <c r="AH68" s="331"/>
      <c r="AI68" s="331"/>
      <c r="AJ68" s="331"/>
      <c r="AK68" s="331"/>
      <c r="AL68" s="331"/>
      <c r="AM68" s="331"/>
      <c r="AN68" s="331"/>
      <c r="AO68" s="331"/>
      <c r="AP68" s="331"/>
      <c r="AQ68" s="331"/>
      <c r="AR68" s="331"/>
      <c r="AS68" s="331"/>
      <c r="AT68" s="331"/>
      <c r="AU68" s="331"/>
      <c r="AV68" s="331"/>
      <c r="AW68" s="331"/>
      <c r="AX68" s="331"/>
      <c r="AY68" s="332" t="s">
        <v>2476</v>
      </c>
      <c r="AZ68" s="332" t="s">
        <v>185</v>
      </c>
      <c r="BA68" s="332"/>
      <c r="BB68" s="332"/>
      <c r="BC68" s="332"/>
      <c r="BD68" s="332"/>
      <c r="BE68" s="332"/>
      <c r="BF68" s="332"/>
      <c r="BG68" s="332"/>
      <c r="BH68" s="332"/>
      <c r="BI68" s="332"/>
      <c r="BJ68" s="332"/>
      <c r="BK68" s="332"/>
      <c r="BL68" s="332"/>
      <c r="BM68" s="332"/>
      <c r="BN68" s="332"/>
      <c r="BO68" s="332"/>
      <c r="BP68" s="332"/>
      <c r="BQ68" s="332"/>
      <c r="BR68" s="332"/>
      <c r="BS68" s="332"/>
      <c r="BT68" s="332"/>
      <c r="BU68" s="332"/>
      <c r="BV68" s="332"/>
      <c r="BW68" s="332"/>
      <c r="BX68" s="332"/>
      <c r="BY68" s="332"/>
      <c r="BZ68" s="332"/>
      <c r="CA68" s="332"/>
      <c r="CB68" s="332"/>
      <c r="CC68" s="332"/>
      <c r="CD68" s="332"/>
      <c r="CE68" s="332"/>
      <c r="CF68" s="332"/>
      <c r="CG68" s="332"/>
      <c r="CH68" s="332"/>
      <c r="CI68" s="332"/>
      <c r="CJ68" s="332"/>
      <c r="CK68" s="332"/>
      <c r="CL68" s="332"/>
      <c r="CM68" s="332"/>
      <c r="CN68" s="332"/>
      <c r="CO68" s="332"/>
      <c r="CP68" s="333" t="s">
        <v>27</v>
      </c>
      <c r="CQ68" s="333" t="s">
        <v>185</v>
      </c>
      <c r="CR68" s="334">
        <v>-25.808359646000017</v>
      </c>
      <c r="CS68" s="334">
        <v>-38.238859749333365</v>
      </c>
      <c r="CT68" s="334">
        <v>-32.252577664666696</v>
      </c>
      <c r="CU68" s="334">
        <v>-32.937022216666691</v>
      </c>
      <c r="CV68" s="334">
        <v>-26.157810720333355</v>
      </c>
      <c r="CW68" s="334">
        <v>-24.831328688000017</v>
      </c>
      <c r="CX68" s="334">
        <v>-31.194238027000029</v>
      </c>
      <c r="CY68" s="334">
        <v>-26.605836814333355</v>
      </c>
      <c r="CZ68" s="334">
        <v>-24.624401155333349</v>
      </c>
      <c r="DA68" s="334">
        <v>-24.872229725000015</v>
      </c>
      <c r="DB68" s="334">
        <v>-24.452591006333357</v>
      </c>
      <c r="DC68" s="334">
        <v>-25.182840983000016</v>
      </c>
      <c r="DD68" s="334">
        <v>-26.347839385666688</v>
      </c>
      <c r="DE68" s="334">
        <v>-26.869349920666689</v>
      </c>
      <c r="DF68" s="334">
        <v>-28.375307796666689</v>
      </c>
      <c r="DG68" s="334">
        <v>-28.449484191000028</v>
      </c>
      <c r="DH68" s="334">
        <v>-32.352985413666701</v>
      </c>
      <c r="DI68" s="334">
        <v>-22.712140814666682</v>
      </c>
      <c r="DJ68" s="334">
        <v>-25.312291904000016</v>
      </c>
      <c r="DK68" s="334">
        <v>-37.550505764000036</v>
      </c>
      <c r="DL68" s="334">
        <v>-26.02827772900002</v>
      </c>
      <c r="DM68" s="334">
        <v>-25.304200139333354</v>
      </c>
      <c r="DN68" s="334">
        <v>-27.048837197666696</v>
      </c>
      <c r="DO68" s="334">
        <v>-20.274968964000017</v>
      </c>
      <c r="DP68" s="334">
        <v>-20.762792133333356</v>
      </c>
      <c r="DQ68" s="334">
        <v>-16.70146482800001</v>
      </c>
      <c r="DR68" s="334">
        <v>-13.415507416000013</v>
      </c>
      <c r="DS68" s="334">
        <v>-11.025299373333347</v>
      </c>
      <c r="DT68" s="334">
        <v>-1.8009857100000017</v>
      </c>
      <c r="DU68" s="335">
        <v>-6.7180803146666745</v>
      </c>
      <c r="DV68" s="335">
        <v>-9.1147182930000081</v>
      </c>
      <c r="DW68" s="335">
        <v>0.48493750999999974</v>
      </c>
      <c r="DX68" s="198">
        <v>-9.1147182930000081</v>
      </c>
      <c r="DY68" s="198">
        <v>-9.1147182930000081</v>
      </c>
      <c r="DZ68" s="198">
        <v>-9.1147182930000081</v>
      </c>
      <c r="EA68" s="198">
        <v>-9.5996558030000081</v>
      </c>
      <c r="EB68" s="198">
        <v>-26</v>
      </c>
      <c r="EC68" s="198">
        <v>-28.5</v>
      </c>
      <c r="ED68" s="198">
        <v>-26</v>
      </c>
      <c r="EE68" s="198">
        <v>-28.5</v>
      </c>
      <c r="EF68" s="198">
        <v>-28.984937509999998</v>
      </c>
      <c r="EG68" s="198">
        <v>-19.38528170699999</v>
      </c>
      <c r="EH68" s="198">
        <v>-11.144282774376384</v>
      </c>
      <c r="EI68" s="336">
        <f t="shared" si="1"/>
        <v>-9.9322675284000077</v>
      </c>
      <c r="EJ68" s="336">
        <f>EI68-'[13]FAOSTAT21 CO2'!EH68</f>
        <v>-4.4479608684000089</v>
      </c>
    </row>
    <row r="69" spans="1:140" x14ac:dyDescent="0.25">
      <c r="A69" s="31">
        <v>11</v>
      </c>
      <c r="B69" s="31" t="s">
        <v>186</v>
      </c>
      <c r="C69" s="31">
        <v>66</v>
      </c>
      <c r="D69" s="31">
        <v>1</v>
      </c>
      <c r="E69" s="31">
        <v>0</v>
      </c>
      <c r="F69" s="31">
        <v>1</v>
      </c>
      <c r="G69" s="31">
        <v>0</v>
      </c>
      <c r="H69" s="331" t="s">
        <v>2475</v>
      </c>
      <c r="I69" s="331" t="s">
        <v>187</v>
      </c>
      <c r="J69" s="331"/>
      <c r="K69" s="331"/>
      <c r="L69" s="331"/>
      <c r="M69" s="331"/>
      <c r="N69" s="331"/>
      <c r="O69" s="331"/>
      <c r="P69" s="331"/>
      <c r="Q69" s="331"/>
      <c r="R69" s="331"/>
      <c r="S69" s="331"/>
      <c r="T69" s="331"/>
      <c r="U69" s="331"/>
      <c r="V69" s="331"/>
      <c r="W69" s="331"/>
      <c r="X69" s="331"/>
      <c r="Y69" s="331"/>
      <c r="Z69" s="331"/>
      <c r="AA69" s="331"/>
      <c r="AB69" s="331"/>
      <c r="AC69" s="331"/>
      <c r="AD69" s="331"/>
      <c r="AE69" s="331"/>
      <c r="AF69" s="331"/>
      <c r="AG69" s="331"/>
      <c r="AH69" s="331"/>
      <c r="AI69" s="331"/>
      <c r="AJ69" s="331"/>
      <c r="AK69" s="331"/>
      <c r="AL69" s="331"/>
      <c r="AM69" s="331"/>
      <c r="AN69" s="331"/>
      <c r="AO69" s="331"/>
      <c r="AP69" s="331"/>
      <c r="AQ69" s="331"/>
      <c r="AR69" s="331"/>
      <c r="AS69" s="331"/>
      <c r="AT69" s="331"/>
      <c r="AU69" s="331"/>
      <c r="AV69" s="331"/>
      <c r="AW69" s="331"/>
      <c r="AX69" s="331"/>
      <c r="AY69" s="332" t="s">
        <v>2476</v>
      </c>
      <c r="AZ69" s="332" t="s">
        <v>187</v>
      </c>
      <c r="BA69" s="332"/>
      <c r="BB69" s="332"/>
      <c r="BC69" s="332"/>
      <c r="BD69" s="332"/>
      <c r="BE69" s="332"/>
      <c r="BF69" s="332"/>
      <c r="BG69" s="332"/>
      <c r="BH69" s="332"/>
      <c r="BI69" s="332"/>
      <c r="BJ69" s="332"/>
      <c r="BK69" s="332"/>
      <c r="BL69" s="332"/>
      <c r="BM69" s="332"/>
      <c r="BN69" s="332"/>
      <c r="BO69" s="332"/>
      <c r="BP69" s="332"/>
      <c r="BQ69" s="332"/>
      <c r="BR69" s="332"/>
      <c r="BS69" s="332"/>
      <c r="BT69" s="332"/>
      <c r="BU69" s="332"/>
      <c r="BV69" s="332"/>
      <c r="BW69" s="332"/>
      <c r="BX69" s="332"/>
      <c r="BY69" s="332"/>
      <c r="BZ69" s="332"/>
      <c r="CA69" s="332"/>
      <c r="CB69" s="332"/>
      <c r="CC69" s="332"/>
      <c r="CD69" s="332"/>
      <c r="CE69" s="332"/>
      <c r="CF69" s="332"/>
      <c r="CG69" s="332"/>
      <c r="CH69" s="332"/>
      <c r="CI69" s="332"/>
      <c r="CJ69" s="332"/>
      <c r="CK69" s="332"/>
      <c r="CL69" s="332"/>
      <c r="CM69" s="332"/>
      <c r="CN69" s="332"/>
      <c r="CO69" s="332"/>
      <c r="CP69" s="333" t="s">
        <v>27</v>
      </c>
      <c r="CQ69" s="333" t="s">
        <v>187</v>
      </c>
      <c r="CR69" s="334">
        <v>-17.2646515269216</v>
      </c>
      <c r="CS69" s="334">
        <v>-17.391045893063698</v>
      </c>
      <c r="CT69" s="334">
        <v>-15.158872842065925</v>
      </c>
      <c r="CU69" s="334">
        <v>-19.100260593154044</v>
      </c>
      <c r="CV69" s="334">
        <v>-17.176178242498651</v>
      </c>
      <c r="CW69" s="334">
        <v>-20.251374702943334</v>
      </c>
      <c r="CX69" s="334">
        <v>-27.580757162026167</v>
      </c>
      <c r="CY69" s="334">
        <v>-29.238150830498959</v>
      </c>
      <c r="CZ69" s="334">
        <v>-31.716072006875439</v>
      </c>
      <c r="DA69" s="334">
        <v>-36.37347776439173</v>
      </c>
      <c r="DB69" s="334">
        <v>-21.283705444949629</v>
      </c>
      <c r="DC69" s="334">
        <v>-34.526097967618767</v>
      </c>
      <c r="DD69" s="334">
        <v>-41.73322642692991</v>
      </c>
      <c r="DE69" s="334">
        <v>-48.116784682492828</v>
      </c>
      <c r="DF69" s="334">
        <v>-49.019689432326309</v>
      </c>
      <c r="DG69" s="334">
        <v>-50.915529122722845</v>
      </c>
      <c r="DH69" s="334">
        <v>-50.908052967753591</v>
      </c>
      <c r="DI69" s="334">
        <v>-49.442656543789639</v>
      </c>
      <c r="DJ69" s="334">
        <v>-48.944143120906283</v>
      </c>
      <c r="DK69" s="334">
        <v>-38.177173813091073</v>
      </c>
      <c r="DL69" s="334">
        <v>-41.156522285690158</v>
      </c>
      <c r="DM69" s="334">
        <v>-42.56081780954937</v>
      </c>
      <c r="DN69" s="334">
        <v>-47.73679393860894</v>
      </c>
      <c r="DO69" s="334">
        <v>-45.654044840063243</v>
      </c>
      <c r="DP69" s="334">
        <v>-40.953277747942799</v>
      </c>
      <c r="DQ69" s="334">
        <v>-36.882575810629234</v>
      </c>
      <c r="DR69" s="334">
        <v>-29.973864206291346</v>
      </c>
      <c r="DS69" s="334">
        <v>-18.634664458009347</v>
      </c>
      <c r="DT69" s="334">
        <v>-20.001209992740375</v>
      </c>
      <c r="DU69" s="335">
        <v>-16.164911819743114</v>
      </c>
      <c r="DV69" s="335">
        <v>-22.362642566039209</v>
      </c>
      <c r="DW69" s="335">
        <v>-16.921025262942617</v>
      </c>
      <c r="DX69" s="198">
        <v>-22.362642566039209</v>
      </c>
      <c r="DY69" s="198">
        <v>-22.362642566039209</v>
      </c>
      <c r="DZ69" s="198">
        <v>-22.362642566039209</v>
      </c>
      <c r="EA69" s="198">
        <v>-5.4416173030965922</v>
      </c>
      <c r="EB69" s="198">
        <v>-22.362642566039209</v>
      </c>
      <c r="EC69" s="198">
        <v>-22.362642566039209</v>
      </c>
      <c r="ED69" s="198">
        <v>-22.362642566039209</v>
      </c>
      <c r="EE69" s="198">
        <v>-22.362642566039209</v>
      </c>
      <c r="EF69" s="198">
        <v>-5.4416173030965922</v>
      </c>
      <c r="EG69" s="198">
        <v>0</v>
      </c>
      <c r="EH69" s="198">
        <v>-38.703584445151506</v>
      </c>
      <c r="EI69" s="336">
        <f t="shared" si="1"/>
        <v>-24.331445257482681</v>
      </c>
      <c r="EJ69" s="336">
        <f>EI69-'[13]FAOSTAT21 CO2'!EH69</f>
        <v>37.47549448251732</v>
      </c>
    </row>
    <row r="70" spans="1:140" x14ac:dyDescent="0.25">
      <c r="A70" s="31">
        <v>6</v>
      </c>
      <c r="B70" s="31" t="s">
        <v>188</v>
      </c>
      <c r="C70" s="31">
        <v>67</v>
      </c>
      <c r="D70" s="31">
        <v>0</v>
      </c>
      <c r="E70" s="31">
        <v>0</v>
      </c>
      <c r="F70" s="31">
        <v>0</v>
      </c>
      <c r="G70" s="31">
        <v>0</v>
      </c>
      <c r="H70" s="331" t="s">
        <v>2475</v>
      </c>
      <c r="I70" s="331" t="s">
        <v>189</v>
      </c>
      <c r="J70" s="331"/>
      <c r="K70" s="331"/>
      <c r="L70" s="331"/>
      <c r="M70" s="331"/>
      <c r="N70" s="331"/>
      <c r="O70" s="331"/>
      <c r="P70" s="331"/>
      <c r="Q70" s="331"/>
      <c r="R70" s="331"/>
      <c r="S70" s="331"/>
      <c r="T70" s="331"/>
      <c r="U70" s="331"/>
      <c r="V70" s="331"/>
      <c r="W70" s="331"/>
      <c r="X70" s="331"/>
      <c r="Y70" s="331"/>
      <c r="Z70" s="331"/>
      <c r="AA70" s="331"/>
      <c r="AB70" s="331"/>
      <c r="AC70" s="331"/>
      <c r="AD70" s="331"/>
      <c r="AE70" s="331"/>
      <c r="AF70" s="331"/>
      <c r="AG70" s="331"/>
      <c r="AH70" s="331"/>
      <c r="AI70" s="331"/>
      <c r="AJ70" s="331"/>
      <c r="AK70" s="331"/>
      <c r="AL70" s="331"/>
      <c r="AM70" s="331"/>
      <c r="AN70" s="331"/>
      <c r="AO70" s="331"/>
      <c r="AP70" s="331"/>
      <c r="AQ70" s="331"/>
      <c r="AR70" s="331"/>
      <c r="AS70" s="331"/>
      <c r="AT70" s="331"/>
      <c r="AU70" s="331"/>
      <c r="AV70" s="331"/>
      <c r="AW70" s="331"/>
      <c r="AX70" s="331"/>
      <c r="AY70" s="332" t="s">
        <v>2476</v>
      </c>
      <c r="AZ70" s="332" t="s">
        <v>189</v>
      </c>
      <c r="BA70" s="332"/>
      <c r="BB70" s="332"/>
      <c r="BC70" s="332"/>
      <c r="BD70" s="332"/>
      <c r="BE70" s="332"/>
      <c r="BF70" s="332"/>
      <c r="BG70" s="332"/>
      <c r="BH70" s="332"/>
      <c r="BI70" s="332"/>
      <c r="BJ70" s="332"/>
      <c r="BK70" s="332"/>
      <c r="BL70" s="332"/>
      <c r="BM70" s="332"/>
      <c r="BN70" s="332"/>
      <c r="BO70" s="332"/>
      <c r="BP70" s="332"/>
      <c r="BQ70" s="332"/>
      <c r="BR70" s="332"/>
      <c r="BS70" s="332"/>
      <c r="BT70" s="332"/>
      <c r="BU70" s="332"/>
      <c r="BV70" s="332"/>
      <c r="BW70" s="332"/>
      <c r="BX70" s="332"/>
      <c r="BY70" s="332"/>
      <c r="BZ70" s="332"/>
      <c r="CA70" s="332"/>
      <c r="CB70" s="332"/>
      <c r="CC70" s="332"/>
      <c r="CD70" s="332"/>
      <c r="CE70" s="332"/>
      <c r="CF70" s="332"/>
      <c r="CG70" s="332"/>
      <c r="CH70" s="332"/>
      <c r="CI70" s="332"/>
      <c r="CJ70" s="332"/>
      <c r="CK70" s="332"/>
      <c r="CL70" s="332"/>
      <c r="CM70" s="332"/>
      <c r="CN70" s="332"/>
      <c r="CO70" s="332"/>
      <c r="CP70" s="333" t="s">
        <v>27</v>
      </c>
      <c r="CQ70" s="333" t="s">
        <v>189</v>
      </c>
      <c r="CR70" s="334">
        <v>0</v>
      </c>
      <c r="CS70" s="334">
        <v>0</v>
      </c>
      <c r="CT70" s="334">
        <v>0</v>
      </c>
      <c r="CU70" s="334">
        <v>0</v>
      </c>
      <c r="CV70" s="334">
        <v>0</v>
      </c>
      <c r="CW70" s="334">
        <v>0</v>
      </c>
      <c r="CX70" s="334">
        <v>0</v>
      </c>
      <c r="CY70" s="334">
        <v>0</v>
      </c>
      <c r="CZ70" s="334">
        <v>0</v>
      </c>
      <c r="DA70" s="334">
        <v>0</v>
      </c>
      <c r="DB70" s="334">
        <v>0</v>
      </c>
      <c r="DC70" s="334">
        <v>0</v>
      </c>
      <c r="DD70" s="334">
        <v>0</v>
      </c>
      <c r="DE70" s="334">
        <v>0</v>
      </c>
      <c r="DF70" s="334">
        <v>0</v>
      </c>
      <c r="DG70" s="334">
        <v>0</v>
      </c>
      <c r="DH70" s="334">
        <v>0</v>
      </c>
      <c r="DI70" s="334">
        <v>0</v>
      </c>
      <c r="DJ70" s="334">
        <v>0</v>
      </c>
      <c r="DK70" s="334">
        <v>0</v>
      </c>
      <c r="DL70" s="334">
        <v>0</v>
      </c>
      <c r="DM70" s="334">
        <v>0</v>
      </c>
      <c r="DN70" s="334">
        <v>0</v>
      </c>
      <c r="DO70" s="334">
        <v>0</v>
      </c>
      <c r="DP70" s="334">
        <v>0</v>
      </c>
      <c r="DQ70" s="334">
        <v>0</v>
      </c>
      <c r="DR70" s="334">
        <v>0</v>
      </c>
      <c r="DS70" s="334">
        <v>0</v>
      </c>
      <c r="DT70" s="334">
        <v>0</v>
      </c>
      <c r="DU70" s="335">
        <v>0</v>
      </c>
      <c r="DV70" s="335">
        <v>0</v>
      </c>
      <c r="DW70" s="335">
        <v>0</v>
      </c>
      <c r="DX70" s="198" t="s">
        <v>2477</v>
      </c>
      <c r="DY70" s="198" t="s">
        <v>2477</v>
      </c>
      <c r="DZ70" s="198" t="s">
        <v>2477</v>
      </c>
      <c r="EA70" s="198" t="s">
        <v>2477</v>
      </c>
      <c r="EB70" s="198" t="s">
        <v>2477</v>
      </c>
      <c r="EC70" s="198" t="s">
        <v>2477</v>
      </c>
      <c r="ED70" s="198" t="s">
        <v>2477</v>
      </c>
      <c r="EE70" s="198" t="s">
        <v>2477</v>
      </c>
      <c r="EF70" s="198" t="s">
        <v>2477</v>
      </c>
      <c r="EG70" s="198" t="s">
        <v>2477</v>
      </c>
      <c r="EH70" s="198"/>
      <c r="EI70" s="336">
        <f t="shared" si="1"/>
        <v>0</v>
      </c>
      <c r="EJ70" s="336">
        <f>EI70-'[13]FAOSTAT21 CO2'!EH70</f>
        <v>-2.7016160599999997</v>
      </c>
    </row>
    <row r="71" spans="1:140" x14ac:dyDescent="0.25">
      <c r="A71" s="31">
        <v>24</v>
      </c>
      <c r="B71" s="31" t="s">
        <v>190</v>
      </c>
      <c r="C71" s="31">
        <v>68</v>
      </c>
      <c r="D71" s="31">
        <v>0</v>
      </c>
      <c r="E71" s="31">
        <v>0</v>
      </c>
      <c r="F71" s="31">
        <v>0</v>
      </c>
      <c r="G71" s="31">
        <v>0</v>
      </c>
      <c r="H71" s="331" t="s">
        <v>2475</v>
      </c>
      <c r="I71" s="331" t="s">
        <v>191</v>
      </c>
      <c r="J71" s="331"/>
      <c r="K71" s="331"/>
      <c r="L71" s="331"/>
      <c r="M71" s="331"/>
      <c r="N71" s="331"/>
      <c r="O71" s="331"/>
      <c r="P71" s="331"/>
      <c r="Q71" s="331"/>
      <c r="R71" s="331"/>
      <c r="S71" s="331"/>
      <c r="T71" s="331"/>
      <c r="U71" s="331"/>
      <c r="V71" s="331"/>
      <c r="W71" s="331"/>
      <c r="X71" s="331"/>
      <c r="Y71" s="331"/>
      <c r="Z71" s="331"/>
      <c r="AA71" s="331"/>
      <c r="AB71" s="331"/>
      <c r="AC71" s="331"/>
      <c r="AD71" s="331"/>
      <c r="AE71" s="331"/>
      <c r="AF71" s="331"/>
      <c r="AG71" s="331"/>
      <c r="AH71" s="331"/>
      <c r="AI71" s="331"/>
      <c r="AJ71" s="331"/>
      <c r="AK71" s="331"/>
      <c r="AL71" s="331"/>
      <c r="AM71" s="331"/>
      <c r="AN71" s="331"/>
      <c r="AO71" s="331"/>
      <c r="AP71" s="331"/>
      <c r="AQ71" s="331"/>
      <c r="AR71" s="331"/>
      <c r="AS71" s="331"/>
      <c r="AT71" s="331"/>
      <c r="AU71" s="331"/>
      <c r="AV71" s="331"/>
      <c r="AW71" s="331"/>
      <c r="AX71" s="331"/>
      <c r="AY71" s="332" t="s">
        <v>2476</v>
      </c>
      <c r="AZ71" s="332" t="s">
        <v>191</v>
      </c>
      <c r="BA71" s="332"/>
      <c r="BB71" s="332"/>
      <c r="BC71" s="332"/>
      <c r="BD71" s="332"/>
      <c r="BE71" s="332"/>
      <c r="BF71" s="332"/>
      <c r="BG71" s="332"/>
      <c r="BH71" s="332"/>
      <c r="BI71" s="332"/>
      <c r="BJ71" s="332"/>
      <c r="BK71" s="332"/>
      <c r="BL71" s="332"/>
      <c r="BM71" s="332"/>
      <c r="BN71" s="332"/>
      <c r="BO71" s="332"/>
      <c r="BP71" s="332"/>
      <c r="BQ71" s="332"/>
      <c r="BR71" s="332"/>
      <c r="BS71" s="332"/>
      <c r="BT71" s="332"/>
      <c r="BU71" s="332"/>
      <c r="BV71" s="332"/>
      <c r="BW71" s="332"/>
      <c r="BX71" s="332"/>
      <c r="BY71" s="332"/>
      <c r="BZ71" s="332"/>
      <c r="CA71" s="332"/>
      <c r="CB71" s="332"/>
      <c r="CC71" s="332"/>
      <c r="CD71" s="332"/>
      <c r="CE71" s="332"/>
      <c r="CF71" s="332"/>
      <c r="CG71" s="332"/>
      <c r="CH71" s="332"/>
      <c r="CI71" s="332"/>
      <c r="CJ71" s="332"/>
      <c r="CK71" s="332"/>
      <c r="CL71" s="332"/>
      <c r="CM71" s="332"/>
      <c r="CN71" s="332"/>
      <c r="CO71" s="332"/>
      <c r="CP71" s="333" t="s">
        <v>27</v>
      </c>
      <c r="CQ71" s="333" t="s">
        <v>191</v>
      </c>
      <c r="CR71" s="334">
        <v>0</v>
      </c>
      <c r="CS71" s="334">
        <v>0</v>
      </c>
      <c r="CT71" s="334">
        <v>0</v>
      </c>
      <c r="CU71" s="334">
        <v>0</v>
      </c>
      <c r="CV71" s="334">
        <v>0</v>
      </c>
      <c r="CW71" s="334">
        <v>0</v>
      </c>
      <c r="CX71" s="334">
        <v>0</v>
      </c>
      <c r="CY71" s="334">
        <v>0</v>
      </c>
      <c r="CZ71" s="334">
        <v>0</v>
      </c>
      <c r="DA71" s="334">
        <v>0</v>
      </c>
      <c r="DB71" s="334">
        <v>0</v>
      </c>
      <c r="DC71" s="334">
        <v>0</v>
      </c>
      <c r="DD71" s="334">
        <v>0</v>
      </c>
      <c r="DE71" s="334">
        <v>0</v>
      </c>
      <c r="DF71" s="334">
        <v>0</v>
      </c>
      <c r="DG71" s="334">
        <v>0</v>
      </c>
      <c r="DH71" s="334">
        <v>0</v>
      </c>
      <c r="DI71" s="334">
        <v>0</v>
      </c>
      <c r="DJ71" s="334">
        <v>0</v>
      </c>
      <c r="DK71" s="334">
        <v>0</v>
      </c>
      <c r="DL71" s="334">
        <v>0</v>
      </c>
      <c r="DM71" s="334">
        <v>0</v>
      </c>
      <c r="DN71" s="334">
        <v>0</v>
      </c>
      <c r="DO71" s="334">
        <v>0</v>
      </c>
      <c r="DP71" s="334">
        <v>0</v>
      </c>
      <c r="DQ71" s="334">
        <v>0</v>
      </c>
      <c r="DR71" s="334">
        <v>0</v>
      </c>
      <c r="DS71" s="334">
        <v>0</v>
      </c>
      <c r="DT71" s="334">
        <v>0</v>
      </c>
      <c r="DU71" s="335">
        <v>0</v>
      </c>
      <c r="DV71" s="335">
        <v>0</v>
      </c>
      <c r="DW71" s="335">
        <v>0</v>
      </c>
      <c r="DX71" s="198" t="s">
        <v>2477</v>
      </c>
      <c r="DY71" s="198" t="s">
        <v>2477</v>
      </c>
      <c r="DZ71" s="198" t="s">
        <v>2477</v>
      </c>
      <c r="EA71" s="198" t="s">
        <v>2477</v>
      </c>
      <c r="EB71" s="198" t="s">
        <v>2477</v>
      </c>
      <c r="EC71" s="198" t="s">
        <v>2477</v>
      </c>
      <c r="ED71" s="198" t="s">
        <v>2477</v>
      </c>
      <c r="EE71" s="198" t="s">
        <v>2477</v>
      </c>
      <c r="EF71" s="198" t="s">
        <v>2477</v>
      </c>
      <c r="EG71" s="198" t="s">
        <v>2477</v>
      </c>
      <c r="EH71" s="198"/>
      <c r="EI71" s="336">
        <f t="shared" si="1"/>
        <v>0</v>
      </c>
      <c r="EJ71" s="336">
        <f>EI71-'[13]FAOSTAT21 CO2'!EH71</f>
        <v>0</v>
      </c>
    </row>
    <row r="72" spans="1:140" x14ac:dyDescent="0.25">
      <c r="A72" s="31">
        <v>8</v>
      </c>
      <c r="B72" s="31" t="s">
        <v>192</v>
      </c>
      <c r="C72" s="31">
        <v>70</v>
      </c>
      <c r="D72" s="31">
        <v>0</v>
      </c>
      <c r="E72" s="31">
        <v>0</v>
      </c>
      <c r="F72" s="31">
        <v>0</v>
      </c>
      <c r="G72" s="31">
        <v>0</v>
      </c>
      <c r="H72" s="331" t="s">
        <v>2475</v>
      </c>
      <c r="I72" s="331" t="s">
        <v>193</v>
      </c>
      <c r="J72" s="331"/>
      <c r="K72" s="331"/>
      <c r="L72" s="331"/>
      <c r="M72" s="331"/>
      <c r="N72" s="331"/>
      <c r="O72" s="331"/>
      <c r="P72" s="331"/>
      <c r="Q72" s="331"/>
      <c r="R72" s="331"/>
      <c r="S72" s="331"/>
      <c r="T72" s="331"/>
      <c r="U72" s="331"/>
      <c r="V72" s="331"/>
      <c r="W72" s="331"/>
      <c r="X72" s="331"/>
      <c r="Y72" s="331"/>
      <c r="Z72" s="331"/>
      <c r="AA72" s="331"/>
      <c r="AB72" s="331"/>
      <c r="AC72" s="331"/>
      <c r="AD72" s="331"/>
      <c r="AE72" s="331"/>
      <c r="AF72" s="331"/>
      <c r="AG72" s="331"/>
      <c r="AH72" s="331"/>
      <c r="AI72" s="331"/>
      <c r="AJ72" s="331"/>
      <c r="AK72" s="331"/>
      <c r="AL72" s="331"/>
      <c r="AM72" s="331"/>
      <c r="AN72" s="331"/>
      <c r="AO72" s="331"/>
      <c r="AP72" s="331"/>
      <c r="AQ72" s="331"/>
      <c r="AR72" s="331"/>
      <c r="AS72" s="331"/>
      <c r="AT72" s="331"/>
      <c r="AU72" s="331"/>
      <c r="AV72" s="331"/>
      <c r="AW72" s="331"/>
      <c r="AX72" s="331"/>
      <c r="AY72" s="332" t="s">
        <v>2476</v>
      </c>
      <c r="AZ72" s="332" t="s">
        <v>193</v>
      </c>
      <c r="BA72" s="332"/>
      <c r="BB72" s="332"/>
      <c r="BC72" s="332"/>
      <c r="BD72" s="332"/>
      <c r="BE72" s="332"/>
      <c r="BF72" s="332"/>
      <c r="BG72" s="332"/>
      <c r="BH72" s="332"/>
      <c r="BI72" s="332"/>
      <c r="BJ72" s="332"/>
      <c r="BK72" s="332"/>
      <c r="BL72" s="332"/>
      <c r="BM72" s="332"/>
      <c r="BN72" s="332"/>
      <c r="BO72" s="332"/>
      <c r="BP72" s="332"/>
      <c r="BQ72" s="332"/>
      <c r="BR72" s="332"/>
      <c r="BS72" s="332"/>
      <c r="BT72" s="332"/>
      <c r="BU72" s="332"/>
      <c r="BV72" s="332"/>
      <c r="BW72" s="332"/>
      <c r="BX72" s="332"/>
      <c r="BY72" s="332"/>
      <c r="BZ72" s="332"/>
      <c r="CA72" s="332"/>
      <c r="CB72" s="332"/>
      <c r="CC72" s="332"/>
      <c r="CD72" s="332"/>
      <c r="CE72" s="332"/>
      <c r="CF72" s="332"/>
      <c r="CG72" s="332"/>
      <c r="CH72" s="332"/>
      <c r="CI72" s="332"/>
      <c r="CJ72" s="332"/>
      <c r="CK72" s="332"/>
      <c r="CL72" s="332"/>
      <c r="CM72" s="332"/>
      <c r="CN72" s="332"/>
      <c r="CO72" s="332"/>
      <c r="CP72" s="333" t="s">
        <v>27</v>
      </c>
      <c r="CQ72" s="333" t="s">
        <v>193</v>
      </c>
      <c r="CR72" s="334">
        <v>-108.328</v>
      </c>
      <c r="CS72" s="334">
        <v>-111.526</v>
      </c>
      <c r="CT72" s="334">
        <v>-109.70099999999999</v>
      </c>
      <c r="CU72" s="334">
        <v>-105.393</v>
      </c>
      <c r="CV72" s="334">
        <v>-103.035</v>
      </c>
      <c r="CW72" s="334">
        <v>-101.081</v>
      </c>
      <c r="CX72" s="334">
        <v>-102.745</v>
      </c>
      <c r="CY72" s="334">
        <v>-98.707999999999998</v>
      </c>
      <c r="CZ72" s="334">
        <v>-105.468</v>
      </c>
      <c r="DA72" s="334">
        <v>-103.676</v>
      </c>
      <c r="DB72" s="334">
        <v>-91.974000000000004</v>
      </c>
      <c r="DC72" s="334">
        <v>-97.804000000000002</v>
      </c>
      <c r="DD72" s="334">
        <v>-106.38</v>
      </c>
      <c r="DE72" s="334">
        <v>-104.697</v>
      </c>
      <c r="DF72" s="334">
        <v>-110.17100000000001</v>
      </c>
      <c r="DG72" s="334">
        <v>-105.236</v>
      </c>
      <c r="DH72" s="334">
        <v>-105.289</v>
      </c>
      <c r="DI72" s="334">
        <v>-104.33799999999999</v>
      </c>
      <c r="DJ72" s="334">
        <v>-107.761</v>
      </c>
      <c r="DK72" s="334">
        <v>-113.604</v>
      </c>
      <c r="DL72" s="334">
        <v>-121.383</v>
      </c>
      <c r="DM72" s="334">
        <v>-116.97499999999999</v>
      </c>
      <c r="DN72" s="334">
        <v>-117.66800000000001</v>
      </c>
      <c r="DO72" s="334">
        <v>-114.714</v>
      </c>
      <c r="DP72" s="334">
        <v>-113.788</v>
      </c>
      <c r="DQ72" s="334">
        <v>-114.633</v>
      </c>
      <c r="DR72" s="334">
        <v>-112.80800000000001</v>
      </c>
      <c r="DS72" s="334">
        <v>-108.8</v>
      </c>
      <c r="DT72" s="334">
        <v>-106.41500000000001</v>
      </c>
      <c r="DU72" s="335">
        <v>-113.49420935960597</v>
      </c>
      <c r="DV72" s="335">
        <v>-113.87865320197045</v>
      </c>
      <c r="DW72" s="335">
        <v>-114.26309704433504</v>
      </c>
      <c r="DX72" s="198">
        <v>-113.87865320197045</v>
      </c>
      <c r="DY72" s="198">
        <v>-122.1</v>
      </c>
      <c r="DZ72" s="198">
        <v>-122.1</v>
      </c>
      <c r="EA72" s="198">
        <v>-7.8369029556649537</v>
      </c>
      <c r="EB72" s="198">
        <v>-113.87865320197045</v>
      </c>
      <c r="EC72" s="198">
        <v>-113.87865320197045</v>
      </c>
      <c r="ED72" s="198">
        <v>-113.87865320197045</v>
      </c>
      <c r="EE72" s="198">
        <v>-113.87865320197045</v>
      </c>
      <c r="EF72" s="198">
        <v>0.38444384236458973</v>
      </c>
      <c r="EG72" s="198">
        <v>8.2213467980295434</v>
      </c>
      <c r="EH72" s="198">
        <v>-132.15238853719168</v>
      </c>
      <c r="EI72" s="336">
        <f t="shared" si="1"/>
        <v>-111.23004187192119</v>
      </c>
      <c r="EJ72" s="336">
        <f>EI72-'[13]FAOSTAT21 CO2'!EH72</f>
        <v>-117.68677729192119</v>
      </c>
    </row>
    <row r="73" spans="1:140" x14ac:dyDescent="0.25">
      <c r="A73" s="31">
        <v>8</v>
      </c>
      <c r="B73" s="31" t="s">
        <v>194</v>
      </c>
      <c r="C73" s="31">
        <v>72</v>
      </c>
      <c r="D73" s="31">
        <v>0</v>
      </c>
      <c r="E73" s="31">
        <v>0</v>
      </c>
      <c r="F73" s="31">
        <v>0</v>
      </c>
      <c r="G73" s="31">
        <v>0</v>
      </c>
      <c r="H73" s="331" t="s">
        <v>2475</v>
      </c>
      <c r="I73" s="331" t="s">
        <v>195</v>
      </c>
      <c r="J73" s="331"/>
      <c r="K73" s="331"/>
      <c r="L73" s="331"/>
      <c r="M73" s="331"/>
      <c r="N73" s="331"/>
      <c r="O73" s="331"/>
      <c r="P73" s="331"/>
      <c r="Q73" s="331"/>
      <c r="R73" s="331"/>
      <c r="S73" s="331"/>
      <c r="T73" s="331"/>
      <c r="U73" s="331"/>
      <c r="V73" s="331"/>
      <c r="W73" s="331"/>
      <c r="X73" s="331"/>
      <c r="Y73" s="331"/>
      <c r="Z73" s="331"/>
      <c r="AA73" s="331"/>
      <c r="AB73" s="331"/>
      <c r="AC73" s="331"/>
      <c r="AD73" s="331"/>
      <c r="AE73" s="331"/>
      <c r="AF73" s="331"/>
      <c r="AG73" s="331"/>
      <c r="AH73" s="331"/>
      <c r="AI73" s="331"/>
      <c r="AJ73" s="331"/>
      <c r="AK73" s="331"/>
      <c r="AL73" s="331"/>
      <c r="AM73" s="331"/>
      <c r="AN73" s="331"/>
      <c r="AO73" s="331"/>
      <c r="AP73" s="331"/>
      <c r="AQ73" s="331"/>
      <c r="AR73" s="331"/>
      <c r="AS73" s="331"/>
      <c r="AT73" s="331"/>
      <c r="AU73" s="331"/>
      <c r="AV73" s="331"/>
      <c r="AW73" s="331"/>
      <c r="AX73" s="331"/>
      <c r="AY73" s="332" t="s">
        <v>2476</v>
      </c>
      <c r="AZ73" s="332" t="s">
        <v>195</v>
      </c>
      <c r="BA73" s="332"/>
      <c r="BB73" s="332"/>
      <c r="BC73" s="332"/>
      <c r="BD73" s="332"/>
      <c r="BE73" s="332"/>
      <c r="BF73" s="332"/>
      <c r="BG73" s="332"/>
      <c r="BH73" s="332"/>
      <c r="BI73" s="332"/>
      <c r="BJ73" s="332"/>
      <c r="BK73" s="332"/>
      <c r="BL73" s="332"/>
      <c r="BM73" s="332"/>
      <c r="BN73" s="332"/>
      <c r="BO73" s="332"/>
      <c r="BP73" s="332"/>
      <c r="BQ73" s="332"/>
      <c r="BR73" s="332"/>
      <c r="BS73" s="332"/>
      <c r="BT73" s="332"/>
      <c r="BU73" s="332"/>
      <c r="BV73" s="332"/>
      <c r="BW73" s="332"/>
      <c r="BX73" s="332"/>
      <c r="BY73" s="332"/>
      <c r="BZ73" s="332"/>
      <c r="CA73" s="332"/>
      <c r="CB73" s="332"/>
      <c r="CC73" s="332"/>
      <c r="CD73" s="332"/>
      <c r="CE73" s="332"/>
      <c r="CF73" s="332"/>
      <c r="CG73" s="332"/>
      <c r="CH73" s="332"/>
      <c r="CI73" s="332"/>
      <c r="CJ73" s="332"/>
      <c r="CK73" s="332"/>
      <c r="CL73" s="332"/>
      <c r="CM73" s="332"/>
      <c r="CN73" s="332"/>
      <c r="CO73" s="332"/>
      <c r="CP73" s="333" t="s">
        <v>27</v>
      </c>
      <c r="CQ73" s="333" t="s">
        <v>195</v>
      </c>
      <c r="CR73" s="334">
        <v>0.31</v>
      </c>
      <c r="CS73" s="334">
        <v>0.31</v>
      </c>
      <c r="CT73" s="334">
        <v>0.31</v>
      </c>
      <c r="CU73" s="334">
        <v>0.31</v>
      </c>
      <c r="CV73" s="334">
        <v>0.31</v>
      </c>
      <c r="CW73" s="334">
        <v>0.31</v>
      </c>
      <c r="CX73" s="334">
        <v>0.31</v>
      </c>
      <c r="CY73" s="334">
        <v>0.31</v>
      </c>
      <c r="CZ73" s="334">
        <v>0.31</v>
      </c>
      <c r="DA73" s="334">
        <v>0.31</v>
      </c>
      <c r="DB73" s="334">
        <v>0.39</v>
      </c>
      <c r="DC73" s="334">
        <v>0.41385</v>
      </c>
      <c r="DD73" s="334">
        <v>0.43769999999999998</v>
      </c>
      <c r="DE73" s="334">
        <v>0.46154999999999996</v>
      </c>
      <c r="DF73" s="334">
        <v>0.48539999999999994</v>
      </c>
      <c r="DG73" s="334">
        <v>0.50924999999999998</v>
      </c>
      <c r="DH73" s="334">
        <v>0.53310000000000002</v>
      </c>
      <c r="DI73" s="334">
        <v>0.55695000000000006</v>
      </c>
      <c r="DJ73" s="334">
        <v>0.58080000000000009</v>
      </c>
      <c r="DK73" s="334">
        <v>0.60465000000000013</v>
      </c>
      <c r="DL73" s="334">
        <v>0.62849999999999995</v>
      </c>
      <c r="DM73" s="334">
        <v>0.60840119047618657</v>
      </c>
      <c r="DN73" s="334">
        <v>0.6260404761904752</v>
      </c>
      <c r="DO73" s="334">
        <v>0.64367976190476384</v>
      </c>
      <c r="DP73" s="334">
        <v>0.66131904761904536</v>
      </c>
      <c r="DQ73" s="334">
        <v>0.678958333333334</v>
      </c>
      <c r="DR73" s="334">
        <v>0.69659761904762263</v>
      </c>
      <c r="DS73" s="334">
        <v>0.71423690476191126</v>
      </c>
      <c r="DT73" s="334">
        <v>0.73187619047619279</v>
      </c>
      <c r="DU73" s="335">
        <v>0.74951547619047432</v>
      </c>
      <c r="DV73" s="335">
        <v>0.76715476190476295</v>
      </c>
      <c r="DW73" s="335">
        <v>0.78479404761905158</v>
      </c>
      <c r="DX73" s="198">
        <v>0.76715476190476295</v>
      </c>
      <c r="DY73" s="198">
        <v>0.76715476190476295</v>
      </c>
      <c r="DZ73" s="198">
        <v>0.76715476190476295</v>
      </c>
      <c r="EA73" s="198">
        <v>-1.7639285714288633E-2</v>
      </c>
      <c r="EB73" s="198">
        <v>0.57799999999999996</v>
      </c>
      <c r="EC73" s="198">
        <v>0.76715476190476295</v>
      </c>
      <c r="ED73" s="198">
        <v>0.57799999999999996</v>
      </c>
      <c r="EE73" s="198">
        <v>0.76715476190476295</v>
      </c>
      <c r="EF73" s="198">
        <v>-1.7639285714288633E-2</v>
      </c>
      <c r="EG73" s="198">
        <v>0</v>
      </c>
      <c r="EH73" s="198">
        <v>0.53877539534027064</v>
      </c>
      <c r="EI73" s="336">
        <f t="shared" si="1"/>
        <v>0.71423690476190704</v>
      </c>
      <c r="EJ73" s="336">
        <f>EI73-'[13]FAOSTAT21 CO2'!EH73</f>
        <v>0.18655460476190699</v>
      </c>
    </row>
    <row r="74" spans="1:140" x14ac:dyDescent="0.25">
      <c r="A74" s="31">
        <v>16</v>
      </c>
      <c r="B74" s="31" t="s">
        <v>196</v>
      </c>
      <c r="C74" s="31">
        <v>71</v>
      </c>
      <c r="D74" s="31">
        <v>0</v>
      </c>
      <c r="E74" s="31">
        <v>0</v>
      </c>
      <c r="F74" s="31">
        <v>0</v>
      </c>
      <c r="G74" s="31">
        <v>0</v>
      </c>
      <c r="H74" s="331" t="s">
        <v>2475</v>
      </c>
      <c r="I74" s="331" t="s">
        <v>197</v>
      </c>
      <c r="J74" s="331"/>
      <c r="K74" s="331"/>
      <c r="L74" s="331"/>
      <c r="M74" s="331"/>
      <c r="N74" s="331"/>
      <c r="O74" s="331"/>
      <c r="P74" s="331"/>
      <c r="Q74" s="331"/>
      <c r="R74" s="331"/>
      <c r="S74" s="331"/>
      <c r="T74" s="331"/>
      <c r="U74" s="331"/>
      <c r="V74" s="331"/>
      <c r="W74" s="331"/>
      <c r="X74" s="331"/>
      <c r="Y74" s="331"/>
      <c r="Z74" s="331"/>
      <c r="AA74" s="331"/>
      <c r="AB74" s="331"/>
      <c r="AC74" s="331"/>
      <c r="AD74" s="331"/>
      <c r="AE74" s="331"/>
      <c r="AF74" s="331"/>
      <c r="AG74" s="331"/>
      <c r="AH74" s="331"/>
      <c r="AI74" s="331"/>
      <c r="AJ74" s="331"/>
      <c r="AK74" s="331"/>
      <c r="AL74" s="331"/>
      <c r="AM74" s="331"/>
      <c r="AN74" s="331"/>
      <c r="AO74" s="331"/>
      <c r="AP74" s="331"/>
      <c r="AQ74" s="331"/>
      <c r="AR74" s="331"/>
      <c r="AS74" s="331"/>
      <c r="AT74" s="331"/>
      <c r="AU74" s="331"/>
      <c r="AV74" s="331"/>
      <c r="AW74" s="331"/>
      <c r="AX74" s="331"/>
      <c r="AY74" s="332" t="s">
        <v>2476</v>
      </c>
      <c r="AZ74" s="332" t="s">
        <v>197</v>
      </c>
      <c r="BA74" s="332"/>
      <c r="BB74" s="332"/>
      <c r="BC74" s="332"/>
      <c r="BD74" s="332"/>
      <c r="BE74" s="332"/>
      <c r="BF74" s="332"/>
      <c r="BG74" s="332"/>
      <c r="BH74" s="332"/>
      <c r="BI74" s="332"/>
      <c r="BJ74" s="332"/>
      <c r="BK74" s="332"/>
      <c r="BL74" s="332"/>
      <c r="BM74" s="332"/>
      <c r="BN74" s="332"/>
      <c r="BO74" s="332"/>
      <c r="BP74" s="332"/>
      <c r="BQ74" s="332"/>
      <c r="BR74" s="332"/>
      <c r="BS74" s="332"/>
      <c r="BT74" s="332"/>
      <c r="BU74" s="332"/>
      <c r="BV74" s="332"/>
      <c r="BW74" s="332"/>
      <c r="BX74" s="332"/>
      <c r="BY74" s="332"/>
      <c r="BZ74" s="332"/>
      <c r="CA74" s="332"/>
      <c r="CB74" s="332"/>
      <c r="CC74" s="332"/>
      <c r="CD74" s="332"/>
      <c r="CE74" s="332"/>
      <c r="CF74" s="332"/>
      <c r="CG74" s="332"/>
      <c r="CH74" s="332"/>
      <c r="CI74" s="332"/>
      <c r="CJ74" s="332"/>
      <c r="CK74" s="332"/>
      <c r="CL74" s="332"/>
      <c r="CM74" s="332"/>
      <c r="CN74" s="332"/>
      <c r="CO74" s="332"/>
      <c r="CP74" s="333" t="s">
        <v>27</v>
      </c>
      <c r="CQ74" s="333" t="s">
        <v>197</v>
      </c>
      <c r="CR74" s="334">
        <v>-6.3529999999999998</v>
      </c>
      <c r="CS74" s="334">
        <v>-6.4160000000000004</v>
      </c>
      <c r="CT74" s="334">
        <v>-6.3120000000000003</v>
      </c>
      <c r="CU74" s="334">
        <v>-6.548</v>
      </c>
      <c r="CV74" s="334">
        <v>-6.625</v>
      </c>
      <c r="CW74" s="334">
        <v>-6.2729999999999997</v>
      </c>
      <c r="CX74" s="334">
        <v>-6.0220000000000002</v>
      </c>
      <c r="CY74" s="334">
        <v>-5.9649999999999999</v>
      </c>
      <c r="CZ74" s="334">
        <v>-5.5209999999999999</v>
      </c>
      <c r="DA74" s="334">
        <v>-5.3239999999999998</v>
      </c>
      <c r="DB74" s="334">
        <v>-5.0309999999999997</v>
      </c>
      <c r="DC74" s="334">
        <v>-4.8890000000000002</v>
      </c>
      <c r="DD74" s="334">
        <v>-4.7779999999999996</v>
      </c>
      <c r="DE74" s="334">
        <v>-4.407</v>
      </c>
      <c r="DF74" s="334">
        <v>-4.1449999999999996</v>
      </c>
      <c r="DG74" s="334">
        <v>-4.1630000000000003</v>
      </c>
      <c r="DH74" s="334">
        <v>-4.2569999999999997</v>
      </c>
      <c r="DI74" s="334">
        <v>-4.3620000000000001</v>
      </c>
      <c r="DJ74" s="334">
        <v>-4.3570000000000002</v>
      </c>
      <c r="DK74" s="334">
        <v>-4.7270000000000003</v>
      </c>
      <c r="DL74" s="334">
        <v>-4.5369999999999999</v>
      </c>
      <c r="DM74" s="334">
        <v>-4.8639999999999999</v>
      </c>
      <c r="DN74" s="334">
        <v>-4.75</v>
      </c>
      <c r="DO74" s="334">
        <v>-4.8339999999999996</v>
      </c>
      <c r="DP74" s="334">
        <v>-4.609</v>
      </c>
      <c r="DQ74" s="334">
        <v>-4.617</v>
      </c>
      <c r="DR74" s="334">
        <v>-4.7969999999999997</v>
      </c>
      <c r="DS74" s="334">
        <v>-4.9240000000000004</v>
      </c>
      <c r="DT74" s="334">
        <v>-4.0383333333333553</v>
      </c>
      <c r="DU74" s="335">
        <v>-3.9611568144499358</v>
      </c>
      <c r="DV74" s="335">
        <v>-3.8839802955665164</v>
      </c>
      <c r="DW74" s="335">
        <v>-3.8068037766830969</v>
      </c>
      <c r="DX74" s="198">
        <v>-3.8839802955665164</v>
      </c>
      <c r="DY74" s="198">
        <v>-3.8839802955665164</v>
      </c>
      <c r="DZ74" s="198">
        <v>-3.8839802955665164</v>
      </c>
      <c r="EA74" s="198">
        <v>-7.7176518883419476E-2</v>
      </c>
      <c r="EB74" s="198">
        <v>-8.1329999999999991</v>
      </c>
      <c r="EC74" s="198">
        <v>-10.74</v>
      </c>
      <c r="ED74" s="198">
        <v>-8.1329999999999991</v>
      </c>
      <c r="EE74" s="198">
        <v>-10.74</v>
      </c>
      <c r="EF74" s="198">
        <v>-6.9331962233169033</v>
      </c>
      <c r="EG74" s="198">
        <v>-6.8560197044334839</v>
      </c>
      <c r="EH74" s="198">
        <v>-5.1738858413297839</v>
      </c>
      <c r="EI74" s="336">
        <f t="shared" si="1"/>
        <v>-4.4674980295566584</v>
      </c>
      <c r="EJ74" s="336">
        <f>EI74-'[13]FAOSTAT21 CO2'!EH74</f>
        <v>-4.4674980295566584</v>
      </c>
    </row>
    <row r="75" spans="1:140" x14ac:dyDescent="0.25">
      <c r="A75" s="31">
        <v>11</v>
      </c>
      <c r="B75" s="31" t="s">
        <v>198</v>
      </c>
      <c r="C75" s="31">
        <v>73</v>
      </c>
      <c r="D75" s="31">
        <v>1</v>
      </c>
      <c r="E75" s="31">
        <v>0</v>
      </c>
      <c r="F75" s="31">
        <v>1</v>
      </c>
      <c r="G75" s="31">
        <v>0</v>
      </c>
      <c r="H75" s="331" t="s">
        <v>2475</v>
      </c>
      <c r="I75" s="331" t="s">
        <v>199</v>
      </c>
      <c r="J75" s="331"/>
      <c r="K75" s="331"/>
      <c r="L75" s="331"/>
      <c r="M75" s="331"/>
      <c r="N75" s="331"/>
      <c r="O75" s="331"/>
      <c r="P75" s="331"/>
      <c r="Q75" s="331"/>
      <c r="R75" s="331"/>
      <c r="S75" s="331"/>
      <c r="T75" s="331"/>
      <c r="U75" s="331"/>
      <c r="V75" s="331"/>
      <c r="W75" s="331"/>
      <c r="X75" s="331"/>
      <c r="Y75" s="331"/>
      <c r="Z75" s="331"/>
      <c r="AA75" s="331"/>
      <c r="AB75" s="331"/>
      <c r="AC75" s="331"/>
      <c r="AD75" s="331"/>
      <c r="AE75" s="331"/>
      <c r="AF75" s="331"/>
      <c r="AG75" s="331"/>
      <c r="AH75" s="331"/>
      <c r="AI75" s="331"/>
      <c r="AJ75" s="331"/>
      <c r="AK75" s="331"/>
      <c r="AL75" s="331"/>
      <c r="AM75" s="331"/>
      <c r="AN75" s="331"/>
      <c r="AO75" s="331"/>
      <c r="AP75" s="331"/>
      <c r="AQ75" s="331"/>
      <c r="AR75" s="331"/>
      <c r="AS75" s="331"/>
      <c r="AT75" s="331"/>
      <c r="AU75" s="331"/>
      <c r="AV75" s="331"/>
      <c r="AW75" s="331"/>
      <c r="AX75" s="331"/>
      <c r="AY75" s="332" t="s">
        <v>2476</v>
      </c>
      <c r="AZ75" s="332" t="s">
        <v>199</v>
      </c>
      <c r="BA75" s="332"/>
      <c r="BB75" s="332"/>
      <c r="BC75" s="332"/>
      <c r="BD75" s="332"/>
      <c r="BE75" s="332"/>
      <c r="BF75" s="332"/>
      <c r="BG75" s="332"/>
      <c r="BH75" s="332"/>
      <c r="BI75" s="332"/>
      <c r="BJ75" s="332"/>
      <c r="BK75" s="332"/>
      <c r="BL75" s="332"/>
      <c r="BM75" s="332"/>
      <c r="BN75" s="332"/>
      <c r="BO75" s="332"/>
      <c r="BP75" s="332"/>
      <c r="BQ75" s="332"/>
      <c r="BR75" s="332"/>
      <c r="BS75" s="332"/>
      <c r="BT75" s="332"/>
      <c r="BU75" s="332"/>
      <c r="BV75" s="332"/>
      <c r="BW75" s="332"/>
      <c r="BX75" s="332"/>
      <c r="BY75" s="332"/>
      <c r="BZ75" s="332"/>
      <c r="CA75" s="332"/>
      <c r="CB75" s="332"/>
      <c r="CC75" s="332"/>
      <c r="CD75" s="332"/>
      <c r="CE75" s="332"/>
      <c r="CF75" s="332"/>
      <c r="CG75" s="332"/>
      <c r="CH75" s="332"/>
      <c r="CI75" s="332"/>
      <c r="CJ75" s="332"/>
      <c r="CK75" s="332"/>
      <c r="CL75" s="332"/>
      <c r="CM75" s="332"/>
      <c r="CN75" s="332"/>
      <c r="CO75" s="332"/>
      <c r="CP75" s="333" t="s">
        <v>27</v>
      </c>
      <c r="CQ75" s="333" t="s">
        <v>199</v>
      </c>
      <c r="CR75" s="334">
        <v>35.904258721594907</v>
      </c>
      <c r="CS75" s="334">
        <v>-25.026602177323582</v>
      </c>
      <c r="CT75" s="334">
        <v>-33.446803196451086</v>
      </c>
      <c r="CU75" s="334">
        <v>-34.408835763957754</v>
      </c>
      <c r="CV75" s="334">
        <v>-29.38565519598648</v>
      </c>
      <c r="CW75" s="334">
        <v>-23.188062733428879</v>
      </c>
      <c r="CX75" s="334">
        <v>-16.787136709404969</v>
      </c>
      <c r="CY75" s="334">
        <v>-16.037948899883542</v>
      </c>
      <c r="CZ75" s="334">
        <v>-16.168721632228909</v>
      </c>
      <c r="DA75" s="334">
        <v>-20.132877407951248</v>
      </c>
      <c r="DB75" s="334">
        <v>-0.21935881882398189</v>
      </c>
      <c r="DC75" s="334">
        <v>-9.7526498747306825</v>
      </c>
      <c r="DD75" s="334">
        <v>22.366210298704516</v>
      </c>
      <c r="DE75" s="334">
        <v>17.229880532638877</v>
      </c>
      <c r="DF75" s="334">
        <v>11.957312794610116</v>
      </c>
      <c r="DG75" s="334">
        <v>7.7178343880331104</v>
      </c>
      <c r="DH75" s="334">
        <v>0.77691704690223018</v>
      </c>
      <c r="DI75" s="334">
        <v>3.8631542156542911</v>
      </c>
      <c r="DJ75" s="334">
        <v>-1.5398323814648001</v>
      </c>
      <c r="DK75" s="334">
        <v>-10.266135921106066</v>
      </c>
      <c r="DL75" s="334">
        <v>-2.7747074968956067</v>
      </c>
      <c r="DM75" s="334">
        <v>-8.9271555688915178</v>
      </c>
      <c r="DN75" s="334">
        <v>-17.585078843026224</v>
      </c>
      <c r="DO75" s="334">
        <v>-16.329760460906069</v>
      </c>
      <c r="DP75" s="334">
        <v>-9.1203146191753408</v>
      </c>
      <c r="DQ75" s="334">
        <v>-11.294211308085384</v>
      </c>
      <c r="DR75" s="334">
        <v>-13.843831070407306</v>
      </c>
      <c r="DS75" s="334">
        <v>-10.821938370903737</v>
      </c>
      <c r="DT75" s="334">
        <v>-7.7742175264723192</v>
      </c>
      <c r="DU75" s="335">
        <v>-6.9376932367232094</v>
      </c>
      <c r="DV75" s="335">
        <v>4.0784091715736981</v>
      </c>
      <c r="DW75" s="335">
        <v>3.8768468114459647</v>
      </c>
      <c r="DX75" s="198">
        <v>4.0784091715736981</v>
      </c>
      <c r="DY75" s="198">
        <v>4.0784091715736981</v>
      </c>
      <c r="DZ75" s="198">
        <v>4.0784091715736981</v>
      </c>
      <c r="EA75" s="198">
        <v>0.20156236012773343</v>
      </c>
      <c r="EB75" s="198">
        <v>4.0784091715736981</v>
      </c>
      <c r="EC75" s="198">
        <v>4.0784091715736981</v>
      </c>
      <c r="ED75" s="198">
        <v>4.0784091715736981</v>
      </c>
      <c r="EE75" s="198">
        <v>4.0784091715736981</v>
      </c>
      <c r="EF75" s="198">
        <v>0.20156236012773343</v>
      </c>
      <c r="EG75" s="198">
        <v>0</v>
      </c>
      <c r="EH75" s="198">
        <v>1.0982136497289714</v>
      </c>
      <c r="EI75" s="336">
        <f t="shared" si="1"/>
        <v>-10.134378302518391</v>
      </c>
      <c r="EJ75" s="336">
        <f>EI75-'[13]FAOSTAT21 CO2'!EH75</f>
        <v>19.29329723748161</v>
      </c>
    </row>
    <row r="76" spans="1:140" x14ac:dyDescent="0.25">
      <c r="A76" s="31">
        <v>8</v>
      </c>
      <c r="B76" s="31" t="s">
        <v>200</v>
      </c>
      <c r="C76" s="31">
        <v>74</v>
      </c>
      <c r="D76" s="31">
        <v>0</v>
      </c>
      <c r="E76" s="31">
        <v>0</v>
      </c>
      <c r="F76" s="31">
        <v>0</v>
      </c>
      <c r="G76" s="31">
        <v>0</v>
      </c>
      <c r="H76" s="331" t="s">
        <v>2475</v>
      </c>
      <c r="I76" s="331" t="s">
        <v>201</v>
      </c>
      <c r="J76" s="331"/>
      <c r="K76" s="331"/>
      <c r="L76" s="331"/>
      <c r="M76" s="331"/>
      <c r="N76" s="331"/>
      <c r="O76" s="331"/>
      <c r="P76" s="331"/>
      <c r="Q76" s="331"/>
      <c r="R76" s="331"/>
      <c r="S76" s="331"/>
      <c r="T76" s="331"/>
      <c r="U76" s="331"/>
      <c r="V76" s="331"/>
      <c r="W76" s="331"/>
      <c r="X76" s="331"/>
      <c r="Y76" s="331"/>
      <c r="Z76" s="331"/>
      <c r="AA76" s="331"/>
      <c r="AB76" s="331"/>
      <c r="AC76" s="331"/>
      <c r="AD76" s="331"/>
      <c r="AE76" s="331"/>
      <c r="AF76" s="331"/>
      <c r="AG76" s="331"/>
      <c r="AH76" s="331"/>
      <c r="AI76" s="331"/>
      <c r="AJ76" s="331"/>
      <c r="AK76" s="331"/>
      <c r="AL76" s="331"/>
      <c r="AM76" s="331"/>
      <c r="AN76" s="331"/>
      <c r="AO76" s="331"/>
      <c r="AP76" s="331"/>
      <c r="AQ76" s="331"/>
      <c r="AR76" s="331"/>
      <c r="AS76" s="331"/>
      <c r="AT76" s="331"/>
      <c r="AU76" s="331"/>
      <c r="AV76" s="331"/>
      <c r="AW76" s="331"/>
      <c r="AX76" s="331"/>
      <c r="AY76" s="332" t="s">
        <v>2476</v>
      </c>
      <c r="AZ76" s="332" t="s">
        <v>201</v>
      </c>
      <c r="BA76" s="332"/>
      <c r="BB76" s="332"/>
      <c r="BC76" s="332"/>
      <c r="BD76" s="332"/>
      <c r="BE76" s="332"/>
      <c r="BF76" s="332"/>
      <c r="BG76" s="332"/>
      <c r="BH76" s="332"/>
      <c r="BI76" s="332"/>
      <c r="BJ76" s="332"/>
      <c r="BK76" s="332"/>
      <c r="BL76" s="332"/>
      <c r="BM76" s="332"/>
      <c r="BN76" s="332"/>
      <c r="BO76" s="332"/>
      <c r="BP76" s="332"/>
      <c r="BQ76" s="332"/>
      <c r="BR76" s="332"/>
      <c r="BS76" s="332"/>
      <c r="BT76" s="332"/>
      <c r="BU76" s="332"/>
      <c r="BV76" s="332"/>
      <c r="BW76" s="332"/>
      <c r="BX76" s="332"/>
      <c r="BY76" s="332"/>
      <c r="BZ76" s="332"/>
      <c r="CA76" s="332"/>
      <c r="CB76" s="332"/>
      <c r="CC76" s="332"/>
      <c r="CD76" s="332"/>
      <c r="CE76" s="332"/>
      <c r="CF76" s="332"/>
      <c r="CG76" s="332"/>
      <c r="CH76" s="332"/>
      <c r="CI76" s="332"/>
      <c r="CJ76" s="332"/>
      <c r="CK76" s="332"/>
      <c r="CL76" s="332"/>
      <c r="CM76" s="332"/>
      <c r="CN76" s="332"/>
      <c r="CO76" s="332"/>
      <c r="CP76" s="333" t="s">
        <v>27</v>
      </c>
      <c r="CQ76" s="333" t="s">
        <v>201</v>
      </c>
      <c r="CR76" s="334">
        <v>14.3</v>
      </c>
      <c r="CS76" s="334">
        <v>14.21</v>
      </c>
      <c r="CT76" s="334">
        <v>14.120000000000001</v>
      </c>
      <c r="CU76" s="334">
        <v>14.030000000000001</v>
      </c>
      <c r="CV76" s="334">
        <v>13.940000000000001</v>
      </c>
      <c r="CW76" s="334">
        <v>13.850000000000001</v>
      </c>
      <c r="CX76" s="334">
        <v>13.760000000000002</v>
      </c>
      <c r="CY76" s="334">
        <v>13.670000000000002</v>
      </c>
      <c r="CZ76" s="334">
        <v>13.580000000000002</v>
      </c>
      <c r="DA76" s="334">
        <v>13.490000000000002</v>
      </c>
      <c r="DB76" s="334">
        <v>13.399999999999999</v>
      </c>
      <c r="DC76" s="334">
        <v>13.408333333333331</v>
      </c>
      <c r="DD76" s="334">
        <v>13.416666666666664</v>
      </c>
      <c r="DE76" s="334">
        <v>13.424999999999997</v>
      </c>
      <c r="DF76" s="334">
        <v>13.43333333333333</v>
      </c>
      <c r="DG76" s="334">
        <v>13.441666666666663</v>
      </c>
      <c r="DH76" s="334">
        <v>13.449999999999996</v>
      </c>
      <c r="DI76" s="334">
        <v>13.458333333333329</v>
      </c>
      <c r="DJ76" s="334">
        <v>13.466666666666661</v>
      </c>
      <c r="DK76" s="334">
        <v>13.474999999999994</v>
      </c>
      <c r="DL76" s="334">
        <v>13.483333333333327</v>
      </c>
      <c r="DM76" s="334">
        <v>13.49166666666666</v>
      </c>
      <c r="DN76" s="334">
        <v>13.5</v>
      </c>
      <c r="DO76" s="334">
        <v>13.475</v>
      </c>
      <c r="DP76" s="334">
        <v>13.45</v>
      </c>
      <c r="DQ76" s="334">
        <v>13.424999999999999</v>
      </c>
      <c r="DR76" s="334">
        <v>13.399999999999999</v>
      </c>
      <c r="DS76" s="334">
        <v>13.766666666666666</v>
      </c>
      <c r="DT76" s="334">
        <v>14.133333333333333</v>
      </c>
      <c r="DU76" s="335">
        <v>14.5</v>
      </c>
      <c r="DV76" s="335">
        <v>13.508965517241371</v>
      </c>
      <c r="DW76" s="335">
        <v>13.49889877641824</v>
      </c>
      <c r="DX76" s="198">
        <v>13.508965517241371</v>
      </c>
      <c r="DY76" s="198">
        <v>13.508965517241371</v>
      </c>
      <c r="DZ76" s="198">
        <v>13.508965517241371</v>
      </c>
      <c r="EA76" s="198">
        <v>1.0066740823130971E-2</v>
      </c>
      <c r="EB76" s="198">
        <v>13.508965517241371</v>
      </c>
      <c r="EC76" s="198">
        <v>13.508965517241371</v>
      </c>
      <c r="ED76" s="198">
        <v>13.508965517241371</v>
      </c>
      <c r="EE76" s="198">
        <v>13.508965517241371</v>
      </c>
      <c r="EF76" s="198">
        <v>1.0066740823130971E-2</v>
      </c>
      <c r="EG76" s="198">
        <v>0</v>
      </c>
      <c r="EH76" s="198">
        <v>9.48739237323975</v>
      </c>
      <c r="EI76" s="336">
        <f t="shared" si="1"/>
        <v>13.844999999999999</v>
      </c>
      <c r="EJ76" s="336">
        <f>EI76-'[13]FAOSTAT21 CO2'!EH76</f>
        <v>27.906134099999999</v>
      </c>
    </row>
    <row r="77" spans="1:140" x14ac:dyDescent="0.25">
      <c r="A77" s="31">
        <v>11</v>
      </c>
      <c r="B77" s="31" t="s">
        <v>202</v>
      </c>
      <c r="C77" s="31">
        <v>75</v>
      </c>
      <c r="D77" s="31">
        <v>0</v>
      </c>
      <c r="E77" s="31">
        <v>0</v>
      </c>
      <c r="F77" s="31">
        <v>0</v>
      </c>
      <c r="G77" s="31">
        <v>0</v>
      </c>
      <c r="H77" s="331" t="s">
        <v>2475</v>
      </c>
      <c r="I77" s="331" t="s">
        <v>203</v>
      </c>
      <c r="J77" s="331"/>
      <c r="K77" s="331"/>
      <c r="L77" s="331"/>
      <c r="M77" s="331"/>
      <c r="N77" s="331"/>
      <c r="O77" s="331"/>
      <c r="P77" s="331"/>
      <c r="Q77" s="331"/>
      <c r="R77" s="331"/>
      <c r="S77" s="331"/>
      <c r="T77" s="331"/>
      <c r="U77" s="331"/>
      <c r="V77" s="331"/>
      <c r="W77" s="331"/>
      <c r="X77" s="331"/>
      <c r="Y77" s="331"/>
      <c r="Z77" s="331"/>
      <c r="AA77" s="331"/>
      <c r="AB77" s="331"/>
      <c r="AC77" s="331"/>
      <c r="AD77" s="331"/>
      <c r="AE77" s="331"/>
      <c r="AF77" s="331"/>
      <c r="AG77" s="331"/>
      <c r="AH77" s="331"/>
      <c r="AI77" s="331"/>
      <c r="AJ77" s="331"/>
      <c r="AK77" s="331"/>
      <c r="AL77" s="331"/>
      <c r="AM77" s="331"/>
      <c r="AN77" s="331"/>
      <c r="AO77" s="331"/>
      <c r="AP77" s="331"/>
      <c r="AQ77" s="331"/>
      <c r="AR77" s="331"/>
      <c r="AS77" s="331"/>
      <c r="AT77" s="331"/>
      <c r="AU77" s="331"/>
      <c r="AV77" s="331"/>
      <c r="AW77" s="331"/>
      <c r="AX77" s="331"/>
      <c r="AY77" s="332" t="s">
        <v>2476</v>
      </c>
      <c r="AZ77" s="332" t="s">
        <v>203</v>
      </c>
      <c r="BA77" s="332"/>
      <c r="BB77" s="332"/>
      <c r="BC77" s="332"/>
      <c r="BD77" s="332"/>
      <c r="BE77" s="332"/>
      <c r="BF77" s="332"/>
      <c r="BG77" s="332"/>
      <c r="BH77" s="332"/>
      <c r="BI77" s="332"/>
      <c r="BJ77" s="332"/>
      <c r="BK77" s="332"/>
      <c r="BL77" s="332"/>
      <c r="BM77" s="332"/>
      <c r="BN77" s="332"/>
      <c r="BO77" s="332"/>
      <c r="BP77" s="332"/>
      <c r="BQ77" s="332"/>
      <c r="BR77" s="332"/>
      <c r="BS77" s="332"/>
      <c r="BT77" s="332"/>
      <c r="BU77" s="332"/>
      <c r="BV77" s="332"/>
      <c r="BW77" s="332"/>
      <c r="BX77" s="332"/>
      <c r="BY77" s="332"/>
      <c r="BZ77" s="332"/>
      <c r="CA77" s="332"/>
      <c r="CB77" s="332"/>
      <c r="CC77" s="332"/>
      <c r="CD77" s="332"/>
      <c r="CE77" s="332"/>
      <c r="CF77" s="332"/>
      <c r="CG77" s="332"/>
      <c r="CH77" s="332"/>
      <c r="CI77" s="332"/>
      <c r="CJ77" s="332"/>
      <c r="CK77" s="332"/>
      <c r="CL77" s="332"/>
      <c r="CM77" s="332"/>
      <c r="CN77" s="332"/>
      <c r="CO77" s="332"/>
      <c r="CP77" s="333" t="s">
        <v>27</v>
      </c>
      <c r="CQ77" s="333" t="s">
        <v>203</v>
      </c>
      <c r="CR77" s="334">
        <v>0</v>
      </c>
      <c r="CS77" s="334">
        <v>0</v>
      </c>
      <c r="CT77" s="334">
        <v>0</v>
      </c>
      <c r="CU77" s="334">
        <v>0</v>
      </c>
      <c r="CV77" s="334">
        <v>0</v>
      </c>
      <c r="CW77" s="334">
        <v>0</v>
      </c>
      <c r="CX77" s="334">
        <v>0</v>
      </c>
      <c r="CY77" s="334">
        <v>0</v>
      </c>
      <c r="CZ77" s="334">
        <v>0</v>
      </c>
      <c r="DA77" s="334">
        <v>0</v>
      </c>
      <c r="DB77" s="334">
        <v>0</v>
      </c>
      <c r="DC77" s="334">
        <v>0</v>
      </c>
      <c r="DD77" s="334">
        <v>0</v>
      </c>
      <c r="DE77" s="334">
        <v>0</v>
      </c>
      <c r="DF77" s="334">
        <v>0</v>
      </c>
      <c r="DG77" s="334">
        <v>0</v>
      </c>
      <c r="DH77" s="334">
        <v>0</v>
      </c>
      <c r="DI77" s="334">
        <v>0</v>
      </c>
      <c r="DJ77" s="334">
        <v>0</v>
      </c>
      <c r="DK77" s="334">
        <v>0</v>
      </c>
      <c r="DL77" s="334">
        <v>0</v>
      </c>
      <c r="DM77" s="334">
        <v>0</v>
      </c>
      <c r="DN77" s="334">
        <v>0</v>
      </c>
      <c r="DO77" s="334">
        <v>0</v>
      </c>
      <c r="DP77" s="334">
        <v>0</v>
      </c>
      <c r="DQ77" s="334">
        <v>0</v>
      </c>
      <c r="DR77" s="334">
        <v>0</v>
      </c>
      <c r="DS77" s="334">
        <v>0</v>
      </c>
      <c r="DT77" s="334">
        <v>0</v>
      </c>
      <c r="DU77" s="335">
        <v>0</v>
      </c>
      <c r="DV77" s="335">
        <v>0</v>
      </c>
      <c r="DW77" s="335">
        <v>0</v>
      </c>
      <c r="DX77" s="198" t="s">
        <v>2477</v>
      </c>
      <c r="DY77" s="198" t="s">
        <v>2477</v>
      </c>
      <c r="DZ77" s="198" t="s">
        <v>2477</v>
      </c>
      <c r="EA77" s="198" t="s">
        <v>2477</v>
      </c>
      <c r="EB77" s="198" t="s">
        <v>2477</v>
      </c>
      <c r="EC77" s="198" t="s">
        <v>2477</v>
      </c>
      <c r="ED77" s="198" t="s">
        <v>2477</v>
      </c>
      <c r="EE77" s="198" t="s">
        <v>2477</v>
      </c>
      <c r="EF77" s="198" t="s">
        <v>2477</v>
      </c>
      <c r="EG77" s="198" t="s">
        <v>2477</v>
      </c>
      <c r="EH77" s="198"/>
      <c r="EI77" s="336">
        <f t="shared" si="1"/>
        <v>0</v>
      </c>
      <c r="EJ77" s="336">
        <f>EI77-'[13]FAOSTAT21 CO2'!EH77</f>
        <v>0</v>
      </c>
    </row>
    <row r="78" spans="1:140" x14ac:dyDescent="0.25">
      <c r="A78" s="31">
        <v>11</v>
      </c>
      <c r="B78" s="31" t="s">
        <v>204</v>
      </c>
      <c r="C78" s="31">
        <v>77</v>
      </c>
      <c r="D78" s="31">
        <v>1</v>
      </c>
      <c r="E78" s="31">
        <v>0</v>
      </c>
      <c r="F78" s="31">
        <v>1</v>
      </c>
      <c r="G78" s="31">
        <v>0</v>
      </c>
      <c r="H78" s="331" t="s">
        <v>2475</v>
      </c>
      <c r="I78" s="331" t="s">
        <v>205</v>
      </c>
      <c r="J78" s="331"/>
      <c r="K78" s="331"/>
      <c r="L78" s="331"/>
      <c r="M78" s="331"/>
      <c r="N78" s="331"/>
      <c r="O78" s="331"/>
      <c r="P78" s="331"/>
      <c r="Q78" s="331"/>
      <c r="R78" s="331"/>
      <c r="S78" s="331"/>
      <c r="T78" s="331"/>
      <c r="U78" s="331"/>
      <c r="V78" s="331"/>
      <c r="W78" s="331"/>
      <c r="X78" s="331"/>
      <c r="Y78" s="331"/>
      <c r="Z78" s="331"/>
      <c r="AA78" s="331"/>
      <c r="AB78" s="331"/>
      <c r="AC78" s="331"/>
      <c r="AD78" s="331"/>
      <c r="AE78" s="331"/>
      <c r="AF78" s="331"/>
      <c r="AG78" s="331"/>
      <c r="AH78" s="331"/>
      <c r="AI78" s="331"/>
      <c r="AJ78" s="331"/>
      <c r="AK78" s="331"/>
      <c r="AL78" s="331"/>
      <c r="AM78" s="331"/>
      <c r="AN78" s="331"/>
      <c r="AO78" s="331"/>
      <c r="AP78" s="331"/>
      <c r="AQ78" s="331"/>
      <c r="AR78" s="331"/>
      <c r="AS78" s="331"/>
      <c r="AT78" s="331"/>
      <c r="AU78" s="331"/>
      <c r="AV78" s="331"/>
      <c r="AW78" s="331"/>
      <c r="AX78" s="331"/>
      <c r="AY78" s="332" t="s">
        <v>2476</v>
      </c>
      <c r="AZ78" s="332" t="s">
        <v>205</v>
      </c>
      <c r="BA78" s="332"/>
      <c r="BB78" s="332"/>
      <c r="BC78" s="332"/>
      <c r="BD78" s="332"/>
      <c r="BE78" s="332"/>
      <c r="BF78" s="332"/>
      <c r="BG78" s="332"/>
      <c r="BH78" s="332"/>
      <c r="BI78" s="332"/>
      <c r="BJ78" s="332"/>
      <c r="BK78" s="332"/>
      <c r="BL78" s="332"/>
      <c r="BM78" s="332"/>
      <c r="BN78" s="332"/>
      <c r="BO78" s="332"/>
      <c r="BP78" s="332"/>
      <c r="BQ78" s="332"/>
      <c r="BR78" s="332"/>
      <c r="BS78" s="332"/>
      <c r="BT78" s="332"/>
      <c r="BU78" s="332"/>
      <c r="BV78" s="332"/>
      <c r="BW78" s="332"/>
      <c r="BX78" s="332"/>
      <c r="BY78" s="332"/>
      <c r="BZ78" s="332"/>
      <c r="CA78" s="332"/>
      <c r="CB78" s="332"/>
      <c r="CC78" s="332"/>
      <c r="CD78" s="332"/>
      <c r="CE78" s="332"/>
      <c r="CF78" s="332"/>
      <c r="CG78" s="332"/>
      <c r="CH78" s="332"/>
      <c r="CI78" s="332"/>
      <c r="CJ78" s="332"/>
      <c r="CK78" s="332"/>
      <c r="CL78" s="332"/>
      <c r="CM78" s="332"/>
      <c r="CN78" s="332"/>
      <c r="CO78" s="332"/>
      <c r="CP78" s="333" t="s">
        <v>27</v>
      </c>
      <c r="CQ78" s="333" t="s">
        <v>205</v>
      </c>
      <c r="CR78" s="334">
        <v>-2.247590935308903</v>
      </c>
      <c r="CS78" s="334">
        <v>-2.3727768898831663</v>
      </c>
      <c r="CT78" s="334">
        <v>-2.5703967890218151</v>
      </c>
      <c r="CU78" s="334">
        <v>-3.0537228240676586</v>
      </c>
      <c r="CV78" s="334">
        <v>-2.7862633878779288</v>
      </c>
      <c r="CW78" s="334">
        <v>-3.0408817997079627</v>
      </c>
      <c r="CX78" s="334">
        <v>-2.4245492689506811</v>
      </c>
      <c r="CY78" s="334">
        <v>-2.1639979747157332</v>
      </c>
      <c r="CZ78" s="334">
        <v>-2.2275250847169255</v>
      </c>
      <c r="DA78" s="334">
        <v>-2.699767966892924</v>
      </c>
      <c r="DB78" s="334">
        <v>-2.5198195435267872</v>
      </c>
      <c r="DC78" s="334">
        <v>-2.6263769204862895</v>
      </c>
      <c r="DD78" s="334">
        <v>-2.9615067067425858</v>
      </c>
      <c r="DE78" s="334">
        <v>-2.711558331811887</v>
      </c>
      <c r="DF78" s="334">
        <v>-2.6937491437103667</v>
      </c>
      <c r="DG78" s="334">
        <v>-3.5284961319164427</v>
      </c>
      <c r="DH78" s="334">
        <v>-3.5903937125908487</v>
      </c>
      <c r="DI78" s="334">
        <v>-2.276273125128117</v>
      </c>
      <c r="DJ78" s="334">
        <v>-3.3199405604614611</v>
      </c>
      <c r="DK78" s="334">
        <v>-3.4246332211878694</v>
      </c>
      <c r="DL78" s="334">
        <v>-3.3922451182935385</v>
      </c>
      <c r="DM78" s="334">
        <v>-3.4987572766691528</v>
      </c>
      <c r="DN78" s="334">
        <v>-3.5419426467882973</v>
      </c>
      <c r="DO78" s="334">
        <v>-2.02222108362322</v>
      </c>
      <c r="DP78" s="334">
        <v>-0.6073901513907396</v>
      </c>
      <c r="DQ78" s="334">
        <v>-4.2529741773707253</v>
      </c>
      <c r="DR78" s="334">
        <v>-4.07189287531767</v>
      </c>
      <c r="DS78" s="334">
        <v>-4.1103201603024209</v>
      </c>
      <c r="DT78" s="334">
        <v>-4.9451091394183058</v>
      </c>
      <c r="DU78" s="335">
        <v>-5.4004412188370328</v>
      </c>
      <c r="DV78" s="335">
        <v>-5.4158968606082292</v>
      </c>
      <c r="DW78" s="335">
        <v>-5.4762302814167105</v>
      </c>
      <c r="DX78" s="198">
        <v>-5.4158968606082292</v>
      </c>
      <c r="DY78" s="198">
        <v>-5.4158968606082292</v>
      </c>
      <c r="DZ78" s="198">
        <v>-5.4158968606082292</v>
      </c>
      <c r="EA78" s="198">
        <v>6.0333420808481364E-2</v>
      </c>
      <c r="EB78" s="198">
        <v>-5.4158968606082292</v>
      </c>
      <c r="EC78" s="198">
        <v>-5.4158968606082292</v>
      </c>
      <c r="ED78" s="198">
        <v>-5.4158968606082292</v>
      </c>
      <c r="EE78" s="198">
        <v>-5.4158968606082292</v>
      </c>
      <c r="EF78" s="198">
        <v>6.0333420808481364E-2</v>
      </c>
      <c r="EG78" s="198">
        <v>0</v>
      </c>
      <c r="EH78" s="198">
        <v>-6.0180242943210196</v>
      </c>
      <c r="EI78" s="336">
        <f t="shared" si="1"/>
        <v>-4.5561475142492309</v>
      </c>
      <c r="EJ78" s="336">
        <f>EI78-'[13]FAOSTAT21 CO2'!EH78</f>
        <v>-5.9500364142492312</v>
      </c>
    </row>
    <row r="79" spans="1:140" x14ac:dyDescent="0.25">
      <c r="A79" s="31">
        <v>25</v>
      </c>
      <c r="B79" s="31" t="s">
        <v>206</v>
      </c>
      <c r="C79" s="31">
        <v>78</v>
      </c>
      <c r="D79" s="31">
        <v>0</v>
      </c>
      <c r="E79" s="31">
        <v>0</v>
      </c>
      <c r="F79" s="31">
        <v>0</v>
      </c>
      <c r="G79" s="31">
        <v>0</v>
      </c>
      <c r="H79" s="331" t="s">
        <v>2475</v>
      </c>
      <c r="I79" s="331" t="s">
        <v>207</v>
      </c>
      <c r="J79" s="331"/>
      <c r="K79" s="331"/>
      <c r="L79" s="331"/>
      <c r="M79" s="331"/>
      <c r="N79" s="331"/>
      <c r="O79" s="331"/>
      <c r="P79" s="331"/>
      <c r="Q79" s="331"/>
      <c r="R79" s="331"/>
      <c r="S79" s="331"/>
      <c r="T79" s="331"/>
      <c r="U79" s="331"/>
      <c r="V79" s="331"/>
      <c r="W79" s="331"/>
      <c r="X79" s="331"/>
      <c r="Y79" s="331"/>
      <c r="Z79" s="331"/>
      <c r="AA79" s="331"/>
      <c r="AB79" s="331"/>
      <c r="AC79" s="331"/>
      <c r="AD79" s="331"/>
      <c r="AE79" s="331"/>
      <c r="AF79" s="331"/>
      <c r="AG79" s="331"/>
      <c r="AH79" s="331"/>
      <c r="AI79" s="331"/>
      <c r="AJ79" s="331"/>
      <c r="AK79" s="331"/>
      <c r="AL79" s="331"/>
      <c r="AM79" s="331"/>
      <c r="AN79" s="331"/>
      <c r="AO79" s="331"/>
      <c r="AP79" s="331"/>
      <c r="AQ79" s="331"/>
      <c r="AR79" s="331"/>
      <c r="AS79" s="331"/>
      <c r="AT79" s="331"/>
      <c r="AU79" s="331"/>
      <c r="AV79" s="331"/>
      <c r="AW79" s="331"/>
      <c r="AX79" s="331"/>
      <c r="AY79" s="332" t="s">
        <v>2476</v>
      </c>
      <c r="AZ79" s="332" t="s">
        <v>207</v>
      </c>
      <c r="BA79" s="332"/>
      <c r="BB79" s="332"/>
      <c r="BC79" s="332"/>
      <c r="BD79" s="332"/>
      <c r="BE79" s="332"/>
      <c r="BF79" s="332"/>
      <c r="BG79" s="332"/>
      <c r="BH79" s="332"/>
      <c r="BI79" s="332"/>
      <c r="BJ79" s="332"/>
      <c r="BK79" s="332"/>
      <c r="BL79" s="332"/>
      <c r="BM79" s="332"/>
      <c r="BN79" s="332"/>
      <c r="BO79" s="332"/>
      <c r="BP79" s="332"/>
      <c r="BQ79" s="332"/>
      <c r="BR79" s="332"/>
      <c r="BS79" s="332"/>
      <c r="BT79" s="332"/>
      <c r="BU79" s="332"/>
      <c r="BV79" s="332"/>
      <c r="BW79" s="332"/>
      <c r="BX79" s="332"/>
      <c r="BY79" s="332"/>
      <c r="BZ79" s="332"/>
      <c r="CA79" s="332"/>
      <c r="CB79" s="332"/>
      <c r="CC79" s="332"/>
      <c r="CD79" s="332"/>
      <c r="CE79" s="332"/>
      <c r="CF79" s="332"/>
      <c r="CG79" s="332"/>
      <c r="CH79" s="332"/>
      <c r="CI79" s="332"/>
      <c r="CJ79" s="332"/>
      <c r="CK79" s="332"/>
      <c r="CL79" s="332"/>
      <c r="CM79" s="332"/>
      <c r="CN79" s="332"/>
      <c r="CO79" s="332"/>
      <c r="CP79" s="333" t="s">
        <v>27</v>
      </c>
      <c r="CQ79" s="333" t="s">
        <v>207</v>
      </c>
      <c r="CR79" s="334">
        <v>0</v>
      </c>
      <c r="CS79" s="334">
        <v>0</v>
      </c>
      <c r="CT79" s="334">
        <v>0</v>
      </c>
      <c r="CU79" s="334">
        <v>0</v>
      </c>
      <c r="CV79" s="334">
        <v>0</v>
      </c>
      <c r="CW79" s="334">
        <v>0</v>
      </c>
      <c r="CX79" s="334">
        <v>0</v>
      </c>
      <c r="CY79" s="334">
        <v>0</v>
      </c>
      <c r="CZ79" s="334">
        <v>0</v>
      </c>
      <c r="DA79" s="334">
        <v>0</v>
      </c>
      <c r="DB79" s="334">
        <v>0</v>
      </c>
      <c r="DC79" s="334">
        <v>0</v>
      </c>
      <c r="DD79" s="334">
        <v>0</v>
      </c>
      <c r="DE79" s="334">
        <v>0</v>
      </c>
      <c r="DF79" s="334">
        <v>0</v>
      </c>
      <c r="DG79" s="334">
        <v>0</v>
      </c>
      <c r="DH79" s="334">
        <v>0</v>
      </c>
      <c r="DI79" s="334">
        <v>0</v>
      </c>
      <c r="DJ79" s="334">
        <v>0</v>
      </c>
      <c r="DK79" s="334">
        <v>0</v>
      </c>
      <c r="DL79" s="334">
        <v>0</v>
      </c>
      <c r="DM79" s="334">
        <v>0</v>
      </c>
      <c r="DN79" s="334">
        <v>0</v>
      </c>
      <c r="DO79" s="334">
        <v>0</v>
      </c>
      <c r="DP79" s="334">
        <v>0</v>
      </c>
      <c r="DQ79" s="334">
        <v>0</v>
      </c>
      <c r="DR79" s="334">
        <v>0</v>
      </c>
      <c r="DS79" s="334">
        <v>0</v>
      </c>
      <c r="DT79" s="334">
        <v>0</v>
      </c>
      <c r="DU79" s="335">
        <v>0</v>
      </c>
      <c r="DV79" s="335">
        <v>0</v>
      </c>
      <c r="DW79" s="335">
        <v>0</v>
      </c>
      <c r="DX79" s="198" t="s">
        <v>2477</v>
      </c>
      <c r="DY79" s="198" t="s">
        <v>2477</v>
      </c>
      <c r="DZ79" s="198" t="s">
        <v>2477</v>
      </c>
      <c r="EA79" s="198" t="s">
        <v>2477</v>
      </c>
      <c r="EB79" s="198" t="s">
        <v>2477</v>
      </c>
      <c r="EC79" s="198" t="s">
        <v>2477</v>
      </c>
      <c r="ED79" s="198" t="s">
        <v>2477</v>
      </c>
      <c r="EE79" s="198" t="s">
        <v>2477</v>
      </c>
      <c r="EF79" s="198" t="s">
        <v>2477</v>
      </c>
      <c r="EG79" s="198" t="s">
        <v>2477</v>
      </c>
      <c r="EH79" s="198"/>
      <c r="EI79" s="336">
        <f t="shared" si="1"/>
        <v>0</v>
      </c>
      <c r="EJ79" s="336">
        <f>EI79-'[13]FAOSTAT21 CO2'!EH79</f>
        <v>9.3919999999999982E-5</v>
      </c>
    </row>
    <row r="80" spans="1:140" x14ac:dyDescent="0.25">
      <c r="A80" s="31">
        <v>4</v>
      </c>
      <c r="B80" s="31" t="s">
        <v>208</v>
      </c>
      <c r="C80" s="31">
        <v>79</v>
      </c>
      <c r="D80" s="31">
        <v>0</v>
      </c>
      <c r="E80" s="31">
        <v>0</v>
      </c>
      <c r="F80" s="31">
        <v>0</v>
      </c>
      <c r="G80" s="31">
        <v>0</v>
      </c>
      <c r="H80" s="331" t="s">
        <v>2475</v>
      </c>
      <c r="I80" s="331" t="s">
        <v>209</v>
      </c>
      <c r="J80" s="331"/>
      <c r="K80" s="331"/>
      <c r="L80" s="331"/>
      <c r="M80" s="331"/>
      <c r="N80" s="331"/>
      <c r="O80" s="331"/>
      <c r="P80" s="331"/>
      <c r="Q80" s="331"/>
      <c r="R80" s="331"/>
      <c r="S80" s="331"/>
      <c r="T80" s="331"/>
      <c r="U80" s="331"/>
      <c r="V80" s="331"/>
      <c r="W80" s="331"/>
      <c r="X80" s="331"/>
      <c r="Y80" s="331"/>
      <c r="Z80" s="331"/>
      <c r="AA80" s="331"/>
      <c r="AB80" s="331"/>
      <c r="AC80" s="331"/>
      <c r="AD80" s="331"/>
      <c r="AE80" s="331"/>
      <c r="AF80" s="331"/>
      <c r="AG80" s="331"/>
      <c r="AH80" s="331"/>
      <c r="AI80" s="331"/>
      <c r="AJ80" s="331"/>
      <c r="AK80" s="331"/>
      <c r="AL80" s="331"/>
      <c r="AM80" s="331"/>
      <c r="AN80" s="331"/>
      <c r="AO80" s="331"/>
      <c r="AP80" s="331"/>
      <c r="AQ80" s="331"/>
      <c r="AR80" s="331"/>
      <c r="AS80" s="331"/>
      <c r="AT80" s="331"/>
      <c r="AU80" s="331"/>
      <c r="AV80" s="331"/>
      <c r="AW80" s="331"/>
      <c r="AX80" s="331"/>
      <c r="AY80" s="332" t="s">
        <v>2476</v>
      </c>
      <c r="AZ80" s="332" t="s">
        <v>209</v>
      </c>
      <c r="BA80" s="332"/>
      <c r="BB80" s="332"/>
      <c r="BC80" s="332"/>
      <c r="BD80" s="332"/>
      <c r="BE80" s="332"/>
      <c r="BF80" s="332"/>
      <c r="BG80" s="332"/>
      <c r="BH80" s="332"/>
      <c r="BI80" s="332"/>
      <c r="BJ80" s="332"/>
      <c r="BK80" s="332"/>
      <c r="BL80" s="332"/>
      <c r="BM80" s="332"/>
      <c r="BN80" s="332"/>
      <c r="BO80" s="332"/>
      <c r="BP80" s="332"/>
      <c r="BQ80" s="332"/>
      <c r="BR80" s="332"/>
      <c r="BS80" s="332"/>
      <c r="BT80" s="332"/>
      <c r="BU80" s="332"/>
      <c r="BV80" s="332"/>
      <c r="BW80" s="332"/>
      <c r="BX80" s="332"/>
      <c r="BY80" s="332"/>
      <c r="BZ80" s="332"/>
      <c r="CA80" s="332"/>
      <c r="CB80" s="332"/>
      <c r="CC80" s="332"/>
      <c r="CD80" s="332"/>
      <c r="CE80" s="332"/>
      <c r="CF80" s="332"/>
      <c r="CG80" s="332"/>
      <c r="CH80" s="332"/>
      <c r="CI80" s="332"/>
      <c r="CJ80" s="332"/>
      <c r="CK80" s="332"/>
      <c r="CL80" s="332"/>
      <c r="CM80" s="332"/>
      <c r="CN80" s="332"/>
      <c r="CO80" s="332"/>
      <c r="CP80" s="333" t="s">
        <v>27</v>
      </c>
      <c r="CQ80" s="333" t="s">
        <v>209</v>
      </c>
      <c r="CR80" s="334">
        <v>-0.09</v>
      </c>
      <c r="CS80" s="334">
        <v>-0.09</v>
      </c>
      <c r="CT80" s="334">
        <v>-0.09</v>
      </c>
      <c r="CU80" s="334">
        <v>-0.09</v>
      </c>
      <c r="CV80" s="334">
        <v>-0.09</v>
      </c>
      <c r="CW80" s="334">
        <v>-7.4966666666666668E-2</v>
      </c>
      <c r="CX80" s="334">
        <v>-5.9933333333333332E-2</v>
      </c>
      <c r="CY80" s="334">
        <v>-4.4899999999999995E-2</v>
      </c>
      <c r="CZ80" s="334">
        <v>-2.9866666666666659E-2</v>
      </c>
      <c r="DA80" s="334">
        <v>-1.4833333333333325E-2</v>
      </c>
      <c r="DB80" s="334">
        <v>2.0000000000000001E-4</v>
      </c>
      <c r="DC80" s="334">
        <v>0.22192500000000001</v>
      </c>
      <c r="DD80" s="334">
        <v>0.44364999999999999</v>
      </c>
      <c r="DE80" s="334">
        <v>0.66537500000000005</v>
      </c>
      <c r="DF80" s="334">
        <v>0.8871</v>
      </c>
      <c r="DG80" s="334">
        <v>0.8871</v>
      </c>
      <c r="DH80" s="334">
        <v>-0.1774</v>
      </c>
      <c r="DI80" s="334">
        <v>-0.17530000000000001</v>
      </c>
      <c r="DJ80" s="334">
        <v>-0.1774</v>
      </c>
      <c r="DK80" s="334">
        <v>-0.1774</v>
      </c>
      <c r="DL80" s="334">
        <v>-0.1774</v>
      </c>
      <c r="DM80" s="334">
        <v>0.19407071428571498</v>
      </c>
      <c r="DN80" s="334">
        <v>0.20502108225108628</v>
      </c>
      <c r="DO80" s="334">
        <v>0.21597145021645048</v>
      </c>
      <c r="DP80" s="334">
        <v>0.22692181818181822</v>
      </c>
      <c r="DQ80" s="334">
        <v>0.23787218614718597</v>
      </c>
      <c r="DR80" s="334">
        <v>0.24882255411255727</v>
      </c>
      <c r="DS80" s="334">
        <v>0.25977292207792146</v>
      </c>
      <c r="DT80" s="334">
        <v>0.27072329004329276</v>
      </c>
      <c r="DU80" s="335">
        <v>0.28167365800865696</v>
      </c>
      <c r="DV80" s="335">
        <v>0.29262402597402826</v>
      </c>
      <c r="DW80" s="335">
        <v>0.303574393939396</v>
      </c>
      <c r="DX80" s="198">
        <v>0.29262402597402826</v>
      </c>
      <c r="DY80" s="198">
        <v>0.29262402597402826</v>
      </c>
      <c r="DZ80" s="198">
        <v>0.29262402597402826</v>
      </c>
      <c r="EA80" s="198">
        <v>-1.0950367965367747E-2</v>
      </c>
      <c r="EB80" s="198">
        <v>0.29262402597402826</v>
      </c>
      <c r="EC80" s="198">
        <v>0.29262402597402826</v>
      </c>
      <c r="ED80" s="198">
        <v>0.29262402597402826</v>
      </c>
      <c r="EE80" s="198">
        <v>0.29262402597402826</v>
      </c>
      <c r="EF80" s="198">
        <v>-1.0950367965367747E-2</v>
      </c>
      <c r="EG80" s="198">
        <v>0</v>
      </c>
      <c r="EH80" s="198">
        <v>0.17398008307785215</v>
      </c>
      <c r="EI80" s="336">
        <f t="shared" si="1"/>
        <v>0.25977292207792291</v>
      </c>
      <c r="EJ80" s="336">
        <f>EI80-'[13]FAOSTAT21 CO2'!EH80</f>
        <v>0.25977292207792291</v>
      </c>
    </row>
    <row r="81" spans="1:140" x14ac:dyDescent="0.25">
      <c r="A81" s="31">
        <v>4</v>
      </c>
      <c r="B81" s="31" t="s">
        <v>210</v>
      </c>
      <c r="C81" s="31">
        <v>80</v>
      </c>
      <c r="D81" s="31">
        <v>0</v>
      </c>
      <c r="E81" s="31">
        <v>0</v>
      </c>
      <c r="F81" s="31">
        <v>0</v>
      </c>
      <c r="G81" s="31">
        <v>0</v>
      </c>
      <c r="H81" s="331" t="s">
        <v>2475</v>
      </c>
      <c r="I81" s="331" t="s">
        <v>211</v>
      </c>
      <c r="J81" s="331"/>
      <c r="K81" s="331"/>
      <c r="L81" s="331"/>
      <c r="M81" s="331"/>
      <c r="N81" s="331"/>
      <c r="O81" s="331"/>
      <c r="P81" s="331"/>
      <c r="Q81" s="331"/>
      <c r="R81" s="331"/>
      <c r="S81" s="331"/>
      <c r="T81" s="331"/>
      <c r="U81" s="331"/>
      <c r="V81" s="331"/>
      <c r="W81" s="331"/>
      <c r="X81" s="331"/>
      <c r="Y81" s="331"/>
      <c r="Z81" s="331"/>
      <c r="AA81" s="331"/>
      <c r="AB81" s="331"/>
      <c r="AC81" s="331"/>
      <c r="AD81" s="331"/>
      <c r="AE81" s="331"/>
      <c r="AF81" s="331"/>
      <c r="AG81" s="331"/>
      <c r="AH81" s="331"/>
      <c r="AI81" s="331"/>
      <c r="AJ81" s="331"/>
      <c r="AK81" s="331"/>
      <c r="AL81" s="331"/>
      <c r="AM81" s="331"/>
      <c r="AN81" s="331"/>
      <c r="AO81" s="331"/>
      <c r="AP81" s="331"/>
      <c r="AQ81" s="331"/>
      <c r="AR81" s="331"/>
      <c r="AS81" s="331"/>
      <c r="AT81" s="331"/>
      <c r="AU81" s="331"/>
      <c r="AV81" s="331"/>
      <c r="AW81" s="331"/>
      <c r="AX81" s="331"/>
      <c r="AY81" s="332" t="s">
        <v>2476</v>
      </c>
      <c r="AZ81" s="332" t="s">
        <v>211</v>
      </c>
      <c r="BA81" s="332"/>
      <c r="BB81" s="332"/>
      <c r="BC81" s="332"/>
      <c r="BD81" s="332"/>
      <c r="BE81" s="332"/>
      <c r="BF81" s="332"/>
      <c r="BG81" s="332"/>
      <c r="BH81" s="332"/>
      <c r="BI81" s="332"/>
      <c r="BJ81" s="332"/>
      <c r="BK81" s="332"/>
      <c r="BL81" s="332"/>
      <c r="BM81" s="332"/>
      <c r="BN81" s="332"/>
      <c r="BO81" s="332"/>
      <c r="BP81" s="332"/>
      <c r="BQ81" s="332"/>
      <c r="BR81" s="332"/>
      <c r="BS81" s="332"/>
      <c r="BT81" s="332"/>
      <c r="BU81" s="332"/>
      <c r="BV81" s="332"/>
      <c r="BW81" s="332"/>
      <c r="BX81" s="332"/>
      <c r="BY81" s="332"/>
      <c r="BZ81" s="332"/>
      <c r="CA81" s="332"/>
      <c r="CB81" s="332"/>
      <c r="CC81" s="332"/>
      <c r="CD81" s="332"/>
      <c r="CE81" s="332"/>
      <c r="CF81" s="332"/>
      <c r="CG81" s="332"/>
      <c r="CH81" s="332"/>
      <c r="CI81" s="332"/>
      <c r="CJ81" s="332"/>
      <c r="CK81" s="332"/>
      <c r="CL81" s="332"/>
      <c r="CM81" s="332"/>
      <c r="CN81" s="332"/>
      <c r="CO81" s="332"/>
      <c r="CP81" s="333" t="s">
        <v>27</v>
      </c>
      <c r="CQ81" s="333" t="s">
        <v>211</v>
      </c>
      <c r="CR81" s="334">
        <v>0</v>
      </c>
      <c r="CS81" s="334">
        <v>0</v>
      </c>
      <c r="CT81" s="334">
        <v>0</v>
      </c>
      <c r="CU81" s="334">
        <v>0</v>
      </c>
      <c r="CV81" s="334">
        <v>0</v>
      </c>
      <c r="CW81" s="334">
        <v>0</v>
      </c>
      <c r="CX81" s="334">
        <v>0</v>
      </c>
      <c r="CY81" s="334">
        <v>0</v>
      </c>
      <c r="CZ81" s="334">
        <v>0</v>
      </c>
      <c r="DA81" s="334">
        <v>0</v>
      </c>
      <c r="DB81" s="334">
        <v>0</v>
      </c>
      <c r="DC81" s="334">
        <v>0</v>
      </c>
      <c r="DD81" s="334">
        <v>0</v>
      </c>
      <c r="DE81" s="334">
        <v>0</v>
      </c>
      <c r="DF81" s="334">
        <v>0</v>
      </c>
      <c r="DG81" s="334">
        <v>0</v>
      </c>
      <c r="DH81" s="334">
        <v>0</v>
      </c>
      <c r="DI81" s="334">
        <v>0</v>
      </c>
      <c r="DJ81" s="334">
        <v>0</v>
      </c>
      <c r="DK81" s="334">
        <v>0</v>
      </c>
      <c r="DL81" s="334">
        <v>0</v>
      </c>
      <c r="DM81" s="334">
        <v>0</v>
      </c>
      <c r="DN81" s="334">
        <v>0</v>
      </c>
      <c r="DO81" s="334">
        <v>0</v>
      </c>
      <c r="DP81" s="334">
        <v>0</v>
      </c>
      <c r="DQ81" s="334">
        <v>0</v>
      </c>
      <c r="DR81" s="334">
        <v>0</v>
      </c>
      <c r="DS81" s="334">
        <v>0</v>
      </c>
      <c r="DT81" s="334">
        <v>0</v>
      </c>
      <c r="DU81" s="335">
        <v>0</v>
      </c>
      <c r="DV81" s="335">
        <v>0</v>
      </c>
      <c r="DW81" s="335">
        <v>0</v>
      </c>
      <c r="DX81" s="198" t="s">
        <v>2477</v>
      </c>
      <c r="DY81" s="198" t="s">
        <v>2477</v>
      </c>
      <c r="DZ81" s="198" t="s">
        <v>2477</v>
      </c>
      <c r="EA81" s="198" t="s">
        <v>2477</v>
      </c>
      <c r="EB81" s="198" t="s">
        <v>2477</v>
      </c>
      <c r="EC81" s="198" t="s">
        <v>2477</v>
      </c>
      <c r="ED81" s="198" t="s">
        <v>2477</v>
      </c>
      <c r="EE81" s="198" t="s">
        <v>2477</v>
      </c>
      <c r="EF81" s="198" t="s">
        <v>2477</v>
      </c>
      <c r="EG81" s="198" t="s">
        <v>2477</v>
      </c>
      <c r="EH81" s="198"/>
      <c r="EI81" s="336">
        <f t="shared" si="1"/>
        <v>0</v>
      </c>
      <c r="EJ81" s="336">
        <f>EI81-'[13]FAOSTAT21 CO2'!EH81</f>
        <v>-1.570214E-2</v>
      </c>
    </row>
    <row r="82" spans="1:140" x14ac:dyDescent="0.25">
      <c r="A82" s="31">
        <v>4</v>
      </c>
      <c r="B82" s="31" t="s">
        <v>212</v>
      </c>
      <c r="C82" s="31">
        <v>81</v>
      </c>
      <c r="D82" s="31">
        <v>0</v>
      </c>
      <c r="E82" s="31">
        <v>0</v>
      </c>
      <c r="F82" s="31">
        <v>0</v>
      </c>
      <c r="G82" s="31">
        <v>0</v>
      </c>
      <c r="H82" s="331" t="s">
        <v>2475</v>
      </c>
      <c r="I82" s="331" t="s">
        <v>213</v>
      </c>
      <c r="J82" s="331"/>
      <c r="K82" s="331"/>
      <c r="L82" s="331"/>
      <c r="M82" s="331"/>
      <c r="N82" s="331"/>
      <c r="O82" s="331"/>
      <c r="P82" s="331"/>
      <c r="Q82" s="331"/>
      <c r="R82" s="331"/>
      <c r="S82" s="331"/>
      <c r="T82" s="331"/>
      <c r="U82" s="331"/>
      <c r="V82" s="331"/>
      <c r="W82" s="331"/>
      <c r="X82" s="331"/>
      <c r="Y82" s="331"/>
      <c r="Z82" s="331"/>
      <c r="AA82" s="331"/>
      <c r="AB82" s="331"/>
      <c r="AC82" s="331"/>
      <c r="AD82" s="331"/>
      <c r="AE82" s="331"/>
      <c r="AF82" s="331"/>
      <c r="AG82" s="331"/>
      <c r="AH82" s="331"/>
      <c r="AI82" s="331"/>
      <c r="AJ82" s="331"/>
      <c r="AK82" s="331"/>
      <c r="AL82" s="331"/>
      <c r="AM82" s="331"/>
      <c r="AN82" s="331"/>
      <c r="AO82" s="331"/>
      <c r="AP82" s="331"/>
      <c r="AQ82" s="331"/>
      <c r="AR82" s="331"/>
      <c r="AS82" s="331"/>
      <c r="AT82" s="331"/>
      <c r="AU82" s="331"/>
      <c r="AV82" s="331"/>
      <c r="AW82" s="331"/>
      <c r="AX82" s="331"/>
      <c r="AY82" s="332" t="s">
        <v>2476</v>
      </c>
      <c r="AZ82" s="332" t="s">
        <v>213</v>
      </c>
      <c r="BA82" s="332"/>
      <c r="BB82" s="332"/>
      <c r="BC82" s="332"/>
      <c r="BD82" s="332"/>
      <c r="BE82" s="332"/>
      <c r="BF82" s="332"/>
      <c r="BG82" s="332"/>
      <c r="BH82" s="332"/>
      <c r="BI82" s="332"/>
      <c r="BJ82" s="332"/>
      <c r="BK82" s="332"/>
      <c r="BL82" s="332"/>
      <c r="BM82" s="332"/>
      <c r="BN82" s="332"/>
      <c r="BO82" s="332"/>
      <c r="BP82" s="332"/>
      <c r="BQ82" s="332"/>
      <c r="BR82" s="332"/>
      <c r="BS82" s="332"/>
      <c r="BT82" s="332"/>
      <c r="BU82" s="332"/>
      <c r="BV82" s="332"/>
      <c r="BW82" s="332"/>
      <c r="BX82" s="332"/>
      <c r="BY82" s="332"/>
      <c r="BZ82" s="332"/>
      <c r="CA82" s="332"/>
      <c r="CB82" s="332"/>
      <c r="CC82" s="332"/>
      <c r="CD82" s="332"/>
      <c r="CE82" s="332"/>
      <c r="CF82" s="332"/>
      <c r="CG82" s="332"/>
      <c r="CH82" s="332"/>
      <c r="CI82" s="332"/>
      <c r="CJ82" s="332"/>
      <c r="CK82" s="332"/>
      <c r="CL82" s="332"/>
      <c r="CM82" s="332"/>
      <c r="CN82" s="332"/>
      <c r="CO82" s="332"/>
      <c r="CP82" s="333" t="s">
        <v>27</v>
      </c>
      <c r="CQ82" s="333" t="s">
        <v>213</v>
      </c>
      <c r="CR82" s="334">
        <v>31.661000000000001</v>
      </c>
      <c r="CS82" s="334">
        <v>31.788319999999999</v>
      </c>
      <c r="CT82" s="334">
        <v>31.915639999999996</v>
      </c>
      <c r="CU82" s="334">
        <v>32.042959999999994</v>
      </c>
      <c r="CV82" s="334">
        <v>32.170279999999991</v>
      </c>
      <c r="CW82" s="334">
        <v>32.297599999999996</v>
      </c>
      <c r="CX82" s="334">
        <v>31.872499999999995</v>
      </c>
      <c r="CY82" s="334">
        <v>31.447399999999995</v>
      </c>
      <c r="CZ82" s="334">
        <v>31.022299999999994</v>
      </c>
      <c r="DA82" s="334">
        <v>30.597199999999994</v>
      </c>
      <c r="DB82" s="334">
        <v>30.172099999999997</v>
      </c>
      <c r="DC82" s="334">
        <v>30.738439999999997</v>
      </c>
      <c r="DD82" s="334">
        <v>31.304779999999997</v>
      </c>
      <c r="DE82" s="334">
        <v>31.871119999999998</v>
      </c>
      <c r="DF82" s="334">
        <v>32.437460000000002</v>
      </c>
      <c r="DG82" s="334">
        <v>33.003800000000005</v>
      </c>
      <c r="DH82" s="334">
        <v>32.323060000000005</v>
      </c>
      <c r="DI82" s="334">
        <v>31.642320000000005</v>
      </c>
      <c r="DJ82" s="334">
        <v>30.961580000000005</v>
      </c>
      <c r="DK82" s="334">
        <v>30.280840000000005</v>
      </c>
      <c r="DL82" s="334">
        <v>29.600099999999998</v>
      </c>
      <c r="DM82" s="334">
        <v>29.830939999999998</v>
      </c>
      <c r="DN82" s="334">
        <v>30.061779999999999</v>
      </c>
      <c r="DO82" s="334">
        <v>30.292619999999999</v>
      </c>
      <c r="DP82" s="334">
        <v>30.52346</v>
      </c>
      <c r="DQ82" s="334">
        <v>30.754300000000001</v>
      </c>
      <c r="DR82" s="334">
        <v>31.638099999999998</v>
      </c>
      <c r="DS82" s="334">
        <v>31.721799999999998</v>
      </c>
      <c r="DT82" s="334">
        <v>30.803999999999998</v>
      </c>
      <c r="DU82" s="335">
        <v>23.997033999999999</v>
      </c>
      <c r="DV82" s="335">
        <v>17.190068</v>
      </c>
      <c r="DW82" s="335">
        <v>27.968371006451605</v>
      </c>
      <c r="DX82" s="198">
        <v>-40</v>
      </c>
      <c r="DY82" s="198">
        <v>-40</v>
      </c>
      <c r="DZ82" s="198">
        <v>-40</v>
      </c>
      <c r="EA82" s="198">
        <v>-67.968371006451605</v>
      </c>
      <c r="EB82" s="198">
        <v>217</v>
      </c>
      <c r="EC82" s="198">
        <v>177.13</v>
      </c>
      <c r="ED82" s="198">
        <v>217</v>
      </c>
      <c r="EE82" s="198">
        <v>177.13</v>
      </c>
      <c r="EF82" s="198">
        <v>149.16162899354839</v>
      </c>
      <c r="EG82" s="198">
        <v>217.13</v>
      </c>
      <c r="EH82" s="198">
        <v>10.220382447404948</v>
      </c>
      <c r="EI82" s="336">
        <f t="shared" si="1"/>
        <v>29.783046800000001</v>
      </c>
      <c r="EJ82" s="336">
        <f>EI82-'[13]FAOSTAT21 CO2'!EH82</f>
        <v>25.62455632</v>
      </c>
    </row>
    <row r="83" spans="1:140" x14ac:dyDescent="0.25">
      <c r="A83" s="31">
        <v>8</v>
      </c>
      <c r="B83" s="31" t="s">
        <v>214</v>
      </c>
      <c r="C83" s="31">
        <v>82</v>
      </c>
      <c r="D83" s="31">
        <v>0</v>
      </c>
      <c r="E83" s="31">
        <v>0</v>
      </c>
      <c r="F83" s="31">
        <v>0</v>
      </c>
      <c r="G83" s="31">
        <v>0</v>
      </c>
      <c r="H83" s="331" t="s">
        <v>2475</v>
      </c>
      <c r="I83" s="331" t="s">
        <v>215</v>
      </c>
      <c r="J83" s="331"/>
      <c r="K83" s="331"/>
      <c r="L83" s="331"/>
      <c r="M83" s="331"/>
      <c r="N83" s="331"/>
      <c r="O83" s="331"/>
      <c r="P83" s="331"/>
      <c r="Q83" s="331"/>
      <c r="R83" s="331"/>
      <c r="S83" s="331"/>
      <c r="T83" s="331"/>
      <c r="U83" s="331"/>
      <c r="V83" s="331"/>
      <c r="W83" s="331"/>
      <c r="X83" s="331"/>
      <c r="Y83" s="331"/>
      <c r="Z83" s="331"/>
      <c r="AA83" s="331"/>
      <c r="AB83" s="331"/>
      <c r="AC83" s="331"/>
      <c r="AD83" s="331"/>
      <c r="AE83" s="331"/>
      <c r="AF83" s="331"/>
      <c r="AG83" s="331"/>
      <c r="AH83" s="331"/>
      <c r="AI83" s="331"/>
      <c r="AJ83" s="331"/>
      <c r="AK83" s="331"/>
      <c r="AL83" s="331"/>
      <c r="AM83" s="331"/>
      <c r="AN83" s="331"/>
      <c r="AO83" s="331"/>
      <c r="AP83" s="331"/>
      <c r="AQ83" s="331"/>
      <c r="AR83" s="331"/>
      <c r="AS83" s="331"/>
      <c r="AT83" s="331"/>
      <c r="AU83" s="331"/>
      <c r="AV83" s="331"/>
      <c r="AW83" s="331"/>
      <c r="AX83" s="331"/>
      <c r="AY83" s="332" t="s">
        <v>2476</v>
      </c>
      <c r="AZ83" s="332" t="s">
        <v>215</v>
      </c>
      <c r="BA83" s="332"/>
      <c r="BB83" s="332"/>
      <c r="BC83" s="332"/>
      <c r="BD83" s="332"/>
      <c r="BE83" s="332"/>
      <c r="BF83" s="332"/>
      <c r="BG83" s="332"/>
      <c r="BH83" s="332"/>
      <c r="BI83" s="332"/>
      <c r="BJ83" s="332"/>
      <c r="BK83" s="332"/>
      <c r="BL83" s="332"/>
      <c r="BM83" s="332"/>
      <c r="BN83" s="332"/>
      <c r="BO83" s="332"/>
      <c r="BP83" s="332"/>
      <c r="BQ83" s="332"/>
      <c r="BR83" s="332"/>
      <c r="BS83" s="332"/>
      <c r="BT83" s="332"/>
      <c r="BU83" s="332"/>
      <c r="BV83" s="332"/>
      <c r="BW83" s="332"/>
      <c r="BX83" s="332"/>
      <c r="BY83" s="332"/>
      <c r="BZ83" s="332"/>
      <c r="CA83" s="332"/>
      <c r="CB83" s="332"/>
      <c r="CC83" s="332"/>
      <c r="CD83" s="332"/>
      <c r="CE83" s="332"/>
      <c r="CF83" s="332"/>
      <c r="CG83" s="332"/>
      <c r="CH83" s="332"/>
      <c r="CI83" s="332"/>
      <c r="CJ83" s="332"/>
      <c r="CK83" s="332"/>
      <c r="CL83" s="332"/>
      <c r="CM83" s="332"/>
      <c r="CN83" s="332"/>
      <c r="CO83" s="332"/>
      <c r="CP83" s="333" t="s">
        <v>27</v>
      </c>
      <c r="CQ83" s="333" t="s">
        <v>215</v>
      </c>
      <c r="CR83" s="334">
        <v>-17.502230999999998</v>
      </c>
      <c r="CS83" s="334">
        <v>-17.321304999999999</v>
      </c>
      <c r="CT83" s="334">
        <v>-17.140378999999999</v>
      </c>
      <c r="CU83" s="334">
        <v>-16.959453</v>
      </c>
      <c r="CV83" s="334">
        <v>-16.778527</v>
      </c>
      <c r="CW83" s="334">
        <v>-16.597600999999997</v>
      </c>
      <c r="CX83" s="334">
        <v>-16.428733199999996</v>
      </c>
      <c r="CY83" s="334">
        <v>-16.259865399999995</v>
      </c>
      <c r="CZ83" s="334">
        <v>-16.090997599999994</v>
      </c>
      <c r="DA83" s="334">
        <v>-15.922129799999995</v>
      </c>
      <c r="DB83" s="334">
        <v>-15.753261999999999</v>
      </c>
      <c r="DC83" s="334">
        <v>-15.688210999999999</v>
      </c>
      <c r="DD83" s="334">
        <v>-15.623159999999999</v>
      </c>
      <c r="DE83" s="334">
        <v>-15.558108999999998</v>
      </c>
      <c r="DF83" s="334">
        <v>-15.493057999999998</v>
      </c>
      <c r="DG83" s="334">
        <v>-15.428006999999999</v>
      </c>
      <c r="DH83" s="334">
        <v>-14.953935399999999</v>
      </c>
      <c r="DI83" s="334">
        <v>-14.479863799999999</v>
      </c>
      <c r="DJ83" s="334">
        <v>-14.005792199999998</v>
      </c>
      <c r="DK83" s="334">
        <v>-13.531720599999998</v>
      </c>
      <c r="DL83" s="334">
        <v>-13.057649</v>
      </c>
      <c r="DM83" s="334">
        <v>-13.1311158</v>
      </c>
      <c r="DN83" s="334">
        <v>-13.2045826</v>
      </c>
      <c r="DO83" s="334">
        <v>-13.2780494</v>
      </c>
      <c r="DP83" s="334">
        <v>-13.351516200000001</v>
      </c>
      <c r="DQ83" s="334">
        <v>-13.424983000000001</v>
      </c>
      <c r="DR83" s="334">
        <v>-4.699387333333334</v>
      </c>
      <c r="DS83" s="334">
        <v>4.0262083333333329</v>
      </c>
      <c r="DT83" s="334">
        <v>12.751804</v>
      </c>
      <c r="DU83" s="335">
        <v>-12.5151</v>
      </c>
      <c r="DV83" s="335">
        <v>-5.9756888597701163</v>
      </c>
      <c r="DW83" s="335">
        <v>-5.5065919862067858</v>
      </c>
      <c r="DX83" s="198">
        <v>-5.9756888597701163</v>
      </c>
      <c r="DY83" s="198">
        <v>-5.9756888597701163</v>
      </c>
      <c r="DZ83" s="198">
        <v>-5.9756888597701163</v>
      </c>
      <c r="EA83" s="198">
        <v>-0.46909687356333052</v>
      </c>
      <c r="EB83" s="198">
        <v>-5.9756888597701163</v>
      </c>
      <c r="EC83" s="198">
        <v>-5.9756888597701163</v>
      </c>
      <c r="ED83" s="198">
        <v>-5.9756888597701163</v>
      </c>
      <c r="EE83" s="198">
        <v>-5.9756888597701163</v>
      </c>
      <c r="EF83" s="198">
        <v>-0.46909687356333052</v>
      </c>
      <c r="EG83" s="198">
        <v>0</v>
      </c>
      <c r="EH83" s="198">
        <v>-7.7546311336762699</v>
      </c>
      <c r="EI83" s="336">
        <f t="shared" si="1"/>
        <v>-2.7722916000000004</v>
      </c>
      <c r="EJ83" s="336">
        <f>EI83-'[13]FAOSTAT21 CO2'!EH83</f>
        <v>-14.7784061</v>
      </c>
    </row>
    <row r="84" spans="1:140" x14ac:dyDescent="0.25">
      <c r="A84" s="31">
        <v>8</v>
      </c>
      <c r="B84" s="31" t="s">
        <v>216</v>
      </c>
      <c r="C84" s="31">
        <v>161</v>
      </c>
      <c r="D84" s="31">
        <v>0</v>
      </c>
      <c r="E84" s="31">
        <v>0</v>
      </c>
      <c r="F84" s="31">
        <v>0</v>
      </c>
      <c r="G84" s="31">
        <v>0</v>
      </c>
      <c r="H84" s="331" t="s">
        <v>2475</v>
      </c>
      <c r="I84" s="331" t="s">
        <v>217</v>
      </c>
      <c r="J84" s="331"/>
      <c r="K84" s="331"/>
      <c r="L84" s="331"/>
      <c r="M84" s="331"/>
      <c r="N84" s="331"/>
      <c r="O84" s="331"/>
      <c r="P84" s="331"/>
      <c r="Q84" s="331"/>
      <c r="R84" s="331"/>
      <c r="S84" s="331"/>
      <c r="T84" s="331"/>
      <c r="U84" s="331"/>
      <c r="V84" s="331"/>
      <c r="W84" s="331"/>
      <c r="X84" s="331"/>
      <c r="Y84" s="331"/>
      <c r="Z84" s="331"/>
      <c r="AA84" s="331"/>
      <c r="AB84" s="331"/>
      <c r="AC84" s="331"/>
      <c r="AD84" s="331"/>
      <c r="AE84" s="331"/>
      <c r="AF84" s="331"/>
      <c r="AG84" s="331"/>
      <c r="AH84" s="331"/>
      <c r="AI84" s="331"/>
      <c r="AJ84" s="331"/>
      <c r="AK84" s="331"/>
      <c r="AL84" s="331"/>
      <c r="AM84" s="331"/>
      <c r="AN84" s="331"/>
      <c r="AO84" s="331"/>
      <c r="AP84" s="331"/>
      <c r="AQ84" s="331"/>
      <c r="AR84" s="331"/>
      <c r="AS84" s="331"/>
      <c r="AT84" s="331"/>
      <c r="AU84" s="331"/>
      <c r="AV84" s="331"/>
      <c r="AW84" s="331"/>
      <c r="AX84" s="331"/>
      <c r="AY84" s="332" t="s">
        <v>2476</v>
      </c>
      <c r="AZ84" s="332" t="s">
        <v>217</v>
      </c>
      <c r="BA84" s="332"/>
      <c r="BB84" s="332"/>
      <c r="BC84" s="332"/>
      <c r="BD84" s="332"/>
      <c r="BE84" s="332"/>
      <c r="BF84" s="332"/>
      <c r="BG84" s="332"/>
      <c r="BH84" s="332"/>
      <c r="BI84" s="332"/>
      <c r="BJ84" s="332"/>
      <c r="BK84" s="332"/>
      <c r="BL84" s="332"/>
      <c r="BM84" s="332"/>
      <c r="BN84" s="332"/>
      <c r="BO84" s="332"/>
      <c r="BP84" s="332"/>
      <c r="BQ84" s="332"/>
      <c r="BR84" s="332"/>
      <c r="BS84" s="332"/>
      <c r="BT84" s="332"/>
      <c r="BU84" s="332"/>
      <c r="BV84" s="332"/>
      <c r="BW84" s="332"/>
      <c r="BX84" s="332"/>
      <c r="BY84" s="332"/>
      <c r="BZ84" s="332"/>
      <c r="CA84" s="332"/>
      <c r="CB84" s="332"/>
      <c r="CC84" s="332"/>
      <c r="CD84" s="332"/>
      <c r="CE84" s="332"/>
      <c r="CF84" s="332"/>
      <c r="CG84" s="332"/>
      <c r="CH84" s="332"/>
      <c r="CI84" s="332"/>
      <c r="CJ84" s="332"/>
      <c r="CK84" s="332"/>
      <c r="CL84" s="332"/>
      <c r="CM84" s="332"/>
      <c r="CN84" s="332"/>
      <c r="CO84" s="332"/>
      <c r="CP84" s="333" t="s">
        <v>27</v>
      </c>
      <c r="CQ84" s="333" t="s">
        <v>217</v>
      </c>
      <c r="CR84" s="334">
        <v>-11.288399999999999</v>
      </c>
      <c r="CS84" s="334">
        <v>-11.288399999999999</v>
      </c>
      <c r="CT84" s="334">
        <v>-11.288399999999999</v>
      </c>
      <c r="CU84" s="334">
        <v>-11.288399999999999</v>
      </c>
      <c r="CV84" s="334">
        <v>-11.288399999999999</v>
      </c>
      <c r="CW84" s="334">
        <v>-9.8926999999999996</v>
      </c>
      <c r="CX84" s="334">
        <v>-8.4969999999999999</v>
      </c>
      <c r="CY84" s="334">
        <v>-7.1013000000000002</v>
      </c>
      <c r="CZ84" s="334">
        <v>-5.7056000000000004</v>
      </c>
      <c r="DA84" s="334">
        <v>-4.3099000000000007</v>
      </c>
      <c r="DB84" s="334">
        <v>-2.914200000000001</v>
      </c>
      <c r="DC84" s="334">
        <v>-1.5185000000000011</v>
      </c>
      <c r="DD84" s="334">
        <v>-0.12280000000000113</v>
      </c>
      <c r="DE84" s="334">
        <v>1.2728999999999988</v>
      </c>
      <c r="DF84" s="334">
        <v>2.6685999999999988</v>
      </c>
      <c r="DG84" s="334">
        <v>4.0642999999999985</v>
      </c>
      <c r="DH84" s="334">
        <v>5.46</v>
      </c>
      <c r="DI84" s="334">
        <v>5.08</v>
      </c>
      <c r="DJ84" s="334">
        <v>4.7</v>
      </c>
      <c r="DK84" s="334">
        <v>4.32</v>
      </c>
      <c r="DL84" s="334">
        <v>3.94</v>
      </c>
      <c r="DM84" s="334">
        <v>2.4356333333333335</v>
      </c>
      <c r="DN84" s="334">
        <v>0.93126666666666691</v>
      </c>
      <c r="DO84" s="334">
        <v>-0.57310000000000005</v>
      </c>
      <c r="DP84" s="334">
        <v>7.3330028985506033</v>
      </c>
      <c r="DQ84" s="334">
        <v>8.126991130434817</v>
      </c>
      <c r="DR84" s="334">
        <v>8.9209793623188034</v>
      </c>
      <c r="DS84" s="334">
        <v>9.7149675942027898</v>
      </c>
      <c r="DT84" s="334">
        <v>10.508955826087004</v>
      </c>
      <c r="DU84" s="335">
        <v>11.30294405797099</v>
      </c>
      <c r="DV84" s="335">
        <v>12.096932289854976</v>
      </c>
      <c r="DW84" s="335">
        <v>12.89092052173919</v>
      </c>
      <c r="DX84" s="198">
        <v>12.096932289854976</v>
      </c>
      <c r="DY84" s="198">
        <v>12.096932289854976</v>
      </c>
      <c r="DZ84" s="198">
        <v>12.096932289854976</v>
      </c>
      <c r="EA84" s="198">
        <v>-0.79398823188421375</v>
      </c>
      <c r="EB84" s="198">
        <v>12.096932289854976</v>
      </c>
      <c r="EC84" s="198">
        <v>12.096932289854976</v>
      </c>
      <c r="ED84" s="198">
        <v>12.096932289854976</v>
      </c>
      <c r="EE84" s="198">
        <v>12.096932289854976</v>
      </c>
      <c r="EF84" s="198">
        <v>-0.79398823188421375</v>
      </c>
      <c r="EG84" s="198">
        <v>0</v>
      </c>
      <c r="EH84" s="198">
        <v>8.4957166409145053</v>
      </c>
      <c r="EI84" s="336">
        <f t="shared" si="1"/>
        <v>9.7149675942028804</v>
      </c>
      <c r="EJ84" s="336">
        <f>EI84-'[13]FAOSTAT21 CO2'!EH84</f>
        <v>8.2283343942028804</v>
      </c>
    </row>
    <row r="85" spans="1:140" x14ac:dyDescent="0.25">
      <c r="A85" s="31">
        <v>6</v>
      </c>
      <c r="B85" s="31" t="s">
        <v>218</v>
      </c>
      <c r="C85" s="31">
        <v>83</v>
      </c>
      <c r="D85" s="31">
        <v>0</v>
      </c>
      <c r="E85" s="31">
        <v>0</v>
      </c>
      <c r="F85" s="31">
        <v>0</v>
      </c>
      <c r="G85" s="31">
        <v>0</v>
      </c>
      <c r="H85" s="331" t="s">
        <v>2475</v>
      </c>
      <c r="I85" s="331" t="s">
        <v>219</v>
      </c>
      <c r="J85" s="331"/>
      <c r="K85" s="331"/>
      <c r="L85" s="331"/>
      <c r="M85" s="331"/>
      <c r="N85" s="331"/>
      <c r="O85" s="331"/>
      <c r="P85" s="331"/>
      <c r="Q85" s="331"/>
      <c r="R85" s="331"/>
      <c r="S85" s="331"/>
      <c r="T85" s="331"/>
      <c r="U85" s="331"/>
      <c r="V85" s="331"/>
      <c r="W85" s="331"/>
      <c r="X85" s="331"/>
      <c r="Y85" s="331"/>
      <c r="Z85" s="331"/>
      <c r="AA85" s="331"/>
      <c r="AB85" s="331"/>
      <c r="AC85" s="331"/>
      <c r="AD85" s="331"/>
      <c r="AE85" s="331"/>
      <c r="AF85" s="331"/>
      <c r="AG85" s="331"/>
      <c r="AH85" s="331"/>
      <c r="AI85" s="331"/>
      <c r="AJ85" s="331"/>
      <c r="AK85" s="331"/>
      <c r="AL85" s="331"/>
      <c r="AM85" s="331"/>
      <c r="AN85" s="331"/>
      <c r="AO85" s="331"/>
      <c r="AP85" s="331"/>
      <c r="AQ85" s="331"/>
      <c r="AR85" s="331"/>
      <c r="AS85" s="331"/>
      <c r="AT85" s="331"/>
      <c r="AU85" s="331"/>
      <c r="AV85" s="331"/>
      <c r="AW85" s="331"/>
      <c r="AX85" s="331"/>
      <c r="AY85" s="332" t="s">
        <v>2476</v>
      </c>
      <c r="AZ85" s="332" t="s">
        <v>219</v>
      </c>
      <c r="BA85" s="332"/>
      <c r="BB85" s="332"/>
      <c r="BC85" s="332"/>
      <c r="BD85" s="332"/>
      <c r="BE85" s="332"/>
      <c r="BF85" s="332"/>
      <c r="BG85" s="332"/>
      <c r="BH85" s="332"/>
      <c r="BI85" s="332"/>
      <c r="BJ85" s="332"/>
      <c r="BK85" s="332"/>
      <c r="BL85" s="332"/>
      <c r="BM85" s="332"/>
      <c r="BN85" s="332"/>
      <c r="BO85" s="332"/>
      <c r="BP85" s="332"/>
      <c r="BQ85" s="332"/>
      <c r="BR85" s="332"/>
      <c r="BS85" s="332"/>
      <c r="BT85" s="332"/>
      <c r="BU85" s="332"/>
      <c r="BV85" s="332"/>
      <c r="BW85" s="332"/>
      <c r="BX85" s="332"/>
      <c r="BY85" s="332"/>
      <c r="BZ85" s="332"/>
      <c r="CA85" s="332"/>
      <c r="CB85" s="332"/>
      <c r="CC85" s="332"/>
      <c r="CD85" s="332"/>
      <c r="CE85" s="332"/>
      <c r="CF85" s="332"/>
      <c r="CG85" s="332"/>
      <c r="CH85" s="332"/>
      <c r="CI85" s="332"/>
      <c r="CJ85" s="332"/>
      <c r="CK85" s="332"/>
      <c r="CL85" s="332"/>
      <c r="CM85" s="332"/>
      <c r="CN85" s="332"/>
      <c r="CO85" s="332"/>
      <c r="CP85" s="333" t="s">
        <v>27</v>
      </c>
      <c r="CQ85" s="333" t="s">
        <v>219</v>
      </c>
      <c r="CR85" s="334">
        <v>-60.656500000000001</v>
      </c>
      <c r="CS85" s="334">
        <v>-60.177500000000002</v>
      </c>
      <c r="CT85" s="334">
        <v>-59.6995</v>
      </c>
      <c r="CU85" s="334">
        <v>-59.220500000000001</v>
      </c>
      <c r="CV85" s="334">
        <v>-59.4955</v>
      </c>
      <c r="CW85" s="334">
        <v>-58.820500000000003</v>
      </c>
      <c r="CX85" s="334">
        <v>-58.375500000000002</v>
      </c>
      <c r="CY85" s="334">
        <v>-58.048500000000004</v>
      </c>
      <c r="CZ85" s="334">
        <v>-57.676500000000004</v>
      </c>
      <c r="DA85" s="334">
        <v>-57.016500000000001</v>
      </c>
      <c r="DB85" s="334">
        <v>-56.540700000000001</v>
      </c>
      <c r="DC85" s="334">
        <v>-56.100699999999996</v>
      </c>
      <c r="DD85" s="334">
        <v>-55.644500000000001</v>
      </c>
      <c r="DE85" s="334">
        <v>-55.119500000000002</v>
      </c>
      <c r="DF85" s="334">
        <v>-54.671500000000002</v>
      </c>
      <c r="DG85" s="334">
        <v>-54.441347619047633</v>
      </c>
      <c r="DH85" s="334">
        <v>-54.019316904761922</v>
      </c>
      <c r="DI85" s="334">
        <v>-53.597286190476211</v>
      </c>
      <c r="DJ85" s="334">
        <v>-53.1752554761905</v>
      </c>
      <c r="DK85" s="334">
        <v>-52.753224761904789</v>
      </c>
      <c r="DL85" s="334">
        <v>-52.331194047619078</v>
      </c>
      <c r="DM85" s="334">
        <v>-51.909163333333368</v>
      </c>
      <c r="DN85" s="334">
        <v>-51.487132619047657</v>
      </c>
      <c r="DO85" s="334">
        <v>-51.065101904761946</v>
      </c>
      <c r="DP85" s="334">
        <v>-50.643071190476235</v>
      </c>
      <c r="DQ85" s="334">
        <v>-50.22104047619041</v>
      </c>
      <c r="DR85" s="334">
        <v>-49.799009761904813</v>
      </c>
      <c r="DS85" s="334">
        <v>-49.376979047619102</v>
      </c>
      <c r="DT85" s="334">
        <v>-48.954948333333277</v>
      </c>
      <c r="DU85" s="335">
        <v>-48.53291761904768</v>
      </c>
      <c r="DV85" s="335">
        <v>-48.110886904761969</v>
      </c>
      <c r="DW85" s="335">
        <v>-47.688856190476258</v>
      </c>
      <c r="DX85" s="198">
        <v>-55</v>
      </c>
      <c r="DY85" s="198">
        <v>-107</v>
      </c>
      <c r="DZ85" s="198">
        <v>-107</v>
      </c>
      <c r="EA85" s="198">
        <v>-59.311143809523742</v>
      </c>
      <c r="EB85" s="198">
        <v>-48.110886904761969</v>
      </c>
      <c r="EC85" s="198">
        <v>-48.110886904761969</v>
      </c>
      <c r="ED85" s="198">
        <v>-48.110886904761969</v>
      </c>
      <c r="EE85" s="198">
        <v>-48.110886904761969</v>
      </c>
      <c r="EF85" s="198">
        <v>-0.42203071428571093</v>
      </c>
      <c r="EG85" s="198">
        <v>58.889113095238031</v>
      </c>
      <c r="EH85" s="198">
        <v>-60.550741414337793</v>
      </c>
      <c r="EI85" s="336">
        <f t="shared" si="1"/>
        <v>-49.376979047619059</v>
      </c>
      <c r="EJ85" s="336">
        <f>EI85-'[13]FAOSTAT21 CO2'!EH85</f>
        <v>-63.981981507619061</v>
      </c>
    </row>
    <row r="86" spans="1:140" x14ac:dyDescent="0.25">
      <c r="A86" s="31">
        <v>4</v>
      </c>
      <c r="B86" s="31" t="s">
        <v>220</v>
      </c>
      <c r="C86" s="31">
        <v>84</v>
      </c>
      <c r="D86" s="31">
        <v>0</v>
      </c>
      <c r="E86" s="31">
        <v>0</v>
      </c>
      <c r="F86" s="31">
        <v>0</v>
      </c>
      <c r="G86" s="31">
        <v>0</v>
      </c>
      <c r="H86" s="331" t="s">
        <v>2475</v>
      </c>
      <c r="I86" s="331" t="s">
        <v>221</v>
      </c>
      <c r="J86" s="331"/>
      <c r="K86" s="331"/>
      <c r="L86" s="331"/>
      <c r="M86" s="331"/>
      <c r="N86" s="331"/>
      <c r="O86" s="331"/>
      <c r="P86" s="331"/>
      <c r="Q86" s="331"/>
      <c r="R86" s="331"/>
      <c r="S86" s="331"/>
      <c r="T86" s="331"/>
      <c r="U86" s="331"/>
      <c r="V86" s="331"/>
      <c r="W86" s="331"/>
      <c r="X86" s="331"/>
      <c r="Y86" s="331"/>
      <c r="Z86" s="331"/>
      <c r="AA86" s="331"/>
      <c r="AB86" s="331"/>
      <c r="AC86" s="331"/>
      <c r="AD86" s="331"/>
      <c r="AE86" s="331"/>
      <c r="AF86" s="331"/>
      <c r="AG86" s="331"/>
      <c r="AH86" s="331"/>
      <c r="AI86" s="331"/>
      <c r="AJ86" s="331"/>
      <c r="AK86" s="331"/>
      <c r="AL86" s="331"/>
      <c r="AM86" s="331"/>
      <c r="AN86" s="331"/>
      <c r="AO86" s="331"/>
      <c r="AP86" s="331"/>
      <c r="AQ86" s="331"/>
      <c r="AR86" s="331"/>
      <c r="AS86" s="331"/>
      <c r="AT86" s="331"/>
      <c r="AU86" s="331"/>
      <c r="AV86" s="331"/>
      <c r="AW86" s="331"/>
      <c r="AX86" s="331"/>
      <c r="AY86" s="332" t="s">
        <v>2476</v>
      </c>
      <c r="AZ86" s="332" t="s">
        <v>221</v>
      </c>
      <c r="BA86" s="332"/>
      <c r="BB86" s="332"/>
      <c r="BC86" s="332"/>
      <c r="BD86" s="332"/>
      <c r="BE86" s="332"/>
      <c r="BF86" s="332"/>
      <c r="BG86" s="332"/>
      <c r="BH86" s="332"/>
      <c r="BI86" s="332"/>
      <c r="BJ86" s="332"/>
      <c r="BK86" s="332"/>
      <c r="BL86" s="332"/>
      <c r="BM86" s="332"/>
      <c r="BN86" s="332"/>
      <c r="BO86" s="332"/>
      <c r="BP86" s="332"/>
      <c r="BQ86" s="332"/>
      <c r="BR86" s="332"/>
      <c r="BS86" s="332"/>
      <c r="BT86" s="332"/>
      <c r="BU86" s="332"/>
      <c r="BV86" s="332"/>
      <c r="BW86" s="332"/>
      <c r="BX86" s="332"/>
      <c r="BY86" s="332"/>
      <c r="BZ86" s="332"/>
      <c r="CA86" s="332"/>
      <c r="CB86" s="332"/>
      <c r="CC86" s="332"/>
      <c r="CD86" s="332"/>
      <c r="CE86" s="332"/>
      <c r="CF86" s="332"/>
      <c r="CG86" s="332"/>
      <c r="CH86" s="332"/>
      <c r="CI86" s="332"/>
      <c r="CJ86" s="332"/>
      <c r="CK86" s="332"/>
      <c r="CL86" s="332"/>
      <c r="CM86" s="332"/>
      <c r="CN86" s="332"/>
      <c r="CO86" s="332"/>
      <c r="CP86" s="333" t="s">
        <v>27</v>
      </c>
      <c r="CQ86" s="333" t="s">
        <v>221</v>
      </c>
      <c r="CR86" s="334">
        <v>1.2400499999999999</v>
      </c>
      <c r="CS86" s="334">
        <v>1.2400499999999999</v>
      </c>
      <c r="CT86" s="334">
        <v>1.2400499999999999</v>
      </c>
      <c r="CU86" s="334">
        <v>1.2400499999999999</v>
      </c>
      <c r="CV86" s="334">
        <v>1.2400499999999999</v>
      </c>
      <c r="CW86" s="334">
        <v>1.1450100000000001</v>
      </c>
      <c r="CX86" s="334">
        <v>1.13097</v>
      </c>
      <c r="CY86" s="334">
        <v>1.1456300000000001</v>
      </c>
      <c r="CZ86" s="334">
        <v>1.04156</v>
      </c>
      <c r="DA86" s="334">
        <v>1.0676600000000001</v>
      </c>
      <c r="DB86" s="334">
        <v>1.1492</v>
      </c>
      <c r="DC86" s="334">
        <v>1.0598145454545431</v>
      </c>
      <c r="DD86" s="334">
        <v>1.0412945454545408</v>
      </c>
      <c r="DE86" s="334">
        <v>1.0227745454545456</v>
      </c>
      <c r="DF86" s="334">
        <v>1.0042545454545433</v>
      </c>
      <c r="DG86" s="334">
        <v>0.98573454545454098</v>
      </c>
      <c r="DH86" s="334">
        <v>0.96721454545454577</v>
      </c>
      <c r="DI86" s="334">
        <v>0.94869454545454346</v>
      </c>
      <c r="DJ86" s="334">
        <v>0.93017454545454825</v>
      </c>
      <c r="DK86" s="334">
        <v>0.91165454545454594</v>
      </c>
      <c r="DL86" s="334">
        <v>0.89313454545454363</v>
      </c>
      <c r="DM86" s="334">
        <v>0.87461454545454131</v>
      </c>
      <c r="DN86" s="334">
        <v>0.85609454545454611</v>
      </c>
      <c r="DO86" s="334">
        <v>0.8375745454545438</v>
      </c>
      <c r="DP86" s="334">
        <v>0.81905454545454148</v>
      </c>
      <c r="DQ86" s="334">
        <v>0.80053454545454628</v>
      </c>
      <c r="DR86" s="334">
        <v>0.78201454545454396</v>
      </c>
      <c r="DS86" s="334">
        <v>0.76349454545454165</v>
      </c>
      <c r="DT86" s="334">
        <v>0.74497454545454644</v>
      </c>
      <c r="DU86" s="335">
        <v>0.72645454545454413</v>
      </c>
      <c r="DV86" s="335">
        <v>0.70793454545454182</v>
      </c>
      <c r="DW86" s="335">
        <v>0.68941454545453951</v>
      </c>
      <c r="DX86" s="198">
        <v>0.70793454545454182</v>
      </c>
      <c r="DY86" s="198">
        <v>-3.2920654545454582</v>
      </c>
      <c r="DZ86" s="198">
        <v>-3.2920654545454582</v>
      </c>
      <c r="EA86" s="198">
        <v>-3.9814799999999977</v>
      </c>
      <c r="EB86" s="198">
        <v>0.70793454545454182</v>
      </c>
      <c r="EC86" s="198">
        <v>0.70793454545454182</v>
      </c>
      <c r="ED86" s="198">
        <v>0.70793454545454182</v>
      </c>
      <c r="EE86" s="198">
        <v>0.70793454545454182</v>
      </c>
      <c r="EF86" s="198">
        <v>1.8520000000002312E-2</v>
      </c>
      <c r="EG86" s="198">
        <v>4</v>
      </c>
      <c r="EH86" s="198">
        <v>0.42090361726755232</v>
      </c>
      <c r="EI86" s="336">
        <f t="shared" si="1"/>
        <v>0.76349454545454454</v>
      </c>
      <c r="EJ86" s="336">
        <f>EI86-'[13]FAOSTAT21 CO2'!EH86</f>
        <v>0.12550908545454442</v>
      </c>
    </row>
    <row r="87" spans="1:140" x14ac:dyDescent="0.25">
      <c r="A87" s="31">
        <v>4</v>
      </c>
      <c r="B87" s="31" t="s">
        <v>222</v>
      </c>
      <c r="C87" s="31">
        <v>86</v>
      </c>
      <c r="D87" s="31">
        <v>0</v>
      </c>
      <c r="E87" s="31">
        <v>0</v>
      </c>
      <c r="F87" s="31">
        <v>0</v>
      </c>
      <c r="G87" s="31">
        <v>0</v>
      </c>
      <c r="H87" s="331" t="s">
        <v>2475</v>
      </c>
      <c r="I87" s="331" t="s">
        <v>223</v>
      </c>
      <c r="J87" s="331"/>
      <c r="K87" s="331"/>
      <c r="L87" s="331"/>
      <c r="M87" s="331"/>
      <c r="N87" s="331"/>
      <c r="O87" s="331"/>
      <c r="P87" s="331"/>
      <c r="Q87" s="331"/>
      <c r="R87" s="331"/>
      <c r="S87" s="331"/>
      <c r="T87" s="331"/>
      <c r="U87" s="331"/>
      <c r="V87" s="331"/>
      <c r="W87" s="331"/>
      <c r="X87" s="331"/>
      <c r="Y87" s="331"/>
      <c r="Z87" s="331"/>
      <c r="AA87" s="331"/>
      <c r="AB87" s="331"/>
      <c r="AC87" s="331"/>
      <c r="AD87" s="331"/>
      <c r="AE87" s="331"/>
      <c r="AF87" s="331"/>
      <c r="AG87" s="331"/>
      <c r="AH87" s="331"/>
      <c r="AI87" s="331"/>
      <c r="AJ87" s="331"/>
      <c r="AK87" s="331"/>
      <c r="AL87" s="331"/>
      <c r="AM87" s="331"/>
      <c r="AN87" s="331"/>
      <c r="AO87" s="331"/>
      <c r="AP87" s="331"/>
      <c r="AQ87" s="331"/>
      <c r="AR87" s="331"/>
      <c r="AS87" s="331"/>
      <c r="AT87" s="331"/>
      <c r="AU87" s="331"/>
      <c r="AV87" s="331"/>
      <c r="AW87" s="331"/>
      <c r="AX87" s="331"/>
      <c r="AY87" s="332" t="s">
        <v>2476</v>
      </c>
      <c r="AZ87" s="332" t="s">
        <v>223</v>
      </c>
      <c r="BA87" s="332"/>
      <c r="BB87" s="332"/>
      <c r="BC87" s="332"/>
      <c r="BD87" s="332"/>
      <c r="BE87" s="332"/>
      <c r="BF87" s="332"/>
      <c r="BG87" s="332"/>
      <c r="BH87" s="332"/>
      <c r="BI87" s="332"/>
      <c r="BJ87" s="332"/>
      <c r="BK87" s="332"/>
      <c r="BL87" s="332"/>
      <c r="BM87" s="332"/>
      <c r="BN87" s="332"/>
      <c r="BO87" s="332"/>
      <c r="BP87" s="332"/>
      <c r="BQ87" s="332"/>
      <c r="BR87" s="332"/>
      <c r="BS87" s="332"/>
      <c r="BT87" s="332"/>
      <c r="BU87" s="332"/>
      <c r="BV87" s="332"/>
      <c r="BW87" s="332"/>
      <c r="BX87" s="332"/>
      <c r="BY87" s="332"/>
      <c r="BZ87" s="332"/>
      <c r="CA87" s="332"/>
      <c r="CB87" s="332"/>
      <c r="CC87" s="332"/>
      <c r="CD87" s="332"/>
      <c r="CE87" s="332"/>
      <c r="CF87" s="332"/>
      <c r="CG87" s="332"/>
      <c r="CH87" s="332"/>
      <c r="CI87" s="332"/>
      <c r="CJ87" s="332"/>
      <c r="CK87" s="332"/>
      <c r="CL87" s="332"/>
      <c r="CM87" s="332"/>
      <c r="CN87" s="332"/>
      <c r="CO87" s="332"/>
      <c r="CP87" s="333" t="s">
        <v>27</v>
      </c>
      <c r="CQ87" s="333" t="s">
        <v>223</v>
      </c>
      <c r="CR87" s="334">
        <v>-9.6300000000000008</v>
      </c>
      <c r="CS87" s="334">
        <v>-9.6300000000000008</v>
      </c>
      <c r="CT87" s="334">
        <v>-9.6300000000000008</v>
      </c>
      <c r="CU87" s="334">
        <v>-9.6300000000000008</v>
      </c>
      <c r="CV87" s="334">
        <v>-9.6300000000000008</v>
      </c>
      <c r="CW87" s="334">
        <v>-9.6300000000000008</v>
      </c>
      <c r="CX87" s="334">
        <v>-9.6300000000000008</v>
      </c>
      <c r="CY87" s="334">
        <v>-9.6300000000000008</v>
      </c>
      <c r="CZ87" s="334">
        <v>-9.6300000000000008</v>
      </c>
      <c r="DA87" s="334">
        <v>-9.6300000000000008</v>
      </c>
      <c r="DB87" s="334">
        <v>-9.6300000000000008</v>
      </c>
      <c r="DC87" s="334">
        <v>-9.6300000000000008</v>
      </c>
      <c r="DD87" s="334">
        <v>-9.6300000000000008</v>
      </c>
      <c r="DE87" s="334">
        <v>-9.6300000000000008</v>
      </c>
      <c r="DF87" s="334">
        <v>-9.6300000000000008</v>
      </c>
      <c r="DG87" s="334">
        <v>-9.6300000000000008</v>
      </c>
      <c r="DH87" s="334">
        <v>-9.6739999999999995</v>
      </c>
      <c r="DI87" s="334">
        <v>-6.9980000000000002</v>
      </c>
      <c r="DJ87" s="334">
        <v>-7.15</v>
      </c>
      <c r="DK87" s="334">
        <v>-7.274</v>
      </c>
      <c r="DL87" s="334">
        <v>-7.2930000000000001</v>
      </c>
      <c r="DM87" s="334">
        <v>-7.2030000000000003</v>
      </c>
      <c r="DN87" s="334">
        <v>-7.1879999999999997</v>
      </c>
      <c r="DO87" s="334">
        <v>-7.5640000000000001</v>
      </c>
      <c r="DP87" s="334">
        <v>-7.4930000000000003</v>
      </c>
      <c r="DQ87" s="334">
        <v>-7.4420000000000002</v>
      </c>
      <c r="DR87" s="334">
        <v>-7.2004061538461599</v>
      </c>
      <c r="DS87" s="334">
        <v>-7.0803251282051178</v>
      </c>
      <c r="DT87" s="334">
        <v>-6.9602441025641042</v>
      </c>
      <c r="DU87" s="335">
        <v>-6.8401630769230621</v>
      </c>
      <c r="DV87" s="335">
        <v>-6.7200820512820485</v>
      </c>
      <c r="DW87" s="335">
        <v>-6.6000010256410349</v>
      </c>
      <c r="DX87" s="198">
        <v>-6.7200820512820485</v>
      </c>
      <c r="DY87" s="198">
        <v>-6.7200820512820485</v>
      </c>
      <c r="DZ87" s="198">
        <v>-6.7200820512820485</v>
      </c>
      <c r="EA87" s="198">
        <v>-0.12008102564101364</v>
      </c>
      <c r="EB87" s="198">
        <v>-6.7200820512820485</v>
      </c>
      <c r="EC87" s="198">
        <v>-6.7200820512820485</v>
      </c>
      <c r="ED87" s="198">
        <v>-6.7200820512820485</v>
      </c>
      <c r="EE87" s="198">
        <v>-6.7200820512820485</v>
      </c>
      <c r="EF87" s="198">
        <v>-0.12008102564101364</v>
      </c>
      <c r="EG87" s="198">
        <v>0</v>
      </c>
      <c r="EH87" s="198">
        <v>-9.4447285614106775</v>
      </c>
      <c r="EI87" s="336">
        <f t="shared" si="1"/>
        <v>-7.1046276923076892</v>
      </c>
      <c r="EJ87" s="336">
        <f>EI87-'[13]FAOSTAT21 CO2'!EH87</f>
        <v>-12.703691772307689</v>
      </c>
    </row>
    <row r="88" spans="1:140" x14ac:dyDescent="0.25">
      <c r="A88" s="31">
        <v>20</v>
      </c>
      <c r="B88" s="31" t="s">
        <v>224</v>
      </c>
      <c r="C88" s="31">
        <v>87</v>
      </c>
      <c r="D88" s="31">
        <v>0</v>
      </c>
      <c r="E88" s="31">
        <v>0</v>
      </c>
      <c r="F88" s="31">
        <v>0</v>
      </c>
      <c r="G88" s="31">
        <v>0</v>
      </c>
      <c r="H88" s="331" t="s">
        <v>2475</v>
      </c>
      <c r="I88" s="331" t="s">
        <v>225</v>
      </c>
      <c r="J88" s="331"/>
      <c r="K88" s="331"/>
      <c r="L88" s="331"/>
      <c r="M88" s="331"/>
      <c r="N88" s="331"/>
      <c r="O88" s="331"/>
      <c r="P88" s="331"/>
      <c r="Q88" s="331"/>
      <c r="R88" s="331"/>
      <c r="S88" s="331"/>
      <c r="T88" s="331"/>
      <c r="U88" s="331"/>
      <c r="V88" s="331"/>
      <c r="W88" s="331"/>
      <c r="X88" s="331"/>
      <c r="Y88" s="331"/>
      <c r="Z88" s="331"/>
      <c r="AA88" s="331"/>
      <c r="AB88" s="331"/>
      <c r="AC88" s="331"/>
      <c r="AD88" s="331"/>
      <c r="AE88" s="331"/>
      <c r="AF88" s="331"/>
      <c r="AG88" s="331"/>
      <c r="AH88" s="331"/>
      <c r="AI88" s="331"/>
      <c r="AJ88" s="331"/>
      <c r="AK88" s="331"/>
      <c r="AL88" s="331"/>
      <c r="AM88" s="331"/>
      <c r="AN88" s="331"/>
      <c r="AO88" s="331"/>
      <c r="AP88" s="331"/>
      <c r="AQ88" s="331"/>
      <c r="AR88" s="331"/>
      <c r="AS88" s="331"/>
      <c r="AT88" s="331"/>
      <c r="AU88" s="331"/>
      <c r="AV88" s="331"/>
      <c r="AW88" s="331"/>
      <c r="AX88" s="331"/>
      <c r="AY88" s="332" t="s">
        <v>2476</v>
      </c>
      <c r="AZ88" s="332" t="s">
        <v>225</v>
      </c>
      <c r="BA88" s="332"/>
      <c r="BB88" s="332"/>
      <c r="BC88" s="332"/>
      <c r="BD88" s="332"/>
      <c r="BE88" s="332"/>
      <c r="BF88" s="332"/>
      <c r="BG88" s="332"/>
      <c r="BH88" s="332"/>
      <c r="BI88" s="332"/>
      <c r="BJ88" s="332"/>
      <c r="BK88" s="332"/>
      <c r="BL88" s="332"/>
      <c r="BM88" s="332"/>
      <c r="BN88" s="332"/>
      <c r="BO88" s="332"/>
      <c r="BP88" s="332"/>
      <c r="BQ88" s="332"/>
      <c r="BR88" s="332"/>
      <c r="BS88" s="332"/>
      <c r="BT88" s="332"/>
      <c r="BU88" s="332"/>
      <c r="BV88" s="332"/>
      <c r="BW88" s="332"/>
      <c r="BX88" s="332"/>
      <c r="BY88" s="332"/>
      <c r="BZ88" s="332"/>
      <c r="CA88" s="332"/>
      <c r="CB88" s="332"/>
      <c r="CC88" s="332"/>
      <c r="CD88" s="332"/>
      <c r="CE88" s="332"/>
      <c r="CF88" s="332"/>
      <c r="CG88" s="332"/>
      <c r="CH88" s="332"/>
      <c r="CI88" s="332"/>
      <c r="CJ88" s="332"/>
      <c r="CK88" s="332"/>
      <c r="CL88" s="332"/>
      <c r="CM88" s="332"/>
      <c r="CN88" s="332"/>
      <c r="CO88" s="332"/>
      <c r="CP88" s="333" t="s">
        <v>27</v>
      </c>
      <c r="CQ88" s="333" t="s">
        <v>225</v>
      </c>
      <c r="CR88" s="334">
        <v>-0.46389999999999998</v>
      </c>
      <c r="CS88" s="334">
        <v>-0.46389999999999998</v>
      </c>
      <c r="CT88" s="334">
        <v>-0.46389999999999998</v>
      </c>
      <c r="CU88" s="334">
        <v>-0.46389999999999998</v>
      </c>
      <c r="CV88" s="334">
        <v>-0.46389999999999998</v>
      </c>
      <c r="CW88" s="334">
        <v>-0.46389999999999998</v>
      </c>
      <c r="CX88" s="334">
        <v>-0.46389999999999998</v>
      </c>
      <c r="CY88" s="334">
        <v>-0.46389999999999998</v>
      </c>
      <c r="CZ88" s="334">
        <v>-0.46389999999999998</v>
      </c>
      <c r="DA88" s="334">
        <v>-0.46389999999999998</v>
      </c>
      <c r="DB88" s="334">
        <v>-0.46389999999999998</v>
      </c>
      <c r="DC88" s="334">
        <v>-0.46389999999999998</v>
      </c>
      <c r="DD88" s="334">
        <v>-0.46389999999999998</v>
      </c>
      <c r="DE88" s="334">
        <v>-0.46389999999999998</v>
      </c>
      <c r="DF88" s="334">
        <v>-0.46389999999999998</v>
      </c>
      <c r="DG88" s="334">
        <v>-0.46389999999999998</v>
      </c>
      <c r="DH88" s="334">
        <v>-0.46389999999999998</v>
      </c>
      <c r="DI88" s="334">
        <v>-0.46389999999999998</v>
      </c>
      <c r="DJ88" s="334">
        <v>-0.46389999999999998</v>
      </c>
      <c r="DK88" s="334">
        <v>-0.46389999999999998</v>
      </c>
      <c r="DL88" s="334">
        <v>-0.46389999999999998</v>
      </c>
      <c r="DM88" s="334">
        <v>-0.46389999999999998</v>
      </c>
      <c r="DN88" s="334">
        <v>-0.46389999999999998</v>
      </c>
      <c r="DO88" s="334">
        <v>-0.46389999999999998</v>
      </c>
      <c r="DP88" s="334">
        <v>-0.46389999999999998</v>
      </c>
      <c r="DQ88" s="334">
        <v>-0.46389999999999998</v>
      </c>
      <c r="DR88" s="334">
        <v>-0.46389999999999998</v>
      </c>
      <c r="DS88" s="334">
        <v>-0.46389999999999998</v>
      </c>
      <c r="DT88" s="334">
        <v>-0.46390000000000015</v>
      </c>
      <c r="DU88" s="335">
        <v>-0.4639000000000002</v>
      </c>
      <c r="DV88" s="335">
        <v>-0.4639000000000002</v>
      </c>
      <c r="DW88" s="335">
        <v>-0.46390000000000026</v>
      </c>
      <c r="DX88" s="198">
        <v>-0.4639000000000002</v>
      </c>
      <c r="DY88" s="198">
        <v>-0.4639000000000002</v>
      </c>
      <c r="DZ88" s="198">
        <v>-0.4639000000000002</v>
      </c>
      <c r="EA88" s="198">
        <v>0</v>
      </c>
      <c r="EB88" s="198">
        <v>-0.4639000000000002</v>
      </c>
      <c r="EC88" s="198">
        <v>-0.4639000000000002</v>
      </c>
      <c r="ED88" s="198">
        <v>-0.4639000000000002</v>
      </c>
      <c r="EE88" s="198">
        <v>-0.4639000000000002</v>
      </c>
      <c r="EF88" s="198">
        <v>0</v>
      </c>
      <c r="EG88" s="198">
        <v>0</v>
      </c>
      <c r="EH88" s="198">
        <v>-0.54816983140006814</v>
      </c>
      <c r="EI88" s="336">
        <f t="shared" si="1"/>
        <v>-0.46390000000000009</v>
      </c>
      <c r="EJ88" s="336">
        <f>EI88-'[13]FAOSTAT21 CO2'!EH88</f>
        <v>-0.46390000000000009</v>
      </c>
    </row>
    <row r="89" spans="1:140" x14ac:dyDescent="0.25">
      <c r="A89" s="31">
        <v>12</v>
      </c>
      <c r="B89" s="31" t="s">
        <v>226</v>
      </c>
      <c r="C89" s="31">
        <v>88</v>
      </c>
      <c r="D89" s="31">
        <v>1</v>
      </c>
      <c r="E89" s="31">
        <v>0</v>
      </c>
      <c r="F89" s="31">
        <v>1</v>
      </c>
      <c r="G89" s="31">
        <v>0</v>
      </c>
      <c r="H89" s="331" t="s">
        <v>2475</v>
      </c>
      <c r="I89" s="331" t="s">
        <v>227</v>
      </c>
      <c r="J89" s="331"/>
      <c r="K89" s="331"/>
      <c r="L89" s="331"/>
      <c r="M89" s="331"/>
      <c r="N89" s="331"/>
      <c r="O89" s="331"/>
      <c r="P89" s="331"/>
      <c r="Q89" s="331"/>
      <c r="R89" s="331"/>
      <c r="S89" s="331"/>
      <c r="T89" s="331"/>
      <c r="U89" s="331"/>
      <c r="V89" s="331"/>
      <c r="W89" s="331"/>
      <c r="X89" s="331"/>
      <c r="Y89" s="331"/>
      <c r="Z89" s="331"/>
      <c r="AA89" s="331"/>
      <c r="AB89" s="331"/>
      <c r="AC89" s="331"/>
      <c r="AD89" s="331"/>
      <c r="AE89" s="331"/>
      <c r="AF89" s="331"/>
      <c r="AG89" s="331"/>
      <c r="AH89" s="331"/>
      <c r="AI89" s="331"/>
      <c r="AJ89" s="331"/>
      <c r="AK89" s="331"/>
      <c r="AL89" s="331"/>
      <c r="AM89" s="331"/>
      <c r="AN89" s="331"/>
      <c r="AO89" s="331"/>
      <c r="AP89" s="331"/>
      <c r="AQ89" s="331"/>
      <c r="AR89" s="331"/>
      <c r="AS89" s="331"/>
      <c r="AT89" s="331"/>
      <c r="AU89" s="331"/>
      <c r="AV89" s="331"/>
      <c r="AW89" s="331"/>
      <c r="AX89" s="331"/>
      <c r="AY89" s="332" t="s">
        <v>2476</v>
      </c>
      <c r="AZ89" s="332" t="s">
        <v>227</v>
      </c>
      <c r="BA89" s="332"/>
      <c r="BB89" s="332"/>
      <c r="BC89" s="332"/>
      <c r="BD89" s="332"/>
      <c r="BE89" s="332"/>
      <c r="BF89" s="332"/>
      <c r="BG89" s="332"/>
      <c r="BH89" s="332"/>
      <c r="BI89" s="332"/>
      <c r="BJ89" s="332"/>
      <c r="BK89" s="332"/>
      <c r="BL89" s="332"/>
      <c r="BM89" s="332"/>
      <c r="BN89" s="332"/>
      <c r="BO89" s="332"/>
      <c r="BP89" s="332"/>
      <c r="BQ89" s="332"/>
      <c r="BR89" s="332"/>
      <c r="BS89" s="332"/>
      <c r="BT89" s="332"/>
      <c r="BU89" s="332"/>
      <c r="BV89" s="332"/>
      <c r="BW89" s="332"/>
      <c r="BX89" s="332"/>
      <c r="BY89" s="332"/>
      <c r="BZ89" s="332"/>
      <c r="CA89" s="332"/>
      <c r="CB89" s="332"/>
      <c r="CC89" s="332"/>
      <c r="CD89" s="332"/>
      <c r="CE89" s="332"/>
      <c r="CF89" s="332"/>
      <c r="CG89" s="332"/>
      <c r="CH89" s="332"/>
      <c r="CI89" s="332"/>
      <c r="CJ89" s="332"/>
      <c r="CK89" s="332"/>
      <c r="CL89" s="332"/>
      <c r="CM89" s="332"/>
      <c r="CN89" s="332"/>
      <c r="CO89" s="332"/>
      <c r="CP89" s="333" t="s">
        <v>27</v>
      </c>
      <c r="CQ89" s="333" t="s">
        <v>227</v>
      </c>
      <c r="CR89" s="334">
        <v>-3.3622952537188282</v>
      </c>
      <c r="CS89" s="334">
        <v>-2.5172960311350914</v>
      </c>
      <c r="CT89" s="334">
        <v>-3.0831457224515408</v>
      </c>
      <c r="CU89" s="334">
        <v>-5.7671219680127539</v>
      </c>
      <c r="CV89" s="334">
        <v>-6.4134115991914404</v>
      </c>
      <c r="CW89" s="334">
        <v>-6.3617717846108661</v>
      </c>
      <c r="CX89" s="334">
        <v>-2.6880894084806051</v>
      </c>
      <c r="CY89" s="334">
        <v>-3.1517279269428329</v>
      </c>
      <c r="CZ89" s="334">
        <v>-4.2189241688296981</v>
      </c>
      <c r="DA89" s="334">
        <v>-2.0057087088068171</v>
      </c>
      <c r="DB89" s="334">
        <v>-1.1012815362609354</v>
      </c>
      <c r="DC89" s="334">
        <v>-2.7698059582124146</v>
      </c>
      <c r="DD89" s="334">
        <v>-2.0658327004880812</v>
      </c>
      <c r="DE89" s="334">
        <v>-4.4366296508821952</v>
      </c>
      <c r="DF89" s="334">
        <v>-3.469467213707826</v>
      </c>
      <c r="DG89" s="334">
        <v>-6.0001885626494262</v>
      </c>
      <c r="DH89" s="334">
        <v>-4.04882415932929</v>
      </c>
      <c r="DI89" s="334">
        <v>-4.3910107473089326</v>
      </c>
      <c r="DJ89" s="334">
        <v>-6.0685193420476553</v>
      </c>
      <c r="DK89" s="334">
        <v>-4.6177450482320772</v>
      </c>
      <c r="DL89" s="334">
        <v>-4.83393130747179</v>
      </c>
      <c r="DM89" s="334">
        <v>-4.1830181070649903</v>
      </c>
      <c r="DN89" s="334">
        <v>-4.7667222614168638</v>
      </c>
      <c r="DO89" s="334">
        <v>-4.0751209406978788</v>
      </c>
      <c r="DP89" s="334">
        <v>-5.1049481596754696</v>
      </c>
      <c r="DQ89" s="334">
        <v>-5.6901826044548924</v>
      </c>
      <c r="DR89" s="334">
        <v>-4.5640649513372997</v>
      </c>
      <c r="DS89" s="334">
        <v>-5.3677904482933467</v>
      </c>
      <c r="DT89" s="334">
        <v>-4.8143023938472949</v>
      </c>
      <c r="DU89" s="335">
        <v>-5.3907916565778313</v>
      </c>
      <c r="DV89" s="335">
        <v>-7.1122207028328503</v>
      </c>
      <c r="DW89" s="335">
        <v>-7.2001190601998495</v>
      </c>
      <c r="DX89" s="198">
        <v>-7.1122207028328503</v>
      </c>
      <c r="DY89" s="198">
        <v>-7.1122207028328503</v>
      </c>
      <c r="DZ89" s="198">
        <v>-7.1122207028328503</v>
      </c>
      <c r="EA89" s="198">
        <v>8.7898357366999136E-2</v>
      </c>
      <c r="EB89" s="198">
        <v>-7.1122207028328503</v>
      </c>
      <c r="EC89" s="198">
        <v>-7.1122207028328503</v>
      </c>
      <c r="ED89" s="198">
        <v>-7.1122207028328503</v>
      </c>
      <c r="EE89" s="198">
        <v>-7.1122207028328503</v>
      </c>
      <c r="EF89" s="198">
        <v>8.7898357366999136E-2</v>
      </c>
      <c r="EG89" s="198">
        <v>0</v>
      </c>
      <c r="EH89" s="198">
        <v>-8.072733310296158</v>
      </c>
      <c r="EI89" s="336">
        <f t="shared" si="1"/>
        <v>-5.1654264109021337</v>
      </c>
      <c r="EJ89" s="336">
        <f>EI89-'[13]FAOSTAT21 CO2'!EH89</f>
        <v>-6.9499059909021339</v>
      </c>
    </row>
    <row r="90" spans="1:140" x14ac:dyDescent="0.25">
      <c r="A90" s="31">
        <v>11</v>
      </c>
      <c r="B90" s="31" t="s">
        <v>228</v>
      </c>
      <c r="C90" s="31">
        <v>89</v>
      </c>
      <c r="D90" s="31">
        <v>0</v>
      </c>
      <c r="E90" s="31">
        <v>0</v>
      </c>
      <c r="F90" s="31">
        <v>1</v>
      </c>
      <c r="G90" s="31">
        <v>0</v>
      </c>
      <c r="H90" s="331" t="s">
        <v>2475</v>
      </c>
      <c r="I90" s="331" t="s">
        <v>229</v>
      </c>
      <c r="J90" s="331"/>
      <c r="K90" s="331"/>
      <c r="L90" s="331"/>
      <c r="M90" s="331"/>
      <c r="N90" s="331"/>
      <c r="O90" s="331"/>
      <c r="P90" s="331"/>
      <c r="Q90" s="331"/>
      <c r="R90" s="331"/>
      <c r="S90" s="331"/>
      <c r="T90" s="331"/>
      <c r="U90" s="331"/>
      <c r="V90" s="331"/>
      <c r="W90" s="331"/>
      <c r="X90" s="331"/>
      <c r="Y90" s="331"/>
      <c r="Z90" s="331"/>
      <c r="AA90" s="331"/>
      <c r="AB90" s="331"/>
      <c r="AC90" s="331"/>
      <c r="AD90" s="331"/>
      <c r="AE90" s="331"/>
      <c r="AF90" s="331"/>
      <c r="AG90" s="331"/>
      <c r="AH90" s="331"/>
      <c r="AI90" s="331"/>
      <c r="AJ90" s="331"/>
      <c r="AK90" s="331"/>
      <c r="AL90" s="331"/>
      <c r="AM90" s="331"/>
      <c r="AN90" s="331"/>
      <c r="AO90" s="331"/>
      <c r="AP90" s="331"/>
      <c r="AQ90" s="331"/>
      <c r="AR90" s="331"/>
      <c r="AS90" s="331"/>
      <c r="AT90" s="331"/>
      <c r="AU90" s="331"/>
      <c r="AV90" s="331"/>
      <c r="AW90" s="331"/>
      <c r="AX90" s="331"/>
      <c r="AY90" s="332" t="s">
        <v>2476</v>
      </c>
      <c r="AZ90" s="332" t="s">
        <v>229</v>
      </c>
      <c r="BA90" s="332"/>
      <c r="BB90" s="332"/>
      <c r="BC90" s="332"/>
      <c r="BD90" s="332"/>
      <c r="BE90" s="332"/>
      <c r="BF90" s="332"/>
      <c r="BG90" s="332"/>
      <c r="BH90" s="332"/>
      <c r="BI90" s="332"/>
      <c r="BJ90" s="332"/>
      <c r="BK90" s="332"/>
      <c r="BL90" s="332"/>
      <c r="BM90" s="332"/>
      <c r="BN90" s="332"/>
      <c r="BO90" s="332"/>
      <c r="BP90" s="332"/>
      <c r="BQ90" s="332"/>
      <c r="BR90" s="332"/>
      <c r="BS90" s="332"/>
      <c r="BT90" s="332"/>
      <c r="BU90" s="332"/>
      <c r="BV90" s="332"/>
      <c r="BW90" s="332"/>
      <c r="BX90" s="332"/>
      <c r="BY90" s="332"/>
      <c r="BZ90" s="332"/>
      <c r="CA90" s="332"/>
      <c r="CB90" s="332"/>
      <c r="CC90" s="332"/>
      <c r="CD90" s="332"/>
      <c r="CE90" s="332"/>
      <c r="CF90" s="332"/>
      <c r="CG90" s="332"/>
      <c r="CH90" s="332"/>
      <c r="CI90" s="332"/>
      <c r="CJ90" s="332"/>
      <c r="CK90" s="332"/>
      <c r="CL90" s="332"/>
      <c r="CM90" s="332"/>
      <c r="CN90" s="332"/>
      <c r="CO90" s="332"/>
      <c r="CP90" s="333" t="s">
        <v>27</v>
      </c>
      <c r="CQ90" s="333" t="s">
        <v>229</v>
      </c>
      <c r="CR90" s="334">
        <v>9.6096004528933481</v>
      </c>
      <c r="CS90" s="334">
        <v>9.6174355736939372</v>
      </c>
      <c r="CT90" s="334">
        <v>9.6094800572095114</v>
      </c>
      <c r="CU90" s="334">
        <v>9.6026781818855191</v>
      </c>
      <c r="CV90" s="334">
        <v>9.5979787384292319</v>
      </c>
      <c r="CW90" s="334">
        <v>9.5871614890733152</v>
      </c>
      <c r="CX90" s="334">
        <v>9.5841772362579238</v>
      </c>
      <c r="CY90" s="334">
        <v>9.5822169243728919</v>
      </c>
      <c r="CZ90" s="334">
        <v>9.5848233034895944</v>
      </c>
      <c r="DA90" s="334">
        <v>9.5931815543743948</v>
      </c>
      <c r="DB90" s="334">
        <v>9.6038131229502106</v>
      </c>
      <c r="DC90" s="334">
        <v>9.6164648125724277</v>
      </c>
      <c r="DD90" s="334">
        <v>9.6338312480336885</v>
      </c>
      <c r="DE90" s="334">
        <v>9.6334451253589553</v>
      </c>
      <c r="DF90" s="334">
        <v>9.6348306010200044</v>
      </c>
      <c r="DG90" s="334">
        <v>9.6353395763794296</v>
      </c>
      <c r="DH90" s="334">
        <v>9.6982890895655096</v>
      </c>
      <c r="DI90" s="334">
        <v>9.6020133866501709</v>
      </c>
      <c r="DJ90" s="334">
        <v>9.6425852801346927</v>
      </c>
      <c r="DK90" s="334">
        <v>9.632925307060507</v>
      </c>
      <c r="DL90" s="334">
        <v>9.596235939926272</v>
      </c>
      <c r="DM90" s="334">
        <v>9.5694117609040923</v>
      </c>
      <c r="DN90" s="334">
        <v>9.5631011964686863</v>
      </c>
      <c r="DO90" s="334">
        <v>9.5495028908710147</v>
      </c>
      <c r="DP90" s="334">
        <v>9.529072330997705</v>
      </c>
      <c r="DQ90" s="334">
        <v>9.5058491517526527</v>
      </c>
      <c r="DR90" s="334">
        <v>9.4764526394273254</v>
      </c>
      <c r="DS90" s="334">
        <v>9.4362715248631872</v>
      </c>
      <c r="DT90" s="334">
        <v>9.4097079341230501</v>
      </c>
      <c r="DU90" s="335">
        <v>9.4103332836944862</v>
      </c>
      <c r="DV90" s="335">
        <v>9.4207806043338991</v>
      </c>
      <c r="DW90" s="335">
        <v>9.397830220966096</v>
      </c>
      <c r="DX90" s="198">
        <v>1</v>
      </c>
      <c r="DY90" s="198">
        <v>1</v>
      </c>
      <c r="DZ90" s="198">
        <v>1</v>
      </c>
      <c r="EA90" s="198">
        <v>-8.397830220966096</v>
      </c>
      <c r="EB90" s="198">
        <v>9.4207806043338991</v>
      </c>
      <c r="EC90" s="198">
        <v>9.4207806043338991</v>
      </c>
      <c r="ED90" s="198">
        <v>9.4207806043338991</v>
      </c>
      <c r="EE90" s="198">
        <v>9.4207806043338991</v>
      </c>
      <c r="EF90" s="198">
        <v>2.2950383367803084E-2</v>
      </c>
      <c r="EG90" s="198">
        <v>8.4207806043338991</v>
      </c>
      <c r="EH90" s="198">
        <v>9.0864484723451557</v>
      </c>
      <c r="EI90" s="336">
        <f t="shared" si="1"/>
        <v>9.4477229067721389</v>
      </c>
      <c r="EJ90" s="336">
        <f>EI90-'[13]FAOSTAT21 CO2'!EH90</f>
        <v>9.5292504467721386</v>
      </c>
    </row>
    <row r="91" spans="1:140" x14ac:dyDescent="0.25">
      <c r="A91" s="31">
        <v>18</v>
      </c>
      <c r="B91" s="31" t="s">
        <v>230</v>
      </c>
      <c r="C91" s="31">
        <v>90</v>
      </c>
      <c r="D91" s="31">
        <v>0</v>
      </c>
      <c r="E91" s="31">
        <v>1</v>
      </c>
      <c r="F91" s="31">
        <v>0</v>
      </c>
      <c r="G91" s="31">
        <v>1</v>
      </c>
      <c r="H91" s="331" t="s">
        <v>2475</v>
      </c>
      <c r="I91" s="331" t="s">
        <v>231</v>
      </c>
      <c r="J91" s="331"/>
      <c r="K91" s="331"/>
      <c r="L91" s="331"/>
      <c r="M91" s="331"/>
      <c r="N91" s="331"/>
      <c r="O91" s="331"/>
      <c r="P91" s="331"/>
      <c r="Q91" s="331"/>
      <c r="R91" s="331"/>
      <c r="S91" s="331"/>
      <c r="T91" s="331"/>
      <c r="U91" s="331"/>
      <c r="V91" s="331"/>
      <c r="W91" s="331"/>
      <c r="X91" s="331"/>
      <c r="Y91" s="331"/>
      <c r="Z91" s="331"/>
      <c r="AA91" s="331"/>
      <c r="AB91" s="331"/>
      <c r="AC91" s="331"/>
      <c r="AD91" s="331"/>
      <c r="AE91" s="331"/>
      <c r="AF91" s="331"/>
      <c r="AG91" s="331"/>
      <c r="AH91" s="331"/>
      <c r="AI91" s="331"/>
      <c r="AJ91" s="331"/>
      <c r="AK91" s="331"/>
      <c r="AL91" s="331"/>
      <c r="AM91" s="331"/>
      <c r="AN91" s="331"/>
      <c r="AO91" s="331"/>
      <c r="AP91" s="331"/>
      <c r="AQ91" s="331"/>
      <c r="AR91" s="331"/>
      <c r="AS91" s="331"/>
      <c r="AT91" s="331"/>
      <c r="AU91" s="331"/>
      <c r="AV91" s="331"/>
      <c r="AW91" s="331"/>
      <c r="AX91" s="331"/>
      <c r="AY91" s="332" t="s">
        <v>2476</v>
      </c>
      <c r="AZ91" s="332" t="s">
        <v>231</v>
      </c>
      <c r="BA91" s="332"/>
      <c r="BB91" s="332"/>
      <c r="BC91" s="332"/>
      <c r="BD91" s="332"/>
      <c r="BE91" s="332"/>
      <c r="BF91" s="332"/>
      <c r="BG91" s="332"/>
      <c r="BH91" s="332"/>
      <c r="BI91" s="332"/>
      <c r="BJ91" s="332"/>
      <c r="BK91" s="332"/>
      <c r="BL91" s="332"/>
      <c r="BM91" s="332"/>
      <c r="BN91" s="332"/>
      <c r="BO91" s="332"/>
      <c r="BP91" s="332"/>
      <c r="BQ91" s="332"/>
      <c r="BR91" s="332"/>
      <c r="BS91" s="332"/>
      <c r="BT91" s="332"/>
      <c r="BU91" s="332"/>
      <c r="BV91" s="332"/>
      <c r="BW91" s="332"/>
      <c r="BX91" s="332"/>
      <c r="BY91" s="332"/>
      <c r="BZ91" s="332"/>
      <c r="CA91" s="332"/>
      <c r="CB91" s="332"/>
      <c r="CC91" s="332"/>
      <c r="CD91" s="332"/>
      <c r="CE91" s="332"/>
      <c r="CF91" s="332"/>
      <c r="CG91" s="332"/>
      <c r="CH91" s="332"/>
      <c r="CI91" s="332"/>
      <c r="CJ91" s="332"/>
      <c r="CK91" s="332"/>
      <c r="CL91" s="332"/>
      <c r="CM91" s="332"/>
      <c r="CN91" s="332"/>
      <c r="CO91" s="332"/>
      <c r="CP91" s="333" t="s">
        <v>27</v>
      </c>
      <c r="CQ91" s="333" t="s">
        <v>231</v>
      </c>
      <c r="CR91" s="334">
        <v>14</v>
      </c>
      <c r="CS91" s="334">
        <v>14</v>
      </c>
      <c r="CT91" s="334">
        <v>14</v>
      </c>
      <c r="CU91" s="334">
        <v>14</v>
      </c>
      <c r="CV91" s="334">
        <v>14</v>
      </c>
      <c r="CW91" s="334">
        <v>-25.5</v>
      </c>
      <c r="CX91" s="334">
        <v>-58.416666666666664</v>
      </c>
      <c r="CY91" s="334">
        <v>-91.333333333333329</v>
      </c>
      <c r="CZ91" s="334">
        <v>-124.25</v>
      </c>
      <c r="DA91" s="334">
        <v>-157.16666666666666</v>
      </c>
      <c r="DB91" s="334">
        <v>-223</v>
      </c>
      <c r="DC91" s="334">
        <v>-216.42857142857142</v>
      </c>
      <c r="DD91" s="334">
        <v>-209.85714285714283</v>
      </c>
      <c r="DE91" s="334">
        <v>-203.28571428571425</v>
      </c>
      <c r="DF91" s="334">
        <v>-196.71428571428567</v>
      </c>
      <c r="DG91" s="334">
        <v>-190.14285714285708</v>
      </c>
      <c r="DH91" s="334">
        <v>-183.5714285714285</v>
      </c>
      <c r="DI91" s="334">
        <v>-177</v>
      </c>
      <c r="DJ91" s="334">
        <v>-202.33333333333334</v>
      </c>
      <c r="DK91" s="334">
        <v>-227.66666666666669</v>
      </c>
      <c r="DL91" s="334">
        <v>-253</v>
      </c>
      <c r="DM91" s="334">
        <v>-210.91300000000001</v>
      </c>
      <c r="DN91" s="334">
        <v>-364.221</v>
      </c>
      <c r="DO91" s="334">
        <v>-364.56900000000002</v>
      </c>
      <c r="DP91" s="334">
        <v>-301.19299999999998</v>
      </c>
      <c r="DQ91" s="334">
        <v>-296.09199999999998</v>
      </c>
      <c r="DR91" s="334">
        <v>-307.82</v>
      </c>
      <c r="DS91" s="334">
        <v>-311.77800000000002</v>
      </c>
      <c r="DT91" s="334">
        <v>-437</v>
      </c>
      <c r="DU91" s="335">
        <v>-485.47199999999998</v>
      </c>
      <c r="DV91" s="335">
        <v>-307.81900000000002</v>
      </c>
      <c r="DW91" s="335">
        <v>-416.77871827956915</v>
      </c>
      <c r="DX91" s="198">
        <v>-296.09199999999998</v>
      </c>
      <c r="DY91" s="198">
        <v>-571.09199999999998</v>
      </c>
      <c r="DZ91" s="198">
        <v>-571.09199999999998</v>
      </c>
      <c r="EA91" s="198">
        <v>-154.31328172043084</v>
      </c>
      <c r="EB91" s="198">
        <v>-307.81900000000002</v>
      </c>
      <c r="EC91" s="198">
        <v>-307.81900000000002</v>
      </c>
      <c r="ED91" s="198">
        <v>-307.81900000000002</v>
      </c>
      <c r="EE91" s="198">
        <v>-307.81900000000002</v>
      </c>
      <c r="EF91" s="198">
        <v>108.95971827956913</v>
      </c>
      <c r="EG91" s="341">
        <v>263.27299999999997</v>
      </c>
      <c r="EH91" s="198">
        <v>-402.89495929999998</v>
      </c>
      <c r="EI91" s="336">
        <f t="shared" si="1"/>
        <v>-367.63240000000002</v>
      </c>
      <c r="EJ91" s="336">
        <f>EI91-'[13]FAOSTAT21 CO2'!EH91</f>
        <v>-327.24701552000005</v>
      </c>
    </row>
    <row r="92" spans="1:140" x14ac:dyDescent="0.25">
      <c r="A92" s="31">
        <v>22</v>
      </c>
      <c r="B92" s="31" t="s">
        <v>232</v>
      </c>
      <c r="C92" s="31">
        <v>91</v>
      </c>
      <c r="D92" s="31">
        <v>0</v>
      </c>
      <c r="E92" s="31">
        <v>1</v>
      </c>
      <c r="F92" s="31">
        <v>0</v>
      </c>
      <c r="G92" s="31">
        <v>1</v>
      </c>
      <c r="H92" s="331" t="s">
        <v>2475</v>
      </c>
      <c r="I92" s="331" t="s">
        <v>233</v>
      </c>
      <c r="J92" s="331"/>
      <c r="K92" s="331"/>
      <c r="L92" s="331"/>
      <c r="M92" s="331"/>
      <c r="N92" s="331"/>
      <c r="O92" s="331"/>
      <c r="P92" s="331"/>
      <c r="Q92" s="331"/>
      <c r="R92" s="331"/>
      <c r="S92" s="331"/>
      <c r="T92" s="331"/>
      <c r="U92" s="331"/>
      <c r="V92" s="331"/>
      <c r="W92" s="331"/>
      <c r="X92" s="331"/>
      <c r="Y92" s="331"/>
      <c r="Z92" s="331"/>
      <c r="AA92" s="331"/>
      <c r="AB92" s="331"/>
      <c r="AC92" s="331"/>
      <c r="AD92" s="331"/>
      <c r="AE92" s="331"/>
      <c r="AF92" s="331"/>
      <c r="AG92" s="331"/>
      <c r="AH92" s="331"/>
      <c r="AI92" s="331"/>
      <c r="AJ92" s="331"/>
      <c r="AK92" s="331"/>
      <c r="AL92" s="331"/>
      <c r="AM92" s="331"/>
      <c r="AN92" s="331"/>
      <c r="AO92" s="331"/>
      <c r="AP92" s="331"/>
      <c r="AQ92" s="331"/>
      <c r="AR92" s="331"/>
      <c r="AS92" s="331"/>
      <c r="AT92" s="331"/>
      <c r="AU92" s="331"/>
      <c r="AV92" s="331"/>
      <c r="AW92" s="331"/>
      <c r="AX92" s="331"/>
      <c r="AY92" s="332" t="s">
        <v>2476</v>
      </c>
      <c r="AZ92" s="332" t="s">
        <v>233</v>
      </c>
      <c r="BA92" s="332"/>
      <c r="BB92" s="332"/>
      <c r="BC92" s="332"/>
      <c r="BD92" s="332"/>
      <c r="BE92" s="332"/>
      <c r="BF92" s="332"/>
      <c r="BG92" s="332"/>
      <c r="BH92" s="332"/>
      <c r="BI92" s="332"/>
      <c r="BJ92" s="332"/>
      <c r="BK92" s="332"/>
      <c r="BL92" s="332"/>
      <c r="BM92" s="332"/>
      <c r="BN92" s="332"/>
      <c r="BO92" s="332"/>
      <c r="BP92" s="332"/>
      <c r="BQ92" s="332"/>
      <c r="BR92" s="332"/>
      <c r="BS92" s="332"/>
      <c r="BT92" s="332"/>
      <c r="BU92" s="332"/>
      <c r="BV92" s="332"/>
      <c r="BW92" s="332"/>
      <c r="BX92" s="332"/>
      <c r="BY92" s="332"/>
      <c r="BZ92" s="332"/>
      <c r="CA92" s="332"/>
      <c r="CB92" s="332"/>
      <c r="CC92" s="332"/>
      <c r="CD92" s="332"/>
      <c r="CE92" s="332"/>
      <c r="CF92" s="332"/>
      <c r="CG92" s="332"/>
      <c r="CH92" s="332"/>
      <c r="CI92" s="332"/>
      <c r="CJ92" s="332"/>
      <c r="CK92" s="332"/>
      <c r="CL92" s="332"/>
      <c r="CM92" s="332"/>
      <c r="CN92" s="332"/>
      <c r="CO92" s="332"/>
      <c r="CP92" s="333" t="s">
        <v>27</v>
      </c>
      <c r="CQ92" s="333" t="s">
        <v>233</v>
      </c>
      <c r="CR92" s="334">
        <v>532.36</v>
      </c>
      <c r="CS92" s="334">
        <v>532.36</v>
      </c>
      <c r="CT92" s="334">
        <v>532.36</v>
      </c>
      <c r="CU92" s="334">
        <v>532.36</v>
      </c>
      <c r="CV92" s="334">
        <v>532.36</v>
      </c>
      <c r="CW92" s="334">
        <v>532.36</v>
      </c>
      <c r="CX92" s="334">
        <v>532.36</v>
      </c>
      <c r="CY92" s="334">
        <v>532.36</v>
      </c>
      <c r="CZ92" s="334">
        <v>532.36</v>
      </c>
      <c r="DA92" s="334">
        <v>532.36</v>
      </c>
      <c r="DB92" s="334">
        <v>532.36</v>
      </c>
      <c r="DC92" s="334">
        <v>-47.540999999999997</v>
      </c>
      <c r="DD92" s="334">
        <v>173.982</v>
      </c>
      <c r="DE92" s="334">
        <v>-24.744</v>
      </c>
      <c r="DF92" s="334">
        <v>350.24400000000003</v>
      </c>
      <c r="DG92" s="334">
        <v>400.173</v>
      </c>
      <c r="DH92" s="334">
        <v>1145.27</v>
      </c>
      <c r="DI92" s="334">
        <v>299.99200000000002</v>
      </c>
      <c r="DJ92" s="334">
        <v>228.87100000000001</v>
      </c>
      <c r="DK92" s="334">
        <v>607.20600000000002</v>
      </c>
      <c r="DL92" s="334">
        <v>160.21199999999999</v>
      </c>
      <c r="DM92" s="334">
        <v>258.09500000000003</v>
      </c>
      <c r="DN92" s="334">
        <v>646.72400000000005</v>
      </c>
      <c r="DO92" s="334">
        <v>503.33300000000003</v>
      </c>
      <c r="DP92" s="334">
        <v>862.07299999999998</v>
      </c>
      <c r="DQ92" s="334">
        <v>1565.579</v>
      </c>
      <c r="DR92" s="334">
        <v>507.65199999999999</v>
      </c>
      <c r="DS92" s="334">
        <v>488.517</v>
      </c>
      <c r="DT92" s="334">
        <v>723.51</v>
      </c>
      <c r="DU92" s="335">
        <v>924.85299999999995</v>
      </c>
      <c r="DV92" s="335">
        <v>669.97311724138126</v>
      </c>
      <c r="DW92" s="335">
        <v>679.58436996662567</v>
      </c>
      <c r="DX92" s="198">
        <v>714</v>
      </c>
      <c r="DY92" s="198">
        <v>214</v>
      </c>
      <c r="DZ92" s="198">
        <v>-15</v>
      </c>
      <c r="EA92" s="198">
        <v>-465.58436996662567</v>
      </c>
      <c r="EB92" s="198">
        <v>669.97311724138126</v>
      </c>
      <c r="EC92" s="198">
        <v>669.97311724138126</v>
      </c>
      <c r="ED92" s="198">
        <v>669.97311724138126</v>
      </c>
      <c r="EE92" s="198">
        <v>214</v>
      </c>
      <c r="EF92" s="198">
        <v>-9.6112527252444124</v>
      </c>
      <c r="EG92" s="341">
        <v>455.97311724138126</v>
      </c>
      <c r="EH92" s="198">
        <v>861.67909612806204</v>
      </c>
      <c r="EI92" s="336">
        <f t="shared" si="1"/>
        <v>842.0222</v>
      </c>
      <c r="EJ92" s="336">
        <f>EI92-'[13]FAOSTAT21 CO2'!EH92</f>
        <v>92.615001179999922</v>
      </c>
    </row>
    <row r="93" spans="1:140" x14ac:dyDescent="0.25">
      <c r="A93" s="31">
        <v>17</v>
      </c>
      <c r="B93" s="31" t="s">
        <v>234</v>
      </c>
      <c r="C93" s="31">
        <v>92</v>
      </c>
      <c r="D93" s="31">
        <v>0</v>
      </c>
      <c r="E93" s="31">
        <v>0</v>
      </c>
      <c r="F93" s="31">
        <v>0</v>
      </c>
      <c r="G93" s="31">
        <v>1</v>
      </c>
      <c r="H93" s="331" t="s">
        <v>2475</v>
      </c>
      <c r="I93" s="331" t="s">
        <v>235</v>
      </c>
      <c r="J93" s="331"/>
      <c r="K93" s="331"/>
      <c r="L93" s="331"/>
      <c r="M93" s="331"/>
      <c r="N93" s="331"/>
      <c r="O93" s="331"/>
      <c r="P93" s="331"/>
      <c r="Q93" s="331"/>
      <c r="R93" s="331"/>
      <c r="S93" s="331"/>
      <c r="T93" s="331"/>
      <c r="U93" s="331"/>
      <c r="V93" s="331"/>
      <c r="W93" s="331"/>
      <c r="X93" s="331"/>
      <c r="Y93" s="331"/>
      <c r="Z93" s="331"/>
      <c r="AA93" s="331"/>
      <c r="AB93" s="331"/>
      <c r="AC93" s="331"/>
      <c r="AD93" s="331"/>
      <c r="AE93" s="331"/>
      <c r="AF93" s="331"/>
      <c r="AG93" s="331"/>
      <c r="AH93" s="331"/>
      <c r="AI93" s="331"/>
      <c r="AJ93" s="331"/>
      <c r="AK93" s="331"/>
      <c r="AL93" s="331"/>
      <c r="AM93" s="331"/>
      <c r="AN93" s="331"/>
      <c r="AO93" s="331"/>
      <c r="AP93" s="331"/>
      <c r="AQ93" s="331"/>
      <c r="AR93" s="331"/>
      <c r="AS93" s="331"/>
      <c r="AT93" s="331"/>
      <c r="AU93" s="331"/>
      <c r="AV93" s="331"/>
      <c r="AW93" s="331"/>
      <c r="AX93" s="331"/>
      <c r="AY93" s="332" t="s">
        <v>2476</v>
      </c>
      <c r="AZ93" s="332" t="s">
        <v>235</v>
      </c>
      <c r="BA93" s="332"/>
      <c r="BB93" s="332"/>
      <c r="BC93" s="332"/>
      <c r="BD93" s="332"/>
      <c r="BE93" s="332"/>
      <c r="BF93" s="332"/>
      <c r="BG93" s="332"/>
      <c r="BH93" s="332"/>
      <c r="BI93" s="332"/>
      <c r="BJ93" s="332"/>
      <c r="BK93" s="332"/>
      <c r="BL93" s="332"/>
      <c r="BM93" s="332"/>
      <c r="BN93" s="332"/>
      <c r="BO93" s="332"/>
      <c r="BP93" s="332"/>
      <c r="BQ93" s="332"/>
      <c r="BR93" s="332"/>
      <c r="BS93" s="332"/>
      <c r="BT93" s="332"/>
      <c r="BU93" s="332"/>
      <c r="BV93" s="332"/>
      <c r="BW93" s="332"/>
      <c r="BX93" s="332"/>
      <c r="BY93" s="332"/>
      <c r="BZ93" s="332"/>
      <c r="CA93" s="332"/>
      <c r="CB93" s="332"/>
      <c r="CC93" s="332"/>
      <c r="CD93" s="332"/>
      <c r="CE93" s="332"/>
      <c r="CF93" s="332"/>
      <c r="CG93" s="332"/>
      <c r="CH93" s="332"/>
      <c r="CI93" s="332"/>
      <c r="CJ93" s="332"/>
      <c r="CK93" s="332"/>
      <c r="CL93" s="332"/>
      <c r="CM93" s="332"/>
      <c r="CN93" s="332"/>
      <c r="CO93" s="332"/>
      <c r="CP93" s="333" t="s">
        <v>27</v>
      </c>
      <c r="CQ93" s="333" t="s">
        <v>235</v>
      </c>
      <c r="CR93" s="334">
        <v>21.4697</v>
      </c>
      <c r="CS93" s="334">
        <v>21.4697</v>
      </c>
      <c r="CT93" s="334">
        <v>21.4697</v>
      </c>
      <c r="CU93" s="334">
        <v>21.4697</v>
      </c>
      <c r="CV93" s="334">
        <v>21.4697</v>
      </c>
      <c r="CW93" s="334">
        <v>21.4697</v>
      </c>
      <c r="CX93" s="334">
        <v>21.4697</v>
      </c>
      <c r="CY93" s="334">
        <v>21.4697</v>
      </c>
      <c r="CZ93" s="334">
        <v>21.4697</v>
      </c>
      <c r="DA93" s="334">
        <v>21.4697</v>
      </c>
      <c r="DB93" s="334">
        <v>21.4697</v>
      </c>
      <c r="DC93" s="334">
        <v>21.4697</v>
      </c>
      <c r="DD93" s="334">
        <v>21.4697</v>
      </c>
      <c r="DE93" s="334">
        <v>21.4697</v>
      </c>
      <c r="DF93" s="334">
        <v>21.4697</v>
      </c>
      <c r="DG93" s="334">
        <v>21.4697</v>
      </c>
      <c r="DH93" s="334">
        <v>21.4697</v>
      </c>
      <c r="DI93" s="334">
        <v>21.4697</v>
      </c>
      <c r="DJ93" s="334">
        <v>21.4697</v>
      </c>
      <c r="DK93" s="334">
        <v>21.4697</v>
      </c>
      <c r="DL93" s="334">
        <v>21.4697</v>
      </c>
      <c r="DM93" s="334">
        <v>21.469699999999992</v>
      </c>
      <c r="DN93" s="334">
        <v>21.469699999999989</v>
      </c>
      <c r="DO93" s="334">
        <v>21.469699999999992</v>
      </c>
      <c r="DP93" s="334">
        <v>21.469699999999989</v>
      </c>
      <c r="DQ93" s="334">
        <v>21.469699999999989</v>
      </c>
      <c r="DR93" s="334">
        <v>21.469699999999989</v>
      </c>
      <c r="DS93" s="334">
        <v>21.469699999999985</v>
      </c>
      <c r="DT93" s="334">
        <v>21.469699999999985</v>
      </c>
      <c r="DU93" s="335">
        <v>21.469699999999985</v>
      </c>
      <c r="DV93" s="335">
        <v>21.469699999999985</v>
      </c>
      <c r="DW93" s="335">
        <v>21.469699999999985</v>
      </c>
      <c r="DX93" s="198">
        <v>21.469699999999985</v>
      </c>
      <c r="DY93" s="198">
        <v>21.469699999999985</v>
      </c>
      <c r="DZ93" s="198">
        <v>21.469699999999985</v>
      </c>
      <c r="EA93" s="198">
        <v>0</v>
      </c>
      <c r="EB93" s="198">
        <v>21.469699999999985</v>
      </c>
      <c r="EC93" s="198">
        <v>21.469699999999985</v>
      </c>
      <c r="ED93" s="198">
        <v>21.469699999999985</v>
      </c>
      <c r="EE93" s="198">
        <v>21.469699999999985</v>
      </c>
      <c r="EF93" s="198">
        <v>0</v>
      </c>
      <c r="EG93" s="198">
        <v>0</v>
      </c>
      <c r="EH93" s="198">
        <v>27.0495599999999</v>
      </c>
      <c r="EI93" s="336">
        <f t="shared" si="1"/>
        <v>21.469699999999989</v>
      </c>
      <c r="EJ93" s="336">
        <f>EI93-'[13]FAOSTAT21 CO2'!EH93</f>
        <v>21.425159679999989</v>
      </c>
    </row>
    <row r="94" spans="1:140" x14ac:dyDescent="0.25">
      <c r="A94" s="31">
        <v>17</v>
      </c>
      <c r="B94" s="31" t="s">
        <v>236</v>
      </c>
      <c r="C94" s="31">
        <v>93</v>
      </c>
      <c r="D94" s="31">
        <v>0</v>
      </c>
      <c r="E94" s="31">
        <v>0</v>
      </c>
      <c r="F94" s="31">
        <v>0</v>
      </c>
      <c r="G94" s="31">
        <v>0</v>
      </c>
      <c r="H94" s="331" t="s">
        <v>2475</v>
      </c>
      <c r="I94" s="331" t="s">
        <v>237</v>
      </c>
      <c r="J94" s="331"/>
      <c r="K94" s="331"/>
      <c r="L94" s="331"/>
      <c r="M94" s="331"/>
      <c r="N94" s="331"/>
      <c r="O94" s="331"/>
      <c r="P94" s="331"/>
      <c r="Q94" s="331"/>
      <c r="R94" s="331"/>
      <c r="S94" s="331"/>
      <c r="T94" s="331"/>
      <c r="U94" s="331"/>
      <c r="V94" s="331"/>
      <c r="W94" s="331"/>
      <c r="X94" s="331"/>
      <c r="Y94" s="331"/>
      <c r="Z94" s="331"/>
      <c r="AA94" s="331"/>
      <c r="AB94" s="331"/>
      <c r="AC94" s="331"/>
      <c r="AD94" s="331"/>
      <c r="AE94" s="331"/>
      <c r="AF94" s="331"/>
      <c r="AG94" s="331"/>
      <c r="AH94" s="331"/>
      <c r="AI94" s="331"/>
      <c r="AJ94" s="331"/>
      <c r="AK94" s="331"/>
      <c r="AL94" s="331"/>
      <c r="AM94" s="331"/>
      <c r="AN94" s="331"/>
      <c r="AO94" s="331"/>
      <c r="AP94" s="331"/>
      <c r="AQ94" s="331"/>
      <c r="AR94" s="331"/>
      <c r="AS94" s="331"/>
      <c r="AT94" s="331"/>
      <c r="AU94" s="331"/>
      <c r="AV94" s="331"/>
      <c r="AW94" s="331"/>
      <c r="AX94" s="331"/>
      <c r="AY94" s="332" t="s">
        <v>2476</v>
      </c>
      <c r="AZ94" s="332" t="s">
        <v>237</v>
      </c>
      <c r="BA94" s="332"/>
      <c r="BB94" s="332"/>
      <c r="BC94" s="332"/>
      <c r="BD94" s="332"/>
      <c r="BE94" s="332"/>
      <c r="BF94" s="332"/>
      <c r="BG94" s="332"/>
      <c r="BH94" s="332"/>
      <c r="BI94" s="332"/>
      <c r="BJ94" s="332"/>
      <c r="BK94" s="332"/>
      <c r="BL94" s="332"/>
      <c r="BM94" s="332"/>
      <c r="BN94" s="332"/>
      <c r="BO94" s="332"/>
      <c r="BP94" s="332"/>
      <c r="BQ94" s="332"/>
      <c r="BR94" s="332"/>
      <c r="BS94" s="332"/>
      <c r="BT94" s="332"/>
      <c r="BU94" s="332"/>
      <c r="BV94" s="332"/>
      <c r="BW94" s="332"/>
      <c r="BX94" s="332"/>
      <c r="BY94" s="332"/>
      <c r="BZ94" s="332"/>
      <c r="CA94" s="332"/>
      <c r="CB94" s="332"/>
      <c r="CC94" s="332"/>
      <c r="CD94" s="332"/>
      <c r="CE94" s="332"/>
      <c r="CF94" s="332"/>
      <c r="CG94" s="332"/>
      <c r="CH94" s="332"/>
      <c r="CI94" s="332"/>
      <c r="CJ94" s="332"/>
      <c r="CK94" s="332"/>
      <c r="CL94" s="332"/>
      <c r="CM94" s="332"/>
      <c r="CN94" s="332"/>
      <c r="CO94" s="332"/>
      <c r="CP94" s="333" t="s">
        <v>27</v>
      </c>
      <c r="CQ94" s="333" t="s">
        <v>237</v>
      </c>
      <c r="CR94" s="334">
        <v>0</v>
      </c>
      <c r="CS94" s="334">
        <v>0</v>
      </c>
      <c r="CT94" s="334">
        <v>0</v>
      </c>
      <c r="CU94" s="334">
        <v>0</v>
      </c>
      <c r="CV94" s="334">
        <v>0</v>
      </c>
      <c r="CW94" s="334">
        <v>0</v>
      </c>
      <c r="CX94" s="334">
        <v>0</v>
      </c>
      <c r="CY94" s="334">
        <v>0</v>
      </c>
      <c r="CZ94" s="334">
        <v>0</v>
      </c>
      <c r="DA94" s="334">
        <v>0</v>
      </c>
      <c r="DB94" s="334">
        <v>0</v>
      </c>
      <c r="DC94" s="334">
        <v>0</v>
      </c>
      <c r="DD94" s="334">
        <v>0</v>
      </c>
      <c r="DE94" s="334">
        <v>0</v>
      </c>
      <c r="DF94" s="334">
        <v>0</v>
      </c>
      <c r="DG94" s="334">
        <v>0</v>
      </c>
      <c r="DH94" s="334">
        <v>0</v>
      </c>
      <c r="DI94" s="334">
        <v>0</v>
      </c>
      <c r="DJ94" s="334">
        <v>0</v>
      </c>
      <c r="DK94" s="334">
        <v>0</v>
      </c>
      <c r="DL94" s="334">
        <v>0</v>
      </c>
      <c r="DM94" s="334">
        <v>0</v>
      </c>
      <c r="DN94" s="334">
        <v>0</v>
      </c>
      <c r="DO94" s="334">
        <v>0</v>
      </c>
      <c r="DP94" s="334">
        <v>0</v>
      </c>
      <c r="DQ94" s="334">
        <v>0</v>
      </c>
      <c r="DR94" s="334">
        <v>0</v>
      </c>
      <c r="DS94" s="334">
        <v>0</v>
      </c>
      <c r="DT94" s="334">
        <v>0</v>
      </c>
      <c r="DU94" s="335">
        <v>0</v>
      </c>
      <c r="DV94" s="335">
        <v>0</v>
      </c>
      <c r="DW94" s="335">
        <v>0</v>
      </c>
      <c r="DX94" s="198" t="s">
        <v>2477</v>
      </c>
      <c r="DY94" s="198" t="s">
        <v>2477</v>
      </c>
      <c r="DZ94" s="198" t="s">
        <v>2477</v>
      </c>
      <c r="EA94" s="198" t="s">
        <v>2477</v>
      </c>
      <c r="EB94" s="198" t="s">
        <v>2477</v>
      </c>
      <c r="EC94" s="198"/>
      <c r="ED94" s="198"/>
      <c r="EE94" s="198"/>
      <c r="EF94" s="198" t="s">
        <v>2477</v>
      </c>
      <c r="EG94" s="198" t="s">
        <v>2477</v>
      </c>
      <c r="EH94" s="198"/>
      <c r="EI94" s="336">
        <f t="shared" si="1"/>
        <v>0</v>
      </c>
      <c r="EJ94" s="336">
        <f>EI94-'[13]FAOSTAT21 CO2'!EH94</f>
        <v>-0.41382000000000002</v>
      </c>
    </row>
    <row r="95" spans="1:140" x14ac:dyDescent="0.25">
      <c r="A95" s="31">
        <v>11</v>
      </c>
      <c r="B95" s="31" t="s">
        <v>238</v>
      </c>
      <c r="C95" s="31">
        <v>94</v>
      </c>
      <c r="D95" s="31">
        <v>1</v>
      </c>
      <c r="E95" s="31">
        <v>0</v>
      </c>
      <c r="F95" s="31">
        <v>1</v>
      </c>
      <c r="G95" s="31">
        <v>0</v>
      </c>
      <c r="H95" s="331" t="s">
        <v>2475</v>
      </c>
      <c r="I95" s="331" t="s">
        <v>239</v>
      </c>
      <c r="J95" s="331"/>
      <c r="K95" s="331"/>
      <c r="L95" s="331"/>
      <c r="M95" s="331"/>
      <c r="N95" s="331"/>
      <c r="O95" s="331"/>
      <c r="P95" s="331"/>
      <c r="Q95" s="331"/>
      <c r="R95" s="331"/>
      <c r="S95" s="331"/>
      <c r="T95" s="331"/>
      <c r="U95" s="331"/>
      <c r="V95" s="331"/>
      <c r="W95" s="331"/>
      <c r="X95" s="331"/>
      <c r="Y95" s="331"/>
      <c r="Z95" s="331"/>
      <c r="AA95" s="331"/>
      <c r="AB95" s="331"/>
      <c r="AC95" s="331"/>
      <c r="AD95" s="331"/>
      <c r="AE95" s="331"/>
      <c r="AF95" s="331"/>
      <c r="AG95" s="331"/>
      <c r="AH95" s="331"/>
      <c r="AI95" s="331"/>
      <c r="AJ95" s="331"/>
      <c r="AK95" s="331"/>
      <c r="AL95" s="331"/>
      <c r="AM95" s="331"/>
      <c r="AN95" s="331"/>
      <c r="AO95" s="331"/>
      <c r="AP95" s="331"/>
      <c r="AQ95" s="331"/>
      <c r="AR95" s="331"/>
      <c r="AS95" s="331"/>
      <c r="AT95" s="331"/>
      <c r="AU95" s="331"/>
      <c r="AV95" s="331"/>
      <c r="AW95" s="331"/>
      <c r="AX95" s="331"/>
      <c r="AY95" s="332" t="s">
        <v>2476</v>
      </c>
      <c r="AZ95" s="332" t="s">
        <v>239</v>
      </c>
      <c r="BA95" s="332"/>
      <c r="BB95" s="332"/>
      <c r="BC95" s="332"/>
      <c r="BD95" s="332"/>
      <c r="BE95" s="332"/>
      <c r="BF95" s="332"/>
      <c r="BG95" s="332"/>
      <c r="BH95" s="332"/>
      <c r="BI95" s="332"/>
      <c r="BJ95" s="332"/>
      <c r="BK95" s="332"/>
      <c r="BL95" s="332"/>
      <c r="BM95" s="332"/>
      <c r="BN95" s="332"/>
      <c r="BO95" s="332"/>
      <c r="BP95" s="332"/>
      <c r="BQ95" s="332"/>
      <c r="BR95" s="332"/>
      <c r="BS95" s="332"/>
      <c r="BT95" s="332"/>
      <c r="BU95" s="332"/>
      <c r="BV95" s="332"/>
      <c r="BW95" s="332"/>
      <c r="BX95" s="332"/>
      <c r="BY95" s="332"/>
      <c r="BZ95" s="332"/>
      <c r="CA95" s="332"/>
      <c r="CB95" s="332"/>
      <c r="CC95" s="332"/>
      <c r="CD95" s="332"/>
      <c r="CE95" s="332"/>
      <c r="CF95" s="332"/>
      <c r="CG95" s="332"/>
      <c r="CH95" s="332"/>
      <c r="CI95" s="332"/>
      <c r="CJ95" s="332"/>
      <c r="CK95" s="332"/>
      <c r="CL95" s="332"/>
      <c r="CM95" s="332"/>
      <c r="CN95" s="332"/>
      <c r="CO95" s="332"/>
      <c r="CP95" s="333" t="s">
        <v>27</v>
      </c>
      <c r="CQ95" s="333" t="s">
        <v>239</v>
      </c>
      <c r="CR95" s="334">
        <v>6.0094426479479504</v>
      </c>
      <c r="CS95" s="334">
        <v>5.813889087197488</v>
      </c>
      <c r="CT95" s="334">
        <v>5.5684712640716159</v>
      </c>
      <c r="CU95" s="334">
        <v>5.671875265944891</v>
      </c>
      <c r="CV95" s="334">
        <v>5.7387488783594716</v>
      </c>
      <c r="CW95" s="334">
        <v>6.7021736928703666</v>
      </c>
      <c r="CX95" s="334">
        <v>6.3557765234996051</v>
      </c>
      <c r="CY95" s="334">
        <v>5.8219247695671754</v>
      </c>
      <c r="CZ95" s="334">
        <v>5.6324738458364685</v>
      </c>
      <c r="DA95" s="334">
        <v>5.7240266040133649</v>
      </c>
      <c r="DB95" s="334">
        <v>7.3256392800768717</v>
      </c>
      <c r="DC95" s="334">
        <v>8.4178434186271911</v>
      </c>
      <c r="DD95" s="334">
        <v>8.3000852417469009</v>
      </c>
      <c r="DE95" s="334">
        <v>8.7738565239499966</v>
      </c>
      <c r="DF95" s="334">
        <v>7.2384029595180985</v>
      </c>
      <c r="DG95" s="334">
        <v>7.6910130672327615</v>
      </c>
      <c r="DH95" s="334">
        <v>7.6148771907754567</v>
      </c>
      <c r="DI95" s="334">
        <v>6.5594256667599753</v>
      </c>
      <c r="DJ95" s="334">
        <v>6.1111132905463457</v>
      </c>
      <c r="DK95" s="334">
        <v>5.5567573032075419</v>
      </c>
      <c r="DL95" s="334">
        <v>7.0557907577496168</v>
      </c>
      <c r="DM95" s="334">
        <v>6.1765200449922597</v>
      </c>
      <c r="DN95" s="334">
        <v>5.4866285703916846</v>
      </c>
      <c r="DO95" s="334">
        <v>6.2896658349611334</v>
      </c>
      <c r="DP95" s="334">
        <v>5.8269422770836536</v>
      </c>
      <c r="DQ95" s="334">
        <v>6.2594087806612579</v>
      </c>
      <c r="DR95" s="334">
        <v>5.0364653877591801</v>
      </c>
      <c r="DS95" s="334">
        <v>7.4388596610158073</v>
      </c>
      <c r="DT95" s="334">
        <v>6.2639843155676678</v>
      </c>
      <c r="DU95" s="335">
        <v>6.6570676999370404</v>
      </c>
      <c r="DV95" s="335">
        <v>7.0424500858212173</v>
      </c>
      <c r="DW95" s="335">
        <v>7.3382512672665197</v>
      </c>
      <c r="DX95" s="198">
        <v>7.0424500858212173</v>
      </c>
      <c r="DY95" s="198">
        <v>7.0424500858212173</v>
      </c>
      <c r="DZ95" s="198">
        <v>7.0424500858212173</v>
      </c>
      <c r="EA95" s="198">
        <v>-0.29580118144530232</v>
      </c>
      <c r="EB95" s="198">
        <v>7.0424500858212173</v>
      </c>
      <c r="EC95" s="198">
        <v>7.0424500858212173</v>
      </c>
      <c r="ED95" s="198">
        <v>7.0424500858212173</v>
      </c>
      <c r="EE95" s="198">
        <v>7.0424500858212173</v>
      </c>
      <c r="EF95" s="198">
        <v>-0.29580118144530232</v>
      </c>
      <c r="EG95" s="198">
        <v>0</v>
      </c>
      <c r="EH95" s="198">
        <v>5.4743153287628799</v>
      </c>
      <c r="EI95" s="336">
        <f t="shared" si="1"/>
        <v>6.3311571689881907</v>
      </c>
      <c r="EJ95" s="336">
        <f>EI95-'[13]FAOSTAT21 CO2'!EH95</f>
        <v>9.0153452889881898</v>
      </c>
    </row>
    <row r="96" spans="1:140" x14ac:dyDescent="0.25">
      <c r="A96" s="31">
        <v>17</v>
      </c>
      <c r="B96" s="31" t="s">
        <v>240</v>
      </c>
      <c r="C96" s="31">
        <v>95</v>
      </c>
      <c r="D96" s="31">
        <v>0</v>
      </c>
      <c r="E96" s="31">
        <v>0</v>
      </c>
      <c r="F96" s="31">
        <v>0</v>
      </c>
      <c r="G96" s="31">
        <v>0</v>
      </c>
      <c r="H96" s="331" t="s">
        <v>2475</v>
      </c>
      <c r="I96" s="331" t="s">
        <v>241</v>
      </c>
      <c r="J96" s="331"/>
      <c r="K96" s="331"/>
      <c r="L96" s="331"/>
      <c r="M96" s="331"/>
      <c r="N96" s="331"/>
      <c r="O96" s="331"/>
      <c r="P96" s="331"/>
      <c r="Q96" s="331"/>
      <c r="R96" s="331"/>
      <c r="S96" s="331"/>
      <c r="T96" s="331"/>
      <c r="U96" s="331"/>
      <c r="V96" s="331"/>
      <c r="W96" s="331"/>
      <c r="X96" s="331"/>
      <c r="Y96" s="331"/>
      <c r="Z96" s="331"/>
      <c r="AA96" s="331"/>
      <c r="AB96" s="331"/>
      <c r="AC96" s="331"/>
      <c r="AD96" s="331"/>
      <c r="AE96" s="331"/>
      <c r="AF96" s="331"/>
      <c r="AG96" s="331"/>
      <c r="AH96" s="331"/>
      <c r="AI96" s="331"/>
      <c r="AJ96" s="331"/>
      <c r="AK96" s="331"/>
      <c r="AL96" s="331"/>
      <c r="AM96" s="331"/>
      <c r="AN96" s="331"/>
      <c r="AO96" s="331"/>
      <c r="AP96" s="331"/>
      <c r="AQ96" s="331"/>
      <c r="AR96" s="331"/>
      <c r="AS96" s="331"/>
      <c r="AT96" s="331"/>
      <c r="AU96" s="331"/>
      <c r="AV96" s="331"/>
      <c r="AW96" s="331"/>
      <c r="AX96" s="331"/>
      <c r="AY96" s="332" t="s">
        <v>2476</v>
      </c>
      <c r="AZ96" s="332" t="s">
        <v>241</v>
      </c>
      <c r="BA96" s="332"/>
      <c r="BB96" s="332"/>
      <c r="BC96" s="332"/>
      <c r="BD96" s="332"/>
      <c r="BE96" s="332"/>
      <c r="BF96" s="332"/>
      <c r="BG96" s="332"/>
      <c r="BH96" s="332"/>
      <c r="BI96" s="332"/>
      <c r="BJ96" s="332"/>
      <c r="BK96" s="332"/>
      <c r="BL96" s="332"/>
      <c r="BM96" s="332"/>
      <c r="BN96" s="332"/>
      <c r="BO96" s="332"/>
      <c r="BP96" s="332"/>
      <c r="BQ96" s="332"/>
      <c r="BR96" s="332"/>
      <c r="BS96" s="332"/>
      <c r="BT96" s="332"/>
      <c r="BU96" s="332"/>
      <c r="BV96" s="332"/>
      <c r="BW96" s="332"/>
      <c r="BX96" s="332"/>
      <c r="BY96" s="332"/>
      <c r="BZ96" s="332"/>
      <c r="CA96" s="332"/>
      <c r="CB96" s="332"/>
      <c r="CC96" s="332"/>
      <c r="CD96" s="332"/>
      <c r="CE96" s="332"/>
      <c r="CF96" s="332"/>
      <c r="CG96" s="332"/>
      <c r="CH96" s="332"/>
      <c r="CI96" s="332"/>
      <c r="CJ96" s="332"/>
      <c r="CK96" s="332"/>
      <c r="CL96" s="332"/>
      <c r="CM96" s="332"/>
      <c r="CN96" s="332"/>
      <c r="CO96" s="332"/>
      <c r="CP96" s="333" t="s">
        <v>27</v>
      </c>
      <c r="CQ96" s="333" t="s">
        <v>241</v>
      </c>
      <c r="CR96" s="334">
        <v>-0.37</v>
      </c>
      <c r="CS96" s="334">
        <v>-0.37</v>
      </c>
      <c r="CT96" s="334">
        <v>-0.37</v>
      </c>
      <c r="CU96" s="334">
        <v>-0.37</v>
      </c>
      <c r="CV96" s="334">
        <v>-0.37</v>
      </c>
      <c r="CW96" s="334">
        <v>-0.37</v>
      </c>
      <c r="CX96" s="334">
        <v>-0.37</v>
      </c>
      <c r="CY96" s="334">
        <v>-0.3306675</v>
      </c>
      <c r="CZ96" s="334">
        <v>-0.29133500000000001</v>
      </c>
      <c r="DA96" s="334">
        <v>-0.25200250000000002</v>
      </c>
      <c r="DB96" s="334">
        <v>-0.21267</v>
      </c>
      <c r="DC96" s="334">
        <v>-0.23720570827777768</v>
      </c>
      <c r="DD96" s="334">
        <v>-0.26174141655555533</v>
      </c>
      <c r="DE96" s="334">
        <v>-0.28627712483333301</v>
      </c>
      <c r="DF96" s="334">
        <v>-0.27024867833333299</v>
      </c>
      <c r="DG96" s="334">
        <v>-0.37558999999999998</v>
      </c>
      <c r="DH96" s="334">
        <v>-0.39600000000000002</v>
      </c>
      <c r="DI96" s="334">
        <v>-0.38400000000000001</v>
      </c>
      <c r="DJ96" s="334">
        <v>-0.34600000000000003</v>
      </c>
      <c r="DK96" s="334">
        <v>-0.36699999999999999</v>
      </c>
      <c r="DL96" s="334">
        <v>-0.41106999999999999</v>
      </c>
      <c r="DM96" s="334">
        <v>-0.41400000000000003</v>
      </c>
      <c r="DN96" s="334">
        <v>-0.32500000000000001</v>
      </c>
      <c r="DO96" s="334">
        <v>-0.29099999999999998</v>
      </c>
      <c r="DP96" s="334">
        <v>-0.16300000000000001</v>
      </c>
      <c r="DQ96" s="334">
        <v>-0.14118</v>
      </c>
      <c r="DR96" s="334">
        <v>-0.20600000000000002</v>
      </c>
      <c r="DS96" s="334">
        <v>-0.17500000000000002</v>
      </c>
      <c r="DT96" s="334">
        <v>-0.25600000000000001</v>
      </c>
      <c r="DU96" s="335">
        <v>-0.28333999999999998</v>
      </c>
      <c r="DV96" s="335">
        <v>-0.26016000000000006</v>
      </c>
      <c r="DW96" s="335">
        <v>-0.24496677180143323</v>
      </c>
      <c r="DX96" s="198">
        <v>-0.26016000000000006</v>
      </c>
      <c r="DY96" s="198">
        <v>-0.26016000000000006</v>
      </c>
      <c r="DZ96" s="198">
        <v>-0.26016000000000006</v>
      </c>
      <c r="EA96" s="198">
        <v>-1.5193228198566833E-2</v>
      </c>
      <c r="EB96" s="198">
        <v>-0.26016000000000006</v>
      </c>
      <c r="EC96" s="198">
        <v>-0.26016000000000006</v>
      </c>
      <c r="ED96" s="198">
        <v>-0.26016000000000006</v>
      </c>
      <c r="EE96" s="198">
        <v>-0.26016000000000006</v>
      </c>
      <c r="EF96" s="198">
        <v>-1.5193228198566833E-2</v>
      </c>
      <c r="EG96" s="198">
        <v>0</v>
      </c>
      <c r="EH96" s="198">
        <v>-0.32785456452948442</v>
      </c>
      <c r="EI96" s="336">
        <f t="shared" si="1"/>
        <v>-0.21230399999999999</v>
      </c>
      <c r="EJ96" s="336">
        <f>EI96-'[13]FAOSTAT21 CO2'!EH96</f>
        <v>-0.26871496</v>
      </c>
    </row>
    <row r="97" spans="1:140" x14ac:dyDescent="0.25">
      <c r="A97" s="31">
        <v>11</v>
      </c>
      <c r="B97" s="31" t="s">
        <v>242</v>
      </c>
      <c r="C97" s="31">
        <v>96</v>
      </c>
      <c r="D97" s="31">
        <v>1</v>
      </c>
      <c r="E97" s="31">
        <v>0</v>
      </c>
      <c r="F97" s="31">
        <v>1</v>
      </c>
      <c r="G97" s="31">
        <v>0</v>
      </c>
      <c r="H97" s="331" t="s">
        <v>2475</v>
      </c>
      <c r="I97" s="331" t="s">
        <v>243</v>
      </c>
      <c r="J97" s="331"/>
      <c r="K97" s="331"/>
      <c r="L97" s="331"/>
      <c r="M97" s="331"/>
      <c r="N97" s="331"/>
      <c r="O97" s="331"/>
      <c r="P97" s="331"/>
      <c r="Q97" s="331"/>
      <c r="R97" s="331"/>
      <c r="S97" s="331"/>
      <c r="T97" s="331"/>
      <c r="U97" s="331"/>
      <c r="V97" s="331"/>
      <c r="W97" s="331"/>
      <c r="X97" s="331"/>
      <c r="Y97" s="331"/>
      <c r="Z97" s="331"/>
      <c r="AA97" s="331"/>
      <c r="AB97" s="331"/>
      <c r="AC97" s="331"/>
      <c r="AD97" s="331"/>
      <c r="AE97" s="331"/>
      <c r="AF97" s="331"/>
      <c r="AG97" s="331"/>
      <c r="AH97" s="331"/>
      <c r="AI97" s="331"/>
      <c r="AJ97" s="331"/>
      <c r="AK97" s="331"/>
      <c r="AL97" s="331"/>
      <c r="AM97" s="331"/>
      <c r="AN97" s="331"/>
      <c r="AO97" s="331"/>
      <c r="AP97" s="331"/>
      <c r="AQ97" s="331"/>
      <c r="AR97" s="331"/>
      <c r="AS97" s="331"/>
      <c r="AT97" s="331"/>
      <c r="AU97" s="331"/>
      <c r="AV97" s="331"/>
      <c r="AW97" s="331"/>
      <c r="AX97" s="331"/>
      <c r="AY97" s="332" t="s">
        <v>2476</v>
      </c>
      <c r="AZ97" s="332" t="s">
        <v>243</v>
      </c>
      <c r="BA97" s="332"/>
      <c r="BB97" s="332"/>
      <c r="BC97" s="332"/>
      <c r="BD97" s="332"/>
      <c r="BE97" s="332"/>
      <c r="BF97" s="332"/>
      <c r="BG97" s="332"/>
      <c r="BH97" s="332"/>
      <c r="BI97" s="332"/>
      <c r="BJ97" s="332"/>
      <c r="BK97" s="332"/>
      <c r="BL97" s="332"/>
      <c r="BM97" s="332"/>
      <c r="BN97" s="332"/>
      <c r="BO97" s="332"/>
      <c r="BP97" s="332"/>
      <c r="BQ97" s="332"/>
      <c r="BR97" s="332"/>
      <c r="BS97" s="332"/>
      <c r="BT97" s="332"/>
      <c r="BU97" s="332"/>
      <c r="BV97" s="332"/>
      <c r="BW97" s="332"/>
      <c r="BX97" s="332"/>
      <c r="BY97" s="332"/>
      <c r="BZ97" s="332"/>
      <c r="CA97" s="332"/>
      <c r="CB97" s="332"/>
      <c r="CC97" s="332"/>
      <c r="CD97" s="332"/>
      <c r="CE97" s="332"/>
      <c r="CF97" s="332"/>
      <c r="CG97" s="332"/>
      <c r="CH97" s="332"/>
      <c r="CI97" s="332"/>
      <c r="CJ97" s="332"/>
      <c r="CK97" s="332"/>
      <c r="CL97" s="332"/>
      <c r="CM97" s="332"/>
      <c r="CN97" s="332"/>
      <c r="CO97" s="332"/>
      <c r="CP97" s="333" t="s">
        <v>27</v>
      </c>
      <c r="CQ97" s="333" t="s">
        <v>243</v>
      </c>
      <c r="CR97" s="334">
        <v>-3.5033267842600946</v>
      </c>
      <c r="CS97" s="334">
        <v>-18.952182681358618</v>
      </c>
      <c r="CT97" s="334">
        <v>-16.969657624694367</v>
      </c>
      <c r="CU97" s="334">
        <v>-4.1200943412633224</v>
      </c>
      <c r="CV97" s="334">
        <v>-17.164379379680511</v>
      </c>
      <c r="CW97" s="334">
        <v>-23.942454116687909</v>
      </c>
      <c r="CX97" s="334">
        <v>-25.445020759087413</v>
      </c>
      <c r="CY97" s="334">
        <v>-17.056365821977138</v>
      </c>
      <c r="CZ97" s="334">
        <v>-14.591426240575327</v>
      </c>
      <c r="DA97" s="334">
        <v>-24.300553835284674</v>
      </c>
      <c r="DB97" s="334">
        <v>-21.562463590459817</v>
      </c>
      <c r="DC97" s="334">
        <v>-31.808346162171908</v>
      </c>
      <c r="DD97" s="334">
        <v>-36.128299741265636</v>
      </c>
      <c r="DE97" s="334">
        <v>-28.146131020440098</v>
      </c>
      <c r="DF97" s="334">
        <v>-34.478637112018127</v>
      </c>
      <c r="DG97" s="334">
        <v>-35.565716076010467</v>
      </c>
      <c r="DH97" s="334">
        <v>-36.373797449304099</v>
      </c>
      <c r="DI97" s="334">
        <v>-13.433570276189755</v>
      </c>
      <c r="DJ97" s="334">
        <v>-31.924231245503275</v>
      </c>
      <c r="DK97" s="334">
        <v>-35.349330583078405</v>
      </c>
      <c r="DL97" s="334">
        <v>-41.692908963788774</v>
      </c>
      <c r="DM97" s="334">
        <v>-34.385056133920685</v>
      </c>
      <c r="DN97" s="334">
        <v>-24.918927097420315</v>
      </c>
      <c r="DO97" s="334">
        <v>-41.236540876947792</v>
      </c>
      <c r="DP97" s="334">
        <v>-41.916310329280194</v>
      </c>
      <c r="DQ97" s="334">
        <v>-43.96397639081907</v>
      </c>
      <c r="DR97" s="334">
        <v>-43.16484860751163</v>
      </c>
      <c r="DS97" s="334">
        <v>-23.30554215367173</v>
      </c>
      <c r="DT97" s="334">
        <v>-45.182776676177973</v>
      </c>
      <c r="DU97" s="335">
        <v>-41.85305316666895</v>
      </c>
      <c r="DV97" s="335">
        <v>-32.564824182957935</v>
      </c>
      <c r="DW97" s="335">
        <v>-27.493260462738466</v>
      </c>
      <c r="DX97" s="198">
        <v>-32.564824182957935</v>
      </c>
      <c r="DY97" s="198">
        <v>-32.564824182957935</v>
      </c>
      <c r="DZ97" s="198">
        <v>-32.564824182957935</v>
      </c>
      <c r="EA97" s="198">
        <v>-5.0715637202194692</v>
      </c>
      <c r="EB97" s="198">
        <v>-32.564824182957935</v>
      </c>
      <c r="EC97" s="198">
        <v>-32.564824182957935</v>
      </c>
      <c r="ED97" s="198">
        <v>-32.564824182957935</v>
      </c>
      <c r="EE97" s="198">
        <v>-32.564824182957935</v>
      </c>
      <c r="EF97" s="198">
        <v>-5.0715637202194692</v>
      </c>
      <c r="EG97" s="198">
        <v>0</v>
      </c>
      <c r="EH97" s="198">
        <v>-36.185309306522605</v>
      </c>
      <c r="EI97" s="336">
        <f t="shared" si="1"/>
        <v>-39.494039398969875</v>
      </c>
      <c r="EJ97" s="336">
        <f>EI97-'[13]FAOSTAT21 CO2'!EH97</f>
        <v>-22.305324498969874</v>
      </c>
    </row>
    <row r="98" spans="1:140" x14ac:dyDescent="0.25">
      <c r="A98" s="31">
        <v>4</v>
      </c>
      <c r="B98" s="31" t="s">
        <v>244</v>
      </c>
      <c r="C98" s="31">
        <v>98</v>
      </c>
      <c r="D98" s="31">
        <v>0</v>
      </c>
      <c r="E98" s="31">
        <v>0</v>
      </c>
      <c r="F98" s="31">
        <v>0</v>
      </c>
      <c r="G98" s="31">
        <v>0</v>
      </c>
      <c r="H98" s="331" t="s">
        <v>2475</v>
      </c>
      <c r="I98" s="331" t="s">
        <v>245</v>
      </c>
      <c r="J98" s="331"/>
      <c r="K98" s="331"/>
      <c r="L98" s="331"/>
      <c r="M98" s="331"/>
      <c r="N98" s="331"/>
      <c r="O98" s="331"/>
      <c r="P98" s="331"/>
      <c r="Q98" s="331"/>
      <c r="R98" s="331"/>
      <c r="S98" s="331"/>
      <c r="T98" s="331"/>
      <c r="U98" s="331"/>
      <c r="V98" s="331"/>
      <c r="W98" s="331"/>
      <c r="X98" s="331"/>
      <c r="Y98" s="331"/>
      <c r="Z98" s="331"/>
      <c r="AA98" s="331"/>
      <c r="AB98" s="331"/>
      <c r="AC98" s="331"/>
      <c r="AD98" s="331"/>
      <c r="AE98" s="331"/>
      <c r="AF98" s="331"/>
      <c r="AG98" s="331"/>
      <c r="AH98" s="331"/>
      <c r="AI98" s="331"/>
      <c r="AJ98" s="331"/>
      <c r="AK98" s="331"/>
      <c r="AL98" s="331"/>
      <c r="AM98" s="331"/>
      <c r="AN98" s="331"/>
      <c r="AO98" s="331"/>
      <c r="AP98" s="331"/>
      <c r="AQ98" s="331"/>
      <c r="AR98" s="331"/>
      <c r="AS98" s="331"/>
      <c r="AT98" s="331"/>
      <c r="AU98" s="331"/>
      <c r="AV98" s="331"/>
      <c r="AW98" s="331"/>
      <c r="AX98" s="331"/>
      <c r="AY98" s="332" t="s">
        <v>2476</v>
      </c>
      <c r="AZ98" s="332" t="s">
        <v>245</v>
      </c>
      <c r="BA98" s="332"/>
      <c r="BB98" s="332"/>
      <c r="BC98" s="332"/>
      <c r="BD98" s="332"/>
      <c r="BE98" s="332"/>
      <c r="BF98" s="332"/>
      <c r="BG98" s="332"/>
      <c r="BH98" s="332"/>
      <c r="BI98" s="332"/>
      <c r="BJ98" s="332"/>
      <c r="BK98" s="332"/>
      <c r="BL98" s="332"/>
      <c r="BM98" s="332"/>
      <c r="BN98" s="332"/>
      <c r="BO98" s="332"/>
      <c r="BP98" s="332"/>
      <c r="BQ98" s="332"/>
      <c r="BR98" s="332"/>
      <c r="BS98" s="332"/>
      <c r="BT98" s="332"/>
      <c r="BU98" s="332"/>
      <c r="BV98" s="332"/>
      <c r="BW98" s="332"/>
      <c r="BX98" s="332"/>
      <c r="BY98" s="332"/>
      <c r="BZ98" s="332"/>
      <c r="CA98" s="332"/>
      <c r="CB98" s="332"/>
      <c r="CC98" s="332"/>
      <c r="CD98" s="332"/>
      <c r="CE98" s="332"/>
      <c r="CF98" s="332"/>
      <c r="CG98" s="332"/>
      <c r="CH98" s="332"/>
      <c r="CI98" s="332"/>
      <c r="CJ98" s="332"/>
      <c r="CK98" s="332"/>
      <c r="CL98" s="332"/>
      <c r="CM98" s="332"/>
      <c r="CN98" s="332"/>
      <c r="CO98" s="332"/>
      <c r="CP98" s="333" t="s">
        <v>27</v>
      </c>
      <c r="CQ98" s="333" t="s">
        <v>245</v>
      </c>
      <c r="CR98" s="334">
        <v>-0.16700000000000001</v>
      </c>
      <c r="CS98" s="334">
        <v>-0.16700000000000001</v>
      </c>
      <c r="CT98" s="334">
        <v>-0.16700000000000001</v>
      </c>
      <c r="CU98" s="334">
        <v>-0.16700000000000001</v>
      </c>
      <c r="CV98" s="334">
        <v>-0.16700000000000001</v>
      </c>
      <c r="CW98" s="334">
        <v>-0.29358333333333331</v>
      </c>
      <c r="CX98" s="334">
        <v>-0.42016666666666663</v>
      </c>
      <c r="CY98" s="334">
        <v>-0.54674999999999996</v>
      </c>
      <c r="CZ98" s="334">
        <v>-0.67333333333333334</v>
      </c>
      <c r="DA98" s="334">
        <v>-0.79991666666666661</v>
      </c>
      <c r="DB98" s="334">
        <v>-0.92649999999999988</v>
      </c>
      <c r="DC98" s="334">
        <v>-1.0530833333333331</v>
      </c>
      <c r="DD98" s="334">
        <v>-1.1796666666666664</v>
      </c>
      <c r="DE98" s="334">
        <v>-1.3062499999999997</v>
      </c>
      <c r="DF98" s="334">
        <v>-1.432833333333333</v>
      </c>
      <c r="DG98" s="334">
        <v>-1.5594166666666662</v>
      </c>
      <c r="DH98" s="334">
        <v>-1.6859999999999999</v>
      </c>
      <c r="DI98" s="334">
        <v>-1.6380000000000001</v>
      </c>
      <c r="DJ98" s="334">
        <v>-1.6320000000000001</v>
      </c>
      <c r="DK98" s="334">
        <v>-1.6220000000000001</v>
      </c>
      <c r="DL98" s="334">
        <v>-1.6180000000000001</v>
      </c>
      <c r="DM98" s="334">
        <v>-1.6220000000000001</v>
      </c>
      <c r="DN98" s="334">
        <v>-1.6260000000000001</v>
      </c>
      <c r="DO98" s="334">
        <v>-2.0150454545454579</v>
      </c>
      <c r="DP98" s="334">
        <v>-2.1015510540184437</v>
      </c>
      <c r="DQ98" s="334">
        <v>-2.1880566534914294</v>
      </c>
      <c r="DR98" s="334">
        <v>-2.2745622529644152</v>
      </c>
      <c r="DS98" s="334">
        <v>-2.3610678524374293</v>
      </c>
      <c r="DT98" s="334">
        <v>-2.4475734519104151</v>
      </c>
      <c r="DU98" s="335">
        <v>-2.5340790513834008</v>
      </c>
      <c r="DV98" s="335">
        <v>-2.6205846508563866</v>
      </c>
      <c r="DW98" s="335">
        <v>-2.7070902503293723</v>
      </c>
      <c r="DX98" s="198">
        <v>-2.6205846508563866</v>
      </c>
      <c r="DY98" s="198">
        <v>-2.6205846508563866</v>
      </c>
      <c r="DZ98" s="198">
        <v>-2.6205846508563866</v>
      </c>
      <c r="EA98" s="198">
        <v>8.650559947298575E-2</v>
      </c>
      <c r="EB98" s="198">
        <v>-2.6205846508563866</v>
      </c>
      <c r="EC98" s="198">
        <v>-2.6205846508563866</v>
      </c>
      <c r="ED98" s="198">
        <v>-2.6205846508563866</v>
      </c>
      <c r="EE98" s="198">
        <v>-2.6205846508563866</v>
      </c>
      <c r="EF98" s="198">
        <v>8.650559947298575E-2</v>
      </c>
      <c r="EG98" s="198">
        <v>0</v>
      </c>
      <c r="EH98" s="198">
        <v>-3.6830965024922326</v>
      </c>
      <c r="EI98" s="336">
        <f t="shared" si="1"/>
        <v>-2.3610678524374178</v>
      </c>
      <c r="EJ98" s="336">
        <f>EI98-'[13]FAOSTAT21 CO2'!EH98</f>
        <v>-2.5523600924374179</v>
      </c>
    </row>
    <row r="99" spans="1:140" x14ac:dyDescent="0.25">
      <c r="A99" s="31">
        <v>23</v>
      </c>
      <c r="B99" s="31" t="s">
        <v>246</v>
      </c>
      <c r="C99" s="31">
        <v>99</v>
      </c>
      <c r="D99" s="31">
        <v>0</v>
      </c>
      <c r="E99" s="31">
        <v>1</v>
      </c>
      <c r="F99" s="31">
        <v>1</v>
      </c>
      <c r="G99" s="31">
        <v>1</v>
      </c>
      <c r="H99" s="331" t="s">
        <v>2475</v>
      </c>
      <c r="I99" s="331" t="s">
        <v>247</v>
      </c>
      <c r="J99" s="331"/>
      <c r="K99" s="331"/>
      <c r="L99" s="331"/>
      <c r="M99" s="331"/>
      <c r="N99" s="331"/>
      <c r="O99" s="331"/>
      <c r="P99" s="331"/>
      <c r="Q99" s="331"/>
      <c r="R99" s="331"/>
      <c r="S99" s="331"/>
      <c r="T99" s="331"/>
      <c r="U99" s="331"/>
      <c r="V99" s="331"/>
      <c r="W99" s="331"/>
      <c r="X99" s="331"/>
      <c r="Y99" s="331"/>
      <c r="Z99" s="331"/>
      <c r="AA99" s="331"/>
      <c r="AB99" s="331"/>
      <c r="AC99" s="331"/>
      <c r="AD99" s="331"/>
      <c r="AE99" s="331"/>
      <c r="AF99" s="331"/>
      <c r="AG99" s="331"/>
      <c r="AH99" s="331"/>
      <c r="AI99" s="331"/>
      <c r="AJ99" s="331"/>
      <c r="AK99" s="331"/>
      <c r="AL99" s="331"/>
      <c r="AM99" s="331"/>
      <c r="AN99" s="331"/>
      <c r="AO99" s="331"/>
      <c r="AP99" s="331"/>
      <c r="AQ99" s="331"/>
      <c r="AR99" s="331"/>
      <c r="AS99" s="331"/>
      <c r="AT99" s="331"/>
      <c r="AU99" s="331"/>
      <c r="AV99" s="331"/>
      <c r="AW99" s="331"/>
      <c r="AX99" s="331"/>
      <c r="AY99" s="332" t="s">
        <v>2476</v>
      </c>
      <c r="AZ99" s="332" t="s">
        <v>247</v>
      </c>
      <c r="BA99" s="332"/>
      <c r="BB99" s="332"/>
      <c r="BC99" s="332"/>
      <c r="BD99" s="332"/>
      <c r="BE99" s="332"/>
      <c r="BF99" s="332"/>
      <c r="BG99" s="332"/>
      <c r="BH99" s="332"/>
      <c r="BI99" s="332"/>
      <c r="BJ99" s="332"/>
      <c r="BK99" s="332"/>
      <c r="BL99" s="332"/>
      <c r="BM99" s="332"/>
      <c r="BN99" s="332"/>
      <c r="BO99" s="332"/>
      <c r="BP99" s="332"/>
      <c r="BQ99" s="332"/>
      <c r="BR99" s="332"/>
      <c r="BS99" s="332"/>
      <c r="BT99" s="332"/>
      <c r="BU99" s="332"/>
      <c r="BV99" s="332"/>
      <c r="BW99" s="332"/>
      <c r="BX99" s="332"/>
      <c r="BY99" s="332"/>
      <c r="BZ99" s="332"/>
      <c r="CA99" s="332"/>
      <c r="CB99" s="332"/>
      <c r="CC99" s="332"/>
      <c r="CD99" s="332"/>
      <c r="CE99" s="332"/>
      <c r="CF99" s="332"/>
      <c r="CG99" s="332"/>
      <c r="CH99" s="332"/>
      <c r="CI99" s="332"/>
      <c r="CJ99" s="332"/>
      <c r="CK99" s="332"/>
      <c r="CL99" s="332"/>
      <c r="CM99" s="332"/>
      <c r="CN99" s="332"/>
      <c r="CO99" s="332"/>
      <c r="CP99" s="333" t="s">
        <v>27</v>
      </c>
      <c r="CQ99" s="333" t="s">
        <v>247</v>
      </c>
      <c r="CR99" s="334">
        <v>-63.562446203631175</v>
      </c>
      <c r="CS99" s="334">
        <v>-72.359499061600872</v>
      </c>
      <c r="CT99" s="334">
        <v>-76.043216513153439</v>
      </c>
      <c r="CU99" s="334">
        <v>-79.302164787063901</v>
      </c>
      <c r="CV99" s="334">
        <v>-79.106884764211273</v>
      </c>
      <c r="CW99" s="334">
        <v>-78.810828970462424</v>
      </c>
      <c r="CX99" s="334">
        <v>-82.507719149539355</v>
      </c>
      <c r="CY99" s="334">
        <v>-83.520872278669714</v>
      </c>
      <c r="CZ99" s="334">
        <v>-83.987797137905318</v>
      </c>
      <c r="DA99" s="334">
        <v>-83.212183882310796</v>
      </c>
      <c r="DB99" s="334">
        <v>-84.315402280843571</v>
      </c>
      <c r="DC99" s="334">
        <v>-84.959118099009871</v>
      </c>
      <c r="DD99" s="334">
        <v>-86.726085945416742</v>
      </c>
      <c r="DE99" s="334">
        <v>-98.253789628423448</v>
      </c>
      <c r="DF99" s="334">
        <v>-94.830138437882312</v>
      </c>
      <c r="DG99" s="334">
        <v>-89.042963375399168</v>
      </c>
      <c r="DH99" s="334">
        <v>-84.161467655357043</v>
      </c>
      <c r="DI99" s="334">
        <v>-80.088849757473781</v>
      </c>
      <c r="DJ99" s="334">
        <v>-70.292432649629063</v>
      </c>
      <c r="DK99" s="334">
        <v>-67.184842933484902</v>
      </c>
      <c r="DL99" s="334">
        <v>-71.017390642897666</v>
      </c>
      <c r="DM99" s="334">
        <v>-69.274747441896181</v>
      </c>
      <c r="DN99" s="334">
        <v>-72.041864928526124</v>
      </c>
      <c r="DO99" s="334">
        <v>-64.79302855372508</v>
      </c>
      <c r="DP99" s="334">
        <v>-61.868365127623242</v>
      </c>
      <c r="DQ99" s="334">
        <v>-56.261511189576673</v>
      </c>
      <c r="DR99" s="334">
        <v>-52.410620956812672</v>
      </c>
      <c r="DS99" s="334">
        <v>-56.369452404287657</v>
      </c>
      <c r="DT99" s="334">
        <v>-55.93015865175802</v>
      </c>
      <c r="DU99" s="335">
        <v>-50.819693492441196</v>
      </c>
      <c r="DV99" s="335">
        <v>-51.713372128343565</v>
      </c>
      <c r="DW99" s="335">
        <v>-51.813895120403124</v>
      </c>
      <c r="DX99" s="198">
        <v>-39.799999999999997</v>
      </c>
      <c r="DY99" s="198">
        <v>-39.799999999999997</v>
      </c>
      <c r="DZ99" s="198">
        <v>-39.799999999999997</v>
      </c>
      <c r="EA99" s="198">
        <v>12.013895120403127</v>
      </c>
      <c r="EB99" s="198">
        <v>-51.713372128343565</v>
      </c>
      <c r="EC99" s="198">
        <v>-39.799999999999997</v>
      </c>
      <c r="ED99" s="198">
        <v>-51.713372128343565</v>
      </c>
      <c r="EE99" s="198">
        <v>-39.799999999999997</v>
      </c>
      <c r="EF99" s="198">
        <v>12.013895120403127</v>
      </c>
      <c r="EG99" s="198">
        <v>0</v>
      </c>
      <c r="EH99" s="198">
        <v>-34.000036735332799</v>
      </c>
      <c r="EI99" s="336">
        <f t="shared" si="1"/>
        <v>-54.358287338975245</v>
      </c>
      <c r="EJ99" s="336">
        <f>EI99-'[13]FAOSTAT21 CO2'!EH99</f>
        <v>-18.754322938975243</v>
      </c>
    </row>
    <row r="100" spans="1:140" x14ac:dyDescent="0.25">
      <c r="A100" s="31">
        <v>17</v>
      </c>
      <c r="B100" s="31" t="s">
        <v>248</v>
      </c>
      <c r="C100" s="31">
        <v>101</v>
      </c>
      <c r="D100" s="31">
        <v>0</v>
      </c>
      <c r="E100" s="31">
        <v>0</v>
      </c>
      <c r="F100" s="31">
        <v>0</v>
      </c>
      <c r="G100" s="31">
        <v>0</v>
      </c>
      <c r="H100" s="331" t="s">
        <v>2475</v>
      </c>
      <c r="I100" s="331" t="s">
        <v>249</v>
      </c>
      <c r="J100" s="331"/>
      <c r="K100" s="331"/>
      <c r="L100" s="331"/>
      <c r="M100" s="331"/>
      <c r="N100" s="331"/>
      <c r="O100" s="331"/>
      <c r="P100" s="331"/>
      <c r="Q100" s="331"/>
      <c r="R100" s="331"/>
      <c r="S100" s="331"/>
      <c r="T100" s="331"/>
      <c r="U100" s="331"/>
      <c r="V100" s="331"/>
      <c r="W100" s="331"/>
      <c r="X100" s="331"/>
      <c r="Y100" s="331"/>
      <c r="Z100" s="331"/>
      <c r="AA100" s="331"/>
      <c r="AB100" s="331"/>
      <c r="AC100" s="331"/>
      <c r="AD100" s="331"/>
      <c r="AE100" s="331"/>
      <c r="AF100" s="331"/>
      <c r="AG100" s="331"/>
      <c r="AH100" s="331"/>
      <c r="AI100" s="331"/>
      <c r="AJ100" s="331"/>
      <c r="AK100" s="331"/>
      <c r="AL100" s="331"/>
      <c r="AM100" s="331"/>
      <c r="AN100" s="331"/>
      <c r="AO100" s="331"/>
      <c r="AP100" s="331"/>
      <c r="AQ100" s="331"/>
      <c r="AR100" s="331"/>
      <c r="AS100" s="331"/>
      <c r="AT100" s="331"/>
      <c r="AU100" s="331"/>
      <c r="AV100" s="331"/>
      <c r="AW100" s="331"/>
      <c r="AX100" s="331"/>
      <c r="AY100" s="332" t="s">
        <v>2476</v>
      </c>
      <c r="AZ100" s="332" t="s">
        <v>249</v>
      </c>
      <c r="BA100" s="332"/>
      <c r="BB100" s="332"/>
      <c r="BC100" s="332"/>
      <c r="BD100" s="332"/>
      <c r="BE100" s="332"/>
      <c r="BF100" s="332"/>
      <c r="BG100" s="332"/>
      <c r="BH100" s="332"/>
      <c r="BI100" s="332"/>
      <c r="BJ100" s="332"/>
      <c r="BK100" s="332"/>
      <c r="BL100" s="332"/>
      <c r="BM100" s="332"/>
      <c r="BN100" s="332"/>
      <c r="BO100" s="332"/>
      <c r="BP100" s="332"/>
      <c r="BQ100" s="332"/>
      <c r="BR100" s="332"/>
      <c r="BS100" s="332"/>
      <c r="BT100" s="332"/>
      <c r="BU100" s="332"/>
      <c r="BV100" s="332"/>
      <c r="BW100" s="332"/>
      <c r="BX100" s="332"/>
      <c r="BY100" s="332"/>
      <c r="BZ100" s="332"/>
      <c r="CA100" s="332"/>
      <c r="CB100" s="332"/>
      <c r="CC100" s="332"/>
      <c r="CD100" s="332"/>
      <c r="CE100" s="332"/>
      <c r="CF100" s="332"/>
      <c r="CG100" s="332"/>
      <c r="CH100" s="332"/>
      <c r="CI100" s="332"/>
      <c r="CJ100" s="332"/>
      <c r="CK100" s="332"/>
      <c r="CL100" s="332"/>
      <c r="CM100" s="332"/>
      <c r="CN100" s="332"/>
      <c r="CO100" s="332"/>
      <c r="CP100" s="333" t="s">
        <v>27</v>
      </c>
      <c r="CQ100" s="333" t="s">
        <v>249</v>
      </c>
      <c r="CR100" s="334">
        <v>-3.573878525</v>
      </c>
      <c r="CS100" s="334">
        <v>-3.573878525</v>
      </c>
      <c r="CT100" s="334">
        <v>-3.573878525</v>
      </c>
      <c r="CU100" s="334">
        <v>-3.573878525</v>
      </c>
      <c r="CV100" s="334">
        <v>-3.573878525</v>
      </c>
      <c r="CW100" s="334">
        <v>-2.8550676374999999</v>
      </c>
      <c r="CX100" s="334">
        <v>-2.1362567499999998</v>
      </c>
      <c r="CY100" s="334">
        <v>-1.4174458624999997</v>
      </c>
      <c r="CZ100" s="334">
        <v>-0.69863497499999971</v>
      </c>
      <c r="DA100" s="334">
        <v>2.0175912500000281E-2</v>
      </c>
      <c r="DB100" s="334">
        <v>0.73898680000000005</v>
      </c>
      <c r="DC100" s="334">
        <v>0.76054400000000011</v>
      </c>
      <c r="DD100" s="334">
        <v>0.78210120000000005</v>
      </c>
      <c r="DE100" s="334">
        <v>0.80365839999999999</v>
      </c>
      <c r="DF100" s="334">
        <v>0.82521559999999994</v>
      </c>
      <c r="DG100" s="334">
        <v>0.84677279999999988</v>
      </c>
      <c r="DH100" s="334">
        <v>0.86833000000000005</v>
      </c>
      <c r="DI100" s="334">
        <v>0.68970407</v>
      </c>
      <c r="DJ100" s="334">
        <v>0.51107813999999996</v>
      </c>
      <c r="DK100" s="334">
        <v>0.33245220999999991</v>
      </c>
      <c r="DL100" s="334">
        <v>0.1538262799999999</v>
      </c>
      <c r="DM100" s="334">
        <v>-2.4799650000000117E-2</v>
      </c>
      <c r="DN100" s="334">
        <v>-0.20342558000000013</v>
      </c>
      <c r="DO100" s="334">
        <v>-0.38205151000000015</v>
      </c>
      <c r="DP100" s="334">
        <v>-0.56067744000000019</v>
      </c>
      <c r="DQ100" s="334">
        <v>-0.73930337000000024</v>
      </c>
      <c r="DR100" s="334">
        <v>-0.91792930000000006</v>
      </c>
      <c r="DS100" s="334">
        <v>-0.92337999999999998</v>
      </c>
      <c r="DT100" s="334">
        <v>0.98359362361114222</v>
      </c>
      <c r="DU100" s="335">
        <v>1.1041259899870113</v>
      </c>
      <c r="DV100" s="335">
        <v>1.2246583563629088</v>
      </c>
      <c r="DW100" s="335">
        <v>1.3451907227387778</v>
      </c>
      <c r="DX100" s="198">
        <v>1</v>
      </c>
      <c r="DY100" s="198">
        <v>1</v>
      </c>
      <c r="DZ100" s="198">
        <v>1</v>
      </c>
      <c r="EA100" s="198">
        <v>-0.34519072273877782</v>
      </c>
      <c r="EB100" s="198">
        <v>1.2246583563629088</v>
      </c>
      <c r="EC100" s="198">
        <v>1.2246583563629088</v>
      </c>
      <c r="ED100" s="198">
        <v>1.2246583563629088</v>
      </c>
      <c r="EE100" s="198">
        <v>1.2246583563629088</v>
      </c>
      <c r="EF100" s="198">
        <v>-0.12053236637586906</v>
      </c>
      <c r="EG100" s="198">
        <v>0.22465835636290876</v>
      </c>
      <c r="EH100" s="198">
        <v>0.90599786231547197</v>
      </c>
      <c r="EI100" s="336">
        <f t="shared" si="1"/>
        <v>-9.8578611280369349E-2</v>
      </c>
      <c r="EJ100" s="336">
        <f>EI100-'[13]FAOSTAT21 CO2'!EH100</f>
        <v>-9.8578611280369349E-2</v>
      </c>
    </row>
    <row r="101" spans="1:140" x14ac:dyDescent="0.25">
      <c r="A101" s="31">
        <v>15</v>
      </c>
      <c r="B101" s="31" t="s">
        <v>250</v>
      </c>
      <c r="C101" s="31">
        <v>100</v>
      </c>
      <c r="D101" s="31">
        <v>0</v>
      </c>
      <c r="E101" s="31">
        <v>0</v>
      </c>
      <c r="F101" s="31">
        <v>0</v>
      </c>
      <c r="G101" s="31">
        <v>1</v>
      </c>
      <c r="H101" s="331" t="s">
        <v>2475</v>
      </c>
      <c r="I101" s="331" t="s">
        <v>251</v>
      </c>
      <c r="J101" s="331"/>
      <c r="K101" s="331"/>
      <c r="L101" s="331"/>
      <c r="M101" s="331"/>
      <c r="N101" s="331"/>
      <c r="O101" s="331"/>
      <c r="P101" s="331"/>
      <c r="Q101" s="331"/>
      <c r="R101" s="331"/>
      <c r="S101" s="331"/>
      <c r="T101" s="331"/>
      <c r="U101" s="331"/>
      <c r="V101" s="331"/>
      <c r="W101" s="331"/>
      <c r="X101" s="331"/>
      <c r="Y101" s="331"/>
      <c r="Z101" s="331"/>
      <c r="AA101" s="331"/>
      <c r="AB101" s="331"/>
      <c r="AC101" s="331"/>
      <c r="AD101" s="331"/>
      <c r="AE101" s="331"/>
      <c r="AF101" s="331"/>
      <c r="AG101" s="331"/>
      <c r="AH101" s="331"/>
      <c r="AI101" s="331"/>
      <c r="AJ101" s="331"/>
      <c r="AK101" s="331"/>
      <c r="AL101" s="331"/>
      <c r="AM101" s="331"/>
      <c r="AN101" s="331"/>
      <c r="AO101" s="331"/>
      <c r="AP101" s="331"/>
      <c r="AQ101" s="331"/>
      <c r="AR101" s="331"/>
      <c r="AS101" s="331"/>
      <c r="AT101" s="331"/>
      <c r="AU101" s="331"/>
      <c r="AV101" s="331"/>
      <c r="AW101" s="331"/>
      <c r="AX101" s="331"/>
      <c r="AY101" s="332" t="s">
        <v>2476</v>
      </c>
      <c r="AZ101" s="332" t="s">
        <v>251</v>
      </c>
      <c r="BA101" s="332"/>
      <c r="BB101" s="332"/>
      <c r="BC101" s="332"/>
      <c r="BD101" s="332"/>
      <c r="BE101" s="332"/>
      <c r="BF101" s="332"/>
      <c r="BG101" s="332"/>
      <c r="BH101" s="332"/>
      <c r="BI101" s="332"/>
      <c r="BJ101" s="332"/>
      <c r="BK101" s="332"/>
      <c r="BL101" s="332"/>
      <c r="BM101" s="332"/>
      <c r="BN101" s="332"/>
      <c r="BO101" s="332"/>
      <c r="BP101" s="332"/>
      <c r="BQ101" s="332"/>
      <c r="BR101" s="332"/>
      <c r="BS101" s="332"/>
      <c r="BT101" s="332"/>
      <c r="BU101" s="332"/>
      <c r="BV101" s="332"/>
      <c r="BW101" s="332"/>
      <c r="BX101" s="332"/>
      <c r="BY101" s="332"/>
      <c r="BZ101" s="332"/>
      <c r="CA101" s="332"/>
      <c r="CB101" s="332"/>
      <c r="CC101" s="332"/>
      <c r="CD101" s="332"/>
      <c r="CE101" s="332"/>
      <c r="CF101" s="332"/>
      <c r="CG101" s="332"/>
      <c r="CH101" s="332"/>
      <c r="CI101" s="332"/>
      <c r="CJ101" s="332"/>
      <c r="CK101" s="332"/>
      <c r="CL101" s="332"/>
      <c r="CM101" s="332"/>
      <c r="CN101" s="332"/>
      <c r="CO101" s="332"/>
      <c r="CP101" s="333" t="s">
        <v>27</v>
      </c>
      <c r="CQ101" s="333" t="s">
        <v>251</v>
      </c>
      <c r="CR101" s="334">
        <v>-6.4962068000000075</v>
      </c>
      <c r="CS101" s="334">
        <v>-6.2357253333333347</v>
      </c>
      <c r="CT101" s="334">
        <v>-6.1389713333333402</v>
      </c>
      <c r="CU101" s="334">
        <v>-5.9723393333333403</v>
      </c>
      <c r="CV101" s="334">
        <v>4.4167593333333439</v>
      </c>
      <c r="CW101" s="334">
        <v>17.826153333333338</v>
      </c>
      <c r="CX101" s="334">
        <v>23.455694000000022</v>
      </c>
      <c r="CY101" s="334">
        <v>42.895762000000026</v>
      </c>
      <c r="CZ101" s="334">
        <v>42.284017333333374</v>
      </c>
      <c r="DA101" s="334">
        <v>40.609486000000032</v>
      </c>
      <c r="DB101" s="334">
        <v>42.710780000000035</v>
      </c>
      <c r="DC101" s="334">
        <v>57.007789333333342</v>
      </c>
      <c r="DD101" s="334">
        <v>59.62355866666676</v>
      </c>
      <c r="DE101" s="334">
        <v>68.70687400000007</v>
      </c>
      <c r="DF101" s="334">
        <v>73.131984000000045</v>
      </c>
      <c r="DG101" s="334">
        <v>83.15861266666677</v>
      </c>
      <c r="DH101" s="334">
        <v>96.317126666666738</v>
      </c>
      <c r="DI101" s="334">
        <v>84.769626000000073</v>
      </c>
      <c r="DJ101" s="334">
        <v>77.727774666666747</v>
      </c>
      <c r="DK101" s="334">
        <v>70.503500666666739</v>
      </c>
      <c r="DL101" s="334">
        <v>65.559360000000041</v>
      </c>
      <c r="DM101" s="334">
        <v>49.128832000000045</v>
      </c>
      <c r="DN101" s="334">
        <v>34.503861333333347</v>
      </c>
      <c r="DO101" s="334">
        <v>19.132254000000017</v>
      </c>
      <c r="DP101" s="334">
        <v>19.330190000000002</v>
      </c>
      <c r="DQ101" s="334">
        <v>20.870219333333367</v>
      </c>
      <c r="DR101" s="334">
        <v>19.045768000000013</v>
      </c>
      <c r="DS101" s="334">
        <v>25.206778666666686</v>
      </c>
      <c r="DT101" s="334">
        <v>20.668202666666676</v>
      </c>
      <c r="DU101" s="335">
        <v>14.366842666666679</v>
      </c>
      <c r="DV101" s="335">
        <v>8.1271580000000068</v>
      </c>
      <c r="DW101" s="335">
        <v>2.7143600000000152</v>
      </c>
      <c r="DX101" s="198">
        <v>-6</v>
      </c>
      <c r="DY101" s="198">
        <v>-6</v>
      </c>
      <c r="DZ101" s="198">
        <v>-6</v>
      </c>
      <c r="EA101" s="198">
        <v>-8.7143600000000152</v>
      </c>
      <c r="EB101" s="198">
        <v>8.1271580000000068</v>
      </c>
      <c r="EC101" s="198">
        <v>8.1271580000000068</v>
      </c>
      <c r="ED101" s="198">
        <v>8.1271580000000068</v>
      </c>
      <c r="EE101" s="198">
        <v>8.1271580000000068</v>
      </c>
      <c r="EF101" s="198">
        <v>5.4127979999999916</v>
      </c>
      <c r="EG101" s="198">
        <v>14.127158000000007</v>
      </c>
      <c r="EH101" s="198">
        <v>5.4280541483505154</v>
      </c>
      <c r="EI101" s="336">
        <f t="shared" si="1"/>
        <v>20.031562266666686</v>
      </c>
      <c r="EJ101" s="336">
        <f>EI101-'[13]FAOSTAT21 CO2'!EH101</f>
        <v>24.390810866666687</v>
      </c>
    </row>
    <row r="102" spans="1:140" x14ac:dyDescent="0.25">
      <c r="A102" s="31">
        <v>9</v>
      </c>
      <c r="B102" s="31" t="s">
        <v>252</v>
      </c>
      <c r="C102" s="31">
        <v>102</v>
      </c>
      <c r="D102" s="31">
        <v>0</v>
      </c>
      <c r="E102" s="31">
        <v>0</v>
      </c>
      <c r="F102" s="31">
        <v>0</v>
      </c>
      <c r="G102" s="31">
        <v>0</v>
      </c>
      <c r="H102" s="331" t="s">
        <v>2475</v>
      </c>
      <c r="I102" s="331" t="s">
        <v>253</v>
      </c>
      <c r="J102" s="331"/>
      <c r="K102" s="331"/>
      <c r="L102" s="331"/>
      <c r="M102" s="331"/>
      <c r="N102" s="331"/>
      <c r="O102" s="331"/>
      <c r="P102" s="331"/>
      <c r="Q102" s="331"/>
      <c r="R102" s="331"/>
      <c r="S102" s="331"/>
      <c r="T102" s="331"/>
      <c r="U102" s="331"/>
      <c r="V102" s="331"/>
      <c r="W102" s="331"/>
      <c r="X102" s="331"/>
      <c r="Y102" s="331"/>
      <c r="Z102" s="331"/>
      <c r="AA102" s="331"/>
      <c r="AB102" s="331"/>
      <c r="AC102" s="331"/>
      <c r="AD102" s="331"/>
      <c r="AE102" s="331"/>
      <c r="AF102" s="331"/>
      <c r="AG102" s="331"/>
      <c r="AH102" s="331"/>
      <c r="AI102" s="331"/>
      <c r="AJ102" s="331"/>
      <c r="AK102" s="331"/>
      <c r="AL102" s="331"/>
      <c r="AM102" s="331"/>
      <c r="AN102" s="331"/>
      <c r="AO102" s="331"/>
      <c r="AP102" s="331"/>
      <c r="AQ102" s="331"/>
      <c r="AR102" s="331"/>
      <c r="AS102" s="331"/>
      <c r="AT102" s="331"/>
      <c r="AU102" s="331"/>
      <c r="AV102" s="331"/>
      <c r="AW102" s="331"/>
      <c r="AX102" s="331"/>
      <c r="AY102" s="332" t="s">
        <v>2476</v>
      </c>
      <c r="AZ102" s="332" t="s">
        <v>253</v>
      </c>
      <c r="BA102" s="332"/>
      <c r="BB102" s="332"/>
      <c r="BC102" s="332"/>
      <c r="BD102" s="332"/>
      <c r="BE102" s="332"/>
      <c r="BF102" s="332"/>
      <c r="BG102" s="332"/>
      <c r="BH102" s="332"/>
      <c r="BI102" s="332"/>
      <c r="BJ102" s="332"/>
      <c r="BK102" s="332"/>
      <c r="BL102" s="332"/>
      <c r="BM102" s="332"/>
      <c r="BN102" s="332"/>
      <c r="BO102" s="332"/>
      <c r="BP102" s="332"/>
      <c r="BQ102" s="332"/>
      <c r="BR102" s="332"/>
      <c r="BS102" s="332"/>
      <c r="BT102" s="332"/>
      <c r="BU102" s="332"/>
      <c r="BV102" s="332"/>
      <c r="BW102" s="332"/>
      <c r="BX102" s="332"/>
      <c r="BY102" s="332"/>
      <c r="BZ102" s="332"/>
      <c r="CA102" s="332"/>
      <c r="CB102" s="332"/>
      <c r="CC102" s="332"/>
      <c r="CD102" s="332"/>
      <c r="CE102" s="332"/>
      <c r="CF102" s="332"/>
      <c r="CG102" s="332"/>
      <c r="CH102" s="332"/>
      <c r="CI102" s="332"/>
      <c r="CJ102" s="332"/>
      <c r="CK102" s="332"/>
      <c r="CL102" s="332"/>
      <c r="CM102" s="332"/>
      <c r="CN102" s="332"/>
      <c r="CO102" s="332"/>
      <c r="CP102" s="333" t="s">
        <v>27</v>
      </c>
      <c r="CQ102" s="333" t="s">
        <v>253</v>
      </c>
      <c r="CR102" s="334">
        <v>-28.000219300000001</v>
      </c>
      <c r="CS102" s="334">
        <v>-28.000219300000001</v>
      </c>
      <c r="CT102" s="334">
        <v>-28.000219300000001</v>
      </c>
      <c r="CU102" s="334">
        <v>-28.000219300000001</v>
      </c>
      <c r="CV102" s="334">
        <v>-28.000219300000001</v>
      </c>
      <c r="CW102" s="334">
        <v>9.7744699999999991</v>
      </c>
      <c r="CX102" s="334">
        <v>11.947217999999999</v>
      </c>
      <c r="CY102" s="334">
        <v>14.119966</v>
      </c>
      <c r="CZ102" s="334">
        <v>16.292714</v>
      </c>
      <c r="DA102" s="334">
        <v>18.465462000000002</v>
      </c>
      <c r="DB102" s="334">
        <v>20.638210000000001</v>
      </c>
      <c r="DC102" s="334">
        <v>20.028862</v>
      </c>
      <c r="DD102" s="334">
        <v>19.419513999999999</v>
      </c>
      <c r="DE102" s="334">
        <v>18.810165999999999</v>
      </c>
      <c r="DF102" s="334">
        <v>18.200817999999998</v>
      </c>
      <c r="DG102" s="334">
        <v>17.591470000000001</v>
      </c>
      <c r="DH102" s="334">
        <v>18.304376000000001</v>
      </c>
      <c r="DI102" s="334">
        <v>19.017282000000002</v>
      </c>
      <c r="DJ102" s="334">
        <v>19.730188000000002</v>
      </c>
      <c r="DK102" s="334">
        <v>20.443094000000002</v>
      </c>
      <c r="DL102" s="334">
        <v>21.155999999999999</v>
      </c>
      <c r="DM102" s="334">
        <v>35.458972338095009</v>
      </c>
      <c r="DN102" s="334">
        <v>38.059403964069134</v>
      </c>
      <c r="DO102" s="334">
        <v>40.659835590043258</v>
      </c>
      <c r="DP102" s="334">
        <v>43.260267216017382</v>
      </c>
      <c r="DQ102" s="334">
        <v>45.860698841991507</v>
      </c>
      <c r="DR102" s="334">
        <v>48.461130467966541</v>
      </c>
      <c r="DS102" s="334">
        <v>51.061562093939756</v>
      </c>
      <c r="DT102" s="334">
        <v>53.66199371991388</v>
      </c>
      <c r="DU102" s="335">
        <v>56.262425345888005</v>
      </c>
      <c r="DV102" s="335">
        <v>58.862856971862129</v>
      </c>
      <c r="DW102" s="335">
        <v>61.463288597835344</v>
      </c>
      <c r="DX102" s="198">
        <v>-28</v>
      </c>
      <c r="DY102" s="198">
        <v>-28</v>
      </c>
      <c r="DZ102" s="198">
        <v>-28</v>
      </c>
      <c r="EA102" s="198">
        <v>-89.463288597835344</v>
      </c>
      <c r="EB102" s="198">
        <v>58.862856971862129</v>
      </c>
      <c r="EC102" s="198">
        <v>58.862856971862129</v>
      </c>
      <c r="ED102" s="198">
        <v>58.862856971862129</v>
      </c>
      <c r="EE102" s="198">
        <v>58.862856971862129</v>
      </c>
      <c r="EF102" s="198">
        <v>-2.600431625973215</v>
      </c>
      <c r="EG102" s="198">
        <v>86.862856971862129</v>
      </c>
      <c r="EH102" s="198">
        <v>44.997316312942033</v>
      </c>
      <c r="EI102" s="336">
        <f t="shared" si="1"/>
        <v>51.061562093939941</v>
      </c>
      <c r="EJ102" s="336">
        <f>EI102-'[13]FAOSTAT21 CO2'!EH102</f>
        <v>55.500804693939941</v>
      </c>
    </row>
    <row r="103" spans="1:140" x14ac:dyDescent="0.25">
      <c r="A103" s="31">
        <v>24</v>
      </c>
      <c r="B103" s="31" t="s">
        <v>254</v>
      </c>
      <c r="C103" s="31">
        <v>76</v>
      </c>
      <c r="D103" s="31">
        <v>0</v>
      </c>
      <c r="E103" s="31">
        <v>0</v>
      </c>
      <c r="F103" s="31">
        <v>0</v>
      </c>
      <c r="G103" s="31">
        <v>0</v>
      </c>
      <c r="H103" s="331" t="s">
        <v>2475</v>
      </c>
      <c r="I103" s="331" t="s">
        <v>255</v>
      </c>
      <c r="J103" s="331"/>
      <c r="K103" s="331"/>
      <c r="L103" s="331"/>
      <c r="M103" s="331"/>
      <c r="N103" s="331"/>
      <c r="O103" s="331"/>
      <c r="P103" s="331"/>
      <c r="Q103" s="331"/>
      <c r="R103" s="331"/>
      <c r="S103" s="331"/>
      <c r="T103" s="331"/>
      <c r="U103" s="331"/>
      <c r="V103" s="331"/>
      <c r="W103" s="331"/>
      <c r="X103" s="331"/>
      <c r="Y103" s="331"/>
      <c r="Z103" s="331"/>
      <c r="AA103" s="331"/>
      <c r="AB103" s="331"/>
      <c r="AC103" s="331"/>
      <c r="AD103" s="331"/>
      <c r="AE103" s="331"/>
      <c r="AF103" s="331"/>
      <c r="AG103" s="331"/>
      <c r="AH103" s="331"/>
      <c r="AI103" s="331"/>
      <c r="AJ103" s="331"/>
      <c r="AK103" s="331"/>
      <c r="AL103" s="331"/>
      <c r="AM103" s="331"/>
      <c r="AN103" s="331"/>
      <c r="AO103" s="331"/>
      <c r="AP103" s="331"/>
      <c r="AQ103" s="331"/>
      <c r="AR103" s="331"/>
      <c r="AS103" s="331"/>
      <c r="AT103" s="331"/>
      <c r="AU103" s="331"/>
      <c r="AV103" s="331"/>
      <c r="AW103" s="331"/>
      <c r="AX103" s="331"/>
      <c r="AY103" s="332" t="s">
        <v>2476</v>
      </c>
      <c r="AZ103" s="332" t="s">
        <v>255</v>
      </c>
      <c r="BA103" s="332"/>
      <c r="BB103" s="332"/>
      <c r="BC103" s="332"/>
      <c r="BD103" s="332"/>
      <c r="BE103" s="332"/>
      <c r="BF103" s="332"/>
      <c r="BG103" s="332"/>
      <c r="BH103" s="332"/>
      <c r="BI103" s="332"/>
      <c r="BJ103" s="332"/>
      <c r="BK103" s="332"/>
      <c r="BL103" s="332"/>
      <c r="BM103" s="332"/>
      <c r="BN103" s="332"/>
      <c r="BO103" s="332"/>
      <c r="BP103" s="332"/>
      <c r="BQ103" s="332"/>
      <c r="BR103" s="332"/>
      <c r="BS103" s="332"/>
      <c r="BT103" s="332"/>
      <c r="BU103" s="332"/>
      <c r="BV103" s="332"/>
      <c r="BW103" s="332"/>
      <c r="BX103" s="332"/>
      <c r="BY103" s="332"/>
      <c r="BZ103" s="332"/>
      <c r="CA103" s="332"/>
      <c r="CB103" s="332"/>
      <c r="CC103" s="332"/>
      <c r="CD103" s="332"/>
      <c r="CE103" s="332"/>
      <c r="CF103" s="332"/>
      <c r="CG103" s="332"/>
      <c r="CH103" s="332"/>
      <c r="CI103" s="332"/>
      <c r="CJ103" s="332"/>
      <c r="CK103" s="332"/>
      <c r="CL103" s="332"/>
      <c r="CM103" s="332"/>
      <c r="CN103" s="332"/>
      <c r="CO103" s="332"/>
      <c r="CP103" s="333" t="s">
        <v>27</v>
      </c>
      <c r="CQ103" s="333" t="s">
        <v>255</v>
      </c>
      <c r="CR103" s="334">
        <v>0</v>
      </c>
      <c r="CS103" s="334">
        <v>0</v>
      </c>
      <c r="CT103" s="334">
        <v>0</v>
      </c>
      <c r="CU103" s="334">
        <v>0</v>
      </c>
      <c r="CV103" s="334">
        <v>0</v>
      </c>
      <c r="CW103" s="334">
        <v>0</v>
      </c>
      <c r="CX103" s="334">
        <v>0</v>
      </c>
      <c r="CY103" s="334">
        <v>0</v>
      </c>
      <c r="CZ103" s="334">
        <v>0</v>
      </c>
      <c r="DA103" s="334">
        <v>0</v>
      </c>
      <c r="DB103" s="334">
        <v>0</v>
      </c>
      <c r="DC103" s="334">
        <v>0</v>
      </c>
      <c r="DD103" s="334">
        <v>0</v>
      </c>
      <c r="DE103" s="334">
        <v>0</v>
      </c>
      <c r="DF103" s="334">
        <v>0</v>
      </c>
      <c r="DG103" s="334">
        <v>0</v>
      </c>
      <c r="DH103" s="334">
        <v>0</v>
      </c>
      <c r="DI103" s="334">
        <v>0</v>
      </c>
      <c r="DJ103" s="334">
        <v>0</v>
      </c>
      <c r="DK103" s="334">
        <v>0</v>
      </c>
      <c r="DL103" s="334">
        <v>0</v>
      </c>
      <c r="DM103" s="334">
        <v>0</v>
      </c>
      <c r="DN103" s="334">
        <v>0</v>
      </c>
      <c r="DO103" s="334">
        <v>0</v>
      </c>
      <c r="DP103" s="334">
        <v>0</v>
      </c>
      <c r="DQ103" s="334">
        <v>0</v>
      </c>
      <c r="DR103" s="334">
        <v>0</v>
      </c>
      <c r="DS103" s="334">
        <v>0</v>
      </c>
      <c r="DT103" s="334">
        <v>0</v>
      </c>
      <c r="DU103" s="335">
        <v>0</v>
      </c>
      <c r="DV103" s="335">
        <v>0</v>
      </c>
      <c r="DW103" s="335">
        <v>0</v>
      </c>
      <c r="DX103" s="198" t="s">
        <v>2477</v>
      </c>
      <c r="DY103" s="198" t="s">
        <v>2477</v>
      </c>
      <c r="DZ103" s="198" t="s">
        <v>2477</v>
      </c>
      <c r="EA103" s="198" t="s">
        <v>2477</v>
      </c>
      <c r="EB103" s="198" t="s">
        <v>2477</v>
      </c>
      <c r="EC103" s="198"/>
      <c r="ED103" s="198"/>
      <c r="EE103" s="198"/>
      <c r="EF103" s="198" t="s">
        <v>2477</v>
      </c>
      <c r="EG103" s="198" t="s">
        <v>2477</v>
      </c>
      <c r="EH103" s="198"/>
      <c r="EI103" s="336">
        <f t="shared" si="1"/>
        <v>0</v>
      </c>
      <c r="EJ103" s="336">
        <f>EI103-'[13]FAOSTAT21 CO2'!EH103</f>
        <v>0</v>
      </c>
    </row>
    <row r="104" spans="1:140" x14ac:dyDescent="0.25">
      <c r="A104" s="31">
        <v>19</v>
      </c>
      <c r="B104" s="31" t="s">
        <v>256</v>
      </c>
      <c r="C104" s="31">
        <v>103</v>
      </c>
      <c r="D104" s="31">
        <v>0</v>
      </c>
      <c r="E104" s="31">
        <v>0</v>
      </c>
      <c r="F104" s="31">
        <v>0</v>
      </c>
      <c r="G104" s="31">
        <v>0</v>
      </c>
      <c r="H104" s="331" t="s">
        <v>2475</v>
      </c>
      <c r="I104" s="331" t="s">
        <v>257</v>
      </c>
      <c r="J104" s="331"/>
      <c r="K104" s="331"/>
      <c r="L104" s="331"/>
      <c r="M104" s="331"/>
      <c r="N104" s="331"/>
      <c r="O104" s="331"/>
      <c r="P104" s="331"/>
      <c r="Q104" s="331"/>
      <c r="R104" s="331"/>
      <c r="S104" s="331"/>
      <c r="T104" s="331"/>
      <c r="U104" s="331"/>
      <c r="V104" s="331"/>
      <c r="W104" s="331"/>
      <c r="X104" s="331"/>
      <c r="Y104" s="331"/>
      <c r="Z104" s="331"/>
      <c r="AA104" s="331"/>
      <c r="AB104" s="331"/>
      <c r="AC104" s="331"/>
      <c r="AD104" s="331"/>
      <c r="AE104" s="331"/>
      <c r="AF104" s="331"/>
      <c r="AG104" s="331"/>
      <c r="AH104" s="331"/>
      <c r="AI104" s="331"/>
      <c r="AJ104" s="331"/>
      <c r="AK104" s="331"/>
      <c r="AL104" s="331"/>
      <c r="AM104" s="331"/>
      <c r="AN104" s="331"/>
      <c r="AO104" s="331"/>
      <c r="AP104" s="331"/>
      <c r="AQ104" s="331"/>
      <c r="AR104" s="331"/>
      <c r="AS104" s="331"/>
      <c r="AT104" s="331"/>
      <c r="AU104" s="331"/>
      <c r="AV104" s="331"/>
      <c r="AW104" s="331"/>
      <c r="AX104" s="331"/>
      <c r="AY104" s="332" t="s">
        <v>2476</v>
      </c>
      <c r="AZ104" s="332" t="s">
        <v>257</v>
      </c>
      <c r="BA104" s="332"/>
      <c r="BB104" s="332"/>
      <c r="BC104" s="332"/>
      <c r="BD104" s="332"/>
      <c r="BE104" s="332"/>
      <c r="BF104" s="332"/>
      <c r="BG104" s="332"/>
      <c r="BH104" s="332"/>
      <c r="BI104" s="332"/>
      <c r="BJ104" s="332"/>
      <c r="BK104" s="332"/>
      <c r="BL104" s="332"/>
      <c r="BM104" s="332"/>
      <c r="BN104" s="332"/>
      <c r="BO104" s="332"/>
      <c r="BP104" s="332"/>
      <c r="BQ104" s="332"/>
      <c r="BR104" s="332"/>
      <c r="BS104" s="332"/>
      <c r="BT104" s="332"/>
      <c r="BU104" s="332"/>
      <c r="BV104" s="332"/>
      <c r="BW104" s="332"/>
      <c r="BX104" s="332"/>
      <c r="BY104" s="332"/>
      <c r="BZ104" s="332"/>
      <c r="CA104" s="332"/>
      <c r="CB104" s="332"/>
      <c r="CC104" s="332"/>
      <c r="CD104" s="332"/>
      <c r="CE104" s="332"/>
      <c r="CF104" s="332"/>
      <c r="CG104" s="332"/>
      <c r="CH104" s="332"/>
      <c r="CI104" s="332"/>
      <c r="CJ104" s="332"/>
      <c r="CK104" s="332"/>
      <c r="CL104" s="332"/>
      <c r="CM104" s="332"/>
      <c r="CN104" s="332"/>
      <c r="CO104" s="332"/>
      <c r="CP104" s="333" t="s">
        <v>27</v>
      </c>
      <c r="CQ104" s="333" t="s">
        <v>257</v>
      </c>
      <c r="CR104" s="334">
        <v>-13.727</v>
      </c>
      <c r="CS104" s="334">
        <v>-13.63775</v>
      </c>
      <c r="CT104" s="334">
        <v>-13.548500000000001</v>
      </c>
      <c r="CU104" s="334">
        <v>-13.459250000000001</v>
      </c>
      <c r="CV104" s="334">
        <v>-13.370000000000001</v>
      </c>
      <c r="CW104" s="334">
        <v>-13.913666666666668</v>
      </c>
      <c r="CX104" s="334">
        <v>-14.457333333333334</v>
      </c>
      <c r="CY104" s="334">
        <v>-15.001000000000001</v>
      </c>
      <c r="CZ104" s="334">
        <v>-15.544666666666668</v>
      </c>
      <c r="DA104" s="334">
        <v>-16.088333333333335</v>
      </c>
      <c r="DB104" s="334">
        <v>-16.632000000000001</v>
      </c>
      <c r="DC104" s="334">
        <v>-16.756</v>
      </c>
      <c r="DD104" s="334">
        <v>-16.88</v>
      </c>
      <c r="DE104" s="334">
        <v>-17.161467948717927</v>
      </c>
      <c r="DF104" s="334">
        <v>-17.492056776556751</v>
      </c>
      <c r="DG104" s="334">
        <v>-17.822645604395575</v>
      </c>
      <c r="DH104" s="334">
        <v>-18.153234432234399</v>
      </c>
      <c r="DI104" s="334">
        <v>-18.483823260073223</v>
      </c>
      <c r="DJ104" s="334">
        <v>-18.814412087911933</v>
      </c>
      <c r="DK104" s="334">
        <v>-19.14500091575087</v>
      </c>
      <c r="DL104" s="334">
        <v>-19.475589743589694</v>
      </c>
      <c r="DM104" s="334">
        <v>-19.806178571428518</v>
      </c>
      <c r="DN104" s="334">
        <v>-20.136767399267342</v>
      </c>
      <c r="DO104" s="334">
        <v>-20.467356227106166</v>
      </c>
      <c r="DP104" s="334">
        <v>-20.797945054944989</v>
      </c>
      <c r="DQ104" s="334">
        <v>-21.128533882783813</v>
      </c>
      <c r="DR104" s="334">
        <v>-21.459122710622637</v>
      </c>
      <c r="DS104" s="334">
        <v>-21.789711538461461</v>
      </c>
      <c r="DT104" s="334">
        <v>-22.120300366300285</v>
      </c>
      <c r="DU104" s="335">
        <v>-22.450889194139108</v>
      </c>
      <c r="DV104" s="335">
        <v>-22.781478021977932</v>
      </c>
      <c r="DW104" s="335">
        <v>-23.112066849816756</v>
      </c>
      <c r="DX104" s="198">
        <v>-22.781478021977932</v>
      </c>
      <c r="DY104" s="198">
        <v>-22.781478021977932</v>
      </c>
      <c r="DZ104" s="198">
        <v>-22.781478021977932</v>
      </c>
      <c r="EA104" s="198">
        <v>0.33058882783882382</v>
      </c>
      <c r="EB104" s="198">
        <v>-22.781478021977932</v>
      </c>
      <c r="EC104" s="198">
        <v>-22.781478021977932</v>
      </c>
      <c r="ED104" s="198">
        <v>-22.781478021977932</v>
      </c>
      <c r="EE104" s="198">
        <v>-22.781478021977932</v>
      </c>
      <c r="EF104" s="198">
        <v>0.33058882783882382</v>
      </c>
      <c r="EG104" s="198">
        <v>0</v>
      </c>
      <c r="EH104" s="198">
        <v>-37.204466380888157</v>
      </c>
      <c r="EI104" s="336">
        <f t="shared" si="1"/>
        <v>-21.789711538461461</v>
      </c>
      <c r="EJ104" s="336">
        <f>EI104-'[13]FAOSTAT21 CO2'!EH104</f>
        <v>-25.060319758461461</v>
      </c>
    </row>
    <row r="105" spans="1:140" x14ac:dyDescent="0.25">
      <c r="A105" s="31">
        <v>19</v>
      </c>
      <c r="B105" s="31" t="s">
        <v>258</v>
      </c>
      <c r="C105" s="31">
        <v>104</v>
      </c>
      <c r="D105" s="31">
        <v>0</v>
      </c>
      <c r="E105" s="31">
        <v>1</v>
      </c>
      <c r="F105" s="31">
        <v>0</v>
      </c>
      <c r="G105" s="31">
        <v>1</v>
      </c>
      <c r="H105" s="331" t="s">
        <v>2475</v>
      </c>
      <c r="I105" s="331" t="s">
        <v>259</v>
      </c>
      <c r="J105" s="331"/>
      <c r="K105" s="331"/>
      <c r="L105" s="331"/>
      <c r="M105" s="331"/>
      <c r="N105" s="331"/>
      <c r="O105" s="331"/>
      <c r="P105" s="331"/>
      <c r="Q105" s="331"/>
      <c r="R105" s="331"/>
      <c r="S105" s="331"/>
      <c r="T105" s="331"/>
      <c r="U105" s="331"/>
      <c r="V105" s="331"/>
      <c r="W105" s="331"/>
      <c r="X105" s="331"/>
      <c r="Y105" s="331"/>
      <c r="Z105" s="331"/>
      <c r="AA105" s="331"/>
      <c r="AB105" s="331"/>
      <c r="AC105" s="331"/>
      <c r="AD105" s="331"/>
      <c r="AE105" s="331"/>
      <c r="AF105" s="331"/>
      <c r="AG105" s="331"/>
      <c r="AH105" s="331"/>
      <c r="AI105" s="331"/>
      <c r="AJ105" s="331"/>
      <c r="AK105" s="331"/>
      <c r="AL105" s="331"/>
      <c r="AM105" s="331"/>
      <c r="AN105" s="331"/>
      <c r="AO105" s="331"/>
      <c r="AP105" s="331"/>
      <c r="AQ105" s="331"/>
      <c r="AR105" s="331"/>
      <c r="AS105" s="331"/>
      <c r="AT105" s="331"/>
      <c r="AU105" s="331"/>
      <c r="AV105" s="331"/>
      <c r="AW105" s="331"/>
      <c r="AX105" s="331"/>
      <c r="AY105" s="332" t="s">
        <v>2476</v>
      </c>
      <c r="AZ105" s="332" t="s">
        <v>259</v>
      </c>
      <c r="BA105" s="332"/>
      <c r="BB105" s="332"/>
      <c r="BC105" s="332"/>
      <c r="BD105" s="332"/>
      <c r="BE105" s="332"/>
      <c r="BF105" s="332"/>
      <c r="BG105" s="332"/>
      <c r="BH105" s="332"/>
      <c r="BI105" s="332"/>
      <c r="BJ105" s="332"/>
      <c r="BK105" s="332"/>
      <c r="BL105" s="332"/>
      <c r="BM105" s="332"/>
      <c r="BN105" s="332"/>
      <c r="BO105" s="332"/>
      <c r="BP105" s="332"/>
      <c r="BQ105" s="332"/>
      <c r="BR105" s="332"/>
      <c r="BS105" s="332"/>
      <c r="BT105" s="332"/>
      <c r="BU105" s="332"/>
      <c r="BV105" s="332"/>
      <c r="BW105" s="332"/>
      <c r="BX105" s="332"/>
      <c r="BY105" s="332"/>
      <c r="BZ105" s="332"/>
      <c r="CA105" s="332"/>
      <c r="CB105" s="332"/>
      <c r="CC105" s="332"/>
      <c r="CD105" s="332"/>
      <c r="CE105" s="332"/>
      <c r="CF105" s="332"/>
      <c r="CG105" s="332"/>
      <c r="CH105" s="332"/>
      <c r="CI105" s="332"/>
      <c r="CJ105" s="332"/>
      <c r="CK105" s="332"/>
      <c r="CL105" s="332"/>
      <c r="CM105" s="332"/>
      <c r="CN105" s="332"/>
      <c r="CO105" s="332"/>
      <c r="CP105" s="333" t="s">
        <v>27</v>
      </c>
      <c r="CQ105" s="333" t="s">
        <v>259</v>
      </c>
      <c r="CR105" s="334">
        <v>-37.78642</v>
      </c>
      <c r="CS105" s="334">
        <v>-33.552889999999998</v>
      </c>
      <c r="CT105" s="334">
        <v>-32.622810000000001</v>
      </c>
      <c r="CU105" s="334">
        <v>-30.821759999999998</v>
      </c>
      <c r="CV105" s="334">
        <v>-32.912410000000001</v>
      </c>
      <c r="CW105" s="334">
        <v>-30.923450000000003</v>
      </c>
      <c r="CX105" s="334">
        <v>-34.357150000000004</v>
      </c>
      <c r="CY105" s="334">
        <v>-39.043289999999999</v>
      </c>
      <c r="CZ105" s="334">
        <v>-47.600380000000001</v>
      </c>
      <c r="DA105" s="334">
        <v>-55.365470000000002</v>
      </c>
      <c r="DB105" s="334">
        <v>-58.402090000000001</v>
      </c>
      <c r="DC105" s="334">
        <v>-57.853989999999996</v>
      </c>
      <c r="DD105" s="334">
        <v>-55.601419999999997</v>
      </c>
      <c r="DE105" s="334">
        <v>-55.018570000000004</v>
      </c>
      <c r="DF105" s="334">
        <v>-56.232980000000005</v>
      </c>
      <c r="DG105" s="334">
        <v>-54.139949999999999</v>
      </c>
      <c r="DH105" s="334">
        <v>-55.217930000000003</v>
      </c>
      <c r="DI105" s="334">
        <v>-55.901220000000002</v>
      </c>
      <c r="DJ105" s="334">
        <v>-56.799239999999998</v>
      </c>
      <c r="DK105" s="334">
        <v>-56.38194</v>
      </c>
      <c r="DL105" s="334">
        <v>-53.845860000000002</v>
      </c>
      <c r="DM105" s="334">
        <v>-52.604289999999999</v>
      </c>
      <c r="DN105" s="334">
        <v>-46.99859</v>
      </c>
      <c r="DO105" s="334">
        <v>-42.535919999999997</v>
      </c>
      <c r="DP105" s="334">
        <v>-43.2834</v>
      </c>
      <c r="DQ105" s="334">
        <v>-44.361280000000001</v>
      </c>
      <c r="DR105" s="334">
        <v>-45.560110000000002</v>
      </c>
      <c r="DS105" s="334">
        <v>-41.486930000000001</v>
      </c>
      <c r="DT105" s="334">
        <v>-41.286180000000002</v>
      </c>
      <c r="DU105" s="335">
        <v>-55.747331282051391</v>
      </c>
      <c r="DV105" s="335">
        <v>-54.343605000000252</v>
      </c>
      <c r="DW105" s="335">
        <v>-53.070682339901509</v>
      </c>
      <c r="DX105" s="198">
        <v>-22.6</v>
      </c>
      <c r="DY105" s="198">
        <v>-26.7</v>
      </c>
      <c r="DZ105" s="198">
        <v>-26.7</v>
      </c>
      <c r="EA105" s="198">
        <v>26.37068233990151</v>
      </c>
      <c r="EB105" s="198">
        <v>-54.343605000000252</v>
      </c>
      <c r="EC105" s="198">
        <v>-26.7</v>
      </c>
      <c r="ED105" s="198">
        <v>-54.343605000000252</v>
      </c>
      <c r="EE105" s="198">
        <v>-26.7</v>
      </c>
      <c r="EF105" s="198">
        <v>26.37068233990151</v>
      </c>
      <c r="EG105" s="198">
        <v>0</v>
      </c>
      <c r="EH105" s="198">
        <v>-43.404440270000002</v>
      </c>
      <c r="EI105" s="336">
        <f t="shared" si="1"/>
        <v>-45.688366256410276</v>
      </c>
      <c r="EJ105" s="336">
        <f>EI105-'[13]FAOSTAT21 CO2'!EH105</f>
        <v>1.0425832035897216</v>
      </c>
    </row>
    <row r="106" spans="1:140" x14ac:dyDescent="0.25">
      <c r="A106" s="31">
        <v>17</v>
      </c>
      <c r="B106" s="31" t="s">
        <v>260</v>
      </c>
      <c r="C106" s="31">
        <v>105</v>
      </c>
      <c r="D106" s="31">
        <v>0</v>
      </c>
      <c r="E106" s="31">
        <v>0</v>
      </c>
      <c r="F106" s="31">
        <v>0</v>
      </c>
      <c r="G106" s="31">
        <v>0</v>
      </c>
      <c r="H106" s="331" t="s">
        <v>2475</v>
      </c>
      <c r="I106" s="331" t="s">
        <v>261</v>
      </c>
      <c r="J106" s="331"/>
      <c r="K106" s="331"/>
      <c r="L106" s="331"/>
      <c r="M106" s="331"/>
      <c r="N106" s="331"/>
      <c r="O106" s="331"/>
      <c r="P106" s="331"/>
      <c r="Q106" s="331"/>
      <c r="R106" s="331"/>
      <c r="S106" s="331"/>
      <c r="T106" s="331"/>
      <c r="U106" s="331"/>
      <c r="V106" s="331"/>
      <c r="W106" s="331"/>
      <c r="X106" s="331"/>
      <c r="Y106" s="331"/>
      <c r="Z106" s="331"/>
      <c r="AA106" s="331"/>
      <c r="AB106" s="331"/>
      <c r="AC106" s="331"/>
      <c r="AD106" s="331"/>
      <c r="AE106" s="331"/>
      <c r="AF106" s="331"/>
      <c r="AG106" s="331"/>
      <c r="AH106" s="331"/>
      <c r="AI106" s="331"/>
      <c r="AJ106" s="331"/>
      <c r="AK106" s="331"/>
      <c r="AL106" s="331"/>
      <c r="AM106" s="331"/>
      <c r="AN106" s="331"/>
      <c r="AO106" s="331"/>
      <c r="AP106" s="331"/>
      <c r="AQ106" s="331"/>
      <c r="AR106" s="331"/>
      <c r="AS106" s="331"/>
      <c r="AT106" s="331"/>
      <c r="AU106" s="331"/>
      <c r="AV106" s="331"/>
      <c r="AW106" s="331"/>
      <c r="AX106" s="331"/>
      <c r="AY106" s="332" t="s">
        <v>2476</v>
      </c>
      <c r="AZ106" s="332" t="s">
        <v>261</v>
      </c>
      <c r="BA106" s="332"/>
      <c r="BB106" s="332"/>
      <c r="BC106" s="332"/>
      <c r="BD106" s="332"/>
      <c r="BE106" s="332"/>
      <c r="BF106" s="332"/>
      <c r="BG106" s="332"/>
      <c r="BH106" s="332"/>
      <c r="BI106" s="332"/>
      <c r="BJ106" s="332"/>
      <c r="BK106" s="332"/>
      <c r="BL106" s="332"/>
      <c r="BM106" s="332"/>
      <c r="BN106" s="332"/>
      <c r="BO106" s="332"/>
      <c r="BP106" s="332"/>
      <c r="BQ106" s="332"/>
      <c r="BR106" s="332"/>
      <c r="BS106" s="332"/>
      <c r="BT106" s="332"/>
      <c r="BU106" s="332"/>
      <c r="BV106" s="332"/>
      <c r="BW106" s="332"/>
      <c r="BX106" s="332"/>
      <c r="BY106" s="332"/>
      <c r="BZ106" s="332"/>
      <c r="CA106" s="332"/>
      <c r="CB106" s="332"/>
      <c r="CC106" s="332"/>
      <c r="CD106" s="332"/>
      <c r="CE106" s="332"/>
      <c r="CF106" s="332"/>
      <c r="CG106" s="332"/>
      <c r="CH106" s="332"/>
      <c r="CI106" s="332"/>
      <c r="CJ106" s="332"/>
      <c r="CK106" s="332"/>
      <c r="CL106" s="332"/>
      <c r="CM106" s="332"/>
      <c r="CN106" s="332"/>
      <c r="CO106" s="332"/>
      <c r="CP106" s="333" t="s">
        <v>27</v>
      </c>
      <c r="CQ106" s="333" t="s">
        <v>261</v>
      </c>
      <c r="CR106" s="334">
        <v>6.6000000000000003E-2</v>
      </c>
      <c r="CS106" s="334">
        <v>6.6000000000000003E-2</v>
      </c>
      <c r="CT106" s="334">
        <v>6.6000000000000003E-2</v>
      </c>
      <c r="CU106" s="334">
        <v>6.6000000000000003E-2</v>
      </c>
      <c r="CV106" s="334">
        <v>6.6000000000000003E-2</v>
      </c>
      <c r="CW106" s="334">
        <v>6.9454545454545463E-2</v>
      </c>
      <c r="CX106" s="334">
        <v>7.2909090909090923E-2</v>
      </c>
      <c r="CY106" s="334">
        <v>7.6363636363636384E-2</v>
      </c>
      <c r="CZ106" s="334">
        <v>7.9818181818181844E-2</v>
      </c>
      <c r="DA106" s="334">
        <v>8.3272727272727304E-2</v>
      </c>
      <c r="DB106" s="334">
        <v>8.6727272727272764E-2</v>
      </c>
      <c r="DC106" s="334">
        <v>9.0181818181818224E-2</v>
      </c>
      <c r="DD106" s="334">
        <v>9.3636363636363684E-2</v>
      </c>
      <c r="DE106" s="334">
        <v>9.7090909090909144E-2</v>
      </c>
      <c r="DF106" s="334">
        <v>0.1005454545454546</v>
      </c>
      <c r="DG106" s="334">
        <v>0.10400000000000006</v>
      </c>
      <c r="DH106" s="334">
        <v>0.10745454545454552</v>
      </c>
      <c r="DI106" s="334">
        <v>0.11090909090909098</v>
      </c>
      <c r="DJ106" s="334">
        <v>0.11436363636363645</v>
      </c>
      <c r="DK106" s="334">
        <v>0.11781818181818191</v>
      </c>
      <c r="DL106" s="334">
        <v>0.12127272727272737</v>
      </c>
      <c r="DM106" s="334">
        <v>0.12472727272727283</v>
      </c>
      <c r="DN106" s="334">
        <v>0.12818181818181829</v>
      </c>
      <c r="DO106" s="334">
        <v>0.13163636363636375</v>
      </c>
      <c r="DP106" s="334">
        <v>0.13509090909090921</v>
      </c>
      <c r="DQ106" s="334">
        <v>0.13854545454545467</v>
      </c>
      <c r="DR106" s="334">
        <v>0.14200000000000002</v>
      </c>
      <c r="DS106" s="334">
        <v>0.1431908831908828</v>
      </c>
      <c r="DT106" s="334">
        <v>0.14639234839234838</v>
      </c>
      <c r="DU106" s="335">
        <v>0.14959381359381307</v>
      </c>
      <c r="DV106" s="335">
        <v>0.15279527879527866</v>
      </c>
      <c r="DW106" s="335">
        <v>0.15599674399674424</v>
      </c>
      <c r="DX106" s="198">
        <v>0.15279527879527866</v>
      </c>
      <c r="DY106" s="198">
        <v>0.15279527879527866</v>
      </c>
      <c r="DZ106" s="198">
        <v>0.15279527879527866</v>
      </c>
      <c r="EA106" s="198">
        <v>-3.2014652014655809E-3</v>
      </c>
      <c r="EB106" s="198">
        <v>0.15279527879527866</v>
      </c>
      <c r="EC106" s="198">
        <v>0.15279527879527866</v>
      </c>
      <c r="ED106" s="198">
        <v>0.15279527879527866</v>
      </c>
      <c r="EE106" s="198">
        <v>0.15279527879527866</v>
      </c>
      <c r="EF106" s="198">
        <v>-3.2014652014655809E-3</v>
      </c>
      <c r="EG106" s="198">
        <v>0</v>
      </c>
      <c r="EH106" s="198">
        <v>0.11303739956631363</v>
      </c>
      <c r="EI106" s="336">
        <f t="shared" si="1"/>
        <v>0.14394449994449979</v>
      </c>
      <c r="EJ106" s="336">
        <f>EI106-'[13]FAOSTAT21 CO2'!EH106</f>
        <v>0.14836995994449978</v>
      </c>
    </row>
    <row r="107" spans="1:140" x14ac:dyDescent="0.25">
      <c r="A107" s="31">
        <v>15</v>
      </c>
      <c r="B107" s="31" t="s">
        <v>262</v>
      </c>
      <c r="C107" s="31">
        <v>106</v>
      </c>
      <c r="D107" s="31">
        <v>0</v>
      </c>
      <c r="E107" s="31">
        <v>0</v>
      </c>
      <c r="F107" s="31">
        <v>0</v>
      </c>
      <c r="G107" s="31">
        <v>0</v>
      </c>
      <c r="H107" s="331" t="s">
        <v>2475</v>
      </c>
      <c r="I107" s="331" t="s">
        <v>263</v>
      </c>
      <c r="J107" s="331"/>
      <c r="K107" s="331"/>
      <c r="L107" s="331"/>
      <c r="M107" s="331"/>
      <c r="N107" s="331"/>
      <c r="O107" s="331"/>
      <c r="P107" s="331"/>
      <c r="Q107" s="331"/>
      <c r="R107" s="331"/>
      <c r="S107" s="331"/>
      <c r="T107" s="331"/>
      <c r="U107" s="331"/>
      <c r="V107" s="331"/>
      <c r="W107" s="331"/>
      <c r="X107" s="331"/>
      <c r="Y107" s="331"/>
      <c r="Z107" s="331"/>
      <c r="AA107" s="331"/>
      <c r="AB107" s="331"/>
      <c r="AC107" s="331"/>
      <c r="AD107" s="331"/>
      <c r="AE107" s="331"/>
      <c r="AF107" s="331"/>
      <c r="AG107" s="331"/>
      <c r="AH107" s="331"/>
      <c r="AI107" s="331"/>
      <c r="AJ107" s="331"/>
      <c r="AK107" s="331"/>
      <c r="AL107" s="331"/>
      <c r="AM107" s="331"/>
      <c r="AN107" s="331"/>
      <c r="AO107" s="331"/>
      <c r="AP107" s="331"/>
      <c r="AQ107" s="331"/>
      <c r="AR107" s="331"/>
      <c r="AS107" s="331"/>
      <c r="AT107" s="331"/>
      <c r="AU107" s="331"/>
      <c r="AV107" s="331"/>
      <c r="AW107" s="331"/>
      <c r="AX107" s="331"/>
      <c r="AY107" s="332" t="s">
        <v>2476</v>
      </c>
      <c r="AZ107" s="332" t="s">
        <v>263</v>
      </c>
      <c r="BA107" s="332"/>
      <c r="BB107" s="332"/>
      <c r="BC107" s="332"/>
      <c r="BD107" s="332"/>
      <c r="BE107" s="332"/>
      <c r="BF107" s="332"/>
      <c r="BG107" s="332"/>
      <c r="BH107" s="332"/>
      <c r="BI107" s="332"/>
      <c r="BJ107" s="332"/>
      <c r="BK107" s="332"/>
      <c r="BL107" s="332"/>
      <c r="BM107" s="332"/>
      <c r="BN107" s="332"/>
      <c r="BO107" s="332"/>
      <c r="BP107" s="332"/>
      <c r="BQ107" s="332"/>
      <c r="BR107" s="332"/>
      <c r="BS107" s="332"/>
      <c r="BT107" s="332"/>
      <c r="BU107" s="332"/>
      <c r="BV107" s="332"/>
      <c r="BW107" s="332"/>
      <c r="BX107" s="332"/>
      <c r="BY107" s="332"/>
      <c r="BZ107" s="332"/>
      <c r="CA107" s="332"/>
      <c r="CB107" s="332"/>
      <c r="CC107" s="332"/>
      <c r="CD107" s="332"/>
      <c r="CE107" s="332"/>
      <c r="CF107" s="332"/>
      <c r="CG107" s="332"/>
      <c r="CH107" s="332"/>
      <c r="CI107" s="332"/>
      <c r="CJ107" s="332"/>
      <c r="CK107" s="332"/>
      <c r="CL107" s="332"/>
      <c r="CM107" s="332"/>
      <c r="CN107" s="332"/>
      <c r="CO107" s="332"/>
      <c r="CP107" s="333" t="s">
        <v>27</v>
      </c>
      <c r="CQ107" s="333" t="s">
        <v>263</v>
      </c>
      <c r="CR107" s="334">
        <v>-10.273524999999999</v>
      </c>
      <c r="CS107" s="334">
        <v>-10.294483</v>
      </c>
      <c r="CT107" s="334">
        <v>-10.289529999999999</v>
      </c>
      <c r="CU107" s="334">
        <v>-10.293574</v>
      </c>
      <c r="CV107" s="334">
        <v>-10.309734000000001</v>
      </c>
      <c r="CW107" s="334">
        <v>-10.323646999999999</v>
      </c>
      <c r="CX107" s="334">
        <v>-10.032159</v>
      </c>
      <c r="CY107" s="334">
        <v>-10.303286</v>
      </c>
      <c r="CZ107" s="334">
        <v>-10.331511000000001</v>
      </c>
      <c r="DA107" s="334">
        <v>-10.339095</v>
      </c>
      <c r="DB107" s="334">
        <v>-10.303877</v>
      </c>
      <c r="DC107" s="334">
        <v>-10.221398000000001</v>
      </c>
      <c r="DD107" s="334">
        <v>-10.23926</v>
      </c>
      <c r="DE107" s="334">
        <v>-9.9143159999999995</v>
      </c>
      <c r="DF107" s="334">
        <v>-10.302866</v>
      </c>
      <c r="DG107" s="334">
        <v>-10.205985999999999</v>
      </c>
      <c r="DH107" s="334">
        <v>-10.208928999999999</v>
      </c>
      <c r="DI107" s="334">
        <v>-10.309901999999999</v>
      </c>
      <c r="DJ107" s="334">
        <v>-10.250705</v>
      </c>
      <c r="DK107" s="334">
        <v>-10.303402</v>
      </c>
      <c r="DL107" s="334">
        <v>-10.334543999999999</v>
      </c>
      <c r="DM107" s="334">
        <v>-10.295774</v>
      </c>
      <c r="DN107" s="334">
        <v>-10.324339999999999</v>
      </c>
      <c r="DO107" s="334">
        <v>-10.216191</v>
      </c>
      <c r="DP107" s="334">
        <v>-10.327718000000001</v>
      </c>
      <c r="DQ107" s="334">
        <v>-10.33653</v>
      </c>
      <c r="DR107" s="334">
        <v>-10.30254</v>
      </c>
      <c r="DS107" s="334">
        <v>-10.367314</v>
      </c>
      <c r="DT107" s="334">
        <v>-10.941371</v>
      </c>
      <c r="DU107" s="335">
        <v>-10.385725226600986</v>
      </c>
      <c r="DV107" s="335">
        <v>-10.391905742857144</v>
      </c>
      <c r="DW107" s="335">
        <v>-10.398086259113301</v>
      </c>
      <c r="DX107" s="198">
        <v>-10.391905742857144</v>
      </c>
      <c r="DY107" s="198">
        <v>-10.391905742857144</v>
      </c>
      <c r="DZ107" s="198">
        <v>-10.391905742857144</v>
      </c>
      <c r="EA107" s="198">
        <v>6.1805162561565652E-3</v>
      </c>
      <c r="EB107" s="198">
        <v>-10.391905742857144</v>
      </c>
      <c r="EC107" s="198">
        <v>-10.391905742857144</v>
      </c>
      <c r="ED107" s="198">
        <v>-10.391905742857144</v>
      </c>
      <c r="EE107" s="198">
        <v>-10.391905742857144</v>
      </c>
      <c r="EF107" s="198">
        <v>6.1805162561565652E-3</v>
      </c>
      <c r="EG107" s="198">
        <v>0</v>
      </c>
      <c r="EH107" s="198">
        <v>-13.843153130507805</v>
      </c>
      <c r="EI107" s="336">
        <f t="shared" si="1"/>
        <v>-10.466696045320196</v>
      </c>
      <c r="EJ107" s="336">
        <f>EI107-'[13]FAOSTAT21 CO2'!EH107</f>
        <v>-7.7053179453201963</v>
      </c>
    </row>
    <row r="108" spans="1:140" x14ac:dyDescent="0.25">
      <c r="A108" s="31">
        <v>21</v>
      </c>
      <c r="B108" s="31" t="s">
        <v>264</v>
      </c>
      <c r="C108" s="31">
        <v>107</v>
      </c>
      <c r="D108" s="31">
        <v>0</v>
      </c>
      <c r="E108" s="31">
        <v>0</v>
      </c>
      <c r="F108" s="31">
        <v>0</v>
      </c>
      <c r="G108" s="31">
        <v>0</v>
      </c>
      <c r="H108" s="331" t="s">
        <v>2475</v>
      </c>
      <c r="I108" s="331" t="s">
        <v>265</v>
      </c>
      <c r="J108" s="331"/>
      <c r="K108" s="331"/>
      <c r="L108" s="331"/>
      <c r="M108" s="331"/>
      <c r="N108" s="331"/>
      <c r="O108" s="331"/>
      <c r="P108" s="331"/>
      <c r="Q108" s="331"/>
      <c r="R108" s="331"/>
      <c r="S108" s="331"/>
      <c r="T108" s="331"/>
      <c r="U108" s="331"/>
      <c r="V108" s="331"/>
      <c r="W108" s="331"/>
      <c r="X108" s="331"/>
      <c r="Y108" s="331"/>
      <c r="Z108" s="331"/>
      <c r="AA108" s="331"/>
      <c r="AB108" s="331"/>
      <c r="AC108" s="331"/>
      <c r="AD108" s="331"/>
      <c r="AE108" s="331"/>
      <c r="AF108" s="331"/>
      <c r="AG108" s="331"/>
      <c r="AH108" s="331"/>
      <c r="AI108" s="331"/>
      <c r="AJ108" s="331"/>
      <c r="AK108" s="331"/>
      <c r="AL108" s="331"/>
      <c r="AM108" s="331"/>
      <c r="AN108" s="331"/>
      <c r="AO108" s="331"/>
      <c r="AP108" s="331"/>
      <c r="AQ108" s="331"/>
      <c r="AR108" s="331"/>
      <c r="AS108" s="331"/>
      <c r="AT108" s="331"/>
      <c r="AU108" s="331"/>
      <c r="AV108" s="331"/>
      <c r="AW108" s="331"/>
      <c r="AX108" s="331"/>
      <c r="AY108" s="332" t="s">
        <v>2476</v>
      </c>
      <c r="AZ108" s="332" t="s">
        <v>265</v>
      </c>
      <c r="BA108" s="332"/>
      <c r="BB108" s="332"/>
      <c r="BC108" s="332"/>
      <c r="BD108" s="332"/>
      <c r="BE108" s="332"/>
      <c r="BF108" s="332"/>
      <c r="BG108" s="332"/>
      <c r="BH108" s="332"/>
      <c r="BI108" s="332"/>
      <c r="BJ108" s="332"/>
      <c r="BK108" s="332"/>
      <c r="BL108" s="332"/>
      <c r="BM108" s="332"/>
      <c r="BN108" s="332"/>
      <c r="BO108" s="332"/>
      <c r="BP108" s="332"/>
      <c r="BQ108" s="332"/>
      <c r="BR108" s="332"/>
      <c r="BS108" s="332"/>
      <c r="BT108" s="332"/>
      <c r="BU108" s="332"/>
      <c r="BV108" s="332"/>
      <c r="BW108" s="332"/>
      <c r="BX108" s="332"/>
      <c r="BY108" s="332"/>
      <c r="BZ108" s="332"/>
      <c r="CA108" s="332"/>
      <c r="CB108" s="332"/>
      <c r="CC108" s="332"/>
      <c r="CD108" s="332"/>
      <c r="CE108" s="332"/>
      <c r="CF108" s="332"/>
      <c r="CG108" s="332"/>
      <c r="CH108" s="332"/>
      <c r="CI108" s="332"/>
      <c r="CJ108" s="332"/>
      <c r="CK108" s="332"/>
      <c r="CL108" s="332"/>
      <c r="CM108" s="332"/>
      <c r="CN108" s="332"/>
      <c r="CO108" s="332"/>
      <c r="CP108" s="333" t="s">
        <v>27</v>
      </c>
      <c r="CQ108" s="333" t="s">
        <v>265</v>
      </c>
      <c r="CR108" s="334">
        <v>-104.30383</v>
      </c>
      <c r="CS108" s="334">
        <v>-89.68146800000001</v>
      </c>
      <c r="CT108" s="334">
        <v>-75.059106000000014</v>
      </c>
      <c r="CU108" s="334">
        <v>-60.436744000000012</v>
      </c>
      <c r="CV108" s="334">
        <v>-45.814382000000009</v>
      </c>
      <c r="CW108" s="334">
        <v>-31.192020000000007</v>
      </c>
      <c r="CX108" s="334">
        <v>-16.569658000000004</v>
      </c>
      <c r="CY108" s="334">
        <v>-1.9472960000000032</v>
      </c>
      <c r="CZ108" s="334">
        <v>12.675065999999998</v>
      </c>
      <c r="DA108" s="334">
        <v>27.297427999999996</v>
      </c>
      <c r="DB108" s="334">
        <v>41.919789999999999</v>
      </c>
      <c r="DC108" s="334">
        <v>39.705344285714283</v>
      </c>
      <c r="DD108" s="334">
        <v>37.490898571428566</v>
      </c>
      <c r="DE108" s="334">
        <v>35.27645285714285</v>
      </c>
      <c r="DF108" s="334">
        <v>33.062007142857134</v>
      </c>
      <c r="DG108" s="334">
        <v>30.847561428571421</v>
      </c>
      <c r="DH108" s="334">
        <v>28.633115714285708</v>
      </c>
      <c r="DI108" s="334">
        <v>26.418669999999995</v>
      </c>
      <c r="DJ108" s="334">
        <v>24.204224285714282</v>
      </c>
      <c r="DK108" s="334">
        <v>21.98977857142857</v>
      </c>
      <c r="DL108" s="334">
        <v>19.775332857142857</v>
      </c>
      <c r="DM108" s="334">
        <v>17.560887142857144</v>
      </c>
      <c r="DN108" s="334">
        <v>15.346441428571429</v>
      </c>
      <c r="DO108" s="334">
        <v>13.131995714285715</v>
      </c>
      <c r="DP108" s="334">
        <v>10.917549999999999</v>
      </c>
      <c r="DQ108" s="334">
        <v>55.004325500001869</v>
      </c>
      <c r="DR108" s="334">
        <v>59.200818107692612</v>
      </c>
      <c r="DS108" s="334">
        <v>63.397310715385174</v>
      </c>
      <c r="DT108" s="334">
        <v>67.593803323077736</v>
      </c>
      <c r="DU108" s="335">
        <v>71.790295930770299</v>
      </c>
      <c r="DV108" s="335">
        <v>75.986788538462861</v>
      </c>
      <c r="DW108" s="335">
        <v>80.183281146153604</v>
      </c>
      <c r="DX108" s="198">
        <v>75.986788538462861</v>
      </c>
      <c r="DY108" s="198">
        <v>74.986788538462861</v>
      </c>
      <c r="DZ108" s="198">
        <v>30.986788538462861</v>
      </c>
      <c r="EA108" s="198">
        <v>-5.1964926076907432</v>
      </c>
      <c r="EB108" s="198">
        <v>75.986788538462861</v>
      </c>
      <c r="EC108" s="198">
        <v>75.986788538462861</v>
      </c>
      <c r="ED108" s="198">
        <v>75.986788538462861</v>
      </c>
      <c r="EE108" s="198">
        <v>75.986788538462861</v>
      </c>
      <c r="EF108" s="198">
        <v>-4.1964926076907432</v>
      </c>
      <c r="EG108" s="198">
        <v>1</v>
      </c>
      <c r="EH108" s="198">
        <v>27.879437230355343</v>
      </c>
      <c r="EI108" s="336">
        <f t="shared" si="1"/>
        <v>63.397310715385537</v>
      </c>
      <c r="EJ108" s="336">
        <f>EI108-'[13]FAOSTAT21 CO2'!EH108</f>
        <v>54.728265715385533</v>
      </c>
    </row>
    <row r="109" spans="1:140" x14ac:dyDescent="0.25">
      <c r="A109" s="31">
        <v>12</v>
      </c>
      <c r="B109" s="31" t="s">
        <v>266</v>
      </c>
      <c r="C109" s="31">
        <v>110</v>
      </c>
      <c r="D109" s="31">
        <v>1</v>
      </c>
      <c r="E109" s="31">
        <v>0</v>
      </c>
      <c r="F109" s="31">
        <v>1</v>
      </c>
      <c r="G109" s="31">
        <v>0</v>
      </c>
      <c r="H109" s="331" t="s">
        <v>2475</v>
      </c>
      <c r="I109" s="331" t="s">
        <v>267</v>
      </c>
      <c r="J109" s="331"/>
      <c r="K109" s="331"/>
      <c r="L109" s="331"/>
      <c r="M109" s="331"/>
      <c r="N109" s="331"/>
      <c r="O109" s="331"/>
      <c r="P109" s="331"/>
      <c r="Q109" s="331"/>
      <c r="R109" s="331"/>
      <c r="S109" s="331"/>
      <c r="T109" s="331"/>
      <c r="U109" s="331"/>
      <c r="V109" s="331"/>
      <c r="W109" s="331"/>
      <c r="X109" s="331"/>
      <c r="Y109" s="331"/>
      <c r="Z109" s="331"/>
      <c r="AA109" s="331"/>
      <c r="AB109" s="331"/>
      <c r="AC109" s="331"/>
      <c r="AD109" s="331"/>
      <c r="AE109" s="331"/>
      <c r="AF109" s="331"/>
      <c r="AG109" s="331"/>
      <c r="AH109" s="331"/>
      <c r="AI109" s="331"/>
      <c r="AJ109" s="331"/>
      <c r="AK109" s="331"/>
      <c r="AL109" s="331"/>
      <c r="AM109" s="331"/>
      <c r="AN109" s="331"/>
      <c r="AO109" s="331"/>
      <c r="AP109" s="331"/>
      <c r="AQ109" s="331"/>
      <c r="AR109" s="331"/>
      <c r="AS109" s="331"/>
      <c r="AT109" s="331"/>
      <c r="AU109" s="331"/>
      <c r="AV109" s="331"/>
      <c r="AW109" s="331"/>
      <c r="AX109" s="331"/>
      <c r="AY109" s="332" t="s">
        <v>2476</v>
      </c>
      <c r="AZ109" s="332" t="s">
        <v>267</v>
      </c>
      <c r="BA109" s="332"/>
      <c r="BB109" s="332"/>
      <c r="BC109" s="332"/>
      <c r="BD109" s="332"/>
      <c r="BE109" s="332"/>
      <c r="BF109" s="332"/>
      <c r="BG109" s="332"/>
      <c r="BH109" s="332"/>
      <c r="BI109" s="332"/>
      <c r="BJ109" s="332"/>
      <c r="BK109" s="332"/>
      <c r="BL109" s="332"/>
      <c r="BM109" s="332"/>
      <c r="BN109" s="332"/>
      <c r="BO109" s="332"/>
      <c r="BP109" s="332"/>
      <c r="BQ109" s="332"/>
      <c r="BR109" s="332"/>
      <c r="BS109" s="332"/>
      <c r="BT109" s="332"/>
      <c r="BU109" s="332"/>
      <c r="BV109" s="332"/>
      <c r="BW109" s="332"/>
      <c r="BX109" s="332"/>
      <c r="BY109" s="332"/>
      <c r="BZ109" s="332"/>
      <c r="CA109" s="332"/>
      <c r="CB109" s="332"/>
      <c r="CC109" s="332"/>
      <c r="CD109" s="332"/>
      <c r="CE109" s="332"/>
      <c r="CF109" s="332"/>
      <c r="CG109" s="332"/>
      <c r="CH109" s="332"/>
      <c r="CI109" s="332"/>
      <c r="CJ109" s="332"/>
      <c r="CK109" s="332"/>
      <c r="CL109" s="332"/>
      <c r="CM109" s="332"/>
      <c r="CN109" s="332"/>
      <c r="CO109" s="332"/>
      <c r="CP109" s="333" t="s">
        <v>27</v>
      </c>
      <c r="CQ109" s="333" t="s">
        <v>267</v>
      </c>
      <c r="CR109" s="334">
        <v>-12.390084938723957</v>
      </c>
      <c r="CS109" s="334">
        <v>-12.810834725964684</v>
      </c>
      <c r="CT109" s="334">
        <v>-13.199005737250008</v>
      </c>
      <c r="CU109" s="334">
        <v>-13.076056566833271</v>
      </c>
      <c r="CV109" s="334">
        <v>-15.975977408402612</v>
      </c>
      <c r="CW109" s="334">
        <v>-14.838428299171056</v>
      </c>
      <c r="CX109" s="334">
        <v>-15.004690419879982</v>
      </c>
      <c r="CY109" s="334">
        <v>-13.235959627003751</v>
      </c>
      <c r="CZ109" s="334">
        <v>-12.286288151585124</v>
      </c>
      <c r="DA109" s="334">
        <v>-8.6089875057053789</v>
      </c>
      <c r="DB109" s="334">
        <v>-11.851310268156167</v>
      </c>
      <c r="DC109" s="334">
        <v>-12.362462912403386</v>
      </c>
      <c r="DD109" s="334">
        <v>-10.646855287728519</v>
      </c>
      <c r="DE109" s="334">
        <v>-10.23269601689813</v>
      </c>
      <c r="DF109" s="334">
        <v>-6.51954351054634</v>
      </c>
      <c r="DG109" s="334">
        <v>-5.9649142454055992</v>
      </c>
      <c r="DH109" s="334">
        <v>-6.7459246781117832</v>
      </c>
      <c r="DI109" s="334">
        <v>-6.3204427116756543</v>
      </c>
      <c r="DJ109" s="334">
        <v>-6.7065422033637008</v>
      </c>
      <c r="DK109" s="334">
        <v>-3.8113093474204778</v>
      </c>
      <c r="DL109" s="334">
        <v>-2.0297418285031794</v>
      </c>
      <c r="DM109" s="334">
        <v>-2.4298728743125255</v>
      </c>
      <c r="DN109" s="334">
        <v>-3.7897114297137189</v>
      </c>
      <c r="DO109" s="334">
        <v>-2.5020700085942691</v>
      </c>
      <c r="DP109" s="334">
        <v>1.4028924588093714</v>
      </c>
      <c r="DQ109" s="334">
        <v>0.15742107178426021</v>
      </c>
      <c r="DR109" s="334">
        <v>-1.6618285146765324</v>
      </c>
      <c r="DS109" s="334">
        <v>-3.1114949746684348</v>
      </c>
      <c r="DT109" s="334">
        <v>-0.61633911485481707</v>
      </c>
      <c r="DU109" s="335">
        <v>-2.2951028797858206</v>
      </c>
      <c r="DV109" s="335">
        <v>0.79911149037883067</v>
      </c>
      <c r="DW109" s="335">
        <v>2.3919355375721612</v>
      </c>
      <c r="DX109" s="198">
        <v>0.79911149037883067</v>
      </c>
      <c r="DY109" s="198">
        <v>0.79911149037883067</v>
      </c>
      <c r="DZ109" s="198">
        <v>0.79911149037883067</v>
      </c>
      <c r="EA109" s="198">
        <v>-1.5928240471933304</v>
      </c>
      <c r="EB109" s="198">
        <v>4</v>
      </c>
      <c r="EC109" s="198">
        <v>0.79911149037883067</v>
      </c>
      <c r="ED109" s="198">
        <v>4</v>
      </c>
      <c r="EE109" s="198">
        <v>0.79911149037883067</v>
      </c>
      <c r="EF109" s="198">
        <v>-1.5928240471933304</v>
      </c>
      <c r="EG109" s="198">
        <v>0</v>
      </c>
      <c r="EH109" s="198">
        <v>0.53395506835831597</v>
      </c>
      <c r="EI109" s="336">
        <f t="shared" si="1"/>
        <v>-1.5054688824402689</v>
      </c>
      <c r="EJ109" s="336">
        <f>EI109-'[13]FAOSTAT21 CO2'!EH109</f>
        <v>1.2537523175597309</v>
      </c>
    </row>
    <row r="110" spans="1:140" x14ac:dyDescent="0.25">
      <c r="A110" s="31">
        <v>17</v>
      </c>
      <c r="B110" s="31" t="s">
        <v>268</v>
      </c>
      <c r="C110" s="31">
        <v>108</v>
      </c>
      <c r="D110" s="31">
        <v>0</v>
      </c>
      <c r="E110" s="31">
        <v>0</v>
      </c>
      <c r="F110" s="31">
        <v>0</v>
      </c>
      <c r="G110" s="31">
        <v>0</v>
      </c>
      <c r="H110" s="331" t="s">
        <v>2475</v>
      </c>
      <c r="I110" s="331" t="s">
        <v>269</v>
      </c>
      <c r="J110" s="331"/>
      <c r="K110" s="331"/>
      <c r="L110" s="331"/>
      <c r="M110" s="331"/>
      <c r="N110" s="331"/>
      <c r="O110" s="331"/>
      <c r="P110" s="331"/>
      <c r="Q110" s="331"/>
      <c r="R110" s="331"/>
      <c r="S110" s="331"/>
      <c r="T110" s="331"/>
      <c r="U110" s="331"/>
      <c r="V110" s="331"/>
      <c r="W110" s="331"/>
      <c r="X110" s="331"/>
      <c r="Y110" s="331"/>
      <c r="Z110" s="331"/>
      <c r="AA110" s="331"/>
      <c r="AB110" s="331"/>
      <c r="AC110" s="331"/>
      <c r="AD110" s="331"/>
      <c r="AE110" s="331"/>
      <c r="AF110" s="331"/>
      <c r="AG110" s="331"/>
      <c r="AH110" s="331"/>
      <c r="AI110" s="331"/>
      <c r="AJ110" s="331"/>
      <c r="AK110" s="331"/>
      <c r="AL110" s="331"/>
      <c r="AM110" s="331"/>
      <c r="AN110" s="331"/>
      <c r="AO110" s="331"/>
      <c r="AP110" s="331"/>
      <c r="AQ110" s="331"/>
      <c r="AR110" s="331"/>
      <c r="AS110" s="331"/>
      <c r="AT110" s="331"/>
      <c r="AU110" s="331"/>
      <c r="AV110" s="331"/>
      <c r="AW110" s="331"/>
      <c r="AX110" s="331"/>
      <c r="AY110" s="332" t="s">
        <v>2476</v>
      </c>
      <c r="AZ110" s="332" t="s">
        <v>269</v>
      </c>
      <c r="BA110" s="332"/>
      <c r="BB110" s="332"/>
      <c r="BC110" s="332"/>
      <c r="BD110" s="332"/>
      <c r="BE110" s="332"/>
      <c r="BF110" s="332"/>
      <c r="BG110" s="332"/>
      <c r="BH110" s="332"/>
      <c r="BI110" s="332"/>
      <c r="BJ110" s="332"/>
      <c r="BK110" s="332"/>
      <c r="BL110" s="332"/>
      <c r="BM110" s="332"/>
      <c r="BN110" s="332"/>
      <c r="BO110" s="332"/>
      <c r="BP110" s="332"/>
      <c r="BQ110" s="332"/>
      <c r="BR110" s="332"/>
      <c r="BS110" s="332"/>
      <c r="BT110" s="332"/>
      <c r="BU110" s="332"/>
      <c r="BV110" s="332"/>
      <c r="BW110" s="332"/>
      <c r="BX110" s="332"/>
      <c r="BY110" s="332"/>
      <c r="BZ110" s="332"/>
      <c r="CA110" s="332"/>
      <c r="CB110" s="332"/>
      <c r="CC110" s="332"/>
      <c r="CD110" s="332"/>
      <c r="CE110" s="332"/>
      <c r="CF110" s="332"/>
      <c r="CG110" s="332"/>
      <c r="CH110" s="332"/>
      <c r="CI110" s="332"/>
      <c r="CJ110" s="332"/>
      <c r="CK110" s="332"/>
      <c r="CL110" s="332"/>
      <c r="CM110" s="332"/>
      <c r="CN110" s="332"/>
      <c r="CO110" s="332"/>
      <c r="CP110" s="333" t="s">
        <v>27</v>
      </c>
      <c r="CQ110" s="333" t="s">
        <v>269</v>
      </c>
      <c r="CR110" s="334">
        <v>0.20624780000000001</v>
      </c>
      <c r="CS110" s="334">
        <v>0.20624780000000001</v>
      </c>
      <c r="CT110" s="334">
        <v>0.20624780000000001</v>
      </c>
      <c r="CU110" s="334">
        <v>0.20624780000000001</v>
      </c>
      <c r="CV110" s="334">
        <v>0.20624780000000001</v>
      </c>
      <c r="CW110" s="334">
        <v>0.15907816666666669</v>
      </c>
      <c r="CX110" s="334">
        <v>0.11190853333333337</v>
      </c>
      <c r="CY110" s="334">
        <v>6.4738900000000044E-2</v>
      </c>
      <c r="CZ110" s="334">
        <v>1.7569266666666715E-2</v>
      </c>
      <c r="DA110" s="334">
        <v>-2.9600366666666614E-2</v>
      </c>
      <c r="DB110" s="334">
        <v>-7.6769999999999991E-2</v>
      </c>
      <c r="DC110" s="334">
        <v>-0.36073630000000001</v>
      </c>
      <c r="DD110" s="334">
        <v>-0.64470260000000001</v>
      </c>
      <c r="DE110" s="334">
        <v>-0.92866890000000002</v>
      </c>
      <c r="DF110" s="334">
        <v>-1.2126352</v>
      </c>
      <c r="DG110" s="334">
        <v>-1.4966015000000001</v>
      </c>
      <c r="DH110" s="334">
        <v>-1.7805678</v>
      </c>
      <c r="DI110" s="334">
        <v>-2.0645340999999999</v>
      </c>
      <c r="DJ110" s="334">
        <v>-2.3485003999999998</v>
      </c>
      <c r="DK110" s="334">
        <v>-2.6324666999999997</v>
      </c>
      <c r="DL110" s="334">
        <v>-2.9164329999999996</v>
      </c>
      <c r="DM110" s="334">
        <v>-3.2003992999999999</v>
      </c>
      <c r="DN110" s="334">
        <v>-3.0356830000000001</v>
      </c>
      <c r="DO110" s="334">
        <v>-3.3688500000000001</v>
      </c>
      <c r="DP110" s="334">
        <v>-2.65496</v>
      </c>
      <c r="DQ110" s="334">
        <v>-1.9410699999999999</v>
      </c>
      <c r="DR110" s="334">
        <v>-1.2271799999999997</v>
      </c>
      <c r="DS110" s="334">
        <v>-0.51328999999999969</v>
      </c>
      <c r="DT110" s="334">
        <v>0.20060000000000033</v>
      </c>
      <c r="DU110" s="335">
        <v>0.91449000000000003</v>
      </c>
      <c r="DV110" s="335">
        <v>-2.2228131314942345</v>
      </c>
      <c r="DW110" s="335">
        <v>-2.301846182343354</v>
      </c>
      <c r="DX110" s="198">
        <v>-2.2228131314942345</v>
      </c>
      <c r="DY110" s="198">
        <v>-2.2228131314942345</v>
      </c>
      <c r="DZ110" s="198">
        <v>-2.2228131314942345</v>
      </c>
      <c r="EA110" s="198">
        <v>7.9033050849119491E-2</v>
      </c>
      <c r="EB110" s="198">
        <v>-2.2228131314942345</v>
      </c>
      <c r="EC110" s="198">
        <v>-2.2228131314942345</v>
      </c>
      <c r="ED110" s="198">
        <v>-2.2228131314942345</v>
      </c>
      <c r="EE110" s="198">
        <v>-2.2228131314942345</v>
      </c>
      <c r="EF110" s="198">
        <v>7.9033050849119491E-2</v>
      </c>
      <c r="EG110" s="198">
        <v>0</v>
      </c>
      <c r="EH110" s="198">
        <v>-2.8011970758627833</v>
      </c>
      <c r="EI110" s="336">
        <f t="shared" si="1"/>
        <v>-0.5132899999999998</v>
      </c>
      <c r="EJ110" s="336">
        <f>EI110-'[13]FAOSTAT21 CO2'!EH110</f>
        <v>-0.43529183999999982</v>
      </c>
    </row>
    <row r="111" spans="1:140" x14ac:dyDescent="0.25">
      <c r="A111" s="31">
        <v>26</v>
      </c>
      <c r="B111" s="31" t="s">
        <v>270</v>
      </c>
      <c r="C111" s="31">
        <v>109</v>
      </c>
      <c r="D111" s="31">
        <v>0</v>
      </c>
      <c r="E111" s="31">
        <v>0</v>
      </c>
      <c r="F111" s="31">
        <v>0</v>
      </c>
      <c r="G111" s="31">
        <v>0</v>
      </c>
      <c r="H111" s="331" t="s">
        <v>2475</v>
      </c>
      <c r="I111" s="331" t="s">
        <v>271</v>
      </c>
      <c r="J111" s="331"/>
      <c r="K111" s="331"/>
      <c r="L111" s="331"/>
      <c r="M111" s="331"/>
      <c r="N111" s="331"/>
      <c r="O111" s="331"/>
      <c r="P111" s="331"/>
      <c r="Q111" s="331"/>
      <c r="R111" s="331"/>
      <c r="S111" s="331"/>
      <c r="T111" s="331"/>
      <c r="U111" s="331"/>
      <c r="V111" s="331"/>
      <c r="W111" s="331"/>
      <c r="X111" s="331"/>
      <c r="Y111" s="331"/>
      <c r="Z111" s="331"/>
      <c r="AA111" s="331"/>
      <c r="AB111" s="331"/>
      <c r="AC111" s="331"/>
      <c r="AD111" s="331"/>
      <c r="AE111" s="331"/>
      <c r="AF111" s="331"/>
      <c r="AG111" s="331"/>
      <c r="AH111" s="331"/>
      <c r="AI111" s="331"/>
      <c r="AJ111" s="331"/>
      <c r="AK111" s="331"/>
      <c r="AL111" s="331"/>
      <c r="AM111" s="331"/>
      <c r="AN111" s="331"/>
      <c r="AO111" s="331"/>
      <c r="AP111" s="331"/>
      <c r="AQ111" s="331"/>
      <c r="AR111" s="331"/>
      <c r="AS111" s="331"/>
      <c r="AT111" s="331"/>
      <c r="AU111" s="331"/>
      <c r="AV111" s="331"/>
      <c r="AW111" s="331"/>
      <c r="AX111" s="331"/>
      <c r="AY111" s="332" t="s">
        <v>2476</v>
      </c>
      <c r="AZ111" s="332" t="s">
        <v>271</v>
      </c>
      <c r="BA111" s="332"/>
      <c r="BB111" s="332"/>
      <c r="BC111" s="332"/>
      <c r="BD111" s="332"/>
      <c r="BE111" s="332"/>
      <c r="BF111" s="332"/>
      <c r="BG111" s="332"/>
      <c r="BH111" s="332"/>
      <c r="BI111" s="332"/>
      <c r="BJ111" s="332"/>
      <c r="BK111" s="332"/>
      <c r="BL111" s="332"/>
      <c r="BM111" s="332"/>
      <c r="BN111" s="332"/>
      <c r="BO111" s="332"/>
      <c r="BP111" s="332"/>
      <c r="BQ111" s="332"/>
      <c r="BR111" s="332"/>
      <c r="BS111" s="332"/>
      <c r="BT111" s="332"/>
      <c r="BU111" s="332"/>
      <c r="BV111" s="332"/>
      <c r="BW111" s="332"/>
      <c r="BX111" s="332"/>
      <c r="BY111" s="332"/>
      <c r="BZ111" s="332"/>
      <c r="CA111" s="332"/>
      <c r="CB111" s="332"/>
      <c r="CC111" s="332"/>
      <c r="CD111" s="332"/>
      <c r="CE111" s="332"/>
      <c r="CF111" s="332"/>
      <c r="CG111" s="332"/>
      <c r="CH111" s="332"/>
      <c r="CI111" s="332"/>
      <c r="CJ111" s="332"/>
      <c r="CK111" s="332"/>
      <c r="CL111" s="332"/>
      <c r="CM111" s="332"/>
      <c r="CN111" s="332"/>
      <c r="CO111" s="332"/>
      <c r="CP111" s="333" t="s">
        <v>27</v>
      </c>
      <c r="CQ111" s="333" t="s">
        <v>271</v>
      </c>
      <c r="CR111" s="334">
        <v>1.26057</v>
      </c>
      <c r="CS111" s="334">
        <v>1.26057</v>
      </c>
      <c r="CT111" s="334">
        <v>1.26057</v>
      </c>
      <c r="CU111" s="334">
        <v>1.26057</v>
      </c>
      <c r="CV111" s="334">
        <v>1.26057</v>
      </c>
      <c r="CW111" s="334">
        <v>0.82081166666666672</v>
      </c>
      <c r="CX111" s="334">
        <v>0.38105333333333341</v>
      </c>
      <c r="CY111" s="334">
        <v>-5.8704999999999896E-2</v>
      </c>
      <c r="CZ111" s="334">
        <v>-0.4984633333333332</v>
      </c>
      <c r="DA111" s="334">
        <v>-0.93822166666666651</v>
      </c>
      <c r="DB111" s="334">
        <v>-1.37798</v>
      </c>
      <c r="DC111" s="334">
        <v>-1.1040160000000001</v>
      </c>
      <c r="DD111" s="334">
        <v>-0.83005200000000012</v>
      </c>
      <c r="DE111" s="334">
        <v>-0.55608800000000014</v>
      </c>
      <c r="DF111" s="334">
        <v>-0.28212400000000015</v>
      </c>
      <c r="DG111" s="334">
        <v>-8.1600000000000006E-3</v>
      </c>
      <c r="DH111" s="334">
        <v>-8.0260000000000001E-3</v>
      </c>
      <c r="DI111" s="334">
        <v>-7.8919999999999997E-3</v>
      </c>
      <c r="DJ111" s="334">
        <v>-7.7579999999999993E-3</v>
      </c>
      <c r="DK111" s="334">
        <v>-7.6239999999999988E-3</v>
      </c>
      <c r="DL111" s="334">
        <v>-7.4900000000000001E-3</v>
      </c>
      <c r="DM111" s="334">
        <v>1.19364</v>
      </c>
      <c r="DN111" s="334">
        <v>1.16486</v>
      </c>
      <c r="DO111" s="334">
        <v>1.1565000000000001</v>
      </c>
      <c r="DP111" s="334">
        <v>1.1247100000000001</v>
      </c>
      <c r="DQ111" s="334">
        <v>1.09758</v>
      </c>
      <c r="DR111" s="334">
        <v>1.1172299999999999</v>
      </c>
      <c r="DS111" s="334">
        <v>1.08955</v>
      </c>
      <c r="DT111" s="334">
        <v>0.48139878306878359</v>
      </c>
      <c r="DU111" s="335">
        <v>0.49056868682722055</v>
      </c>
      <c r="DV111" s="335">
        <v>0.49973859058565751</v>
      </c>
      <c r="DW111" s="335">
        <v>0.50890849434409446</v>
      </c>
      <c r="DX111" s="198">
        <v>0.49973859058565751</v>
      </c>
      <c r="DY111" s="198">
        <v>-1.5002614094143425</v>
      </c>
      <c r="DZ111" s="198">
        <v>-1.5002614094143425</v>
      </c>
      <c r="EA111" s="198">
        <v>-2.009169903758437</v>
      </c>
      <c r="EB111" s="198">
        <v>0.49973859058565751</v>
      </c>
      <c r="EC111" s="198">
        <v>0.49973859058565751</v>
      </c>
      <c r="ED111" s="198">
        <v>0.49973859058565751</v>
      </c>
      <c r="EE111" s="198">
        <v>0.49973859058565751</v>
      </c>
      <c r="EF111" s="198">
        <v>-9.1699037584369592E-3</v>
      </c>
      <c r="EG111" s="198">
        <v>2</v>
      </c>
      <c r="EH111" s="198">
        <v>0.40065870561768419</v>
      </c>
      <c r="EI111" s="336">
        <f t="shared" si="1"/>
        <v>0.85526549397920082</v>
      </c>
      <c r="EJ111" s="336">
        <f>EI111-'[13]FAOSTAT21 CO2'!EH111</f>
        <v>0.85526549397920082</v>
      </c>
    </row>
    <row r="112" spans="1:140" x14ac:dyDescent="0.25">
      <c r="A112" s="31">
        <v>8</v>
      </c>
      <c r="B112" s="31" t="s">
        <v>272</v>
      </c>
      <c r="C112" s="31">
        <v>111</v>
      </c>
      <c r="D112" s="31">
        <v>0</v>
      </c>
      <c r="E112" s="31">
        <v>0</v>
      </c>
      <c r="F112" s="31">
        <v>0</v>
      </c>
      <c r="G112" s="31">
        <v>0</v>
      </c>
      <c r="H112" s="331" t="s">
        <v>2475</v>
      </c>
      <c r="I112" s="331" t="s">
        <v>273</v>
      </c>
      <c r="J112" s="331"/>
      <c r="K112" s="331"/>
      <c r="L112" s="331"/>
      <c r="M112" s="331"/>
      <c r="N112" s="331"/>
      <c r="O112" s="331"/>
      <c r="P112" s="331"/>
      <c r="Q112" s="331"/>
      <c r="R112" s="331"/>
      <c r="S112" s="331"/>
      <c r="T112" s="331"/>
      <c r="U112" s="331"/>
      <c r="V112" s="331"/>
      <c r="W112" s="331"/>
      <c r="X112" s="331"/>
      <c r="Y112" s="331"/>
      <c r="Z112" s="331"/>
      <c r="AA112" s="331"/>
      <c r="AB112" s="331"/>
      <c r="AC112" s="331"/>
      <c r="AD112" s="331"/>
      <c r="AE112" s="331"/>
      <c r="AF112" s="331"/>
      <c r="AG112" s="331"/>
      <c r="AH112" s="331"/>
      <c r="AI112" s="331"/>
      <c r="AJ112" s="331"/>
      <c r="AK112" s="331"/>
      <c r="AL112" s="331"/>
      <c r="AM112" s="331"/>
      <c r="AN112" s="331"/>
      <c r="AO112" s="331"/>
      <c r="AP112" s="331"/>
      <c r="AQ112" s="331"/>
      <c r="AR112" s="331"/>
      <c r="AS112" s="331"/>
      <c r="AT112" s="331"/>
      <c r="AU112" s="331"/>
      <c r="AV112" s="331"/>
      <c r="AW112" s="331"/>
      <c r="AX112" s="331"/>
      <c r="AY112" s="332" t="s">
        <v>2476</v>
      </c>
      <c r="AZ112" s="332" t="s">
        <v>273</v>
      </c>
      <c r="BA112" s="332"/>
      <c r="BB112" s="332"/>
      <c r="BC112" s="332"/>
      <c r="BD112" s="332"/>
      <c r="BE112" s="332"/>
      <c r="BF112" s="332"/>
      <c r="BG112" s="332"/>
      <c r="BH112" s="332"/>
      <c r="BI112" s="332"/>
      <c r="BJ112" s="332"/>
      <c r="BK112" s="332"/>
      <c r="BL112" s="332"/>
      <c r="BM112" s="332"/>
      <c r="BN112" s="332"/>
      <c r="BO112" s="332"/>
      <c r="BP112" s="332"/>
      <c r="BQ112" s="332"/>
      <c r="BR112" s="332"/>
      <c r="BS112" s="332"/>
      <c r="BT112" s="332"/>
      <c r="BU112" s="332"/>
      <c r="BV112" s="332"/>
      <c r="BW112" s="332"/>
      <c r="BX112" s="332"/>
      <c r="BY112" s="332"/>
      <c r="BZ112" s="332"/>
      <c r="CA112" s="332"/>
      <c r="CB112" s="332"/>
      <c r="CC112" s="332"/>
      <c r="CD112" s="332"/>
      <c r="CE112" s="332"/>
      <c r="CF112" s="332"/>
      <c r="CG112" s="332"/>
      <c r="CH112" s="332"/>
      <c r="CI112" s="332"/>
      <c r="CJ112" s="332"/>
      <c r="CK112" s="332"/>
      <c r="CL112" s="332"/>
      <c r="CM112" s="332"/>
      <c r="CN112" s="332"/>
      <c r="CO112" s="332"/>
      <c r="CP112" s="333" t="s">
        <v>27</v>
      </c>
      <c r="CQ112" s="333" t="s">
        <v>273</v>
      </c>
      <c r="CR112" s="334">
        <v>-96.811000000000007</v>
      </c>
      <c r="CS112" s="334">
        <v>-96.811000000000007</v>
      </c>
      <c r="CT112" s="334">
        <v>-96.811000000000007</v>
      </c>
      <c r="CU112" s="334">
        <v>-96.811000000000007</v>
      </c>
      <c r="CV112" s="334">
        <v>-96.811000000000007</v>
      </c>
      <c r="CW112" s="334">
        <v>-96.811000000000007</v>
      </c>
      <c r="CX112" s="334">
        <v>-96.811000000000007</v>
      </c>
      <c r="CY112" s="334">
        <v>-96.811000000000007</v>
      </c>
      <c r="CZ112" s="334">
        <v>-96.811000000000007</v>
      </c>
      <c r="DA112" s="334">
        <v>-96.811000000000007</v>
      </c>
      <c r="DB112" s="334">
        <v>-96.811000000000007</v>
      </c>
      <c r="DC112" s="334">
        <v>-91.353542142857151</v>
      </c>
      <c r="DD112" s="334">
        <v>-85.896084285714295</v>
      </c>
      <c r="DE112" s="334">
        <v>-80.438626428571439</v>
      </c>
      <c r="DF112" s="334">
        <v>-74.981168571428583</v>
      </c>
      <c r="DG112" s="334">
        <v>-69.523710714285727</v>
      </c>
      <c r="DH112" s="334">
        <v>-64.066252857142871</v>
      </c>
      <c r="DI112" s="334">
        <v>-58.608795000000015</v>
      </c>
      <c r="DJ112" s="334">
        <v>-53.151337142857159</v>
      </c>
      <c r="DK112" s="334">
        <v>-47.693879285714303</v>
      </c>
      <c r="DL112" s="334">
        <v>-42.236421428571447</v>
      </c>
      <c r="DM112" s="334">
        <v>-36.778963571428591</v>
      </c>
      <c r="DN112" s="334">
        <v>-31.321505714285735</v>
      </c>
      <c r="DO112" s="334">
        <v>-25.864047857142879</v>
      </c>
      <c r="DP112" s="334">
        <v>-20.406590000000001</v>
      </c>
      <c r="DQ112" s="334">
        <v>-29.95714124999995</v>
      </c>
      <c r="DR112" s="334">
        <v>-26.577715423077279</v>
      </c>
      <c r="DS112" s="334">
        <v>-23.1982895961537</v>
      </c>
      <c r="DT112" s="334">
        <v>-19.81886376923012</v>
      </c>
      <c r="DU112" s="335">
        <v>-16.43943794230745</v>
      </c>
      <c r="DV112" s="335">
        <v>-13.060012115384779</v>
      </c>
      <c r="DW112" s="335">
        <v>-9.6805862884621092</v>
      </c>
      <c r="DX112" s="198">
        <v>-13.060012115384779</v>
      </c>
      <c r="DY112" s="198">
        <v>-13.060012115384779</v>
      </c>
      <c r="DZ112" s="198">
        <v>-13.060012115384779</v>
      </c>
      <c r="EA112" s="198">
        <v>-3.3794258269226702</v>
      </c>
      <c r="EB112" s="198">
        <v>-13.060012115384779</v>
      </c>
      <c r="EC112" s="198">
        <v>-13.060012115384779</v>
      </c>
      <c r="ED112" s="198">
        <v>-13.060012115384779</v>
      </c>
      <c r="EE112" s="198">
        <v>-13.060012115384779</v>
      </c>
      <c r="EF112" s="198">
        <v>-3.3794258269226702</v>
      </c>
      <c r="EG112" s="198">
        <v>0</v>
      </c>
      <c r="EH112" s="198">
        <v>-16.947933356765859</v>
      </c>
      <c r="EI112" s="336">
        <f t="shared" si="1"/>
        <v>-23.1982895961537</v>
      </c>
      <c r="EJ112" s="336">
        <f>EI112-'[13]FAOSTAT21 CO2'!EH112</f>
        <v>-36.636964136153701</v>
      </c>
    </row>
    <row r="113" spans="1:140" x14ac:dyDescent="0.25">
      <c r="A113" s="31">
        <v>7</v>
      </c>
      <c r="B113" s="31" t="s">
        <v>274</v>
      </c>
      <c r="C113" s="31">
        <v>112</v>
      </c>
      <c r="D113" s="31">
        <v>0</v>
      </c>
      <c r="E113" s="31">
        <v>0</v>
      </c>
      <c r="F113" s="31">
        <v>0</v>
      </c>
      <c r="G113" s="31">
        <v>0</v>
      </c>
      <c r="H113" s="331" t="s">
        <v>2475</v>
      </c>
      <c r="I113" s="331" t="s">
        <v>275</v>
      </c>
      <c r="J113" s="331"/>
      <c r="K113" s="331"/>
      <c r="L113" s="331"/>
      <c r="M113" s="331"/>
      <c r="N113" s="331"/>
      <c r="O113" s="331"/>
      <c r="P113" s="331"/>
      <c r="Q113" s="331"/>
      <c r="R113" s="331"/>
      <c r="S113" s="331"/>
      <c r="T113" s="331"/>
      <c r="U113" s="331"/>
      <c r="V113" s="331"/>
      <c r="W113" s="331"/>
      <c r="X113" s="331"/>
      <c r="Y113" s="331"/>
      <c r="Z113" s="331"/>
      <c r="AA113" s="331"/>
      <c r="AB113" s="331"/>
      <c r="AC113" s="331"/>
      <c r="AD113" s="331"/>
      <c r="AE113" s="331"/>
      <c r="AF113" s="331"/>
      <c r="AG113" s="331"/>
      <c r="AH113" s="331"/>
      <c r="AI113" s="331"/>
      <c r="AJ113" s="331"/>
      <c r="AK113" s="331"/>
      <c r="AL113" s="331"/>
      <c r="AM113" s="331"/>
      <c r="AN113" s="331"/>
      <c r="AO113" s="331"/>
      <c r="AP113" s="331"/>
      <c r="AQ113" s="331"/>
      <c r="AR113" s="331"/>
      <c r="AS113" s="331"/>
      <c r="AT113" s="331"/>
      <c r="AU113" s="331"/>
      <c r="AV113" s="331"/>
      <c r="AW113" s="331"/>
      <c r="AX113" s="331"/>
      <c r="AY113" s="332" t="s">
        <v>2476</v>
      </c>
      <c r="AZ113" s="332" t="s">
        <v>275</v>
      </c>
      <c r="BA113" s="332"/>
      <c r="BB113" s="332"/>
      <c r="BC113" s="332"/>
      <c r="BD113" s="332"/>
      <c r="BE113" s="332"/>
      <c r="BF113" s="332"/>
      <c r="BG113" s="332"/>
      <c r="BH113" s="332"/>
      <c r="BI113" s="332"/>
      <c r="BJ113" s="332"/>
      <c r="BK113" s="332"/>
      <c r="BL113" s="332"/>
      <c r="BM113" s="332"/>
      <c r="BN113" s="332"/>
      <c r="BO113" s="332"/>
      <c r="BP113" s="332"/>
      <c r="BQ113" s="332"/>
      <c r="BR113" s="332"/>
      <c r="BS113" s="332"/>
      <c r="BT113" s="332"/>
      <c r="BU113" s="332"/>
      <c r="BV113" s="332"/>
      <c r="BW113" s="332"/>
      <c r="BX113" s="332"/>
      <c r="BY113" s="332"/>
      <c r="BZ113" s="332"/>
      <c r="CA113" s="332"/>
      <c r="CB113" s="332"/>
      <c r="CC113" s="332"/>
      <c r="CD113" s="332"/>
      <c r="CE113" s="332"/>
      <c r="CF113" s="332"/>
      <c r="CG113" s="332"/>
      <c r="CH113" s="332"/>
      <c r="CI113" s="332"/>
      <c r="CJ113" s="332"/>
      <c r="CK113" s="332"/>
      <c r="CL113" s="332"/>
      <c r="CM113" s="332"/>
      <c r="CN113" s="332"/>
      <c r="CO113" s="332"/>
      <c r="CP113" s="333" t="s">
        <v>27</v>
      </c>
      <c r="CQ113" s="333" t="s">
        <v>275</v>
      </c>
      <c r="CR113" s="334">
        <v>0</v>
      </c>
      <c r="CS113" s="334">
        <v>0</v>
      </c>
      <c r="CT113" s="334">
        <v>0</v>
      </c>
      <c r="CU113" s="334">
        <v>0</v>
      </c>
      <c r="CV113" s="334">
        <v>0</v>
      </c>
      <c r="CW113" s="334">
        <v>0</v>
      </c>
      <c r="CX113" s="334">
        <v>0</v>
      </c>
      <c r="CY113" s="334">
        <v>0</v>
      </c>
      <c r="CZ113" s="334">
        <v>0</v>
      </c>
      <c r="DA113" s="334">
        <v>0</v>
      </c>
      <c r="DB113" s="334">
        <v>0</v>
      </c>
      <c r="DC113" s="334">
        <v>0</v>
      </c>
      <c r="DD113" s="334">
        <v>0</v>
      </c>
      <c r="DE113" s="334">
        <v>0</v>
      </c>
      <c r="DF113" s="334">
        <v>0</v>
      </c>
      <c r="DG113" s="334">
        <v>0</v>
      </c>
      <c r="DH113" s="334">
        <v>0</v>
      </c>
      <c r="DI113" s="334">
        <v>0</v>
      </c>
      <c r="DJ113" s="334">
        <v>0</v>
      </c>
      <c r="DK113" s="334">
        <v>0</v>
      </c>
      <c r="DL113" s="334">
        <v>0</v>
      </c>
      <c r="DM113" s="334">
        <v>0</v>
      </c>
      <c r="DN113" s="334">
        <v>0</v>
      </c>
      <c r="DO113" s="334">
        <v>0</v>
      </c>
      <c r="DP113" s="334">
        <v>0</v>
      </c>
      <c r="DQ113" s="334">
        <v>0</v>
      </c>
      <c r="DR113" s="334">
        <v>0</v>
      </c>
      <c r="DS113" s="334">
        <v>0</v>
      </c>
      <c r="DT113" s="334">
        <v>0</v>
      </c>
      <c r="DU113" s="335">
        <v>0</v>
      </c>
      <c r="DV113" s="335">
        <v>0</v>
      </c>
      <c r="DW113" s="335">
        <v>0</v>
      </c>
      <c r="DX113" s="198" t="s">
        <v>2477</v>
      </c>
      <c r="DY113" s="198" t="s">
        <v>2477</v>
      </c>
      <c r="DZ113" s="198" t="s">
        <v>2477</v>
      </c>
      <c r="EA113" s="198" t="s">
        <v>2477</v>
      </c>
      <c r="EB113" s="198" t="s">
        <v>2477</v>
      </c>
      <c r="EC113" s="198" t="s">
        <v>2477</v>
      </c>
      <c r="ED113" s="198" t="s">
        <v>2477</v>
      </c>
      <c r="EE113" s="198" t="s">
        <v>2477</v>
      </c>
      <c r="EF113" s="198" t="s">
        <v>2477</v>
      </c>
      <c r="EG113" s="198" t="s">
        <v>2477</v>
      </c>
      <c r="EH113" s="198"/>
      <c r="EI113" s="336">
        <f t="shared" si="1"/>
        <v>0</v>
      </c>
      <c r="EJ113" s="336">
        <f>EI113-'[13]FAOSTAT21 CO2'!EH113</f>
        <v>0</v>
      </c>
    </row>
    <row r="114" spans="1:140" x14ac:dyDescent="0.25">
      <c r="A114" s="31">
        <v>11</v>
      </c>
      <c r="B114" s="31" t="s">
        <v>276</v>
      </c>
      <c r="C114" s="31">
        <v>113</v>
      </c>
      <c r="D114" s="31">
        <v>0</v>
      </c>
      <c r="E114" s="31">
        <v>0</v>
      </c>
      <c r="F114" s="31">
        <v>1</v>
      </c>
      <c r="G114" s="31">
        <v>0</v>
      </c>
      <c r="H114" s="331" t="s">
        <v>2475</v>
      </c>
      <c r="I114" s="331" t="s">
        <v>277</v>
      </c>
      <c r="J114" s="331"/>
      <c r="K114" s="331"/>
      <c r="L114" s="331"/>
      <c r="M114" s="331"/>
      <c r="N114" s="331"/>
      <c r="O114" s="331"/>
      <c r="P114" s="331"/>
      <c r="Q114" s="331"/>
      <c r="R114" s="331"/>
      <c r="S114" s="331"/>
      <c r="T114" s="331"/>
      <c r="U114" s="331"/>
      <c r="V114" s="331"/>
      <c r="W114" s="331"/>
      <c r="X114" s="331"/>
      <c r="Y114" s="331"/>
      <c r="Z114" s="331"/>
      <c r="AA114" s="331"/>
      <c r="AB114" s="331"/>
      <c r="AC114" s="331"/>
      <c r="AD114" s="331"/>
      <c r="AE114" s="331"/>
      <c r="AF114" s="331"/>
      <c r="AG114" s="331"/>
      <c r="AH114" s="331"/>
      <c r="AI114" s="331"/>
      <c r="AJ114" s="331"/>
      <c r="AK114" s="331"/>
      <c r="AL114" s="331"/>
      <c r="AM114" s="331"/>
      <c r="AN114" s="331"/>
      <c r="AO114" s="331"/>
      <c r="AP114" s="331"/>
      <c r="AQ114" s="331"/>
      <c r="AR114" s="331"/>
      <c r="AS114" s="331"/>
      <c r="AT114" s="331"/>
      <c r="AU114" s="331"/>
      <c r="AV114" s="331"/>
      <c r="AW114" s="331"/>
      <c r="AX114" s="331"/>
      <c r="AY114" s="332" t="s">
        <v>2476</v>
      </c>
      <c r="AZ114" s="332" t="s">
        <v>277</v>
      </c>
      <c r="BA114" s="332"/>
      <c r="BB114" s="332"/>
      <c r="BC114" s="332"/>
      <c r="BD114" s="332"/>
      <c r="BE114" s="332"/>
      <c r="BF114" s="332"/>
      <c r="BG114" s="332"/>
      <c r="BH114" s="332"/>
      <c r="BI114" s="332"/>
      <c r="BJ114" s="332"/>
      <c r="BK114" s="332"/>
      <c r="BL114" s="332"/>
      <c r="BM114" s="332"/>
      <c r="BN114" s="332"/>
      <c r="BO114" s="332"/>
      <c r="BP114" s="332"/>
      <c r="BQ114" s="332"/>
      <c r="BR114" s="332"/>
      <c r="BS114" s="332"/>
      <c r="BT114" s="332"/>
      <c r="BU114" s="332"/>
      <c r="BV114" s="332"/>
      <c r="BW114" s="332"/>
      <c r="BX114" s="332"/>
      <c r="BY114" s="332"/>
      <c r="BZ114" s="332"/>
      <c r="CA114" s="332"/>
      <c r="CB114" s="332"/>
      <c r="CC114" s="332"/>
      <c r="CD114" s="332"/>
      <c r="CE114" s="332"/>
      <c r="CF114" s="332"/>
      <c r="CG114" s="332"/>
      <c r="CH114" s="332"/>
      <c r="CI114" s="332"/>
      <c r="CJ114" s="332"/>
      <c r="CK114" s="332"/>
      <c r="CL114" s="332"/>
      <c r="CM114" s="332"/>
      <c r="CN114" s="332"/>
      <c r="CO114" s="332"/>
      <c r="CP114" s="333" t="s">
        <v>27</v>
      </c>
      <c r="CQ114" s="333" t="s">
        <v>277</v>
      </c>
      <c r="CR114" s="334">
        <v>7.4805125785521497E-3</v>
      </c>
      <c r="CS114" s="334">
        <v>-8.1458338594068095E-3</v>
      </c>
      <c r="CT114" s="334">
        <v>2.6867354150384094E-3</v>
      </c>
      <c r="CU114" s="334">
        <v>-5.6019828234193979E-4</v>
      </c>
      <c r="CV114" s="334">
        <v>1.8564183638734282E-2</v>
      </c>
      <c r="CW114" s="334">
        <v>5.2479559534968608E-3</v>
      </c>
      <c r="CX114" s="334">
        <v>-2.994349003361001E-3</v>
      </c>
      <c r="CY114" s="334">
        <v>8.34523471213355E-3</v>
      </c>
      <c r="CZ114" s="334">
        <v>6.818871337445913E-4</v>
      </c>
      <c r="DA114" s="334">
        <v>-4.1547836171667907E-4</v>
      </c>
      <c r="DB114" s="334">
        <v>2.5050877541908156E-2</v>
      </c>
      <c r="DC114" s="334">
        <v>2.1396016577614786E-3</v>
      </c>
      <c r="DD114" s="334">
        <v>3.0620151421108795E-3</v>
      </c>
      <c r="DE114" s="334">
        <v>7.0621365048057416E-3</v>
      </c>
      <c r="DF114" s="334">
        <v>9.2333955753844295E-3</v>
      </c>
      <c r="DG114" s="334">
        <v>9.291412071173448E-3</v>
      </c>
      <c r="DH114" s="334">
        <v>1.4077588225309639E-2</v>
      </c>
      <c r="DI114" s="334">
        <v>2.3139739835291589E-2</v>
      </c>
      <c r="DJ114" s="334">
        <v>2.5258054840982994E-2</v>
      </c>
      <c r="DK114" s="334">
        <v>2.232031439085045E-2</v>
      </c>
      <c r="DL114" s="334">
        <v>2.0899429999510048E-2</v>
      </c>
      <c r="DM114" s="334">
        <v>2.462315896899428E-2</v>
      </c>
      <c r="DN114" s="334">
        <v>2.4897923066485063E-2</v>
      </c>
      <c r="DO114" s="334">
        <v>1.744898825904595E-2</v>
      </c>
      <c r="DP114" s="334">
        <v>1.7371297487233338E-2</v>
      </c>
      <c r="DQ114" s="334">
        <v>1.2096850136616901E-2</v>
      </c>
      <c r="DR114" s="334">
        <v>1.0317490021397167E-2</v>
      </c>
      <c r="DS114" s="334">
        <v>1.1607026451237779E-2</v>
      </c>
      <c r="DT114" s="334">
        <v>2.227982086260618E-2</v>
      </c>
      <c r="DU114" s="335">
        <v>1.2289793326605548E-2</v>
      </c>
      <c r="DV114" s="335">
        <v>4.7327409462026805E-3</v>
      </c>
      <c r="DW114" s="335">
        <v>2.2544911418519119E-4</v>
      </c>
      <c r="DX114" s="198">
        <v>1.235E-2</v>
      </c>
      <c r="DY114" s="198">
        <v>1.235E-2</v>
      </c>
      <c r="DZ114" s="198">
        <v>1.235E-2</v>
      </c>
      <c r="EA114" s="198">
        <v>1.2124550885814808E-2</v>
      </c>
      <c r="EB114" s="198">
        <v>4.7327409462026805E-3</v>
      </c>
      <c r="EC114" s="198">
        <v>4.7327409462026805E-3</v>
      </c>
      <c r="ED114" s="198">
        <v>4.7327409462026805E-3</v>
      </c>
      <c r="EE114" s="198">
        <v>4.7327409462026805E-3</v>
      </c>
      <c r="EF114" s="198">
        <v>4.5072918320174897E-3</v>
      </c>
      <c r="EG114" s="198">
        <v>-7.6172590537973185E-3</v>
      </c>
      <c r="EH114" s="198">
        <v>4.5647816828305512E-3</v>
      </c>
      <c r="EI114" s="336"/>
      <c r="EJ114" s="336"/>
    </row>
    <row r="115" spans="1:140" x14ac:dyDescent="0.25">
      <c r="A115" s="31">
        <v>12</v>
      </c>
      <c r="B115" s="31" t="s">
        <v>278</v>
      </c>
      <c r="C115" s="31">
        <v>114</v>
      </c>
      <c r="D115" s="31">
        <v>1</v>
      </c>
      <c r="E115" s="31">
        <v>0</v>
      </c>
      <c r="F115" s="31">
        <v>1</v>
      </c>
      <c r="G115" s="31">
        <v>0</v>
      </c>
      <c r="H115" s="331" t="s">
        <v>2475</v>
      </c>
      <c r="I115" s="331" t="s">
        <v>279</v>
      </c>
      <c r="J115" s="331"/>
      <c r="K115" s="331"/>
      <c r="L115" s="331"/>
      <c r="M115" s="331"/>
      <c r="N115" s="331"/>
      <c r="O115" s="331"/>
      <c r="P115" s="331"/>
      <c r="Q115" s="331"/>
      <c r="R115" s="331"/>
      <c r="S115" s="331"/>
      <c r="T115" s="331"/>
      <c r="U115" s="331"/>
      <c r="V115" s="331"/>
      <c r="W115" s="331"/>
      <c r="X115" s="331"/>
      <c r="Y115" s="331"/>
      <c r="Z115" s="331"/>
      <c r="AA115" s="331"/>
      <c r="AB115" s="331"/>
      <c r="AC115" s="331"/>
      <c r="AD115" s="331"/>
      <c r="AE115" s="331"/>
      <c r="AF115" s="331"/>
      <c r="AG115" s="331"/>
      <c r="AH115" s="331"/>
      <c r="AI115" s="331"/>
      <c r="AJ115" s="331"/>
      <c r="AK115" s="331"/>
      <c r="AL115" s="331"/>
      <c r="AM115" s="331"/>
      <c r="AN115" s="331"/>
      <c r="AO115" s="331"/>
      <c r="AP115" s="331"/>
      <c r="AQ115" s="331"/>
      <c r="AR115" s="331"/>
      <c r="AS115" s="331"/>
      <c r="AT115" s="331"/>
      <c r="AU115" s="331"/>
      <c r="AV115" s="331"/>
      <c r="AW115" s="331"/>
      <c r="AX115" s="331"/>
      <c r="AY115" s="332" t="s">
        <v>2476</v>
      </c>
      <c r="AZ115" s="332" t="s">
        <v>279</v>
      </c>
      <c r="BA115" s="332"/>
      <c r="BB115" s="332"/>
      <c r="BC115" s="332"/>
      <c r="BD115" s="332"/>
      <c r="BE115" s="332"/>
      <c r="BF115" s="332"/>
      <c r="BG115" s="332"/>
      <c r="BH115" s="332"/>
      <c r="BI115" s="332"/>
      <c r="BJ115" s="332"/>
      <c r="BK115" s="332"/>
      <c r="BL115" s="332"/>
      <c r="BM115" s="332"/>
      <c r="BN115" s="332"/>
      <c r="BO115" s="332"/>
      <c r="BP115" s="332"/>
      <c r="BQ115" s="332"/>
      <c r="BR115" s="332"/>
      <c r="BS115" s="332"/>
      <c r="BT115" s="332"/>
      <c r="BU115" s="332"/>
      <c r="BV115" s="332"/>
      <c r="BW115" s="332"/>
      <c r="BX115" s="332"/>
      <c r="BY115" s="332"/>
      <c r="BZ115" s="332"/>
      <c r="CA115" s="332"/>
      <c r="CB115" s="332"/>
      <c r="CC115" s="332"/>
      <c r="CD115" s="332"/>
      <c r="CE115" s="332"/>
      <c r="CF115" s="332"/>
      <c r="CG115" s="332"/>
      <c r="CH115" s="332"/>
      <c r="CI115" s="332"/>
      <c r="CJ115" s="332"/>
      <c r="CK115" s="332"/>
      <c r="CL115" s="332"/>
      <c r="CM115" s="332"/>
      <c r="CN115" s="332"/>
      <c r="CO115" s="332"/>
      <c r="CP115" s="333" t="s">
        <v>27</v>
      </c>
      <c r="CQ115" s="333" t="s">
        <v>279</v>
      </c>
      <c r="CR115" s="334">
        <v>-5.3625904029930522</v>
      </c>
      <c r="CS115" s="334">
        <v>-5.6820678031372447</v>
      </c>
      <c r="CT115" s="334">
        <v>-5.4145018410690335</v>
      </c>
      <c r="CU115" s="334">
        <v>-6.370113443612559</v>
      </c>
      <c r="CV115" s="334">
        <v>-5.8901246864829533</v>
      </c>
      <c r="CW115" s="334">
        <v>-4.6164092419420673</v>
      </c>
      <c r="CX115" s="334">
        <v>0.91928744148678676</v>
      </c>
      <c r="CY115" s="334">
        <v>-0.30005619702247227</v>
      </c>
      <c r="CZ115" s="334">
        <v>-7.8885913185664105</v>
      </c>
      <c r="DA115" s="334">
        <v>-7.2045772983726861</v>
      </c>
      <c r="DB115" s="334">
        <v>-9.4940196142700088</v>
      </c>
      <c r="DC115" s="334">
        <v>-7.3227942046606174</v>
      </c>
      <c r="DD115" s="334">
        <v>-6.3699762859167777</v>
      </c>
      <c r="DE115" s="334">
        <v>-5.6083178212257732</v>
      </c>
      <c r="DF115" s="334">
        <v>-5.0633371724892662</v>
      </c>
      <c r="DG115" s="334">
        <v>-4.1672986780896482</v>
      </c>
      <c r="DH115" s="334">
        <v>-3.7422757216854952</v>
      </c>
      <c r="DI115" s="334">
        <v>-5.5459702500324459</v>
      </c>
      <c r="DJ115" s="334">
        <v>-6.2648158059914989</v>
      </c>
      <c r="DK115" s="334">
        <v>-7.2777618938644286</v>
      </c>
      <c r="DL115" s="334">
        <v>-10.38367649333529</v>
      </c>
      <c r="DM115" s="334">
        <v>-10.581825384155112</v>
      </c>
      <c r="DN115" s="334">
        <v>-10.209533629112933</v>
      </c>
      <c r="DO115" s="334">
        <v>-9.5988307994824993</v>
      </c>
      <c r="DP115" s="334">
        <v>-8.8037460422450451</v>
      </c>
      <c r="DQ115" s="334">
        <v>-7.9715416226835041</v>
      </c>
      <c r="DR115" s="334">
        <v>-7.1552426085442979</v>
      </c>
      <c r="DS115" s="334">
        <v>-6.571846034541962</v>
      </c>
      <c r="DT115" s="334">
        <v>-5.6049664127588876</v>
      </c>
      <c r="DU115" s="335">
        <v>-5.9046787766420623</v>
      </c>
      <c r="DV115" s="335">
        <v>-6.6541020944350695</v>
      </c>
      <c r="DW115" s="335">
        <v>-6.1123031828355474</v>
      </c>
      <c r="DX115" s="198">
        <v>-6.6541020944350695</v>
      </c>
      <c r="DY115" s="198">
        <v>-6.6541020944350695</v>
      </c>
      <c r="DZ115" s="198">
        <v>-6.6541020944350695</v>
      </c>
      <c r="EA115" s="198">
        <v>-0.54179891159952209</v>
      </c>
      <c r="EB115" s="198">
        <v>-6.6541020944350695</v>
      </c>
      <c r="EC115" s="198">
        <v>-6.6541020944350695</v>
      </c>
      <c r="ED115" s="198">
        <v>-6.6541020944350695</v>
      </c>
      <c r="EE115" s="198">
        <v>-6.6541020944350695</v>
      </c>
      <c r="EF115" s="198">
        <v>-0.54179891159952209</v>
      </c>
      <c r="EG115" s="198">
        <v>0</v>
      </c>
      <c r="EH115" s="198">
        <v>-8.8620266761266517</v>
      </c>
      <c r="EI115" s="336">
        <f t="shared" si="1"/>
        <v>-6.641655091034143</v>
      </c>
      <c r="EJ115" s="336">
        <f>EI115-'[13]FAOSTAT21 CO2'!EH115</f>
        <v>-4.9238587510341425</v>
      </c>
    </row>
    <row r="116" spans="1:140" x14ac:dyDescent="0.25">
      <c r="A116" s="31">
        <v>11</v>
      </c>
      <c r="B116" s="31" t="s">
        <v>280</v>
      </c>
      <c r="C116" s="31">
        <v>115</v>
      </c>
      <c r="D116" s="31">
        <v>1</v>
      </c>
      <c r="E116" s="31">
        <v>0</v>
      </c>
      <c r="F116" s="31">
        <v>1</v>
      </c>
      <c r="G116" s="31">
        <v>0</v>
      </c>
      <c r="H116" s="331" t="s">
        <v>2475</v>
      </c>
      <c r="I116" s="331" t="s">
        <v>281</v>
      </c>
      <c r="J116" s="331"/>
      <c r="K116" s="331"/>
      <c r="L116" s="331"/>
      <c r="M116" s="331"/>
      <c r="N116" s="331"/>
      <c r="O116" s="331"/>
      <c r="P116" s="331"/>
      <c r="Q116" s="331"/>
      <c r="R116" s="331"/>
      <c r="S116" s="331"/>
      <c r="T116" s="331"/>
      <c r="U116" s="331"/>
      <c r="V116" s="331"/>
      <c r="W116" s="331"/>
      <c r="X116" s="331"/>
      <c r="Y116" s="331"/>
      <c r="Z116" s="331"/>
      <c r="AA116" s="331"/>
      <c r="AB116" s="331"/>
      <c r="AC116" s="331"/>
      <c r="AD116" s="331"/>
      <c r="AE116" s="331"/>
      <c r="AF116" s="331"/>
      <c r="AG116" s="331"/>
      <c r="AH116" s="331"/>
      <c r="AI116" s="331"/>
      <c r="AJ116" s="331"/>
      <c r="AK116" s="331"/>
      <c r="AL116" s="331"/>
      <c r="AM116" s="331"/>
      <c r="AN116" s="331"/>
      <c r="AO116" s="331"/>
      <c r="AP116" s="331"/>
      <c r="AQ116" s="331"/>
      <c r="AR116" s="331"/>
      <c r="AS116" s="331"/>
      <c r="AT116" s="331"/>
      <c r="AU116" s="331"/>
      <c r="AV116" s="331"/>
      <c r="AW116" s="331"/>
      <c r="AX116" s="331"/>
      <c r="AY116" s="332" t="s">
        <v>2476</v>
      </c>
      <c r="AZ116" s="332" t="s">
        <v>281</v>
      </c>
      <c r="BA116" s="332"/>
      <c r="BB116" s="332"/>
      <c r="BC116" s="332"/>
      <c r="BD116" s="332"/>
      <c r="BE116" s="332"/>
      <c r="BF116" s="332"/>
      <c r="BG116" s="332"/>
      <c r="BH116" s="332"/>
      <c r="BI116" s="332"/>
      <c r="BJ116" s="332"/>
      <c r="BK116" s="332"/>
      <c r="BL116" s="332"/>
      <c r="BM116" s="332"/>
      <c r="BN116" s="332"/>
      <c r="BO116" s="332"/>
      <c r="BP116" s="332"/>
      <c r="BQ116" s="332"/>
      <c r="BR116" s="332"/>
      <c r="BS116" s="332"/>
      <c r="BT116" s="332"/>
      <c r="BU116" s="332"/>
      <c r="BV116" s="332"/>
      <c r="BW116" s="332"/>
      <c r="BX116" s="332"/>
      <c r="BY116" s="332"/>
      <c r="BZ116" s="332"/>
      <c r="CA116" s="332"/>
      <c r="CB116" s="332"/>
      <c r="CC116" s="332"/>
      <c r="CD116" s="332"/>
      <c r="CE116" s="332"/>
      <c r="CF116" s="332"/>
      <c r="CG116" s="332"/>
      <c r="CH116" s="332"/>
      <c r="CI116" s="332"/>
      <c r="CJ116" s="332"/>
      <c r="CK116" s="332"/>
      <c r="CL116" s="332"/>
      <c r="CM116" s="332"/>
      <c r="CN116" s="332"/>
      <c r="CO116" s="332"/>
      <c r="CP116" s="333" t="s">
        <v>27</v>
      </c>
      <c r="CQ116" s="333" t="s">
        <v>281</v>
      </c>
      <c r="CR116" s="334">
        <v>4.8635812744734766E-3</v>
      </c>
      <c r="CS116" s="334">
        <v>-6.3039369472489018E-2</v>
      </c>
      <c r="CT116" s="334">
        <v>-0.46864868544450139</v>
      </c>
      <c r="CU116" s="334">
        <v>-0.59534677622288357</v>
      </c>
      <c r="CV116" s="334">
        <v>-0.44756184080091765</v>
      </c>
      <c r="CW116" s="334">
        <v>-0.52676717553705787</v>
      </c>
      <c r="CX116" s="334">
        <v>-0.56249320384269086</v>
      </c>
      <c r="CY116" s="334">
        <v>-0.64843331660364945</v>
      </c>
      <c r="CZ116" s="334">
        <v>-0.54255345949657396</v>
      </c>
      <c r="DA116" s="334">
        <v>-0.60886305549788766</v>
      </c>
      <c r="DB116" s="334">
        <v>-0.61887808242893605</v>
      </c>
      <c r="DC116" s="334">
        <v>-0.59749568982708567</v>
      </c>
      <c r="DD116" s="334">
        <v>-0.58940794068418134</v>
      </c>
      <c r="DE116" s="334">
        <v>-0.56967418546823279</v>
      </c>
      <c r="DF116" s="334">
        <v>-0.61582252372080204</v>
      </c>
      <c r="DG116" s="334">
        <v>-0.57232970269047578</v>
      </c>
      <c r="DH116" s="334">
        <v>-0.49134243942077366</v>
      </c>
      <c r="DI116" s="334">
        <v>-0.39908155607369411</v>
      </c>
      <c r="DJ116" s="334">
        <v>-0.41779270793649903</v>
      </c>
      <c r="DK116" s="334">
        <v>-0.43015251131176407</v>
      </c>
      <c r="DL116" s="334">
        <v>-0.21250194133381214</v>
      </c>
      <c r="DM116" s="334">
        <v>-0.30526796092893099</v>
      </c>
      <c r="DN116" s="334">
        <v>-0.37529678283364459</v>
      </c>
      <c r="DO116" s="334">
        <v>-0.5171681064239142</v>
      </c>
      <c r="DP116" s="334">
        <v>-0.42592040292713546</v>
      </c>
      <c r="DQ116" s="334">
        <v>-0.37253742141541762</v>
      </c>
      <c r="DR116" s="334">
        <v>-0.47126463722316214</v>
      </c>
      <c r="DS116" s="334">
        <v>-0.38237382472952725</v>
      </c>
      <c r="DT116" s="334">
        <v>-0.24409390147463009</v>
      </c>
      <c r="DU116" s="335">
        <v>-0.36653637115933346</v>
      </c>
      <c r="DV116" s="335">
        <v>-0.45059124885155472</v>
      </c>
      <c r="DW116" s="335">
        <v>-0.60829031779223308</v>
      </c>
      <c r="DX116" s="198">
        <v>-0.45059124885155472</v>
      </c>
      <c r="DY116" s="198">
        <v>-0.45059124885155472</v>
      </c>
      <c r="DZ116" s="198">
        <v>-0.45059124885155472</v>
      </c>
      <c r="EA116" s="198">
        <v>0.15769906894067837</v>
      </c>
      <c r="EB116" s="198">
        <v>-0.45059124885155472</v>
      </c>
      <c r="EC116" s="198">
        <v>-0.45059124885155472</v>
      </c>
      <c r="ED116" s="198">
        <v>-0.45059124885155472</v>
      </c>
      <c r="EE116" s="198">
        <v>-0.45059124885155472</v>
      </c>
      <c r="EF116" s="198">
        <v>0.15769906894067837</v>
      </c>
      <c r="EG116" s="198">
        <v>0</v>
      </c>
      <c r="EH116" s="198">
        <v>-0.77984953695305803</v>
      </c>
      <c r="EI116" s="336">
        <f t="shared" si="1"/>
        <v>-0.36736123120041408</v>
      </c>
      <c r="EJ116" s="336">
        <f>EI116-'[13]FAOSTAT21 CO2'!EH116</f>
        <v>-9.7053051200414076E-2</v>
      </c>
    </row>
    <row r="117" spans="1:140" x14ac:dyDescent="0.25">
      <c r="A117" s="31">
        <v>20</v>
      </c>
      <c r="B117" s="31" t="s">
        <v>282</v>
      </c>
      <c r="C117" s="31">
        <v>116</v>
      </c>
      <c r="D117" s="31">
        <v>0</v>
      </c>
      <c r="E117" s="31">
        <v>0</v>
      </c>
      <c r="F117" s="31">
        <v>0</v>
      </c>
      <c r="G117" s="31">
        <v>0</v>
      </c>
      <c r="H117" s="331" t="s">
        <v>2475</v>
      </c>
      <c r="I117" s="331" t="s">
        <v>283</v>
      </c>
      <c r="J117" s="331"/>
      <c r="K117" s="331"/>
      <c r="L117" s="331"/>
      <c r="M117" s="331"/>
      <c r="N117" s="331"/>
      <c r="O117" s="331"/>
      <c r="P117" s="331"/>
      <c r="Q117" s="331"/>
      <c r="R117" s="331"/>
      <c r="S117" s="331"/>
      <c r="T117" s="331"/>
      <c r="U117" s="331"/>
      <c r="V117" s="331"/>
      <c r="W117" s="331"/>
      <c r="X117" s="331"/>
      <c r="Y117" s="331"/>
      <c r="Z117" s="331"/>
      <c r="AA117" s="331"/>
      <c r="AB117" s="331"/>
      <c r="AC117" s="331"/>
      <c r="AD117" s="331"/>
      <c r="AE117" s="331"/>
      <c r="AF117" s="331"/>
      <c r="AG117" s="331"/>
      <c r="AH117" s="331"/>
      <c r="AI117" s="331"/>
      <c r="AJ117" s="331"/>
      <c r="AK117" s="331"/>
      <c r="AL117" s="331"/>
      <c r="AM117" s="331"/>
      <c r="AN117" s="331"/>
      <c r="AO117" s="331"/>
      <c r="AP117" s="331"/>
      <c r="AQ117" s="331"/>
      <c r="AR117" s="331"/>
      <c r="AS117" s="331"/>
      <c r="AT117" s="331"/>
      <c r="AU117" s="331"/>
      <c r="AV117" s="331"/>
      <c r="AW117" s="331"/>
      <c r="AX117" s="331"/>
      <c r="AY117" s="332" t="s">
        <v>2476</v>
      </c>
      <c r="AZ117" s="332" t="s">
        <v>283</v>
      </c>
      <c r="BA117" s="332"/>
      <c r="BB117" s="332"/>
      <c r="BC117" s="332"/>
      <c r="BD117" s="332"/>
      <c r="BE117" s="332"/>
      <c r="BF117" s="332"/>
      <c r="BG117" s="332"/>
      <c r="BH117" s="332"/>
      <c r="BI117" s="332"/>
      <c r="BJ117" s="332"/>
      <c r="BK117" s="332"/>
      <c r="BL117" s="332"/>
      <c r="BM117" s="332"/>
      <c r="BN117" s="332"/>
      <c r="BO117" s="332"/>
      <c r="BP117" s="332"/>
      <c r="BQ117" s="332"/>
      <c r="BR117" s="332"/>
      <c r="BS117" s="332"/>
      <c r="BT117" s="332"/>
      <c r="BU117" s="332"/>
      <c r="BV117" s="332"/>
      <c r="BW117" s="332"/>
      <c r="BX117" s="332"/>
      <c r="BY117" s="332"/>
      <c r="BZ117" s="332"/>
      <c r="CA117" s="332"/>
      <c r="CB117" s="332"/>
      <c r="CC117" s="332"/>
      <c r="CD117" s="332"/>
      <c r="CE117" s="332"/>
      <c r="CF117" s="332"/>
      <c r="CG117" s="332"/>
      <c r="CH117" s="332"/>
      <c r="CI117" s="332"/>
      <c r="CJ117" s="332"/>
      <c r="CK117" s="332"/>
      <c r="CL117" s="332"/>
      <c r="CM117" s="332"/>
      <c r="CN117" s="332"/>
      <c r="CO117" s="332"/>
      <c r="CP117" s="333" t="s">
        <v>27</v>
      </c>
      <c r="CQ117" s="333" t="s">
        <v>283</v>
      </c>
      <c r="CR117" s="334">
        <v>0</v>
      </c>
      <c r="CS117" s="334">
        <v>0</v>
      </c>
      <c r="CT117" s="334">
        <v>0</v>
      </c>
      <c r="CU117" s="334">
        <v>0</v>
      </c>
      <c r="CV117" s="334">
        <v>0</v>
      </c>
      <c r="CW117" s="334">
        <v>0</v>
      </c>
      <c r="CX117" s="334">
        <v>0</v>
      </c>
      <c r="CY117" s="334">
        <v>0</v>
      </c>
      <c r="CZ117" s="334">
        <v>0</v>
      </c>
      <c r="DA117" s="334">
        <v>0</v>
      </c>
      <c r="DB117" s="334">
        <v>0</v>
      </c>
      <c r="DC117" s="334">
        <v>0</v>
      </c>
      <c r="DD117" s="334">
        <v>0</v>
      </c>
      <c r="DE117" s="334">
        <v>0</v>
      </c>
      <c r="DF117" s="334">
        <v>0</v>
      </c>
      <c r="DG117" s="334">
        <v>0</v>
      </c>
      <c r="DH117" s="334">
        <v>0</v>
      </c>
      <c r="DI117" s="334">
        <v>0</v>
      </c>
      <c r="DJ117" s="334">
        <v>0</v>
      </c>
      <c r="DK117" s="334">
        <v>0</v>
      </c>
      <c r="DL117" s="334">
        <v>0</v>
      </c>
      <c r="DM117" s="334">
        <v>0</v>
      </c>
      <c r="DN117" s="334">
        <v>0</v>
      </c>
      <c r="DO117" s="334">
        <v>0</v>
      </c>
      <c r="DP117" s="334">
        <v>0</v>
      </c>
      <c r="DQ117" s="334">
        <v>0</v>
      </c>
      <c r="DR117" s="334">
        <v>0</v>
      </c>
      <c r="DS117" s="334">
        <v>0</v>
      </c>
      <c r="DT117" s="334">
        <v>0</v>
      </c>
      <c r="DU117" s="335">
        <v>0</v>
      </c>
      <c r="DV117" s="335">
        <v>0</v>
      </c>
      <c r="DW117" s="335">
        <v>0</v>
      </c>
      <c r="DX117" s="198" t="s">
        <v>2477</v>
      </c>
      <c r="DY117" s="198" t="s">
        <v>2477</v>
      </c>
      <c r="DZ117" s="198" t="s">
        <v>2477</v>
      </c>
      <c r="EA117" s="198" t="s">
        <v>2477</v>
      </c>
      <c r="EB117" s="198" t="s">
        <v>2477</v>
      </c>
      <c r="EC117" s="198" t="s">
        <v>2477</v>
      </c>
      <c r="ED117" s="198" t="s">
        <v>2477</v>
      </c>
      <c r="EE117" s="198" t="s">
        <v>2477</v>
      </c>
      <c r="EF117" s="198" t="s">
        <v>2477</v>
      </c>
      <c r="EG117" s="198" t="s">
        <v>2477</v>
      </c>
      <c r="EH117" s="198"/>
      <c r="EI117" s="336">
        <f t="shared" si="1"/>
        <v>0</v>
      </c>
      <c r="EJ117" s="336">
        <f>EI117-'[13]FAOSTAT21 CO2'!EH117</f>
        <v>0</v>
      </c>
    </row>
    <row r="118" spans="1:140" x14ac:dyDescent="0.25">
      <c r="A118" s="31">
        <v>12</v>
      </c>
      <c r="B118" s="31" t="s">
        <v>284</v>
      </c>
      <c r="C118" s="31">
        <v>210</v>
      </c>
      <c r="D118" s="31">
        <v>0</v>
      </c>
      <c r="E118" s="31">
        <v>0</v>
      </c>
      <c r="F118" s="31">
        <v>0</v>
      </c>
      <c r="G118" s="31">
        <v>0</v>
      </c>
      <c r="H118" s="331" t="s">
        <v>2475</v>
      </c>
      <c r="I118" s="331" t="s">
        <v>285</v>
      </c>
      <c r="J118" s="331"/>
      <c r="K118" s="331"/>
      <c r="L118" s="331"/>
      <c r="M118" s="331"/>
      <c r="N118" s="331"/>
      <c r="O118" s="331"/>
      <c r="P118" s="331"/>
      <c r="Q118" s="331"/>
      <c r="R118" s="331"/>
      <c r="S118" s="331"/>
      <c r="T118" s="331"/>
      <c r="U118" s="331"/>
      <c r="V118" s="331"/>
      <c r="W118" s="331"/>
      <c r="X118" s="331"/>
      <c r="Y118" s="331"/>
      <c r="Z118" s="331"/>
      <c r="AA118" s="331"/>
      <c r="AB118" s="331"/>
      <c r="AC118" s="331"/>
      <c r="AD118" s="331"/>
      <c r="AE118" s="331"/>
      <c r="AF118" s="331"/>
      <c r="AG118" s="331"/>
      <c r="AH118" s="331"/>
      <c r="AI118" s="331"/>
      <c r="AJ118" s="331"/>
      <c r="AK118" s="331"/>
      <c r="AL118" s="331"/>
      <c r="AM118" s="331"/>
      <c r="AN118" s="331"/>
      <c r="AO118" s="331"/>
      <c r="AP118" s="331"/>
      <c r="AQ118" s="331"/>
      <c r="AR118" s="331"/>
      <c r="AS118" s="331"/>
      <c r="AT118" s="331"/>
      <c r="AU118" s="331"/>
      <c r="AV118" s="331"/>
      <c r="AW118" s="331"/>
      <c r="AX118" s="331"/>
      <c r="AY118" s="332" t="s">
        <v>2476</v>
      </c>
      <c r="AZ118" s="332" t="s">
        <v>285</v>
      </c>
      <c r="BA118" s="332"/>
      <c r="BB118" s="332"/>
      <c r="BC118" s="332"/>
      <c r="BD118" s="332"/>
      <c r="BE118" s="332"/>
      <c r="BF118" s="332"/>
      <c r="BG118" s="332"/>
      <c r="BH118" s="332"/>
      <c r="BI118" s="332"/>
      <c r="BJ118" s="332"/>
      <c r="BK118" s="332"/>
      <c r="BL118" s="332"/>
      <c r="BM118" s="332"/>
      <c r="BN118" s="332"/>
      <c r="BO118" s="332"/>
      <c r="BP118" s="332"/>
      <c r="BQ118" s="332"/>
      <c r="BR118" s="332"/>
      <c r="BS118" s="332"/>
      <c r="BT118" s="332"/>
      <c r="BU118" s="332"/>
      <c r="BV118" s="332"/>
      <c r="BW118" s="332"/>
      <c r="BX118" s="332"/>
      <c r="BY118" s="332"/>
      <c r="BZ118" s="332"/>
      <c r="CA118" s="332"/>
      <c r="CB118" s="332"/>
      <c r="CC118" s="332"/>
      <c r="CD118" s="332"/>
      <c r="CE118" s="332"/>
      <c r="CF118" s="332"/>
      <c r="CG118" s="332"/>
      <c r="CH118" s="332"/>
      <c r="CI118" s="332"/>
      <c r="CJ118" s="332"/>
      <c r="CK118" s="332"/>
      <c r="CL118" s="332"/>
      <c r="CM118" s="332"/>
      <c r="CN118" s="332"/>
      <c r="CO118" s="332"/>
      <c r="CP118" s="333" t="s">
        <v>27</v>
      </c>
      <c r="CQ118" s="333" t="s">
        <v>285</v>
      </c>
      <c r="CR118" s="334">
        <v>-1.5455000000000001</v>
      </c>
      <c r="CS118" s="334">
        <v>-0.38534000000000002</v>
      </c>
      <c r="CT118" s="334">
        <v>0.77482000000000006</v>
      </c>
      <c r="CU118" s="334">
        <v>1.9349800000000001</v>
      </c>
      <c r="CV118" s="334">
        <v>3.0951400000000002</v>
      </c>
      <c r="CW118" s="334">
        <v>4.2553000000000001</v>
      </c>
      <c r="CX118" s="334">
        <v>5.4154600000000004</v>
      </c>
      <c r="CY118" s="334">
        <v>6.5756200000000007</v>
      </c>
      <c r="CZ118" s="334">
        <v>7.735780000000001</v>
      </c>
      <c r="DA118" s="334">
        <v>8.8959400000000013</v>
      </c>
      <c r="DB118" s="334">
        <v>10.056100000000001</v>
      </c>
      <c r="DC118" s="334">
        <v>7.6393000000000004</v>
      </c>
      <c r="DD118" s="334">
        <v>5.2225000000000001</v>
      </c>
      <c r="DE118" s="334">
        <v>2.8056999999999999</v>
      </c>
      <c r="DF118" s="334">
        <v>0.38889999999999958</v>
      </c>
      <c r="DG118" s="334">
        <v>-2.0279000000000003</v>
      </c>
      <c r="DH118" s="334">
        <v>-2.1639111111111111</v>
      </c>
      <c r="DI118" s="334">
        <v>-2.299922222222222</v>
      </c>
      <c r="DJ118" s="334">
        <v>-2.4359333333333328</v>
      </c>
      <c r="DK118" s="334">
        <v>-2.5719444444444437</v>
      </c>
      <c r="DL118" s="334">
        <v>-2.7079555555555546</v>
      </c>
      <c r="DM118" s="334">
        <v>-2.8439666666666654</v>
      </c>
      <c r="DN118" s="334">
        <v>-2.9799777777777763</v>
      </c>
      <c r="DO118" s="334">
        <v>-3.1159888888888871</v>
      </c>
      <c r="DP118" s="334">
        <v>-3.2519999999999998</v>
      </c>
      <c r="DQ118" s="334">
        <v>-0.89019999999999999</v>
      </c>
      <c r="DR118" s="334">
        <v>-1.3206</v>
      </c>
      <c r="DS118" s="334">
        <v>1.3597000000000001</v>
      </c>
      <c r="DT118" s="334">
        <v>-1.7629000000000001</v>
      </c>
      <c r="DU118" s="335">
        <v>1.6344000000000001</v>
      </c>
      <c r="DV118" s="335">
        <v>-2.3489712643677763</v>
      </c>
      <c r="DW118" s="335">
        <v>-2.5768309158324314</v>
      </c>
      <c r="DX118" s="198">
        <v>-2.3489712643677763</v>
      </c>
      <c r="DY118" s="198">
        <v>-2.3489712643677763</v>
      </c>
      <c r="DZ118" s="198">
        <v>-2.3489712643677763</v>
      </c>
      <c r="EA118" s="198">
        <v>0.22785965146465514</v>
      </c>
      <c r="EB118" s="198">
        <v>-2.3489712643677763</v>
      </c>
      <c r="EC118" s="198">
        <v>-2.3489712643677763</v>
      </c>
      <c r="ED118" s="198">
        <v>-2.3489712643677763</v>
      </c>
      <c r="EE118" s="198">
        <v>-2.3489712643677763</v>
      </c>
      <c r="EF118" s="198">
        <v>0.22785965146465514</v>
      </c>
      <c r="EG118" s="198">
        <v>0</v>
      </c>
      <c r="EH118" s="198">
        <v>-2.1273084592905191</v>
      </c>
      <c r="EI118" s="336">
        <f t="shared" si="1"/>
        <v>-0.19591999999999996</v>
      </c>
      <c r="EJ118" s="336">
        <f>EI118-'[13]FAOSTAT21 CO2'!EH118</f>
        <v>-0.19591999999999996</v>
      </c>
    </row>
    <row r="119" spans="1:140" x14ac:dyDescent="0.25">
      <c r="A119" s="31">
        <v>9</v>
      </c>
      <c r="B119" s="31" t="s">
        <v>286</v>
      </c>
      <c r="C119" s="31">
        <v>117</v>
      </c>
      <c r="D119" s="31">
        <v>0</v>
      </c>
      <c r="E119" s="31">
        <v>0</v>
      </c>
      <c r="F119" s="31">
        <v>0</v>
      </c>
      <c r="G119" s="31">
        <v>0</v>
      </c>
      <c r="H119" s="331" t="s">
        <v>2475</v>
      </c>
      <c r="I119" s="331" t="s">
        <v>287</v>
      </c>
      <c r="J119" s="331"/>
      <c r="K119" s="331"/>
      <c r="L119" s="331"/>
      <c r="M119" s="331"/>
      <c r="N119" s="331"/>
      <c r="O119" s="331"/>
      <c r="P119" s="331"/>
      <c r="Q119" s="331"/>
      <c r="R119" s="331"/>
      <c r="S119" s="331"/>
      <c r="T119" s="331"/>
      <c r="U119" s="331"/>
      <c r="V119" s="331"/>
      <c r="W119" s="331"/>
      <c r="X119" s="331"/>
      <c r="Y119" s="331"/>
      <c r="Z119" s="331"/>
      <c r="AA119" s="331"/>
      <c r="AB119" s="331"/>
      <c r="AC119" s="331"/>
      <c r="AD119" s="331"/>
      <c r="AE119" s="331"/>
      <c r="AF119" s="331"/>
      <c r="AG119" s="331"/>
      <c r="AH119" s="331"/>
      <c r="AI119" s="331"/>
      <c r="AJ119" s="331"/>
      <c r="AK119" s="331"/>
      <c r="AL119" s="331"/>
      <c r="AM119" s="331"/>
      <c r="AN119" s="331"/>
      <c r="AO119" s="331"/>
      <c r="AP119" s="331"/>
      <c r="AQ119" s="331"/>
      <c r="AR119" s="331"/>
      <c r="AS119" s="331"/>
      <c r="AT119" s="331"/>
      <c r="AU119" s="331"/>
      <c r="AV119" s="331"/>
      <c r="AW119" s="331"/>
      <c r="AX119" s="331"/>
      <c r="AY119" s="332" t="s">
        <v>2476</v>
      </c>
      <c r="AZ119" s="332" t="s">
        <v>287</v>
      </c>
      <c r="BA119" s="332"/>
      <c r="BB119" s="332"/>
      <c r="BC119" s="332"/>
      <c r="BD119" s="332"/>
      <c r="BE119" s="332"/>
      <c r="BF119" s="332"/>
      <c r="BG119" s="332"/>
      <c r="BH119" s="332"/>
      <c r="BI119" s="332"/>
      <c r="BJ119" s="332"/>
      <c r="BK119" s="332"/>
      <c r="BL119" s="332"/>
      <c r="BM119" s="332"/>
      <c r="BN119" s="332"/>
      <c r="BO119" s="332"/>
      <c r="BP119" s="332"/>
      <c r="BQ119" s="332"/>
      <c r="BR119" s="332"/>
      <c r="BS119" s="332"/>
      <c r="BT119" s="332"/>
      <c r="BU119" s="332"/>
      <c r="BV119" s="332"/>
      <c r="BW119" s="332"/>
      <c r="BX119" s="332"/>
      <c r="BY119" s="332"/>
      <c r="BZ119" s="332"/>
      <c r="CA119" s="332"/>
      <c r="CB119" s="332"/>
      <c r="CC119" s="332"/>
      <c r="CD119" s="332"/>
      <c r="CE119" s="332"/>
      <c r="CF119" s="332"/>
      <c r="CG119" s="332"/>
      <c r="CH119" s="332"/>
      <c r="CI119" s="332"/>
      <c r="CJ119" s="332"/>
      <c r="CK119" s="332"/>
      <c r="CL119" s="332"/>
      <c r="CM119" s="332"/>
      <c r="CN119" s="332"/>
      <c r="CO119" s="332"/>
      <c r="CP119" s="333" t="s">
        <v>27</v>
      </c>
      <c r="CQ119" s="333" t="s">
        <v>287</v>
      </c>
      <c r="CR119" s="334">
        <v>-238.971</v>
      </c>
      <c r="CS119" s="334">
        <v>-238.971</v>
      </c>
      <c r="CT119" s="334">
        <v>-238.971</v>
      </c>
      <c r="CU119" s="334">
        <v>-238.971</v>
      </c>
      <c r="CV119" s="334">
        <v>-238.971</v>
      </c>
      <c r="CW119" s="334">
        <v>-238.01851666666667</v>
      </c>
      <c r="CX119" s="334">
        <v>-237.06603333333334</v>
      </c>
      <c r="CY119" s="334">
        <v>-236.11355</v>
      </c>
      <c r="CZ119" s="334">
        <v>-235.16106666666667</v>
      </c>
      <c r="DA119" s="334">
        <v>-234.20858333333334</v>
      </c>
      <c r="DB119" s="334">
        <v>-233.2561</v>
      </c>
      <c r="DC119" s="334">
        <v>-218.16748000000001</v>
      </c>
      <c r="DD119" s="334">
        <v>-203.07886000000002</v>
      </c>
      <c r="DE119" s="334">
        <v>-187.99024000000003</v>
      </c>
      <c r="DF119" s="334">
        <v>-172.90162000000004</v>
      </c>
      <c r="DG119" s="334">
        <v>-157.81300000000002</v>
      </c>
      <c r="DH119" s="334">
        <v>-168.65470000000002</v>
      </c>
      <c r="DI119" s="334">
        <v>-174.49110000000002</v>
      </c>
      <c r="DJ119" s="334">
        <v>-170.99</v>
      </c>
      <c r="DK119" s="334">
        <v>-167.47220000000002</v>
      </c>
      <c r="DL119" s="334">
        <v>-96.191299999999998</v>
      </c>
      <c r="DM119" s="334">
        <v>-143.58255976190412</v>
      </c>
      <c r="DN119" s="334">
        <v>-137.90638835497703</v>
      </c>
      <c r="DO119" s="334">
        <v>-132.23021694805175</v>
      </c>
      <c r="DP119" s="334">
        <v>-126.55404554112465</v>
      </c>
      <c r="DQ119" s="334">
        <v>-120.87787413419937</v>
      </c>
      <c r="DR119" s="334">
        <v>-115.20170272727228</v>
      </c>
      <c r="DS119" s="334">
        <v>-109.525531320347</v>
      </c>
      <c r="DT119" s="334">
        <v>-103.8493599134199</v>
      </c>
      <c r="DU119" s="335">
        <v>-98.173188506492806</v>
      </c>
      <c r="DV119" s="335">
        <v>-92.497017099567529</v>
      </c>
      <c r="DW119" s="335">
        <v>-86.820845692640432</v>
      </c>
      <c r="DX119" s="198">
        <v>-67.497017099567529</v>
      </c>
      <c r="DY119" s="198">
        <v>-128.19701709956752</v>
      </c>
      <c r="DZ119" s="198">
        <v>-128.19701709956752</v>
      </c>
      <c r="EA119" s="198">
        <v>-41.376171406927085</v>
      </c>
      <c r="EB119" s="198">
        <v>-92.497017099567529</v>
      </c>
      <c r="EC119" s="198">
        <v>-92.497017099567529</v>
      </c>
      <c r="ED119" s="198">
        <v>-92.497017099567529</v>
      </c>
      <c r="EE119" s="198">
        <v>-92.497017099567529</v>
      </c>
      <c r="EF119" s="198">
        <v>-5.6761714069270965</v>
      </c>
      <c r="EG119" s="198">
        <v>35.699999999999989</v>
      </c>
      <c r="EH119" s="198">
        <v>-110.83579258489792</v>
      </c>
      <c r="EI119" s="336">
        <f t="shared" si="1"/>
        <v>-109.52553132034627</v>
      </c>
      <c r="EJ119" s="336">
        <f>EI119-'[13]FAOSTAT21 CO2'!EH119</f>
        <v>-119.63866516034628</v>
      </c>
    </row>
    <row r="120" spans="1:140" x14ac:dyDescent="0.25">
      <c r="A120" s="31">
        <v>26</v>
      </c>
      <c r="B120" s="31" t="s">
        <v>288</v>
      </c>
      <c r="C120" s="31">
        <v>118</v>
      </c>
      <c r="D120" s="31">
        <v>0</v>
      </c>
      <c r="E120" s="31">
        <v>0</v>
      </c>
      <c r="F120" s="31">
        <v>0</v>
      </c>
      <c r="G120" s="31">
        <v>0</v>
      </c>
      <c r="H120" s="331" t="s">
        <v>2475</v>
      </c>
      <c r="I120" s="331" t="s">
        <v>289</v>
      </c>
      <c r="J120" s="331"/>
      <c r="K120" s="331"/>
      <c r="L120" s="331"/>
      <c r="M120" s="331"/>
      <c r="N120" s="331"/>
      <c r="O120" s="331"/>
      <c r="P120" s="331"/>
      <c r="Q120" s="331"/>
      <c r="R120" s="331"/>
      <c r="S120" s="331"/>
      <c r="T120" s="331"/>
      <c r="U120" s="331"/>
      <c r="V120" s="331"/>
      <c r="W120" s="331"/>
      <c r="X120" s="331"/>
      <c r="Y120" s="331"/>
      <c r="Z120" s="331"/>
      <c r="AA120" s="331"/>
      <c r="AB120" s="331"/>
      <c r="AC120" s="331"/>
      <c r="AD120" s="331"/>
      <c r="AE120" s="331"/>
      <c r="AF120" s="331"/>
      <c r="AG120" s="331"/>
      <c r="AH120" s="331"/>
      <c r="AI120" s="331"/>
      <c r="AJ120" s="331"/>
      <c r="AK120" s="331"/>
      <c r="AL120" s="331"/>
      <c r="AM120" s="331"/>
      <c r="AN120" s="331"/>
      <c r="AO120" s="331"/>
      <c r="AP120" s="331"/>
      <c r="AQ120" s="331"/>
      <c r="AR120" s="331"/>
      <c r="AS120" s="331"/>
      <c r="AT120" s="331"/>
      <c r="AU120" s="331"/>
      <c r="AV120" s="331"/>
      <c r="AW120" s="331"/>
      <c r="AX120" s="331"/>
      <c r="AY120" s="332" t="s">
        <v>2476</v>
      </c>
      <c r="AZ120" s="332" t="s">
        <v>289</v>
      </c>
      <c r="BA120" s="332"/>
      <c r="BB120" s="332"/>
      <c r="BC120" s="332"/>
      <c r="BD120" s="332"/>
      <c r="BE120" s="332"/>
      <c r="BF120" s="332"/>
      <c r="BG120" s="332"/>
      <c r="BH120" s="332"/>
      <c r="BI120" s="332"/>
      <c r="BJ120" s="332"/>
      <c r="BK120" s="332"/>
      <c r="BL120" s="332"/>
      <c r="BM120" s="332"/>
      <c r="BN120" s="332"/>
      <c r="BO120" s="332"/>
      <c r="BP120" s="332"/>
      <c r="BQ120" s="332"/>
      <c r="BR120" s="332"/>
      <c r="BS120" s="332"/>
      <c r="BT120" s="332"/>
      <c r="BU120" s="332"/>
      <c r="BV120" s="332"/>
      <c r="BW120" s="332"/>
      <c r="BX120" s="332"/>
      <c r="BY120" s="332"/>
      <c r="BZ120" s="332"/>
      <c r="CA120" s="332"/>
      <c r="CB120" s="332"/>
      <c r="CC120" s="332"/>
      <c r="CD120" s="332"/>
      <c r="CE120" s="332"/>
      <c r="CF120" s="332"/>
      <c r="CG120" s="332"/>
      <c r="CH120" s="332"/>
      <c r="CI120" s="332"/>
      <c r="CJ120" s="332"/>
      <c r="CK120" s="332"/>
      <c r="CL120" s="332"/>
      <c r="CM120" s="332"/>
      <c r="CN120" s="332"/>
      <c r="CO120" s="332"/>
      <c r="CP120" s="333" t="s">
        <v>27</v>
      </c>
      <c r="CQ120" s="333" t="s">
        <v>289</v>
      </c>
      <c r="CR120" s="334">
        <v>17.51202</v>
      </c>
      <c r="CS120" s="334">
        <v>17.51202</v>
      </c>
      <c r="CT120" s="334">
        <v>17.51202</v>
      </c>
      <c r="CU120" s="334">
        <v>17.51202</v>
      </c>
      <c r="CV120" s="334">
        <v>17.51202</v>
      </c>
      <c r="CW120" s="334">
        <v>17.8</v>
      </c>
      <c r="CX120" s="334">
        <v>18.088999999999999</v>
      </c>
      <c r="CY120" s="334">
        <v>18.376999999999999</v>
      </c>
      <c r="CZ120" s="334">
        <v>18.666</v>
      </c>
      <c r="DA120" s="334">
        <v>18.954000000000001</v>
      </c>
      <c r="DB120" s="334">
        <v>19.242999999999999</v>
      </c>
      <c r="DC120" s="334">
        <v>17.257883999999997</v>
      </c>
      <c r="DD120" s="334">
        <v>15.272767999999997</v>
      </c>
      <c r="DE120" s="334">
        <v>13.287651999999998</v>
      </c>
      <c r="DF120" s="334">
        <v>11.302535999999998</v>
      </c>
      <c r="DG120" s="334">
        <v>9.3174199999999985</v>
      </c>
      <c r="DH120" s="334">
        <v>7.3323039999999988</v>
      </c>
      <c r="DI120" s="334">
        <v>5.3471879999999992</v>
      </c>
      <c r="DJ120" s="334">
        <v>3.3620719999999991</v>
      </c>
      <c r="DK120" s="334">
        <v>1.376955999999999</v>
      </c>
      <c r="DL120" s="334">
        <v>-0.60816000000000003</v>
      </c>
      <c r="DM120" s="334">
        <v>3.7233420000000024</v>
      </c>
      <c r="DN120" s="334">
        <v>2.8413180259742603</v>
      </c>
      <c r="DO120" s="334">
        <v>1.9592940519480635</v>
      </c>
      <c r="DP120" s="334">
        <v>1.0772700779220941</v>
      </c>
      <c r="DQ120" s="334">
        <v>0.19524610389589725</v>
      </c>
      <c r="DR120" s="334">
        <v>-0.68677787012961744</v>
      </c>
      <c r="DS120" s="334">
        <v>-1.5688018441560416</v>
      </c>
      <c r="DT120" s="334">
        <v>-2.4508258181815563</v>
      </c>
      <c r="DU120" s="335">
        <v>-3.3328497922079805</v>
      </c>
      <c r="DV120" s="335">
        <v>-4.2148737662337226</v>
      </c>
      <c r="DW120" s="335">
        <v>-5.0968977402599194</v>
      </c>
      <c r="DX120" s="198">
        <v>-4.2148737662337226</v>
      </c>
      <c r="DY120" s="198">
        <v>-9.2148737662337226</v>
      </c>
      <c r="DZ120" s="198">
        <v>-9.2148737662337226</v>
      </c>
      <c r="EA120" s="198">
        <v>-4.1179760259738032</v>
      </c>
      <c r="EB120" s="198">
        <v>-4.2148737662337226</v>
      </c>
      <c r="EC120" s="198">
        <v>-4.2148737662337226</v>
      </c>
      <c r="ED120" s="198">
        <v>-4.2148737662337226</v>
      </c>
      <c r="EE120" s="198">
        <v>-4.2148737662337226</v>
      </c>
      <c r="EF120" s="198">
        <v>0.88202397402619681</v>
      </c>
      <c r="EG120" s="198">
        <v>5</v>
      </c>
      <c r="EH120" s="198">
        <v>-5.0505290783911407</v>
      </c>
      <c r="EI120" s="336">
        <f t="shared" si="1"/>
        <v>-1.5688018441558598</v>
      </c>
      <c r="EJ120" s="336">
        <f>EI120-'[13]FAOSTAT21 CO2'!EH120</f>
        <v>-9.7120730041558616</v>
      </c>
    </row>
    <row r="121" spans="1:140" x14ac:dyDescent="0.25">
      <c r="A121" s="31">
        <v>21</v>
      </c>
      <c r="B121" s="31" t="s">
        <v>290</v>
      </c>
      <c r="C121" s="31">
        <v>119</v>
      </c>
      <c r="D121" s="31">
        <v>0</v>
      </c>
      <c r="E121" s="31">
        <v>0</v>
      </c>
      <c r="F121" s="31">
        <v>0</v>
      </c>
      <c r="G121" s="31">
        <v>0</v>
      </c>
      <c r="H121" s="331" t="s">
        <v>2475</v>
      </c>
      <c r="I121" s="331" t="s">
        <v>291</v>
      </c>
      <c r="J121" s="331"/>
      <c r="K121" s="331"/>
      <c r="L121" s="331"/>
      <c r="M121" s="331"/>
      <c r="N121" s="331"/>
      <c r="O121" s="331"/>
      <c r="P121" s="331"/>
      <c r="Q121" s="331"/>
      <c r="R121" s="331"/>
      <c r="S121" s="331"/>
      <c r="T121" s="331"/>
      <c r="U121" s="331"/>
      <c r="V121" s="331"/>
      <c r="W121" s="331"/>
      <c r="X121" s="331"/>
      <c r="Y121" s="331"/>
      <c r="Z121" s="331"/>
      <c r="AA121" s="331"/>
      <c r="AB121" s="331"/>
      <c r="AC121" s="331"/>
      <c r="AD121" s="331"/>
      <c r="AE121" s="331"/>
      <c r="AF121" s="331"/>
      <c r="AG121" s="331"/>
      <c r="AH121" s="331"/>
      <c r="AI121" s="331"/>
      <c r="AJ121" s="331"/>
      <c r="AK121" s="331"/>
      <c r="AL121" s="331"/>
      <c r="AM121" s="331"/>
      <c r="AN121" s="331"/>
      <c r="AO121" s="331"/>
      <c r="AP121" s="331"/>
      <c r="AQ121" s="331"/>
      <c r="AR121" s="331"/>
      <c r="AS121" s="331"/>
      <c r="AT121" s="331"/>
      <c r="AU121" s="331"/>
      <c r="AV121" s="331"/>
      <c r="AW121" s="331"/>
      <c r="AX121" s="331"/>
      <c r="AY121" s="332" t="s">
        <v>2476</v>
      </c>
      <c r="AZ121" s="332" t="s">
        <v>291</v>
      </c>
      <c r="BA121" s="332"/>
      <c r="BB121" s="332"/>
      <c r="BC121" s="332"/>
      <c r="BD121" s="332"/>
      <c r="BE121" s="332"/>
      <c r="BF121" s="332"/>
      <c r="BG121" s="332"/>
      <c r="BH121" s="332"/>
      <c r="BI121" s="332"/>
      <c r="BJ121" s="332"/>
      <c r="BK121" s="332"/>
      <c r="BL121" s="332"/>
      <c r="BM121" s="332"/>
      <c r="BN121" s="332"/>
      <c r="BO121" s="332"/>
      <c r="BP121" s="332"/>
      <c r="BQ121" s="332"/>
      <c r="BR121" s="332"/>
      <c r="BS121" s="332"/>
      <c r="BT121" s="332"/>
      <c r="BU121" s="332"/>
      <c r="BV121" s="332"/>
      <c r="BW121" s="332"/>
      <c r="BX121" s="332"/>
      <c r="BY121" s="332"/>
      <c r="BZ121" s="332"/>
      <c r="CA121" s="332"/>
      <c r="CB121" s="332"/>
      <c r="CC121" s="332"/>
      <c r="CD121" s="332"/>
      <c r="CE121" s="332"/>
      <c r="CF121" s="332"/>
      <c r="CG121" s="332"/>
      <c r="CH121" s="332"/>
      <c r="CI121" s="332"/>
      <c r="CJ121" s="332"/>
      <c r="CK121" s="332"/>
      <c r="CL121" s="332"/>
      <c r="CM121" s="332"/>
      <c r="CN121" s="332"/>
      <c r="CO121" s="332"/>
      <c r="CP121" s="333" t="s">
        <v>27</v>
      </c>
      <c r="CQ121" s="333" t="s">
        <v>291</v>
      </c>
      <c r="CR121" s="334">
        <v>-95.913080000000008</v>
      </c>
      <c r="CS121" s="334">
        <v>-188.37816000000001</v>
      </c>
      <c r="CT121" s="334">
        <v>-165.18738000000002</v>
      </c>
      <c r="CU121" s="334">
        <v>-204.28808999999998</v>
      </c>
      <c r="CV121" s="334">
        <v>-188.62710000000001</v>
      </c>
      <c r="CW121" s="334">
        <v>-200.93280999999999</v>
      </c>
      <c r="CX121" s="334">
        <v>-209.64804000000001</v>
      </c>
      <c r="CY121" s="334">
        <v>-224.67916</v>
      </c>
      <c r="CZ121" s="334">
        <v>-217.98260000000002</v>
      </c>
      <c r="DA121" s="334">
        <v>-239.07901000000001</v>
      </c>
      <c r="DB121" s="334">
        <v>-169.39723999999998</v>
      </c>
      <c r="DC121" s="334">
        <v>-210.37858</v>
      </c>
      <c r="DD121" s="334">
        <v>-238.6138</v>
      </c>
      <c r="DE121" s="334">
        <v>-239.90821</v>
      </c>
      <c r="DF121" s="334">
        <v>-224.16943000000001</v>
      </c>
      <c r="DG121" s="334">
        <v>-197.07676000000001</v>
      </c>
      <c r="DH121" s="334">
        <v>-233.97798999999998</v>
      </c>
      <c r="DI121" s="334">
        <v>-206.37110000000001</v>
      </c>
      <c r="DJ121" s="334">
        <v>-228.67229999999998</v>
      </c>
      <c r="DK121" s="334">
        <v>-240.53380999999999</v>
      </c>
      <c r="DL121" s="334">
        <v>-237.39469</v>
      </c>
      <c r="DM121" s="334">
        <v>-241.25217999999998</v>
      </c>
      <c r="DN121" s="334">
        <v>-246.47067999999999</v>
      </c>
      <c r="DO121" s="334">
        <v>-248.80644000000001</v>
      </c>
      <c r="DP121" s="334">
        <v>-249.95254</v>
      </c>
      <c r="DQ121" s="334">
        <v>-244.03211999999999</v>
      </c>
      <c r="DR121" s="334">
        <v>-215.37504999999999</v>
      </c>
      <c r="DS121" s="334">
        <v>-243.36973</v>
      </c>
      <c r="DT121" s="334">
        <v>-241.26407999999998</v>
      </c>
      <c r="DU121" s="335">
        <v>-214.71454</v>
      </c>
      <c r="DV121" s="335">
        <v>-254.86890928735647</v>
      </c>
      <c r="DW121" s="335">
        <v>-257.31970623062625</v>
      </c>
      <c r="DX121" s="198">
        <v>-254.86890928735647</v>
      </c>
      <c r="DY121" s="198">
        <v>-254.86890928735647</v>
      </c>
      <c r="DZ121" s="198">
        <v>-254.86890928735647</v>
      </c>
      <c r="EA121" s="198">
        <v>2.4507969432697791</v>
      </c>
      <c r="EB121" s="198">
        <v>-254.86890928735647</v>
      </c>
      <c r="EC121" s="198">
        <v>-254.86890928735647</v>
      </c>
      <c r="ED121" s="198">
        <v>-254.86890928735647</v>
      </c>
      <c r="EE121" s="198">
        <v>-254.86890928735647</v>
      </c>
      <c r="EF121" s="198">
        <v>2.4507969432697791</v>
      </c>
      <c r="EG121" s="198">
        <v>0</v>
      </c>
      <c r="EH121" s="198">
        <v>-260.08590928735646</v>
      </c>
      <c r="EI121" s="336">
        <f t="shared" si="1"/>
        <v>-231.751104</v>
      </c>
      <c r="EJ121" s="336">
        <f>EI121-'[13]FAOSTAT21 CO2'!EH121</f>
        <v>-273.73052502000002</v>
      </c>
    </row>
    <row r="122" spans="1:140" x14ac:dyDescent="0.25">
      <c r="A122" s="31">
        <v>25</v>
      </c>
      <c r="B122" s="31" t="s">
        <v>292</v>
      </c>
      <c r="C122" s="31">
        <v>120</v>
      </c>
      <c r="D122" s="31">
        <v>0</v>
      </c>
      <c r="E122" s="31">
        <v>0</v>
      </c>
      <c r="F122" s="31">
        <v>0</v>
      </c>
      <c r="G122" s="31">
        <v>0</v>
      </c>
      <c r="H122" s="331" t="s">
        <v>2475</v>
      </c>
      <c r="I122" s="331" t="s">
        <v>293</v>
      </c>
      <c r="J122" s="331"/>
      <c r="K122" s="331"/>
      <c r="L122" s="331"/>
      <c r="M122" s="331"/>
      <c r="N122" s="331"/>
      <c r="O122" s="331"/>
      <c r="P122" s="331"/>
      <c r="Q122" s="331"/>
      <c r="R122" s="331"/>
      <c r="S122" s="331"/>
      <c r="T122" s="331"/>
      <c r="U122" s="331"/>
      <c r="V122" s="331"/>
      <c r="W122" s="331"/>
      <c r="X122" s="331"/>
      <c r="Y122" s="331"/>
      <c r="Z122" s="331"/>
      <c r="AA122" s="331"/>
      <c r="AB122" s="331"/>
      <c r="AC122" s="331"/>
      <c r="AD122" s="331"/>
      <c r="AE122" s="331"/>
      <c r="AF122" s="331"/>
      <c r="AG122" s="331"/>
      <c r="AH122" s="331"/>
      <c r="AI122" s="331"/>
      <c r="AJ122" s="331"/>
      <c r="AK122" s="331"/>
      <c r="AL122" s="331"/>
      <c r="AM122" s="331"/>
      <c r="AN122" s="331"/>
      <c r="AO122" s="331"/>
      <c r="AP122" s="331"/>
      <c r="AQ122" s="331"/>
      <c r="AR122" s="331"/>
      <c r="AS122" s="331"/>
      <c r="AT122" s="331"/>
      <c r="AU122" s="331"/>
      <c r="AV122" s="331"/>
      <c r="AW122" s="331"/>
      <c r="AX122" s="331"/>
      <c r="AY122" s="332" t="s">
        <v>2476</v>
      </c>
      <c r="AZ122" s="332" t="s">
        <v>293</v>
      </c>
      <c r="BA122" s="332"/>
      <c r="BB122" s="332"/>
      <c r="BC122" s="332"/>
      <c r="BD122" s="332"/>
      <c r="BE122" s="332"/>
      <c r="BF122" s="332"/>
      <c r="BG122" s="332"/>
      <c r="BH122" s="332"/>
      <c r="BI122" s="332"/>
      <c r="BJ122" s="332"/>
      <c r="BK122" s="332"/>
      <c r="BL122" s="332"/>
      <c r="BM122" s="332"/>
      <c r="BN122" s="332"/>
      <c r="BO122" s="332"/>
      <c r="BP122" s="332"/>
      <c r="BQ122" s="332"/>
      <c r="BR122" s="332"/>
      <c r="BS122" s="332"/>
      <c r="BT122" s="332"/>
      <c r="BU122" s="332"/>
      <c r="BV122" s="332"/>
      <c r="BW122" s="332"/>
      <c r="BX122" s="332"/>
      <c r="BY122" s="332"/>
      <c r="BZ122" s="332"/>
      <c r="CA122" s="332"/>
      <c r="CB122" s="332"/>
      <c r="CC122" s="332"/>
      <c r="CD122" s="332"/>
      <c r="CE122" s="332"/>
      <c r="CF122" s="332"/>
      <c r="CG122" s="332"/>
      <c r="CH122" s="332"/>
      <c r="CI122" s="332"/>
      <c r="CJ122" s="332"/>
      <c r="CK122" s="332"/>
      <c r="CL122" s="332"/>
      <c r="CM122" s="332"/>
      <c r="CN122" s="332"/>
      <c r="CO122" s="332"/>
      <c r="CP122" s="333" t="s">
        <v>27</v>
      </c>
      <c r="CQ122" s="333" t="s">
        <v>293</v>
      </c>
      <c r="CR122" s="334">
        <v>0</v>
      </c>
      <c r="CS122" s="334">
        <v>0</v>
      </c>
      <c r="CT122" s="334">
        <v>0</v>
      </c>
      <c r="CU122" s="334">
        <v>0</v>
      </c>
      <c r="CV122" s="334">
        <v>0</v>
      </c>
      <c r="CW122" s="334">
        <v>0</v>
      </c>
      <c r="CX122" s="334">
        <v>0</v>
      </c>
      <c r="CY122" s="334">
        <v>0</v>
      </c>
      <c r="CZ122" s="334">
        <v>0</v>
      </c>
      <c r="DA122" s="334">
        <v>0</v>
      </c>
      <c r="DB122" s="334">
        <v>0</v>
      </c>
      <c r="DC122" s="334">
        <v>0</v>
      </c>
      <c r="DD122" s="334">
        <v>0</v>
      </c>
      <c r="DE122" s="334">
        <v>0</v>
      </c>
      <c r="DF122" s="334">
        <v>0</v>
      </c>
      <c r="DG122" s="334">
        <v>0</v>
      </c>
      <c r="DH122" s="334">
        <v>0</v>
      </c>
      <c r="DI122" s="334">
        <v>0</v>
      </c>
      <c r="DJ122" s="334">
        <v>0</v>
      </c>
      <c r="DK122" s="334">
        <v>0</v>
      </c>
      <c r="DL122" s="334">
        <v>0</v>
      </c>
      <c r="DM122" s="334">
        <v>0</v>
      </c>
      <c r="DN122" s="334">
        <v>0</v>
      </c>
      <c r="DO122" s="334">
        <v>0</v>
      </c>
      <c r="DP122" s="334">
        <v>0</v>
      </c>
      <c r="DQ122" s="334">
        <v>0</v>
      </c>
      <c r="DR122" s="334">
        <v>0</v>
      </c>
      <c r="DS122" s="334">
        <v>0</v>
      </c>
      <c r="DT122" s="334">
        <v>0</v>
      </c>
      <c r="DU122" s="335">
        <v>0</v>
      </c>
      <c r="DV122" s="335">
        <v>0</v>
      </c>
      <c r="DW122" s="335">
        <v>0</v>
      </c>
      <c r="DX122" s="198" t="s">
        <v>2477</v>
      </c>
      <c r="DY122" s="198" t="s">
        <v>2477</v>
      </c>
      <c r="DZ122" s="198" t="s">
        <v>2477</v>
      </c>
      <c r="EA122" s="198" t="s">
        <v>2477</v>
      </c>
      <c r="EB122" s="198" t="s">
        <v>2477</v>
      </c>
      <c r="EC122" s="198" t="s">
        <v>2477</v>
      </c>
      <c r="ED122" s="198" t="s">
        <v>2477</v>
      </c>
      <c r="EE122" s="198" t="s">
        <v>2477</v>
      </c>
      <c r="EF122" s="198" t="s">
        <v>2477</v>
      </c>
      <c r="EG122" s="198" t="s">
        <v>2477</v>
      </c>
      <c r="EH122" s="198"/>
      <c r="EI122" s="336">
        <f t="shared" si="1"/>
        <v>0</v>
      </c>
      <c r="EJ122" s="336">
        <f>EI122-'[13]FAOSTAT21 CO2'!EH122</f>
        <v>0</v>
      </c>
    </row>
    <row r="123" spans="1:140" x14ac:dyDescent="0.25">
      <c r="A123" s="31">
        <v>8</v>
      </c>
      <c r="B123" s="31" t="s">
        <v>294</v>
      </c>
      <c r="C123" s="31">
        <v>121</v>
      </c>
      <c r="D123" s="31">
        <v>0</v>
      </c>
      <c r="E123" s="31">
        <v>0</v>
      </c>
      <c r="F123" s="31">
        <v>0</v>
      </c>
      <c r="G123" s="31">
        <v>0</v>
      </c>
      <c r="H123" s="331" t="s">
        <v>2475</v>
      </c>
      <c r="I123" s="331" t="s">
        <v>295</v>
      </c>
      <c r="J123" s="331"/>
      <c r="K123" s="331"/>
      <c r="L123" s="331"/>
      <c r="M123" s="331"/>
      <c r="N123" s="331"/>
      <c r="O123" s="331"/>
      <c r="P123" s="331"/>
      <c r="Q123" s="331"/>
      <c r="R123" s="331"/>
      <c r="S123" s="331"/>
      <c r="T123" s="331"/>
      <c r="U123" s="331"/>
      <c r="V123" s="331"/>
      <c r="W123" s="331"/>
      <c r="X123" s="331"/>
      <c r="Y123" s="331"/>
      <c r="Z123" s="331"/>
      <c r="AA123" s="331"/>
      <c r="AB123" s="331"/>
      <c r="AC123" s="331"/>
      <c r="AD123" s="331"/>
      <c r="AE123" s="331"/>
      <c r="AF123" s="331"/>
      <c r="AG123" s="331"/>
      <c r="AH123" s="331"/>
      <c r="AI123" s="331"/>
      <c r="AJ123" s="331"/>
      <c r="AK123" s="331"/>
      <c r="AL123" s="331"/>
      <c r="AM123" s="331"/>
      <c r="AN123" s="331"/>
      <c r="AO123" s="331"/>
      <c r="AP123" s="331"/>
      <c r="AQ123" s="331"/>
      <c r="AR123" s="331"/>
      <c r="AS123" s="331"/>
      <c r="AT123" s="331"/>
      <c r="AU123" s="331"/>
      <c r="AV123" s="331"/>
      <c r="AW123" s="331"/>
      <c r="AX123" s="331"/>
      <c r="AY123" s="332" t="s">
        <v>2476</v>
      </c>
      <c r="AZ123" s="332" t="s">
        <v>295</v>
      </c>
      <c r="BA123" s="332"/>
      <c r="BB123" s="332"/>
      <c r="BC123" s="332"/>
      <c r="BD123" s="332"/>
      <c r="BE123" s="332"/>
      <c r="BF123" s="332"/>
      <c r="BG123" s="332"/>
      <c r="BH123" s="332"/>
      <c r="BI123" s="332"/>
      <c r="BJ123" s="332"/>
      <c r="BK123" s="332"/>
      <c r="BL123" s="332"/>
      <c r="BM123" s="332"/>
      <c r="BN123" s="332"/>
      <c r="BO123" s="332"/>
      <c r="BP123" s="332"/>
      <c r="BQ123" s="332"/>
      <c r="BR123" s="332"/>
      <c r="BS123" s="332"/>
      <c r="BT123" s="332"/>
      <c r="BU123" s="332"/>
      <c r="BV123" s="332"/>
      <c r="BW123" s="332"/>
      <c r="BX123" s="332"/>
      <c r="BY123" s="332"/>
      <c r="BZ123" s="332"/>
      <c r="CA123" s="332"/>
      <c r="CB123" s="332"/>
      <c r="CC123" s="332"/>
      <c r="CD123" s="332"/>
      <c r="CE123" s="332"/>
      <c r="CF123" s="332"/>
      <c r="CG123" s="332"/>
      <c r="CH123" s="332"/>
      <c r="CI123" s="332"/>
      <c r="CJ123" s="332"/>
      <c r="CK123" s="332"/>
      <c r="CL123" s="332"/>
      <c r="CM123" s="332"/>
      <c r="CN123" s="332"/>
      <c r="CO123" s="332"/>
      <c r="CP123" s="333" t="s">
        <v>27</v>
      </c>
      <c r="CQ123" s="333" t="s">
        <v>295</v>
      </c>
      <c r="CR123" s="334">
        <v>-9.7480560000000001</v>
      </c>
      <c r="CS123" s="334">
        <v>-9.7480560000000001</v>
      </c>
      <c r="CT123" s="334">
        <v>-9.7480560000000001</v>
      </c>
      <c r="CU123" s="334">
        <v>-9.7480560000000001</v>
      </c>
      <c r="CV123" s="334">
        <v>-9.7480560000000001</v>
      </c>
      <c r="CW123" s="334">
        <v>-9.7480560000000001</v>
      </c>
      <c r="CX123" s="334">
        <v>-20.720988800000001</v>
      </c>
      <c r="CY123" s="334">
        <v>-31.693921599999999</v>
      </c>
      <c r="CZ123" s="334">
        <v>-42.666854399999998</v>
      </c>
      <c r="DA123" s="334">
        <v>-53.639787200000001</v>
      </c>
      <c r="DB123" s="334">
        <v>-64.612719999999996</v>
      </c>
      <c r="DC123" s="334">
        <v>-82.631348000000003</v>
      </c>
      <c r="DD123" s="334">
        <v>-100.64997600000001</v>
      </c>
      <c r="DE123" s="334">
        <v>-118.66860400000002</v>
      </c>
      <c r="DF123" s="334">
        <v>-136.68723200000002</v>
      </c>
      <c r="DG123" s="334">
        <v>-154.70586000000003</v>
      </c>
      <c r="DH123" s="334">
        <v>-172.72448800000004</v>
      </c>
      <c r="DI123" s="334">
        <v>-190.74311600000004</v>
      </c>
      <c r="DJ123" s="334">
        <v>-208.76174400000005</v>
      </c>
      <c r="DK123" s="334">
        <v>-226.78037200000006</v>
      </c>
      <c r="DL123" s="334">
        <v>-244.79900000000001</v>
      </c>
      <c r="DM123" s="334">
        <v>-267.27581333333336</v>
      </c>
      <c r="DN123" s="334">
        <v>-289.75262666666669</v>
      </c>
      <c r="DO123" s="334">
        <v>-312.22944000000001</v>
      </c>
      <c r="DP123" s="334">
        <v>-317.73245000000003</v>
      </c>
      <c r="DQ123" s="334">
        <v>-317.97403000000003</v>
      </c>
      <c r="DR123" s="334">
        <v>-322.05543999999998</v>
      </c>
      <c r="DS123" s="334">
        <v>-325.30920000000003</v>
      </c>
      <c r="DT123" s="334">
        <v>-330.89966999999996</v>
      </c>
      <c r="DU123" s="335">
        <v>-344.42478000000006</v>
      </c>
      <c r="DV123" s="335">
        <v>-373.73425402299108</v>
      </c>
      <c r="DW123" s="335">
        <v>-387.65984503952495</v>
      </c>
      <c r="DX123" s="198">
        <v>-373.34925402299109</v>
      </c>
      <c r="DY123" s="198">
        <v>-373.34925402299109</v>
      </c>
      <c r="DZ123" s="198">
        <v>-502.80425402299107</v>
      </c>
      <c r="EA123" s="198">
        <v>-115.14440898346612</v>
      </c>
      <c r="EB123" s="198">
        <v>-373.73425402299108</v>
      </c>
      <c r="EC123" s="198">
        <v>-373.73425402299108</v>
      </c>
      <c r="ED123" s="198">
        <v>-373.73425402299108</v>
      </c>
      <c r="EE123" s="198">
        <v>-373.73425402299108</v>
      </c>
      <c r="EF123" s="198">
        <v>13.925591016533872</v>
      </c>
      <c r="EG123" s="198">
        <v>129.07</v>
      </c>
      <c r="EH123" s="198">
        <v>-484.99367185584265</v>
      </c>
      <c r="EI123" s="336">
        <f t="shared" si="1"/>
        <v>-328.13262399999996</v>
      </c>
      <c r="EJ123" s="336">
        <f>EI123-'[13]FAOSTAT21 CO2'!EH123</f>
        <v>-328.13262399999996</v>
      </c>
    </row>
    <row r="124" spans="1:140" x14ac:dyDescent="0.25">
      <c r="A124" s="31">
        <v>11</v>
      </c>
      <c r="B124" s="31" t="s">
        <v>296</v>
      </c>
      <c r="C124" s="31">
        <v>122</v>
      </c>
      <c r="D124" s="31">
        <v>1</v>
      </c>
      <c r="E124" s="31">
        <v>0</v>
      </c>
      <c r="F124" s="31">
        <v>1</v>
      </c>
      <c r="G124" s="31">
        <v>0</v>
      </c>
      <c r="H124" s="331" t="s">
        <v>2475</v>
      </c>
      <c r="I124" s="331" t="s">
        <v>297</v>
      </c>
      <c r="J124" s="331"/>
      <c r="K124" s="331"/>
      <c r="L124" s="331"/>
      <c r="M124" s="331"/>
      <c r="N124" s="331"/>
      <c r="O124" s="331"/>
      <c r="P124" s="331"/>
      <c r="Q124" s="331"/>
      <c r="R124" s="331"/>
      <c r="S124" s="331"/>
      <c r="T124" s="331"/>
      <c r="U124" s="331"/>
      <c r="V124" s="331"/>
      <c r="W124" s="331"/>
      <c r="X124" s="331"/>
      <c r="Y124" s="331"/>
      <c r="Z124" s="331"/>
      <c r="AA124" s="331"/>
      <c r="AB124" s="331"/>
      <c r="AC124" s="331"/>
      <c r="AD124" s="331"/>
      <c r="AE124" s="331"/>
      <c r="AF124" s="331"/>
      <c r="AG124" s="331"/>
      <c r="AH124" s="331"/>
      <c r="AI124" s="331"/>
      <c r="AJ124" s="331"/>
      <c r="AK124" s="331"/>
      <c r="AL124" s="331"/>
      <c r="AM124" s="331"/>
      <c r="AN124" s="331"/>
      <c r="AO124" s="331"/>
      <c r="AP124" s="331"/>
      <c r="AQ124" s="331"/>
      <c r="AR124" s="331"/>
      <c r="AS124" s="331"/>
      <c r="AT124" s="331"/>
      <c r="AU124" s="331"/>
      <c r="AV124" s="331"/>
      <c r="AW124" s="331"/>
      <c r="AX124" s="331"/>
      <c r="AY124" s="332" t="s">
        <v>2476</v>
      </c>
      <c r="AZ124" s="332" t="s">
        <v>297</v>
      </c>
      <c r="BA124" s="332"/>
      <c r="BB124" s="332"/>
      <c r="BC124" s="332"/>
      <c r="BD124" s="332"/>
      <c r="BE124" s="332"/>
      <c r="BF124" s="332"/>
      <c r="BG124" s="332"/>
      <c r="BH124" s="332"/>
      <c r="BI124" s="332"/>
      <c r="BJ124" s="332"/>
      <c r="BK124" s="332"/>
      <c r="BL124" s="332"/>
      <c r="BM124" s="332"/>
      <c r="BN124" s="332"/>
      <c r="BO124" s="332"/>
      <c r="BP124" s="332"/>
      <c r="BQ124" s="332"/>
      <c r="BR124" s="332"/>
      <c r="BS124" s="332"/>
      <c r="BT124" s="332"/>
      <c r="BU124" s="332"/>
      <c r="BV124" s="332"/>
      <c r="BW124" s="332"/>
      <c r="BX124" s="332"/>
      <c r="BY124" s="332"/>
      <c r="BZ124" s="332"/>
      <c r="CA124" s="332"/>
      <c r="CB124" s="332"/>
      <c r="CC124" s="332"/>
      <c r="CD124" s="332"/>
      <c r="CE124" s="332"/>
      <c r="CF124" s="332"/>
      <c r="CG124" s="332"/>
      <c r="CH124" s="332"/>
      <c r="CI124" s="332"/>
      <c r="CJ124" s="332"/>
      <c r="CK124" s="332"/>
      <c r="CL124" s="332"/>
      <c r="CM124" s="332"/>
      <c r="CN124" s="332"/>
      <c r="CO124" s="332"/>
      <c r="CP124" s="333" t="s">
        <v>27</v>
      </c>
      <c r="CQ124" s="333" t="s">
        <v>297</v>
      </c>
      <c r="CR124" s="334">
        <v>-7.9996904825351909E-3</v>
      </c>
      <c r="CS124" s="334">
        <v>-8.2268726713326714E-3</v>
      </c>
      <c r="CT124" s="334">
        <v>-5.0352151557491497E-3</v>
      </c>
      <c r="CU124" s="334">
        <v>-4.8638034853648602E-3</v>
      </c>
      <c r="CV124" s="334">
        <v>-4.5246262366598709E-3</v>
      </c>
      <c r="CW124" s="334">
        <v>-4.0065038597835506E-3</v>
      </c>
      <c r="CX124" s="334">
        <v>-4.0337463027468011E-3</v>
      </c>
      <c r="CY124" s="334">
        <v>-4.2614569809483202E-3</v>
      </c>
      <c r="CZ124" s="334">
        <v>-4.0350335207361898E-3</v>
      </c>
      <c r="DA124" s="334">
        <v>-4.8517260714468205E-3</v>
      </c>
      <c r="DB124" s="334">
        <v>-4.9394773785492296E-3</v>
      </c>
      <c r="DC124" s="334">
        <v>-2.4090272644757605E-3</v>
      </c>
      <c r="DD124" s="334">
        <v>2.1305141197168483E-2</v>
      </c>
      <c r="DE124" s="334">
        <v>2.1295532265076533E-2</v>
      </c>
      <c r="DF124" s="334">
        <v>-2.9814253023569979E-4</v>
      </c>
      <c r="DG124" s="334">
        <v>-4.9182108259957988E-4</v>
      </c>
      <c r="DH124" s="334">
        <v>-1.68954529855584E-3</v>
      </c>
      <c r="DI124" s="334">
        <v>-1.4492479250396702E-3</v>
      </c>
      <c r="DJ124" s="334">
        <v>1.2006982242756061E-2</v>
      </c>
      <c r="DK124" s="334">
        <v>1.143277581083167E-2</v>
      </c>
      <c r="DL124" s="334">
        <v>1.1201023094190458E-2</v>
      </c>
      <c r="DM124" s="334">
        <v>-1.96853524308809E-3</v>
      </c>
      <c r="DN124" s="334">
        <v>-1.7814111186969697E-3</v>
      </c>
      <c r="DO124" s="334">
        <v>-1.6015699306076302E-3</v>
      </c>
      <c r="DP124" s="334">
        <v>-4.1715114545223904E-3</v>
      </c>
      <c r="DQ124" s="334">
        <v>-3.8114754113846095E-3</v>
      </c>
      <c r="DR124" s="334">
        <v>-3.8006466418239403E-3</v>
      </c>
      <c r="DS124" s="334">
        <v>1.0617207083129505E-3</v>
      </c>
      <c r="DT124" s="334">
        <v>4.0467597636088983E-4</v>
      </c>
      <c r="DU124" s="335">
        <v>5.7162551974080907E-3</v>
      </c>
      <c r="DV124" s="335">
        <v>8.2808090524830683E-3</v>
      </c>
      <c r="DW124" s="335">
        <v>6.3840695265536106E-4</v>
      </c>
      <c r="DX124" s="198">
        <v>8.2808090524830683E-3</v>
      </c>
      <c r="DY124" s="198">
        <v>8.2808090524830683E-3</v>
      </c>
      <c r="DZ124" s="198">
        <v>8.2808090524830683E-3</v>
      </c>
      <c r="EA124" s="198">
        <v>7.6424020998277073E-3</v>
      </c>
      <c r="EB124" s="198">
        <v>8.2808090524830683E-3</v>
      </c>
      <c r="EC124" s="198">
        <v>8.2808090524830683E-3</v>
      </c>
      <c r="ED124" s="198">
        <v>8.2808090524830683E-3</v>
      </c>
      <c r="EE124" s="198">
        <v>8.2808090524830683E-3</v>
      </c>
      <c r="EF124" s="198">
        <v>7.6424020998277073E-3</v>
      </c>
      <c r="EG124" s="198">
        <v>0</v>
      </c>
      <c r="EH124" s="198">
        <v>7.3601670180855902E-3</v>
      </c>
      <c r="EI124" s="336">
        <f t="shared" si="1"/>
        <v>-8.5894034225323694E-5</v>
      </c>
      <c r="EJ124" s="336">
        <f>EI124-'[13]FAOSTAT21 CO2'!EH124</f>
        <v>3.6029259657746763E-3</v>
      </c>
    </row>
    <row r="125" spans="1:140" x14ac:dyDescent="0.25">
      <c r="A125" s="31">
        <v>24</v>
      </c>
      <c r="B125" s="31" t="s">
        <v>298</v>
      </c>
      <c r="C125" s="31">
        <v>150</v>
      </c>
      <c r="D125" s="31">
        <v>0</v>
      </c>
      <c r="E125" s="31">
        <v>0</v>
      </c>
      <c r="F125" s="31">
        <v>0</v>
      </c>
      <c r="G125" s="31">
        <v>0</v>
      </c>
      <c r="H125" s="331" t="s">
        <v>2475</v>
      </c>
      <c r="I125" s="331" t="s">
        <v>299</v>
      </c>
      <c r="J125" s="331"/>
      <c r="K125" s="331"/>
      <c r="L125" s="331"/>
      <c r="M125" s="331"/>
      <c r="N125" s="331"/>
      <c r="O125" s="331"/>
      <c r="P125" s="331"/>
      <c r="Q125" s="331"/>
      <c r="R125" s="331"/>
      <c r="S125" s="331"/>
      <c r="T125" s="331"/>
      <c r="U125" s="331"/>
      <c r="V125" s="331"/>
      <c r="W125" s="331"/>
      <c r="X125" s="331"/>
      <c r="Y125" s="331"/>
      <c r="Z125" s="331"/>
      <c r="AA125" s="331"/>
      <c r="AB125" s="331"/>
      <c r="AC125" s="331"/>
      <c r="AD125" s="331"/>
      <c r="AE125" s="331"/>
      <c r="AF125" s="331"/>
      <c r="AG125" s="331"/>
      <c r="AH125" s="331"/>
      <c r="AI125" s="331"/>
      <c r="AJ125" s="331"/>
      <c r="AK125" s="331"/>
      <c r="AL125" s="331"/>
      <c r="AM125" s="331"/>
      <c r="AN125" s="331"/>
      <c r="AO125" s="331"/>
      <c r="AP125" s="331"/>
      <c r="AQ125" s="331"/>
      <c r="AR125" s="331"/>
      <c r="AS125" s="331"/>
      <c r="AT125" s="331"/>
      <c r="AU125" s="331"/>
      <c r="AV125" s="331"/>
      <c r="AW125" s="331"/>
      <c r="AX125" s="331"/>
      <c r="AY125" s="332" t="s">
        <v>2476</v>
      </c>
      <c r="AZ125" s="332" t="s">
        <v>299</v>
      </c>
      <c r="BA125" s="332"/>
      <c r="BB125" s="332"/>
      <c r="BC125" s="332"/>
      <c r="BD125" s="332"/>
      <c r="BE125" s="332"/>
      <c r="BF125" s="332"/>
      <c r="BG125" s="332"/>
      <c r="BH125" s="332"/>
      <c r="BI125" s="332"/>
      <c r="BJ125" s="332"/>
      <c r="BK125" s="332"/>
      <c r="BL125" s="332"/>
      <c r="BM125" s="332"/>
      <c r="BN125" s="332"/>
      <c r="BO125" s="332"/>
      <c r="BP125" s="332"/>
      <c r="BQ125" s="332"/>
      <c r="BR125" s="332"/>
      <c r="BS125" s="332"/>
      <c r="BT125" s="332"/>
      <c r="BU125" s="332"/>
      <c r="BV125" s="332"/>
      <c r="BW125" s="332"/>
      <c r="BX125" s="332"/>
      <c r="BY125" s="332"/>
      <c r="BZ125" s="332"/>
      <c r="CA125" s="332"/>
      <c r="CB125" s="332"/>
      <c r="CC125" s="332"/>
      <c r="CD125" s="332"/>
      <c r="CE125" s="332"/>
      <c r="CF125" s="332"/>
      <c r="CG125" s="332"/>
      <c r="CH125" s="332"/>
      <c r="CI125" s="332"/>
      <c r="CJ125" s="332"/>
      <c r="CK125" s="332"/>
      <c r="CL125" s="332"/>
      <c r="CM125" s="332"/>
      <c r="CN125" s="332"/>
      <c r="CO125" s="332"/>
      <c r="CP125" s="333" t="s">
        <v>27</v>
      </c>
      <c r="CQ125" s="333" t="s">
        <v>299</v>
      </c>
      <c r="CR125" s="334">
        <v>0</v>
      </c>
      <c r="CS125" s="334">
        <v>0</v>
      </c>
      <c r="CT125" s="334">
        <v>0</v>
      </c>
      <c r="CU125" s="334">
        <v>0</v>
      </c>
      <c r="CV125" s="334">
        <v>0</v>
      </c>
      <c r="CW125" s="334">
        <v>0</v>
      </c>
      <c r="CX125" s="334">
        <v>0</v>
      </c>
      <c r="CY125" s="334">
        <v>0</v>
      </c>
      <c r="CZ125" s="334">
        <v>0</v>
      </c>
      <c r="DA125" s="334">
        <v>0</v>
      </c>
      <c r="DB125" s="334">
        <v>0</v>
      </c>
      <c r="DC125" s="334">
        <v>0</v>
      </c>
      <c r="DD125" s="334">
        <v>0</v>
      </c>
      <c r="DE125" s="334">
        <v>0</v>
      </c>
      <c r="DF125" s="334">
        <v>0</v>
      </c>
      <c r="DG125" s="334">
        <v>0</v>
      </c>
      <c r="DH125" s="334">
        <v>0</v>
      </c>
      <c r="DI125" s="334">
        <v>0</v>
      </c>
      <c r="DJ125" s="334">
        <v>0</v>
      </c>
      <c r="DK125" s="334">
        <v>0</v>
      </c>
      <c r="DL125" s="334">
        <v>0</v>
      </c>
      <c r="DM125" s="334">
        <v>0</v>
      </c>
      <c r="DN125" s="334">
        <v>0</v>
      </c>
      <c r="DO125" s="334">
        <v>0</v>
      </c>
      <c r="DP125" s="334">
        <v>0</v>
      </c>
      <c r="DQ125" s="334">
        <v>0</v>
      </c>
      <c r="DR125" s="334">
        <v>0</v>
      </c>
      <c r="DS125" s="334">
        <v>0</v>
      </c>
      <c r="DT125" s="334">
        <v>0</v>
      </c>
      <c r="DU125" s="335">
        <v>0</v>
      </c>
      <c r="DV125" s="335">
        <v>0</v>
      </c>
      <c r="DW125" s="335">
        <v>0</v>
      </c>
      <c r="DX125" s="198" t="s">
        <v>2477</v>
      </c>
      <c r="DY125" s="198" t="s">
        <v>2477</v>
      </c>
      <c r="DZ125" s="198" t="s">
        <v>2477</v>
      </c>
      <c r="EA125" s="198" t="s">
        <v>2477</v>
      </c>
      <c r="EB125" s="198" t="s">
        <v>2477</v>
      </c>
      <c r="EC125" s="198" t="s">
        <v>2477</v>
      </c>
      <c r="ED125" s="198" t="s">
        <v>2477</v>
      </c>
      <c r="EE125" s="198" t="s">
        <v>2477</v>
      </c>
      <c r="EF125" s="198" t="s">
        <v>2477</v>
      </c>
      <c r="EG125" s="198" t="s">
        <v>2477</v>
      </c>
      <c r="EH125" s="198"/>
      <c r="EI125" s="336">
        <f t="shared" si="1"/>
        <v>0</v>
      </c>
      <c r="EJ125" s="336">
        <f>EI125-'[13]FAOSTAT21 CO2'!EH125</f>
        <v>0</v>
      </c>
    </row>
    <row r="126" spans="1:140" x14ac:dyDescent="0.25">
      <c r="A126" s="31">
        <v>4</v>
      </c>
      <c r="B126" s="31" t="s">
        <v>300</v>
      </c>
      <c r="C126" s="31">
        <v>123</v>
      </c>
      <c r="D126" s="31">
        <v>0</v>
      </c>
      <c r="E126" s="31">
        <v>0</v>
      </c>
      <c r="F126" s="31">
        <v>0</v>
      </c>
      <c r="G126" s="31">
        <v>0</v>
      </c>
      <c r="H126" s="331" t="s">
        <v>2475</v>
      </c>
      <c r="I126" s="331" t="s">
        <v>301</v>
      </c>
      <c r="J126" s="331"/>
      <c r="K126" s="331"/>
      <c r="L126" s="331"/>
      <c r="M126" s="331"/>
      <c r="N126" s="331"/>
      <c r="O126" s="331"/>
      <c r="P126" s="331"/>
      <c r="Q126" s="331"/>
      <c r="R126" s="331"/>
      <c r="S126" s="331"/>
      <c r="T126" s="331"/>
      <c r="U126" s="331"/>
      <c r="V126" s="331"/>
      <c r="W126" s="331"/>
      <c r="X126" s="331"/>
      <c r="Y126" s="331"/>
      <c r="Z126" s="331"/>
      <c r="AA126" s="331"/>
      <c r="AB126" s="331"/>
      <c r="AC126" s="331"/>
      <c r="AD126" s="331"/>
      <c r="AE126" s="331"/>
      <c r="AF126" s="331"/>
      <c r="AG126" s="331"/>
      <c r="AH126" s="331"/>
      <c r="AI126" s="331"/>
      <c r="AJ126" s="331"/>
      <c r="AK126" s="331"/>
      <c r="AL126" s="331"/>
      <c r="AM126" s="331"/>
      <c r="AN126" s="331"/>
      <c r="AO126" s="331"/>
      <c r="AP126" s="331"/>
      <c r="AQ126" s="331"/>
      <c r="AR126" s="331"/>
      <c r="AS126" s="331"/>
      <c r="AT126" s="331"/>
      <c r="AU126" s="331"/>
      <c r="AV126" s="331"/>
      <c r="AW126" s="331"/>
      <c r="AX126" s="331"/>
      <c r="AY126" s="332" t="s">
        <v>2476</v>
      </c>
      <c r="AZ126" s="332" t="s">
        <v>301</v>
      </c>
      <c r="BA126" s="332"/>
      <c r="BB126" s="332"/>
      <c r="BC126" s="332"/>
      <c r="BD126" s="332"/>
      <c r="BE126" s="332"/>
      <c r="BF126" s="332"/>
      <c r="BG126" s="332"/>
      <c r="BH126" s="332"/>
      <c r="BI126" s="332"/>
      <c r="BJ126" s="332"/>
      <c r="BK126" s="332"/>
      <c r="BL126" s="332"/>
      <c r="BM126" s="332"/>
      <c r="BN126" s="332"/>
      <c r="BO126" s="332"/>
      <c r="BP126" s="332"/>
      <c r="BQ126" s="332"/>
      <c r="BR126" s="332"/>
      <c r="BS126" s="332"/>
      <c r="BT126" s="332"/>
      <c r="BU126" s="332"/>
      <c r="BV126" s="332"/>
      <c r="BW126" s="332"/>
      <c r="BX126" s="332"/>
      <c r="BY126" s="332"/>
      <c r="BZ126" s="332"/>
      <c r="CA126" s="332"/>
      <c r="CB126" s="332"/>
      <c r="CC126" s="332"/>
      <c r="CD126" s="332"/>
      <c r="CE126" s="332"/>
      <c r="CF126" s="332"/>
      <c r="CG126" s="332"/>
      <c r="CH126" s="332"/>
      <c r="CI126" s="332"/>
      <c r="CJ126" s="332"/>
      <c r="CK126" s="332"/>
      <c r="CL126" s="332"/>
      <c r="CM126" s="332"/>
      <c r="CN126" s="332"/>
      <c r="CO126" s="332"/>
      <c r="CP126" s="333" t="s">
        <v>27</v>
      </c>
      <c r="CQ126" s="333" t="s">
        <v>301</v>
      </c>
      <c r="CR126" s="334">
        <v>0</v>
      </c>
      <c r="CS126" s="334">
        <v>0</v>
      </c>
      <c r="CT126" s="334">
        <v>0</v>
      </c>
      <c r="CU126" s="334">
        <v>0</v>
      </c>
      <c r="CV126" s="334">
        <v>0</v>
      </c>
      <c r="CW126" s="334">
        <v>0</v>
      </c>
      <c r="CX126" s="334">
        <v>0</v>
      </c>
      <c r="CY126" s="334">
        <v>0</v>
      </c>
      <c r="CZ126" s="334">
        <v>0</v>
      </c>
      <c r="DA126" s="334">
        <v>0</v>
      </c>
      <c r="DB126" s="334">
        <v>0</v>
      </c>
      <c r="DC126" s="334">
        <v>0</v>
      </c>
      <c r="DD126" s="334">
        <v>0</v>
      </c>
      <c r="DE126" s="334">
        <v>0</v>
      </c>
      <c r="DF126" s="334">
        <v>0</v>
      </c>
      <c r="DG126" s="334">
        <v>0</v>
      </c>
      <c r="DH126" s="334">
        <v>0</v>
      </c>
      <c r="DI126" s="334">
        <v>0</v>
      </c>
      <c r="DJ126" s="334">
        <v>0</v>
      </c>
      <c r="DK126" s="334">
        <v>0</v>
      </c>
      <c r="DL126" s="334">
        <v>0</v>
      </c>
      <c r="DM126" s="334">
        <v>0</v>
      </c>
      <c r="DN126" s="334">
        <v>0</v>
      </c>
      <c r="DO126" s="334">
        <v>0</v>
      </c>
      <c r="DP126" s="334">
        <v>0</v>
      </c>
      <c r="DQ126" s="334">
        <v>0</v>
      </c>
      <c r="DR126" s="334">
        <v>0</v>
      </c>
      <c r="DS126" s="334">
        <v>0</v>
      </c>
      <c r="DT126" s="334">
        <v>0</v>
      </c>
      <c r="DU126" s="335">
        <v>0</v>
      </c>
      <c r="DV126" s="335">
        <v>0</v>
      </c>
      <c r="DW126" s="335">
        <v>0</v>
      </c>
      <c r="DX126" s="198" t="s">
        <v>2477</v>
      </c>
      <c r="DY126" s="198" t="s">
        <v>2477</v>
      </c>
      <c r="DZ126" s="198" t="s">
        <v>2477</v>
      </c>
      <c r="EA126" s="198" t="s">
        <v>2477</v>
      </c>
      <c r="EB126" s="198" t="s">
        <v>2477</v>
      </c>
      <c r="EC126" s="198" t="s">
        <v>2477</v>
      </c>
      <c r="ED126" s="198" t="s">
        <v>2477</v>
      </c>
      <c r="EE126" s="198" t="s">
        <v>2477</v>
      </c>
      <c r="EF126" s="198" t="s">
        <v>2477</v>
      </c>
      <c r="EG126" s="198" t="s">
        <v>2477</v>
      </c>
      <c r="EH126" s="198"/>
      <c r="EI126" s="336">
        <f t="shared" si="1"/>
        <v>0</v>
      </c>
      <c r="EJ126" s="336">
        <f>EI126-'[13]FAOSTAT21 CO2'!EH126</f>
        <v>0.13200000000000001</v>
      </c>
    </row>
    <row r="127" spans="1:140" x14ac:dyDescent="0.25">
      <c r="A127" s="31">
        <v>8</v>
      </c>
      <c r="B127" s="31" t="s">
        <v>302</v>
      </c>
      <c r="C127" s="31">
        <v>124</v>
      </c>
      <c r="D127" s="31">
        <v>0</v>
      </c>
      <c r="E127" s="31">
        <v>0</v>
      </c>
      <c r="F127" s="31">
        <v>0</v>
      </c>
      <c r="G127" s="31">
        <v>0</v>
      </c>
      <c r="H127" s="331" t="s">
        <v>2475</v>
      </c>
      <c r="I127" s="331" t="s">
        <v>303</v>
      </c>
      <c r="J127" s="331"/>
      <c r="K127" s="331"/>
      <c r="L127" s="331"/>
      <c r="M127" s="331"/>
      <c r="N127" s="331"/>
      <c r="O127" s="331"/>
      <c r="P127" s="331"/>
      <c r="Q127" s="331"/>
      <c r="R127" s="331"/>
      <c r="S127" s="331"/>
      <c r="T127" s="331"/>
      <c r="U127" s="331"/>
      <c r="V127" s="331"/>
      <c r="W127" s="331"/>
      <c r="X127" s="331"/>
      <c r="Y127" s="331"/>
      <c r="Z127" s="331"/>
      <c r="AA127" s="331"/>
      <c r="AB127" s="331"/>
      <c r="AC127" s="331"/>
      <c r="AD127" s="331"/>
      <c r="AE127" s="331"/>
      <c r="AF127" s="331"/>
      <c r="AG127" s="331"/>
      <c r="AH127" s="331"/>
      <c r="AI127" s="331"/>
      <c r="AJ127" s="331"/>
      <c r="AK127" s="331"/>
      <c r="AL127" s="331"/>
      <c r="AM127" s="331"/>
      <c r="AN127" s="331"/>
      <c r="AO127" s="331"/>
      <c r="AP127" s="331"/>
      <c r="AQ127" s="331"/>
      <c r="AR127" s="331"/>
      <c r="AS127" s="331"/>
      <c r="AT127" s="331"/>
      <c r="AU127" s="331"/>
      <c r="AV127" s="331"/>
      <c r="AW127" s="331"/>
      <c r="AX127" s="331"/>
      <c r="AY127" s="332" t="s">
        <v>2476</v>
      </c>
      <c r="AZ127" s="332" t="s">
        <v>303</v>
      </c>
      <c r="BA127" s="332"/>
      <c r="BB127" s="332"/>
      <c r="BC127" s="332"/>
      <c r="BD127" s="332"/>
      <c r="BE127" s="332"/>
      <c r="BF127" s="332"/>
      <c r="BG127" s="332"/>
      <c r="BH127" s="332"/>
      <c r="BI127" s="332"/>
      <c r="BJ127" s="332"/>
      <c r="BK127" s="332"/>
      <c r="BL127" s="332"/>
      <c r="BM127" s="332"/>
      <c r="BN127" s="332"/>
      <c r="BO127" s="332"/>
      <c r="BP127" s="332"/>
      <c r="BQ127" s="332"/>
      <c r="BR127" s="332"/>
      <c r="BS127" s="332"/>
      <c r="BT127" s="332"/>
      <c r="BU127" s="332"/>
      <c r="BV127" s="332"/>
      <c r="BW127" s="332"/>
      <c r="BX127" s="332"/>
      <c r="BY127" s="332"/>
      <c r="BZ127" s="332"/>
      <c r="CA127" s="332"/>
      <c r="CB127" s="332"/>
      <c r="CC127" s="332"/>
      <c r="CD127" s="332"/>
      <c r="CE127" s="332"/>
      <c r="CF127" s="332"/>
      <c r="CG127" s="332"/>
      <c r="CH127" s="332"/>
      <c r="CI127" s="332"/>
      <c r="CJ127" s="332"/>
      <c r="CK127" s="332"/>
      <c r="CL127" s="332"/>
      <c r="CM127" s="332"/>
      <c r="CN127" s="332"/>
      <c r="CO127" s="332"/>
      <c r="CP127" s="333" t="s">
        <v>27</v>
      </c>
      <c r="CQ127" s="333" t="s">
        <v>303</v>
      </c>
      <c r="CR127" s="334">
        <v>-0.49319000000000002</v>
      </c>
      <c r="CS127" s="334">
        <v>2.61578</v>
      </c>
      <c r="CT127" s="334">
        <v>-0.58135000000000003</v>
      </c>
      <c r="CU127" s="334">
        <v>6.1829399999999994</v>
      </c>
      <c r="CV127" s="334">
        <v>2.91405</v>
      </c>
      <c r="CW127" s="334">
        <v>-0.10587000000000001</v>
      </c>
      <c r="CX127" s="334">
        <v>-0.60987000000000002</v>
      </c>
      <c r="CY127" s="334">
        <v>-0.13190000000000002</v>
      </c>
      <c r="CZ127" s="334">
        <v>0.11745999999999999</v>
      </c>
      <c r="DA127" s="334">
        <v>-0.10521999999999999</v>
      </c>
      <c r="DB127" s="334">
        <v>-0.67201999999999995</v>
      </c>
      <c r="DC127" s="334">
        <v>-0.74460000000000004</v>
      </c>
      <c r="DD127" s="334">
        <v>-0.74234</v>
      </c>
      <c r="DE127" s="334">
        <v>4.7891899999999996</v>
      </c>
      <c r="DF127" s="334">
        <v>-0.78346000000000005</v>
      </c>
      <c r="DG127" s="334">
        <v>-0.15359999999999999</v>
      </c>
      <c r="DH127" s="334">
        <v>-0.77163999999999999</v>
      </c>
      <c r="DI127" s="334">
        <v>-0.69120999999999999</v>
      </c>
      <c r="DJ127" s="334">
        <v>2.2159800000000001</v>
      </c>
      <c r="DK127" s="334">
        <v>1.4218900000000001</v>
      </c>
      <c r="DL127" s="334">
        <v>-0.22853000000000001</v>
      </c>
      <c r="DM127" s="334">
        <v>-0.71113999999999999</v>
      </c>
      <c r="DN127" s="334">
        <v>-0.67374999999999996</v>
      </c>
      <c r="DO127" s="334">
        <v>-0.81247000000000003</v>
      </c>
      <c r="DP127" s="334">
        <v>-0.80713999999999997</v>
      </c>
      <c r="DQ127" s="334">
        <v>-0.80291000000000001</v>
      </c>
      <c r="DR127" s="334">
        <v>-0.72945000000000004</v>
      </c>
      <c r="DS127" s="334">
        <v>-0.86736999999999997</v>
      </c>
      <c r="DT127" s="334">
        <v>-0.45735999999999999</v>
      </c>
      <c r="DU127" s="335">
        <v>-0.91544317733988123</v>
      </c>
      <c r="DV127" s="335">
        <v>-0.99390007881774523</v>
      </c>
      <c r="DW127" s="335">
        <v>-1.0723569802955524</v>
      </c>
      <c r="DX127" s="198">
        <v>-0.99390007881774523</v>
      </c>
      <c r="DY127" s="198">
        <v>-0.99390007881774523</v>
      </c>
      <c r="DZ127" s="198">
        <v>-0.99390007881774523</v>
      </c>
      <c r="EA127" s="198">
        <v>7.8456901477807151E-2</v>
      </c>
      <c r="EB127" s="198">
        <v>-0.99390007881774523</v>
      </c>
      <c r="EC127" s="198">
        <v>-0.99390007881774523</v>
      </c>
      <c r="ED127" s="198">
        <v>-0.99390007881774523</v>
      </c>
      <c r="EE127" s="198">
        <v>-0.99390007881774523</v>
      </c>
      <c r="EF127" s="198">
        <v>7.8456901477807151E-2</v>
      </c>
      <c r="EG127" s="198">
        <v>0</v>
      </c>
      <c r="EH127" s="198">
        <v>-1.2897807559645742</v>
      </c>
      <c r="EI127" s="336">
        <f t="shared" si="1"/>
        <v>-0.75450663546797625</v>
      </c>
      <c r="EJ127" s="336">
        <f>EI127-'[13]FAOSTAT21 CO2'!EH127</f>
        <v>3.2358804532023888E-2</v>
      </c>
    </row>
    <row r="128" spans="1:140" x14ac:dyDescent="0.25">
      <c r="A128" s="31">
        <v>9</v>
      </c>
      <c r="B128" s="31" t="s">
        <v>304</v>
      </c>
      <c r="C128" s="31">
        <v>125</v>
      </c>
      <c r="D128" s="31">
        <v>0</v>
      </c>
      <c r="E128" s="31">
        <v>0</v>
      </c>
      <c r="F128" s="31">
        <v>0</v>
      </c>
      <c r="G128" s="31">
        <v>0</v>
      </c>
      <c r="H128" s="331" t="s">
        <v>2475</v>
      </c>
      <c r="I128" s="331" t="s">
        <v>305</v>
      </c>
      <c r="J128" s="331"/>
      <c r="K128" s="331"/>
      <c r="L128" s="331"/>
      <c r="M128" s="331"/>
      <c r="N128" s="331"/>
      <c r="O128" s="331"/>
      <c r="P128" s="331"/>
      <c r="Q128" s="331"/>
      <c r="R128" s="331"/>
      <c r="S128" s="331"/>
      <c r="T128" s="331"/>
      <c r="U128" s="331"/>
      <c r="V128" s="331"/>
      <c r="W128" s="331"/>
      <c r="X128" s="331"/>
      <c r="Y128" s="331"/>
      <c r="Z128" s="331"/>
      <c r="AA128" s="331"/>
      <c r="AB128" s="331"/>
      <c r="AC128" s="331"/>
      <c r="AD128" s="331"/>
      <c r="AE128" s="331"/>
      <c r="AF128" s="331"/>
      <c r="AG128" s="331"/>
      <c r="AH128" s="331"/>
      <c r="AI128" s="331"/>
      <c r="AJ128" s="331"/>
      <c r="AK128" s="331"/>
      <c r="AL128" s="331"/>
      <c r="AM128" s="331"/>
      <c r="AN128" s="331"/>
      <c r="AO128" s="331"/>
      <c r="AP128" s="331"/>
      <c r="AQ128" s="331"/>
      <c r="AR128" s="331"/>
      <c r="AS128" s="331"/>
      <c r="AT128" s="331"/>
      <c r="AU128" s="331"/>
      <c r="AV128" s="331"/>
      <c r="AW128" s="331"/>
      <c r="AX128" s="331"/>
      <c r="AY128" s="332" t="s">
        <v>2476</v>
      </c>
      <c r="AZ128" s="332" t="s">
        <v>305</v>
      </c>
      <c r="BA128" s="332"/>
      <c r="BB128" s="332"/>
      <c r="BC128" s="332"/>
      <c r="BD128" s="332"/>
      <c r="BE128" s="332"/>
      <c r="BF128" s="332"/>
      <c r="BG128" s="332"/>
      <c r="BH128" s="332"/>
      <c r="BI128" s="332"/>
      <c r="BJ128" s="332"/>
      <c r="BK128" s="332"/>
      <c r="BL128" s="332"/>
      <c r="BM128" s="332"/>
      <c r="BN128" s="332"/>
      <c r="BO128" s="332"/>
      <c r="BP128" s="332"/>
      <c r="BQ128" s="332"/>
      <c r="BR128" s="332"/>
      <c r="BS128" s="332"/>
      <c r="BT128" s="332"/>
      <c r="BU128" s="332"/>
      <c r="BV128" s="332"/>
      <c r="BW128" s="332"/>
      <c r="BX128" s="332"/>
      <c r="BY128" s="332"/>
      <c r="BZ128" s="332"/>
      <c r="CA128" s="332"/>
      <c r="CB128" s="332"/>
      <c r="CC128" s="332"/>
      <c r="CD128" s="332"/>
      <c r="CE128" s="332"/>
      <c r="CF128" s="332"/>
      <c r="CG128" s="332"/>
      <c r="CH128" s="332"/>
      <c r="CI128" s="332"/>
      <c r="CJ128" s="332"/>
      <c r="CK128" s="332"/>
      <c r="CL128" s="332"/>
      <c r="CM128" s="332"/>
      <c r="CN128" s="332"/>
      <c r="CO128" s="332"/>
      <c r="CP128" s="333" t="s">
        <v>27</v>
      </c>
      <c r="CQ128" s="333" t="s">
        <v>305</v>
      </c>
      <c r="CR128" s="334">
        <v>-0.22</v>
      </c>
      <c r="CS128" s="334">
        <v>-0.22</v>
      </c>
      <c r="CT128" s="334">
        <v>-0.22</v>
      </c>
      <c r="CU128" s="334">
        <v>-0.22</v>
      </c>
      <c r="CV128" s="334">
        <v>-0.22</v>
      </c>
      <c r="CW128" s="334">
        <v>-0.22</v>
      </c>
      <c r="CX128" s="334">
        <v>-0.26749000000000001</v>
      </c>
      <c r="CY128" s="334">
        <v>-0.31497999999999998</v>
      </c>
      <c r="CZ128" s="334">
        <v>-0.36246999999999996</v>
      </c>
      <c r="DA128" s="334">
        <v>-0.40995999999999994</v>
      </c>
      <c r="DB128" s="334">
        <v>-0.45744999999999997</v>
      </c>
      <c r="DC128" s="334">
        <v>-0.46057999999999999</v>
      </c>
      <c r="DD128" s="334">
        <v>-0.41876999999999998</v>
      </c>
      <c r="DE128" s="334">
        <v>-0.45988999999999997</v>
      </c>
      <c r="DF128" s="334">
        <v>1.5492999999999999</v>
      </c>
      <c r="DG128" s="334">
        <v>-0.32390999999999998</v>
      </c>
      <c r="DH128" s="334">
        <v>-0.31142999999999998</v>
      </c>
      <c r="DI128" s="334">
        <v>-0.21384</v>
      </c>
      <c r="DJ128" s="334">
        <v>-0.30815000000000003</v>
      </c>
      <c r="DK128" s="334">
        <v>-0.31547000000000003</v>
      </c>
      <c r="DL128" s="334">
        <v>-0.29665000000000002</v>
      </c>
      <c r="DM128" s="334">
        <v>-0.31226999999999999</v>
      </c>
      <c r="DN128" s="334">
        <v>-0.31367</v>
      </c>
      <c r="DO128" s="334">
        <v>-0.3135</v>
      </c>
      <c r="DP128" s="334">
        <v>-0.31026999999999999</v>
      </c>
      <c r="DQ128" s="334">
        <v>-0.32156000000000001</v>
      </c>
      <c r="DR128" s="334">
        <v>-0.32971000000000006</v>
      </c>
      <c r="DS128" s="334">
        <v>-0.26661601139601121</v>
      </c>
      <c r="DT128" s="334">
        <v>-0.26821895400895368</v>
      </c>
      <c r="DU128" s="335">
        <v>-0.2698218966218966</v>
      </c>
      <c r="DV128" s="335">
        <v>-0.27142483923483907</v>
      </c>
      <c r="DW128" s="335">
        <v>-0.27302778184778198</v>
      </c>
      <c r="DX128" s="198">
        <v>-0.27142483923483907</v>
      </c>
      <c r="DY128" s="198">
        <v>-0.27142483923483907</v>
      </c>
      <c r="DZ128" s="198">
        <v>-0.27142483923483907</v>
      </c>
      <c r="EA128" s="198">
        <v>1.6029426129429147E-3</v>
      </c>
      <c r="EB128" s="198">
        <v>-0.27142483923483907</v>
      </c>
      <c r="EC128" s="198">
        <v>-0.27142483923483907</v>
      </c>
      <c r="ED128" s="198">
        <v>-0.27142483923483907</v>
      </c>
      <c r="EE128" s="198">
        <v>-0.27142483923483907</v>
      </c>
      <c r="EF128" s="198">
        <v>1.6029426129429147E-3</v>
      </c>
      <c r="EG128" s="198">
        <v>0</v>
      </c>
      <c r="EH128" s="198">
        <v>-0.3252384577054922</v>
      </c>
      <c r="EI128" s="336">
        <f t="shared" si="1"/>
        <v>-0.29118537240537229</v>
      </c>
      <c r="EJ128" s="336">
        <f>EI128-'[13]FAOSTAT21 CO2'!EH128</f>
        <v>-0.27219127240537228</v>
      </c>
    </row>
    <row r="129" spans="1:140" x14ac:dyDescent="0.25">
      <c r="A129" s="31">
        <v>3</v>
      </c>
      <c r="B129" s="31" t="s">
        <v>306</v>
      </c>
      <c r="C129" s="31">
        <v>126</v>
      </c>
      <c r="D129" s="31">
        <v>0</v>
      </c>
      <c r="E129" s="31">
        <v>1</v>
      </c>
      <c r="F129" s="31">
        <v>0</v>
      </c>
      <c r="G129" s="31">
        <v>1</v>
      </c>
      <c r="H129" s="331" t="s">
        <v>2475</v>
      </c>
      <c r="I129" s="331" t="s">
        <v>307</v>
      </c>
      <c r="J129" s="331"/>
      <c r="K129" s="331"/>
      <c r="L129" s="331"/>
      <c r="M129" s="331"/>
      <c r="N129" s="331"/>
      <c r="O129" s="331"/>
      <c r="P129" s="331"/>
      <c r="Q129" s="331"/>
      <c r="R129" s="331"/>
      <c r="S129" s="331"/>
      <c r="T129" s="331"/>
      <c r="U129" s="331"/>
      <c r="V129" s="331"/>
      <c r="W129" s="331"/>
      <c r="X129" s="331"/>
      <c r="Y129" s="331"/>
      <c r="Z129" s="331"/>
      <c r="AA129" s="331"/>
      <c r="AB129" s="331"/>
      <c r="AC129" s="331"/>
      <c r="AD129" s="331"/>
      <c r="AE129" s="331"/>
      <c r="AF129" s="331"/>
      <c r="AG129" s="331"/>
      <c r="AH129" s="331"/>
      <c r="AI129" s="331"/>
      <c r="AJ129" s="331"/>
      <c r="AK129" s="331"/>
      <c r="AL129" s="331"/>
      <c r="AM129" s="331"/>
      <c r="AN129" s="331"/>
      <c r="AO129" s="331"/>
      <c r="AP129" s="331"/>
      <c r="AQ129" s="331"/>
      <c r="AR129" s="331"/>
      <c r="AS129" s="331"/>
      <c r="AT129" s="331"/>
      <c r="AU129" s="331"/>
      <c r="AV129" s="331"/>
      <c r="AW129" s="331"/>
      <c r="AX129" s="331"/>
      <c r="AY129" s="332" t="s">
        <v>2476</v>
      </c>
      <c r="AZ129" s="332" t="s">
        <v>307</v>
      </c>
      <c r="BA129" s="332"/>
      <c r="BB129" s="332"/>
      <c r="BC129" s="332"/>
      <c r="BD129" s="332"/>
      <c r="BE129" s="332"/>
      <c r="BF129" s="332"/>
      <c r="BG129" s="332"/>
      <c r="BH129" s="332"/>
      <c r="BI129" s="332"/>
      <c r="BJ129" s="332"/>
      <c r="BK129" s="332"/>
      <c r="BL129" s="332"/>
      <c r="BM129" s="332"/>
      <c r="BN129" s="332"/>
      <c r="BO129" s="332"/>
      <c r="BP129" s="332"/>
      <c r="BQ129" s="332"/>
      <c r="BR129" s="332"/>
      <c r="BS129" s="332"/>
      <c r="BT129" s="332"/>
      <c r="BU129" s="332"/>
      <c r="BV129" s="332"/>
      <c r="BW129" s="332"/>
      <c r="BX129" s="332"/>
      <c r="BY129" s="332"/>
      <c r="BZ129" s="332"/>
      <c r="CA129" s="332"/>
      <c r="CB129" s="332"/>
      <c r="CC129" s="332"/>
      <c r="CD129" s="332"/>
      <c r="CE129" s="332"/>
      <c r="CF129" s="332"/>
      <c r="CG129" s="332"/>
      <c r="CH129" s="332"/>
      <c r="CI129" s="332"/>
      <c r="CJ129" s="332"/>
      <c r="CK129" s="332"/>
      <c r="CL129" s="332"/>
      <c r="CM129" s="332"/>
      <c r="CN129" s="332"/>
      <c r="CO129" s="332"/>
      <c r="CP129" s="333" t="s">
        <v>27</v>
      </c>
      <c r="CQ129" s="333" t="s">
        <v>307</v>
      </c>
      <c r="CR129" s="334">
        <v>0.69311272157606363</v>
      </c>
      <c r="CS129" s="334">
        <v>1.046793924506604</v>
      </c>
      <c r="CT129" s="334">
        <v>1.2404130165486926</v>
      </c>
      <c r="CU129" s="334">
        <v>4.3156432942655796</v>
      </c>
      <c r="CV129" s="334">
        <v>3.8751840862292024</v>
      </c>
      <c r="CW129" s="334">
        <v>3.2076431552536913</v>
      </c>
      <c r="CX129" s="334">
        <v>-1.1450445205583464</v>
      </c>
      <c r="CY129" s="334">
        <v>-6.187090580030171</v>
      </c>
      <c r="CZ129" s="334">
        <v>-8.6645965239297364</v>
      </c>
      <c r="DA129" s="334">
        <v>-11.776795460554721</v>
      </c>
      <c r="DB129" s="334">
        <v>-217.88959708222967</v>
      </c>
      <c r="DC129" s="334">
        <v>-212.75773918996393</v>
      </c>
      <c r="DD129" s="334">
        <v>-198.45719704265491</v>
      </c>
      <c r="DE129" s="334">
        <v>-201.1500976617468</v>
      </c>
      <c r="DF129" s="334">
        <v>-206.18916830317849</v>
      </c>
      <c r="DG129" s="334">
        <v>-199.91084225967745</v>
      </c>
      <c r="DH129" s="334">
        <v>-204.08767370233508</v>
      </c>
      <c r="DI129" s="334">
        <v>-195.56124928577916</v>
      </c>
      <c r="DJ129" s="334">
        <v>-197.76182120827613</v>
      </c>
      <c r="DK129" s="334">
        <v>-176.21318079440869</v>
      </c>
      <c r="DL129" s="334">
        <v>-187.04665868535773</v>
      </c>
      <c r="DM129" s="334">
        <v>-181.7353601628518</v>
      </c>
      <c r="DN129" s="334">
        <v>-185.77005570951479</v>
      </c>
      <c r="DO129" s="334">
        <v>-186.79761048257066</v>
      </c>
      <c r="DP129" s="334">
        <v>-181.46656045073394</v>
      </c>
      <c r="DQ129" s="334">
        <v>-193.37305537583617</v>
      </c>
      <c r="DR129" s="334">
        <v>-185.13898198723317</v>
      </c>
      <c r="DS129" s="334">
        <v>-204.72776233400131</v>
      </c>
      <c r="DT129" s="334">
        <v>-195.72708456157341</v>
      </c>
      <c r="DU129" s="335">
        <v>-201.94097263875773</v>
      </c>
      <c r="DV129" s="335">
        <v>-261.5332084772017</v>
      </c>
      <c r="DW129" s="335">
        <v>-269.96094793636439</v>
      </c>
      <c r="DX129" s="198">
        <v>-109</v>
      </c>
      <c r="DY129" s="198">
        <v>-261.5332084772017</v>
      </c>
      <c r="DZ129" s="198">
        <v>-269.96094793636439</v>
      </c>
      <c r="EA129" s="198">
        <v>0</v>
      </c>
      <c r="EB129" s="198">
        <v>-261.5332084772017</v>
      </c>
      <c r="EC129" s="198">
        <v>-261.5332084772017</v>
      </c>
      <c r="ED129" s="198">
        <v>-261.5332084772017</v>
      </c>
      <c r="EE129" s="198">
        <v>-261.5332084772017</v>
      </c>
      <c r="EF129" s="198">
        <v>8.4277394591626944</v>
      </c>
      <c r="EG129" s="198">
        <v>8.4277394591626944</v>
      </c>
      <c r="EH129" s="198">
        <v>-265.04369359999998</v>
      </c>
      <c r="EI129" s="336">
        <f t="shared" si="1"/>
        <v>-196.18157137948037</v>
      </c>
      <c r="EJ129" s="336">
        <f>EI129-'[13]FAOSTAT21 CO2'!EH129</f>
        <v>-210.50980249948037</v>
      </c>
    </row>
    <row r="130" spans="1:140" x14ac:dyDescent="0.25">
      <c r="A130" s="31">
        <v>24</v>
      </c>
      <c r="B130" s="31" t="s">
        <v>308</v>
      </c>
      <c r="C130" s="31">
        <v>149</v>
      </c>
      <c r="D130" s="31">
        <v>0</v>
      </c>
      <c r="E130" s="31">
        <v>0</v>
      </c>
      <c r="F130" s="31">
        <v>0</v>
      </c>
      <c r="G130" s="31">
        <v>0</v>
      </c>
      <c r="H130" s="331" t="s">
        <v>2475</v>
      </c>
      <c r="I130" s="331" t="s">
        <v>309</v>
      </c>
      <c r="J130" s="331"/>
      <c r="K130" s="331"/>
      <c r="L130" s="331"/>
      <c r="M130" s="331"/>
      <c r="N130" s="331"/>
      <c r="O130" s="331"/>
      <c r="P130" s="331"/>
      <c r="Q130" s="331"/>
      <c r="R130" s="331"/>
      <c r="S130" s="331"/>
      <c r="T130" s="331"/>
      <c r="U130" s="331"/>
      <c r="V130" s="331"/>
      <c r="W130" s="331"/>
      <c r="X130" s="331"/>
      <c r="Y130" s="331"/>
      <c r="Z130" s="331"/>
      <c r="AA130" s="331"/>
      <c r="AB130" s="331"/>
      <c r="AC130" s="331"/>
      <c r="AD130" s="331"/>
      <c r="AE130" s="331"/>
      <c r="AF130" s="331"/>
      <c r="AG130" s="331"/>
      <c r="AH130" s="331"/>
      <c r="AI130" s="331"/>
      <c r="AJ130" s="331"/>
      <c r="AK130" s="331"/>
      <c r="AL130" s="331"/>
      <c r="AM130" s="331"/>
      <c r="AN130" s="331"/>
      <c r="AO130" s="331"/>
      <c r="AP130" s="331"/>
      <c r="AQ130" s="331"/>
      <c r="AR130" s="331"/>
      <c r="AS130" s="331"/>
      <c r="AT130" s="331"/>
      <c r="AU130" s="331"/>
      <c r="AV130" s="331"/>
      <c r="AW130" s="331"/>
      <c r="AX130" s="331"/>
      <c r="AY130" s="332" t="s">
        <v>2476</v>
      </c>
      <c r="AZ130" s="332" t="s">
        <v>309</v>
      </c>
      <c r="BA130" s="332"/>
      <c r="BB130" s="332"/>
      <c r="BC130" s="332"/>
      <c r="BD130" s="332"/>
      <c r="BE130" s="332"/>
      <c r="BF130" s="332"/>
      <c r="BG130" s="332"/>
      <c r="BH130" s="332"/>
      <c r="BI130" s="332"/>
      <c r="BJ130" s="332"/>
      <c r="BK130" s="332"/>
      <c r="BL130" s="332"/>
      <c r="BM130" s="332"/>
      <c r="BN130" s="332"/>
      <c r="BO130" s="332"/>
      <c r="BP130" s="332"/>
      <c r="BQ130" s="332"/>
      <c r="BR130" s="332"/>
      <c r="BS130" s="332"/>
      <c r="BT130" s="332"/>
      <c r="BU130" s="332"/>
      <c r="BV130" s="332"/>
      <c r="BW130" s="332"/>
      <c r="BX130" s="332"/>
      <c r="BY130" s="332"/>
      <c r="BZ130" s="332"/>
      <c r="CA130" s="332"/>
      <c r="CB130" s="332"/>
      <c r="CC130" s="332"/>
      <c r="CD130" s="332"/>
      <c r="CE130" s="332"/>
      <c r="CF130" s="332"/>
      <c r="CG130" s="332"/>
      <c r="CH130" s="332"/>
      <c r="CI130" s="332"/>
      <c r="CJ130" s="332"/>
      <c r="CK130" s="332"/>
      <c r="CL130" s="332"/>
      <c r="CM130" s="332"/>
      <c r="CN130" s="332"/>
      <c r="CO130" s="332"/>
      <c r="CP130" s="333" t="s">
        <v>27</v>
      </c>
      <c r="CQ130" s="333" t="s">
        <v>309</v>
      </c>
      <c r="CR130" s="334">
        <v>-0.56799999999999995</v>
      </c>
      <c r="CS130" s="334">
        <v>-0.56799999999999995</v>
      </c>
      <c r="CT130" s="334">
        <v>-0.56799999999999995</v>
      </c>
      <c r="CU130" s="334">
        <v>-0.56799999999999995</v>
      </c>
      <c r="CV130" s="334">
        <v>-0.56799999999999995</v>
      </c>
      <c r="CW130" s="334">
        <v>-0.56799999999999995</v>
      </c>
      <c r="CX130" s="334">
        <v>-0.56799999999999995</v>
      </c>
      <c r="CY130" s="334">
        <v>-0.56799999999999995</v>
      </c>
      <c r="CZ130" s="334">
        <v>-0.56799999999999995</v>
      </c>
      <c r="DA130" s="334">
        <v>-0.56799999999999995</v>
      </c>
      <c r="DB130" s="334">
        <v>-0.56799999999999995</v>
      </c>
      <c r="DC130" s="334">
        <v>-0.56799999999999995</v>
      </c>
      <c r="DD130" s="334">
        <v>-0.56799999999999995</v>
      </c>
      <c r="DE130" s="334">
        <v>-0.56799999999999995</v>
      </c>
      <c r="DF130" s="334">
        <v>-0.56799999999999995</v>
      </c>
      <c r="DG130" s="334">
        <v>-0.56799999999999995</v>
      </c>
      <c r="DH130" s="334">
        <v>-0.56799999999999995</v>
      </c>
      <c r="DI130" s="334">
        <v>-0.56799999999999995</v>
      </c>
      <c r="DJ130" s="334">
        <v>-0.56799999999999995</v>
      </c>
      <c r="DK130" s="334">
        <v>-0.56799999999999995</v>
      </c>
      <c r="DL130" s="334">
        <v>-0.56799999999999995</v>
      </c>
      <c r="DM130" s="334">
        <v>-0.56799999999999995</v>
      </c>
      <c r="DN130" s="334">
        <v>-0.56799999999999995</v>
      </c>
      <c r="DO130" s="334">
        <v>-0.56799999999999995</v>
      </c>
      <c r="DP130" s="334">
        <v>-0.56799999999999995</v>
      </c>
      <c r="DQ130" s="334">
        <v>-0.56799999999999995</v>
      </c>
      <c r="DR130" s="334">
        <v>-0.56799999999999995</v>
      </c>
      <c r="DS130" s="334">
        <v>-0.56799999999999995</v>
      </c>
      <c r="DT130" s="334">
        <v>-0.56799999999999995</v>
      </c>
      <c r="DU130" s="335">
        <v>-0.56799999999999995</v>
      </c>
      <c r="DV130" s="335">
        <v>-0.56799999999999995</v>
      </c>
      <c r="DW130" s="335">
        <v>-0.56799999999999995</v>
      </c>
      <c r="DX130" s="198">
        <v>-0.56799999999999995</v>
      </c>
      <c r="DY130" s="198">
        <v>-0.56799999999999995</v>
      </c>
      <c r="DZ130" s="198">
        <v>-0.56799999999999995</v>
      </c>
      <c r="EA130" s="198">
        <v>0</v>
      </c>
      <c r="EB130" s="198">
        <v>-0.56799999999999995</v>
      </c>
      <c r="EC130" s="198">
        <v>-0.56799999999999995</v>
      </c>
      <c r="ED130" s="198">
        <v>-0.56799999999999995</v>
      </c>
      <c r="EE130" s="198">
        <v>-0.56799999999999995</v>
      </c>
      <c r="EF130" s="198">
        <v>0</v>
      </c>
      <c r="EG130" s="198">
        <v>0</v>
      </c>
      <c r="EH130" s="198">
        <v>-0.52999759686037162</v>
      </c>
      <c r="EI130" s="336">
        <f t="shared" si="1"/>
        <v>-0.56799999999999995</v>
      </c>
      <c r="EJ130" s="336">
        <f>EI130-'[13]FAOSTAT21 CO2'!EH130</f>
        <v>-0.53419147999999994</v>
      </c>
    </row>
    <row r="131" spans="1:140" x14ac:dyDescent="0.25">
      <c r="A131" s="31">
        <v>14</v>
      </c>
      <c r="B131" s="31" t="s">
        <v>310</v>
      </c>
      <c r="C131" s="31">
        <v>129</v>
      </c>
      <c r="D131" s="31">
        <v>0</v>
      </c>
      <c r="E131" s="31">
        <v>0</v>
      </c>
      <c r="F131" s="31">
        <v>0</v>
      </c>
      <c r="G131" s="31">
        <v>0</v>
      </c>
      <c r="H131" s="331" t="s">
        <v>2475</v>
      </c>
      <c r="I131" s="331" t="s">
        <v>311</v>
      </c>
      <c r="J131" s="331"/>
      <c r="K131" s="331"/>
      <c r="L131" s="331"/>
      <c r="M131" s="331"/>
      <c r="N131" s="331"/>
      <c r="O131" s="331"/>
      <c r="P131" s="331"/>
      <c r="Q131" s="331"/>
      <c r="R131" s="331"/>
      <c r="S131" s="331"/>
      <c r="T131" s="331"/>
      <c r="U131" s="331"/>
      <c r="V131" s="331"/>
      <c r="W131" s="331"/>
      <c r="X131" s="331"/>
      <c r="Y131" s="331"/>
      <c r="Z131" s="331"/>
      <c r="AA131" s="331"/>
      <c r="AB131" s="331"/>
      <c r="AC131" s="331"/>
      <c r="AD131" s="331"/>
      <c r="AE131" s="331"/>
      <c r="AF131" s="331"/>
      <c r="AG131" s="331"/>
      <c r="AH131" s="331"/>
      <c r="AI131" s="331"/>
      <c r="AJ131" s="331"/>
      <c r="AK131" s="331"/>
      <c r="AL131" s="331"/>
      <c r="AM131" s="331"/>
      <c r="AN131" s="331"/>
      <c r="AO131" s="331"/>
      <c r="AP131" s="331"/>
      <c r="AQ131" s="331"/>
      <c r="AR131" s="331"/>
      <c r="AS131" s="331"/>
      <c r="AT131" s="331"/>
      <c r="AU131" s="331"/>
      <c r="AV131" s="331"/>
      <c r="AW131" s="331"/>
      <c r="AX131" s="331"/>
      <c r="AY131" s="332" t="s">
        <v>2476</v>
      </c>
      <c r="AZ131" s="332" t="s">
        <v>311</v>
      </c>
      <c r="BA131" s="332"/>
      <c r="BB131" s="332"/>
      <c r="BC131" s="332"/>
      <c r="BD131" s="332"/>
      <c r="BE131" s="332"/>
      <c r="BF131" s="332"/>
      <c r="BG131" s="332"/>
      <c r="BH131" s="332"/>
      <c r="BI131" s="332"/>
      <c r="BJ131" s="332"/>
      <c r="BK131" s="332"/>
      <c r="BL131" s="332"/>
      <c r="BM131" s="332"/>
      <c r="BN131" s="332"/>
      <c r="BO131" s="332"/>
      <c r="BP131" s="332"/>
      <c r="BQ131" s="332"/>
      <c r="BR131" s="332"/>
      <c r="BS131" s="332"/>
      <c r="BT131" s="332"/>
      <c r="BU131" s="332"/>
      <c r="BV131" s="332"/>
      <c r="BW131" s="332"/>
      <c r="BX131" s="332"/>
      <c r="BY131" s="332"/>
      <c r="BZ131" s="332"/>
      <c r="CA131" s="332"/>
      <c r="CB131" s="332"/>
      <c r="CC131" s="332"/>
      <c r="CD131" s="332"/>
      <c r="CE131" s="332"/>
      <c r="CF131" s="332"/>
      <c r="CG131" s="332"/>
      <c r="CH131" s="332"/>
      <c r="CI131" s="332"/>
      <c r="CJ131" s="332"/>
      <c r="CK131" s="332"/>
      <c r="CL131" s="332"/>
      <c r="CM131" s="332"/>
      <c r="CN131" s="332"/>
      <c r="CO131" s="332"/>
      <c r="CP131" s="333" t="s">
        <v>27</v>
      </c>
      <c r="CQ131" s="333" t="s">
        <v>311</v>
      </c>
      <c r="CR131" s="334">
        <v>-1.6575</v>
      </c>
      <c r="CS131" s="334">
        <v>-2.7216</v>
      </c>
      <c r="CT131" s="334">
        <v>-2.1160999999999999</v>
      </c>
      <c r="CU131" s="334">
        <v>-2.1392000000000002</v>
      </c>
      <c r="CV131" s="334">
        <v>-2.0731000000000002</v>
      </c>
      <c r="CW131" s="334">
        <v>-2.0310999999999999</v>
      </c>
      <c r="CX131" s="334">
        <v>-2.4767000000000001</v>
      </c>
      <c r="CY131" s="334">
        <v>-2.1156999999999999</v>
      </c>
      <c r="CZ131" s="334">
        <v>-2.1358000000000001</v>
      </c>
      <c r="DA131" s="334">
        <v>-1.8442000000000001</v>
      </c>
      <c r="DB131" s="334">
        <v>-2.1233</v>
      </c>
      <c r="DC131" s="334">
        <v>-1.7669999999999999</v>
      </c>
      <c r="DD131" s="334">
        <v>-1.8543000000000001</v>
      </c>
      <c r="DE131" s="334">
        <v>-1.7847999999999999</v>
      </c>
      <c r="DF131" s="334">
        <v>-1.9579</v>
      </c>
      <c r="DG131" s="334">
        <v>-1.6675</v>
      </c>
      <c r="DH131" s="334">
        <v>-1.7934000000000001</v>
      </c>
      <c r="DI131" s="334">
        <v>-1.9892000000000001</v>
      </c>
      <c r="DJ131" s="334">
        <v>-1.6836</v>
      </c>
      <c r="DK131" s="334">
        <v>-1.2949999999999999</v>
      </c>
      <c r="DL131" s="334">
        <v>-1.2282</v>
      </c>
      <c r="DM131" s="334">
        <v>-1.1698999999999999</v>
      </c>
      <c r="DN131" s="334">
        <v>-1.1991000000000001</v>
      </c>
      <c r="DO131" s="334">
        <v>-1.071</v>
      </c>
      <c r="DP131" s="334">
        <v>-0.72470000000000001</v>
      </c>
      <c r="DQ131" s="334">
        <v>-1.1819</v>
      </c>
      <c r="DR131" s="334">
        <v>-0.9375</v>
      </c>
      <c r="DS131" s="334">
        <v>-0.99329999999999996</v>
      </c>
      <c r="DT131" s="334">
        <v>-0.84109999999999996</v>
      </c>
      <c r="DU131" s="335">
        <v>1.3299999999999999E-2</v>
      </c>
      <c r="DV131" s="335">
        <v>-3.5000000000000001E-3</v>
      </c>
      <c r="DW131" s="335">
        <v>-0.56162516129033691</v>
      </c>
      <c r="DX131" s="198">
        <v>-1</v>
      </c>
      <c r="DY131" s="198">
        <v>-6</v>
      </c>
      <c r="DZ131" s="198">
        <v>-6</v>
      </c>
      <c r="EA131" s="198">
        <v>-5.4383748387096631</v>
      </c>
      <c r="EB131" s="198">
        <v>-3.5000000000000001E-3</v>
      </c>
      <c r="EC131" s="198">
        <v>-3.5000000000000001E-3</v>
      </c>
      <c r="ED131" s="198">
        <v>-3.5000000000000001E-3</v>
      </c>
      <c r="EE131" s="198">
        <v>-3.5000000000000001E-3</v>
      </c>
      <c r="EF131" s="198">
        <v>0.55812516129033696</v>
      </c>
      <c r="EG131" s="198">
        <v>5.9965000000000002</v>
      </c>
      <c r="EH131" s="198">
        <v>-4.6623821612392933E-3</v>
      </c>
      <c r="EI131" s="336">
        <f t="shared" ref="EI131:EI194" si="2">AVERAGE(DQ131:DU131)</f>
        <v>-0.78809999999999991</v>
      </c>
      <c r="EJ131" s="336">
        <f>EI131-'[13]FAOSTAT21 CO2'!EH131</f>
        <v>-0.78370963999999987</v>
      </c>
    </row>
    <row r="132" spans="1:140" x14ac:dyDescent="0.25">
      <c r="A132" s="31">
        <v>11</v>
      </c>
      <c r="B132" s="31" t="s">
        <v>312</v>
      </c>
      <c r="C132" s="31">
        <v>127</v>
      </c>
      <c r="D132" s="31">
        <v>0</v>
      </c>
      <c r="E132" s="31">
        <v>0</v>
      </c>
      <c r="F132" s="31">
        <v>1</v>
      </c>
      <c r="G132" s="31">
        <v>0</v>
      </c>
      <c r="H132" s="331" t="s">
        <v>2475</v>
      </c>
      <c r="I132" s="331" t="s">
        <v>313</v>
      </c>
      <c r="J132" s="331"/>
      <c r="K132" s="331"/>
      <c r="L132" s="331"/>
      <c r="M132" s="331"/>
      <c r="N132" s="331"/>
      <c r="O132" s="331"/>
      <c r="P132" s="331"/>
      <c r="Q132" s="331"/>
      <c r="R132" s="331"/>
      <c r="S132" s="331"/>
      <c r="T132" s="331"/>
      <c r="U132" s="331"/>
      <c r="V132" s="331"/>
      <c r="W132" s="331"/>
      <c r="X132" s="331"/>
      <c r="Y132" s="331"/>
      <c r="Z132" s="331"/>
      <c r="AA132" s="331"/>
      <c r="AB132" s="331"/>
      <c r="AC132" s="331"/>
      <c r="AD132" s="331"/>
      <c r="AE132" s="331"/>
      <c r="AF132" s="331"/>
      <c r="AG132" s="331"/>
      <c r="AH132" s="331"/>
      <c r="AI132" s="331"/>
      <c r="AJ132" s="331"/>
      <c r="AK132" s="331"/>
      <c r="AL132" s="331"/>
      <c r="AM132" s="331"/>
      <c r="AN132" s="331"/>
      <c r="AO132" s="331"/>
      <c r="AP132" s="331"/>
      <c r="AQ132" s="331"/>
      <c r="AR132" s="331"/>
      <c r="AS132" s="331"/>
      <c r="AT132" s="331"/>
      <c r="AU132" s="331"/>
      <c r="AV132" s="331"/>
      <c r="AW132" s="331"/>
      <c r="AX132" s="331"/>
      <c r="AY132" s="332" t="s">
        <v>2476</v>
      </c>
      <c r="AZ132" s="332" t="s">
        <v>313</v>
      </c>
      <c r="BA132" s="332"/>
      <c r="BB132" s="332"/>
      <c r="BC132" s="332"/>
      <c r="BD132" s="332"/>
      <c r="BE132" s="332"/>
      <c r="BF132" s="332"/>
      <c r="BG132" s="332"/>
      <c r="BH132" s="332"/>
      <c r="BI132" s="332"/>
      <c r="BJ132" s="332"/>
      <c r="BK132" s="332"/>
      <c r="BL132" s="332"/>
      <c r="BM132" s="332"/>
      <c r="BN132" s="332"/>
      <c r="BO132" s="332"/>
      <c r="BP132" s="332"/>
      <c r="BQ132" s="332"/>
      <c r="BR132" s="332"/>
      <c r="BS132" s="332"/>
      <c r="BT132" s="332"/>
      <c r="BU132" s="332"/>
      <c r="BV132" s="332"/>
      <c r="BW132" s="332"/>
      <c r="BX132" s="332"/>
      <c r="BY132" s="332"/>
      <c r="BZ132" s="332"/>
      <c r="CA132" s="332"/>
      <c r="CB132" s="332"/>
      <c r="CC132" s="332"/>
      <c r="CD132" s="332"/>
      <c r="CE132" s="332"/>
      <c r="CF132" s="332"/>
      <c r="CG132" s="332"/>
      <c r="CH132" s="332"/>
      <c r="CI132" s="332"/>
      <c r="CJ132" s="332"/>
      <c r="CK132" s="332"/>
      <c r="CL132" s="332"/>
      <c r="CM132" s="332"/>
      <c r="CN132" s="332"/>
      <c r="CO132" s="332"/>
      <c r="CP132" s="333" t="s">
        <v>27</v>
      </c>
      <c r="CQ132" s="333" t="s">
        <v>313</v>
      </c>
      <c r="CR132" s="334">
        <v>-0.11307622954179</v>
      </c>
      <c r="CS132" s="334">
        <v>-0.11324764848686</v>
      </c>
      <c r="CT132" s="334">
        <v>-0.11530558359672</v>
      </c>
      <c r="CU132" s="334">
        <v>-0.11579971323527</v>
      </c>
      <c r="CV132" s="334">
        <v>-0.11849628983271</v>
      </c>
      <c r="CW132" s="334">
        <v>-0.11844096897088</v>
      </c>
      <c r="CX132" s="334">
        <v>-0.11566173623787</v>
      </c>
      <c r="CY132" s="334">
        <v>-0.11294468730857</v>
      </c>
      <c r="CZ132" s="334">
        <v>-0.10939221209099</v>
      </c>
      <c r="DA132" s="334">
        <v>-0.10707569591548</v>
      </c>
      <c r="DB132" s="334">
        <v>-0.10356091569415</v>
      </c>
      <c r="DC132" s="334">
        <v>-0.10124651446719</v>
      </c>
      <c r="DD132" s="334">
        <v>-8.8301222978559996E-2</v>
      </c>
      <c r="DE132" s="334">
        <v>-8.3798585437550005E-2</v>
      </c>
      <c r="DF132" s="334">
        <v>-2.3754179721829999E-2</v>
      </c>
      <c r="DG132" s="334">
        <v>-8.5165920696050001E-2</v>
      </c>
      <c r="DH132" s="334">
        <v>-5.1234267770530001E-2</v>
      </c>
      <c r="DI132" s="334">
        <v>-9.095198221353E-2</v>
      </c>
      <c r="DJ132" s="334">
        <v>-8.5029118510260002E-2</v>
      </c>
      <c r="DK132" s="334">
        <v>-8.7165598053549995E-2</v>
      </c>
      <c r="DL132" s="334">
        <v>-8.340860583977E-2</v>
      </c>
      <c r="DM132" s="334">
        <v>-8.5460131172879997E-2</v>
      </c>
      <c r="DN132" s="334">
        <v>-7.9957928965300004E-2</v>
      </c>
      <c r="DO132" s="334">
        <v>-7.423675622775E-2</v>
      </c>
      <c r="DP132" s="334">
        <v>-6.8132383508460001E-2</v>
      </c>
      <c r="DQ132" s="334">
        <v>4.3006862031689998E-2</v>
      </c>
      <c r="DR132" s="334">
        <v>-6.3317041863670001E-2</v>
      </c>
      <c r="DS132" s="334">
        <v>-6.2335173994819998E-2</v>
      </c>
      <c r="DT132" s="334">
        <v>-6.6009699491539994E-2</v>
      </c>
      <c r="DU132" s="335">
        <v>4.6692809066440001E-2</v>
      </c>
      <c r="DV132" s="335">
        <v>-6.7311174951220007E-2</v>
      </c>
      <c r="DW132" s="335">
        <v>-7.2830155686500003E-2</v>
      </c>
      <c r="DX132" s="198">
        <v>-2.0000000000000002E-5</v>
      </c>
      <c r="DY132" s="198">
        <v>-2.0000000000000002E-5</v>
      </c>
      <c r="DZ132" s="198">
        <v>-2.0000000000000002E-5</v>
      </c>
      <c r="EA132" s="198">
        <v>7.2810155686499997E-2</v>
      </c>
      <c r="EB132" s="198">
        <v>-6.7311174951220007E-2</v>
      </c>
      <c r="EC132" s="198">
        <v>-6.7311174951220007E-2</v>
      </c>
      <c r="ED132" s="198">
        <v>-6.7311174951220007E-2</v>
      </c>
      <c r="EE132" s="198">
        <v>-6.7311174951220007E-2</v>
      </c>
      <c r="EF132" s="198">
        <v>5.5189807352799963E-3</v>
      </c>
      <c r="EG132" s="198">
        <v>-6.7291174951220001E-2</v>
      </c>
      <c r="EH132" s="198">
        <v>-6.9699967300099877E-2</v>
      </c>
      <c r="EI132" s="336"/>
      <c r="EJ132" s="336"/>
    </row>
    <row r="133" spans="1:140" x14ac:dyDescent="0.25">
      <c r="A133" s="31">
        <v>20</v>
      </c>
      <c r="B133" s="31" t="s">
        <v>314</v>
      </c>
      <c r="C133" s="31">
        <v>128</v>
      </c>
      <c r="D133" s="31">
        <v>0</v>
      </c>
      <c r="E133" s="31">
        <v>0</v>
      </c>
      <c r="F133" s="31">
        <v>0</v>
      </c>
      <c r="G133" s="31">
        <v>0</v>
      </c>
      <c r="H133" s="331" t="s">
        <v>2475</v>
      </c>
      <c r="I133" s="331" t="s">
        <v>315</v>
      </c>
      <c r="J133" s="331"/>
      <c r="K133" s="331"/>
      <c r="L133" s="331"/>
      <c r="M133" s="331"/>
      <c r="N133" s="331"/>
      <c r="O133" s="331"/>
      <c r="P133" s="331"/>
      <c r="Q133" s="331"/>
      <c r="R133" s="331"/>
      <c r="S133" s="331"/>
      <c r="T133" s="331"/>
      <c r="U133" s="331"/>
      <c r="V133" s="331"/>
      <c r="W133" s="331"/>
      <c r="X133" s="331"/>
      <c r="Y133" s="331"/>
      <c r="Z133" s="331"/>
      <c r="AA133" s="331"/>
      <c r="AB133" s="331"/>
      <c r="AC133" s="331"/>
      <c r="AD133" s="331"/>
      <c r="AE133" s="331"/>
      <c r="AF133" s="331"/>
      <c r="AG133" s="331"/>
      <c r="AH133" s="331"/>
      <c r="AI133" s="331"/>
      <c r="AJ133" s="331"/>
      <c r="AK133" s="331"/>
      <c r="AL133" s="331"/>
      <c r="AM133" s="331"/>
      <c r="AN133" s="331"/>
      <c r="AO133" s="331"/>
      <c r="AP133" s="331"/>
      <c r="AQ133" s="331"/>
      <c r="AR133" s="331"/>
      <c r="AS133" s="331"/>
      <c r="AT133" s="331"/>
      <c r="AU133" s="331"/>
      <c r="AV133" s="331"/>
      <c r="AW133" s="331"/>
      <c r="AX133" s="331"/>
      <c r="AY133" s="332" t="s">
        <v>2476</v>
      </c>
      <c r="AZ133" s="332" t="s">
        <v>315</v>
      </c>
      <c r="BA133" s="332"/>
      <c r="BB133" s="332"/>
      <c r="BC133" s="332"/>
      <c r="BD133" s="332"/>
      <c r="BE133" s="332"/>
      <c r="BF133" s="332"/>
      <c r="BG133" s="332"/>
      <c r="BH133" s="332"/>
      <c r="BI133" s="332"/>
      <c r="BJ133" s="332"/>
      <c r="BK133" s="332"/>
      <c r="BL133" s="332"/>
      <c r="BM133" s="332"/>
      <c r="BN133" s="332"/>
      <c r="BO133" s="332"/>
      <c r="BP133" s="332"/>
      <c r="BQ133" s="332"/>
      <c r="BR133" s="332"/>
      <c r="BS133" s="332"/>
      <c r="BT133" s="332"/>
      <c r="BU133" s="332"/>
      <c r="BV133" s="332"/>
      <c r="BW133" s="332"/>
      <c r="BX133" s="332"/>
      <c r="BY133" s="332"/>
      <c r="BZ133" s="332"/>
      <c r="CA133" s="332"/>
      <c r="CB133" s="332"/>
      <c r="CC133" s="332"/>
      <c r="CD133" s="332"/>
      <c r="CE133" s="332"/>
      <c r="CF133" s="332"/>
      <c r="CG133" s="332"/>
      <c r="CH133" s="332"/>
      <c r="CI133" s="332"/>
      <c r="CJ133" s="332"/>
      <c r="CK133" s="332"/>
      <c r="CL133" s="332"/>
      <c r="CM133" s="332"/>
      <c r="CN133" s="332"/>
      <c r="CO133" s="332"/>
      <c r="CP133" s="333" t="s">
        <v>27</v>
      </c>
      <c r="CQ133" s="333" t="s">
        <v>315</v>
      </c>
      <c r="CR133" s="334">
        <v>-29.027189999999997</v>
      </c>
      <c r="CS133" s="334">
        <v>-30.777080000000002</v>
      </c>
      <c r="CT133" s="334">
        <v>-30.796130000000002</v>
      </c>
      <c r="CU133" s="334">
        <v>-30.583269999999999</v>
      </c>
      <c r="CV133" s="334">
        <v>-30.565819999999999</v>
      </c>
      <c r="CW133" s="334">
        <v>-30.820640000000001</v>
      </c>
      <c r="CX133" s="334">
        <v>-23.97392</v>
      </c>
      <c r="CY133" s="334">
        <v>-27.80697</v>
      </c>
      <c r="CZ133" s="334">
        <v>-27.32836</v>
      </c>
      <c r="DA133" s="334">
        <v>-29.32159</v>
      </c>
      <c r="DB133" s="334">
        <v>-27.13937</v>
      </c>
      <c r="DC133" s="334">
        <v>-28.19379</v>
      </c>
      <c r="DD133" s="334">
        <v>-28.1327</v>
      </c>
      <c r="DE133" s="334">
        <v>-26.968869999999999</v>
      </c>
      <c r="DF133" s="334">
        <v>-29.62481</v>
      </c>
      <c r="DG133" s="334">
        <v>-29.684240000000003</v>
      </c>
      <c r="DH133" s="334">
        <v>-29.450740000000003</v>
      </c>
      <c r="DI133" s="334">
        <v>-28.67681</v>
      </c>
      <c r="DJ133" s="334">
        <v>-28.205770000000001</v>
      </c>
      <c r="DK133" s="334">
        <v>-27.917770000000001</v>
      </c>
      <c r="DL133" s="334">
        <v>-30.265240000000002</v>
      </c>
      <c r="DM133" s="334">
        <v>-30.1159</v>
      </c>
      <c r="DN133" s="334">
        <v>-28.25761</v>
      </c>
      <c r="DO133" s="334">
        <v>-29.648229999999998</v>
      </c>
      <c r="DP133" s="334">
        <v>-30.46611</v>
      </c>
      <c r="DQ133" s="334">
        <v>-30.69125</v>
      </c>
      <c r="DR133" s="334">
        <v>-29.852240000000002</v>
      </c>
      <c r="DS133" s="334">
        <v>-29.743290000000002</v>
      </c>
      <c r="DT133" s="334">
        <v>-30.087019999999999</v>
      </c>
      <c r="DU133" s="335">
        <v>-30.200880000000002</v>
      </c>
      <c r="DV133" s="335">
        <v>-30.172519999999999</v>
      </c>
      <c r="DW133" s="335">
        <v>-29.713348516129038</v>
      </c>
      <c r="DX133" s="198">
        <v>-30.172519999999999</v>
      </c>
      <c r="DY133" s="198">
        <v>-30.172519999999999</v>
      </c>
      <c r="DZ133" s="198">
        <v>-13</v>
      </c>
      <c r="EA133" s="198">
        <v>16.713348516129038</v>
      </c>
      <c r="EB133" s="198">
        <v>-30.172519999999999</v>
      </c>
      <c r="EC133" s="198">
        <v>-30.172519999999999</v>
      </c>
      <c r="ED133" s="198">
        <v>-30.172519999999999</v>
      </c>
      <c r="EE133" s="198">
        <v>-30.172519999999999</v>
      </c>
      <c r="EF133" s="198">
        <v>-0.45917148387096063</v>
      </c>
      <c r="EG133" s="198">
        <v>-17.172519999999999</v>
      </c>
      <c r="EH133" s="198">
        <v>-49.274788268070992</v>
      </c>
      <c r="EI133" s="336">
        <f t="shared" si="2"/>
        <v>-30.114936</v>
      </c>
      <c r="EJ133" s="336">
        <f>EI133-'[13]FAOSTAT21 CO2'!EH133</f>
        <v>-33.229080639999999</v>
      </c>
    </row>
    <row r="134" spans="1:140" x14ac:dyDescent="0.25">
      <c r="A134" s="31">
        <v>4</v>
      </c>
      <c r="B134" s="31" t="s">
        <v>316</v>
      </c>
      <c r="C134" s="31">
        <v>130</v>
      </c>
      <c r="D134" s="31">
        <v>0</v>
      </c>
      <c r="E134" s="31">
        <v>0</v>
      </c>
      <c r="F134" s="31">
        <v>0</v>
      </c>
      <c r="G134" s="31">
        <v>0</v>
      </c>
      <c r="H134" s="331" t="s">
        <v>2475</v>
      </c>
      <c r="I134" s="331" t="s">
        <v>317</v>
      </c>
      <c r="J134" s="331"/>
      <c r="K134" s="331"/>
      <c r="L134" s="331"/>
      <c r="M134" s="331"/>
      <c r="N134" s="331"/>
      <c r="O134" s="331"/>
      <c r="P134" s="331"/>
      <c r="Q134" s="331"/>
      <c r="R134" s="331"/>
      <c r="S134" s="331"/>
      <c r="T134" s="331"/>
      <c r="U134" s="331"/>
      <c r="V134" s="331"/>
      <c r="W134" s="331"/>
      <c r="X134" s="331"/>
      <c r="Y134" s="331"/>
      <c r="Z134" s="331"/>
      <c r="AA134" s="331"/>
      <c r="AB134" s="331"/>
      <c r="AC134" s="331"/>
      <c r="AD134" s="331"/>
      <c r="AE134" s="331"/>
      <c r="AF134" s="331"/>
      <c r="AG134" s="331"/>
      <c r="AH134" s="331"/>
      <c r="AI134" s="331"/>
      <c r="AJ134" s="331"/>
      <c r="AK134" s="331"/>
      <c r="AL134" s="331"/>
      <c r="AM134" s="331"/>
      <c r="AN134" s="331"/>
      <c r="AO134" s="331"/>
      <c r="AP134" s="331"/>
      <c r="AQ134" s="331"/>
      <c r="AR134" s="331"/>
      <c r="AS134" s="331"/>
      <c r="AT134" s="331"/>
      <c r="AU134" s="331"/>
      <c r="AV134" s="331"/>
      <c r="AW134" s="331"/>
      <c r="AX134" s="331"/>
      <c r="AY134" s="332" t="s">
        <v>2476</v>
      </c>
      <c r="AZ134" s="332" t="s">
        <v>317</v>
      </c>
      <c r="BA134" s="332"/>
      <c r="BB134" s="332"/>
      <c r="BC134" s="332"/>
      <c r="BD134" s="332"/>
      <c r="BE134" s="332"/>
      <c r="BF134" s="332"/>
      <c r="BG134" s="332"/>
      <c r="BH134" s="332"/>
      <c r="BI134" s="332"/>
      <c r="BJ134" s="332"/>
      <c r="BK134" s="332"/>
      <c r="BL134" s="332"/>
      <c r="BM134" s="332"/>
      <c r="BN134" s="332"/>
      <c r="BO134" s="332"/>
      <c r="BP134" s="332"/>
      <c r="BQ134" s="332"/>
      <c r="BR134" s="332"/>
      <c r="BS134" s="332"/>
      <c r="BT134" s="332"/>
      <c r="BU134" s="332"/>
      <c r="BV134" s="332"/>
      <c r="BW134" s="332"/>
      <c r="BX134" s="332"/>
      <c r="BY134" s="332"/>
      <c r="BZ134" s="332"/>
      <c r="CA134" s="332"/>
      <c r="CB134" s="332"/>
      <c r="CC134" s="332"/>
      <c r="CD134" s="332"/>
      <c r="CE134" s="332"/>
      <c r="CF134" s="332"/>
      <c r="CG134" s="332"/>
      <c r="CH134" s="332"/>
      <c r="CI134" s="332"/>
      <c r="CJ134" s="332"/>
      <c r="CK134" s="332"/>
      <c r="CL134" s="332"/>
      <c r="CM134" s="332"/>
      <c r="CN134" s="332"/>
      <c r="CO134" s="332"/>
      <c r="CP134" s="333" t="s">
        <v>27</v>
      </c>
      <c r="CQ134" s="333" t="s">
        <v>317</v>
      </c>
      <c r="CR134" s="334">
        <v>0</v>
      </c>
      <c r="CS134" s="334">
        <v>0</v>
      </c>
      <c r="CT134" s="334">
        <v>0</v>
      </c>
      <c r="CU134" s="334">
        <v>0</v>
      </c>
      <c r="CV134" s="334">
        <v>0</v>
      </c>
      <c r="CW134" s="334">
        <v>0</v>
      </c>
      <c r="CX134" s="334">
        <v>0</v>
      </c>
      <c r="CY134" s="334">
        <v>0</v>
      </c>
      <c r="CZ134" s="334">
        <v>0</v>
      </c>
      <c r="DA134" s="334">
        <v>0</v>
      </c>
      <c r="DB134" s="334">
        <v>0</v>
      </c>
      <c r="DC134" s="334">
        <v>0</v>
      </c>
      <c r="DD134" s="334">
        <v>0</v>
      </c>
      <c r="DE134" s="334">
        <v>0</v>
      </c>
      <c r="DF134" s="334">
        <v>0</v>
      </c>
      <c r="DG134" s="334">
        <v>0</v>
      </c>
      <c r="DH134" s="334">
        <v>0</v>
      </c>
      <c r="DI134" s="334">
        <v>0</v>
      </c>
      <c r="DJ134" s="334">
        <v>0</v>
      </c>
      <c r="DK134" s="334">
        <v>0</v>
      </c>
      <c r="DL134" s="334">
        <v>0</v>
      </c>
      <c r="DM134" s="334">
        <v>0</v>
      </c>
      <c r="DN134" s="334">
        <v>0</v>
      </c>
      <c r="DO134" s="334">
        <v>0</v>
      </c>
      <c r="DP134" s="334">
        <v>0</v>
      </c>
      <c r="DQ134" s="334">
        <v>0</v>
      </c>
      <c r="DR134" s="334">
        <v>0</v>
      </c>
      <c r="DS134" s="334">
        <v>0</v>
      </c>
      <c r="DT134" s="334">
        <v>0</v>
      </c>
      <c r="DU134" s="335">
        <v>0</v>
      </c>
      <c r="DV134" s="335">
        <v>0</v>
      </c>
      <c r="DW134" s="335">
        <v>0</v>
      </c>
      <c r="DX134" s="198" t="s">
        <v>2477</v>
      </c>
      <c r="DY134" s="198" t="s">
        <v>2477</v>
      </c>
      <c r="DZ134" s="198" t="s">
        <v>2477</v>
      </c>
      <c r="EA134" s="198" t="s">
        <v>2477</v>
      </c>
      <c r="EB134" s="198" t="s">
        <v>2477</v>
      </c>
      <c r="EC134" s="198" t="s">
        <v>2477</v>
      </c>
      <c r="ED134" s="198" t="s">
        <v>2477</v>
      </c>
      <c r="EE134" s="198" t="s">
        <v>2477</v>
      </c>
      <c r="EF134" s="198" t="s">
        <v>2477</v>
      </c>
      <c r="EG134" s="198" t="s">
        <v>2477</v>
      </c>
      <c r="EH134" s="198"/>
      <c r="EI134" s="336">
        <f t="shared" si="2"/>
        <v>0</v>
      </c>
      <c r="EJ134" s="336">
        <f>EI134-'[13]FAOSTAT21 CO2'!EH134</f>
        <v>6.491E-4</v>
      </c>
    </row>
    <row r="135" spans="1:140" x14ac:dyDescent="0.25">
      <c r="A135" s="31">
        <v>7</v>
      </c>
      <c r="B135" s="31" t="s">
        <v>318</v>
      </c>
      <c r="C135" s="31">
        <v>131</v>
      </c>
      <c r="D135" s="31">
        <v>0</v>
      </c>
      <c r="E135" s="31">
        <v>0</v>
      </c>
      <c r="F135" s="31">
        <v>0</v>
      </c>
      <c r="G135" s="31">
        <v>1</v>
      </c>
      <c r="H135" s="331" t="s">
        <v>2475</v>
      </c>
      <c r="I135" s="331" t="s">
        <v>319</v>
      </c>
      <c r="J135" s="331"/>
      <c r="K135" s="331"/>
      <c r="L135" s="331"/>
      <c r="M135" s="331"/>
      <c r="N135" s="331"/>
      <c r="O135" s="331"/>
      <c r="P135" s="331"/>
      <c r="Q135" s="331"/>
      <c r="R135" s="331"/>
      <c r="S135" s="331"/>
      <c r="T135" s="331"/>
      <c r="U135" s="331"/>
      <c r="V135" s="331"/>
      <c r="W135" s="331"/>
      <c r="X135" s="331"/>
      <c r="Y135" s="331"/>
      <c r="Z135" s="331"/>
      <c r="AA135" s="331"/>
      <c r="AB135" s="331"/>
      <c r="AC135" s="331"/>
      <c r="AD135" s="331"/>
      <c r="AE135" s="331"/>
      <c r="AF135" s="331"/>
      <c r="AG135" s="331"/>
      <c r="AH135" s="331"/>
      <c r="AI135" s="331"/>
      <c r="AJ135" s="331"/>
      <c r="AK135" s="331"/>
      <c r="AL135" s="331"/>
      <c r="AM135" s="331"/>
      <c r="AN135" s="331"/>
      <c r="AO135" s="331"/>
      <c r="AP135" s="331"/>
      <c r="AQ135" s="331"/>
      <c r="AR135" s="331"/>
      <c r="AS135" s="331"/>
      <c r="AT135" s="331"/>
      <c r="AU135" s="331"/>
      <c r="AV135" s="331"/>
      <c r="AW135" s="331"/>
      <c r="AX135" s="331"/>
      <c r="AY135" s="332" t="s">
        <v>2476</v>
      </c>
      <c r="AZ135" s="332" t="s">
        <v>319</v>
      </c>
      <c r="BA135" s="332"/>
      <c r="BB135" s="332"/>
      <c r="BC135" s="332"/>
      <c r="BD135" s="332"/>
      <c r="BE135" s="332"/>
      <c r="BF135" s="332"/>
      <c r="BG135" s="332"/>
      <c r="BH135" s="332"/>
      <c r="BI135" s="332"/>
      <c r="BJ135" s="332"/>
      <c r="BK135" s="332"/>
      <c r="BL135" s="332"/>
      <c r="BM135" s="332"/>
      <c r="BN135" s="332"/>
      <c r="BO135" s="332"/>
      <c r="BP135" s="332"/>
      <c r="BQ135" s="332"/>
      <c r="BR135" s="332"/>
      <c r="BS135" s="332"/>
      <c r="BT135" s="332"/>
      <c r="BU135" s="332"/>
      <c r="BV135" s="332"/>
      <c r="BW135" s="332"/>
      <c r="BX135" s="332"/>
      <c r="BY135" s="332"/>
      <c r="BZ135" s="332"/>
      <c r="CA135" s="332"/>
      <c r="CB135" s="332"/>
      <c r="CC135" s="332"/>
      <c r="CD135" s="332"/>
      <c r="CE135" s="332"/>
      <c r="CF135" s="332"/>
      <c r="CG135" s="332"/>
      <c r="CH135" s="332"/>
      <c r="CI135" s="332"/>
      <c r="CJ135" s="332"/>
      <c r="CK135" s="332"/>
      <c r="CL135" s="332"/>
      <c r="CM135" s="332"/>
      <c r="CN135" s="332"/>
      <c r="CO135" s="332"/>
      <c r="CP135" s="333" t="s">
        <v>27</v>
      </c>
      <c r="CQ135" s="333" t="s">
        <v>319</v>
      </c>
      <c r="CR135" s="334">
        <v>-2.2746999999999997</v>
      </c>
      <c r="CS135" s="334">
        <v>-2.2746999999999997</v>
      </c>
      <c r="CT135" s="334">
        <v>-2.2746999999999997</v>
      </c>
      <c r="CU135" s="334">
        <v>-2.2746999999999997</v>
      </c>
      <c r="CV135" s="334">
        <v>-2.2746999999999997</v>
      </c>
      <c r="CW135" s="334">
        <v>-2.2746999999999997</v>
      </c>
      <c r="CX135" s="334">
        <v>-2.2746999999999997</v>
      </c>
      <c r="CY135" s="334">
        <v>-2.2746999999999997</v>
      </c>
      <c r="CZ135" s="334">
        <v>-2.2746999999999997</v>
      </c>
      <c r="DA135" s="334">
        <v>-2.2746999999999997</v>
      </c>
      <c r="DB135" s="334">
        <v>-2.2746999999999997</v>
      </c>
      <c r="DC135" s="334">
        <v>-2.2746999999999997</v>
      </c>
      <c r="DD135" s="334">
        <v>-2.2746999999999997</v>
      </c>
      <c r="DE135" s="334">
        <v>-2.2746999999999997</v>
      </c>
      <c r="DF135" s="334">
        <v>-2.2746999999999997</v>
      </c>
      <c r="DG135" s="334">
        <v>-2.2198000000000002</v>
      </c>
      <c r="DH135" s="334">
        <v>-2.1649000000000003</v>
      </c>
      <c r="DI135" s="334">
        <v>-2.2402000000000002</v>
      </c>
      <c r="DJ135" s="334">
        <v>-2.3155000000000001</v>
      </c>
      <c r="DK135" s="334">
        <v>-2.29305</v>
      </c>
      <c r="DL135" s="334">
        <v>-2.2706</v>
      </c>
      <c r="DM135" s="334">
        <v>-2.1831499999999999</v>
      </c>
      <c r="DN135" s="334">
        <v>-2.0956999999999999</v>
      </c>
      <c r="DO135" s="334">
        <v>-2.0255999999999998</v>
      </c>
      <c r="DP135" s="334">
        <v>-1.9555</v>
      </c>
      <c r="DQ135" s="334">
        <v>-1.7706499999999998</v>
      </c>
      <c r="DR135" s="334">
        <v>-1.5857999999999999</v>
      </c>
      <c r="DS135" s="334">
        <v>-1.6656999999999997</v>
      </c>
      <c r="DT135" s="334">
        <v>-1.7455999999999998</v>
      </c>
      <c r="DU135" s="335">
        <v>-1.8885740147783281</v>
      </c>
      <c r="DV135" s="335">
        <v>-1.8704507881773367</v>
      </c>
      <c r="DW135" s="335">
        <v>-1.8523275615763524</v>
      </c>
      <c r="DX135" s="198">
        <v>2</v>
      </c>
      <c r="DY135" s="198">
        <v>0</v>
      </c>
      <c r="DZ135" s="198">
        <v>0</v>
      </c>
      <c r="EA135" s="198">
        <v>1.8523275615763524</v>
      </c>
      <c r="EB135" s="198">
        <v>-1.8704507881773367</v>
      </c>
      <c r="EC135" s="198">
        <v>-1.8704507881773367</v>
      </c>
      <c r="ED135" s="198">
        <v>-1.8704507881773367</v>
      </c>
      <c r="EE135" s="198">
        <v>-1.8704507881773367</v>
      </c>
      <c r="EF135" s="198">
        <v>-1.812322660098431E-2</v>
      </c>
      <c r="EG135" s="198">
        <v>-1.8704507881773367</v>
      </c>
      <c r="EH135" s="198">
        <v>-2.0548126</v>
      </c>
      <c r="EI135" s="336">
        <f t="shared" si="2"/>
        <v>-1.7312648029556654</v>
      </c>
      <c r="EJ135" s="336">
        <f>EI135-'[13]FAOSTAT21 CO2'!EH135</f>
        <v>0.1081881370443345</v>
      </c>
    </row>
    <row r="136" spans="1:140" x14ac:dyDescent="0.25">
      <c r="A136" s="31">
        <v>26</v>
      </c>
      <c r="B136" s="31" t="s">
        <v>320</v>
      </c>
      <c r="C136" s="31">
        <v>132</v>
      </c>
      <c r="D136" s="31">
        <v>0</v>
      </c>
      <c r="E136" s="31">
        <v>0</v>
      </c>
      <c r="F136" s="31">
        <v>0</v>
      </c>
      <c r="G136" s="31">
        <v>0</v>
      </c>
      <c r="H136" s="331" t="s">
        <v>2475</v>
      </c>
      <c r="I136" s="331" t="s">
        <v>321</v>
      </c>
      <c r="J136" s="331"/>
      <c r="K136" s="331"/>
      <c r="L136" s="331"/>
      <c r="M136" s="331"/>
      <c r="N136" s="331"/>
      <c r="O136" s="331"/>
      <c r="P136" s="331"/>
      <c r="Q136" s="331"/>
      <c r="R136" s="331"/>
      <c r="S136" s="331"/>
      <c r="T136" s="331"/>
      <c r="U136" s="331"/>
      <c r="V136" s="331"/>
      <c r="W136" s="331"/>
      <c r="X136" s="331"/>
      <c r="Y136" s="331"/>
      <c r="Z136" s="331"/>
      <c r="AA136" s="331"/>
      <c r="AB136" s="331"/>
      <c r="AC136" s="331"/>
      <c r="AD136" s="331"/>
      <c r="AE136" s="331"/>
      <c r="AF136" s="331"/>
      <c r="AG136" s="331"/>
      <c r="AH136" s="331"/>
      <c r="AI136" s="331"/>
      <c r="AJ136" s="331"/>
      <c r="AK136" s="331"/>
      <c r="AL136" s="331"/>
      <c r="AM136" s="331"/>
      <c r="AN136" s="331"/>
      <c r="AO136" s="331"/>
      <c r="AP136" s="331"/>
      <c r="AQ136" s="331"/>
      <c r="AR136" s="331"/>
      <c r="AS136" s="331"/>
      <c r="AT136" s="331"/>
      <c r="AU136" s="331"/>
      <c r="AV136" s="331"/>
      <c r="AW136" s="331"/>
      <c r="AX136" s="331"/>
      <c r="AY136" s="332" t="s">
        <v>2476</v>
      </c>
      <c r="AZ136" s="332" t="s">
        <v>321</v>
      </c>
      <c r="BA136" s="332"/>
      <c r="BB136" s="332"/>
      <c r="BC136" s="332"/>
      <c r="BD136" s="332"/>
      <c r="BE136" s="332"/>
      <c r="BF136" s="332"/>
      <c r="BG136" s="332"/>
      <c r="BH136" s="332"/>
      <c r="BI136" s="332"/>
      <c r="BJ136" s="332"/>
      <c r="BK136" s="332"/>
      <c r="BL136" s="332"/>
      <c r="BM136" s="332"/>
      <c r="BN136" s="332"/>
      <c r="BO136" s="332"/>
      <c r="BP136" s="332"/>
      <c r="BQ136" s="332"/>
      <c r="BR136" s="332"/>
      <c r="BS136" s="332"/>
      <c r="BT136" s="332"/>
      <c r="BU136" s="332"/>
      <c r="BV136" s="332"/>
      <c r="BW136" s="332"/>
      <c r="BX136" s="332"/>
      <c r="BY136" s="332"/>
      <c r="BZ136" s="332"/>
      <c r="CA136" s="332"/>
      <c r="CB136" s="332"/>
      <c r="CC136" s="332"/>
      <c r="CD136" s="332"/>
      <c r="CE136" s="332"/>
      <c r="CF136" s="332"/>
      <c r="CG136" s="332"/>
      <c r="CH136" s="332"/>
      <c r="CI136" s="332"/>
      <c r="CJ136" s="332"/>
      <c r="CK136" s="332"/>
      <c r="CL136" s="332"/>
      <c r="CM136" s="332"/>
      <c r="CN136" s="332"/>
      <c r="CO136" s="332"/>
      <c r="CP136" s="333" t="s">
        <v>27</v>
      </c>
      <c r="CQ136" s="333" t="s">
        <v>321</v>
      </c>
      <c r="CR136" s="334">
        <v>-61.054000000000002</v>
      </c>
      <c r="CS136" s="334">
        <v>-57.408749999999998</v>
      </c>
      <c r="CT136" s="334">
        <v>-53.763499999999993</v>
      </c>
      <c r="CU136" s="334">
        <v>-50.118249999999989</v>
      </c>
      <c r="CV136" s="334">
        <v>-46.472999999999999</v>
      </c>
      <c r="CW136" s="334">
        <v>-42.827833333333331</v>
      </c>
      <c r="CX136" s="334">
        <v>-39.182666666666663</v>
      </c>
      <c r="CY136" s="334">
        <v>-35.537499999999994</v>
      </c>
      <c r="CZ136" s="334">
        <v>-31.892333333333326</v>
      </c>
      <c r="DA136" s="334">
        <v>-28.247166666666658</v>
      </c>
      <c r="DB136" s="334">
        <v>-24.602</v>
      </c>
      <c r="DC136" s="334">
        <v>-14.708399999999999</v>
      </c>
      <c r="DD136" s="334">
        <v>-4.8147999999999982</v>
      </c>
      <c r="DE136" s="334">
        <v>5.0788000000000029</v>
      </c>
      <c r="DF136" s="334">
        <v>14.972400000000004</v>
      </c>
      <c r="DG136" s="334">
        <v>24.866</v>
      </c>
      <c r="DH136" s="334">
        <v>27.8096</v>
      </c>
      <c r="DI136" s="334">
        <v>30.7532</v>
      </c>
      <c r="DJ136" s="334">
        <v>33.696800000000003</v>
      </c>
      <c r="DK136" s="334">
        <v>36.640400000000007</v>
      </c>
      <c r="DL136" s="334">
        <v>39.584000000000003</v>
      </c>
      <c r="DM136" s="334">
        <v>40.997</v>
      </c>
      <c r="DN136" s="334">
        <v>42.410000000000004</v>
      </c>
      <c r="DO136" s="334">
        <v>36.424000000000007</v>
      </c>
      <c r="DP136" s="334">
        <v>30.438000000000002</v>
      </c>
      <c r="DQ136" s="334">
        <v>32.079500000000003</v>
      </c>
      <c r="DR136" s="334">
        <v>33.721000000000004</v>
      </c>
      <c r="DS136" s="334">
        <v>60.749112535613676</v>
      </c>
      <c r="DT136" s="334">
        <v>65.250132478631713</v>
      </c>
      <c r="DU136" s="335">
        <v>69.751152421653387</v>
      </c>
      <c r="DV136" s="335">
        <v>74.252172364673243</v>
      </c>
      <c r="DW136" s="335">
        <v>78.753192307693098</v>
      </c>
      <c r="DX136" s="198">
        <v>2</v>
      </c>
      <c r="DY136" s="198">
        <v>0</v>
      </c>
      <c r="DZ136" s="198">
        <v>0</v>
      </c>
      <c r="EA136" s="198">
        <v>-78.753192307693098</v>
      </c>
      <c r="EB136" s="198">
        <v>74.252172364673243</v>
      </c>
      <c r="EC136" s="198">
        <v>74.252172364673243</v>
      </c>
      <c r="ED136" s="198">
        <v>74.252172364673243</v>
      </c>
      <c r="EE136" s="198">
        <v>74.252172364673243</v>
      </c>
      <c r="EF136" s="198">
        <v>-4.5010199430198554</v>
      </c>
      <c r="EG136" s="198">
        <v>74.252172364673243</v>
      </c>
      <c r="EH136" s="198">
        <v>59.530682299452941</v>
      </c>
      <c r="EI136" s="336">
        <f t="shared" si="2"/>
        <v>52.310179487179752</v>
      </c>
      <c r="EJ136" s="336">
        <f>EI136-'[13]FAOSTAT21 CO2'!EH136</f>
        <v>0.93200104717975307</v>
      </c>
    </row>
    <row r="137" spans="1:140" x14ac:dyDescent="0.25">
      <c r="A137" s="31">
        <v>21</v>
      </c>
      <c r="B137" s="31" t="s">
        <v>322</v>
      </c>
      <c r="C137" s="31">
        <v>28</v>
      </c>
      <c r="D137" s="31">
        <v>0</v>
      </c>
      <c r="E137" s="31">
        <v>0</v>
      </c>
      <c r="F137" s="31">
        <v>0</v>
      </c>
      <c r="G137" s="31">
        <v>0</v>
      </c>
      <c r="H137" s="331" t="s">
        <v>2475</v>
      </c>
      <c r="I137" s="331" t="s">
        <v>323</v>
      </c>
      <c r="J137" s="331"/>
      <c r="K137" s="331"/>
      <c r="L137" s="331"/>
      <c r="M137" s="331"/>
      <c r="N137" s="331"/>
      <c r="O137" s="331"/>
      <c r="P137" s="331"/>
      <c r="Q137" s="331"/>
      <c r="R137" s="331"/>
      <c r="S137" s="331"/>
      <c r="T137" s="331"/>
      <c r="U137" s="331"/>
      <c r="V137" s="331"/>
      <c r="W137" s="331"/>
      <c r="X137" s="331"/>
      <c r="Y137" s="331"/>
      <c r="Z137" s="331"/>
      <c r="AA137" s="331"/>
      <c r="AB137" s="331"/>
      <c r="AC137" s="331"/>
      <c r="AD137" s="331"/>
      <c r="AE137" s="331"/>
      <c r="AF137" s="331"/>
      <c r="AG137" s="331"/>
      <c r="AH137" s="331"/>
      <c r="AI137" s="331"/>
      <c r="AJ137" s="331"/>
      <c r="AK137" s="331"/>
      <c r="AL137" s="331"/>
      <c r="AM137" s="331"/>
      <c r="AN137" s="331"/>
      <c r="AO137" s="331"/>
      <c r="AP137" s="331"/>
      <c r="AQ137" s="331"/>
      <c r="AR137" s="331"/>
      <c r="AS137" s="331"/>
      <c r="AT137" s="331"/>
      <c r="AU137" s="331"/>
      <c r="AV137" s="331"/>
      <c r="AW137" s="331"/>
      <c r="AX137" s="331"/>
      <c r="AY137" s="332" t="s">
        <v>2476</v>
      </c>
      <c r="AZ137" s="332" t="s">
        <v>323</v>
      </c>
      <c r="BA137" s="332"/>
      <c r="BB137" s="332"/>
      <c r="BC137" s="332"/>
      <c r="BD137" s="332"/>
      <c r="BE137" s="332"/>
      <c r="BF137" s="332"/>
      <c r="BG137" s="332"/>
      <c r="BH137" s="332"/>
      <c r="BI137" s="332"/>
      <c r="BJ137" s="332"/>
      <c r="BK137" s="332"/>
      <c r="BL137" s="332"/>
      <c r="BM137" s="332"/>
      <c r="BN137" s="332"/>
      <c r="BO137" s="332"/>
      <c r="BP137" s="332"/>
      <c r="BQ137" s="332"/>
      <c r="BR137" s="332"/>
      <c r="BS137" s="332"/>
      <c r="BT137" s="332"/>
      <c r="BU137" s="332"/>
      <c r="BV137" s="332"/>
      <c r="BW137" s="332"/>
      <c r="BX137" s="332"/>
      <c r="BY137" s="332"/>
      <c r="BZ137" s="332"/>
      <c r="CA137" s="332"/>
      <c r="CB137" s="332"/>
      <c r="CC137" s="332"/>
      <c r="CD137" s="332"/>
      <c r="CE137" s="332"/>
      <c r="CF137" s="332"/>
      <c r="CG137" s="332"/>
      <c r="CH137" s="332"/>
      <c r="CI137" s="332"/>
      <c r="CJ137" s="332"/>
      <c r="CK137" s="332"/>
      <c r="CL137" s="332"/>
      <c r="CM137" s="332"/>
      <c r="CN137" s="332"/>
      <c r="CO137" s="332"/>
      <c r="CP137" s="333" t="s">
        <v>27</v>
      </c>
      <c r="CQ137" s="333" t="s">
        <v>323</v>
      </c>
      <c r="CR137" s="334">
        <v>-104.20223299999999</v>
      </c>
      <c r="CS137" s="334">
        <v>-104.20223299999999</v>
      </c>
      <c r="CT137" s="334">
        <v>-104.20223299999999</v>
      </c>
      <c r="CU137" s="334">
        <v>-104.20223299999999</v>
      </c>
      <c r="CV137" s="334">
        <v>-104.20223299999999</v>
      </c>
      <c r="CW137" s="334">
        <v>-104.20223299999999</v>
      </c>
      <c r="CX137" s="334">
        <v>-104.20223299999999</v>
      </c>
      <c r="CY137" s="334">
        <v>-104.20223299999999</v>
      </c>
      <c r="CZ137" s="334">
        <v>-104.20223299999999</v>
      </c>
      <c r="DA137" s="334">
        <v>-104.20223299999999</v>
      </c>
      <c r="DB137" s="334">
        <v>-104.20223299999999</v>
      </c>
      <c r="DC137" s="334">
        <v>-100.56986999999999</v>
      </c>
      <c r="DD137" s="334">
        <v>-99.400320000000008</v>
      </c>
      <c r="DE137" s="334">
        <v>-98.290130000000005</v>
      </c>
      <c r="DF137" s="334">
        <v>-97.02658000000001</v>
      </c>
      <c r="DG137" s="334">
        <v>-95.774729999999991</v>
      </c>
      <c r="DH137" s="334">
        <v>-97.913225500000181</v>
      </c>
      <c r="DI137" s="334">
        <v>-97.393559433823611</v>
      </c>
      <c r="DJ137" s="334">
        <v>-96.87389336764727</v>
      </c>
      <c r="DK137" s="334">
        <v>-96.354227301470701</v>
      </c>
      <c r="DL137" s="334">
        <v>-95.834561235294132</v>
      </c>
      <c r="DM137" s="334">
        <v>-95.31489516911779</v>
      </c>
      <c r="DN137" s="334">
        <v>-94.795229102941221</v>
      </c>
      <c r="DO137" s="334">
        <v>-94.275563036764879</v>
      </c>
      <c r="DP137" s="334">
        <v>-93.75589697058831</v>
      </c>
      <c r="DQ137" s="334">
        <v>-93.236230904411968</v>
      </c>
      <c r="DR137" s="334">
        <v>-92.716564838235399</v>
      </c>
      <c r="DS137" s="334">
        <v>-92.196898772059058</v>
      </c>
      <c r="DT137" s="334">
        <v>-91.677232705882489</v>
      </c>
      <c r="DU137" s="335">
        <v>-91.157566639706147</v>
      </c>
      <c r="DV137" s="335">
        <v>-90.637900573529578</v>
      </c>
      <c r="DW137" s="335">
        <v>-90.118234507353009</v>
      </c>
      <c r="DX137" s="198">
        <v>50.456000000000003</v>
      </c>
      <c r="DY137" s="198">
        <v>38.094000000000001</v>
      </c>
      <c r="DZ137" s="198">
        <v>24.798999999999999</v>
      </c>
      <c r="EA137" s="198">
        <v>128.212234507353</v>
      </c>
      <c r="EB137" s="198">
        <v>-90.637900573529578</v>
      </c>
      <c r="EC137" s="198">
        <v>-90.637900573529578</v>
      </c>
      <c r="ED137" s="198">
        <v>-90.637900573529578</v>
      </c>
      <c r="EE137" s="198">
        <v>-90.637900573529578</v>
      </c>
      <c r="EF137" s="198">
        <v>-0.51966606617656907</v>
      </c>
      <c r="EG137" s="198">
        <v>-128.73190057352957</v>
      </c>
      <c r="EH137" s="198">
        <v>-100.7516973920046</v>
      </c>
      <c r="EI137" s="336">
        <f t="shared" si="2"/>
        <v>-92.196898772059015</v>
      </c>
      <c r="EJ137" s="336">
        <f>EI137-'[13]FAOSTAT21 CO2'!EH137</f>
        <v>-196.65131079205901</v>
      </c>
    </row>
    <row r="138" spans="1:140" x14ac:dyDescent="0.25">
      <c r="A138" s="31">
        <v>26</v>
      </c>
      <c r="B138" s="31" t="s">
        <v>324</v>
      </c>
      <c r="C138" s="31">
        <v>134</v>
      </c>
      <c r="D138" s="31">
        <v>0</v>
      </c>
      <c r="E138" s="31">
        <v>0</v>
      </c>
      <c r="F138" s="31">
        <v>0</v>
      </c>
      <c r="G138" s="31">
        <v>0</v>
      </c>
      <c r="H138" s="331" t="s">
        <v>2475</v>
      </c>
      <c r="I138" s="331" t="s">
        <v>325</v>
      </c>
      <c r="J138" s="331"/>
      <c r="K138" s="331"/>
      <c r="L138" s="331"/>
      <c r="M138" s="331"/>
      <c r="N138" s="331"/>
      <c r="O138" s="331"/>
      <c r="P138" s="331"/>
      <c r="Q138" s="331"/>
      <c r="R138" s="331"/>
      <c r="S138" s="331"/>
      <c r="T138" s="331"/>
      <c r="U138" s="331"/>
      <c r="V138" s="331"/>
      <c r="W138" s="331"/>
      <c r="X138" s="331"/>
      <c r="Y138" s="331"/>
      <c r="Z138" s="331"/>
      <c r="AA138" s="331"/>
      <c r="AB138" s="331"/>
      <c r="AC138" s="331"/>
      <c r="AD138" s="331"/>
      <c r="AE138" s="331"/>
      <c r="AF138" s="331"/>
      <c r="AG138" s="331"/>
      <c r="AH138" s="331"/>
      <c r="AI138" s="331"/>
      <c r="AJ138" s="331"/>
      <c r="AK138" s="331"/>
      <c r="AL138" s="331"/>
      <c r="AM138" s="331"/>
      <c r="AN138" s="331"/>
      <c r="AO138" s="331"/>
      <c r="AP138" s="331"/>
      <c r="AQ138" s="331"/>
      <c r="AR138" s="331"/>
      <c r="AS138" s="331"/>
      <c r="AT138" s="331"/>
      <c r="AU138" s="331"/>
      <c r="AV138" s="331"/>
      <c r="AW138" s="331"/>
      <c r="AX138" s="331"/>
      <c r="AY138" s="332" t="s">
        <v>2476</v>
      </c>
      <c r="AZ138" s="332" t="s">
        <v>325</v>
      </c>
      <c r="BA138" s="332"/>
      <c r="BB138" s="332"/>
      <c r="BC138" s="332"/>
      <c r="BD138" s="332"/>
      <c r="BE138" s="332"/>
      <c r="BF138" s="332"/>
      <c r="BG138" s="332"/>
      <c r="BH138" s="332"/>
      <c r="BI138" s="332"/>
      <c r="BJ138" s="332"/>
      <c r="BK138" s="332"/>
      <c r="BL138" s="332"/>
      <c r="BM138" s="332"/>
      <c r="BN138" s="332"/>
      <c r="BO138" s="332"/>
      <c r="BP138" s="332"/>
      <c r="BQ138" s="332"/>
      <c r="BR138" s="332"/>
      <c r="BS138" s="332"/>
      <c r="BT138" s="332"/>
      <c r="BU138" s="332"/>
      <c r="BV138" s="332"/>
      <c r="BW138" s="332"/>
      <c r="BX138" s="332"/>
      <c r="BY138" s="332"/>
      <c r="BZ138" s="332"/>
      <c r="CA138" s="332"/>
      <c r="CB138" s="332"/>
      <c r="CC138" s="332"/>
      <c r="CD138" s="332"/>
      <c r="CE138" s="332"/>
      <c r="CF138" s="332"/>
      <c r="CG138" s="332"/>
      <c r="CH138" s="332"/>
      <c r="CI138" s="332"/>
      <c r="CJ138" s="332"/>
      <c r="CK138" s="332"/>
      <c r="CL138" s="332"/>
      <c r="CM138" s="332"/>
      <c r="CN138" s="332"/>
      <c r="CO138" s="332"/>
      <c r="CP138" s="333" t="s">
        <v>27</v>
      </c>
      <c r="CQ138" s="333" t="s">
        <v>325</v>
      </c>
      <c r="CR138" s="334">
        <v>-81.286000000000001</v>
      </c>
      <c r="CS138" s="334">
        <v>-83.058999999999997</v>
      </c>
      <c r="CT138" s="334">
        <v>-84.971000000000004</v>
      </c>
      <c r="CU138" s="334">
        <v>-86.753</v>
      </c>
      <c r="CV138" s="334">
        <v>-88.552999999999997</v>
      </c>
      <c r="CW138" s="334">
        <v>-90.37</v>
      </c>
      <c r="CX138" s="334">
        <v>-92.204999999999998</v>
      </c>
      <c r="CY138" s="334">
        <v>-94.057000000000002</v>
      </c>
      <c r="CZ138" s="334">
        <v>-96.11</v>
      </c>
      <c r="DA138" s="334">
        <v>-98.013000000000005</v>
      </c>
      <c r="DB138" s="334">
        <v>-100.07299999999999</v>
      </c>
      <c r="DC138" s="334">
        <v>-100.145</v>
      </c>
      <c r="DD138" s="334">
        <v>-104.379</v>
      </c>
      <c r="DE138" s="334">
        <v>-104.878</v>
      </c>
      <c r="DF138" s="334">
        <v>-106.652</v>
      </c>
      <c r="DG138" s="334">
        <v>-104.422</v>
      </c>
      <c r="DH138" s="334">
        <v>-100.803</v>
      </c>
      <c r="DI138" s="334">
        <v>-98.025000000000006</v>
      </c>
      <c r="DJ138" s="334">
        <v>-106.61199999999999</v>
      </c>
      <c r="DK138" s="334">
        <v>-94.826999999999998</v>
      </c>
      <c r="DL138" s="334">
        <v>-98.974000000000004</v>
      </c>
      <c r="DM138" s="334">
        <v>-96.233000000000004</v>
      </c>
      <c r="DN138" s="334">
        <v>-95.253</v>
      </c>
      <c r="DO138" s="334">
        <v>-113.133</v>
      </c>
      <c r="DP138" s="334">
        <v>-110.238</v>
      </c>
      <c r="DQ138" s="334">
        <v>-112.309</v>
      </c>
      <c r="DR138" s="334">
        <v>-116.919</v>
      </c>
      <c r="DS138" s="334">
        <v>-112.00148148148128</v>
      </c>
      <c r="DT138" s="334">
        <v>-112.96652910052899</v>
      </c>
      <c r="DU138" s="335">
        <v>-113.9315767195767</v>
      </c>
      <c r="DV138" s="335">
        <v>-114.89662433862418</v>
      </c>
      <c r="DW138" s="335">
        <v>-115.86167195767189</v>
      </c>
      <c r="DX138" s="198">
        <v>-114.89662433862418</v>
      </c>
      <c r="DY138" s="198">
        <v>-116.31062433862418</v>
      </c>
      <c r="DZ138" s="198">
        <v>-133.92662433862418</v>
      </c>
      <c r="EA138" s="198">
        <v>-18.064952380952292</v>
      </c>
      <c r="EB138" s="198">
        <v>-114.89662433862418</v>
      </c>
      <c r="EC138" s="198">
        <v>-114.89662433862418</v>
      </c>
      <c r="ED138" s="198">
        <v>-114.89662433862418</v>
      </c>
      <c r="EE138" s="198">
        <v>-114.89662433862418</v>
      </c>
      <c r="EF138" s="198">
        <v>0.9650476190477093</v>
      </c>
      <c r="EG138" s="198">
        <v>19.03</v>
      </c>
      <c r="EH138" s="198">
        <v>-137.67642269147535</v>
      </c>
      <c r="EI138" s="336">
        <f t="shared" si="2"/>
        <v>-113.62551746031741</v>
      </c>
      <c r="EJ138" s="336">
        <f>EI138-'[13]FAOSTAT21 CO2'!EH138</f>
        <v>-124.18607010031741</v>
      </c>
    </row>
    <row r="139" spans="1:140" x14ac:dyDescent="0.25">
      <c r="A139" s="31">
        <v>24</v>
      </c>
      <c r="B139" s="31" t="s">
        <v>326</v>
      </c>
      <c r="C139" s="31">
        <v>135</v>
      </c>
      <c r="D139" s="31">
        <v>0</v>
      </c>
      <c r="E139" s="31">
        <v>0</v>
      </c>
      <c r="F139" s="31">
        <v>0</v>
      </c>
      <c r="G139" s="31">
        <v>0</v>
      </c>
      <c r="H139" s="331" t="s">
        <v>2475</v>
      </c>
      <c r="I139" s="331" t="s">
        <v>327</v>
      </c>
      <c r="J139" s="331"/>
      <c r="K139" s="331"/>
      <c r="L139" s="331"/>
      <c r="M139" s="331"/>
      <c r="N139" s="331"/>
      <c r="O139" s="331"/>
      <c r="P139" s="331"/>
      <c r="Q139" s="331"/>
      <c r="R139" s="331"/>
      <c r="S139" s="331"/>
      <c r="T139" s="331"/>
      <c r="U139" s="331"/>
      <c r="V139" s="331"/>
      <c r="W139" s="331"/>
      <c r="X139" s="331"/>
      <c r="Y139" s="331"/>
      <c r="Z139" s="331"/>
      <c r="AA139" s="331"/>
      <c r="AB139" s="331"/>
      <c r="AC139" s="331"/>
      <c r="AD139" s="331"/>
      <c r="AE139" s="331"/>
      <c r="AF139" s="331"/>
      <c r="AG139" s="331"/>
      <c r="AH139" s="331"/>
      <c r="AI139" s="331"/>
      <c r="AJ139" s="331"/>
      <c r="AK139" s="331"/>
      <c r="AL139" s="331"/>
      <c r="AM139" s="331"/>
      <c r="AN139" s="331"/>
      <c r="AO139" s="331"/>
      <c r="AP139" s="331"/>
      <c r="AQ139" s="331"/>
      <c r="AR139" s="331"/>
      <c r="AS139" s="331"/>
      <c r="AT139" s="331"/>
      <c r="AU139" s="331"/>
      <c r="AV139" s="331"/>
      <c r="AW139" s="331"/>
      <c r="AX139" s="331"/>
      <c r="AY139" s="332" t="s">
        <v>2476</v>
      </c>
      <c r="AZ139" s="332" t="s">
        <v>327</v>
      </c>
      <c r="BA139" s="332"/>
      <c r="BB139" s="332"/>
      <c r="BC139" s="332"/>
      <c r="BD139" s="332"/>
      <c r="BE139" s="332"/>
      <c r="BF139" s="332"/>
      <c r="BG139" s="332"/>
      <c r="BH139" s="332"/>
      <c r="BI139" s="332"/>
      <c r="BJ139" s="332"/>
      <c r="BK139" s="332"/>
      <c r="BL139" s="332"/>
      <c r="BM139" s="332"/>
      <c r="BN139" s="332"/>
      <c r="BO139" s="332"/>
      <c r="BP139" s="332"/>
      <c r="BQ139" s="332"/>
      <c r="BR139" s="332"/>
      <c r="BS139" s="332"/>
      <c r="BT139" s="332"/>
      <c r="BU139" s="332"/>
      <c r="BV139" s="332"/>
      <c r="BW139" s="332"/>
      <c r="BX139" s="332"/>
      <c r="BY139" s="332"/>
      <c r="BZ139" s="332"/>
      <c r="CA139" s="332"/>
      <c r="CB139" s="332"/>
      <c r="CC139" s="332"/>
      <c r="CD139" s="332"/>
      <c r="CE139" s="332"/>
      <c r="CF139" s="332"/>
      <c r="CG139" s="332"/>
      <c r="CH139" s="332"/>
      <c r="CI139" s="332"/>
      <c r="CJ139" s="332"/>
      <c r="CK139" s="332"/>
      <c r="CL139" s="332"/>
      <c r="CM139" s="332"/>
      <c r="CN139" s="332"/>
      <c r="CO139" s="332"/>
      <c r="CP139" s="333" t="s">
        <v>27</v>
      </c>
      <c r="CQ139" s="333" t="s">
        <v>327</v>
      </c>
      <c r="CR139" s="334">
        <v>-9.0530000000000003E-3</v>
      </c>
      <c r="CS139" s="334">
        <v>-9.0530000000000003E-3</v>
      </c>
      <c r="CT139" s="334">
        <v>-9.0530000000000003E-3</v>
      </c>
      <c r="CU139" s="334">
        <v>-9.0530000000000003E-3</v>
      </c>
      <c r="CV139" s="334">
        <v>-9.0530000000000003E-3</v>
      </c>
      <c r="CW139" s="334">
        <v>-9.0530000000000003E-3</v>
      </c>
      <c r="CX139" s="334">
        <v>-9.0530000000000003E-3</v>
      </c>
      <c r="CY139" s="334">
        <v>-9.0530000000000003E-3</v>
      </c>
      <c r="CZ139" s="334">
        <v>-9.0530000000000003E-3</v>
      </c>
      <c r="DA139" s="334">
        <v>-9.0530000000000003E-3</v>
      </c>
      <c r="DB139" s="334">
        <v>-9.053000000000002E-3</v>
      </c>
      <c r="DC139" s="334">
        <v>-9.053000000000002E-3</v>
      </c>
      <c r="DD139" s="334">
        <v>-9.053000000000002E-3</v>
      </c>
      <c r="DE139" s="334">
        <v>-9.053000000000002E-3</v>
      </c>
      <c r="DF139" s="334">
        <v>-9.053000000000002E-3</v>
      </c>
      <c r="DG139" s="334">
        <v>-9.0530000000000038E-3</v>
      </c>
      <c r="DH139" s="334">
        <v>-9.0530000000000038E-3</v>
      </c>
      <c r="DI139" s="334">
        <v>-9.0530000000000038E-3</v>
      </c>
      <c r="DJ139" s="334">
        <v>-9.0530000000000038E-3</v>
      </c>
      <c r="DK139" s="334">
        <v>-9.0530000000000038E-3</v>
      </c>
      <c r="DL139" s="334">
        <v>-9.0530000000000038E-3</v>
      </c>
      <c r="DM139" s="334">
        <v>-9.0530000000000038E-3</v>
      </c>
      <c r="DN139" s="334">
        <v>-9.0530000000000072E-3</v>
      </c>
      <c r="DO139" s="334">
        <v>-9.0530000000000055E-3</v>
      </c>
      <c r="DP139" s="334">
        <v>-9.0530000000000072E-3</v>
      </c>
      <c r="DQ139" s="334">
        <v>-9.0530000000000072E-3</v>
      </c>
      <c r="DR139" s="334">
        <v>-9.0530000000000072E-3</v>
      </c>
      <c r="DS139" s="334">
        <v>-9.053000000000009E-3</v>
      </c>
      <c r="DT139" s="334">
        <v>-9.0530000000000072E-3</v>
      </c>
      <c r="DU139" s="335">
        <v>-9.053000000000009E-3</v>
      </c>
      <c r="DV139" s="335">
        <v>-9.0530000000000107E-3</v>
      </c>
      <c r="DW139" s="335">
        <v>-9.0530000000000124E-3</v>
      </c>
      <c r="DX139" s="198">
        <v>-9.0530000000000107E-3</v>
      </c>
      <c r="DY139" s="198">
        <v>-9.0530000000000107E-3</v>
      </c>
      <c r="DZ139" s="198">
        <v>-9.0530000000000107E-3</v>
      </c>
      <c r="EA139" s="198">
        <v>0</v>
      </c>
      <c r="EB139" s="198">
        <v>-9.0530000000000107E-3</v>
      </c>
      <c r="EC139" s="198">
        <v>-9.0530000000000107E-3</v>
      </c>
      <c r="ED139" s="198">
        <v>-9.0530000000000107E-3</v>
      </c>
      <c r="EE139" s="198">
        <v>-9.0530000000000107E-3</v>
      </c>
      <c r="EF139" s="198">
        <v>0</v>
      </c>
      <c r="EG139" s="198">
        <v>0</v>
      </c>
      <c r="EH139" s="198">
        <v>-8.447303247142518E-3</v>
      </c>
      <c r="EI139" s="336">
        <f t="shared" si="2"/>
        <v>-9.053000000000009E-3</v>
      </c>
      <c r="EJ139" s="336">
        <f>EI139-'[13]FAOSTAT21 CO2'!EH139</f>
        <v>-9.053000000000009E-3</v>
      </c>
    </row>
    <row r="140" spans="1:140" x14ac:dyDescent="0.25">
      <c r="A140" s="31">
        <v>25</v>
      </c>
      <c r="B140" s="31" t="s">
        <v>328</v>
      </c>
      <c r="C140" s="31">
        <v>136</v>
      </c>
      <c r="D140" s="31">
        <v>0</v>
      </c>
      <c r="E140" s="31">
        <v>0</v>
      </c>
      <c r="F140" s="31">
        <v>0</v>
      </c>
      <c r="G140" s="31">
        <v>0</v>
      </c>
      <c r="H140" s="331" t="s">
        <v>2475</v>
      </c>
      <c r="I140" s="331" t="s">
        <v>329</v>
      </c>
      <c r="J140" s="331"/>
      <c r="K140" s="331"/>
      <c r="L140" s="331"/>
      <c r="M140" s="331"/>
      <c r="N140" s="331"/>
      <c r="O140" s="331"/>
      <c r="P140" s="331"/>
      <c r="Q140" s="331"/>
      <c r="R140" s="331"/>
      <c r="S140" s="331"/>
      <c r="T140" s="331"/>
      <c r="U140" s="331"/>
      <c r="V140" s="331"/>
      <c r="W140" s="331"/>
      <c r="X140" s="331"/>
      <c r="Y140" s="331"/>
      <c r="Z140" s="331"/>
      <c r="AA140" s="331"/>
      <c r="AB140" s="331"/>
      <c r="AC140" s="331"/>
      <c r="AD140" s="331"/>
      <c r="AE140" s="331"/>
      <c r="AF140" s="331"/>
      <c r="AG140" s="331"/>
      <c r="AH140" s="331"/>
      <c r="AI140" s="331"/>
      <c r="AJ140" s="331"/>
      <c r="AK140" s="331"/>
      <c r="AL140" s="331"/>
      <c r="AM140" s="331"/>
      <c r="AN140" s="331"/>
      <c r="AO140" s="331"/>
      <c r="AP140" s="331"/>
      <c r="AQ140" s="331"/>
      <c r="AR140" s="331"/>
      <c r="AS140" s="331"/>
      <c r="AT140" s="331"/>
      <c r="AU140" s="331"/>
      <c r="AV140" s="331"/>
      <c r="AW140" s="331"/>
      <c r="AX140" s="331"/>
      <c r="AY140" s="332" t="s">
        <v>2476</v>
      </c>
      <c r="AZ140" s="332" t="s">
        <v>329</v>
      </c>
      <c r="BA140" s="332"/>
      <c r="BB140" s="332"/>
      <c r="BC140" s="332"/>
      <c r="BD140" s="332"/>
      <c r="BE140" s="332"/>
      <c r="BF140" s="332"/>
      <c r="BG140" s="332"/>
      <c r="BH140" s="332"/>
      <c r="BI140" s="332"/>
      <c r="BJ140" s="332"/>
      <c r="BK140" s="332"/>
      <c r="BL140" s="332"/>
      <c r="BM140" s="332"/>
      <c r="BN140" s="332"/>
      <c r="BO140" s="332"/>
      <c r="BP140" s="332"/>
      <c r="BQ140" s="332"/>
      <c r="BR140" s="332"/>
      <c r="BS140" s="332"/>
      <c r="BT140" s="332"/>
      <c r="BU140" s="332"/>
      <c r="BV140" s="332"/>
      <c r="BW140" s="332"/>
      <c r="BX140" s="332"/>
      <c r="BY140" s="332"/>
      <c r="BZ140" s="332"/>
      <c r="CA140" s="332"/>
      <c r="CB140" s="332"/>
      <c r="CC140" s="332"/>
      <c r="CD140" s="332"/>
      <c r="CE140" s="332"/>
      <c r="CF140" s="332"/>
      <c r="CG140" s="332"/>
      <c r="CH140" s="332"/>
      <c r="CI140" s="332"/>
      <c r="CJ140" s="332"/>
      <c r="CK140" s="332"/>
      <c r="CL140" s="332"/>
      <c r="CM140" s="332"/>
      <c r="CN140" s="332"/>
      <c r="CO140" s="332"/>
      <c r="CP140" s="333" t="s">
        <v>27</v>
      </c>
      <c r="CQ140" s="333" t="s">
        <v>329</v>
      </c>
      <c r="CR140" s="334">
        <v>8.1170000000000009</v>
      </c>
      <c r="CS140" s="334">
        <v>8.1170000000000009</v>
      </c>
      <c r="CT140" s="334">
        <v>8.1170000000000009</v>
      </c>
      <c r="CU140" s="334">
        <v>8.1170000000000009</v>
      </c>
      <c r="CV140" s="334">
        <v>8.1170000000000009</v>
      </c>
      <c r="CW140" s="334">
        <v>4.704833333333335</v>
      </c>
      <c r="CX140" s="334">
        <v>1.2926666666666686</v>
      </c>
      <c r="CY140" s="334">
        <v>-2.1194999999999977</v>
      </c>
      <c r="CZ140" s="334">
        <v>-5.5316666666666645</v>
      </c>
      <c r="DA140" s="334">
        <v>-8.9438333333333304</v>
      </c>
      <c r="DB140" s="334">
        <v>-12.356</v>
      </c>
      <c r="DC140" s="334">
        <v>-12.782038181818182</v>
      </c>
      <c r="DD140" s="334">
        <v>-13.208076363636364</v>
      </c>
      <c r="DE140" s="334">
        <v>-13.634114545454546</v>
      </c>
      <c r="DF140" s="334">
        <v>-14.060152727272728</v>
      </c>
      <c r="DG140" s="334">
        <v>-14.48619090909091</v>
      </c>
      <c r="DH140" s="334">
        <v>-14.912229090909092</v>
      </c>
      <c r="DI140" s="334">
        <v>-15.338267272727274</v>
      </c>
      <c r="DJ140" s="334">
        <v>-15.764305454545456</v>
      </c>
      <c r="DK140" s="334">
        <v>-16.190343636363636</v>
      </c>
      <c r="DL140" s="334">
        <v>-16.616381818181818</v>
      </c>
      <c r="DM140" s="334">
        <v>-17.04242</v>
      </c>
      <c r="DN140" s="334">
        <v>-23.341422683982728</v>
      </c>
      <c r="DO140" s="334">
        <v>-24.792443549783457</v>
      </c>
      <c r="DP140" s="334">
        <v>-26.243464415584185</v>
      </c>
      <c r="DQ140" s="334">
        <v>-27.694485281385369</v>
      </c>
      <c r="DR140" s="334">
        <v>-29.145506147186097</v>
      </c>
      <c r="DS140" s="334">
        <v>-30.596527012986826</v>
      </c>
      <c r="DT140" s="334">
        <v>-32.047547878788009</v>
      </c>
      <c r="DU140" s="335">
        <v>-33.498568744588283</v>
      </c>
      <c r="DV140" s="335">
        <v>-34.949589610389467</v>
      </c>
      <c r="DW140" s="335">
        <v>-36.40061047619065</v>
      </c>
      <c r="DX140" s="198">
        <v>-34.949589610389467</v>
      </c>
      <c r="DY140" s="198">
        <v>-34.949589610389467</v>
      </c>
      <c r="DZ140" s="198">
        <v>-34.949589610389467</v>
      </c>
      <c r="EA140" s="198">
        <v>1.4510208658011834</v>
      </c>
      <c r="EB140" s="198">
        <v>-34.949589610389467</v>
      </c>
      <c r="EC140" s="198">
        <v>-34.949589610389467</v>
      </c>
      <c r="ED140" s="198">
        <v>-34.949589610389467</v>
      </c>
      <c r="EE140" s="198">
        <v>-34.949589610389467</v>
      </c>
      <c r="EF140" s="198">
        <v>1.4510208658011834</v>
      </c>
      <c r="EG140" s="198">
        <v>0</v>
      </c>
      <c r="EH140" s="198">
        <v>-37.451706528770067</v>
      </c>
      <c r="EI140" s="336">
        <f t="shared" si="2"/>
        <v>-30.596527012986918</v>
      </c>
      <c r="EJ140" s="336">
        <f>EI140-'[13]FAOSTAT21 CO2'!EH140</f>
        <v>-33.559176092986917</v>
      </c>
    </row>
    <row r="141" spans="1:140" x14ac:dyDescent="0.25">
      <c r="A141" s="31">
        <v>11</v>
      </c>
      <c r="B141" s="31" t="s">
        <v>330</v>
      </c>
      <c r="C141" s="31">
        <v>137</v>
      </c>
      <c r="D141" s="31">
        <v>1</v>
      </c>
      <c r="E141" s="31">
        <v>0</v>
      </c>
      <c r="F141" s="31">
        <v>1</v>
      </c>
      <c r="G141" s="31">
        <v>0</v>
      </c>
      <c r="H141" s="331" t="s">
        <v>2475</v>
      </c>
      <c r="I141" s="331" t="s">
        <v>331</v>
      </c>
      <c r="J141" s="331"/>
      <c r="K141" s="331"/>
      <c r="L141" s="331"/>
      <c r="M141" s="331"/>
      <c r="N141" s="331"/>
      <c r="O141" s="331"/>
      <c r="P141" s="331"/>
      <c r="Q141" s="331"/>
      <c r="R141" s="331"/>
      <c r="S141" s="331"/>
      <c r="T141" s="331"/>
      <c r="U141" s="331"/>
      <c r="V141" s="331"/>
      <c r="W141" s="331"/>
      <c r="X141" s="331"/>
      <c r="Y141" s="331"/>
      <c r="Z141" s="331"/>
      <c r="AA141" s="331"/>
      <c r="AB141" s="331"/>
      <c r="AC141" s="331"/>
      <c r="AD141" s="331"/>
      <c r="AE141" s="331"/>
      <c r="AF141" s="331"/>
      <c r="AG141" s="331"/>
      <c r="AH141" s="331"/>
      <c r="AI141" s="331"/>
      <c r="AJ141" s="331"/>
      <c r="AK141" s="331"/>
      <c r="AL141" s="331"/>
      <c r="AM141" s="331"/>
      <c r="AN141" s="331"/>
      <c r="AO141" s="331"/>
      <c r="AP141" s="331"/>
      <c r="AQ141" s="331"/>
      <c r="AR141" s="331"/>
      <c r="AS141" s="331"/>
      <c r="AT141" s="331"/>
      <c r="AU141" s="331"/>
      <c r="AV141" s="331"/>
      <c r="AW141" s="331"/>
      <c r="AX141" s="331"/>
      <c r="AY141" s="332" t="s">
        <v>2476</v>
      </c>
      <c r="AZ141" s="332" t="s">
        <v>331</v>
      </c>
      <c r="BA141" s="332"/>
      <c r="BB141" s="332"/>
      <c r="BC141" s="332"/>
      <c r="BD141" s="332"/>
      <c r="BE141" s="332"/>
      <c r="BF141" s="332"/>
      <c r="BG141" s="332"/>
      <c r="BH141" s="332"/>
      <c r="BI141" s="332"/>
      <c r="BJ141" s="332"/>
      <c r="BK141" s="332"/>
      <c r="BL141" s="332"/>
      <c r="BM141" s="332"/>
      <c r="BN141" s="332"/>
      <c r="BO141" s="332"/>
      <c r="BP141" s="332"/>
      <c r="BQ141" s="332"/>
      <c r="BR141" s="332"/>
      <c r="BS141" s="332"/>
      <c r="BT141" s="332"/>
      <c r="BU141" s="332"/>
      <c r="BV141" s="332"/>
      <c r="BW141" s="332"/>
      <c r="BX141" s="332"/>
      <c r="BY141" s="332"/>
      <c r="BZ141" s="332"/>
      <c r="CA141" s="332"/>
      <c r="CB141" s="332"/>
      <c r="CC141" s="332"/>
      <c r="CD141" s="332"/>
      <c r="CE141" s="332"/>
      <c r="CF141" s="332"/>
      <c r="CG141" s="332"/>
      <c r="CH141" s="332"/>
      <c r="CI141" s="332"/>
      <c r="CJ141" s="332"/>
      <c r="CK141" s="332"/>
      <c r="CL141" s="332"/>
      <c r="CM141" s="332"/>
      <c r="CN141" s="332"/>
      <c r="CO141" s="332"/>
      <c r="CP141" s="333" t="s">
        <v>27</v>
      </c>
      <c r="CQ141" s="333" t="s">
        <v>331</v>
      </c>
      <c r="CR141" s="334">
        <v>6.2371312790195415</v>
      </c>
      <c r="CS141" s="334">
        <v>6.2894171570942339</v>
      </c>
      <c r="CT141" s="334">
        <v>6.2522029661990262</v>
      </c>
      <c r="CU141" s="334">
        <v>6.3198612062621642</v>
      </c>
      <c r="CV141" s="334">
        <v>6.3214990204140147</v>
      </c>
      <c r="CW141" s="334">
        <v>6.0849577117485607</v>
      </c>
      <c r="CX141" s="334">
        <v>6.0114658113480974</v>
      </c>
      <c r="CY141" s="334">
        <v>5.9022810180407914</v>
      </c>
      <c r="CZ141" s="334">
        <v>5.9080293007957891</v>
      </c>
      <c r="DA141" s="334">
        <v>5.8096223288416908</v>
      </c>
      <c r="DB141" s="334">
        <v>5.694571828688229</v>
      </c>
      <c r="DC141" s="334">
        <v>5.7745142204436632</v>
      </c>
      <c r="DD141" s="334">
        <v>5.725110786967746</v>
      </c>
      <c r="DE141" s="334">
        <v>6.0486482657483895</v>
      </c>
      <c r="DF141" s="334">
        <v>5.8766024005951589</v>
      </c>
      <c r="DG141" s="334">
        <v>5.7595433563465388</v>
      </c>
      <c r="DH141" s="334">
        <v>5.7568909747473915</v>
      </c>
      <c r="DI141" s="334">
        <v>5.398055672282422</v>
      </c>
      <c r="DJ141" s="334">
        <v>5.4039825474468071</v>
      </c>
      <c r="DK141" s="334">
        <v>5.3453010975367539</v>
      </c>
      <c r="DL141" s="334">
        <v>5.0954076802138051</v>
      </c>
      <c r="DM141" s="334">
        <v>5.6516886505628046</v>
      </c>
      <c r="DN141" s="334">
        <v>5.964968429787076</v>
      </c>
      <c r="DO141" s="334">
        <v>5.49731310184732</v>
      </c>
      <c r="DP141" s="334">
        <v>5.448331907743607</v>
      </c>
      <c r="DQ141" s="334">
        <v>5.4083305469971803</v>
      </c>
      <c r="DR141" s="334">
        <v>5.1233997773151421</v>
      </c>
      <c r="DS141" s="334">
        <v>4.0925782687048464</v>
      </c>
      <c r="DT141" s="334">
        <v>4.182021488131948</v>
      </c>
      <c r="DU141" s="335">
        <v>4.1758945651078507</v>
      </c>
      <c r="DV141" s="335">
        <v>4.1423752825606295</v>
      </c>
      <c r="DW141" s="335">
        <v>4.312935741068249</v>
      </c>
      <c r="DX141" s="198">
        <v>4.1423752825606295</v>
      </c>
      <c r="DY141" s="198">
        <v>4.1423752825606295</v>
      </c>
      <c r="DZ141" s="198">
        <v>4.1423752825606295</v>
      </c>
      <c r="EA141" s="198">
        <v>-0.17056045850761947</v>
      </c>
      <c r="EB141" s="198">
        <v>4.1423752825606295</v>
      </c>
      <c r="EC141" s="198">
        <v>4.1423752825606295</v>
      </c>
      <c r="ED141" s="198">
        <v>4.1423752825606295</v>
      </c>
      <c r="EE141" s="198">
        <v>4.1423752825606295</v>
      </c>
      <c r="EF141" s="198">
        <v>-0.17056045850761947</v>
      </c>
      <c r="EG141" s="198">
        <v>0</v>
      </c>
      <c r="EH141" s="198">
        <v>1.1154381245794971</v>
      </c>
      <c r="EI141" s="336">
        <f t="shared" si="2"/>
        <v>4.5964449292513931</v>
      </c>
      <c r="EJ141" s="336">
        <f>EI141-'[13]FAOSTAT21 CO2'!EH141</f>
        <v>3.2354937092513931</v>
      </c>
    </row>
    <row r="142" spans="1:140" x14ac:dyDescent="0.25">
      <c r="A142" s="31">
        <v>4</v>
      </c>
      <c r="B142" s="31" t="s">
        <v>332</v>
      </c>
      <c r="C142" s="31">
        <v>138</v>
      </c>
      <c r="D142" s="31">
        <v>0</v>
      </c>
      <c r="E142" s="31">
        <v>0</v>
      </c>
      <c r="F142" s="31">
        <v>0</v>
      </c>
      <c r="G142" s="31">
        <v>0</v>
      </c>
      <c r="H142" s="331" t="s">
        <v>2475</v>
      </c>
      <c r="I142" s="331" t="s">
        <v>333</v>
      </c>
      <c r="J142" s="331"/>
      <c r="K142" s="331"/>
      <c r="L142" s="331"/>
      <c r="M142" s="331"/>
      <c r="N142" s="331"/>
      <c r="O142" s="331"/>
      <c r="P142" s="331"/>
      <c r="Q142" s="331"/>
      <c r="R142" s="331"/>
      <c r="S142" s="331"/>
      <c r="T142" s="331"/>
      <c r="U142" s="331"/>
      <c r="V142" s="331"/>
      <c r="W142" s="331"/>
      <c r="X142" s="331"/>
      <c r="Y142" s="331"/>
      <c r="Z142" s="331"/>
      <c r="AA142" s="331"/>
      <c r="AB142" s="331"/>
      <c r="AC142" s="331"/>
      <c r="AD142" s="331"/>
      <c r="AE142" s="331"/>
      <c r="AF142" s="331"/>
      <c r="AG142" s="331"/>
      <c r="AH142" s="331"/>
      <c r="AI142" s="331"/>
      <c r="AJ142" s="331"/>
      <c r="AK142" s="331"/>
      <c r="AL142" s="331"/>
      <c r="AM142" s="331"/>
      <c r="AN142" s="331"/>
      <c r="AO142" s="331"/>
      <c r="AP142" s="331"/>
      <c r="AQ142" s="331"/>
      <c r="AR142" s="331"/>
      <c r="AS142" s="331"/>
      <c r="AT142" s="331"/>
      <c r="AU142" s="331"/>
      <c r="AV142" s="331"/>
      <c r="AW142" s="331"/>
      <c r="AX142" s="331"/>
      <c r="AY142" s="332" t="s">
        <v>2476</v>
      </c>
      <c r="AZ142" s="332" t="s">
        <v>333</v>
      </c>
      <c r="BA142" s="332"/>
      <c r="BB142" s="332"/>
      <c r="BC142" s="332"/>
      <c r="BD142" s="332"/>
      <c r="BE142" s="332"/>
      <c r="BF142" s="332"/>
      <c r="BG142" s="332"/>
      <c r="BH142" s="332"/>
      <c r="BI142" s="332"/>
      <c r="BJ142" s="332"/>
      <c r="BK142" s="332"/>
      <c r="BL142" s="332"/>
      <c r="BM142" s="332"/>
      <c r="BN142" s="332"/>
      <c r="BO142" s="332"/>
      <c r="BP142" s="332"/>
      <c r="BQ142" s="332"/>
      <c r="BR142" s="332"/>
      <c r="BS142" s="332"/>
      <c r="BT142" s="332"/>
      <c r="BU142" s="332"/>
      <c r="BV142" s="332"/>
      <c r="BW142" s="332"/>
      <c r="BX142" s="332"/>
      <c r="BY142" s="332"/>
      <c r="BZ142" s="332"/>
      <c r="CA142" s="332"/>
      <c r="CB142" s="332"/>
      <c r="CC142" s="332"/>
      <c r="CD142" s="332"/>
      <c r="CE142" s="332"/>
      <c r="CF142" s="332"/>
      <c r="CG142" s="332"/>
      <c r="CH142" s="332"/>
      <c r="CI142" s="332"/>
      <c r="CJ142" s="332"/>
      <c r="CK142" s="332"/>
      <c r="CL142" s="332"/>
      <c r="CM142" s="332"/>
      <c r="CN142" s="332"/>
      <c r="CO142" s="332"/>
      <c r="CP142" s="333" t="s">
        <v>27</v>
      </c>
      <c r="CQ142" s="333" t="s">
        <v>333</v>
      </c>
      <c r="CR142" s="334"/>
      <c r="CS142" s="334"/>
      <c r="CT142" s="334"/>
      <c r="CU142" s="334"/>
      <c r="CV142" s="334"/>
      <c r="CW142" s="334"/>
      <c r="CX142" s="334"/>
      <c r="CY142" s="334"/>
      <c r="CZ142" s="334"/>
      <c r="DA142" s="334"/>
      <c r="DB142" s="334"/>
      <c r="DC142" s="334"/>
      <c r="DD142" s="334"/>
      <c r="DE142" s="334"/>
      <c r="DF142" s="334"/>
      <c r="DG142" s="334"/>
      <c r="DH142" s="334"/>
      <c r="DI142" s="334"/>
      <c r="DJ142" s="334"/>
      <c r="DK142" s="334"/>
      <c r="DL142" s="334"/>
      <c r="DM142" s="334"/>
      <c r="DN142" s="334"/>
      <c r="DO142" s="334"/>
      <c r="DP142" s="334"/>
      <c r="DQ142" s="334"/>
      <c r="DR142" s="334"/>
      <c r="DS142" s="334"/>
      <c r="DT142" s="334"/>
      <c r="DU142" s="335"/>
      <c r="DV142" s="335"/>
      <c r="DW142" s="335"/>
      <c r="DX142" s="198"/>
      <c r="DY142" s="198"/>
      <c r="DZ142" s="198"/>
      <c r="EA142" s="198"/>
      <c r="EB142" s="198"/>
      <c r="EC142" s="198"/>
      <c r="ED142" s="198"/>
      <c r="EE142" s="198"/>
      <c r="EF142" s="198"/>
      <c r="EG142" s="198"/>
      <c r="EH142" s="198"/>
      <c r="EI142" s="336" t="e">
        <f t="shared" si="2"/>
        <v>#DIV/0!</v>
      </c>
      <c r="EJ142" s="336" t="e">
        <f>EI142-'[13]FAOSTAT21 CO2'!EH142</f>
        <v>#DIV/0!</v>
      </c>
    </row>
    <row r="143" spans="1:140" x14ac:dyDescent="0.25">
      <c r="A143" s="31">
        <v>24</v>
      </c>
      <c r="B143" s="31" t="s">
        <v>334</v>
      </c>
      <c r="C143" s="31">
        <v>140</v>
      </c>
      <c r="D143" s="31">
        <v>0</v>
      </c>
      <c r="E143" s="31">
        <v>0</v>
      </c>
      <c r="F143" s="31">
        <v>0</v>
      </c>
      <c r="G143" s="31">
        <v>0</v>
      </c>
      <c r="H143" s="331" t="s">
        <v>2475</v>
      </c>
      <c r="I143" s="331" t="s">
        <v>335</v>
      </c>
      <c r="J143" s="331"/>
      <c r="K143" s="331"/>
      <c r="L143" s="331"/>
      <c r="M143" s="331"/>
      <c r="N143" s="331"/>
      <c r="O143" s="331"/>
      <c r="P143" s="331"/>
      <c r="Q143" s="331"/>
      <c r="R143" s="331"/>
      <c r="S143" s="331"/>
      <c r="T143" s="331"/>
      <c r="U143" s="331"/>
      <c r="V143" s="331"/>
      <c r="W143" s="331"/>
      <c r="X143" s="331"/>
      <c r="Y143" s="331"/>
      <c r="Z143" s="331"/>
      <c r="AA143" s="331"/>
      <c r="AB143" s="331"/>
      <c r="AC143" s="331"/>
      <c r="AD143" s="331"/>
      <c r="AE143" s="331"/>
      <c r="AF143" s="331"/>
      <c r="AG143" s="331"/>
      <c r="AH143" s="331"/>
      <c r="AI143" s="331"/>
      <c r="AJ143" s="331"/>
      <c r="AK143" s="331"/>
      <c r="AL143" s="331"/>
      <c r="AM143" s="331"/>
      <c r="AN143" s="331"/>
      <c r="AO143" s="331"/>
      <c r="AP143" s="331"/>
      <c r="AQ143" s="331"/>
      <c r="AR143" s="331"/>
      <c r="AS143" s="331"/>
      <c r="AT143" s="331"/>
      <c r="AU143" s="331"/>
      <c r="AV143" s="331"/>
      <c r="AW143" s="331"/>
      <c r="AX143" s="331"/>
      <c r="AY143" s="332" t="s">
        <v>2476</v>
      </c>
      <c r="AZ143" s="332" t="s">
        <v>335</v>
      </c>
      <c r="BA143" s="332"/>
      <c r="BB143" s="332"/>
      <c r="BC143" s="332"/>
      <c r="BD143" s="332"/>
      <c r="BE143" s="332"/>
      <c r="BF143" s="332"/>
      <c r="BG143" s="332"/>
      <c r="BH143" s="332"/>
      <c r="BI143" s="332"/>
      <c r="BJ143" s="332"/>
      <c r="BK143" s="332"/>
      <c r="BL143" s="332"/>
      <c r="BM143" s="332"/>
      <c r="BN143" s="332"/>
      <c r="BO143" s="332"/>
      <c r="BP143" s="332"/>
      <c r="BQ143" s="332"/>
      <c r="BR143" s="332"/>
      <c r="BS143" s="332"/>
      <c r="BT143" s="332"/>
      <c r="BU143" s="332"/>
      <c r="BV143" s="332"/>
      <c r="BW143" s="332"/>
      <c r="BX143" s="332"/>
      <c r="BY143" s="332"/>
      <c r="BZ143" s="332"/>
      <c r="CA143" s="332"/>
      <c r="CB143" s="332"/>
      <c r="CC143" s="332"/>
      <c r="CD143" s="332"/>
      <c r="CE143" s="332"/>
      <c r="CF143" s="332"/>
      <c r="CG143" s="332"/>
      <c r="CH143" s="332"/>
      <c r="CI143" s="332"/>
      <c r="CJ143" s="332"/>
      <c r="CK143" s="332"/>
      <c r="CL143" s="332"/>
      <c r="CM143" s="332"/>
      <c r="CN143" s="332"/>
      <c r="CO143" s="332"/>
      <c r="CP143" s="333" t="s">
        <v>27</v>
      </c>
      <c r="CQ143" s="333" t="s">
        <v>335</v>
      </c>
      <c r="CR143" s="334">
        <v>0</v>
      </c>
      <c r="CS143" s="334">
        <v>0</v>
      </c>
      <c r="CT143" s="334">
        <v>0</v>
      </c>
      <c r="CU143" s="334">
        <v>0</v>
      </c>
      <c r="CV143" s="334">
        <v>0</v>
      </c>
      <c r="CW143" s="334">
        <v>0</v>
      </c>
      <c r="CX143" s="334">
        <v>0</v>
      </c>
      <c r="CY143" s="334">
        <v>0</v>
      </c>
      <c r="CZ143" s="334">
        <v>0</v>
      </c>
      <c r="DA143" s="334">
        <v>0</v>
      </c>
      <c r="DB143" s="334">
        <v>0</v>
      </c>
      <c r="DC143" s="334">
        <v>0</v>
      </c>
      <c r="DD143" s="334">
        <v>0</v>
      </c>
      <c r="DE143" s="334">
        <v>0</v>
      </c>
      <c r="DF143" s="334">
        <v>0</v>
      </c>
      <c r="DG143" s="334">
        <v>0</v>
      </c>
      <c r="DH143" s="334">
        <v>0</v>
      </c>
      <c r="DI143" s="334">
        <v>0</v>
      </c>
      <c r="DJ143" s="334">
        <v>0</v>
      </c>
      <c r="DK143" s="334">
        <v>0</v>
      </c>
      <c r="DL143" s="334">
        <v>0</v>
      </c>
      <c r="DM143" s="334">
        <v>0</v>
      </c>
      <c r="DN143" s="334">
        <v>0</v>
      </c>
      <c r="DO143" s="334">
        <v>0</v>
      </c>
      <c r="DP143" s="334">
        <v>0</v>
      </c>
      <c r="DQ143" s="334">
        <v>0</v>
      </c>
      <c r="DR143" s="334">
        <v>0</v>
      </c>
      <c r="DS143" s="334">
        <v>0</v>
      </c>
      <c r="DT143" s="334">
        <v>0</v>
      </c>
      <c r="DU143" s="335">
        <v>0</v>
      </c>
      <c r="DV143" s="335">
        <v>0</v>
      </c>
      <c r="DW143" s="335">
        <v>0</v>
      </c>
      <c r="DX143" s="198" t="s">
        <v>2477</v>
      </c>
      <c r="DY143" s="198" t="s">
        <v>2477</v>
      </c>
      <c r="DZ143" s="198" t="s">
        <v>2477</v>
      </c>
      <c r="EA143" s="198" t="s">
        <v>2477</v>
      </c>
      <c r="EB143" s="198" t="s">
        <v>2477</v>
      </c>
      <c r="EC143" s="198" t="s">
        <v>2477</v>
      </c>
      <c r="ED143" s="198" t="s">
        <v>2477</v>
      </c>
      <c r="EE143" s="198" t="s">
        <v>2477</v>
      </c>
      <c r="EF143" s="198" t="s">
        <v>2477</v>
      </c>
      <c r="EG143" s="198" t="s">
        <v>2477</v>
      </c>
      <c r="EH143" s="198"/>
      <c r="EI143" s="336">
        <f t="shared" si="2"/>
        <v>0</v>
      </c>
      <c r="EJ143" s="336">
        <f>EI143-'[13]FAOSTAT21 CO2'!EH143</f>
        <v>-3.09357E-2</v>
      </c>
    </row>
    <row r="144" spans="1:140" x14ac:dyDescent="0.25">
      <c r="A144" s="31">
        <v>24</v>
      </c>
      <c r="B144" s="31" t="s">
        <v>336</v>
      </c>
      <c r="C144" s="31">
        <v>142</v>
      </c>
      <c r="D144" s="31">
        <v>0</v>
      </c>
      <c r="E144" s="31">
        <v>0</v>
      </c>
      <c r="F144" s="31">
        <v>1</v>
      </c>
      <c r="G144" s="31">
        <v>0</v>
      </c>
      <c r="H144" s="331" t="s">
        <v>2475</v>
      </c>
      <c r="I144" s="331" t="s">
        <v>337</v>
      </c>
      <c r="J144" s="331"/>
      <c r="K144" s="331"/>
      <c r="L144" s="331"/>
      <c r="M144" s="331"/>
      <c r="N144" s="331"/>
      <c r="O144" s="331"/>
      <c r="P144" s="331"/>
      <c r="Q144" s="331"/>
      <c r="R144" s="331"/>
      <c r="S144" s="331"/>
      <c r="T144" s="331"/>
      <c r="U144" s="331"/>
      <c r="V144" s="331"/>
      <c r="W144" s="331"/>
      <c r="X144" s="331"/>
      <c r="Y144" s="331"/>
      <c r="Z144" s="331"/>
      <c r="AA144" s="331"/>
      <c r="AB144" s="331"/>
      <c r="AC144" s="331"/>
      <c r="AD144" s="331"/>
      <c r="AE144" s="331"/>
      <c r="AF144" s="331"/>
      <c r="AG144" s="331"/>
      <c r="AH144" s="331"/>
      <c r="AI144" s="331"/>
      <c r="AJ144" s="331"/>
      <c r="AK144" s="331"/>
      <c r="AL144" s="331"/>
      <c r="AM144" s="331"/>
      <c r="AN144" s="331"/>
      <c r="AO144" s="331"/>
      <c r="AP144" s="331"/>
      <c r="AQ144" s="331"/>
      <c r="AR144" s="331"/>
      <c r="AS144" s="331"/>
      <c r="AT144" s="331"/>
      <c r="AU144" s="331"/>
      <c r="AV144" s="331"/>
      <c r="AW144" s="331"/>
      <c r="AX144" s="331"/>
      <c r="AY144" s="332" t="s">
        <v>2476</v>
      </c>
      <c r="AZ144" s="332" t="s">
        <v>337</v>
      </c>
      <c r="BA144" s="332"/>
      <c r="BB144" s="332"/>
      <c r="BC144" s="332"/>
      <c r="BD144" s="332"/>
      <c r="BE144" s="332"/>
      <c r="BF144" s="332"/>
      <c r="BG144" s="332"/>
      <c r="BH144" s="332"/>
      <c r="BI144" s="332"/>
      <c r="BJ144" s="332"/>
      <c r="BK144" s="332"/>
      <c r="BL144" s="332"/>
      <c r="BM144" s="332"/>
      <c r="BN144" s="332"/>
      <c r="BO144" s="332"/>
      <c r="BP144" s="332"/>
      <c r="BQ144" s="332"/>
      <c r="BR144" s="332"/>
      <c r="BS144" s="332"/>
      <c r="BT144" s="332"/>
      <c r="BU144" s="332"/>
      <c r="BV144" s="332"/>
      <c r="BW144" s="332"/>
      <c r="BX144" s="332"/>
      <c r="BY144" s="332"/>
      <c r="BZ144" s="332"/>
      <c r="CA144" s="332"/>
      <c r="CB144" s="332"/>
      <c r="CC144" s="332"/>
      <c r="CD144" s="332"/>
      <c r="CE144" s="332"/>
      <c r="CF144" s="332"/>
      <c r="CG144" s="332"/>
      <c r="CH144" s="332"/>
      <c r="CI144" s="332"/>
      <c r="CJ144" s="332"/>
      <c r="CK144" s="332"/>
      <c r="CL144" s="332"/>
      <c r="CM144" s="332"/>
      <c r="CN144" s="332"/>
      <c r="CO144" s="332"/>
      <c r="CP144" s="333" t="s">
        <v>27</v>
      </c>
      <c r="CQ144" s="333" t="s">
        <v>337</v>
      </c>
      <c r="CR144" s="334">
        <v>-20.212043309864079</v>
      </c>
      <c r="CS144" s="334">
        <v>-22.201087595958874</v>
      </c>
      <c r="CT144" s="334">
        <v>-22.055778668443853</v>
      </c>
      <c r="CU144" s="334">
        <v>-22.97747841679292</v>
      </c>
      <c r="CV144" s="334">
        <v>-22.954810492715055</v>
      </c>
      <c r="CW144" s="334">
        <v>-21.87436774937402</v>
      </c>
      <c r="CX144" s="334">
        <v>-21.606825754583838</v>
      </c>
      <c r="CY144" s="334">
        <v>-22.355654277721118</v>
      </c>
      <c r="CZ144" s="334">
        <v>-23.05355145136701</v>
      </c>
      <c r="DA144" s="334">
        <v>-25.873883768977009</v>
      </c>
      <c r="DB144" s="334">
        <v>-26.835731949158617</v>
      </c>
      <c r="DC144" s="334">
        <v>-27.402503226366672</v>
      </c>
      <c r="DD144" s="334">
        <v>-26.001375619222344</v>
      </c>
      <c r="DE144" s="334">
        <v>-27.130530813307153</v>
      </c>
      <c r="DF144" s="334">
        <v>-27.075908747486451</v>
      </c>
      <c r="DG144" s="334">
        <v>-25.339835925713988</v>
      </c>
      <c r="DH144" s="334">
        <v>-23.293621512482524</v>
      </c>
      <c r="DI144" s="334">
        <v>-21.653802214657876</v>
      </c>
      <c r="DJ144" s="334">
        <v>-29.410571996974603</v>
      </c>
      <c r="DK144" s="334">
        <v>-28.265235288477786</v>
      </c>
      <c r="DL144" s="334">
        <v>-29.260964274732942</v>
      </c>
      <c r="DM144" s="334">
        <v>-29.527722781321106</v>
      </c>
      <c r="DN144" s="334">
        <v>-26.581623565364271</v>
      </c>
      <c r="DO144" s="334">
        <v>-26.243332342920176</v>
      </c>
      <c r="DP144" s="334">
        <v>-26.452190378643813</v>
      </c>
      <c r="DQ144" s="334">
        <v>-26.42178035713037</v>
      </c>
      <c r="DR144" s="334">
        <v>-26.107834171698205</v>
      </c>
      <c r="DS144" s="334">
        <v>-24.504214139199824</v>
      </c>
      <c r="DT144" s="334">
        <v>-24.105115011622562</v>
      </c>
      <c r="DU144" s="335">
        <v>-23.939206088881757</v>
      </c>
      <c r="DV144" s="335">
        <v>-23.259701512739905</v>
      </c>
      <c r="DW144" s="335">
        <v>-21.096646960834921</v>
      </c>
      <c r="DX144" s="198">
        <v>1.482</v>
      </c>
      <c r="DY144" s="198">
        <v>-12.013</v>
      </c>
      <c r="DZ144" s="198">
        <v>-12.013</v>
      </c>
      <c r="EA144" s="198">
        <v>9.0836469608349208</v>
      </c>
      <c r="EB144" s="198">
        <v>-23.259701512739905</v>
      </c>
      <c r="EC144" s="198">
        <v>-23.259701512739905</v>
      </c>
      <c r="ED144" s="198">
        <v>-23.259701512739905</v>
      </c>
      <c r="EE144" s="198">
        <v>-23.259701512739905</v>
      </c>
      <c r="EF144" s="198">
        <v>-2.1630545519049846</v>
      </c>
      <c r="EG144" s="198">
        <v>-11.246701512739905</v>
      </c>
      <c r="EH144" s="198">
        <v>-21.812681512739907</v>
      </c>
      <c r="EI144" s="336">
        <f t="shared" si="2"/>
        <v>-25.015629953706544</v>
      </c>
      <c r="EJ144" s="336">
        <f>EI144-'[13]FAOSTAT21 CO2'!EH144</f>
        <v>-13.181132153706544</v>
      </c>
    </row>
    <row r="145" spans="1:140" x14ac:dyDescent="0.25">
      <c r="A145" s="31">
        <v>4</v>
      </c>
      <c r="B145" s="31" t="s">
        <v>338</v>
      </c>
      <c r="C145" s="31">
        <v>143</v>
      </c>
      <c r="D145" s="31">
        <v>0</v>
      </c>
      <c r="E145" s="31">
        <v>0</v>
      </c>
      <c r="F145" s="31">
        <v>0</v>
      </c>
      <c r="G145" s="31">
        <v>0</v>
      </c>
      <c r="H145" s="331" t="s">
        <v>2475</v>
      </c>
      <c r="I145" s="331" t="s">
        <v>339</v>
      </c>
      <c r="J145" s="331"/>
      <c r="K145" s="331"/>
      <c r="L145" s="331"/>
      <c r="M145" s="331"/>
      <c r="N145" s="331"/>
      <c r="O145" s="331"/>
      <c r="P145" s="331"/>
      <c r="Q145" s="331"/>
      <c r="R145" s="331"/>
      <c r="S145" s="331"/>
      <c r="T145" s="331"/>
      <c r="U145" s="331"/>
      <c r="V145" s="331"/>
      <c r="W145" s="331"/>
      <c r="X145" s="331"/>
      <c r="Y145" s="331"/>
      <c r="Z145" s="331"/>
      <c r="AA145" s="331"/>
      <c r="AB145" s="331"/>
      <c r="AC145" s="331"/>
      <c r="AD145" s="331"/>
      <c r="AE145" s="331"/>
      <c r="AF145" s="331"/>
      <c r="AG145" s="331"/>
      <c r="AH145" s="331"/>
      <c r="AI145" s="331"/>
      <c r="AJ145" s="331"/>
      <c r="AK145" s="331"/>
      <c r="AL145" s="331"/>
      <c r="AM145" s="331"/>
      <c r="AN145" s="331"/>
      <c r="AO145" s="331"/>
      <c r="AP145" s="331"/>
      <c r="AQ145" s="331"/>
      <c r="AR145" s="331"/>
      <c r="AS145" s="331"/>
      <c r="AT145" s="331"/>
      <c r="AU145" s="331"/>
      <c r="AV145" s="331"/>
      <c r="AW145" s="331"/>
      <c r="AX145" s="331"/>
      <c r="AY145" s="332" t="s">
        <v>2476</v>
      </c>
      <c r="AZ145" s="332" t="s">
        <v>339</v>
      </c>
      <c r="BA145" s="332"/>
      <c r="BB145" s="332"/>
      <c r="BC145" s="332"/>
      <c r="BD145" s="332"/>
      <c r="BE145" s="332"/>
      <c r="BF145" s="332"/>
      <c r="BG145" s="332"/>
      <c r="BH145" s="332"/>
      <c r="BI145" s="332"/>
      <c r="BJ145" s="332"/>
      <c r="BK145" s="332"/>
      <c r="BL145" s="332"/>
      <c r="BM145" s="332"/>
      <c r="BN145" s="332"/>
      <c r="BO145" s="332"/>
      <c r="BP145" s="332"/>
      <c r="BQ145" s="332"/>
      <c r="BR145" s="332"/>
      <c r="BS145" s="332"/>
      <c r="BT145" s="332"/>
      <c r="BU145" s="332"/>
      <c r="BV145" s="332"/>
      <c r="BW145" s="332"/>
      <c r="BX145" s="332"/>
      <c r="BY145" s="332"/>
      <c r="BZ145" s="332"/>
      <c r="CA145" s="332"/>
      <c r="CB145" s="332"/>
      <c r="CC145" s="332"/>
      <c r="CD145" s="332"/>
      <c r="CE145" s="332"/>
      <c r="CF145" s="332"/>
      <c r="CG145" s="332"/>
      <c r="CH145" s="332"/>
      <c r="CI145" s="332"/>
      <c r="CJ145" s="332"/>
      <c r="CK145" s="332"/>
      <c r="CL145" s="332"/>
      <c r="CM145" s="332"/>
      <c r="CN145" s="332"/>
      <c r="CO145" s="332"/>
      <c r="CP145" s="333" t="s">
        <v>27</v>
      </c>
      <c r="CQ145" s="333" t="s">
        <v>339</v>
      </c>
      <c r="CR145" s="334">
        <v>8.3707900000000013</v>
      </c>
      <c r="CS145" s="334">
        <v>8.3707900000000013</v>
      </c>
      <c r="CT145" s="334">
        <v>8.3707900000000013</v>
      </c>
      <c r="CU145" s="334">
        <v>8.3707900000000013</v>
      </c>
      <c r="CV145" s="334">
        <v>8.3707900000000013</v>
      </c>
      <c r="CW145" s="334">
        <v>8.3707900000000013</v>
      </c>
      <c r="CX145" s="334">
        <v>8.3707900000000013</v>
      </c>
      <c r="CY145" s="334">
        <v>8.9568899999999996</v>
      </c>
      <c r="CZ145" s="334">
        <v>9.5712399999999995</v>
      </c>
      <c r="DA145" s="334">
        <v>10.175270000000001</v>
      </c>
      <c r="DB145" s="334">
        <v>10.487959999999999</v>
      </c>
      <c r="DC145" s="334">
        <v>11.11612</v>
      </c>
      <c r="DD145" s="334">
        <v>11.331860000000001</v>
      </c>
      <c r="DE145" s="334">
        <v>11.446669999999999</v>
      </c>
      <c r="DF145" s="334">
        <v>11.682589999999999</v>
      </c>
      <c r="DG145" s="334">
        <v>11.828280000000001</v>
      </c>
      <c r="DH145" s="334">
        <v>11.7925</v>
      </c>
      <c r="DI145" s="334">
        <v>12.203719999999999</v>
      </c>
      <c r="DJ145" s="334">
        <v>12.2651</v>
      </c>
      <c r="DK145" s="334">
        <v>12.32769</v>
      </c>
      <c r="DL145" s="334">
        <v>12.13954</v>
      </c>
      <c r="DM145" s="334">
        <v>12.11769</v>
      </c>
      <c r="DN145" s="334">
        <v>12.140549999999999</v>
      </c>
      <c r="DO145" s="334">
        <v>12.33389</v>
      </c>
      <c r="DP145" s="334">
        <v>12.543760000000001</v>
      </c>
      <c r="DQ145" s="334">
        <v>12.548309999999999</v>
      </c>
      <c r="DR145" s="334">
        <v>12.642389999999999</v>
      </c>
      <c r="DS145" s="334">
        <v>12.621409999999999</v>
      </c>
      <c r="DT145" s="334">
        <v>12.72085</v>
      </c>
      <c r="DU145" s="335">
        <v>12.72085</v>
      </c>
      <c r="DV145" s="335">
        <v>13.754417425287386</v>
      </c>
      <c r="DW145" s="335">
        <v>13.935754764553224</v>
      </c>
      <c r="DX145" s="198">
        <v>13.754417425287386</v>
      </c>
      <c r="DY145" s="198">
        <v>13.754417425287386</v>
      </c>
      <c r="DZ145" s="198">
        <v>13.754417425287386</v>
      </c>
      <c r="EA145" s="198">
        <v>-0.18133733926583773</v>
      </c>
      <c r="EB145" s="198">
        <v>13.754417425287386</v>
      </c>
      <c r="EC145" s="198">
        <v>13.754417425287386</v>
      </c>
      <c r="ED145" s="198">
        <v>13.754417425287386</v>
      </c>
      <c r="EE145" s="198">
        <v>13.754417425287386</v>
      </c>
      <c r="EF145" s="198">
        <v>-0.18133733926583773</v>
      </c>
      <c r="EG145" s="198">
        <v>0</v>
      </c>
      <c r="EH145" s="198">
        <v>8.1777108983913251</v>
      </c>
      <c r="EI145" s="336">
        <f t="shared" si="2"/>
        <v>12.650761999999999</v>
      </c>
      <c r="EJ145" s="336">
        <f>EI145-'[13]FAOSTAT21 CO2'!EH145</f>
        <v>-5.154345140000002</v>
      </c>
    </row>
    <row r="146" spans="1:140" x14ac:dyDescent="0.25">
      <c r="A146" s="31">
        <v>8</v>
      </c>
      <c r="B146" s="31" t="s">
        <v>340</v>
      </c>
      <c r="C146" s="31">
        <v>144</v>
      </c>
      <c r="D146" s="31">
        <v>0</v>
      </c>
      <c r="E146" s="31">
        <v>0</v>
      </c>
      <c r="F146" s="31">
        <v>0</v>
      </c>
      <c r="G146" s="31">
        <v>0</v>
      </c>
      <c r="H146" s="331" t="s">
        <v>2475</v>
      </c>
      <c r="I146" s="331" t="s">
        <v>341</v>
      </c>
      <c r="J146" s="331"/>
      <c r="K146" s="331"/>
      <c r="L146" s="331"/>
      <c r="M146" s="331"/>
      <c r="N146" s="331"/>
      <c r="O146" s="331"/>
      <c r="P146" s="331"/>
      <c r="Q146" s="331"/>
      <c r="R146" s="331"/>
      <c r="S146" s="331"/>
      <c r="T146" s="331"/>
      <c r="U146" s="331"/>
      <c r="V146" s="331"/>
      <c r="W146" s="331"/>
      <c r="X146" s="331"/>
      <c r="Y146" s="331"/>
      <c r="Z146" s="331"/>
      <c r="AA146" s="331"/>
      <c r="AB146" s="331"/>
      <c r="AC146" s="331"/>
      <c r="AD146" s="331"/>
      <c r="AE146" s="331"/>
      <c r="AF146" s="331"/>
      <c r="AG146" s="331"/>
      <c r="AH146" s="331"/>
      <c r="AI146" s="331"/>
      <c r="AJ146" s="331"/>
      <c r="AK146" s="331"/>
      <c r="AL146" s="331"/>
      <c r="AM146" s="331"/>
      <c r="AN146" s="331"/>
      <c r="AO146" s="331"/>
      <c r="AP146" s="331"/>
      <c r="AQ146" s="331"/>
      <c r="AR146" s="331"/>
      <c r="AS146" s="331"/>
      <c r="AT146" s="331"/>
      <c r="AU146" s="331"/>
      <c r="AV146" s="331"/>
      <c r="AW146" s="331"/>
      <c r="AX146" s="331"/>
      <c r="AY146" s="332" t="s">
        <v>2476</v>
      </c>
      <c r="AZ146" s="332" t="s">
        <v>341</v>
      </c>
      <c r="BA146" s="332"/>
      <c r="BB146" s="332"/>
      <c r="BC146" s="332"/>
      <c r="BD146" s="332"/>
      <c r="BE146" s="332"/>
      <c r="BF146" s="332"/>
      <c r="BG146" s="332"/>
      <c r="BH146" s="332"/>
      <c r="BI146" s="332"/>
      <c r="BJ146" s="332"/>
      <c r="BK146" s="332"/>
      <c r="BL146" s="332"/>
      <c r="BM146" s="332"/>
      <c r="BN146" s="332"/>
      <c r="BO146" s="332"/>
      <c r="BP146" s="332"/>
      <c r="BQ146" s="332"/>
      <c r="BR146" s="332"/>
      <c r="BS146" s="332"/>
      <c r="BT146" s="332"/>
      <c r="BU146" s="332"/>
      <c r="BV146" s="332"/>
      <c r="BW146" s="332"/>
      <c r="BX146" s="332"/>
      <c r="BY146" s="332"/>
      <c r="BZ146" s="332"/>
      <c r="CA146" s="332"/>
      <c r="CB146" s="332"/>
      <c r="CC146" s="332"/>
      <c r="CD146" s="332"/>
      <c r="CE146" s="332"/>
      <c r="CF146" s="332"/>
      <c r="CG146" s="332"/>
      <c r="CH146" s="332"/>
      <c r="CI146" s="332"/>
      <c r="CJ146" s="332"/>
      <c r="CK146" s="332"/>
      <c r="CL146" s="332"/>
      <c r="CM146" s="332"/>
      <c r="CN146" s="332"/>
      <c r="CO146" s="332"/>
      <c r="CP146" s="333" t="s">
        <v>27</v>
      </c>
      <c r="CQ146" s="333" t="s">
        <v>341</v>
      </c>
      <c r="CR146" s="334">
        <v>-19.920000000000002</v>
      </c>
      <c r="CS146" s="334">
        <v>-19.646666666666629</v>
      </c>
      <c r="CT146" s="334">
        <v>-19.373333333333257</v>
      </c>
      <c r="CU146" s="334">
        <v>-19.100000000000001</v>
      </c>
      <c r="CV146" s="334">
        <v>-18.826666666666629</v>
      </c>
      <c r="CW146" s="334">
        <v>-18.553333333333256</v>
      </c>
      <c r="CX146" s="334">
        <v>-18.28</v>
      </c>
      <c r="CY146" s="334">
        <v>-18.006666666666629</v>
      </c>
      <c r="CZ146" s="334">
        <v>-17.733333333333256</v>
      </c>
      <c r="DA146" s="334">
        <v>-17.46</v>
      </c>
      <c r="DB146" s="334">
        <v>-17.186666666666628</v>
      </c>
      <c r="DC146" s="334">
        <v>-16.913333333333256</v>
      </c>
      <c r="DD146" s="334">
        <v>-16.64</v>
      </c>
      <c r="DE146" s="334">
        <v>-16.366666666666628</v>
      </c>
      <c r="DF146" s="334">
        <v>-16.093333333333256</v>
      </c>
      <c r="DG146" s="334">
        <v>-15.82</v>
      </c>
      <c r="DH146" s="334">
        <v>-15.546666666666628</v>
      </c>
      <c r="DI146" s="334">
        <v>-15.273333333333255</v>
      </c>
      <c r="DJ146" s="334">
        <v>-15</v>
      </c>
      <c r="DK146" s="334">
        <v>-14.636363636363647</v>
      </c>
      <c r="DL146" s="334">
        <v>-14.272727272727177</v>
      </c>
      <c r="DM146" s="334">
        <v>-13.909090909090825</v>
      </c>
      <c r="DN146" s="334">
        <v>-13.545454545454472</v>
      </c>
      <c r="DO146" s="334">
        <v>-13.181818181818118</v>
      </c>
      <c r="DP146" s="334">
        <v>-12.818181818181765</v>
      </c>
      <c r="DQ146" s="334">
        <v>-12.454545454545412</v>
      </c>
      <c r="DR146" s="334">
        <v>-12.09090909090906</v>
      </c>
      <c r="DS146" s="334">
        <v>-11.727272727272705</v>
      </c>
      <c r="DT146" s="334">
        <v>-11.363636363636353</v>
      </c>
      <c r="DU146" s="335">
        <v>-11</v>
      </c>
      <c r="DV146" s="335">
        <v>-11.062344827586116</v>
      </c>
      <c r="DW146" s="335">
        <v>-10.75939933259167</v>
      </c>
      <c r="DX146" s="198">
        <v>-11.062344827586116</v>
      </c>
      <c r="DY146" s="198">
        <v>-11.062344827586116</v>
      </c>
      <c r="DZ146" s="198">
        <v>-11.062344827586116</v>
      </c>
      <c r="EA146" s="198">
        <v>-0.30294549499444656</v>
      </c>
      <c r="EB146" s="198">
        <v>-11.062344827586116</v>
      </c>
      <c r="EC146" s="198">
        <v>-11.062344827586116</v>
      </c>
      <c r="ED146" s="198">
        <v>-11.062344827586116</v>
      </c>
      <c r="EE146" s="198">
        <v>-11.062344827586116</v>
      </c>
      <c r="EF146" s="198">
        <v>-0.30294549499444656</v>
      </c>
      <c r="EG146" s="198">
        <v>0</v>
      </c>
      <c r="EH146" s="198">
        <v>-14.355567303542985</v>
      </c>
      <c r="EI146" s="336">
        <f t="shared" si="2"/>
        <v>-11.727272727272707</v>
      </c>
      <c r="EJ146" s="336">
        <f>EI146-'[13]FAOSTAT21 CO2'!EH146</f>
        <v>-12.968501727272708</v>
      </c>
    </row>
    <row r="147" spans="1:140" x14ac:dyDescent="0.25">
      <c r="A147" s="31">
        <v>8</v>
      </c>
      <c r="B147" s="31" t="s">
        <v>342</v>
      </c>
      <c r="C147" s="31">
        <v>145</v>
      </c>
      <c r="D147" s="31">
        <v>0</v>
      </c>
      <c r="E147" s="31">
        <v>0</v>
      </c>
      <c r="F147" s="31">
        <v>0</v>
      </c>
      <c r="G147" s="31">
        <v>0</v>
      </c>
      <c r="H147" s="331" t="s">
        <v>2475</v>
      </c>
      <c r="I147" s="331" t="s">
        <v>343</v>
      </c>
      <c r="J147" s="331"/>
      <c r="K147" s="331"/>
      <c r="L147" s="331"/>
      <c r="M147" s="331"/>
      <c r="N147" s="331"/>
      <c r="O147" s="331"/>
      <c r="P147" s="331"/>
      <c r="Q147" s="331"/>
      <c r="R147" s="331"/>
      <c r="S147" s="331"/>
      <c r="T147" s="331"/>
      <c r="U147" s="331"/>
      <c r="V147" s="331"/>
      <c r="W147" s="331"/>
      <c r="X147" s="331"/>
      <c r="Y147" s="331"/>
      <c r="Z147" s="331"/>
      <c r="AA147" s="331"/>
      <c r="AB147" s="331"/>
      <c r="AC147" s="331"/>
      <c r="AD147" s="331"/>
      <c r="AE147" s="331"/>
      <c r="AF147" s="331"/>
      <c r="AG147" s="331"/>
      <c r="AH147" s="331"/>
      <c r="AI147" s="331"/>
      <c r="AJ147" s="331"/>
      <c r="AK147" s="331"/>
      <c r="AL147" s="331"/>
      <c r="AM147" s="331"/>
      <c r="AN147" s="331"/>
      <c r="AO147" s="331"/>
      <c r="AP147" s="331"/>
      <c r="AQ147" s="331"/>
      <c r="AR147" s="331"/>
      <c r="AS147" s="331"/>
      <c r="AT147" s="331"/>
      <c r="AU147" s="331"/>
      <c r="AV147" s="331"/>
      <c r="AW147" s="331"/>
      <c r="AX147" s="331"/>
      <c r="AY147" s="332" t="s">
        <v>2476</v>
      </c>
      <c r="AZ147" s="332" t="s">
        <v>343</v>
      </c>
      <c r="BA147" s="332"/>
      <c r="BB147" s="332"/>
      <c r="BC147" s="332"/>
      <c r="BD147" s="332"/>
      <c r="BE147" s="332"/>
      <c r="BF147" s="332"/>
      <c r="BG147" s="332"/>
      <c r="BH147" s="332"/>
      <c r="BI147" s="332"/>
      <c r="BJ147" s="332"/>
      <c r="BK147" s="332"/>
      <c r="BL147" s="332"/>
      <c r="BM147" s="332"/>
      <c r="BN147" s="332"/>
      <c r="BO147" s="332"/>
      <c r="BP147" s="332"/>
      <c r="BQ147" s="332"/>
      <c r="BR147" s="332"/>
      <c r="BS147" s="332"/>
      <c r="BT147" s="332"/>
      <c r="BU147" s="332"/>
      <c r="BV147" s="332"/>
      <c r="BW147" s="332"/>
      <c r="BX147" s="332"/>
      <c r="BY147" s="332"/>
      <c r="BZ147" s="332"/>
      <c r="CA147" s="332"/>
      <c r="CB147" s="332"/>
      <c r="CC147" s="332"/>
      <c r="CD147" s="332"/>
      <c r="CE147" s="332"/>
      <c r="CF147" s="332"/>
      <c r="CG147" s="332"/>
      <c r="CH147" s="332"/>
      <c r="CI147" s="332"/>
      <c r="CJ147" s="332"/>
      <c r="CK147" s="332"/>
      <c r="CL147" s="332"/>
      <c r="CM147" s="332"/>
      <c r="CN147" s="332"/>
      <c r="CO147" s="332"/>
      <c r="CP147" s="333" t="s">
        <v>27</v>
      </c>
      <c r="CQ147" s="333" t="s">
        <v>343</v>
      </c>
      <c r="CR147" s="334">
        <v>-5.9080000000000004</v>
      </c>
      <c r="CS147" s="334">
        <v>-5.9080000000000004</v>
      </c>
      <c r="CT147" s="334">
        <v>-5.9080000000000004</v>
      </c>
      <c r="CU147" s="334">
        <v>-5.9080000000000004</v>
      </c>
      <c r="CV147" s="334">
        <v>-5.9080000000000004</v>
      </c>
      <c r="CW147" s="334">
        <v>-5.9080000000000004</v>
      </c>
      <c r="CX147" s="334">
        <v>-5.9080000000000004</v>
      </c>
      <c r="CY147" s="334">
        <v>-5.9080000000000004</v>
      </c>
      <c r="CZ147" s="334">
        <v>-5.9080000000000004</v>
      </c>
      <c r="DA147" s="334">
        <v>-5.9080000000000004</v>
      </c>
      <c r="DB147" s="334">
        <v>-5.9080000000000004</v>
      </c>
      <c r="DC147" s="334">
        <v>-5.7859999999999996</v>
      </c>
      <c r="DD147" s="334">
        <v>-5.6509999999999998</v>
      </c>
      <c r="DE147" s="334">
        <v>-5.6230000000000002</v>
      </c>
      <c r="DF147" s="334">
        <v>-5.5510000000000002</v>
      </c>
      <c r="DG147" s="334">
        <v>-5.3390000000000004</v>
      </c>
      <c r="DH147" s="334">
        <v>-5.226</v>
      </c>
      <c r="DI147" s="334">
        <v>-5.2249999999999996</v>
      </c>
      <c r="DJ147" s="334">
        <v>-5.069</v>
      </c>
      <c r="DK147" s="334">
        <v>-4.9249999999999998</v>
      </c>
      <c r="DL147" s="334">
        <v>-4.7960000000000003</v>
      </c>
      <c r="DM147" s="334">
        <v>-5.3360000000000003</v>
      </c>
      <c r="DN147" s="334">
        <v>-4.2770000000000001</v>
      </c>
      <c r="DO147" s="334">
        <v>-5.0209999999999999</v>
      </c>
      <c r="DP147" s="334">
        <v>-5.3449999999999998</v>
      </c>
      <c r="DQ147" s="334">
        <v>-4.83</v>
      </c>
      <c r="DR147" s="334">
        <v>-4.7910000000000004</v>
      </c>
      <c r="DS147" s="334">
        <v>-4.5430000000000001</v>
      </c>
      <c r="DT147" s="334">
        <v>-4.6624285714285776</v>
      </c>
      <c r="DU147" s="335">
        <v>-4.6087980295566524</v>
      </c>
      <c r="DV147" s="335">
        <v>-4.5551674876847272</v>
      </c>
      <c r="DW147" s="335">
        <v>-4.5015369458128021</v>
      </c>
      <c r="DX147" s="198">
        <v>-4.5551674876847272</v>
      </c>
      <c r="DY147" s="198">
        <v>-4.5551674876847272</v>
      </c>
      <c r="DZ147" s="198">
        <v>-4.5551674876847272</v>
      </c>
      <c r="EA147" s="198">
        <v>-5.3630541871925175E-2</v>
      </c>
      <c r="EB147" s="198">
        <v>-4.5551674876847272</v>
      </c>
      <c r="EC147" s="198">
        <v>-4.5551674876847272</v>
      </c>
      <c r="ED147" s="198">
        <v>-4.5551674876847272</v>
      </c>
      <c r="EE147" s="198">
        <v>-4.5551674876847272</v>
      </c>
      <c r="EF147" s="198">
        <v>-5.3630541871925175E-2</v>
      </c>
      <c r="EG147" s="198">
        <v>0</v>
      </c>
      <c r="EH147" s="198">
        <v>-5.9112253746873957</v>
      </c>
      <c r="EI147" s="336">
        <f t="shared" si="2"/>
        <v>-4.6870453201970461</v>
      </c>
      <c r="EJ147" s="336">
        <f>EI147-'[13]FAOSTAT21 CO2'!EH147</f>
        <v>-50.678650980197034</v>
      </c>
    </row>
    <row r="148" spans="1:140" x14ac:dyDescent="0.25">
      <c r="A148" s="31">
        <v>24</v>
      </c>
      <c r="B148" s="31" t="s">
        <v>344</v>
      </c>
      <c r="C148" s="31">
        <v>146</v>
      </c>
      <c r="D148" s="31">
        <v>0</v>
      </c>
      <c r="E148" s="31">
        <v>0</v>
      </c>
      <c r="F148" s="31">
        <v>0</v>
      </c>
      <c r="G148" s="31">
        <v>0</v>
      </c>
      <c r="H148" s="331" t="s">
        <v>2475</v>
      </c>
      <c r="I148" s="331" t="s">
        <v>345</v>
      </c>
      <c r="J148" s="331"/>
      <c r="K148" s="331"/>
      <c r="L148" s="331"/>
      <c r="M148" s="331"/>
      <c r="N148" s="331"/>
      <c r="O148" s="331"/>
      <c r="P148" s="331"/>
      <c r="Q148" s="331"/>
      <c r="R148" s="331"/>
      <c r="S148" s="331"/>
      <c r="T148" s="331"/>
      <c r="U148" s="331"/>
      <c r="V148" s="331"/>
      <c r="W148" s="331"/>
      <c r="X148" s="331"/>
      <c r="Y148" s="331"/>
      <c r="Z148" s="331"/>
      <c r="AA148" s="331"/>
      <c r="AB148" s="331"/>
      <c r="AC148" s="331"/>
      <c r="AD148" s="331"/>
      <c r="AE148" s="331"/>
      <c r="AF148" s="331"/>
      <c r="AG148" s="331"/>
      <c r="AH148" s="331"/>
      <c r="AI148" s="331"/>
      <c r="AJ148" s="331"/>
      <c r="AK148" s="331"/>
      <c r="AL148" s="331"/>
      <c r="AM148" s="331"/>
      <c r="AN148" s="331"/>
      <c r="AO148" s="331"/>
      <c r="AP148" s="331"/>
      <c r="AQ148" s="331"/>
      <c r="AR148" s="331"/>
      <c r="AS148" s="331"/>
      <c r="AT148" s="331"/>
      <c r="AU148" s="331"/>
      <c r="AV148" s="331"/>
      <c r="AW148" s="331"/>
      <c r="AX148" s="331"/>
      <c r="AY148" s="332" t="s">
        <v>2476</v>
      </c>
      <c r="AZ148" s="332" t="s">
        <v>345</v>
      </c>
      <c r="BA148" s="332"/>
      <c r="BB148" s="332"/>
      <c r="BC148" s="332"/>
      <c r="BD148" s="332"/>
      <c r="BE148" s="332"/>
      <c r="BF148" s="332"/>
      <c r="BG148" s="332"/>
      <c r="BH148" s="332"/>
      <c r="BI148" s="332"/>
      <c r="BJ148" s="332"/>
      <c r="BK148" s="332"/>
      <c r="BL148" s="332"/>
      <c r="BM148" s="332"/>
      <c r="BN148" s="332"/>
      <c r="BO148" s="332"/>
      <c r="BP148" s="332"/>
      <c r="BQ148" s="332"/>
      <c r="BR148" s="332"/>
      <c r="BS148" s="332"/>
      <c r="BT148" s="332"/>
      <c r="BU148" s="332"/>
      <c r="BV148" s="332"/>
      <c r="BW148" s="332"/>
      <c r="BX148" s="332"/>
      <c r="BY148" s="332"/>
      <c r="BZ148" s="332"/>
      <c r="CA148" s="332"/>
      <c r="CB148" s="332"/>
      <c r="CC148" s="332"/>
      <c r="CD148" s="332"/>
      <c r="CE148" s="332"/>
      <c r="CF148" s="332"/>
      <c r="CG148" s="332"/>
      <c r="CH148" s="332"/>
      <c r="CI148" s="332"/>
      <c r="CJ148" s="332"/>
      <c r="CK148" s="332"/>
      <c r="CL148" s="332"/>
      <c r="CM148" s="332"/>
      <c r="CN148" s="332"/>
      <c r="CO148" s="332"/>
      <c r="CP148" s="333" t="s">
        <v>27</v>
      </c>
      <c r="CQ148" s="333" t="s">
        <v>345</v>
      </c>
      <c r="CR148" s="334">
        <v>8.534828999999999E-5</v>
      </c>
      <c r="CS148" s="334">
        <v>8.534828999999999E-5</v>
      </c>
      <c r="CT148" s="334">
        <v>8.534828999999999E-5</v>
      </c>
      <c r="CU148" s="334">
        <v>8.534828999999999E-5</v>
      </c>
      <c r="CV148" s="334">
        <v>8.534828999999999E-5</v>
      </c>
      <c r="CW148" s="334">
        <v>-9.520341596000001E-3</v>
      </c>
      <c r="CX148" s="334">
        <v>-1.9126031482000004E-2</v>
      </c>
      <c r="CY148" s="334">
        <v>-2.8731721368000007E-2</v>
      </c>
      <c r="CZ148" s="334">
        <v>-3.833741125400001E-2</v>
      </c>
      <c r="DA148" s="334">
        <v>-4.7943101140000013E-2</v>
      </c>
      <c r="DB148" s="334">
        <v>-5.7548791026000017E-2</v>
      </c>
      <c r="DC148" s="334">
        <v>-6.715448091200002E-2</v>
      </c>
      <c r="DD148" s="334">
        <v>-7.6760170798000016E-2</v>
      </c>
      <c r="DE148" s="334">
        <v>-8.6365860684000012E-2</v>
      </c>
      <c r="DF148" s="334">
        <v>-9.5971550570000008E-2</v>
      </c>
      <c r="DG148" s="334">
        <v>-0.105577240456</v>
      </c>
      <c r="DH148" s="334">
        <v>-0.115182930342</v>
      </c>
      <c r="DI148" s="334">
        <v>-0.124788620228</v>
      </c>
      <c r="DJ148" s="334">
        <v>-0.13439431011399999</v>
      </c>
      <c r="DK148" s="334">
        <v>-0.14400000000000002</v>
      </c>
      <c r="DL148" s="334">
        <v>-0.14551668787673933</v>
      </c>
      <c r="DM148" s="334">
        <v>-0.1538945828149032</v>
      </c>
      <c r="DN148" s="334">
        <v>-0.16227247775306708</v>
      </c>
      <c r="DO148" s="334">
        <v>-0.17065037269123451</v>
      </c>
      <c r="DP148" s="334">
        <v>-0.17902826762940194</v>
      </c>
      <c r="DQ148" s="334">
        <v>-0.18740616256756581</v>
      </c>
      <c r="DR148" s="334">
        <v>-0.19578405750573324</v>
      </c>
      <c r="DS148" s="334">
        <v>-0.20416195244389712</v>
      </c>
      <c r="DT148" s="334">
        <v>-0.212539847382061</v>
      </c>
      <c r="DU148" s="335">
        <v>-0.22091774232022843</v>
      </c>
      <c r="DV148" s="335">
        <v>-0.2292956372583923</v>
      </c>
      <c r="DW148" s="335">
        <v>-0.23767353219655973</v>
      </c>
      <c r="DX148" s="198">
        <v>-0.2292956372583923</v>
      </c>
      <c r="DY148" s="198">
        <v>-0.2292956372583923</v>
      </c>
      <c r="DZ148" s="198">
        <v>-0.2292956372583923</v>
      </c>
      <c r="EA148" s="198">
        <v>8.3778949381674295E-3</v>
      </c>
      <c r="EB148" s="198">
        <v>-0.2292956372583923</v>
      </c>
      <c r="EC148" s="198">
        <v>-0.2292956372583923</v>
      </c>
      <c r="ED148" s="198">
        <v>-0.2292956372583923</v>
      </c>
      <c r="EE148" s="198">
        <v>-0.2292956372583923</v>
      </c>
      <c r="EF148" s="198">
        <v>8.3778949381674295E-3</v>
      </c>
      <c r="EG148" s="198">
        <v>0</v>
      </c>
      <c r="EH148" s="198">
        <v>-0.21395446605196378</v>
      </c>
      <c r="EI148" s="336">
        <f t="shared" si="2"/>
        <v>-0.20416195244389712</v>
      </c>
      <c r="EJ148" s="336">
        <f>EI148-'[13]FAOSTAT21 CO2'!EH148</f>
        <v>-0.20195497244389712</v>
      </c>
    </row>
    <row r="149" spans="1:140" x14ac:dyDescent="0.25">
      <c r="A149" s="31">
        <v>24</v>
      </c>
      <c r="B149" s="31" t="s">
        <v>346</v>
      </c>
      <c r="C149" s="31">
        <v>148</v>
      </c>
      <c r="D149" s="31">
        <v>0</v>
      </c>
      <c r="E149" s="31">
        <v>0</v>
      </c>
      <c r="F149" s="31">
        <v>0</v>
      </c>
      <c r="G149" s="31">
        <v>0</v>
      </c>
      <c r="H149" s="331" t="s">
        <v>2475</v>
      </c>
      <c r="I149" s="331" t="s">
        <v>347</v>
      </c>
      <c r="J149" s="331"/>
      <c r="K149" s="331"/>
      <c r="L149" s="331"/>
      <c r="M149" s="331"/>
      <c r="N149" s="331"/>
      <c r="O149" s="331"/>
      <c r="P149" s="331"/>
      <c r="Q149" s="331"/>
      <c r="R149" s="331"/>
      <c r="S149" s="331"/>
      <c r="T149" s="331"/>
      <c r="U149" s="331"/>
      <c r="V149" s="331"/>
      <c r="W149" s="331"/>
      <c r="X149" s="331"/>
      <c r="Y149" s="331"/>
      <c r="Z149" s="331"/>
      <c r="AA149" s="331"/>
      <c r="AB149" s="331"/>
      <c r="AC149" s="331"/>
      <c r="AD149" s="331"/>
      <c r="AE149" s="331"/>
      <c r="AF149" s="331"/>
      <c r="AG149" s="331"/>
      <c r="AH149" s="331"/>
      <c r="AI149" s="331"/>
      <c r="AJ149" s="331"/>
      <c r="AK149" s="331"/>
      <c r="AL149" s="331"/>
      <c r="AM149" s="331"/>
      <c r="AN149" s="331"/>
      <c r="AO149" s="331"/>
      <c r="AP149" s="331"/>
      <c r="AQ149" s="331"/>
      <c r="AR149" s="331"/>
      <c r="AS149" s="331"/>
      <c r="AT149" s="331"/>
      <c r="AU149" s="331"/>
      <c r="AV149" s="331"/>
      <c r="AW149" s="331"/>
      <c r="AX149" s="331"/>
      <c r="AY149" s="332" t="s">
        <v>2476</v>
      </c>
      <c r="AZ149" s="332" t="s">
        <v>347</v>
      </c>
      <c r="BA149" s="332"/>
      <c r="BB149" s="332"/>
      <c r="BC149" s="332"/>
      <c r="BD149" s="332"/>
      <c r="BE149" s="332"/>
      <c r="BF149" s="332"/>
      <c r="BG149" s="332"/>
      <c r="BH149" s="332"/>
      <c r="BI149" s="332"/>
      <c r="BJ149" s="332"/>
      <c r="BK149" s="332"/>
      <c r="BL149" s="332"/>
      <c r="BM149" s="332"/>
      <c r="BN149" s="332"/>
      <c r="BO149" s="332"/>
      <c r="BP149" s="332"/>
      <c r="BQ149" s="332"/>
      <c r="BR149" s="332"/>
      <c r="BS149" s="332"/>
      <c r="BT149" s="332"/>
      <c r="BU149" s="332"/>
      <c r="BV149" s="332"/>
      <c r="BW149" s="332"/>
      <c r="BX149" s="332"/>
      <c r="BY149" s="332"/>
      <c r="BZ149" s="332"/>
      <c r="CA149" s="332"/>
      <c r="CB149" s="332"/>
      <c r="CC149" s="332"/>
      <c r="CD149" s="332"/>
      <c r="CE149" s="332"/>
      <c r="CF149" s="332"/>
      <c r="CG149" s="332"/>
      <c r="CH149" s="332"/>
      <c r="CI149" s="332"/>
      <c r="CJ149" s="332"/>
      <c r="CK149" s="332"/>
      <c r="CL149" s="332"/>
      <c r="CM149" s="332"/>
      <c r="CN149" s="332"/>
      <c r="CO149" s="332"/>
      <c r="CP149" s="333" t="s">
        <v>27</v>
      </c>
      <c r="CQ149" s="333" t="s">
        <v>347</v>
      </c>
      <c r="CR149" s="334">
        <v>0</v>
      </c>
      <c r="CS149" s="334">
        <v>0</v>
      </c>
      <c r="CT149" s="334">
        <v>0</v>
      </c>
      <c r="CU149" s="334">
        <v>0</v>
      </c>
      <c r="CV149" s="334">
        <v>0</v>
      </c>
      <c r="CW149" s="334">
        <v>0</v>
      </c>
      <c r="CX149" s="334">
        <v>0</v>
      </c>
      <c r="CY149" s="334">
        <v>0</v>
      </c>
      <c r="CZ149" s="334">
        <v>0</v>
      </c>
      <c r="DA149" s="334">
        <v>0</v>
      </c>
      <c r="DB149" s="334">
        <v>0</v>
      </c>
      <c r="DC149" s="334">
        <v>0</v>
      </c>
      <c r="DD149" s="334">
        <v>0</v>
      </c>
      <c r="DE149" s="334">
        <v>0</v>
      </c>
      <c r="DF149" s="334">
        <v>0</v>
      </c>
      <c r="DG149" s="334">
        <v>0</v>
      </c>
      <c r="DH149" s="334">
        <v>0</v>
      </c>
      <c r="DI149" s="334">
        <v>0</v>
      </c>
      <c r="DJ149" s="334">
        <v>0</v>
      </c>
      <c r="DK149" s="334">
        <v>0</v>
      </c>
      <c r="DL149" s="334">
        <v>0</v>
      </c>
      <c r="DM149" s="334">
        <v>0</v>
      </c>
      <c r="DN149" s="334">
        <v>0</v>
      </c>
      <c r="DO149" s="334">
        <v>0</v>
      </c>
      <c r="DP149" s="334">
        <v>0</v>
      </c>
      <c r="DQ149" s="334">
        <v>0</v>
      </c>
      <c r="DR149" s="334">
        <v>0</v>
      </c>
      <c r="DS149" s="334">
        <v>0</v>
      </c>
      <c r="DT149" s="334">
        <v>0</v>
      </c>
      <c r="DU149" s="335">
        <v>0</v>
      </c>
      <c r="DV149" s="335">
        <v>0</v>
      </c>
      <c r="DW149" s="335">
        <v>0</v>
      </c>
      <c r="DX149" s="198" t="s">
        <v>2477</v>
      </c>
      <c r="DY149" s="198" t="s">
        <v>2477</v>
      </c>
      <c r="DZ149" s="198" t="s">
        <v>2477</v>
      </c>
      <c r="EA149" s="198" t="s">
        <v>2477</v>
      </c>
      <c r="EB149" s="198" t="s">
        <v>2477</v>
      </c>
      <c r="EC149" s="198" t="s">
        <v>2477</v>
      </c>
      <c r="ED149" s="198" t="s">
        <v>2477</v>
      </c>
      <c r="EE149" s="198" t="s">
        <v>2477</v>
      </c>
      <c r="EF149" s="198" t="s">
        <v>2477</v>
      </c>
      <c r="EG149" s="198" t="s">
        <v>2477</v>
      </c>
      <c r="EH149" s="198"/>
      <c r="EI149" s="336">
        <f t="shared" si="2"/>
        <v>0</v>
      </c>
      <c r="EJ149" s="336">
        <f>EI149-'[13]FAOSTAT21 CO2'!EH149</f>
        <v>-0.8131311200000001</v>
      </c>
    </row>
    <row r="150" spans="1:140" x14ac:dyDescent="0.25">
      <c r="A150" s="31">
        <v>11</v>
      </c>
      <c r="B150" s="31" t="s">
        <v>348</v>
      </c>
      <c r="C150" s="31">
        <v>147</v>
      </c>
      <c r="D150" s="31">
        <v>0</v>
      </c>
      <c r="E150" s="31">
        <v>0</v>
      </c>
      <c r="F150" s="31">
        <v>1</v>
      </c>
      <c r="G150" s="31">
        <v>0</v>
      </c>
      <c r="H150" s="331" t="s">
        <v>2475</v>
      </c>
      <c r="I150" s="331" t="s">
        <v>349</v>
      </c>
      <c r="J150" s="331"/>
      <c r="K150" s="331"/>
      <c r="L150" s="331"/>
      <c r="M150" s="331"/>
      <c r="N150" s="331"/>
      <c r="O150" s="331"/>
      <c r="P150" s="331"/>
      <c r="Q150" s="331"/>
      <c r="R150" s="331"/>
      <c r="S150" s="331"/>
      <c r="T150" s="331"/>
      <c r="U150" s="331"/>
      <c r="V150" s="331"/>
      <c r="W150" s="331"/>
      <c r="X150" s="331"/>
      <c r="Y150" s="331"/>
      <c r="Z150" s="331"/>
      <c r="AA150" s="331"/>
      <c r="AB150" s="331"/>
      <c r="AC150" s="331"/>
      <c r="AD150" s="331"/>
      <c r="AE150" s="331"/>
      <c r="AF150" s="331"/>
      <c r="AG150" s="331"/>
      <c r="AH150" s="331"/>
      <c r="AI150" s="331"/>
      <c r="AJ150" s="331"/>
      <c r="AK150" s="331"/>
      <c r="AL150" s="331"/>
      <c r="AM150" s="331"/>
      <c r="AN150" s="331"/>
      <c r="AO150" s="331"/>
      <c r="AP150" s="331"/>
      <c r="AQ150" s="331"/>
      <c r="AR150" s="331"/>
      <c r="AS150" s="331"/>
      <c r="AT150" s="331"/>
      <c r="AU150" s="331"/>
      <c r="AV150" s="331"/>
      <c r="AW150" s="331"/>
      <c r="AX150" s="331"/>
      <c r="AY150" s="332" t="s">
        <v>2476</v>
      </c>
      <c r="AZ150" s="332" t="s">
        <v>349</v>
      </c>
      <c r="BA150" s="332"/>
      <c r="BB150" s="332"/>
      <c r="BC150" s="332"/>
      <c r="BD150" s="332"/>
      <c r="BE150" s="332"/>
      <c r="BF150" s="332"/>
      <c r="BG150" s="332"/>
      <c r="BH150" s="332"/>
      <c r="BI150" s="332"/>
      <c r="BJ150" s="332"/>
      <c r="BK150" s="332"/>
      <c r="BL150" s="332"/>
      <c r="BM150" s="332"/>
      <c r="BN150" s="332"/>
      <c r="BO150" s="332"/>
      <c r="BP150" s="332"/>
      <c r="BQ150" s="332"/>
      <c r="BR150" s="332"/>
      <c r="BS150" s="332"/>
      <c r="BT150" s="332"/>
      <c r="BU150" s="332"/>
      <c r="BV150" s="332"/>
      <c r="BW150" s="332"/>
      <c r="BX150" s="332"/>
      <c r="BY150" s="332"/>
      <c r="BZ150" s="332"/>
      <c r="CA150" s="332"/>
      <c r="CB150" s="332"/>
      <c r="CC150" s="332"/>
      <c r="CD150" s="332"/>
      <c r="CE150" s="332"/>
      <c r="CF150" s="332"/>
      <c r="CG150" s="332"/>
      <c r="CH150" s="332"/>
      <c r="CI150" s="332"/>
      <c r="CJ150" s="332"/>
      <c r="CK150" s="332"/>
      <c r="CL150" s="332"/>
      <c r="CM150" s="332"/>
      <c r="CN150" s="332"/>
      <c r="CO150" s="332"/>
      <c r="CP150" s="333" t="s">
        <v>27</v>
      </c>
      <c r="CQ150" s="333" t="s">
        <v>349</v>
      </c>
      <c r="CR150" s="334">
        <v>-9.8325516100928567</v>
      </c>
      <c r="CS150" s="334">
        <v>-11.620307845721783</v>
      </c>
      <c r="CT150" s="334">
        <v>-11.031188802461074</v>
      </c>
      <c r="CU150" s="334">
        <v>-12.561665054236395</v>
      </c>
      <c r="CV150" s="334">
        <v>-10.487848876559582</v>
      </c>
      <c r="CW150" s="334">
        <v>-14.734468103294132</v>
      </c>
      <c r="CX150" s="334">
        <v>-13.981250588582062</v>
      </c>
      <c r="CY150" s="334">
        <v>-12.906268111283724</v>
      </c>
      <c r="CZ150" s="334">
        <v>-15.410745445694472</v>
      </c>
      <c r="DA150" s="334">
        <v>-17.064573644321264</v>
      </c>
      <c r="DB150" s="334">
        <v>-18.691643840318619</v>
      </c>
      <c r="DC150" s="334">
        <v>-20.620081194819264</v>
      </c>
      <c r="DD150" s="334">
        <v>-21.664276052691196</v>
      </c>
      <c r="DE150" s="334">
        <v>-23.264101707273724</v>
      </c>
      <c r="DF150" s="334">
        <v>-22.961923371380603</v>
      </c>
      <c r="DG150" s="334">
        <v>-20.344865977355774</v>
      </c>
      <c r="DH150" s="334">
        <v>-22.344013737971185</v>
      </c>
      <c r="DI150" s="334">
        <v>-22.474967830211074</v>
      </c>
      <c r="DJ150" s="334">
        <v>-23.816975013345616</v>
      </c>
      <c r="DK150" s="334">
        <v>-27.246494902086543</v>
      </c>
      <c r="DL150" s="334">
        <v>-23.840293064187112</v>
      </c>
      <c r="DM150" s="334">
        <v>-25.175952489935273</v>
      </c>
      <c r="DN150" s="334">
        <v>-21.418771602101607</v>
      </c>
      <c r="DO150" s="334">
        <v>-21.947026042319628</v>
      </c>
      <c r="DP150" s="334">
        <v>-18.211283537785537</v>
      </c>
      <c r="DQ150" s="334">
        <v>-13.387895574225812</v>
      </c>
      <c r="DR150" s="334">
        <v>-13.328722484971854</v>
      </c>
      <c r="DS150" s="334">
        <v>-12.458342857416064</v>
      </c>
      <c r="DT150" s="334">
        <v>-13.289813674837879</v>
      </c>
      <c r="DU150" s="335">
        <v>-15.29590032008212</v>
      </c>
      <c r="DV150" s="335">
        <v>-19.180250730737857</v>
      </c>
      <c r="DW150" s="335">
        <v>-15.504740136226504</v>
      </c>
      <c r="DX150" s="198">
        <v>-20</v>
      </c>
      <c r="DY150" s="198">
        <v>-21</v>
      </c>
      <c r="DZ150" s="198">
        <v>-21</v>
      </c>
      <c r="EA150" s="198">
        <v>-5.4952598637734962</v>
      </c>
      <c r="EB150" s="198">
        <v>-19.180250730737857</v>
      </c>
      <c r="EC150" s="198">
        <v>-19.180250730737857</v>
      </c>
      <c r="ED150" s="198">
        <v>-19.180250730737857</v>
      </c>
      <c r="EE150" s="198">
        <v>-19.180250730737857</v>
      </c>
      <c r="EF150" s="198">
        <v>-3.6755105945113531</v>
      </c>
      <c r="EG150" s="198">
        <v>1.8197492692621431</v>
      </c>
      <c r="EH150" s="198">
        <v>-19.860934677027426</v>
      </c>
      <c r="EI150" s="336">
        <f t="shared" si="2"/>
        <v>-13.552134982306745</v>
      </c>
      <c r="EJ150" s="336">
        <f>EI150-'[13]FAOSTAT21 CO2'!EH150</f>
        <v>5.3846665376932545</v>
      </c>
    </row>
    <row r="151" spans="1:140" x14ac:dyDescent="0.25">
      <c r="A151" s="31">
        <v>17</v>
      </c>
      <c r="B151" s="31" t="s">
        <v>350</v>
      </c>
      <c r="C151" s="31">
        <v>133</v>
      </c>
      <c r="D151" s="31">
        <v>0</v>
      </c>
      <c r="E151" s="31">
        <v>0</v>
      </c>
      <c r="F151" s="31">
        <v>0</v>
      </c>
      <c r="G151" s="31">
        <v>0</v>
      </c>
      <c r="H151" s="331" t="s">
        <v>2475</v>
      </c>
      <c r="I151" s="331" t="s">
        <v>351</v>
      </c>
      <c r="J151" s="331"/>
      <c r="K151" s="331"/>
      <c r="L151" s="331"/>
      <c r="M151" s="331"/>
      <c r="N151" s="331"/>
      <c r="O151" s="331"/>
      <c r="P151" s="331"/>
      <c r="Q151" s="331"/>
      <c r="R151" s="331"/>
      <c r="S151" s="331"/>
      <c r="T151" s="331"/>
      <c r="U151" s="331"/>
      <c r="V151" s="331"/>
      <c r="W151" s="331"/>
      <c r="X151" s="331"/>
      <c r="Y151" s="331"/>
      <c r="Z151" s="331"/>
      <c r="AA151" s="331"/>
      <c r="AB151" s="331"/>
      <c r="AC151" s="331"/>
      <c r="AD151" s="331"/>
      <c r="AE151" s="331"/>
      <c r="AF151" s="331"/>
      <c r="AG151" s="331"/>
      <c r="AH151" s="331"/>
      <c r="AI151" s="331"/>
      <c r="AJ151" s="331"/>
      <c r="AK151" s="331"/>
      <c r="AL151" s="331"/>
      <c r="AM151" s="331"/>
      <c r="AN151" s="331"/>
      <c r="AO151" s="331"/>
      <c r="AP151" s="331"/>
      <c r="AQ151" s="331"/>
      <c r="AR151" s="331"/>
      <c r="AS151" s="331"/>
      <c r="AT151" s="331"/>
      <c r="AU151" s="331"/>
      <c r="AV151" s="331"/>
      <c r="AW151" s="331"/>
      <c r="AX151" s="331"/>
      <c r="AY151" s="332" t="s">
        <v>2476</v>
      </c>
      <c r="AZ151" s="332" t="s">
        <v>351</v>
      </c>
      <c r="BA151" s="332"/>
      <c r="BB151" s="332"/>
      <c r="BC151" s="332"/>
      <c r="BD151" s="332"/>
      <c r="BE151" s="332"/>
      <c r="BF151" s="332"/>
      <c r="BG151" s="332"/>
      <c r="BH151" s="332"/>
      <c r="BI151" s="332"/>
      <c r="BJ151" s="332"/>
      <c r="BK151" s="332"/>
      <c r="BL151" s="332"/>
      <c r="BM151" s="332"/>
      <c r="BN151" s="332"/>
      <c r="BO151" s="332"/>
      <c r="BP151" s="332"/>
      <c r="BQ151" s="332"/>
      <c r="BR151" s="332"/>
      <c r="BS151" s="332"/>
      <c r="BT151" s="332"/>
      <c r="BU151" s="332"/>
      <c r="BV151" s="332"/>
      <c r="BW151" s="332"/>
      <c r="BX151" s="332"/>
      <c r="BY151" s="332"/>
      <c r="BZ151" s="332"/>
      <c r="CA151" s="332"/>
      <c r="CB151" s="332"/>
      <c r="CC151" s="332"/>
      <c r="CD151" s="332"/>
      <c r="CE151" s="332"/>
      <c r="CF151" s="332"/>
      <c r="CG151" s="332"/>
      <c r="CH151" s="332"/>
      <c r="CI151" s="332"/>
      <c r="CJ151" s="332"/>
      <c r="CK151" s="332"/>
      <c r="CL151" s="332"/>
      <c r="CM151" s="332"/>
      <c r="CN151" s="332"/>
      <c r="CO151" s="332"/>
      <c r="CP151" s="333" t="s">
        <v>27</v>
      </c>
      <c r="CQ151" s="333" t="s">
        <v>351</v>
      </c>
      <c r="CR151" s="334">
        <v>0</v>
      </c>
      <c r="CS151" s="334">
        <v>0</v>
      </c>
      <c r="CT151" s="334">
        <v>0</v>
      </c>
      <c r="CU151" s="334">
        <v>0</v>
      </c>
      <c r="CV151" s="334">
        <v>0</v>
      </c>
      <c r="CW151" s="334">
        <v>0</v>
      </c>
      <c r="CX151" s="334">
        <v>0</v>
      </c>
      <c r="CY151" s="334">
        <v>0</v>
      </c>
      <c r="CZ151" s="334">
        <v>0</v>
      </c>
      <c r="DA151" s="334">
        <v>0</v>
      </c>
      <c r="DB151" s="334">
        <v>0</v>
      </c>
      <c r="DC151" s="334">
        <v>0</v>
      </c>
      <c r="DD151" s="334">
        <v>0</v>
      </c>
      <c r="DE151" s="334">
        <v>0</v>
      </c>
      <c r="DF151" s="334">
        <v>0</v>
      </c>
      <c r="DG151" s="334">
        <v>0</v>
      </c>
      <c r="DH151" s="334">
        <v>0</v>
      </c>
      <c r="DI151" s="334">
        <v>0</v>
      </c>
      <c r="DJ151" s="334">
        <v>0</v>
      </c>
      <c r="DK151" s="334">
        <v>0</v>
      </c>
      <c r="DL151" s="334">
        <v>0</v>
      </c>
      <c r="DM151" s="334">
        <v>0</v>
      </c>
      <c r="DN151" s="334">
        <v>0</v>
      </c>
      <c r="DO151" s="334">
        <v>0</v>
      </c>
      <c r="DP151" s="334">
        <v>0</v>
      </c>
      <c r="DQ151" s="334">
        <v>0</v>
      </c>
      <c r="DR151" s="334">
        <v>0</v>
      </c>
      <c r="DS151" s="334">
        <v>0</v>
      </c>
      <c r="DT151" s="334">
        <v>0</v>
      </c>
      <c r="DU151" s="335">
        <v>0</v>
      </c>
      <c r="DV151" s="335">
        <v>0</v>
      </c>
      <c r="DW151" s="335">
        <v>0</v>
      </c>
      <c r="DX151" s="198" t="s">
        <v>2477</v>
      </c>
      <c r="DY151" s="198" t="s">
        <v>2477</v>
      </c>
      <c r="DZ151" s="198" t="s">
        <v>2477</v>
      </c>
      <c r="EA151" s="198" t="s">
        <v>2477</v>
      </c>
      <c r="EB151" s="198" t="s">
        <v>2477</v>
      </c>
      <c r="EC151" s="198" t="s">
        <v>2477</v>
      </c>
      <c r="ED151" s="198" t="s">
        <v>2477</v>
      </c>
      <c r="EE151" s="198" t="s">
        <v>2477</v>
      </c>
      <c r="EF151" s="198" t="s">
        <v>2477</v>
      </c>
      <c r="EG151" s="198" t="s">
        <v>2477</v>
      </c>
      <c r="EH151" s="198"/>
      <c r="EI151" s="336">
        <f t="shared" si="2"/>
        <v>0</v>
      </c>
      <c r="EJ151" s="336">
        <f>EI151-'[13]FAOSTAT21 CO2'!EH151</f>
        <v>-1.52856E-2</v>
      </c>
    </row>
    <row r="152" spans="1:140" x14ac:dyDescent="0.25">
      <c r="A152" s="31">
        <v>25</v>
      </c>
      <c r="B152" s="31" t="s">
        <v>352</v>
      </c>
      <c r="C152" s="31">
        <v>152</v>
      </c>
      <c r="D152" s="31">
        <v>0</v>
      </c>
      <c r="E152" s="31">
        <v>0</v>
      </c>
      <c r="F152" s="31">
        <v>0</v>
      </c>
      <c r="G152" s="31">
        <v>0</v>
      </c>
      <c r="H152" s="331" t="s">
        <v>2475</v>
      </c>
      <c r="I152" s="331" t="s">
        <v>353</v>
      </c>
      <c r="J152" s="331"/>
      <c r="K152" s="331"/>
      <c r="L152" s="331"/>
      <c r="M152" s="331"/>
      <c r="N152" s="331"/>
      <c r="O152" s="331"/>
      <c r="P152" s="331"/>
      <c r="Q152" s="331"/>
      <c r="R152" s="331"/>
      <c r="S152" s="331"/>
      <c r="T152" s="331"/>
      <c r="U152" s="331"/>
      <c r="V152" s="331"/>
      <c r="W152" s="331"/>
      <c r="X152" s="331"/>
      <c r="Y152" s="331"/>
      <c r="Z152" s="331"/>
      <c r="AA152" s="331"/>
      <c r="AB152" s="331"/>
      <c r="AC152" s="331"/>
      <c r="AD152" s="331"/>
      <c r="AE152" s="331"/>
      <c r="AF152" s="331"/>
      <c r="AG152" s="331"/>
      <c r="AH152" s="331"/>
      <c r="AI152" s="331"/>
      <c r="AJ152" s="331"/>
      <c r="AK152" s="331"/>
      <c r="AL152" s="331"/>
      <c r="AM152" s="331"/>
      <c r="AN152" s="331"/>
      <c r="AO152" s="331"/>
      <c r="AP152" s="331"/>
      <c r="AQ152" s="331"/>
      <c r="AR152" s="331"/>
      <c r="AS152" s="331"/>
      <c r="AT152" s="331"/>
      <c r="AU152" s="331"/>
      <c r="AV152" s="331"/>
      <c r="AW152" s="331"/>
      <c r="AX152" s="331"/>
      <c r="AY152" s="332" t="s">
        <v>2476</v>
      </c>
      <c r="AZ152" s="332" t="s">
        <v>353</v>
      </c>
      <c r="BA152" s="332"/>
      <c r="BB152" s="332"/>
      <c r="BC152" s="332"/>
      <c r="BD152" s="332"/>
      <c r="BE152" s="332"/>
      <c r="BF152" s="332"/>
      <c r="BG152" s="332"/>
      <c r="BH152" s="332"/>
      <c r="BI152" s="332"/>
      <c r="BJ152" s="332"/>
      <c r="BK152" s="332"/>
      <c r="BL152" s="332"/>
      <c r="BM152" s="332"/>
      <c r="BN152" s="332"/>
      <c r="BO152" s="332"/>
      <c r="BP152" s="332"/>
      <c r="BQ152" s="332"/>
      <c r="BR152" s="332"/>
      <c r="BS152" s="332"/>
      <c r="BT152" s="332"/>
      <c r="BU152" s="332"/>
      <c r="BV152" s="332"/>
      <c r="BW152" s="332"/>
      <c r="BX152" s="332"/>
      <c r="BY152" s="332"/>
      <c r="BZ152" s="332"/>
      <c r="CA152" s="332"/>
      <c r="CB152" s="332"/>
      <c r="CC152" s="332"/>
      <c r="CD152" s="332"/>
      <c r="CE152" s="332"/>
      <c r="CF152" s="332"/>
      <c r="CG152" s="332"/>
      <c r="CH152" s="332"/>
      <c r="CI152" s="332"/>
      <c r="CJ152" s="332"/>
      <c r="CK152" s="332"/>
      <c r="CL152" s="332"/>
      <c r="CM152" s="332"/>
      <c r="CN152" s="332"/>
      <c r="CO152" s="332"/>
      <c r="CP152" s="333" t="s">
        <v>27</v>
      </c>
      <c r="CQ152" s="333" t="s">
        <v>353</v>
      </c>
      <c r="CR152" s="334">
        <v>2.6</v>
      </c>
      <c r="CS152" s="334">
        <v>2.6</v>
      </c>
      <c r="CT152" s="334">
        <v>2.6</v>
      </c>
      <c r="CU152" s="334">
        <v>2.6</v>
      </c>
      <c r="CV152" s="334">
        <v>2.6</v>
      </c>
      <c r="CW152" s="334">
        <v>2.6214285714285714</v>
      </c>
      <c r="CX152" s="334">
        <v>2.6428571428571428</v>
      </c>
      <c r="CY152" s="334">
        <v>2.6642857142857141</v>
      </c>
      <c r="CZ152" s="334">
        <v>2.6857142857142855</v>
      </c>
      <c r="DA152" s="334">
        <v>2.7071428571428569</v>
      </c>
      <c r="DB152" s="334">
        <v>2.7285714285714282</v>
      </c>
      <c r="DC152" s="334">
        <v>2.7499999999999996</v>
      </c>
      <c r="DD152" s="334">
        <v>2.7714285714285709</v>
      </c>
      <c r="DE152" s="334">
        <v>2.7928571428571423</v>
      </c>
      <c r="DF152" s="334">
        <v>2.8142857142857136</v>
      </c>
      <c r="DG152" s="334">
        <v>2.835714285714285</v>
      </c>
      <c r="DH152" s="334">
        <v>2.8571428571428563</v>
      </c>
      <c r="DI152" s="334">
        <v>2.8785714285714277</v>
      </c>
      <c r="DJ152" s="334">
        <v>2.9</v>
      </c>
      <c r="DK152" s="334">
        <v>3.0750000000000002</v>
      </c>
      <c r="DL152" s="334">
        <v>3.25</v>
      </c>
      <c r="DM152" s="334">
        <v>3.4249999999999998</v>
      </c>
      <c r="DN152" s="334">
        <v>3.6</v>
      </c>
      <c r="DO152" s="334">
        <v>3.2333333333333334</v>
      </c>
      <c r="DP152" s="334">
        <v>2.8666666666666667</v>
      </c>
      <c r="DQ152" s="334">
        <v>2.5</v>
      </c>
      <c r="DR152" s="334">
        <v>3.159076923076924</v>
      </c>
      <c r="DS152" s="334">
        <v>3.1833960113960131</v>
      </c>
      <c r="DT152" s="334">
        <v>3.2077150997150952</v>
      </c>
      <c r="DU152" s="335">
        <v>3.2320341880341843</v>
      </c>
      <c r="DV152" s="335">
        <v>3.2563532763532734</v>
      </c>
      <c r="DW152" s="335">
        <v>3.2806723646723626</v>
      </c>
      <c r="DX152" s="198">
        <v>3.2563532763532734</v>
      </c>
      <c r="DY152" s="198">
        <v>3.2563532763532734</v>
      </c>
      <c r="DZ152" s="198">
        <v>3.2563532763532734</v>
      </c>
      <c r="EA152" s="198">
        <v>-2.4319088319089133E-2</v>
      </c>
      <c r="EB152" s="198">
        <v>3.2563532763532734</v>
      </c>
      <c r="EC152" s="198">
        <v>3.2563532763532734</v>
      </c>
      <c r="ED152" s="198">
        <v>3.2563532763532734</v>
      </c>
      <c r="EE152" s="198">
        <v>3.2563532763532734</v>
      </c>
      <c r="EF152" s="198">
        <v>-2.4319088319089133E-2</v>
      </c>
      <c r="EG152" s="198">
        <v>0</v>
      </c>
      <c r="EH152" s="198">
        <v>3.0232238829664757</v>
      </c>
      <c r="EI152" s="336">
        <f t="shared" si="2"/>
        <v>3.0564444444444434</v>
      </c>
      <c r="EJ152" s="336">
        <f>EI152-'[13]FAOSTAT21 CO2'!EH152</f>
        <v>-3.6305244155555569</v>
      </c>
    </row>
    <row r="153" spans="1:140" x14ac:dyDescent="0.25">
      <c r="A153" s="31">
        <v>24</v>
      </c>
      <c r="B153" s="31" t="s">
        <v>354</v>
      </c>
      <c r="C153" s="31">
        <v>151</v>
      </c>
      <c r="D153" s="31">
        <v>0</v>
      </c>
      <c r="E153" s="31">
        <v>0</v>
      </c>
      <c r="F153" s="31">
        <v>0</v>
      </c>
      <c r="G153" s="31">
        <v>0</v>
      </c>
      <c r="H153" s="331" t="s">
        <v>2475</v>
      </c>
      <c r="I153" s="331" t="s">
        <v>355</v>
      </c>
      <c r="J153" s="331"/>
      <c r="K153" s="331"/>
      <c r="L153" s="331"/>
      <c r="M153" s="331"/>
      <c r="N153" s="331"/>
      <c r="O153" s="331"/>
      <c r="P153" s="331"/>
      <c r="Q153" s="331"/>
      <c r="R153" s="331"/>
      <c r="S153" s="331"/>
      <c r="T153" s="331"/>
      <c r="U153" s="331"/>
      <c r="V153" s="331"/>
      <c r="W153" s="331"/>
      <c r="X153" s="331"/>
      <c r="Y153" s="331"/>
      <c r="Z153" s="331"/>
      <c r="AA153" s="331"/>
      <c r="AB153" s="331"/>
      <c r="AC153" s="331"/>
      <c r="AD153" s="331"/>
      <c r="AE153" s="331"/>
      <c r="AF153" s="331"/>
      <c r="AG153" s="331"/>
      <c r="AH153" s="331"/>
      <c r="AI153" s="331"/>
      <c r="AJ153" s="331"/>
      <c r="AK153" s="331"/>
      <c r="AL153" s="331"/>
      <c r="AM153" s="331"/>
      <c r="AN153" s="331"/>
      <c r="AO153" s="331"/>
      <c r="AP153" s="331"/>
      <c r="AQ153" s="331"/>
      <c r="AR153" s="331"/>
      <c r="AS153" s="331"/>
      <c r="AT153" s="331"/>
      <c r="AU153" s="331"/>
      <c r="AV153" s="331"/>
      <c r="AW153" s="331"/>
      <c r="AX153" s="331"/>
      <c r="AY153" s="332" t="s">
        <v>2476</v>
      </c>
      <c r="AZ153" s="332" t="s">
        <v>355</v>
      </c>
      <c r="BA153" s="332"/>
      <c r="BB153" s="332"/>
      <c r="BC153" s="332"/>
      <c r="BD153" s="332"/>
      <c r="BE153" s="332"/>
      <c r="BF153" s="332"/>
      <c r="BG153" s="332"/>
      <c r="BH153" s="332"/>
      <c r="BI153" s="332"/>
      <c r="BJ153" s="332"/>
      <c r="BK153" s="332"/>
      <c r="BL153" s="332"/>
      <c r="BM153" s="332"/>
      <c r="BN153" s="332"/>
      <c r="BO153" s="332"/>
      <c r="BP153" s="332"/>
      <c r="BQ153" s="332"/>
      <c r="BR153" s="332"/>
      <c r="BS153" s="332"/>
      <c r="BT153" s="332"/>
      <c r="BU153" s="332"/>
      <c r="BV153" s="332"/>
      <c r="BW153" s="332"/>
      <c r="BX153" s="332"/>
      <c r="BY153" s="332"/>
      <c r="BZ153" s="332"/>
      <c r="CA153" s="332"/>
      <c r="CB153" s="332"/>
      <c r="CC153" s="332"/>
      <c r="CD153" s="332"/>
      <c r="CE153" s="332"/>
      <c r="CF153" s="332"/>
      <c r="CG153" s="332"/>
      <c r="CH153" s="332"/>
      <c r="CI153" s="332"/>
      <c r="CJ153" s="332"/>
      <c r="CK153" s="332"/>
      <c r="CL153" s="332"/>
      <c r="CM153" s="332"/>
      <c r="CN153" s="332"/>
      <c r="CO153" s="332"/>
      <c r="CP153" s="333" t="s">
        <v>27</v>
      </c>
      <c r="CQ153" s="333" t="s">
        <v>355</v>
      </c>
      <c r="CR153" s="334">
        <v>-0.41719000000000001</v>
      </c>
      <c r="CS153" s="334">
        <v>-0.41719000000000001</v>
      </c>
      <c r="CT153" s="334">
        <v>-0.41719000000000001</v>
      </c>
      <c r="CU153" s="334">
        <v>-0.41719000000000001</v>
      </c>
      <c r="CV153" s="334">
        <v>-0.41719000000000001</v>
      </c>
      <c r="CW153" s="334">
        <v>-0.36408666666666667</v>
      </c>
      <c r="CX153" s="334">
        <v>-0.31098333333333333</v>
      </c>
      <c r="CY153" s="334">
        <v>-0.25788</v>
      </c>
      <c r="CZ153" s="334">
        <v>-0.20477666666666666</v>
      </c>
      <c r="DA153" s="334">
        <v>-0.15167333333333333</v>
      </c>
      <c r="DB153" s="334">
        <v>-9.8569999999999991E-2</v>
      </c>
      <c r="DC153" s="334">
        <v>-9.8569999999999991E-2</v>
      </c>
      <c r="DD153" s="334">
        <v>-9.8569999999999991E-2</v>
      </c>
      <c r="DE153" s="334">
        <v>-9.8569999999999991E-2</v>
      </c>
      <c r="DF153" s="334">
        <v>-9.8569999999999991E-2</v>
      </c>
      <c r="DG153" s="334">
        <v>-9.8569999999999991E-2</v>
      </c>
      <c r="DH153" s="334">
        <v>-5.6391666666684159E-3</v>
      </c>
      <c r="DI153" s="334">
        <v>2.2864828431373496E-2</v>
      </c>
      <c r="DJ153" s="334">
        <v>5.1368823529415408E-2</v>
      </c>
      <c r="DK153" s="334">
        <v>7.987281862745732E-2</v>
      </c>
      <c r="DL153" s="334">
        <v>0.10837681372549213</v>
      </c>
      <c r="DM153" s="334">
        <v>0.13688080882353404</v>
      </c>
      <c r="DN153" s="334">
        <v>0.16538480392156885</v>
      </c>
      <c r="DO153" s="334">
        <v>0.19388879901961076</v>
      </c>
      <c r="DP153" s="334">
        <v>0.22239279411765267</v>
      </c>
      <c r="DQ153" s="334">
        <v>0.25089678921569458</v>
      </c>
      <c r="DR153" s="334">
        <v>0.27940078431372939</v>
      </c>
      <c r="DS153" s="334">
        <v>0.3079047794117713</v>
      </c>
      <c r="DT153" s="334">
        <v>0.33640877450980611</v>
      </c>
      <c r="DU153" s="335">
        <v>0.36491276960784802</v>
      </c>
      <c r="DV153" s="335">
        <v>0.39341676470588993</v>
      </c>
      <c r="DW153" s="335">
        <v>0.42192075980392474</v>
      </c>
      <c r="DX153" s="198">
        <v>0.39341676470588993</v>
      </c>
      <c r="DY153" s="198">
        <v>0.39341676470588993</v>
      </c>
      <c r="DZ153" s="198">
        <v>0.39341676470588993</v>
      </c>
      <c r="EA153" s="198">
        <v>-2.8503995098034807E-2</v>
      </c>
      <c r="EB153" s="198">
        <v>0.39341676470588993</v>
      </c>
      <c r="EC153" s="198">
        <v>0.39341676470588993</v>
      </c>
      <c r="ED153" s="198">
        <v>0.39341676470588993</v>
      </c>
      <c r="EE153" s="198">
        <v>0.39341676470588993</v>
      </c>
      <c r="EF153" s="198">
        <v>-2.8503995098034807E-2</v>
      </c>
      <c r="EG153" s="198">
        <v>0</v>
      </c>
      <c r="EH153" s="198">
        <v>0.41973856487180811</v>
      </c>
      <c r="EI153" s="336">
        <f t="shared" si="2"/>
        <v>0.30790477941176986</v>
      </c>
      <c r="EJ153" s="336">
        <f>EI153-'[13]FAOSTAT21 CO2'!EH153</f>
        <v>0.30790477941176986</v>
      </c>
    </row>
    <row r="154" spans="1:140" x14ac:dyDescent="0.25">
      <c r="A154" s="31">
        <v>4</v>
      </c>
      <c r="B154" s="31" t="s">
        <v>356</v>
      </c>
      <c r="C154" s="31">
        <v>153</v>
      </c>
      <c r="D154" s="31">
        <v>0</v>
      </c>
      <c r="E154" s="31">
        <v>0</v>
      </c>
      <c r="F154" s="31">
        <v>0</v>
      </c>
      <c r="G154" s="31">
        <v>0</v>
      </c>
      <c r="H154" s="331" t="s">
        <v>2475</v>
      </c>
      <c r="I154" s="331" t="s">
        <v>357</v>
      </c>
      <c r="J154" s="331"/>
      <c r="K154" s="331"/>
      <c r="L154" s="331"/>
      <c r="M154" s="331"/>
      <c r="N154" s="331"/>
      <c r="O154" s="331"/>
      <c r="P154" s="331"/>
      <c r="Q154" s="331"/>
      <c r="R154" s="331"/>
      <c r="S154" s="331"/>
      <c r="T154" s="331"/>
      <c r="U154" s="331"/>
      <c r="V154" s="331"/>
      <c r="W154" s="331"/>
      <c r="X154" s="331"/>
      <c r="Y154" s="331"/>
      <c r="Z154" s="331"/>
      <c r="AA154" s="331"/>
      <c r="AB154" s="331"/>
      <c r="AC154" s="331"/>
      <c r="AD154" s="331"/>
      <c r="AE154" s="331"/>
      <c r="AF154" s="331"/>
      <c r="AG154" s="331"/>
      <c r="AH154" s="331"/>
      <c r="AI154" s="331"/>
      <c r="AJ154" s="331"/>
      <c r="AK154" s="331"/>
      <c r="AL154" s="331"/>
      <c r="AM154" s="331"/>
      <c r="AN154" s="331"/>
      <c r="AO154" s="331"/>
      <c r="AP154" s="331"/>
      <c r="AQ154" s="331"/>
      <c r="AR154" s="331"/>
      <c r="AS154" s="331"/>
      <c r="AT154" s="331"/>
      <c r="AU154" s="331"/>
      <c r="AV154" s="331"/>
      <c r="AW154" s="331"/>
      <c r="AX154" s="331"/>
      <c r="AY154" s="332" t="s">
        <v>2476</v>
      </c>
      <c r="AZ154" s="332" t="s">
        <v>357</v>
      </c>
      <c r="BA154" s="332"/>
      <c r="BB154" s="332"/>
      <c r="BC154" s="332"/>
      <c r="BD154" s="332"/>
      <c r="BE154" s="332"/>
      <c r="BF154" s="332"/>
      <c r="BG154" s="332"/>
      <c r="BH154" s="332"/>
      <c r="BI154" s="332"/>
      <c r="BJ154" s="332"/>
      <c r="BK154" s="332"/>
      <c r="BL154" s="332"/>
      <c r="BM154" s="332"/>
      <c r="BN154" s="332"/>
      <c r="BO154" s="332"/>
      <c r="BP154" s="332"/>
      <c r="BQ154" s="332"/>
      <c r="BR154" s="332"/>
      <c r="BS154" s="332"/>
      <c r="BT154" s="332"/>
      <c r="BU154" s="332"/>
      <c r="BV154" s="332"/>
      <c r="BW154" s="332"/>
      <c r="BX154" s="332"/>
      <c r="BY154" s="332"/>
      <c r="BZ154" s="332"/>
      <c r="CA154" s="332"/>
      <c r="CB154" s="332"/>
      <c r="CC154" s="332"/>
      <c r="CD154" s="332"/>
      <c r="CE154" s="332"/>
      <c r="CF154" s="332"/>
      <c r="CG154" s="332"/>
      <c r="CH154" s="332"/>
      <c r="CI154" s="332"/>
      <c r="CJ154" s="332"/>
      <c r="CK154" s="332"/>
      <c r="CL154" s="332"/>
      <c r="CM154" s="332"/>
      <c r="CN154" s="332"/>
      <c r="CO154" s="332"/>
      <c r="CP154" s="333" t="s">
        <v>27</v>
      </c>
      <c r="CQ154" s="333" t="s">
        <v>357</v>
      </c>
      <c r="CR154" s="334">
        <v>-22.180599999999998</v>
      </c>
      <c r="CS154" s="334">
        <v>-22.180599999999998</v>
      </c>
      <c r="CT154" s="334">
        <v>-22.180599999999998</v>
      </c>
      <c r="CU154" s="334">
        <v>-22.180599999999998</v>
      </c>
      <c r="CV154" s="334">
        <v>-22.180599999999998</v>
      </c>
      <c r="CW154" s="334">
        <v>-22.180599999999998</v>
      </c>
      <c r="CX154" s="334">
        <v>-22.180599999999998</v>
      </c>
      <c r="CY154" s="334">
        <v>-22.180599999999998</v>
      </c>
      <c r="CZ154" s="334">
        <v>-22.180599999999998</v>
      </c>
      <c r="DA154" s="334">
        <v>-22.180599999999998</v>
      </c>
      <c r="DB154" s="334">
        <v>-22.180599999999998</v>
      </c>
      <c r="DC154" s="334">
        <v>-21.063899999999997</v>
      </c>
      <c r="DD154" s="334">
        <v>-19.947199999999995</v>
      </c>
      <c r="DE154" s="334">
        <v>-18.830499999999994</v>
      </c>
      <c r="DF154" s="334">
        <v>-17.713799999999992</v>
      </c>
      <c r="DG154" s="334">
        <v>-16.597099999999998</v>
      </c>
      <c r="DH154" s="334">
        <v>-18.856679999999997</v>
      </c>
      <c r="DI154" s="334">
        <v>-21.116259999999997</v>
      </c>
      <c r="DJ154" s="334">
        <v>-23.375839999999997</v>
      </c>
      <c r="DK154" s="334">
        <v>-25.635419999999996</v>
      </c>
      <c r="DL154" s="334">
        <v>-27.895</v>
      </c>
      <c r="DM154" s="334">
        <v>-28.710699999999999</v>
      </c>
      <c r="DN154" s="334">
        <v>-29.526399999999999</v>
      </c>
      <c r="DO154" s="334">
        <v>-30.342099999999999</v>
      </c>
      <c r="DP154" s="334">
        <v>-30.723224999999999</v>
      </c>
      <c r="DQ154" s="334">
        <v>-31.10435</v>
      </c>
      <c r="DR154" s="334">
        <v>-31.485475000000001</v>
      </c>
      <c r="DS154" s="334">
        <v>-31.866599999999998</v>
      </c>
      <c r="DT154" s="334">
        <v>-27.774999999999999</v>
      </c>
      <c r="DU154" s="335">
        <v>-30.113700000000001</v>
      </c>
      <c r="DV154" s="335">
        <v>-29.862697586206878</v>
      </c>
      <c r="DW154" s="335">
        <v>-30.226600978865349</v>
      </c>
      <c r="DX154" s="198">
        <v>-29.862697586206878</v>
      </c>
      <c r="DY154" s="198">
        <v>-29.862697586206878</v>
      </c>
      <c r="DZ154" s="198">
        <v>-29.862697586206878</v>
      </c>
      <c r="EA154" s="198">
        <v>0.3639033926584716</v>
      </c>
      <c r="EB154" s="198">
        <v>-29.862697586206878</v>
      </c>
      <c r="EC154" s="198">
        <v>-29.862697586206878</v>
      </c>
      <c r="ED154" s="198">
        <v>-29.862697586206878</v>
      </c>
      <c r="EE154" s="198">
        <v>-29.862697586206878</v>
      </c>
      <c r="EF154" s="198">
        <v>0.3639033926584716</v>
      </c>
      <c r="EG154" s="198">
        <v>0</v>
      </c>
      <c r="EH154" s="198">
        <v>-41.970480518077842</v>
      </c>
      <c r="EI154" s="336">
        <f t="shared" si="2"/>
        <v>-30.469024999999998</v>
      </c>
      <c r="EJ154" s="336">
        <f>EI154-'[13]FAOSTAT21 CO2'!EH154</f>
        <v>-34.866071579999996</v>
      </c>
    </row>
    <row r="155" spans="1:140" x14ac:dyDescent="0.25">
      <c r="A155" s="31">
        <v>22</v>
      </c>
      <c r="B155" s="31" t="s">
        <v>358</v>
      </c>
      <c r="C155" s="31">
        <v>154</v>
      </c>
      <c r="D155" s="31">
        <v>0</v>
      </c>
      <c r="E155" s="31">
        <v>0</v>
      </c>
      <c r="F155" s="31">
        <v>0</v>
      </c>
      <c r="G155" s="31">
        <v>0</v>
      </c>
      <c r="H155" s="331" t="s">
        <v>2475</v>
      </c>
      <c r="I155" s="331" t="s">
        <v>359</v>
      </c>
      <c r="J155" s="331"/>
      <c r="K155" s="331"/>
      <c r="L155" s="331"/>
      <c r="M155" s="331"/>
      <c r="N155" s="331"/>
      <c r="O155" s="331"/>
      <c r="P155" s="331"/>
      <c r="Q155" s="331"/>
      <c r="R155" s="331"/>
      <c r="S155" s="331"/>
      <c r="T155" s="331"/>
      <c r="U155" s="331"/>
      <c r="V155" s="331"/>
      <c r="W155" s="331"/>
      <c r="X155" s="331"/>
      <c r="Y155" s="331"/>
      <c r="Z155" s="331"/>
      <c r="AA155" s="331"/>
      <c r="AB155" s="331"/>
      <c r="AC155" s="331"/>
      <c r="AD155" s="331"/>
      <c r="AE155" s="331"/>
      <c r="AF155" s="331"/>
      <c r="AG155" s="331"/>
      <c r="AH155" s="331"/>
      <c r="AI155" s="331"/>
      <c r="AJ155" s="331"/>
      <c r="AK155" s="331"/>
      <c r="AL155" s="331"/>
      <c r="AM155" s="331"/>
      <c r="AN155" s="331"/>
      <c r="AO155" s="331"/>
      <c r="AP155" s="331"/>
      <c r="AQ155" s="331"/>
      <c r="AR155" s="331"/>
      <c r="AS155" s="331"/>
      <c r="AT155" s="331"/>
      <c r="AU155" s="331"/>
      <c r="AV155" s="331"/>
      <c r="AW155" s="331"/>
      <c r="AX155" s="331"/>
      <c r="AY155" s="332" t="s">
        <v>2476</v>
      </c>
      <c r="AZ155" s="332" t="s">
        <v>359</v>
      </c>
      <c r="BA155" s="332"/>
      <c r="BB155" s="332"/>
      <c r="BC155" s="332"/>
      <c r="BD155" s="332"/>
      <c r="BE155" s="332"/>
      <c r="BF155" s="332"/>
      <c r="BG155" s="332"/>
      <c r="BH155" s="332"/>
      <c r="BI155" s="332"/>
      <c r="BJ155" s="332"/>
      <c r="BK155" s="332"/>
      <c r="BL155" s="332"/>
      <c r="BM155" s="332"/>
      <c r="BN155" s="332"/>
      <c r="BO155" s="332"/>
      <c r="BP155" s="332"/>
      <c r="BQ155" s="332"/>
      <c r="BR155" s="332"/>
      <c r="BS155" s="332"/>
      <c r="BT155" s="332"/>
      <c r="BU155" s="332"/>
      <c r="BV155" s="332"/>
      <c r="BW155" s="332"/>
      <c r="BX155" s="332"/>
      <c r="BY155" s="332"/>
      <c r="BZ155" s="332"/>
      <c r="CA155" s="332"/>
      <c r="CB155" s="332"/>
      <c r="CC155" s="332"/>
      <c r="CD155" s="332"/>
      <c r="CE155" s="332"/>
      <c r="CF155" s="332"/>
      <c r="CG155" s="332"/>
      <c r="CH155" s="332"/>
      <c r="CI155" s="332"/>
      <c r="CJ155" s="332"/>
      <c r="CK155" s="332"/>
      <c r="CL155" s="332"/>
      <c r="CM155" s="332"/>
      <c r="CN155" s="332"/>
      <c r="CO155" s="332"/>
      <c r="CP155" s="333" t="s">
        <v>27</v>
      </c>
      <c r="CQ155" s="333" t="s">
        <v>359</v>
      </c>
      <c r="CR155" s="334">
        <v>-20.488</v>
      </c>
      <c r="CS155" s="334">
        <v>-20.488</v>
      </c>
      <c r="CT155" s="334">
        <v>-20.488</v>
      </c>
      <c r="CU155" s="334">
        <v>-20.488</v>
      </c>
      <c r="CV155" s="334">
        <v>-20.488</v>
      </c>
      <c r="CW155" s="334">
        <v>-20.488</v>
      </c>
      <c r="CX155" s="334">
        <v>-20.488</v>
      </c>
      <c r="CY155" s="334">
        <v>-20.488</v>
      </c>
      <c r="CZ155" s="334">
        <v>-20.488</v>
      </c>
      <c r="DA155" s="334">
        <v>-20.488</v>
      </c>
      <c r="DB155" s="334">
        <v>-20.488</v>
      </c>
      <c r="DC155" s="334">
        <v>-20.864000000000001</v>
      </c>
      <c r="DD155" s="334">
        <v>-12.929</v>
      </c>
      <c r="DE155" s="334">
        <v>-13.366</v>
      </c>
      <c r="DF155" s="334">
        <v>-11.087</v>
      </c>
      <c r="DG155" s="334">
        <v>-17.161000000000001</v>
      </c>
      <c r="DH155" s="334">
        <v>-12.441000000000001</v>
      </c>
      <c r="DI155" s="334">
        <v>-9.0830000000000002</v>
      </c>
      <c r="DJ155" s="334">
        <v>-7.8789999999999996</v>
      </c>
      <c r="DK155" s="334">
        <v>-3.8210000000000002</v>
      </c>
      <c r="DL155" s="334">
        <v>0.442</v>
      </c>
      <c r="DM155" s="334">
        <v>3.2519999999999998</v>
      </c>
      <c r="DN155" s="334">
        <v>-1.19</v>
      </c>
      <c r="DO155" s="334">
        <v>5.1239999999999997</v>
      </c>
      <c r="DP155" s="334">
        <v>1.6679999999999999</v>
      </c>
      <c r="DQ155" s="334">
        <v>5.617</v>
      </c>
      <c r="DR155" s="334">
        <v>-3.9809999999999999</v>
      </c>
      <c r="DS155" s="334">
        <v>-12.725</v>
      </c>
      <c r="DT155" s="334">
        <v>2.0518809523809978</v>
      </c>
      <c r="DU155" s="335">
        <v>3.0204638752052233</v>
      </c>
      <c r="DV155" s="335">
        <v>3.9890467980296762</v>
      </c>
      <c r="DW155" s="335">
        <v>4.9576297208539017</v>
      </c>
      <c r="DX155" s="198">
        <v>3.9890467980296762</v>
      </c>
      <c r="DY155" s="198">
        <v>3.9890467980296762</v>
      </c>
      <c r="DZ155" s="198">
        <v>-8.2840000000000007</v>
      </c>
      <c r="EA155" s="198">
        <v>-13.241629720853902</v>
      </c>
      <c r="EB155" s="198">
        <v>3.9890467980296762</v>
      </c>
      <c r="EC155" s="198">
        <v>3.9890467980296762</v>
      </c>
      <c r="ED155" s="198">
        <v>3.9890467980296762</v>
      </c>
      <c r="EE155" s="198">
        <v>3.9890467980296762</v>
      </c>
      <c r="EF155" s="198">
        <v>-0.96858292282422553</v>
      </c>
      <c r="EG155" s="198">
        <v>12.273046798029677</v>
      </c>
      <c r="EH155" s="198">
        <v>4.2559365243704637</v>
      </c>
      <c r="EI155" s="336">
        <f t="shared" si="2"/>
        <v>-1.2033310344827555</v>
      </c>
      <c r="EJ155" s="336">
        <f>EI155-'[13]FAOSTAT21 CO2'!EH155</f>
        <v>-41.959294694482764</v>
      </c>
    </row>
    <row r="156" spans="1:140" x14ac:dyDescent="0.25">
      <c r="A156" s="31">
        <v>6</v>
      </c>
      <c r="B156" s="31" t="s">
        <v>360</v>
      </c>
      <c r="C156" s="31">
        <v>155</v>
      </c>
      <c r="D156" s="31">
        <v>0</v>
      </c>
      <c r="E156" s="31">
        <v>0</v>
      </c>
      <c r="F156" s="31">
        <v>0</v>
      </c>
      <c r="G156" s="31">
        <v>0</v>
      </c>
      <c r="H156" s="331" t="s">
        <v>2475</v>
      </c>
      <c r="I156" s="331" t="s">
        <v>361</v>
      </c>
      <c r="J156" s="331"/>
      <c r="K156" s="331"/>
      <c r="L156" s="331"/>
      <c r="M156" s="331"/>
      <c r="N156" s="331"/>
      <c r="O156" s="331"/>
      <c r="P156" s="331"/>
      <c r="Q156" s="331"/>
      <c r="R156" s="331"/>
      <c r="S156" s="331"/>
      <c r="T156" s="331"/>
      <c r="U156" s="331"/>
      <c r="V156" s="331"/>
      <c r="W156" s="331"/>
      <c r="X156" s="331"/>
      <c r="Y156" s="331"/>
      <c r="Z156" s="331"/>
      <c r="AA156" s="331"/>
      <c r="AB156" s="331"/>
      <c r="AC156" s="331"/>
      <c r="AD156" s="331"/>
      <c r="AE156" s="331"/>
      <c r="AF156" s="331"/>
      <c r="AG156" s="331"/>
      <c r="AH156" s="331"/>
      <c r="AI156" s="331"/>
      <c r="AJ156" s="331"/>
      <c r="AK156" s="331"/>
      <c r="AL156" s="331"/>
      <c r="AM156" s="331"/>
      <c r="AN156" s="331"/>
      <c r="AO156" s="331"/>
      <c r="AP156" s="331"/>
      <c r="AQ156" s="331"/>
      <c r="AR156" s="331"/>
      <c r="AS156" s="331"/>
      <c r="AT156" s="331"/>
      <c r="AU156" s="331"/>
      <c r="AV156" s="331"/>
      <c r="AW156" s="331"/>
      <c r="AX156" s="331"/>
      <c r="AY156" s="332" t="s">
        <v>2476</v>
      </c>
      <c r="AZ156" s="332" t="s">
        <v>361</v>
      </c>
      <c r="BA156" s="332"/>
      <c r="BB156" s="332"/>
      <c r="BC156" s="332"/>
      <c r="BD156" s="332"/>
      <c r="BE156" s="332"/>
      <c r="BF156" s="332"/>
      <c r="BG156" s="332"/>
      <c r="BH156" s="332"/>
      <c r="BI156" s="332"/>
      <c r="BJ156" s="332"/>
      <c r="BK156" s="332"/>
      <c r="BL156" s="332"/>
      <c r="BM156" s="332"/>
      <c r="BN156" s="332"/>
      <c r="BO156" s="332"/>
      <c r="BP156" s="332"/>
      <c r="BQ156" s="332"/>
      <c r="BR156" s="332"/>
      <c r="BS156" s="332"/>
      <c r="BT156" s="332"/>
      <c r="BU156" s="332"/>
      <c r="BV156" s="332"/>
      <c r="BW156" s="332"/>
      <c r="BX156" s="332"/>
      <c r="BY156" s="332"/>
      <c r="BZ156" s="332"/>
      <c r="CA156" s="332"/>
      <c r="CB156" s="332"/>
      <c r="CC156" s="332"/>
      <c r="CD156" s="332"/>
      <c r="CE156" s="332"/>
      <c r="CF156" s="332"/>
      <c r="CG156" s="332"/>
      <c r="CH156" s="332"/>
      <c r="CI156" s="332"/>
      <c r="CJ156" s="332"/>
      <c r="CK156" s="332"/>
      <c r="CL156" s="332"/>
      <c r="CM156" s="332"/>
      <c r="CN156" s="332"/>
      <c r="CO156" s="332"/>
      <c r="CP156" s="333" t="s">
        <v>27</v>
      </c>
      <c r="CQ156" s="333" t="s">
        <v>361</v>
      </c>
      <c r="CR156" s="334">
        <v>36.315579999999997</v>
      </c>
      <c r="CS156" s="334">
        <v>36.116385999999999</v>
      </c>
      <c r="CT156" s="334">
        <v>35.917192</v>
      </c>
      <c r="CU156" s="334">
        <v>35.717998000000001</v>
      </c>
      <c r="CV156" s="334">
        <v>35.518804000000003</v>
      </c>
      <c r="CW156" s="334">
        <v>35.319609999999997</v>
      </c>
      <c r="CX156" s="334">
        <v>35.686571999999998</v>
      </c>
      <c r="CY156" s="334">
        <v>36.053533999999999</v>
      </c>
      <c r="CZ156" s="334">
        <v>36.420496</v>
      </c>
      <c r="DA156" s="334">
        <v>36.787458000000001</v>
      </c>
      <c r="DB156" s="334">
        <v>37.154420000000002</v>
      </c>
      <c r="DC156" s="334">
        <v>35.509336000000005</v>
      </c>
      <c r="DD156" s="334">
        <v>33.864252000000008</v>
      </c>
      <c r="DE156" s="334">
        <v>32.21916800000001</v>
      </c>
      <c r="DF156" s="334">
        <v>30.57408400000001</v>
      </c>
      <c r="DG156" s="334">
        <v>28.928999999999998</v>
      </c>
      <c r="DH156" s="334">
        <v>32.471157999999996</v>
      </c>
      <c r="DI156" s="334">
        <v>36.013315999999996</v>
      </c>
      <c r="DJ156" s="334">
        <v>39.555473999999997</v>
      </c>
      <c r="DK156" s="334">
        <v>43.097631999999997</v>
      </c>
      <c r="DL156" s="334">
        <v>46.639789999999998</v>
      </c>
      <c r="DM156" s="334">
        <v>44.572669999999995</v>
      </c>
      <c r="DN156" s="334">
        <v>42.505549999999992</v>
      </c>
      <c r="DO156" s="334">
        <v>40.43842999999999</v>
      </c>
      <c r="DP156" s="334">
        <v>38.371309999999987</v>
      </c>
      <c r="DQ156" s="334">
        <v>36.304189999999998</v>
      </c>
      <c r="DR156" s="334">
        <v>31.503554999999999</v>
      </c>
      <c r="DS156" s="334">
        <v>26.702919999999999</v>
      </c>
      <c r="DT156" s="334">
        <v>27.207630000000002</v>
      </c>
      <c r="DU156" s="335">
        <v>25.88532</v>
      </c>
      <c r="DV156" s="335">
        <v>34.56905870114943</v>
      </c>
      <c r="DW156" s="335">
        <v>34.499594025954764</v>
      </c>
      <c r="DX156" s="198">
        <v>55.509</v>
      </c>
      <c r="DY156" s="198">
        <v>55.509</v>
      </c>
      <c r="DZ156" s="198">
        <v>55.509</v>
      </c>
      <c r="EA156" s="198">
        <v>21.009405974045237</v>
      </c>
      <c r="EB156" s="198">
        <v>34.56905870114943</v>
      </c>
      <c r="EC156" s="198">
        <v>34.56905870114943</v>
      </c>
      <c r="ED156" s="198">
        <v>34.56905870114943</v>
      </c>
      <c r="EE156" s="198">
        <v>34.56905870114943</v>
      </c>
      <c r="EF156" s="198">
        <v>6.946467519466637E-2</v>
      </c>
      <c r="EG156" s="198">
        <v>-20.93994129885057</v>
      </c>
      <c r="EH156" s="198">
        <v>25.63066474415254</v>
      </c>
      <c r="EI156" s="336">
        <f t="shared" si="2"/>
        <v>29.520722999999997</v>
      </c>
      <c r="EJ156" s="336">
        <f>EI156-'[13]FAOSTAT21 CO2'!EH156</f>
        <v>-20.8872304</v>
      </c>
    </row>
    <row r="157" spans="1:140" x14ac:dyDescent="0.25">
      <c r="A157" s="31">
        <v>6</v>
      </c>
      <c r="B157" s="31" t="s">
        <v>362</v>
      </c>
      <c r="C157" s="31">
        <v>156</v>
      </c>
      <c r="D157" s="31">
        <v>0</v>
      </c>
      <c r="E157" s="31">
        <v>0</v>
      </c>
      <c r="F157" s="31">
        <v>0</v>
      </c>
      <c r="G157" s="31">
        <v>0</v>
      </c>
      <c r="H157" s="331" t="s">
        <v>2475</v>
      </c>
      <c r="I157" s="331" t="s">
        <v>363</v>
      </c>
      <c r="J157" s="331"/>
      <c r="K157" s="331"/>
      <c r="L157" s="331"/>
      <c r="M157" s="331"/>
      <c r="N157" s="331"/>
      <c r="O157" s="331"/>
      <c r="P157" s="331"/>
      <c r="Q157" s="331"/>
      <c r="R157" s="331"/>
      <c r="S157" s="331"/>
      <c r="T157" s="331"/>
      <c r="U157" s="331"/>
      <c r="V157" s="331"/>
      <c r="W157" s="331"/>
      <c r="X157" s="331"/>
      <c r="Y157" s="331"/>
      <c r="Z157" s="331"/>
      <c r="AA157" s="331"/>
      <c r="AB157" s="331"/>
      <c r="AC157" s="331"/>
      <c r="AD157" s="331"/>
      <c r="AE157" s="331"/>
      <c r="AF157" s="331"/>
      <c r="AG157" s="331"/>
      <c r="AH157" s="331"/>
      <c r="AI157" s="331"/>
      <c r="AJ157" s="331"/>
      <c r="AK157" s="331"/>
      <c r="AL157" s="331"/>
      <c r="AM157" s="331"/>
      <c r="AN157" s="331"/>
      <c r="AO157" s="331"/>
      <c r="AP157" s="331"/>
      <c r="AQ157" s="331"/>
      <c r="AR157" s="331"/>
      <c r="AS157" s="331"/>
      <c r="AT157" s="331"/>
      <c r="AU157" s="331"/>
      <c r="AV157" s="331"/>
      <c r="AW157" s="331"/>
      <c r="AX157" s="331"/>
      <c r="AY157" s="332" t="s">
        <v>2476</v>
      </c>
      <c r="AZ157" s="332" t="s">
        <v>363</v>
      </c>
      <c r="BA157" s="332"/>
      <c r="BB157" s="332"/>
      <c r="BC157" s="332"/>
      <c r="BD157" s="332"/>
      <c r="BE157" s="332"/>
      <c r="BF157" s="332"/>
      <c r="BG157" s="332"/>
      <c r="BH157" s="332"/>
      <c r="BI157" s="332"/>
      <c r="BJ157" s="332"/>
      <c r="BK157" s="332"/>
      <c r="BL157" s="332"/>
      <c r="BM157" s="332"/>
      <c r="BN157" s="332"/>
      <c r="BO157" s="332"/>
      <c r="BP157" s="332"/>
      <c r="BQ157" s="332"/>
      <c r="BR157" s="332"/>
      <c r="BS157" s="332"/>
      <c r="BT157" s="332"/>
      <c r="BU157" s="332"/>
      <c r="BV157" s="332"/>
      <c r="BW157" s="332"/>
      <c r="BX157" s="332"/>
      <c r="BY157" s="332"/>
      <c r="BZ157" s="332"/>
      <c r="CA157" s="332"/>
      <c r="CB157" s="332"/>
      <c r="CC157" s="332"/>
      <c r="CD157" s="332"/>
      <c r="CE157" s="332"/>
      <c r="CF157" s="332"/>
      <c r="CG157" s="332"/>
      <c r="CH157" s="332"/>
      <c r="CI157" s="332"/>
      <c r="CJ157" s="332"/>
      <c r="CK157" s="332"/>
      <c r="CL157" s="332"/>
      <c r="CM157" s="332"/>
      <c r="CN157" s="332"/>
      <c r="CO157" s="332"/>
      <c r="CP157" s="333" t="s">
        <v>27</v>
      </c>
      <c r="CQ157" s="333" t="s">
        <v>363</v>
      </c>
      <c r="CR157" s="334">
        <v>104.17992164325672</v>
      </c>
      <c r="CS157" s="334">
        <v>104.17992164325672</v>
      </c>
      <c r="CT157" s="334">
        <v>104.17992164325672</v>
      </c>
      <c r="CU157" s="334">
        <v>104.17992164325672</v>
      </c>
      <c r="CV157" s="334">
        <v>104.17992164325672</v>
      </c>
      <c r="CW157" s="334">
        <v>104.17992164325672</v>
      </c>
      <c r="CX157" s="334">
        <v>104.17992164325672</v>
      </c>
      <c r="CY157" s="334">
        <v>104.17992164325672</v>
      </c>
      <c r="CZ157" s="334">
        <v>104.17992164325672</v>
      </c>
      <c r="DA157" s="334">
        <v>104.17992164325672</v>
      </c>
      <c r="DB157" s="334">
        <v>104.17992164325672</v>
      </c>
      <c r="DC157" s="334">
        <v>104.17992164325672</v>
      </c>
      <c r="DD157" s="334">
        <v>104.17992164325672</v>
      </c>
      <c r="DE157" s="334">
        <v>104.17992164325672</v>
      </c>
      <c r="DF157" s="334">
        <v>104.17992164325672</v>
      </c>
      <c r="DG157" s="334">
        <v>104.17992164325672</v>
      </c>
      <c r="DH157" s="334">
        <v>104.17992164325672</v>
      </c>
      <c r="DI157" s="334">
        <v>104.17992164325672</v>
      </c>
      <c r="DJ157" s="334">
        <v>104.17992164325672</v>
      </c>
      <c r="DK157" s="334">
        <v>98.364704627930351</v>
      </c>
      <c r="DL157" s="334">
        <v>92.448198731372045</v>
      </c>
      <c r="DM157" s="334">
        <v>93.928602110352472</v>
      </c>
      <c r="DN157" s="334">
        <v>95.217180988694807</v>
      </c>
      <c r="DO157" s="334">
        <v>112.04886931934321</v>
      </c>
      <c r="DP157" s="334">
        <v>88.757059559225183</v>
      </c>
      <c r="DQ157" s="334">
        <v>80.70793752252564</v>
      </c>
      <c r="DR157" s="334">
        <v>100.342755259114</v>
      </c>
      <c r="DS157" s="334">
        <v>76.199371615853948</v>
      </c>
      <c r="DT157" s="334">
        <v>75.282392786869991</v>
      </c>
      <c r="DU157" s="335">
        <v>100.79405223753521</v>
      </c>
      <c r="DV157" s="335">
        <v>90.240688415579143</v>
      </c>
      <c r="DW157" s="335">
        <v>89.625013182217344</v>
      </c>
      <c r="DX157" s="198">
        <v>85</v>
      </c>
      <c r="DY157" s="198">
        <v>44.635013182217342</v>
      </c>
      <c r="DZ157" s="198">
        <v>44.635013182217342</v>
      </c>
      <c r="EA157" s="198">
        <v>-44.99</v>
      </c>
      <c r="EB157" s="198">
        <v>90.240688415579143</v>
      </c>
      <c r="EC157" s="198">
        <v>90.240688415579143</v>
      </c>
      <c r="ED157" s="198">
        <v>90.240688415579143</v>
      </c>
      <c r="EE157" s="198">
        <v>90.240688415579143</v>
      </c>
      <c r="EF157" s="198">
        <v>0.61567523336179875</v>
      </c>
      <c r="EG157" s="198">
        <v>45.605675233361801</v>
      </c>
      <c r="EH157" s="198">
        <v>66.907486577999691</v>
      </c>
      <c r="EI157" s="336">
        <f t="shared" si="2"/>
        <v>86.665301884379758</v>
      </c>
      <c r="EJ157" s="336">
        <f>EI157-'[13]FAOSTAT21 CO2'!EH157</f>
        <v>-2.9419017956202396</v>
      </c>
    </row>
    <row r="158" spans="1:140" x14ac:dyDescent="0.25">
      <c r="A158" s="31">
        <v>21</v>
      </c>
      <c r="B158" s="31" t="s">
        <v>364</v>
      </c>
      <c r="C158" s="31">
        <v>157</v>
      </c>
      <c r="D158" s="31">
        <v>0</v>
      </c>
      <c r="E158" s="31">
        <v>0</v>
      </c>
      <c r="F158" s="31">
        <v>0</v>
      </c>
      <c r="G158" s="31">
        <v>1</v>
      </c>
      <c r="H158" s="331" t="s">
        <v>2475</v>
      </c>
      <c r="I158" s="331" t="s">
        <v>365</v>
      </c>
      <c r="J158" s="331"/>
      <c r="K158" s="331"/>
      <c r="L158" s="331"/>
      <c r="M158" s="331"/>
      <c r="N158" s="331"/>
      <c r="O158" s="331"/>
      <c r="P158" s="331"/>
      <c r="Q158" s="331"/>
      <c r="R158" s="331"/>
      <c r="S158" s="331"/>
      <c r="T158" s="331"/>
      <c r="U158" s="331"/>
      <c r="V158" s="331"/>
      <c r="W158" s="331"/>
      <c r="X158" s="331"/>
      <c r="Y158" s="331"/>
      <c r="Z158" s="331"/>
      <c r="AA158" s="331"/>
      <c r="AB158" s="331"/>
      <c r="AC158" s="331"/>
      <c r="AD158" s="331"/>
      <c r="AE158" s="331"/>
      <c r="AF158" s="331"/>
      <c r="AG158" s="331"/>
      <c r="AH158" s="331"/>
      <c r="AI158" s="331"/>
      <c r="AJ158" s="331"/>
      <c r="AK158" s="331"/>
      <c r="AL158" s="331"/>
      <c r="AM158" s="331"/>
      <c r="AN158" s="331"/>
      <c r="AO158" s="331"/>
      <c r="AP158" s="331"/>
      <c r="AQ158" s="331"/>
      <c r="AR158" s="331"/>
      <c r="AS158" s="331"/>
      <c r="AT158" s="331"/>
      <c r="AU158" s="331"/>
      <c r="AV158" s="331"/>
      <c r="AW158" s="331"/>
      <c r="AX158" s="331"/>
      <c r="AY158" s="332" t="s">
        <v>2476</v>
      </c>
      <c r="AZ158" s="332" t="s">
        <v>365</v>
      </c>
      <c r="BA158" s="332"/>
      <c r="BB158" s="332"/>
      <c r="BC158" s="332"/>
      <c r="BD158" s="332"/>
      <c r="BE158" s="332"/>
      <c r="BF158" s="332"/>
      <c r="BG158" s="332"/>
      <c r="BH158" s="332"/>
      <c r="BI158" s="332"/>
      <c r="BJ158" s="332"/>
      <c r="BK158" s="332"/>
      <c r="BL158" s="332"/>
      <c r="BM158" s="332"/>
      <c r="BN158" s="332"/>
      <c r="BO158" s="332"/>
      <c r="BP158" s="332"/>
      <c r="BQ158" s="332"/>
      <c r="BR158" s="332"/>
      <c r="BS158" s="332"/>
      <c r="BT158" s="332"/>
      <c r="BU158" s="332"/>
      <c r="BV158" s="332"/>
      <c r="BW158" s="332"/>
      <c r="BX158" s="332"/>
      <c r="BY158" s="332"/>
      <c r="BZ158" s="332"/>
      <c r="CA158" s="332"/>
      <c r="CB158" s="332"/>
      <c r="CC158" s="332"/>
      <c r="CD158" s="332"/>
      <c r="CE158" s="332"/>
      <c r="CF158" s="332"/>
      <c r="CG158" s="332"/>
      <c r="CH158" s="332"/>
      <c r="CI158" s="332"/>
      <c r="CJ158" s="332"/>
      <c r="CK158" s="332"/>
      <c r="CL158" s="332"/>
      <c r="CM158" s="332"/>
      <c r="CN158" s="332"/>
      <c r="CO158" s="332"/>
      <c r="CP158" s="333" t="s">
        <v>27</v>
      </c>
      <c r="CQ158" s="333" t="s">
        <v>365</v>
      </c>
      <c r="CR158" s="334">
        <v>-0.12648999999999999</v>
      </c>
      <c r="CS158" s="334">
        <v>-0.12648999999999999</v>
      </c>
      <c r="CT158" s="334">
        <v>-0.12648999999999999</v>
      </c>
      <c r="CU158" s="334">
        <v>-0.12648999999999999</v>
      </c>
      <c r="CV158" s="334">
        <v>-0.12648999999999999</v>
      </c>
      <c r="CW158" s="334">
        <v>-17.62397</v>
      </c>
      <c r="CX158" s="334">
        <v>-35.121449999999996</v>
      </c>
      <c r="CY158" s="334">
        <v>-52.618929999999992</v>
      </c>
      <c r="CZ158" s="334">
        <v>-70.116409999999988</v>
      </c>
      <c r="DA158" s="334">
        <v>-87.613889999999984</v>
      </c>
      <c r="DB158" s="334">
        <v>-105.11136999999999</v>
      </c>
      <c r="DC158" s="334">
        <v>-100.33933000000252</v>
      </c>
      <c r="DD158" s="334">
        <v>-111.47408999999971</v>
      </c>
      <c r="DE158" s="334">
        <v>-122.60884999999689</v>
      </c>
      <c r="DF158" s="334">
        <v>-133.74360999999772</v>
      </c>
      <c r="DG158" s="334">
        <v>-144.87836999999854</v>
      </c>
      <c r="DH158" s="334">
        <v>-156.01312999999936</v>
      </c>
      <c r="DI158" s="334">
        <v>-167.14788999999655</v>
      </c>
      <c r="DJ158" s="334">
        <v>-178.28265000000101</v>
      </c>
      <c r="DK158" s="334">
        <v>-189.41741000000184</v>
      </c>
      <c r="DL158" s="334">
        <v>-200.55216999999902</v>
      </c>
      <c r="DM158" s="334">
        <v>-211.68692999999621</v>
      </c>
      <c r="DN158" s="334">
        <v>-222.82168999999703</v>
      </c>
      <c r="DO158" s="334">
        <v>-233.95644999999786</v>
      </c>
      <c r="DP158" s="334">
        <v>-245.09120999999868</v>
      </c>
      <c r="DQ158" s="334">
        <v>-256.22596999999587</v>
      </c>
      <c r="DR158" s="334">
        <v>-267.36072999999669</v>
      </c>
      <c r="DS158" s="334">
        <v>-278.49548999999752</v>
      </c>
      <c r="DT158" s="334">
        <v>-289.6302499999947</v>
      </c>
      <c r="DU158" s="335">
        <v>-300.76500999999553</v>
      </c>
      <c r="DV158" s="335">
        <v>-311.89976999999271</v>
      </c>
      <c r="DW158" s="335">
        <v>-323.03452999999354</v>
      </c>
      <c r="DX158" s="198">
        <v>-311.89976999999271</v>
      </c>
      <c r="DY158" s="198">
        <v>-311.89976999999271</v>
      </c>
      <c r="DZ158" s="198">
        <v>-311.89976999999271</v>
      </c>
      <c r="EA158" s="198">
        <v>11.134760000000824</v>
      </c>
      <c r="EB158" s="198">
        <v>-311.89976999999271</v>
      </c>
      <c r="EC158" s="198">
        <v>-311.89976999999271</v>
      </c>
      <c r="ED158" s="198">
        <v>-311.89976999999271</v>
      </c>
      <c r="EE158" s="198">
        <v>-311.89976999999271</v>
      </c>
      <c r="EF158" s="198">
        <v>11.134760000000824</v>
      </c>
      <c r="EG158" s="198">
        <v>0</v>
      </c>
      <c r="EH158" s="198">
        <v>-346.70299118614486</v>
      </c>
      <c r="EI158" s="336">
        <f t="shared" si="2"/>
        <v>-278.49548999999604</v>
      </c>
      <c r="EJ158" s="336">
        <f>EI158-'[13]FAOSTAT21 CO2'!EH158</f>
        <v>-280.95108927999604</v>
      </c>
    </row>
    <row r="159" spans="1:140" x14ac:dyDescent="0.25">
      <c r="A159" s="31">
        <v>24</v>
      </c>
      <c r="B159" s="31" t="s">
        <v>366</v>
      </c>
      <c r="C159" s="31">
        <v>158</v>
      </c>
      <c r="D159" s="31">
        <v>0</v>
      </c>
      <c r="E159" s="31">
        <v>0</v>
      </c>
      <c r="F159" s="31">
        <v>0</v>
      </c>
      <c r="G159" s="31">
        <v>0</v>
      </c>
      <c r="H159" s="331" t="s">
        <v>2475</v>
      </c>
      <c r="I159" s="331" t="s">
        <v>367</v>
      </c>
      <c r="J159" s="331"/>
      <c r="K159" s="331"/>
      <c r="L159" s="331"/>
      <c r="M159" s="331"/>
      <c r="N159" s="331"/>
      <c r="O159" s="331"/>
      <c r="P159" s="331"/>
      <c r="Q159" s="331"/>
      <c r="R159" s="331"/>
      <c r="S159" s="331"/>
      <c r="T159" s="331"/>
      <c r="U159" s="331"/>
      <c r="V159" s="331"/>
      <c r="W159" s="331"/>
      <c r="X159" s="331"/>
      <c r="Y159" s="331"/>
      <c r="Z159" s="331"/>
      <c r="AA159" s="331"/>
      <c r="AB159" s="331"/>
      <c r="AC159" s="331"/>
      <c r="AD159" s="331"/>
      <c r="AE159" s="331"/>
      <c r="AF159" s="331"/>
      <c r="AG159" s="331"/>
      <c r="AH159" s="331"/>
      <c r="AI159" s="331"/>
      <c r="AJ159" s="331"/>
      <c r="AK159" s="331"/>
      <c r="AL159" s="331"/>
      <c r="AM159" s="331"/>
      <c r="AN159" s="331"/>
      <c r="AO159" s="331"/>
      <c r="AP159" s="331"/>
      <c r="AQ159" s="331"/>
      <c r="AR159" s="331"/>
      <c r="AS159" s="331"/>
      <c r="AT159" s="331"/>
      <c r="AU159" s="331"/>
      <c r="AV159" s="331"/>
      <c r="AW159" s="331"/>
      <c r="AX159" s="331"/>
      <c r="AY159" s="332" t="s">
        <v>2476</v>
      </c>
      <c r="AZ159" s="332" t="s">
        <v>367</v>
      </c>
      <c r="BA159" s="332"/>
      <c r="BB159" s="332"/>
      <c r="BC159" s="332"/>
      <c r="BD159" s="332"/>
      <c r="BE159" s="332"/>
      <c r="BF159" s="332"/>
      <c r="BG159" s="332"/>
      <c r="BH159" s="332"/>
      <c r="BI159" s="332"/>
      <c r="BJ159" s="332"/>
      <c r="BK159" s="332"/>
      <c r="BL159" s="332"/>
      <c r="BM159" s="332"/>
      <c r="BN159" s="332"/>
      <c r="BO159" s="332"/>
      <c r="BP159" s="332"/>
      <c r="BQ159" s="332"/>
      <c r="BR159" s="332"/>
      <c r="BS159" s="332"/>
      <c r="BT159" s="332"/>
      <c r="BU159" s="332"/>
      <c r="BV159" s="332"/>
      <c r="BW159" s="332"/>
      <c r="BX159" s="332"/>
      <c r="BY159" s="332"/>
      <c r="BZ159" s="332"/>
      <c r="CA159" s="332"/>
      <c r="CB159" s="332"/>
      <c r="CC159" s="332"/>
      <c r="CD159" s="332"/>
      <c r="CE159" s="332"/>
      <c r="CF159" s="332"/>
      <c r="CG159" s="332"/>
      <c r="CH159" s="332"/>
      <c r="CI159" s="332"/>
      <c r="CJ159" s="332"/>
      <c r="CK159" s="332"/>
      <c r="CL159" s="332"/>
      <c r="CM159" s="332"/>
      <c r="CN159" s="332"/>
      <c r="CO159" s="332"/>
      <c r="CP159" s="333" t="s">
        <v>27</v>
      </c>
      <c r="CQ159" s="333" t="s">
        <v>367</v>
      </c>
      <c r="CR159" s="334">
        <v>0</v>
      </c>
      <c r="CS159" s="334">
        <v>0</v>
      </c>
      <c r="CT159" s="334">
        <v>0</v>
      </c>
      <c r="CU159" s="334">
        <v>0</v>
      </c>
      <c r="CV159" s="334">
        <v>0</v>
      </c>
      <c r="CW159" s="334">
        <v>0</v>
      </c>
      <c r="CX159" s="334">
        <v>0</v>
      </c>
      <c r="CY159" s="334">
        <v>0</v>
      </c>
      <c r="CZ159" s="334">
        <v>0</v>
      </c>
      <c r="DA159" s="334">
        <v>0</v>
      </c>
      <c r="DB159" s="334">
        <v>0</v>
      </c>
      <c r="DC159" s="334">
        <v>0</v>
      </c>
      <c r="DD159" s="334">
        <v>0</v>
      </c>
      <c r="DE159" s="334">
        <v>0</v>
      </c>
      <c r="DF159" s="334">
        <v>0</v>
      </c>
      <c r="DG159" s="334">
        <v>0</v>
      </c>
      <c r="DH159" s="334">
        <v>0</v>
      </c>
      <c r="DI159" s="334">
        <v>0</v>
      </c>
      <c r="DJ159" s="334">
        <v>0</v>
      </c>
      <c r="DK159" s="334">
        <v>0</v>
      </c>
      <c r="DL159" s="334">
        <v>0</v>
      </c>
      <c r="DM159" s="334">
        <v>0</v>
      </c>
      <c r="DN159" s="334">
        <v>0</v>
      </c>
      <c r="DO159" s="334">
        <v>0</v>
      </c>
      <c r="DP159" s="334">
        <v>0</v>
      </c>
      <c r="DQ159" s="334">
        <v>0</v>
      </c>
      <c r="DR159" s="334">
        <v>0</v>
      </c>
      <c r="DS159" s="334">
        <v>0</v>
      </c>
      <c r="DT159" s="334">
        <v>0</v>
      </c>
      <c r="DU159" s="335">
        <v>0</v>
      </c>
      <c r="DV159" s="335">
        <v>0</v>
      </c>
      <c r="DW159" s="335">
        <v>0</v>
      </c>
      <c r="DX159" s="198" t="s">
        <v>2477</v>
      </c>
      <c r="DY159" s="198" t="s">
        <v>2477</v>
      </c>
      <c r="DZ159" s="198" t="s">
        <v>2477</v>
      </c>
      <c r="EA159" s="198" t="s">
        <v>2477</v>
      </c>
      <c r="EB159" s="198" t="s">
        <v>2477</v>
      </c>
      <c r="EC159" s="198" t="s">
        <v>2477</v>
      </c>
      <c r="ED159" s="198" t="s">
        <v>2477</v>
      </c>
      <c r="EE159" s="198" t="s">
        <v>2477</v>
      </c>
      <c r="EF159" s="198" t="s">
        <v>2477</v>
      </c>
      <c r="EG159" s="198" t="s">
        <v>2477</v>
      </c>
      <c r="EH159" s="198"/>
      <c r="EI159" s="336">
        <f t="shared" si="2"/>
        <v>0</v>
      </c>
      <c r="EJ159" s="336">
        <f>EI159-'[13]FAOSTAT21 CO2'!EH159</f>
        <v>0</v>
      </c>
    </row>
    <row r="160" spans="1:140" x14ac:dyDescent="0.25">
      <c r="A160" s="31">
        <v>12</v>
      </c>
      <c r="B160" s="31" t="s">
        <v>368</v>
      </c>
      <c r="C160" s="31">
        <v>159</v>
      </c>
      <c r="D160" s="31">
        <v>1</v>
      </c>
      <c r="E160" s="31">
        <v>0</v>
      </c>
      <c r="F160" s="31">
        <v>1</v>
      </c>
      <c r="G160" s="31">
        <v>0</v>
      </c>
      <c r="H160" s="331" t="s">
        <v>2475</v>
      </c>
      <c r="I160" s="331" t="s">
        <v>369</v>
      </c>
      <c r="J160" s="331"/>
      <c r="K160" s="331"/>
      <c r="L160" s="331"/>
      <c r="M160" s="331"/>
      <c r="N160" s="331"/>
      <c r="O160" s="331"/>
      <c r="P160" s="331"/>
      <c r="Q160" s="331"/>
      <c r="R160" s="331"/>
      <c r="S160" s="331"/>
      <c r="T160" s="331"/>
      <c r="U160" s="331"/>
      <c r="V160" s="331"/>
      <c r="W160" s="331"/>
      <c r="X160" s="331"/>
      <c r="Y160" s="331"/>
      <c r="Z160" s="331"/>
      <c r="AA160" s="331"/>
      <c r="AB160" s="331"/>
      <c r="AC160" s="331"/>
      <c r="AD160" s="331"/>
      <c r="AE160" s="331"/>
      <c r="AF160" s="331"/>
      <c r="AG160" s="331"/>
      <c r="AH160" s="331"/>
      <c r="AI160" s="331"/>
      <c r="AJ160" s="331"/>
      <c r="AK160" s="331"/>
      <c r="AL160" s="331"/>
      <c r="AM160" s="331"/>
      <c r="AN160" s="331"/>
      <c r="AO160" s="331"/>
      <c r="AP160" s="331"/>
      <c r="AQ160" s="331"/>
      <c r="AR160" s="331"/>
      <c r="AS160" s="331"/>
      <c r="AT160" s="331"/>
      <c r="AU160" s="331"/>
      <c r="AV160" s="331"/>
      <c r="AW160" s="331"/>
      <c r="AX160" s="331"/>
      <c r="AY160" s="332" t="s">
        <v>2476</v>
      </c>
      <c r="AZ160" s="332" t="s">
        <v>369</v>
      </c>
      <c r="BA160" s="332"/>
      <c r="BB160" s="332"/>
      <c r="BC160" s="332"/>
      <c r="BD160" s="332"/>
      <c r="BE160" s="332"/>
      <c r="BF160" s="332"/>
      <c r="BG160" s="332"/>
      <c r="BH160" s="332"/>
      <c r="BI160" s="332"/>
      <c r="BJ160" s="332"/>
      <c r="BK160" s="332"/>
      <c r="BL160" s="332"/>
      <c r="BM160" s="332"/>
      <c r="BN160" s="332"/>
      <c r="BO160" s="332"/>
      <c r="BP160" s="332"/>
      <c r="BQ160" s="332"/>
      <c r="BR160" s="332"/>
      <c r="BS160" s="332"/>
      <c r="BT160" s="332"/>
      <c r="BU160" s="332"/>
      <c r="BV160" s="332"/>
      <c r="BW160" s="332"/>
      <c r="BX160" s="332"/>
      <c r="BY160" s="332"/>
      <c r="BZ160" s="332"/>
      <c r="CA160" s="332"/>
      <c r="CB160" s="332"/>
      <c r="CC160" s="332"/>
      <c r="CD160" s="332"/>
      <c r="CE160" s="332"/>
      <c r="CF160" s="332"/>
      <c r="CG160" s="332"/>
      <c r="CH160" s="332"/>
      <c r="CI160" s="332"/>
      <c r="CJ160" s="332"/>
      <c r="CK160" s="332"/>
      <c r="CL160" s="332"/>
      <c r="CM160" s="332"/>
      <c r="CN160" s="332"/>
      <c r="CO160" s="332"/>
      <c r="CP160" s="333" t="s">
        <v>27</v>
      </c>
      <c r="CQ160" s="333" t="s">
        <v>369</v>
      </c>
      <c r="CR160" s="334">
        <v>-28.493663008329154</v>
      </c>
      <c r="CS160" s="334">
        <v>-21.42820574583612</v>
      </c>
      <c r="CT160" s="334">
        <v>-0.20555725148568219</v>
      </c>
      <c r="CU160" s="334">
        <v>-7.9199118129670056</v>
      </c>
      <c r="CV160" s="334">
        <v>-7.4743977813360107</v>
      </c>
      <c r="CW160" s="334">
        <v>-17.716929958078456</v>
      </c>
      <c r="CX160" s="334">
        <v>-35.127831273152466</v>
      </c>
      <c r="CY160" s="334">
        <v>-35.01802837117615</v>
      </c>
      <c r="CZ160" s="334">
        <v>-40.73297795554177</v>
      </c>
      <c r="DA160" s="334">
        <v>-37.939444351255119</v>
      </c>
      <c r="DB160" s="334">
        <v>-34.569106199591488</v>
      </c>
      <c r="DC160" s="334">
        <v>-26.805852217153294</v>
      </c>
      <c r="DD160" s="334">
        <v>-35.488408924975836</v>
      </c>
      <c r="DE160" s="334">
        <v>-37.470104245683594</v>
      </c>
      <c r="DF160" s="334">
        <v>-48.687848814561342</v>
      </c>
      <c r="DG160" s="334">
        <v>-48.018517660765788</v>
      </c>
      <c r="DH160" s="334">
        <v>-42.106451754916328</v>
      </c>
      <c r="DI160" s="334">
        <v>-35.236162372984587</v>
      </c>
      <c r="DJ160" s="334">
        <v>-34.832863238816294</v>
      </c>
      <c r="DK160" s="334">
        <v>-34.749524610454316</v>
      </c>
      <c r="DL160" s="334">
        <v>-32.962298654967491</v>
      </c>
      <c r="DM160" s="334">
        <v>-38.417153828046978</v>
      </c>
      <c r="DN160" s="334">
        <v>-38.799437198063075</v>
      </c>
      <c r="DO160" s="334">
        <v>-40.961154879341244</v>
      </c>
      <c r="DP160" s="334">
        <v>-33.481129741377593</v>
      </c>
      <c r="DQ160" s="334">
        <v>-29.143456949698923</v>
      </c>
      <c r="DR160" s="334">
        <v>-36.395763413359134</v>
      </c>
      <c r="DS160" s="334">
        <v>-37.388797433914128</v>
      </c>
      <c r="DT160" s="334">
        <v>-36.748269885557932</v>
      </c>
      <c r="DU160" s="335">
        <v>-18.294504211708777</v>
      </c>
      <c r="DV160" s="335">
        <v>-18.95784971577017</v>
      </c>
      <c r="DW160" s="335">
        <v>-20.094722948312796</v>
      </c>
      <c r="DX160" s="198">
        <v>-18.95784971577017</v>
      </c>
      <c r="DY160" s="198">
        <v>-18.95784971577017</v>
      </c>
      <c r="DZ160" s="198">
        <v>-18.95784971577017</v>
      </c>
      <c r="EA160" s="198">
        <v>1.1368732325426265</v>
      </c>
      <c r="EB160" s="198">
        <v>-18.95784971577017</v>
      </c>
      <c r="EC160" s="198">
        <v>-18.95784971577017</v>
      </c>
      <c r="ED160" s="198">
        <v>-18.95784971577017</v>
      </c>
      <c r="EE160" s="198">
        <v>-18.95784971577017</v>
      </c>
      <c r="EF160" s="198">
        <v>1.1368732325426265</v>
      </c>
      <c r="EG160" s="198">
        <v>0</v>
      </c>
      <c r="EH160" s="198">
        <v>-21.518126515833341</v>
      </c>
      <c r="EI160" s="336">
        <f t="shared" si="2"/>
        <v>-31.594158378847784</v>
      </c>
      <c r="EJ160" s="336">
        <f>EI160-'[13]FAOSTAT21 CO2'!EH160</f>
        <v>0.14837932115221975</v>
      </c>
    </row>
    <row r="161" spans="1:140" x14ac:dyDescent="0.25">
      <c r="A161" s="31">
        <v>11</v>
      </c>
      <c r="B161" s="31" t="s">
        <v>370</v>
      </c>
      <c r="C161" s="31">
        <v>160</v>
      </c>
      <c r="D161" s="31">
        <v>1</v>
      </c>
      <c r="E161" s="31">
        <v>0</v>
      </c>
      <c r="F161" s="31">
        <v>1</v>
      </c>
      <c r="G161" s="31">
        <v>0</v>
      </c>
      <c r="H161" s="331" t="s">
        <v>2475</v>
      </c>
      <c r="I161" s="331" t="s">
        <v>371</v>
      </c>
      <c r="J161" s="331"/>
      <c r="K161" s="331"/>
      <c r="L161" s="331"/>
      <c r="M161" s="331"/>
      <c r="N161" s="331"/>
      <c r="O161" s="331"/>
      <c r="P161" s="331"/>
      <c r="Q161" s="331"/>
      <c r="R161" s="331"/>
      <c r="S161" s="331"/>
      <c r="T161" s="331"/>
      <c r="U161" s="331"/>
      <c r="V161" s="331"/>
      <c r="W161" s="331"/>
      <c r="X161" s="331"/>
      <c r="Y161" s="331"/>
      <c r="Z161" s="331"/>
      <c r="AA161" s="331"/>
      <c r="AB161" s="331"/>
      <c r="AC161" s="331"/>
      <c r="AD161" s="331"/>
      <c r="AE161" s="331"/>
      <c r="AF161" s="331"/>
      <c r="AG161" s="331"/>
      <c r="AH161" s="331"/>
      <c r="AI161" s="331"/>
      <c r="AJ161" s="331"/>
      <c r="AK161" s="331"/>
      <c r="AL161" s="331"/>
      <c r="AM161" s="331"/>
      <c r="AN161" s="331"/>
      <c r="AO161" s="331"/>
      <c r="AP161" s="331"/>
      <c r="AQ161" s="331"/>
      <c r="AR161" s="331"/>
      <c r="AS161" s="331"/>
      <c r="AT161" s="331"/>
      <c r="AU161" s="331"/>
      <c r="AV161" s="331"/>
      <c r="AW161" s="331"/>
      <c r="AX161" s="331"/>
      <c r="AY161" s="332" t="s">
        <v>2476</v>
      </c>
      <c r="AZ161" s="332" t="s">
        <v>371</v>
      </c>
      <c r="BA161" s="332"/>
      <c r="BB161" s="332"/>
      <c r="BC161" s="332"/>
      <c r="BD161" s="332"/>
      <c r="BE161" s="332"/>
      <c r="BF161" s="332"/>
      <c r="BG161" s="332"/>
      <c r="BH161" s="332"/>
      <c r="BI161" s="332"/>
      <c r="BJ161" s="332"/>
      <c r="BK161" s="332"/>
      <c r="BL161" s="332"/>
      <c r="BM161" s="332"/>
      <c r="BN161" s="332"/>
      <c r="BO161" s="332"/>
      <c r="BP161" s="332"/>
      <c r="BQ161" s="332"/>
      <c r="BR161" s="332"/>
      <c r="BS161" s="332"/>
      <c r="BT161" s="332"/>
      <c r="BU161" s="332"/>
      <c r="BV161" s="332"/>
      <c r="BW161" s="332"/>
      <c r="BX161" s="332"/>
      <c r="BY161" s="332"/>
      <c r="BZ161" s="332"/>
      <c r="CA161" s="332"/>
      <c r="CB161" s="332"/>
      <c r="CC161" s="332"/>
      <c r="CD161" s="332"/>
      <c r="CE161" s="332"/>
      <c r="CF161" s="332"/>
      <c r="CG161" s="332"/>
      <c r="CH161" s="332"/>
      <c r="CI161" s="332"/>
      <c r="CJ161" s="332"/>
      <c r="CK161" s="332"/>
      <c r="CL161" s="332"/>
      <c r="CM161" s="332"/>
      <c r="CN161" s="332"/>
      <c r="CO161" s="332"/>
      <c r="CP161" s="333" t="s">
        <v>27</v>
      </c>
      <c r="CQ161" s="333" t="s">
        <v>371</v>
      </c>
      <c r="CR161" s="334">
        <v>6.8448842207266383</v>
      </c>
      <c r="CS161" s="334">
        <v>-2.5083000845529404</v>
      </c>
      <c r="CT161" s="334">
        <v>-9.132148690335562</v>
      </c>
      <c r="CU161" s="334">
        <v>-9.9573598921909792</v>
      </c>
      <c r="CV161" s="334">
        <v>-9.0949445514850353</v>
      </c>
      <c r="CW161" s="334">
        <v>-10.463409115271821</v>
      </c>
      <c r="CX161" s="334">
        <v>-9.3402367818651086</v>
      </c>
      <c r="CY161" s="334">
        <v>-10.39137772211267</v>
      </c>
      <c r="CZ161" s="334">
        <v>-10.022193243072666</v>
      </c>
      <c r="DA161" s="334">
        <v>-10.529251827554164</v>
      </c>
      <c r="DB161" s="334">
        <v>-2.3989304870246473</v>
      </c>
      <c r="DC161" s="334">
        <v>-8.7064386135541731</v>
      </c>
      <c r="DD161" s="334">
        <v>-8.298688010583632</v>
      </c>
      <c r="DE161" s="334">
        <v>4.5025086127965475</v>
      </c>
      <c r="DF161" s="334">
        <v>-4.7992900659926088</v>
      </c>
      <c r="DG161" s="334">
        <v>3.0349750894129448</v>
      </c>
      <c r="DH161" s="334">
        <v>-2.380557864701756</v>
      </c>
      <c r="DI161" s="334">
        <v>-3.9548780364221297</v>
      </c>
      <c r="DJ161" s="334">
        <v>-9.9159896381913448</v>
      </c>
      <c r="DK161" s="334">
        <v>-10.820510397550851</v>
      </c>
      <c r="DL161" s="334">
        <v>-7.0263375978519145</v>
      </c>
      <c r="DM161" s="334">
        <v>-3.5087922759683945</v>
      </c>
      <c r="DN161" s="334">
        <v>-1.653757205086416</v>
      </c>
      <c r="DO161" s="334">
        <v>-0.49113590985874295</v>
      </c>
      <c r="DP161" s="334">
        <v>-5.5809197633382919</v>
      </c>
      <c r="DQ161" s="334">
        <v>-4.2532124883475735</v>
      </c>
      <c r="DR161" s="334">
        <v>0.58476691474411435</v>
      </c>
      <c r="DS161" s="334">
        <v>20.983466299687027</v>
      </c>
      <c r="DT161" s="334">
        <v>-3.9209418458025498</v>
      </c>
      <c r="DU161" s="335">
        <v>-4.9077777238804048</v>
      </c>
      <c r="DV161" s="335">
        <v>-5.1028415946046213</v>
      </c>
      <c r="DW161" s="335">
        <v>-6.4065568988709201</v>
      </c>
      <c r="DX161" s="198">
        <v>-5.1028415946046213</v>
      </c>
      <c r="DY161" s="198">
        <v>-5.1028415946046213</v>
      </c>
      <c r="DZ161" s="198">
        <v>-5.1028415946046213</v>
      </c>
      <c r="EA161" s="198">
        <v>1.3037153042662988</v>
      </c>
      <c r="EB161" s="198">
        <v>-5.1028415946046213</v>
      </c>
      <c r="EC161" s="198">
        <v>-5.1028415946046213</v>
      </c>
      <c r="ED161" s="198">
        <v>-5.1028415946046213</v>
      </c>
      <c r="EE161" s="198">
        <v>-5.1028415946046213</v>
      </c>
      <c r="EF161" s="198">
        <v>1.3037153042662988</v>
      </c>
      <c r="EG161" s="198">
        <v>0</v>
      </c>
      <c r="EH161" s="198">
        <v>-5.6701642362800948</v>
      </c>
      <c r="EI161" s="336">
        <f t="shared" si="2"/>
        <v>1.6972602312801228</v>
      </c>
      <c r="EJ161" s="336">
        <f>EI161-'[13]FAOSTAT21 CO2'!EH161</f>
        <v>1.6217864112801228</v>
      </c>
    </row>
    <row r="162" spans="1:140" x14ac:dyDescent="0.25">
      <c r="A162" s="31">
        <v>4</v>
      </c>
      <c r="B162" s="31" t="s">
        <v>372</v>
      </c>
      <c r="C162" s="31">
        <v>163</v>
      </c>
      <c r="D162" s="31">
        <v>0</v>
      </c>
      <c r="E162" s="31">
        <v>0</v>
      </c>
      <c r="F162" s="31">
        <v>0</v>
      </c>
      <c r="G162" s="31">
        <v>0</v>
      </c>
      <c r="H162" s="331" t="s">
        <v>2475</v>
      </c>
      <c r="I162" s="331" t="s">
        <v>373</v>
      </c>
      <c r="J162" s="331"/>
      <c r="K162" s="331"/>
      <c r="L162" s="331"/>
      <c r="M162" s="331"/>
      <c r="N162" s="331"/>
      <c r="O162" s="331"/>
      <c r="P162" s="331"/>
      <c r="Q162" s="331"/>
      <c r="R162" s="331"/>
      <c r="S162" s="331"/>
      <c r="T162" s="331"/>
      <c r="U162" s="331"/>
      <c r="V162" s="331"/>
      <c r="W162" s="331"/>
      <c r="X162" s="331"/>
      <c r="Y162" s="331"/>
      <c r="Z162" s="331"/>
      <c r="AA162" s="331"/>
      <c r="AB162" s="331"/>
      <c r="AC162" s="331"/>
      <c r="AD162" s="331"/>
      <c r="AE162" s="331"/>
      <c r="AF162" s="331"/>
      <c r="AG162" s="331"/>
      <c r="AH162" s="331"/>
      <c r="AI162" s="331"/>
      <c r="AJ162" s="331"/>
      <c r="AK162" s="331"/>
      <c r="AL162" s="331"/>
      <c r="AM162" s="331"/>
      <c r="AN162" s="331"/>
      <c r="AO162" s="331"/>
      <c r="AP162" s="331"/>
      <c r="AQ162" s="331"/>
      <c r="AR162" s="331"/>
      <c r="AS162" s="331"/>
      <c r="AT162" s="331"/>
      <c r="AU162" s="331"/>
      <c r="AV162" s="331"/>
      <c r="AW162" s="331"/>
      <c r="AX162" s="331"/>
      <c r="AY162" s="332" t="s">
        <v>2476</v>
      </c>
      <c r="AZ162" s="332" t="s">
        <v>373</v>
      </c>
      <c r="BA162" s="332"/>
      <c r="BB162" s="332"/>
      <c r="BC162" s="332"/>
      <c r="BD162" s="332"/>
      <c r="BE162" s="332"/>
      <c r="BF162" s="332"/>
      <c r="BG162" s="332"/>
      <c r="BH162" s="332"/>
      <c r="BI162" s="332"/>
      <c r="BJ162" s="332"/>
      <c r="BK162" s="332"/>
      <c r="BL162" s="332"/>
      <c r="BM162" s="332"/>
      <c r="BN162" s="332"/>
      <c r="BO162" s="332"/>
      <c r="BP162" s="332"/>
      <c r="BQ162" s="332"/>
      <c r="BR162" s="332"/>
      <c r="BS162" s="332"/>
      <c r="BT162" s="332"/>
      <c r="BU162" s="332"/>
      <c r="BV162" s="332"/>
      <c r="BW162" s="332"/>
      <c r="BX162" s="332"/>
      <c r="BY162" s="332"/>
      <c r="BZ162" s="332"/>
      <c r="CA162" s="332"/>
      <c r="CB162" s="332"/>
      <c r="CC162" s="332"/>
      <c r="CD162" s="332"/>
      <c r="CE162" s="332"/>
      <c r="CF162" s="332"/>
      <c r="CG162" s="332"/>
      <c r="CH162" s="332"/>
      <c r="CI162" s="332"/>
      <c r="CJ162" s="332"/>
      <c r="CK162" s="332"/>
      <c r="CL162" s="332"/>
      <c r="CM162" s="332"/>
      <c r="CN162" s="332"/>
      <c r="CO162" s="332"/>
      <c r="CP162" s="333" t="s">
        <v>27</v>
      </c>
      <c r="CQ162" s="333" t="s">
        <v>373</v>
      </c>
      <c r="CR162" s="334">
        <v>0</v>
      </c>
      <c r="CS162" s="334">
        <v>0</v>
      </c>
      <c r="CT162" s="334">
        <v>0</v>
      </c>
      <c r="CU162" s="334">
        <v>0</v>
      </c>
      <c r="CV162" s="334">
        <v>0</v>
      </c>
      <c r="CW162" s="334">
        <v>0</v>
      </c>
      <c r="CX162" s="334">
        <v>0</v>
      </c>
      <c r="CY162" s="334">
        <v>0</v>
      </c>
      <c r="CZ162" s="334">
        <v>0</v>
      </c>
      <c r="DA162" s="334">
        <v>0</v>
      </c>
      <c r="DB162" s="334">
        <v>0</v>
      </c>
      <c r="DC162" s="334">
        <v>0</v>
      </c>
      <c r="DD162" s="334">
        <v>0</v>
      </c>
      <c r="DE162" s="334">
        <v>0</v>
      </c>
      <c r="DF162" s="334">
        <v>0</v>
      </c>
      <c r="DG162" s="334">
        <v>0</v>
      </c>
      <c r="DH162" s="334">
        <v>0</v>
      </c>
      <c r="DI162" s="334">
        <v>0</v>
      </c>
      <c r="DJ162" s="334">
        <v>0</v>
      </c>
      <c r="DK162" s="334">
        <v>0</v>
      </c>
      <c r="DL162" s="334">
        <v>0</v>
      </c>
      <c r="DM162" s="334">
        <v>0</v>
      </c>
      <c r="DN162" s="334">
        <v>0</v>
      </c>
      <c r="DO162" s="334">
        <v>0</v>
      </c>
      <c r="DP162" s="334">
        <v>0</v>
      </c>
      <c r="DQ162" s="334">
        <v>0</v>
      </c>
      <c r="DR162" s="334">
        <v>0</v>
      </c>
      <c r="DS162" s="334">
        <v>0</v>
      </c>
      <c r="DT162" s="334">
        <v>0</v>
      </c>
      <c r="DU162" s="335">
        <v>0</v>
      </c>
      <c r="DV162" s="335">
        <v>0</v>
      </c>
      <c r="DW162" s="335">
        <v>0</v>
      </c>
      <c r="DX162" s="198" t="s">
        <v>2477</v>
      </c>
      <c r="DY162" s="198" t="s">
        <v>2477</v>
      </c>
      <c r="DZ162" s="198" t="s">
        <v>2477</v>
      </c>
      <c r="EA162" s="198" t="s">
        <v>2477</v>
      </c>
      <c r="EB162" s="198" t="s">
        <v>2477</v>
      </c>
      <c r="EC162" s="198" t="s">
        <v>2477</v>
      </c>
      <c r="ED162" s="198" t="s">
        <v>2477</v>
      </c>
      <c r="EE162" s="198" t="s">
        <v>2477</v>
      </c>
      <c r="EF162" s="198" t="s">
        <v>2477</v>
      </c>
      <c r="EG162" s="198" t="s">
        <v>2477</v>
      </c>
      <c r="EH162" s="198"/>
      <c r="EI162" s="336">
        <f t="shared" si="2"/>
        <v>0</v>
      </c>
      <c r="EJ162" s="336">
        <f>EI162-'[13]FAOSTAT21 CO2'!EH162</f>
        <v>2.17844164</v>
      </c>
    </row>
    <row r="163" spans="1:140" x14ac:dyDescent="0.25">
      <c r="A163" s="31">
        <v>17</v>
      </c>
      <c r="B163" s="31" t="s">
        <v>374</v>
      </c>
      <c r="C163" s="31">
        <v>164</v>
      </c>
      <c r="D163" s="31">
        <v>0</v>
      </c>
      <c r="E163" s="31">
        <v>0</v>
      </c>
      <c r="F163" s="31">
        <v>0</v>
      </c>
      <c r="G163" s="31">
        <v>0</v>
      </c>
      <c r="H163" s="331" t="s">
        <v>2475</v>
      </c>
      <c r="I163" s="331" t="s">
        <v>375</v>
      </c>
      <c r="J163" s="331"/>
      <c r="K163" s="331"/>
      <c r="L163" s="331"/>
      <c r="M163" s="331"/>
      <c r="N163" s="331"/>
      <c r="O163" s="331"/>
      <c r="P163" s="331"/>
      <c r="Q163" s="331"/>
      <c r="R163" s="331"/>
      <c r="S163" s="331"/>
      <c r="T163" s="331"/>
      <c r="U163" s="331"/>
      <c r="V163" s="331"/>
      <c r="W163" s="331"/>
      <c r="X163" s="331"/>
      <c r="Y163" s="331"/>
      <c r="Z163" s="331"/>
      <c r="AA163" s="331"/>
      <c r="AB163" s="331"/>
      <c r="AC163" s="331"/>
      <c r="AD163" s="331"/>
      <c r="AE163" s="331"/>
      <c r="AF163" s="331"/>
      <c r="AG163" s="331"/>
      <c r="AH163" s="331"/>
      <c r="AI163" s="331"/>
      <c r="AJ163" s="331"/>
      <c r="AK163" s="331"/>
      <c r="AL163" s="331"/>
      <c r="AM163" s="331"/>
      <c r="AN163" s="331"/>
      <c r="AO163" s="331"/>
      <c r="AP163" s="331"/>
      <c r="AQ163" s="331"/>
      <c r="AR163" s="331"/>
      <c r="AS163" s="331"/>
      <c r="AT163" s="331"/>
      <c r="AU163" s="331"/>
      <c r="AV163" s="331"/>
      <c r="AW163" s="331"/>
      <c r="AX163" s="331"/>
      <c r="AY163" s="332" t="s">
        <v>2476</v>
      </c>
      <c r="AZ163" s="332" t="s">
        <v>375</v>
      </c>
      <c r="BA163" s="332"/>
      <c r="BB163" s="332"/>
      <c r="BC163" s="332"/>
      <c r="BD163" s="332"/>
      <c r="BE163" s="332"/>
      <c r="BF163" s="332"/>
      <c r="BG163" s="332"/>
      <c r="BH163" s="332"/>
      <c r="BI163" s="332"/>
      <c r="BJ163" s="332"/>
      <c r="BK163" s="332"/>
      <c r="BL163" s="332"/>
      <c r="BM163" s="332"/>
      <c r="BN163" s="332"/>
      <c r="BO163" s="332"/>
      <c r="BP163" s="332"/>
      <c r="BQ163" s="332"/>
      <c r="BR163" s="332"/>
      <c r="BS163" s="332"/>
      <c r="BT163" s="332"/>
      <c r="BU163" s="332"/>
      <c r="BV163" s="332"/>
      <c r="BW163" s="332"/>
      <c r="BX163" s="332"/>
      <c r="BY163" s="332"/>
      <c r="BZ163" s="332"/>
      <c r="CA163" s="332"/>
      <c r="CB163" s="332"/>
      <c r="CC163" s="332"/>
      <c r="CD163" s="332"/>
      <c r="CE163" s="332"/>
      <c r="CF163" s="332"/>
      <c r="CG163" s="332"/>
      <c r="CH163" s="332"/>
      <c r="CI163" s="332"/>
      <c r="CJ163" s="332"/>
      <c r="CK163" s="332"/>
      <c r="CL163" s="332"/>
      <c r="CM163" s="332"/>
      <c r="CN163" s="332"/>
      <c r="CO163" s="332"/>
      <c r="CP163" s="333" t="s">
        <v>27</v>
      </c>
      <c r="CQ163" s="333" t="s">
        <v>375</v>
      </c>
      <c r="CR163" s="334">
        <v>0</v>
      </c>
      <c r="CS163" s="334">
        <v>0</v>
      </c>
      <c r="CT163" s="334">
        <v>0</v>
      </c>
      <c r="CU163" s="334">
        <v>0</v>
      </c>
      <c r="CV163" s="334">
        <v>0</v>
      </c>
      <c r="CW163" s="334">
        <v>0</v>
      </c>
      <c r="CX163" s="334">
        <v>0</v>
      </c>
      <c r="CY163" s="334">
        <v>0</v>
      </c>
      <c r="CZ163" s="334">
        <v>0</v>
      </c>
      <c r="DA163" s="334">
        <v>0</v>
      </c>
      <c r="DB163" s="334">
        <v>0</v>
      </c>
      <c r="DC163" s="334">
        <v>0</v>
      </c>
      <c r="DD163" s="334">
        <v>0</v>
      </c>
      <c r="DE163" s="334">
        <v>0</v>
      </c>
      <c r="DF163" s="334">
        <v>0</v>
      </c>
      <c r="DG163" s="334">
        <v>0</v>
      </c>
      <c r="DH163" s="334">
        <v>0</v>
      </c>
      <c r="DI163" s="334">
        <v>0</v>
      </c>
      <c r="DJ163" s="334">
        <v>0</v>
      </c>
      <c r="DK163" s="334">
        <v>0</v>
      </c>
      <c r="DL163" s="334">
        <v>0</v>
      </c>
      <c r="DM163" s="334">
        <v>0</v>
      </c>
      <c r="DN163" s="334">
        <v>0</v>
      </c>
      <c r="DO163" s="334">
        <v>0</v>
      </c>
      <c r="DP163" s="334">
        <v>0</v>
      </c>
      <c r="DQ163" s="334">
        <v>0</v>
      </c>
      <c r="DR163" s="334">
        <v>0</v>
      </c>
      <c r="DS163" s="334">
        <v>0</v>
      </c>
      <c r="DT163" s="334">
        <v>0</v>
      </c>
      <c r="DU163" s="335">
        <v>0</v>
      </c>
      <c r="DV163" s="335">
        <v>0</v>
      </c>
      <c r="DW163" s="335">
        <v>0</v>
      </c>
      <c r="DX163" s="198" t="s">
        <v>2477</v>
      </c>
      <c r="DY163" s="198" t="s">
        <v>2477</v>
      </c>
      <c r="DZ163" s="198" t="s">
        <v>2477</v>
      </c>
      <c r="EA163" s="198" t="s">
        <v>2477</v>
      </c>
      <c r="EB163" s="198" t="s">
        <v>2477</v>
      </c>
      <c r="EC163" s="198" t="s">
        <v>2477</v>
      </c>
      <c r="ED163" s="198" t="s">
        <v>2477</v>
      </c>
      <c r="EE163" s="198" t="s">
        <v>2477</v>
      </c>
      <c r="EF163" s="198" t="s">
        <v>2477</v>
      </c>
      <c r="EG163" s="198" t="s">
        <v>2477</v>
      </c>
      <c r="EH163" s="198"/>
      <c r="EI163" s="336">
        <f t="shared" si="2"/>
        <v>0</v>
      </c>
      <c r="EJ163" s="336">
        <f>EI163-'[13]FAOSTAT21 CO2'!EH163</f>
        <v>0</v>
      </c>
    </row>
    <row r="164" spans="1:140" x14ac:dyDescent="0.25">
      <c r="A164" s="31">
        <v>9</v>
      </c>
      <c r="B164" s="31" t="s">
        <v>376</v>
      </c>
      <c r="C164" s="31">
        <v>165</v>
      </c>
      <c r="D164" s="31">
        <v>0</v>
      </c>
      <c r="E164" s="31">
        <v>0</v>
      </c>
      <c r="F164" s="31">
        <v>0</v>
      </c>
      <c r="G164" s="31">
        <v>0</v>
      </c>
      <c r="H164" s="331" t="s">
        <v>2475</v>
      </c>
      <c r="I164" s="331" t="s">
        <v>377</v>
      </c>
      <c r="J164" s="331"/>
      <c r="K164" s="331"/>
      <c r="L164" s="331"/>
      <c r="M164" s="331"/>
      <c r="N164" s="331"/>
      <c r="O164" s="331"/>
      <c r="P164" s="331"/>
      <c r="Q164" s="331"/>
      <c r="R164" s="331"/>
      <c r="S164" s="331"/>
      <c r="T164" s="331"/>
      <c r="U164" s="331"/>
      <c r="V164" s="331"/>
      <c r="W164" s="331"/>
      <c r="X164" s="331"/>
      <c r="Y164" s="331"/>
      <c r="Z164" s="331"/>
      <c r="AA164" s="331"/>
      <c r="AB164" s="331"/>
      <c r="AC164" s="331"/>
      <c r="AD164" s="331"/>
      <c r="AE164" s="331"/>
      <c r="AF164" s="331"/>
      <c r="AG164" s="331"/>
      <c r="AH164" s="331"/>
      <c r="AI164" s="331"/>
      <c r="AJ164" s="331"/>
      <c r="AK164" s="331"/>
      <c r="AL164" s="331"/>
      <c r="AM164" s="331"/>
      <c r="AN164" s="331"/>
      <c r="AO164" s="331"/>
      <c r="AP164" s="331"/>
      <c r="AQ164" s="331"/>
      <c r="AR164" s="331"/>
      <c r="AS164" s="331"/>
      <c r="AT164" s="331"/>
      <c r="AU164" s="331"/>
      <c r="AV164" s="331"/>
      <c r="AW164" s="331"/>
      <c r="AX164" s="331"/>
      <c r="AY164" s="332" t="s">
        <v>2476</v>
      </c>
      <c r="AZ164" s="332" t="s">
        <v>377</v>
      </c>
      <c r="BA164" s="332"/>
      <c r="BB164" s="332"/>
      <c r="BC164" s="332"/>
      <c r="BD164" s="332"/>
      <c r="BE164" s="332"/>
      <c r="BF164" s="332"/>
      <c r="BG164" s="332"/>
      <c r="BH164" s="332"/>
      <c r="BI164" s="332"/>
      <c r="BJ164" s="332"/>
      <c r="BK164" s="332"/>
      <c r="BL164" s="332"/>
      <c r="BM164" s="332"/>
      <c r="BN164" s="332"/>
      <c r="BO164" s="332"/>
      <c r="BP164" s="332"/>
      <c r="BQ164" s="332"/>
      <c r="BR164" s="332"/>
      <c r="BS164" s="332"/>
      <c r="BT164" s="332"/>
      <c r="BU164" s="332"/>
      <c r="BV164" s="332"/>
      <c r="BW164" s="332"/>
      <c r="BX164" s="332"/>
      <c r="BY164" s="332"/>
      <c r="BZ164" s="332"/>
      <c r="CA164" s="332"/>
      <c r="CB164" s="332"/>
      <c r="CC164" s="332"/>
      <c r="CD164" s="332"/>
      <c r="CE164" s="332"/>
      <c r="CF164" s="332"/>
      <c r="CG164" s="332"/>
      <c r="CH164" s="332"/>
      <c r="CI164" s="332"/>
      <c r="CJ164" s="332"/>
      <c r="CK164" s="332"/>
      <c r="CL164" s="332"/>
      <c r="CM164" s="332"/>
      <c r="CN164" s="332"/>
      <c r="CO164" s="332"/>
      <c r="CP164" s="333" t="s">
        <v>27</v>
      </c>
      <c r="CQ164" s="333" t="s">
        <v>377</v>
      </c>
      <c r="CR164" s="334">
        <v>0</v>
      </c>
      <c r="CS164" s="334">
        <v>0</v>
      </c>
      <c r="CT164" s="334">
        <v>0</v>
      </c>
      <c r="CU164" s="334">
        <v>0</v>
      </c>
      <c r="CV164" s="334">
        <v>0</v>
      </c>
      <c r="CW164" s="334">
        <v>0</v>
      </c>
      <c r="CX164" s="334">
        <v>0</v>
      </c>
      <c r="CY164" s="334">
        <v>0</v>
      </c>
      <c r="CZ164" s="334">
        <v>0</v>
      </c>
      <c r="DA164" s="334">
        <v>0</v>
      </c>
      <c r="DB164" s="334">
        <v>0</v>
      </c>
      <c r="DC164" s="334">
        <v>0</v>
      </c>
      <c r="DD164" s="334">
        <v>0</v>
      </c>
      <c r="DE164" s="334">
        <v>0</v>
      </c>
      <c r="DF164" s="334">
        <v>0</v>
      </c>
      <c r="DG164" s="334">
        <v>0</v>
      </c>
      <c r="DH164" s="334">
        <v>0</v>
      </c>
      <c r="DI164" s="334">
        <v>0</v>
      </c>
      <c r="DJ164" s="334">
        <v>0</v>
      </c>
      <c r="DK164" s="334">
        <v>0</v>
      </c>
      <c r="DL164" s="334">
        <v>0</v>
      </c>
      <c r="DM164" s="334">
        <v>0</v>
      </c>
      <c r="DN164" s="334">
        <v>0</v>
      </c>
      <c r="DO164" s="334">
        <v>0</v>
      </c>
      <c r="DP164" s="334">
        <v>0</v>
      </c>
      <c r="DQ164" s="334">
        <v>0</v>
      </c>
      <c r="DR164" s="334">
        <v>0</v>
      </c>
      <c r="DS164" s="334">
        <v>0</v>
      </c>
      <c r="DT164" s="334">
        <v>0</v>
      </c>
      <c r="DU164" s="335">
        <v>0</v>
      </c>
      <c r="DV164" s="335">
        <v>0</v>
      </c>
      <c r="DW164" s="335">
        <v>0</v>
      </c>
      <c r="DX164" s="198" t="s">
        <v>2477</v>
      </c>
      <c r="DY164" s="198" t="s">
        <v>2477</v>
      </c>
      <c r="DZ164" s="198" t="s">
        <v>2477</v>
      </c>
      <c r="EA164" s="198" t="s">
        <v>2477</v>
      </c>
      <c r="EB164" s="198" t="s">
        <v>2477</v>
      </c>
      <c r="EC164" s="198" t="s">
        <v>2477</v>
      </c>
      <c r="ED164" s="198" t="s">
        <v>2477</v>
      </c>
      <c r="EE164" s="198" t="s">
        <v>2477</v>
      </c>
      <c r="EF164" s="198" t="s">
        <v>2477</v>
      </c>
      <c r="EG164" s="198" t="s">
        <v>2477</v>
      </c>
      <c r="EH164" s="198"/>
      <c r="EI164" s="336">
        <f t="shared" si="2"/>
        <v>0</v>
      </c>
      <c r="EJ164" s="336">
        <f>EI164-'[13]FAOSTAT21 CO2'!EH164</f>
        <v>0.12302399999999999</v>
      </c>
    </row>
    <row r="165" spans="1:140" x14ac:dyDescent="0.25">
      <c r="A165" s="31">
        <v>12</v>
      </c>
      <c r="B165" s="31" t="s">
        <v>378</v>
      </c>
      <c r="C165" s="31">
        <v>166</v>
      </c>
      <c r="D165" s="31">
        <v>1</v>
      </c>
      <c r="E165" s="31">
        <v>0</v>
      </c>
      <c r="F165" s="31">
        <v>1</v>
      </c>
      <c r="G165" s="31">
        <v>0</v>
      </c>
      <c r="H165" s="331" t="s">
        <v>2475</v>
      </c>
      <c r="I165" s="331" t="s">
        <v>379</v>
      </c>
      <c r="J165" s="331"/>
      <c r="K165" s="331"/>
      <c r="L165" s="331"/>
      <c r="M165" s="331"/>
      <c r="N165" s="331"/>
      <c r="O165" s="331"/>
      <c r="P165" s="331"/>
      <c r="Q165" s="331"/>
      <c r="R165" s="331"/>
      <c r="S165" s="331"/>
      <c r="T165" s="331"/>
      <c r="U165" s="331"/>
      <c r="V165" s="331"/>
      <c r="W165" s="331"/>
      <c r="X165" s="331"/>
      <c r="Y165" s="331"/>
      <c r="Z165" s="331"/>
      <c r="AA165" s="331"/>
      <c r="AB165" s="331"/>
      <c r="AC165" s="331"/>
      <c r="AD165" s="331"/>
      <c r="AE165" s="331"/>
      <c r="AF165" s="331"/>
      <c r="AG165" s="331"/>
      <c r="AH165" s="331"/>
      <c r="AI165" s="331"/>
      <c r="AJ165" s="331"/>
      <c r="AK165" s="331"/>
      <c r="AL165" s="331"/>
      <c r="AM165" s="331"/>
      <c r="AN165" s="331"/>
      <c r="AO165" s="331"/>
      <c r="AP165" s="331"/>
      <c r="AQ165" s="331"/>
      <c r="AR165" s="331"/>
      <c r="AS165" s="331"/>
      <c r="AT165" s="331"/>
      <c r="AU165" s="331"/>
      <c r="AV165" s="331"/>
      <c r="AW165" s="331"/>
      <c r="AX165" s="331"/>
      <c r="AY165" s="332" t="s">
        <v>2476</v>
      </c>
      <c r="AZ165" s="332" t="s">
        <v>379</v>
      </c>
      <c r="BA165" s="332"/>
      <c r="BB165" s="332"/>
      <c r="BC165" s="332"/>
      <c r="BD165" s="332"/>
      <c r="BE165" s="332"/>
      <c r="BF165" s="332"/>
      <c r="BG165" s="332"/>
      <c r="BH165" s="332"/>
      <c r="BI165" s="332"/>
      <c r="BJ165" s="332"/>
      <c r="BK165" s="332"/>
      <c r="BL165" s="332"/>
      <c r="BM165" s="332"/>
      <c r="BN165" s="332"/>
      <c r="BO165" s="332"/>
      <c r="BP165" s="332"/>
      <c r="BQ165" s="332"/>
      <c r="BR165" s="332"/>
      <c r="BS165" s="332"/>
      <c r="BT165" s="332"/>
      <c r="BU165" s="332"/>
      <c r="BV165" s="332"/>
      <c r="BW165" s="332"/>
      <c r="BX165" s="332"/>
      <c r="BY165" s="332"/>
      <c r="BZ165" s="332"/>
      <c r="CA165" s="332"/>
      <c r="CB165" s="332"/>
      <c r="CC165" s="332"/>
      <c r="CD165" s="332"/>
      <c r="CE165" s="332"/>
      <c r="CF165" s="332"/>
      <c r="CG165" s="332"/>
      <c r="CH165" s="332"/>
      <c r="CI165" s="332"/>
      <c r="CJ165" s="332"/>
      <c r="CK165" s="332"/>
      <c r="CL165" s="332"/>
      <c r="CM165" s="332"/>
      <c r="CN165" s="332"/>
      <c r="CO165" s="332"/>
      <c r="CP165" s="333" t="s">
        <v>27</v>
      </c>
      <c r="CQ165" s="333" t="s">
        <v>379</v>
      </c>
      <c r="CR165" s="334">
        <v>-28.603933260942508</v>
      </c>
      <c r="CS165" s="334">
        <v>-29.071386996667655</v>
      </c>
      <c r="CT165" s="334">
        <v>-30.508624355779659</v>
      </c>
      <c r="CU165" s="334">
        <v>-31.8741023278718</v>
      </c>
      <c r="CV165" s="334">
        <v>-31.470138455920591</v>
      </c>
      <c r="CW165" s="334">
        <v>-31.122150949636385</v>
      </c>
      <c r="CX165" s="334">
        <v>-30.27336097214846</v>
      </c>
      <c r="CY165" s="334">
        <v>-30.958324770016247</v>
      </c>
      <c r="CZ165" s="334">
        <v>-33.311163732973554</v>
      </c>
      <c r="DA165" s="334">
        <v>-32.912603187322468</v>
      </c>
      <c r="DB165" s="334">
        <v>-32.922135526259545</v>
      </c>
      <c r="DC165" s="334">
        <v>-33.88593557508991</v>
      </c>
      <c r="DD165" s="334">
        <v>-31.909533045485119</v>
      </c>
      <c r="DE165" s="334">
        <v>-32.486817482029593</v>
      </c>
      <c r="DF165" s="334">
        <v>-32.271386400770091</v>
      </c>
      <c r="DG165" s="334">
        <v>-33.494372379795877</v>
      </c>
      <c r="DH165" s="334">
        <v>-33.102618786198427</v>
      </c>
      <c r="DI165" s="334">
        <v>-33.939214352323738</v>
      </c>
      <c r="DJ165" s="334">
        <v>-34.420614651696084</v>
      </c>
      <c r="DK165" s="334">
        <v>-31.430483393926355</v>
      </c>
      <c r="DL165" s="334">
        <v>-37.235526528721969</v>
      </c>
      <c r="DM165" s="334">
        <v>-37.507663237930963</v>
      </c>
      <c r="DN165" s="334">
        <v>-39.911537514045584</v>
      </c>
      <c r="DO165" s="334">
        <v>-39.968921469775729</v>
      </c>
      <c r="DP165" s="334">
        <v>-51.20504216670939</v>
      </c>
      <c r="DQ165" s="334">
        <v>-50.297777467040994</v>
      </c>
      <c r="DR165" s="334">
        <v>-52.561415886240923</v>
      </c>
      <c r="DS165" s="334">
        <v>-50.532688736730989</v>
      </c>
      <c r="DT165" s="334">
        <v>-48.20772532873189</v>
      </c>
      <c r="DU165" s="335">
        <v>-48.222604542273807</v>
      </c>
      <c r="DV165" s="335">
        <v>-50.406757052158191</v>
      </c>
      <c r="DW165" s="335">
        <v>-49.258425068588615</v>
      </c>
      <c r="DX165" s="198">
        <v>-50.406757052158191</v>
      </c>
      <c r="DY165" s="198">
        <v>-50.406757052158191</v>
      </c>
      <c r="DZ165" s="198">
        <v>-50.406757052158191</v>
      </c>
      <c r="EA165" s="198">
        <v>-1.1483319835695767</v>
      </c>
      <c r="EB165" s="198">
        <v>-50.406757052158191</v>
      </c>
      <c r="EC165" s="198">
        <v>-50.406757052158191</v>
      </c>
      <c r="ED165" s="198">
        <v>-50.406757052158191</v>
      </c>
      <c r="EE165" s="198">
        <v>-50.406757052158191</v>
      </c>
      <c r="EF165" s="198">
        <v>-1.1483319835695767</v>
      </c>
      <c r="EG165" s="198">
        <v>0</v>
      </c>
      <c r="EH165" s="198">
        <v>-57.21424063188644</v>
      </c>
      <c r="EI165" s="336">
        <f t="shared" si="2"/>
        <v>-49.964442392203722</v>
      </c>
      <c r="EJ165" s="336">
        <f>EI165-'[13]FAOSTAT21 CO2'!EH165</f>
        <v>25.366657067796282</v>
      </c>
    </row>
    <row r="166" spans="1:140" x14ac:dyDescent="0.25">
      <c r="A166" s="31">
        <v>16</v>
      </c>
      <c r="B166" s="31" t="s">
        <v>380</v>
      </c>
      <c r="C166" s="31">
        <v>167</v>
      </c>
      <c r="D166" s="31">
        <v>0</v>
      </c>
      <c r="E166" s="31">
        <v>1</v>
      </c>
      <c r="F166" s="31">
        <v>1</v>
      </c>
      <c r="G166" s="31">
        <v>1</v>
      </c>
      <c r="H166" s="331" t="s">
        <v>2475</v>
      </c>
      <c r="I166" s="331" t="s">
        <v>381</v>
      </c>
      <c r="J166" s="331"/>
      <c r="K166" s="331"/>
      <c r="L166" s="331"/>
      <c r="M166" s="331"/>
      <c r="N166" s="331"/>
      <c r="O166" s="331"/>
      <c r="P166" s="331"/>
      <c r="Q166" s="331"/>
      <c r="R166" s="331"/>
      <c r="S166" s="331"/>
      <c r="T166" s="331"/>
      <c r="U166" s="331"/>
      <c r="V166" s="331"/>
      <c r="W166" s="331"/>
      <c r="X166" s="331"/>
      <c r="Y166" s="331"/>
      <c r="Z166" s="331"/>
      <c r="AA166" s="331"/>
      <c r="AB166" s="331"/>
      <c r="AC166" s="331"/>
      <c r="AD166" s="331"/>
      <c r="AE166" s="331"/>
      <c r="AF166" s="331"/>
      <c r="AG166" s="331"/>
      <c r="AH166" s="331"/>
      <c r="AI166" s="331"/>
      <c r="AJ166" s="331"/>
      <c r="AK166" s="331"/>
      <c r="AL166" s="331"/>
      <c r="AM166" s="331"/>
      <c r="AN166" s="331"/>
      <c r="AO166" s="331"/>
      <c r="AP166" s="331"/>
      <c r="AQ166" s="331"/>
      <c r="AR166" s="331"/>
      <c r="AS166" s="331"/>
      <c r="AT166" s="331"/>
      <c r="AU166" s="331"/>
      <c r="AV166" s="331"/>
      <c r="AW166" s="331"/>
      <c r="AX166" s="331"/>
      <c r="AY166" s="332" t="s">
        <v>2476</v>
      </c>
      <c r="AZ166" s="332" t="s">
        <v>381</v>
      </c>
      <c r="BA166" s="332"/>
      <c r="BB166" s="332"/>
      <c r="BC166" s="332"/>
      <c r="BD166" s="332"/>
      <c r="BE166" s="332"/>
      <c r="BF166" s="332"/>
      <c r="BG166" s="332"/>
      <c r="BH166" s="332"/>
      <c r="BI166" s="332"/>
      <c r="BJ166" s="332"/>
      <c r="BK166" s="332"/>
      <c r="BL166" s="332"/>
      <c r="BM166" s="332"/>
      <c r="BN166" s="332"/>
      <c r="BO166" s="332"/>
      <c r="BP166" s="332"/>
      <c r="BQ166" s="332"/>
      <c r="BR166" s="332"/>
      <c r="BS166" s="332"/>
      <c r="BT166" s="332"/>
      <c r="BU166" s="332"/>
      <c r="BV166" s="332"/>
      <c r="BW166" s="332"/>
      <c r="BX166" s="332"/>
      <c r="BY166" s="332"/>
      <c r="BZ166" s="332"/>
      <c r="CA166" s="332"/>
      <c r="CB166" s="332"/>
      <c r="CC166" s="332"/>
      <c r="CD166" s="332"/>
      <c r="CE166" s="332"/>
      <c r="CF166" s="332"/>
      <c r="CG166" s="332"/>
      <c r="CH166" s="332"/>
      <c r="CI166" s="332"/>
      <c r="CJ166" s="332"/>
      <c r="CK166" s="332"/>
      <c r="CL166" s="332"/>
      <c r="CM166" s="332"/>
      <c r="CN166" s="332"/>
      <c r="CO166" s="332"/>
      <c r="CP166" s="333" t="s">
        <v>27</v>
      </c>
      <c r="CQ166" s="333" t="s">
        <v>381</v>
      </c>
      <c r="CR166" s="334">
        <v>-77.532032566858859</v>
      </c>
      <c r="CS166" s="334">
        <v>-36.701590195316072</v>
      </c>
      <c r="CT166" s="334">
        <v>-43.55588913319739</v>
      </c>
      <c r="CU166" s="334">
        <v>-99.324446116686659</v>
      </c>
      <c r="CV166" s="334">
        <v>-182.75678558559579</v>
      </c>
      <c r="CW166" s="334">
        <v>-259.75735094218862</v>
      </c>
      <c r="CX166" s="334">
        <v>-326.26563453291709</v>
      </c>
      <c r="CY166" s="334">
        <v>-401.7005353177521</v>
      </c>
      <c r="CZ166" s="334">
        <v>-410.95991855660196</v>
      </c>
      <c r="DA166" s="334">
        <v>-457.04130548672583</v>
      </c>
      <c r="DB166" s="334">
        <v>-473.84018635835486</v>
      </c>
      <c r="DC166" s="334">
        <v>-524.80922494193521</v>
      </c>
      <c r="DD166" s="334">
        <v>-550.55545416573818</v>
      </c>
      <c r="DE166" s="334">
        <v>-554.18528072950278</v>
      </c>
      <c r="DF166" s="334">
        <v>-544.67931935738466</v>
      </c>
      <c r="DG166" s="334">
        <v>-540.24785175188595</v>
      </c>
      <c r="DH166" s="334">
        <v>-539.97593829641676</v>
      </c>
      <c r="DI166" s="334">
        <v>-559.51513104868434</v>
      </c>
      <c r="DJ166" s="334">
        <v>-596.67136434175427</v>
      </c>
      <c r="DK166" s="334">
        <v>-670.8969232198649</v>
      </c>
      <c r="DL166" s="334">
        <v>-698.09332517494363</v>
      </c>
      <c r="DM166" s="334">
        <v>-650.73569530713382</v>
      </c>
      <c r="DN166" s="334">
        <v>-661.60048076082307</v>
      </c>
      <c r="DO166" s="334">
        <v>-612.78474679849614</v>
      </c>
      <c r="DP166" s="334">
        <v>-657.45792951907072</v>
      </c>
      <c r="DQ166" s="334">
        <v>-583.76569445056987</v>
      </c>
      <c r="DR166" s="334">
        <v>-615.39142246304311</v>
      </c>
      <c r="DS166" s="334">
        <v>-602.99136705509761</v>
      </c>
      <c r="DT166" s="334">
        <v>-577.3856766600793</v>
      </c>
      <c r="DU166" s="335">
        <v>-550.64134123852421</v>
      </c>
      <c r="DV166" s="335">
        <v>-557.61031124185638</v>
      </c>
      <c r="DW166" s="335">
        <v>-484.93769541021891</v>
      </c>
      <c r="DX166" s="198">
        <v>-535</v>
      </c>
      <c r="DY166" s="198">
        <v>-539</v>
      </c>
      <c r="DZ166" s="198">
        <v>-539</v>
      </c>
      <c r="EA166" s="198">
        <v>-54.062304589781093</v>
      </c>
      <c r="EB166" s="198">
        <v>-557.61031124185638</v>
      </c>
      <c r="EC166" s="198">
        <v>-557.61031124185638</v>
      </c>
      <c r="ED166" s="198">
        <v>-557.61031124185638</v>
      </c>
      <c r="EE166" s="198">
        <v>-867.5</v>
      </c>
      <c r="EF166" s="198">
        <v>-72.672615831637472</v>
      </c>
      <c r="EG166" s="198">
        <v>-18.61031124185638</v>
      </c>
      <c r="EH166" s="198">
        <v>-419.134514999999</v>
      </c>
      <c r="EI166" s="336">
        <f t="shared" si="2"/>
        <v>-586.0351003734628</v>
      </c>
      <c r="EJ166" s="336">
        <f>EI166-'[13]FAOSTAT21 CO2'!EH166</f>
        <v>-1.5366058734628041</v>
      </c>
    </row>
    <row r="167" spans="1:140" x14ac:dyDescent="0.25">
      <c r="A167" s="31">
        <v>9</v>
      </c>
      <c r="B167" s="31" t="s">
        <v>382</v>
      </c>
      <c r="C167" s="31">
        <v>168</v>
      </c>
      <c r="D167" s="31">
        <v>0</v>
      </c>
      <c r="E167" s="31">
        <v>0</v>
      </c>
      <c r="F167" s="31">
        <v>0</v>
      </c>
      <c r="G167" s="31">
        <v>0</v>
      </c>
      <c r="H167" s="331" t="s">
        <v>2475</v>
      </c>
      <c r="I167" s="331" t="s">
        <v>383</v>
      </c>
      <c r="J167" s="331"/>
      <c r="K167" s="331"/>
      <c r="L167" s="331"/>
      <c r="M167" s="331"/>
      <c r="N167" s="331"/>
      <c r="O167" s="331"/>
      <c r="P167" s="331"/>
      <c r="Q167" s="331"/>
      <c r="R167" s="331"/>
      <c r="S167" s="331"/>
      <c r="T167" s="331"/>
      <c r="U167" s="331"/>
      <c r="V167" s="331"/>
      <c r="W167" s="331"/>
      <c r="X167" s="331"/>
      <c r="Y167" s="331"/>
      <c r="Z167" s="331"/>
      <c r="AA167" s="331"/>
      <c r="AB167" s="331"/>
      <c r="AC167" s="331"/>
      <c r="AD167" s="331"/>
      <c r="AE167" s="331"/>
      <c r="AF167" s="331"/>
      <c r="AG167" s="331"/>
      <c r="AH167" s="331"/>
      <c r="AI167" s="331"/>
      <c r="AJ167" s="331"/>
      <c r="AK167" s="331"/>
      <c r="AL167" s="331"/>
      <c r="AM167" s="331"/>
      <c r="AN167" s="331"/>
      <c r="AO167" s="331"/>
      <c r="AP167" s="331"/>
      <c r="AQ167" s="331"/>
      <c r="AR167" s="331"/>
      <c r="AS167" s="331"/>
      <c r="AT167" s="331"/>
      <c r="AU167" s="331"/>
      <c r="AV167" s="331"/>
      <c r="AW167" s="331"/>
      <c r="AX167" s="331"/>
      <c r="AY167" s="332" t="s">
        <v>2476</v>
      </c>
      <c r="AZ167" s="332" t="s">
        <v>383</v>
      </c>
      <c r="BA167" s="332"/>
      <c r="BB167" s="332"/>
      <c r="BC167" s="332"/>
      <c r="BD167" s="332"/>
      <c r="BE167" s="332"/>
      <c r="BF167" s="332"/>
      <c r="BG167" s="332"/>
      <c r="BH167" s="332"/>
      <c r="BI167" s="332"/>
      <c r="BJ167" s="332"/>
      <c r="BK167" s="332"/>
      <c r="BL167" s="332"/>
      <c r="BM167" s="332"/>
      <c r="BN167" s="332"/>
      <c r="BO167" s="332"/>
      <c r="BP167" s="332"/>
      <c r="BQ167" s="332"/>
      <c r="BR167" s="332"/>
      <c r="BS167" s="332"/>
      <c r="BT167" s="332"/>
      <c r="BU167" s="332"/>
      <c r="BV167" s="332"/>
      <c r="BW167" s="332"/>
      <c r="BX167" s="332"/>
      <c r="BY167" s="332"/>
      <c r="BZ167" s="332"/>
      <c r="CA167" s="332"/>
      <c r="CB167" s="332"/>
      <c r="CC167" s="332"/>
      <c r="CD167" s="332"/>
      <c r="CE167" s="332"/>
      <c r="CF167" s="332"/>
      <c r="CG167" s="332"/>
      <c r="CH167" s="332"/>
      <c r="CI167" s="332"/>
      <c r="CJ167" s="332"/>
      <c r="CK167" s="332"/>
      <c r="CL167" s="332"/>
      <c r="CM167" s="332"/>
      <c r="CN167" s="332"/>
      <c r="CO167" s="332"/>
      <c r="CP167" s="333" t="s">
        <v>27</v>
      </c>
      <c r="CQ167" s="333" t="s">
        <v>383</v>
      </c>
      <c r="CR167" s="334">
        <v>-3.6886100000000002</v>
      </c>
      <c r="CS167" s="334">
        <v>-3.6886100000000002</v>
      </c>
      <c r="CT167" s="334">
        <v>-3.6886100000000002</v>
      </c>
      <c r="CU167" s="334">
        <v>-3.6886100000000002</v>
      </c>
      <c r="CV167" s="334">
        <v>-3.6886100000000002</v>
      </c>
      <c r="CW167" s="334">
        <v>-3.6886100000000002</v>
      </c>
      <c r="CX167" s="334">
        <v>-3.6886100000000002</v>
      </c>
      <c r="CY167" s="334">
        <v>-3.6886100000000002</v>
      </c>
      <c r="CZ167" s="334">
        <v>-3.6886100000000002</v>
      </c>
      <c r="DA167" s="334">
        <v>-3.6886100000000002</v>
      </c>
      <c r="DB167" s="334">
        <v>-3.6886100000000002</v>
      </c>
      <c r="DC167" s="334">
        <v>-3.6886100000000002</v>
      </c>
      <c r="DD167" s="334">
        <v>-3.6886100000000002</v>
      </c>
      <c r="DE167" s="334">
        <v>-3.6886100000000002</v>
      </c>
      <c r="DF167" s="334">
        <v>-3.6886100000000002</v>
      </c>
      <c r="DG167" s="334">
        <v>-3.6886100000000002</v>
      </c>
      <c r="DH167" s="334">
        <v>-3.6886100000000002</v>
      </c>
      <c r="DI167" s="334">
        <v>-3.7971200000000001</v>
      </c>
      <c r="DJ167" s="334">
        <v>-3.9056299999999999</v>
      </c>
      <c r="DK167" s="334">
        <v>-4.0141400000000003</v>
      </c>
      <c r="DL167" s="334">
        <v>-4.1226500000000001</v>
      </c>
      <c r="DM167" s="334">
        <v>-4.23116</v>
      </c>
      <c r="DN167" s="334">
        <v>-4.3396699999999999</v>
      </c>
      <c r="DO167" s="334">
        <v>-4.4481799999999998</v>
      </c>
      <c r="DP167" s="334">
        <v>-4.5566899999999997</v>
      </c>
      <c r="DQ167" s="334">
        <v>-4.6651999999999996</v>
      </c>
      <c r="DR167" s="334">
        <v>-4.8214799999999993</v>
      </c>
      <c r="DS167" s="334">
        <v>-4.7790900000000001</v>
      </c>
      <c r="DT167" s="334">
        <v>-5.0923599999999993</v>
      </c>
      <c r="DU167" s="335">
        <v>-4.6331518472906481</v>
      </c>
      <c r="DV167" s="335">
        <v>-4.6765579704433549</v>
      </c>
      <c r="DW167" s="335">
        <v>-4.7199640935960616</v>
      </c>
      <c r="DX167" s="198">
        <v>-4.6765579704433549</v>
      </c>
      <c r="DY167" s="198">
        <v>-4.6765579704433549</v>
      </c>
      <c r="DZ167" s="198">
        <v>-8.6765579704433549</v>
      </c>
      <c r="EA167" s="198">
        <v>4.3406123152706755E-2</v>
      </c>
      <c r="EB167" s="198">
        <v>-4.6765579704433549</v>
      </c>
      <c r="EC167" s="198">
        <v>-4.6765579704433549</v>
      </c>
      <c r="ED167" s="198">
        <v>-4.6765579704433549</v>
      </c>
      <c r="EE167" s="198">
        <v>-4.6765579704433549</v>
      </c>
      <c r="EF167" s="198">
        <v>4.3406123152706755E-2</v>
      </c>
      <c r="EG167" s="198">
        <v>0</v>
      </c>
      <c r="EH167" s="198">
        <v>-5.7781525585887401</v>
      </c>
      <c r="EI167" s="336">
        <f t="shared" si="2"/>
        <v>-4.7982563694581293</v>
      </c>
      <c r="EJ167" s="336">
        <f>EI167-'[13]FAOSTAT21 CO2'!EH167</f>
        <v>-6.4854284094581294</v>
      </c>
    </row>
    <row r="168" spans="1:140" x14ac:dyDescent="0.25">
      <c r="A168" s="31">
        <v>24</v>
      </c>
      <c r="B168" s="31" t="s">
        <v>384</v>
      </c>
      <c r="C168" s="31">
        <v>221</v>
      </c>
      <c r="D168" s="31">
        <v>0</v>
      </c>
      <c r="E168" s="31">
        <v>0</v>
      </c>
      <c r="F168" s="31">
        <v>0</v>
      </c>
      <c r="G168" s="31">
        <v>0</v>
      </c>
      <c r="H168" s="331" t="s">
        <v>2475</v>
      </c>
      <c r="I168" s="331" t="s">
        <v>385</v>
      </c>
      <c r="J168" s="331"/>
      <c r="K168" s="331"/>
      <c r="L168" s="331"/>
      <c r="M168" s="331"/>
      <c r="N168" s="331"/>
      <c r="O168" s="331"/>
      <c r="P168" s="331"/>
      <c r="Q168" s="331"/>
      <c r="R168" s="331"/>
      <c r="S168" s="331"/>
      <c r="T168" s="331"/>
      <c r="U168" s="331"/>
      <c r="V168" s="331"/>
      <c r="W168" s="331"/>
      <c r="X168" s="331"/>
      <c r="Y168" s="331"/>
      <c r="Z168" s="331"/>
      <c r="AA168" s="331"/>
      <c r="AB168" s="331"/>
      <c r="AC168" s="331"/>
      <c r="AD168" s="331"/>
      <c r="AE168" s="331"/>
      <c r="AF168" s="331"/>
      <c r="AG168" s="331"/>
      <c r="AH168" s="331"/>
      <c r="AI168" s="331"/>
      <c r="AJ168" s="331"/>
      <c r="AK168" s="331"/>
      <c r="AL168" s="331"/>
      <c r="AM168" s="331"/>
      <c r="AN168" s="331"/>
      <c r="AO168" s="331"/>
      <c r="AP168" s="331"/>
      <c r="AQ168" s="331"/>
      <c r="AR168" s="331"/>
      <c r="AS168" s="331"/>
      <c r="AT168" s="331"/>
      <c r="AU168" s="331"/>
      <c r="AV168" s="331"/>
      <c r="AW168" s="331"/>
      <c r="AX168" s="331"/>
      <c r="AY168" s="332" t="s">
        <v>2476</v>
      </c>
      <c r="AZ168" s="332" t="s">
        <v>385</v>
      </c>
      <c r="BA168" s="332"/>
      <c r="BB168" s="332"/>
      <c r="BC168" s="332"/>
      <c r="BD168" s="332"/>
      <c r="BE168" s="332"/>
      <c r="BF168" s="332"/>
      <c r="BG168" s="332"/>
      <c r="BH168" s="332"/>
      <c r="BI168" s="332"/>
      <c r="BJ168" s="332"/>
      <c r="BK168" s="332"/>
      <c r="BL168" s="332"/>
      <c r="BM168" s="332"/>
      <c r="BN168" s="332"/>
      <c r="BO168" s="332"/>
      <c r="BP168" s="332"/>
      <c r="BQ168" s="332"/>
      <c r="BR168" s="332"/>
      <c r="BS168" s="332"/>
      <c r="BT168" s="332"/>
      <c r="BU168" s="332"/>
      <c r="BV168" s="332"/>
      <c r="BW168" s="332"/>
      <c r="BX168" s="332"/>
      <c r="BY168" s="332"/>
      <c r="BZ168" s="332"/>
      <c r="CA168" s="332"/>
      <c r="CB168" s="332"/>
      <c r="CC168" s="332"/>
      <c r="CD168" s="332"/>
      <c r="CE168" s="332"/>
      <c r="CF168" s="332"/>
      <c r="CG168" s="332"/>
      <c r="CH168" s="332"/>
      <c r="CI168" s="332"/>
      <c r="CJ168" s="332"/>
      <c r="CK168" s="332"/>
      <c r="CL168" s="332"/>
      <c r="CM168" s="332"/>
      <c r="CN168" s="332"/>
      <c r="CO168" s="332"/>
      <c r="CP168" s="333" t="s">
        <v>27</v>
      </c>
      <c r="CQ168" s="333" t="s">
        <v>385</v>
      </c>
      <c r="CR168" s="334">
        <v>-0.39355999999999997</v>
      </c>
      <c r="CS168" s="334">
        <v>-0.39355999999999997</v>
      </c>
      <c r="CT168" s="334">
        <v>-0.39355999999999997</v>
      </c>
      <c r="CU168" s="334">
        <v>-0.39355999999999997</v>
      </c>
      <c r="CV168" s="334">
        <v>-0.39355999999999997</v>
      </c>
      <c r="CW168" s="334">
        <v>-0.4754733333333333</v>
      </c>
      <c r="CX168" s="334">
        <v>-0.55738666666666659</v>
      </c>
      <c r="CY168" s="334">
        <v>-0.63929999999999987</v>
      </c>
      <c r="CZ168" s="334">
        <v>-0.72121333333333315</v>
      </c>
      <c r="DA168" s="334">
        <v>-0.80312666666666643</v>
      </c>
      <c r="DB168" s="334">
        <v>-0.88503999999999994</v>
      </c>
      <c r="DC168" s="334">
        <v>-0.83290142857142857</v>
      </c>
      <c r="DD168" s="334">
        <v>-0.7807628571428572</v>
      </c>
      <c r="DE168" s="334">
        <v>-0.72862428571428584</v>
      </c>
      <c r="DF168" s="334">
        <v>-0.67648571428571447</v>
      </c>
      <c r="DG168" s="334">
        <v>-0.6243471428571431</v>
      </c>
      <c r="DH168" s="334">
        <v>-0.57220857142857173</v>
      </c>
      <c r="DI168" s="334">
        <v>-0.52007000000000003</v>
      </c>
      <c r="DJ168" s="334">
        <v>-0.7784867973856251</v>
      </c>
      <c r="DK168" s="334">
        <v>-0.79736412108703547</v>
      </c>
      <c r="DL168" s="334">
        <v>-0.81624144478843874</v>
      </c>
      <c r="DM168" s="334">
        <v>-0.83511876848985622</v>
      </c>
      <c r="DN168" s="334">
        <v>-0.85399609219125949</v>
      </c>
      <c r="DO168" s="334">
        <v>-0.87287341589266987</v>
      </c>
      <c r="DP168" s="334">
        <v>-0.89175073959408735</v>
      </c>
      <c r="DQ168" s="334">
        <v>-0.91062806329549062</v>
      </c>
      <c r="DR168" s="334">
        <v>-0.9295053869969081</v>
      </c>
      <c r="DS168" s="334">
        <v>-0.94838271069831137</v>
      </c>
      <c r="DT168" s="334">
        <v>-0.96726003439972885</v>
      </c>
      <c r="DU168" s="335">
        <v>-0.98613735810113212</v>
      </c>
      <c r="DV168" s="335">
        <v>-1.0050146818025496</v>
      </c>
      <c r="DW168" s="335">
        <v>-1.0238920055039529</v>
      </c>
      <c r="DX168" s="198">
        <v>-1.0050146818025496</v>
      </c>
      <c r="DY168" s="198">
        <v>-1.0050146818025496</v>
      </c>
      <c r="DZ168" s="198">
        <v>-1.0050146818025496</v>
      </c>
      <c r="EA168" s="198">
        <v>1.887732370140327E-2</v>
      </c>
      <c r="EB168" s="198">
        <v>-1.0050146818025496</v>
      </c>
      <c r="EC168" s="198">
        <v>-1.0050146818025496</v>
      </c>
      <c r="ED168" s="198">
        <v>-1.0050146818025496</v>
      </c>
      <c r="EE168" s="198">
        <v>-1.0050146818025496</v>
      </c>
      <c r="EF168" s="198">
        <v>1.887732370140327E-2</v>
      </c>
      <c r="EG168" s="198">
        <v>0</v>
      </c>
      <c r="EH168" s="198">
        <v>-0.93777353198018032</v>
      </c>
      <c r="EI168" s="336">
        <f t="shared" si="2"/>
        <v>-0.94838271069831426</v>
      </c>
      <c r="EJ168" s="336">
        <f>EI168-'[13]FAOSTAT21 CO2'!EH168</f>
        <v>-1.0554483906983143</v>
      </c>
    </row>
    <row r="169" spans="1:140" x14ac:dyDescent="0.25">
      <c r="A169" s="31">
        <v>11</v>
      </c>
      <c r="B169" s="31" t="s">
        <v>386</v>
      </c>
      <c r="C169" s="31">
        <v>175</v>
      </c>
      <c r="D169" s="31">
        <v>0</v>
      </c>
      <c r="E169" s="31">
        <v>0</v>
      </c>
      <c r="F169" s="31">
        <v>0</v>
      </c>
      <c r="G169" s="31">
        <v>0</v>
      </c>
      <c r="H169" s="331" t="s">
        <v>2475</v>
      </c>
      <c r="I169" s="331" t="s">
        <v>387</v>
      </c>
      <c r="J169" s="331"/>
      <c r="K169" s="331"/>
      <c r="L169" s="331"/>
      <c r="M169" s="331"/>
      <c r="N169" s="331"/>
      <c r="O169" s="331"/>
      <c r="P169" s="331"/>
      <c r="Q169" s="331"/>
      <c r="R169" s="331"/>
      <c r="S169" s="331"/>
      <c r="T169" s="331"/>
      <c r="U169" s="331"/>
      <c r="V169" s="331"/>
      <c r="W169" s="331"/>
      <c r="X169" s="331"/>
      <c r="Y169" s="331"/>
      <c r="Z169" s="331"/>
      <c r="AA169" s="331"/>
      <c r="AB169" s="331"/>
      <c r="AC169" s="331"/>
      <c r="AD169" s="331"/>
      <c r="AE169" s="331"/>
      <c r="AF169" s="331"/>
      <c r="AG169" s="331"/>
      <c r="AH169" s="331"/>
      <c r="AI169" s="331"/>
      <c r="AJ169" s="331"/>
      <c r="AK169" s="331"/>
      <c r="AL169" s="331"/>
      <c r="AM169" s="331"/>
      <c r="AN169" s="331"/>
      <c r="AO169" s="331"/>
      <c r="AP169" s="331"/>
      <c r="AQ169" s="331"/>
      <c r="AR169" s="331"/>
      <c r="AS169" s="331"/>
      <c r="AT169" s="331"/>
      <c r="AU169" s="331"/>
      <c r="AV169" s="331"/>
      <c r="AW169" s="331"/>
      <c r="AX169" s="331"/>
      <c r="AY169" s="332" t="s">
        <v>2476</v>
      </c>
      <c r="AZ169" s="332" t="s">
        <v>387</v>
      </c>
      <c r="BA169" s="332"/>
      <c r="BB169" s="332"/>
      <c r="BC169" s="332"/>
      <c r="BD169" s="332"/>
      <c r="BE169" s="332"/>
      <c r="BF169" s="332"/>
      <c r="BG169" s="332"/>
      <c r="BH169" s="332"/>
      <c r="BI169" s="332"/>
      <c r="BJ169" s="332"/>
      <c r="BK169" s="332"/>
      <c r="BL169" s="332"/>
      <c r="BM169" s="332"/>
      <c r="BN169" s="332"/>
      <c r="BO169" s="332"/>
      <c r="BP169" s="332"/>
      <c r="BQ169" s="332"/>
      <c r="BR169" s="332"/>
      <c r="BS169" s="332"/>
      <c r="BT169" s="332"/>
      <c r="BU169" s="332"/>
      <c r="BV169" s="332"/>
      <c r="BW169" s="332"/>
      <c r="BX169" s="332"/>
      <c r="BY169" s="332"/>
      <c r="BZ169" s="332"/>
      <c r="CA169" s="332"/>
      <c r="CB169" s="332"/>
      <c r="CC169" s="332"/>
      <c r="CD169" s="332"/>
      <c r="CE169" s="332"/>
      <c r="CF169" s="332"/>
      <c r="CG169" s="332"/>
      <c r="CH169" s="332"/>
      <c r="CI169" s="332"/>
      <c r="CJ169" s="332"/>
      <c r="CK169" s="332"/>
      <c r="CL169" s="332"/>
      <c r="CM169" s="332"/>
      <c r="CN169" s="332"/>
      <c r="CO169" s="332"/>
      <c r="CP169" s="333" t="s">
        <v>27</v>
      </c>
      <c r="CQ169" s="333" t="s">
        <v>387</v>
      </c>
      <c r="CR169" s="334">
        <v>-4.0149999999999995E-3</v>
      </c>
      <c r="CS169" s="334">
        <v>-4.0149999999999995E-3</v>
      </c>
      <c r="CT169" s="334">
        <v>-4.0149999999999995E-3</v>
      </c>
      <c r="CU169" s="334">
        <v>-4.0149999999999995E-3</v>
      </c>
      <c r="CV169" s="334">
        <v>-4.0149999999999995E-3</v>
      </c>
      <c r="CW169" s="334">
        <v>-4.0149999999999995E-3</v>
      </c>
      <c r="CX169" s="334">
        <v>-4.0149999999999995E-3</v>
      </c>
      <c r="CY169" s="334">
        <v>-4.0149999999999995E-3</v>
      </c>
      <c r="CZ169" s="334">
        <v>-4.0149999999999995E-3</v>
      </c>
      <c r="DA169" s="334">
        <v>-4.0149999999999995E-3</v>
      </c>
      <c r="DB169" s="334">
        <v>-4.0149999999999995E-3</v>
      </c>
      <c r="DC169" s="334">
        <v>-4.0149999999999995E-3</v>
      </c>
      <c r="DD169" s="334">
        <v>-4.0149999999999995E-3</v>
      </c>
      <c r="DE169" s="334">
        <v>-4.0149999999999995E-3</v>
      </c>
      <c r="DF169" s="334">
        <v>-4.0149999999999995E-3</v>
      </c>
      <c r="DG169" s="334">
        <v>-4.0149999999999995E-3</v>
      </c>
      <c r="DH169" s="334">
        <v>-4.0149999999999995E-3</v>
      </c>
      <c r="DI169" s="334">
        <v>-4.0149999999999995E-3</v>
      </c>
      <c r="DJ169" s="334">
        <v>-6.1700000000000001E-3</v>
      </c>
      <c r="DK169" s="334">
        <v>-8.3250000000000008E-3</v>
      </c>
      <c r="DL169" s="334">
        <v>-1.0480000000000001E-2</v>
      </c>
      <c r="DM169" s="334">
        <v>-6.3547142857142691E-3</v>
      </c>
      <c r="DN169" s="334">
        <v>-6.5114415584415219E-3</v>
      </c>
      <c r="DO169" s="334">
        <v>-6.6681688311688303E-3</v>
      </c>
      <c r="DP169" s="334">
        <v>-6.8248961038960831E-3</v>
      </c>
      <c r="DQ169" s="334">
        <v>-6.9816233766233915E-3</v>
      </c>
      <c r="DR169" s="334">
        <v>-7.1383506493506443E-3</v>
      </c>
      <c r="DS169" s="334">
        <v>-7.2950779220778972E-3</v>
      </c>
      <c r="DT169" s="334">
        <v>-7.4518051948052055E-3</v>
      </c>
      <c r="DU169" s="335">
        <v>-7.6085324675325139E-3</v>
      </c>
      <c r="DV169" s="335">
        <v>-7.7652597402597112E-3</v>
      </c>
      <c r="DW169" s="335">
        <v>-7.9219870129869641E-3</v>
      </c>
      <c r="DX169" s="198">
        <v>-7.7652597402597112E-3</v>
      </c>
      <c r="DY169" s="198">
        <v>-7.7652597402597112E-3</v>
      </c>
      <c r="DZ169" s="198">
        <v>-7.7652597402597112E-3</v>
      </c>
      <c r="EA169" s="198">
        <v>1.5672727272725284E-4</v>
      </c>
      <c r="EB169" s="198">
        <v>-7.7652597402597112E-3</v>
      </c>
      <c r="EC169" s="198">
        <v>-7.7652597402597112E-3</v>
      </c>
      <c r="ED169" s="198">
        <v>-7.7652597402597112E-3</v>
      </c>
      <c r="EE169" s="198">
        <v>-7.7652597402597112E-3</v>
      </c>
      <c r="EF169" s="198">
        <v>1.5672727272725284E-4</v>
      </c>
      <c r="EG169" s="198">
        <v>0</v>
      </c>
      <c r="EH169" s="198">
        <v>-8.0408394351326653E-3</v>
      </c>
      <c r="EI169" s="336"/>
      <c r="EJ169" s="336"/>
    </row>
    <row r="170" spans="1:140" x14ac:dyDescent="0.25">
      <c r="A170" s="31">
        <v>8</v>
      </c>
      <c r="B170" s="31" t="s">
        <v>388</v>
      </c>
      <c r="C170" s="31">
        <v>176</v>
      </c>
      <c r="D170" s="31">
        <v>0</v>
      </c>
      <c r="E170" s="31">
        <v>0</v>
      </c>
      <c r="F170" s="31">
        <v>0</v>
      </c>
      <c r="G170" s="31">
        <v>0</v>
      </c>
      <c r="H170" s="331" t="s">
        <v>2475</v>
      </c>
      <c r="I170" s="331" t="s">
        <v>389</v>
      </c>
      <c r="J170" s="331"/>
      <c r="K170" s="331"/>
      <c r="L170" s="331"/>
      <c r="M170" s="331"/>
      <c r="N170" s="331"/>
      <c r="O170" s="331"/>
      <c r="P170" s="331"/>
      <c r="Q170" s="331"/>
      <c r="R170" s="331"/>
      <c r="S170" s="331"/>
      <c r="T170" s="331"/>
      <c r="U170" s="331"/>
      <c r="V170" s="331"/>
      <c r="W170" s="331"/>
      <c r="X170" s="331"/>
      <c r="Y170" s="331"/>
      <c r="Z170" s="331"/>
      <c r="AA170" s="331"/>
      <c r="AB170" s="331"/>
      <c r="AC170" s="331"/>
      <c r="AD170" s="331"/>
      <c r="AE170" s="331"/>
      <c r="AF170" s="331"/>
      <c r="AG170" s="331"/>
      <c r="AH170" s="331"/>
      <c r="AI170" s="331"/>
      <c r="AJ170" s="331"/>
      <c r="AK170" s="331"/>
      <c r="AL170" s="331"/>
      <c r="AM170" s="331"/>
      <c r="AN170" s="331"/>
      <c r="AO170" s="331"/>
      <c r="AP170" s="331"/>
      <c r="AQ170" s="331"/>
      <c r="AR170" s="331"/>
      <c r="AS170" s="331"/>
      <c r="AT170" s="331"/>
      <c r="AU170" s="331"/>
      <c r="AV170" s="331"/>
      <c r="AW170" s="331"/>
      <c r="AX170" s="331"/>
      <c r="AY170" s="332" t="s">
        <v>2476</v>
      </c>
      <c r="AZ170" s="332" t="s">
        <v>389</v>
      </c>
      <c r="BA170" s="332"/>
      <c r="BB170" s="332"/>
      <c r="BC170" s="332"/>
      <c r="BD170" s="332"/>
      <c r="BE170" s="332"/>
      <c r="BF170" s="332"/>
      <c r="BG170" s="332"/>
      <c r="BH170" s="332"/>
      <c r="BI170" s="332"/>
      <c r="BJ170" s="332"/>
      <c r="BK170" s="332"/>
      <c r="BL170" s="332"/>
      <c r="BM170" s="332"/>
      <c r="BN170" s="332"/>
      <c r="BO170" s="332"/>
      <c r="BP170" s="332"/>
      <c r="BQ170" s="332"/>
      <c r="BR170" s="332"/>
      <c r="BS170" s="332"/>
      <c r="BT170" s="332"/>
      <c r="BU170" s="332"/>
      <c r="BV170" s="332"/>
      <c r="BW170" s="332"/>
      <c r="BX170" s="332"/>
      <c r="BY170" s="332"/>
      <c r="BZ170" s="332"/>
      <c r="CA170" s="332"/>
      <c r="CB170" s="332"/>
      <c r="CC170" s="332"/>
      <c r="CD170" s="332"/>
      <c r="CE170" s="332"/>
      <c r="CF170" s="332"/>
      <c r="CG170" s="332"/>
      <c r="CH170" s="332"/>
      <c r="CI170" s="332"/>
      <c r="CJ170" s="332"/>
      <c r="CK170" s="332"/>
      <c r="CL170" s="332"/>
      <c r="CM170" s="332"/>
      <c r="CN170" s="332"/>
      <c r="CO170" s="332"/>
      <c r="CP170" s="333" t="s">
        <v>27</v>
      </c>
      <c r="CQ170" s="333" t="s">
        <v>389</v>
      </c>
      <c r="CR170" s="334">
        <v>-0.36</v>
      </c>
      <c r="CS170" s="334">
        <v>-0.36</v>
      </c>
      <c r="CT170" s="334">
        <v>-0.36</v>
      </c>
      <c r="CU170" s="334">
        <v>-0.36</v>
      </c>
      <c r="CV170" s="334">
        <v>-0.36</v>
      </c>
      <c r="CW170" s="334">
        <v>-0.36</v>
      </c>
      <c r="CX170" s="334">
        <v>-0.36</v>
      </c>
      <c r="CY170" s="334">
        <v>-0.36</v>
      </c>
      <c r="CZ170" s="334">
        <v>-0.36</v>
      </c>
      <c r="DA170" s="334">
        <v>-0.36333333333333334</v>
      </c>
      <c r="DB170" s="334">
        <v>-0.3666666666666667</v>
      </c>
      <c r="DC170" s="334">
        <v>-0.37000000000000005</v>
      </c>
      <c r="DD170" s="334">
        <v>-0.37333333333333341</v>
      </c>
      <c r="DE170" s="334">
        <v>-0.37666666666666676</v>
      </c>
      <c r="DF170" s="334">
        <v>-0.38000000000000012</v>
      </c>
      <c r="DG170" s="334">
        <v>-0.38</v>
      </c>
      <c r="DH170" s="334">
        <v>-0.3855514285714286</v>
      </c>
      <c r="DI170" s="334">
        <v>-0.3911028571428572</v>
      </c>
      <c r="DJ170" s="334">
        <v>-0.39665428571428579</v>
      </c>
      <c r="DK170" s="334">
        <v>-0.40220571428571439</v>
      </c>
      <c r="DL170" s="334">
        <v>-0.40775714285714298</v>
      </c>
      <c r="DM170" s="334">
        <v>-0.41330857142857158</v>
      </c>
      <c r="DN170" s="334">
        <v>-0.41886000000000001</v>
      </c>
      <c r="DO170" s="334">
        <v>-0.44405375000000002</v>
      </c>
      <c r="DP170" s="334">
        <v>-0.46924750000000004</v>
      </c>
      <c r="DQ170" s="334">
        <v>-0.49444125000000005</v>
      </c>
      <c r="DR170" s="334">
        <v>-0.52325999999999995</v>
      </c>
      <c r="DS170" s="334">
        <v>-0.51963499999999996</v>
      </c>
      <c r="DT170" s="334">
        <v>-0.51600999999999997</v>
      </c>
      <c r="DU170" s="335">
        <v>-0.4829953879310338</v>
      </c>
      <c r="DV170" s="335">
        <v>-0.48845464942528594</v>
      </c>
      <c r="DW170" s="335">
        <v>-0.49391391091953984</v>
      </c>
      <c r="DX170" s="198">
        <v>-0.48845464942528594</v>
      </c>
      <c r="DY170" s="198">
        <v>-0.48845464942528594</v>
      </c>
      <c r="DZ170" s="198">
        <v>-1.4884546494252859</v>
      </c>
      <c r="EA170" s="198">
        <v>5.4592614942539086E-3</v>
      </c>
      <c r="EB170" s="198">
        <v>-0.48845464942528594</v>
      </c>
      <c r="EC170" s="198">
        <v>-0.48845464942528594</v>
      </c>
      <c r="ED170" s="198">
        <v>-0.48845464942528594</v>
      </c>
      <c r="EE170" s="198">
        <v>-0.48845464942528594</v>
      </c>
      <c r="EF170" s="198">
        <v>5.4592614942539086E-3</v>
      </c>
      <c r="EG170" s="198">
        <v>0</v>
      </c>
      <c r="EH170" s="198">
        <v>-0.56683537079740609</v>
      </c>
      <c r="EI170" s="336">
        <f t="shared" si="2"/>
        <v>-0.50726832758620677</v>
      </c>
      <c r="EJ170" s="336">
        <f>EI170-'[13]FAOSTAT21 CO2'!EH170</f>
        <v>-0.72257572758620681</v>
      </c>
    </row>
    <row r="171" spans="1:140" x14ac:dyDescent="0.25">
      <c r="A171" s="31">
        <v>17</v>
      </c>
      <c r="B171" s="31" t="s">
        <v>390</v>
      </c>
      <c r="C171" s="31">
        <v>177</v>
      </c>
      <c r="D171" s="31">
        <v>0</v>
      </c>
      <c r="E171" s="31">
        <v>1</v>
      </c>
      <c r="F171" s="31">
        <v>0</v>
      </c>
      <c r="G171" s="31">
        <v>1</v>
      </c>
      <c r="H171" s="331" t="s">
        <v>2475</v>
      </c>
      <c r="I171" s="331" t="s">
        <v>391</v>
      </c>
      <c r="J171" s="331"/>
      <c r="K171" s="331"/>
      <c r="L171" s="331"/>
      <c r="M171" s="331"/>
      <c r="N171" s="331"/>
      <c r="O171" s="331"/>
      <c r="P171" s="331"/>
      <c r="Q171" s="331"/>
      <c r="R171" s="331"/>
      <c r="S171" s="331"/>
      <c r="T171" s="331"/>
      <c r="U171" s="331"/>
      <c r="V171" s="331"/>
      <c r="W171" s="331"/>
      <c r="X171" s="331"/>
      <c r="Y171" s="331"/>
      <c r="Z171" s="331"/>
      <c r="AA171" s="331"/>
      <c r="AB171" s="331"/>
      <c r="AC171" s="331"/>
      <c r="AD171" s="331"/>
      <c r="AE171" s="331"/>
      <c r="AF171" s="331"/>
      <c r="AG171" s="331"/>
      <c r="AH171" s="331"/>
      <c r="AI171" s="331"/>
      <c r="AJ171" s="331"/>
      <c r="AK171" s="331"/>
      <c r="AL171" s="331"/>
      <c r="AM171" s="331"/>
      <c r="AN171" s="331"/>
      <c r="AO171" s="331"/>
      <c r="AP171" s="331"/>
      <c r="AQ171" s="331"/>
      <c r="AR171" s="331"/>
      <c r="AS171" s="331"/>
      <c r="AT171" s="331"/>
      <c r="AU171" s="331"/>
      <c r="AV171" s="331"/>
      <c r="AW171" s="331"/>
      <c r="AX171" s="331"/>
      <c r="AY171" s="332" t="s">
        <v>2476</v>
      </c>
      <c r="AZ171" s="332" t="s">
        <v>391</v>
      </c>
      <c r="BA171" s="332"/>
      <c r="BB171" s="332"/>
      <c r="BC171" s="332"/>
      <c r="BD171" s="332"/>
      <c r="BE171" s="332"/>
      <c r="BF171" s="332"/>
      <c r="BG171" s="332"/>
      <c r="BH171" s="332"/>
      <c r="BI171" s="332"/>
      <c r="BJ171" s="332"/>
      <c r="BK171" s="332"/>
      <c r="BL171" s="332"/>
      <c r="BM171" s="332"/>
      <c r="BN171" s="332"/>
      <c r="BO171" s="332"/>
      <c r="BP171" s="332"/>
      <c r="BQ171" s="332"/>
      <c r="BR171" s="332"/>
      <c r="BS171" s="332"/>
      <c r="BT171" s="332"/>
      <c r="BU171" s="332"/>
      <c r="BV171" s="332"/>
      <c r="BW171" s="332"/>
      <c r="BX171" s="332"/>
      <c r="BY171" s="332"/>
      <c r="BZ171" s="332"/>
      <c r="CA171" s="332"/>
      <c r="CB171" s="332"/>
      <c r="CC171" s="332"/>
      <c r="CD171" s="332"/>
      <c r="CE171" s="332"/>
      <c r="CF171" s="332"/>
      <c r="CG171" s="332"/>
      <c r="CH171" s="332"/>
      <c r="CI171" s="332"/>
      <c r="CJ171" s="332"/>
      <c r="CK171" s="332"/>
      <c r="CL171" s="332"/>
      <c r="CM171" s="332"/>
      <c r="CN171" s="332"/>
      <c r="CO171" s="332"/>
      <c r="CP171" s="333" t="s">
        <v>27</v>
      </c>
      <c r="CQ171" s="333" t="s">
        <v>391</v>
      </c>
      <c r="CR171" s="334">
        <v>-15.24</v>
      </c>
      <c r="CS171" s="334">
        <v>-15.132899999999999</v>
      </c>
      <c r="CT171" s="334">
        <v>-15.0258</v>
      </c>
      <c r="CU171" s="334">
        <v>-14.918700000000001</v>
      </c>
      <c r="CV171" s="334">
        <v>-14.811600000000002</v>
      </c>
      <c r="CW171" s="334">
        <v>-14.704500000000003</v>
      </c>
      <c r="CX171" s="334">
        <v>-14.597400000000004</v>
      </c>
      <c r="CY171" s="334">
        <v>-14.490300000000005</v>
      </c>
      <c r="CZ171" s="334">
        <v>-14.383200000000006</v>
      </c>
      <c r="DA171" s="334">
        <v>-14.276100000000007</v>
      </c>
      <c r="DB171" s="334">
        <v>-14.169</v>
      </c>
      <c r="DC171" s="334">
        <v>-13.600155555555556</v>
      </c>
      <c r="DD171" s="334">
        <v>-13.031311111111112</v>
      </c>
      <c r="DE171" s="334">
        <v>-12.462466666666668</v>
      </c>
      <c r="DF171" s="334">
        <v>-11.893622222222223</v>
      </c>
      <c r="DG171" s="334">
        <v>-11.324777777777779</v>
      </c>
      <c r="DH171" s="334">
        <v>-10.755933333333335</v>
      </c>
      <c r="DI171" s="334">
        <v>-10.187088888888891</v>
      </c>
      <c r="DJ171" s="334">
        <v>-9.6182444444444464</v>
      </c>
      <c r="DK171" s="334">
        <v>-9.0494000000000021</v>
      </c>
      <c r="DL171" s="334">
        <v>-9.0494000000000003</v>
      </c>
      <c r="DM171" s="334">
        <v>-9.100200000000001</v>
      </c>
      <c r="DN171" s="334">
        <v>-9.1509999999999998</v>
      </c>
      <c r="DO171" s="334">
        <v>-8.67145019762836</v>
      </c>
      <c r="DP171" s="334">
        <v>-8.3398206851119312</v>
      </c>
      <c r="DQ171" s="334">
        <v>-8.0081911725955024</v>
      </c>
      <c r="DR171" s="334">
        <v>-7.6765616600790736</v>
      </c>
      <c r="DS171" s="334">
        <v>-7.3449321475625311</v>
      </c>
      <c r="DT171" s="334">
        <v>-7.0133026350461023</v>
      </c>
      <c r="DU171" s="335">
        <v>-6.6816731225296735</v>
      </c>
      <c r="DV171" s="335">
        <v>-6.350043610013131</v>
      </c>
      <c r="DW171" s="335">
        <v>-6.0184140974967022</v>
      </c>
      <c r="DX171" s="198">
        <v>-6.350043610013131</v>
      </c>
      <c r="DY171" s="198">
        <v>-6.350043610013131</v>
      </c>
      <c r="DZ171" s="198">
        <v>-6.350043610013131</v>
      </c>
      <c r="EA171" s="198">
        <v>-0.3316295125164288</v>
      </c>
      <c r="EB171" s="198">
        <v>-6.350043610013131</v>
      </c>
      <c r="EC171" s="198">
        <v>-6.350043610013131</v>
      </c>
      <c r="ED171" s="198">
        <v>-6.350043610013131</v>
      </c>
      <c r="EE171" s="198">
        <v>-6.350043610013131</v>
      </c>
      <c r="EF171" s="198">
        <v>-0.3316295125164288</v>
      </c>
      <c r="EG171" s="198">
        <v>0</v>
      </c>
      <c r="EH171" s="198">
        <v>-9.7072576559999995</v>
      </c>
      <c r="EI171" s="336">
        <f t="shared" si="2"/>
        <v>-7.3449321475625764</v>
      </c>
      <c r="EJ171" s="336">
        <f>EI171-'[13]FAOSTAT21 CO2'!EH171</f>
        <v>-7.3449321475625764</v>
      </c>
    </row>
    <row r="172" spans="1:140" x14ac:dyDescent="0.25">
      <c r="A172" s="31">
        <v>8</v>
      </c>
      <c r="B172" s="31" t="s">
        <v>392</v>
      </c>
      <c r="C172" s="31">
        <v>178</v>
      </c>
      <c r="D172" s="31">
        <v>0</v>
      </c>
      <c r="E172" s="31">
        <v>0</v>
      </c>
      <c r="F172" s="31">
        <v>0</v>
      </c>
      <c r="G172" s="31">
        <v>0</v>
      </c>
      <c r="H172" s="331" t="s">
        <v>2475</v>
      </c>
      <c r="I172" s="331" t="s">
        <v>393</v>
      </c>
      <c r="J172" s="331"/>
      <c r="K172" s="331"/>
      <c r="L172" s="331"/>
      <c r="M172" s="331"/>
      <c r="N172" s="331"/>
      <c r="O172" s="331"/>
      <c r="P172" s="331"/>
      <c r="Q172" s="331"/>
      <c r="R172" s="331"/>
      <c r="S172" s="331"/>
      <c r="T172" s="331"/>
      <c r="U172" s="331"/>
      <c r="V172" s="331"/>
      <c r="W172" s="331"/>
      <c r="X172" s="331"/>
      <c r="Y172" s="331"/>
      <c r="Z172" s="331"/>
      <c r="AA172" s="331"/>
      <c r="AB172" s="331"/>
      <c r="AC172" s="331"/>
      <c r="AD172" s="331"/>
      <c r="AE172" s="331"/>
      <c r="AF172" s="331"/>
      <c r="AG172" s="331"/>
      <c r="AH172" s="331"/>
      <c r="AI172" s="331"/>
      <c r="AJ172" s="331"/>
      <c r="AK172" s="331"/>
      <c r="AL172" s="331"/>
      <c r="AM172" s="331"/>
      <c r="AN172" s="331"/>
      <c r="AO172" s="331"/>
      <c r="AP172" s="331"/>
      <c r="AQ172" s="331"/>
      <c r="AR172" s="331"/>
      <c r="AS172" s="331"/>
      <c r="AT172" s="331"/>
      <c r="AU172" s="331"/>
      <c r="AV172" s="331"/>
      <c r="AW172" s="331"/>
      <c r="AX172" s="331"/>
      <c r="AY172" s="332" t="s">
        <v>2476</v>
      </c>
      <c r="AZ172" s="332" t="s">
        <v>393</v>
      </c>
      <c r="BA172" s="332"/>
      <c r="BB172" s="332"/>
      <c r="BC172" s="332"/>
      <c r="BD172" s="332"/>
      <c r="BE172" s="332"/>
      <c r="BF172" s="332"/>
      <c r="BG172" s="332"/>
      <c r="BH172" s="332"/>
      <c r="BI172" s="332"/>
      <c r="BJ172" s="332"/>
      <c r="BK172" s="332"/>
      <c r="BL172" s="332"/>
      <c r="BM172" s="332"/>
      <c r="BN172" s="332"/>
      <c r="BO172" s="332"/>
      <c r="BP172" s="332"/>
      <c r="BQ172" s="332"/>
      <c r="BR172" s="332"/>
      <c r="BS172" s="332"/>
      <c r="BT172" s="332"/>
      <c r="BU172" s="332"/>
      <c r="BV172" s="332"/>
      <c r="BW172" s="332"/>
      <c r="BX172" s="332"/>
      <c r="BY172" s="332"/>
      <c r="BZ172" s="332"/>
      <c r="CA172" s="332"/>
      <c r="CB172" s="332"/>
      <c r="CC172" s="332"/>
      <c r="CD172" s="332"/>
      <c r="CE172" s="332"/>
      <c r="CF172" s="332"/>
      <c r="CG172" s="332"/>
      <c r="CH172" s="332"/>
      <c r="CI172" s="332"/>
      <c r="CJ172" s="332"/>
      <c r="CK172" s="332"/>
      <c r="CL172" s="332"/>
      <c r="CM172" s="332"/>
      <c r="CN172" s="332"/>
      <c r="CO172" s="332"/>
      <c r="CP172" s="333" t="s">
        <v>27</v>
      </c>
      <c r="CQ172" s="333" t="s">
        <v>393</v>
      </c>
      <c r="CR172" s="334">
        <v>-10.521600000000001</v>
      </c>
      <c r="CS172" s="334">
        <v>-10.521600000000001</v>
      </c>
      <c r="CT172" s="334">
        <v>-10.521600000000001</v>
      </c>
      <c r="CU172" s="334">
        <v>-10.521600000000001</v>
      </c>
      <c r="CV172" s="334">
        <v>-10.521600000000001</v>
      </c>
      <c r="CW172" s="334">
        <v>-10.521600000000001</v>
      </c>
      <c r="CX172" s="334">
        <v>-10.521600000000001</v>
      </c>
      <c r="CY172" s="334">
        <v>-10.521600000000001</v>
      </c>
      <c r="CZ172" s="334">
        <v>-10.521600000000001</v>
      </c>
      <c r="DA172" s="334">
        <v>-10.521600000000001</v>
      </c>
      <c r="DB172" s="334">
        <v>-10.521600000000001</v>
      </c>
      <c r="DC172" s="334">
        <v>-10.697400000000002</v>
      </c>
      <c r="DD172" s="334">
        <v>-10.873200000000002</v>
      </c>
      <c r="DE172" s="334">
        <v>-11.049000000000003</v>
      </c>
      <c r="DF172" s="334">
        <v>-11.224800000000004</v>
      </c>
      <c r="DG172" s="334">
        <v>-11.400600000000001</v>
      </c>
      <c r="DH172" s="334">
        <v>-11.092950000000002</v>
      </c>
      <c r="DI172" s="334">
        <v>-11.140777941176481</v>
      </c>
      <c r="DJ172" s="334">
        <v>-11.188605882352945</v>
      </c>
      <c r="DK172" s="334">
        <v>-11.23643382352941</v>
      </c>
      <c r="DL172" s="334">
        <v>-11.284261764705889</v>
      </c>
      <c r="DM172" s="334">
        <v>-11.332089705882353</v>
      </c>
      <c r="DN172" s="334">
        <v>-11.379917647058832</v>
      </c>
      <c r="DO172" s="334">
        <v>-11.427745588235297</v>
      </c>
      <c r="DP172" s="334">
        <v>-11.475573529411776</v>
      </c>
      <c r="DQ172" s="334">
        <v>-11.52340147058824</v>
      </c>
      <c r="DR172" s="334">
        <v>-11.571229411764705</v>
      </c>
      <c r="DS172" s="334">
        <v>-11.619057352941184</v>
      </c>
      <c r="DT172" s="334">
        <v>-11.666885294117662</v>
      </c>
      <c r="DU172" s="335">
        <v>-11.714713235294113</v>
      </c>
      <c r="DV172" s="335">
        <v>-11.762541176470592</v>
      </c>
      <c r="DW172" s="335">
        <v>-11.81036911764707</v>
      </c>
      <c r="DX172" s="198">
        <v>-2.64</v>
      </c>
      <c r="DY172" s="198">
        <v>-9</v>
      </c>
      <c r="DZ172" s="198">
        <v>-23</v>
      </c>
      <c r="EA172" s="198">
        <v>2.8103691176470704</v>
      </c>
      <c r="EB172" s="198">
        <v>-11.762541176470592</v>
      </c>
      <c r="EC172" s="198">
        <v>-11.762541176470592</v>
      </c>
      <c r="ED172" s="198">
        <v>-11.762541176470592</v>
      </c>
      <c r="EE172" s="198">
        <v>-11.762541176470592</v>
      </c>
      <c r="EF172" s="198">
        <v>4.7827941176478816E-2</v>
      </c>
      <c r="EG172" s="198">
        <v>-2.7625411764705916</v>
      </c>
      <c r="EH172" s="198">
        <v>-15.264209726896144</v>
      </c>
      <c r="EI172" s="336">
        <f t="shared" si="2"/>
        <v>-11.61905735294118</v>
      </c>
      <c r="EJ172" s="336">
        <f>EI172-'[13]FAOSTAT21 CO2'!EH172</f>
        <v>-15.977082992941179</v>
      </c>
    </row>
    <row r="173" spans="1:140" x14ac:dyDescent="0.25">
      <c r="A173" s="31">
        <v>12</v>
      </c>
      <c r="B173" s="31" t="s">
        <v>394</v>
      </c>
      <c r="C173" s="31">
        <v>223</v>
      </c>
      <c r="D173" s="31">
        <v>0</v>
      </c>
      <c r="E173" s="31">
        <v>0</v>
      </c>
      <c r="F173" s="31">
        <v>0</v>
      </c>
      <c r="G173" s="31">
        <v>0</v>
      </c>
      <c r="H173" s="331" t="s">
        <v>2475</v>
      </c>
      <c r="I173" s="342" t="s">
        <v>395</v>
      </c>
      <c r="J173" s="331"/>
      <c r="K173" s="331"/>
      <c r="L173" s="331"/>
      <c r="M173" s="331"/>
      <c r="N173" s="331"/>
      <c r="O173" s="331"/>
      <c r="P173" s="331"/>
      <c r="Q173" s="331"/>
      <c r="R173" s="331"/>
      <c r="S173" s="331"/>
      <c r="T173" s="331"/>
      <c r="U173" s="331"/>
      <c r="V173" s="331"/>
      <c r="W173" s="331"/>
      <c r="X173" s="331"/>
      <c r="Y173" s="331"/>
      <c r="Z173" s="331"/>
      <c r="AA173" s="331"/>
      <c r="AB173" s="331"/>
      <c r="AC173" s="331"/>
      <c r="AD173" s="331"/>
      <c r="AE173" s="331"/>
      <c r="AF173" s="331"/>
      <c r="AG173" s="331"/>
      <c r="AH173" s="331"/>
      <c r="AI173" s="331"/>
      <c r="AJ173" s="331"/>
      <c r="AK173" s="331"/>
      <c r="AL173" s="331"/>
      <c r="AM173" s="331"/>
      <c r="AN173" s="331"/>
      <c r="AO173" s="331"/>
      <c r="AP173" s="331"/>
      <c r="AQ173" s="331"/>
      <c r="AR173" s="331"/>
      <c r="AS173" s="331"/>
      <c r="AT173" s="331"/>
      <c r="AU173" s="331"/>
      <c r="AV173" s="331"/>
      <c r="AW173" s="331"/>
      <c r="AX173" s="331"/>
      <c r="AY173" s="332" t="s">
        <v>2476</v>
      </c>
      <c r="AZ173" s="332" t="s">
        <v>395</v>
      </c>
      <c r="BA173" s="332"/>
      <c r="BB173" s="332"/>
      <c r="BC173" s="332"/>
      <c r="BD173" s="332"/>
      <c r="BE173" s="332"/>
      <c r="BF173" s="332"/>
      <c r="BG173" s="332"/>
      <c r="BH173" s="332"/>
      <c r="BI173" s="332"/>
      <c r="BJ173" s="332"/>
      <c r="BK173" s="332"/>
      <c r="BL173" s="332"/>
      <c r="BM173" s="332"/>
      <c r="BN173" s="332"/>
      <c r="BO173" s="332"/>
      <c r="BP173" s="332"/>
      <c r="BQ173" s="332"/>
      <c r="BR173" s="332"/>
      <c r="BS173" s="332"/>
      <c r="BT173" s="332"/>
      <c r="BU173" s="332"/>
      <c r="BV173" s="332"/>
      <c r="BW173" s="332"/>
      <c r="BX173" s="332"/>
      <c r="BY173" s="332"/>
      <c r="BZ173" s="332"/>
      <c r="CA173" s="332"/>
      <c r="CB173" s="332"/>
      <c r="CC173" s="332"/>
      <c r="CD173" s="332"/>
      <c r="CE173" s="332"/>
      <c r="CF173" s="332"/>
      <c r="CG173" s="332"/>
      <c r="CH173" s="332"/>
      <c r="CI173" s="332"/>
      <c r="CJ173" s="332"/>
      <c r="CK173" s="332"/>
      <c r="CL173" s="332"/>
      <c r="CM173" s="332"/>
      <c r="CN173" s="332"/>
      <c r="CO173" s="332"/>
      <c r="CP173" s="333" t="s">
        <v>27</v>
      </c>
      <c r="CQ173" s="333" t="s">
        <v>395</v>
      </c>
      <c r="CR173" s="335">
        <v>-1.4119300000000001</v>
      </c>
      <c r="CS173" s="335">
        <v>-1.6758160000000002</v>
      </c>
      <c r="CT173" s="335">
        <v>-1.9397020000000003</v>
      </c>
      <c r="CU173" s="335">
        <v>-2.2035880000000003</v>
      </c>
      <c r="CV173" s="335">
        <v>-2.4674740000000002</v>
      </c>
      <c r="CW173" s="335">
        <v>-2.73136</v>
      </c>
      <c r="CX173" s="335">
        <v>-2.9952459999999999</v>
      </c>
      <c r="CY173" s="335">
        <v>-3.2591319999999997</v>
      </c>
      <c r="CZ173" s="335">
        <v>-3.5230179999999995</v>
      </c>
      <c r="DA173" s="335">
        <v>-3.7869039999999994</v>
      </c>
      <c r="DB173" s="335">
        <v>-4.0507900000000001</v>
      </c>
      <c r="DC173" s="335">
        <v>-4.4866359999999998</v>
      </c>
      <c r="DD173" s="335">
        <v>-4.9224819999999996</v>
      </c>
      <c r="DE173" s="335">
        <v>-5.3583279999999993</v>
      </c>
      <c r="DF173" s="335">
        <v>-5.794173999999999</v>
      </c>
      <c r="DG173" s="335">
        <v>-6.2300200000000006</v>
      </c>
      <c r="DH173" s="335">
        <v>-6.1958360000000008</v>
      </c>
      <c r="DI173" s="335">
        <v>-6.161652000000001</v>
      </c>
      <c r="DJ173" s="335">
        <v>-6.1274680000000012</v>
      </c>
      <c r="DK173" s="335">
        <v>-6.0932840000000015</v>
      </c>
      <c r="DL173" s="335">
        <v>-6.0590999999999999</v>
      </c>
      <c r="DM173" s="335">
        <v>-5.9007040000000002</v>
      </c>
      <c r="DN173" s="335">
        <v>-5.7423080000000004</v>
      </c>
      <c r="DO173" s="335">
        <v>-5.5839120000000007</v>
      </c>
      <c r="DP173" s="335">
        <v>-5.4255160000000009</v>
      </c>
      <c r="DQ173" s="335">
        <v>-5.2671200000000002</v>
      </c>
      <c r="DR173" s="335">
        <v>-4.9405000000000001</v>
      </c>
      <c r="DS173" s="335">
        <v>-5.0593399999999997</v>
      </c>
      <c r="DT173" s="335">
        <v>-4.8194300000000005</v>
      </c>
      <c r="DU173" s="335">
        <v>-5.09694</v>
      </c>
      <c r="DV173" s="335">
        <v>-4.9473799999999999</v>
      </c>
      <c r="DW173" s="335">
        <v>-6.5629627096774357</v>
      </c>
      <c r="DX173" s="198">
        <v>-9</v>
      </c>
      <c r="DY173" s="198">
        <v>-9</v>
      </c>
      <c r="DZ173" s="198">
        <v>-9</v>
      </c>
      <c r="EA173" s="198">
        <v>-2.4370372903225643</v>
      </c>
      <c r="EB173" s="198">
        <v>-4.9473799999999999</v>
      </c>
      <c r="EC173" s="198">
        <v>-4.9473799999999999</v>
      </c>
      <c r="ED173" s="198">
        <v>-4.9473799999999999</v>
      </c>
      <c r="EE173" s="198">
        <v>-4.9473799999999999</v>
      </c>
      <c r="EF173" s="198">
        <v>1.6155827096774358</v>
      </c>
      <c r="EG173" s="198">
        <v>4.0526200000000001</v>
      </c>
      <c r="EH173" s="198">
        <v>-4.4805159965025867</v>
      </c>
      <c r="EI173" s="336">
        <f t="shared" si="2"/>
        <v>-5.0366660000000003</v>
      </c>
      <c r="EJ173" s="336">
        <f>EI173-'[13]FAOSTAT21 CO2'!EH173</f>
        <v>-5.0366660000000003</v>
      </c>
    </row>
    <row r="174" spans="1:140" x14ac:dyDescent="0.25">
      <c r="A174" s="31">
        <v>9</v>
      </c>
      <c r="B174" s="31" t="s">
        <v>396</v>
      </c>
      <c r="C174" s="31">
        <v>179</v>
      </c>
      <c r="D174" s="31">
        <v>0</v>
      </c>
      <c r="E174" s="31">
        <v>0</v>
      </c>
      <c r="F174" s="31">
        <v>0</v>
      </c>
      <c r="G174" s="31">
        <v>0</v>
      </c>
      <c r="H174" s="331" t="s">
        <v>2475</v>
      </c>
      <c r="I174" s="331" t="s">
        <v>397</v>
      </c>
      <c r="J174" s="331"/>
      <c r="K174" s="331"/>
      <c r="L174" s="331"/>
      <c r="M174" s="331"/>
      <c r="N174" s="331"/>
      <c r="O174" s="331"/>
      <c r="P174" s="331"/>
      <c r="Q174" s="331"/>
      <c r="R174" s="331"/>
      <c r="S174" s="331"/>
      <c r="T174" s="331"/>
      <c r="U174" s="331"/>
      <c r="V174" s="331"/>
      <c r="W174" s="331"/>
      <c r="X174" s="331"/>
      <c r="Y174" s="331"/>
      <c r="Z174" s="331"/>
      <c r="AA174" s="331"/>
      <c r="AB174" s="331"/>
      <c r="AC174" s="331"/>
      <c r="AD174" s="331"/>
      <c r="AE174" s="331"/>
      <c r="AF174" s="331"/>
      <c r="AG174" s="331"/>
      <c r="AH174" s="331"/>
      <c r="AI174" s="331"/>
      <c r="AJ174" s="331"/>
      <c r="AK174" s="331"/>
      <c r="AL174" s="331"/>
      <c r="AM174" s="331"/>
      <c r="AN174" s="331"/>
      <c r="AO174" s="331"/>
      <c r="AP174" s="331"/>
      <c r="AQ174" s="331"/>
      <c r="AR174" s="331"/>
      <c r="AS174" s="331"/>
      <c r="AT174" s="331"/>
      <c r="AU174" s="331"/>
      <c r="AV174" s="331"/>
      <c r="AW174" s="331"/>
      <c r="AX174" s="331"/>
      <c r="AY174" s="332" t="s">
        <v>2476</v>
      </c>
      <c r="AZ174" s="332" t="s">
        <v>397</v>
      </c>
      <c r="BA174" s="332"/>
      <c r="BB174" s="332"/>
      <c r="BC174" s="332"/>
      <c r="BD174" s="332"/>
      <c r="BE174" s="332"/>
      <c r="BF174" s="332"/>
      <c r="BG174" s="332"/>
      <c r="BH174" s="332"/>
      <c r="BI174" s="332"/>
      <c r="BJ174" s="332"/>
      <c r="BK174" s="332"/>
      <c r="BL174" s="332"/>
      <c r="BM174" s="332"/>
      <c r="BN174" s="332"/>
      <c r="BO174" s="332"/>
      <c r="BP174" s="332"/>
      <c r="BQ174" s="332"/>
      <c r="BR174" s="332"/>
      <c r="BS174" s="332"/>
      <c r="BT174" s="332"/>
      <c r="BU174" s="332"/>
      <c r="BV174" s="332"/>
      <c r="BW174" s="332"/>
      <c r="BX174" s="332"/>
      <c r="BY174" s="332"/>
      <c r="BZ174" s="332"/>
      <c r="CA174" s="332"/>
      <c r="CB174" s="332"/>
      <c r="CC174" s="332"/>
      <c r="CD174" s="332"/>
      <c r="CE174" s="332"/>
      <c r="CF174" s="332"/>
      <c r="CG174" s="332"/>
      <c r="CH174" s="332"/>
      <c r="CI174" s="332"/>
      <c r="CJ174" s="332"/>
      <c r="CK174" s="332"/>
      <c r="CL174" s="332"/>
      <c r="CM174" s="332"/>
      <c r="CN174" s="332"/>
      <c r="CO174" s="332"/>
      <c r="CP174" s="333" t="s">
        <v>27</v>
      </c>
      <c r="CQ174" s="333" t="s">
        <v>397</v>
      </c>
      <c r="CR174" s="334">
        <v>-0.83276800000000006</v>
      </c>
      <c r="CS174" s="334">
        <v>-0.83276800000000006</v>
      </c>
      <c r="CT174" s="334">
        <v>-0.83276800000000006</v>
      </c>
      <c r="CU174" s="334">
        <v>-0.83276800000000006</v>
      </c>
      <c r="CV174" s="334">
        <v>-0.83276800000000006</v>
      </c>
      <c r="CW174" s="334">
        <v>-0.83276800000000006</v>
      </c>
      <c r="CX174" s="334">
        <v>-0.83118200000000009</v>
      </c>
      <c r="CY174" s="334">
        <v>-0.82959600000000011</v>
      </c>
      <c r="CZ174" s="334">
        <v>-0.82801000000000013</v>
      </c>
      <c r="DA174" s="334">
        <v>-0.82642400000000016</v>
      </c>
      <c r="DB174" s="334">
        <v>-0.82483799999999996</v>
      </c>
      <c r="DC174" s="334">
        <v>-0.82584727272727299</v>
      </c>
      <c r="DD174" s="334">
        <v>-0.82505427272727294</v>
      </c>
      <c r="DE174" s="334">
        <v>-0.82426127272727312</v>
      </c>
      <c r="DF174" s="334">
        <v>-0.8234682727272733</v>
      </c>
      <c r="DG174" s="334">
        <v>-0.82267527272727325</v>
      </c>
      <c r="DH174" s="334">
        <v>-0.82188227272727299</v>
      </c>
      <c r="DI174" s="334">
        <v>-0.82108927272727317</v>
      </c>
      <c r="DJ174" s="334">
        <v>-0.8202962727272729</v>
      </c>
      <c r="DK174" s="334">
        <v>-0.8195032727272733</v>
      </c>
      <c r="DL174" s="334">
        <v>-0.81871027272727326</v>
      </c>
      <c r="DM174" s="334">
        <v>-0.81791727272727344</v>
      </c>
      <c r="DN174" s="334">
        <v>-0.81712427272727317</v>
      </c>
      <c r="DO174" s="334">
        <v>-0.81633127272727335</v>
      </c>
      <c r="DP174" s="334">
        <v>-0.81553827272727331</v>
      </c>
      <c r="DQ174" s="334">
        <v>-0.81474527272727371</v>
      </c>
      <c r="DR174" s="334">
        <v>-0.81395227272727322</v>
      </c>
      <c r="DS174" s="334">
        <v>-0.8131592727272734</v>
      </c>
      <c r="DT174" s="334">
        <v>-0.81236627272727313</v>
      </c>
      <c r="DU174" s="335">
        <v>-0.81157327272727375</v>
      </c>
      <c r="DV174" s="335">
        <v>-0.81078027272727327</v>
      </c>
      <c r="DW174" s="335">
        <v>-0.80998727272727367</v>
      </c>
      <c r="DX174" s="198">
        <v>-0.81078027272727327</v>
      </c>
      <c r="DY174" s="198">
        <v>-0.81078027272727327</v>
      </c>
      <c r="DZ174" s="198">
        <v>-0.81078027272727327</v>
      </c>
      <c r="EA174" s="198">
        <v>-7.9299999999959958E-4</v>
      </c>
      <c r="EB174" s="198">
        <v>-0.81078027272727327</v>
      </c>
      <c r="EC174" s="198">
        <v>-0.81078027272727327</v>
      </c>
      <c r="ED174" s="198">
        <v>-0.81078027272727327</v>
      </c>
      <c r="EE174" s="198">
        <v>-0.81078027272727327</v>
      </c>
      <c r="EF174" s="198">
        <v>-7.9299999999959958E-4</v>
      </c>
      <c r="EG174" s="198">
        <v>0</v>
      </c>
      <c r="EH174" s="198">
        <v>-0.75653450022403446</v>
      </c>
      <c r="EI174" s="336">
        <f t="shared" si="2"/>
        <v>-0.81315927272727362</v>
      </c>
      <c r="EJ174" s="336">
        <f>EI174-'[13]FAOSTAT21 CO2'!EH174</f>
        <v>-0.81315927272727362</v>
      </c>
    </row>
    <row r="175" spans="1:140" x14ac:dyDescent="0.25">
      <c r="A175" s="31">
        <v>8</v>
      </c>
      <c r="B175" s="31" t="s">
        <v>398</v>
      </c>
      <c r="C175" s="31">
        <v>180</v>
      </c>
      <c r="D175" s="31">
        <v>0</v>
      </c>
      <c r="E175" s="31">
        <v>0</v>
      </c>
      <c r="F175" s="31">
        <v>0</v>
      </c>
      <c r="G175" s="31">
        <v>0</v>
      </c>
      <c r="H175" s="331" t="s">
        <v>2475</v>
      </c>
      <c r="I175" s="331" t="s">
        <v>399</v>
      </c>
      <c r="J175" s="331"/>
      <c r="K175" s="331"/>
      <c r="L175" s="331"/>
      <c r="M175" s="331"/>
      <c r="N175" s="331"/>
      <c r="O175" s="331"/>
      <c r="P175" s="331"/>
      <c r="Q175" s="331"/>
      <c r="R175" s="331"/>
      <c r="S175" s="331"/>
      <c r="T175" s="331"/>
      <c r="U175" s="331"/>
      <c r="V175" s="331"/>
      <c r="W175" s="331"/>
      <c r="X175" s="331"/>
      <c r="Y175" s="331"/>
      <c r="Z175" s="331"/>
      <c r="AA175" s="331"/>
      <c r="AB175" s="331"/>
      <c r="AC175" s="331"/>
      <c r="AD175" s="331"/>
      <c r="AE175" s="331"/>
      <c r="AF175" s="331"/>
      <c r="AG175" s="331"/>
      <c r="AH175" s="331"/>
      <c r="AI175" s="331"/>
      <c r="AJ175" s="331"/>
      <c r="AK175" s="331"/>
      <c r="AL175" s="331"/>
      <c r="AM175" s="331"/>
      <c r="AN175" s="331"/>
      <c r="AO175" s="331"/>
      <c r="AP175" s="331"/>
      <c r="AQ175" s="331"/>
      <c r="AR175" s="331"/>
      <c r="AS175" s="331"/>
      <c r="AT175" s="331"/>
      <c r="AU175" s="331"/>
      <c r="AV175" s="331"/>
      <c r="AW175" s="331"/>
      <c r="AX175" s="331"/>
      <c r="AY175" s="332" t="s">
        <v>2476</v>
      </c>
      <c r="AZ175" s="332" t="s">
        <v>399</v>
      </c>
      <c r="BA175" s="332"/>
      <c r="BB175" s="332"/>
      <c r="BC175" s="332"/>
      <c r="BD175" s="332"/>
      <c r="BE175" s="332"/>
      <c r="BF175" s="332"/>
      <c r="BG175" s="332"/>
      <c r="BH175" s="332"/>
      <c r="BI175" s="332"/>
      <c r="BJ175" s="332"/>
      <c r="BK175" s="332"/>
      <c r="BL175" s="332"/>
      <c r="BM175" s="332"/>
      <c r="BN175" s="332"/>
      <c r="BO175" s="332"/>
      <c r="BP175" s="332"/>
      <c r="BQ175" s="332"/>
      <c r="BR175" s="332"/>
      <c r="BS175" s="332"/>
      <c r="BT175" s="332"/>
      <c r="BU175" s="332"/>
      <c r="BV175" s="332"/>
      <c r="BW175" s="332"/>
      <c r="BX175" s="332"/>
      <c r="BY175" s="332"/>
      <c r="BZ175" s="332"/>
      <c r="CA175" s="332"/>
      <c r="CB175" s="332"/>
      <c r="CC175" s="332"/>
      <c r="CD175" s="332"/>
      <c r="CE175" s="332"/>
      <c r="CF175" s="332"/>
      <c r="CG175" s="332"/>
      <c r="CH175" s="332"/>
      <c r="CI175" s="332"/>
      <c r="CJ175" s="332"/>
      <c r="CK175" s="332"/>
      <c r="CL175" s="332"/>
      <c r="CM175" s="332"/>
      <c r="CN175" s="332"/>
      <c r="CO175" s="332"/>
      <c r="CP175" s="333" t="s">
        <v>27</v>
      </c>
      <c r="CQ175" s="333" t="s">
        <v>399</v>
      </c>
      <c r="CR175" s="334">
        <v>0</v>
      </c>
      <c r="CS175" s="334">
        <v>0</v>
      </c>
      <c r="CT175" s="334">
        <v>0</v>
      </c>
      <c r="CU175" s="334">
        <v>0</v>
      </c>
      <c r="CV175" s="334">
        <v>0</v>
      </c>
      <c r="CW175" s="334">
        <v>0</v>
      </c>
      <c r="CX175" s="334">
        <v>0</v>
      </c>
      <c r="CY175" s="334">
        <v>0</v>
      </c>
      <c r="CZ175" s="334">
        <v>0</v>
      </c>
      <c r="DA175" s="334">
        <v>0</v>
      </c>
      <c r="DB175" s="334">
        <v>0</v>
      </c>
      <c r="DC175" s="334">
        <v>0</v>
      </c>
      <c r="DD175" s="334">
        <v>0</v>
      </c>
      <c r="DE175" s="334">
        <v>0</v>
      </c>
      <c r="DF175" s="334">
        <v>0</v>
      </c>
      <c r="DG175" s="334">
        <v>0</v>
      </c>
      <c r="DH175" s="334">
        <v>0</v>
      </c>
      <c r="DI175" s="334">
        <v>0</v>
      </c>
      <c r="DJ175" s="334">
        <v>0</v>
      </c>
      <c r="DK175" s="334">
        <v>0</v>
      </c>
      <c r="DL175" s="334">
        <v>0</v>
      </c>
      <c r="DM175" s="334">
        <v>0</v>
      </c>
      <c r="DN175" s="334">
        <v>0</v>
      </c>
      <c r="DO175" s="334">
        <v>0</v>
      </c>
      <c r="DP175" s="334">
        <v>0</v>
      </c>
      <c r="DQ175" s="334">
        <v>0</v>
      </c>
      <c r="DR175" s="334">
        <v>0</v>
      </c>
      <c r="DS175" s="334">
        <v>0</v>
      </c>
      <c r="DT175" s="334">
        <v>0</v>
      </c>
      <c r="DU175" s="335">
        <v>0</v>
      </c>
      <c r="DV175" s="335">
        <v>0</v>
      </c>
      <c r="DW175" s="335">
        <v>0</v>
      </c>
      <c r="DX175" s="198" t="s">
        <v>2477</v>
      </c>
      <c r="DY175" s="198" t="s">
        <v>2477</v>
      </c>
      <c r="DZ175" s="198" t="s">
        <v>2477</v>
      </c>
      <c r="EA175" s="198" t="s">
        <v>2477</v>
      </c>
      <c r="EB175" s="198" t="s">
        <v>2477</v>
      </c>
      <c r="EC175" s="198" t="s">
        <v>2477</v>
      </c>
      <c r="ED175" s="198" t="s">
        <v>2477</v>
      </c>
      <c r="EE175" s="198" t="s">
        <v>2477</v>
      </c>
      <c r="EF175" s="198" t="s">
        <v>2477</v>
      </c>
      <c r="EG175" s="198" t="s">
        <v>2477</v>
      </c>
      <c r="EH175" s="198"/>
      <c r="EI175" s="336">
        <f t="shared" si="2"/>
        <v>0</v>
      </c>
      <c r="EJ175" s="336">
        <f>EI175-'[13]FAOSTAT21 CO2'!EH175</f>
        <v>-3.3457435199999992</v>
      </c>
    </row>
    <row r="176" spans="1:140" x14ac:dyDescent="0.25">
      <c r="A176" s="31">
        <v>21</v>
      </c>
      <c r="B176" s="31" t="s">
        <v>400</v>
      </c>
      <c r="C176" s="31">
        <v>181</v>
      </c>
      <c r="D176" s="31">
        <v>0</v>
      </c>
      <c r="E176" s="31">
        <v>0</v>
      </c>
      <c r="F176" s="31">
        <v>0</v>
      </c>
      <c r="G176" s="31">
        <v>0</v>
      </c>
      <c r="H176" s="331" t="s">
        <v>2475</v>
      </c>
      <c r="I176" s="331" t="s">
        <v>401</v>
      </c>
      <c r="J176" s="331"/>
      <c r="K176" s="331"/>
      <c r="L176" s="331"/>
      <c r="M176" s="331"/>
      <c r="N176" s="331"/>
      <c r="O176" s="331"/>
      <c r="P176" s="331"/>
      <c r="Q176" s="331"/>
      <c r="R176" s="331"/>
      <c r="S176" s="331"/>
      <c r="T176" s="331"/>
      <c r="U176" s="331"/>
      <c r="V176" s="331"/>
      <c r="W176" s="331"/>
      <c r="X176" s="331"/>
      <c r="Y176" s="331"/>
      <c r="Z176" s="331"/>
      <c r="AA176" s="331"/>
      <c r="AB176" s="331"/>
      <c r="AC176" s="331"/>
      <c r="AD176" s="331"/>
      <c r="AE176" s="331"/>
      <c r="AF176" s="331"/>
      <c r="AG176" s="331"/>
      <c r="AH176" s="331"/>
      <c r="AI176" s="331"/>
      <c r="AJ176" s="331"/>
      <c r="AK176" s="331"/>
      <c r="AL176" s="331"/>
      <c r="AM176" s="331"/>
      <c r="AN176" s="331"/>
      <c r="AO176" s="331"/>
      <c r="AP176" s="331"/>
      <c r="AQ176" s="331"/>
      <c r="AR176" s="331"/>
      <c r="AS176" s="331"/>
      <c r="AT176" s="331"/>
      <c r="AU176" s="331"/>
      <c r="AV176" s="331"/>
      <c r="AW176" s="331"/>
      <c r="AX176" s="331"/>
      <c r="AY176" s="332" t="s">
        <v>2476</v>
      </c>
      <c r="AZ176" s="332" t="s">
        <v>401</v>
      </c>
      <c r="BA176" s="332"/>
      <c r="BB176" s="332"/>
      <c r="BC176" s="332"/>
      <c r="BD176" s="332"/>
      <c r="BE176" s="332"/>
      <c r="BF176" s="332"/>
      <c r="BG176" s="332"/>
      <c r="BH176" s="332"/>
      <c r="BI176" s="332"/>
      <c r="BJ176" s="332"/>
      <c r="BK176" s="332"/>
      <c r="BL176" s="332"/>
      <c r="BM176" s="332"/>
      <c r="BN176" s="332"/>
      <c r="BO176" s="332"/>
      <c r="BP176" s="332"/>
      <c r="BQ176" s="332"/>
      <c r="BR176" s="332"/>
      <c r="BS176" s="332"/>
      <c r="BT176" s="332"/>
      <c r="BU176" s="332"/>
      <c r="BV176" s="332"/>
      <c r="BW176" s="332"/>
      <c r="BX176" s="332"/>
      <c r="BY176" s="332"/>
      <c r="BZ176" s="332"/>
      <c r="CA176" s="332"/>
      <c r="CB176" s="332"/>
      <c r="CC176" s="332"/>
      <c r="CD176" s="332"/>
      <c r="CE176" s="332"/>
      <c r="CF176" s="332"/>
      <c r="CG176" s="332"/>
      <c r="CH176" s="332"/>
      <c r="CI176" s="332"/>
      <c r="CJ176" s="332"/>
      <c r="CK176" s="332"/>
      <c r="CL176" s="332"/>
      <c r="CM176" s="332"/>
      <c r="CN176" s="332"/>
      <c r="CO176" s="332"/>
      <c r="CP176" s="333" t="s">
        <v>27</v>
      </c>
      <c r="CQ176" s="333" t="s">
        <v>401</v>
      </c>
      <c r="CR176" s="334">
        <v>2.9911400000000001</v>
      </c>
      <c r="CS176" s="334">
        <v>2.9911400000000001</v>
      </c>
      <c r="CT176" s="334">
        <v>2.9911400000000001</v>
      </c>
      <c r="CU176" s="334">
        <v>2.9911400000000001</v>
      </c>
      <c r="CV176" s="334">
        <v>2.9911400000000001</v>
      </c>
      <c r="CW176" s="334">
        <v>2.8917783333333333</v>
      </c>
      <c r="CX176" s="334">
        <v>2.7924166666666665</v>
      </c>
      <c r="CY176" s="334">
        <v>2.6930549999999998</v>
      </c>
      <c r="CZ176" s="334">
        <v>2.593693333333333</v>
      </c>
      <c r="DA176" s="334">
        <v>2.4943316666666662</v>
      </c>
      <c r="DB176" s="334">
        <v>2.3949699999999998</v>
      </c>
      <c r="DC176" s="334">
        <v>2.2842909999999996</v>
      </c>
      <c r="DD176" s="334">
        <v>2.1736119999999994</v>
      </c>
      <c r="DE176" s="334">
        <v>2.0629329999999992</v>
      </c>
      <c r="DF176" s="334">
        <v>1.9522539999999993</v>
      </c>
      <c r="DG176" s="334">
        <v>1.8415749999999993</v>
      </c>
      <c r="DH176" s="334">
        <v>1.7308959999999993</v>
      </c>
      <c r="DI176" s="334">
        <v>1.6202169999999994</v>
      </c>
      <c r="DJ176" s="334">
        <v>1.5095379999999994</v>
      </c>
      <c r="DK176" s="334">
        <v>1.3988589999999994</v>
      </c>
      <c r="DL176" s="334">
        <v>1.2881799999999999</v>
      </c>
      <c r="DM176" s="334">
        <v>1.286125</v>
      </c>
      <c r="DN176" s="334">
        <v>1.28407</v>
      </c>
      <c r="DO176" s="334">
        <v>1.32281</v>
      </c>
      <c r="DP176" s="334">
        <v>1.36155</v>
      </c>
      <c r="DQ176" s="334">
        <v>1.3809899999999997</v>
      </c>
      <c r="DR176" s="334">
        <v>1.4004299999999996</v>
      </c>
      <c r="DS176" s="334">
        <v>0.75604999999999978</v>
      </c>
      <c r="DT176" s="334">
        <v>0.11166999999999999</v>
      </c>
      <c r="DU176" s="335">
        <v>0.66697518472906836</v>
      </c>
      <c r="DV176" s="335">
        <v>0.57906779474549808</v>
      </c>
      <c r="DW176" s="335">
        <v>0.49116040476189937</v>
      </c>
      <c r="DX176" s="198">
        <v>0.57906779474549808</v>
      </c>
      <c r="DY176" s="198">
        <v>0.57906779474549808</v>
      </c>
      <c r="DZ176" s="198">
        <v>0.57906779474549808</v>
      </c>
      <c r="EA176" s="198">
        <v>8.7907389983598705E-2</v>
      </c>
      <c r="EB176" s="198">
        <v>0.57906779474549808</v>
      </c>
      <c r="EC176" s="198">
        <v>0.57906779474549808</v>
      </c>
      <c r="ED176" s="198">
        <v>0.57906779474549808</v>
      </c>
      <c r="EE176" s="198">
        <v>0.57906779474549808</v>
      </c>
      <c r="EF176" s="198">
        <v>8.7907389983598705E-2</v>
      </c>
      <c r="EG176" s="198">
        <v>0</v>
      </c>
      <c r="EH176" s="198">
        <v>0.51445272772475159</v>
      </c>
      <c r="EI176" s="336">
        <f t="shared" si="2"/>
        <v>0.86322303694581348</v>
      </c>
      <c r="EJ176" s="336">
        <f>EI176-'[13]FAOSTAT21 CO2'!EH176</f>
        <v>0.84712397694581343</v>
      </c>
    </row>
    <row r="177" spans="1:140" x14ac:dyDescent="0.25">
      <c r="A177" s="31">
        <v>12</v>
      </c>
      <c r="B177" s="31" t="s">
        <v>402</v>
      </c>
      <c r="C177" s="31">
        <v>182</v>
      </c>
      <c r="D177" s="31">
        <v>1</v>
      </c>
      <c r="E177" s="31">
        <v>0</v>
      </c>
      <c r="F177" s="31">
        <v>1</v>
      </c>
      <c r="G177" s="31">
        <v>0</v>
      </c>
      <c r="H177" s="331" t="s">
        <v>2475</v>
      </c>
      <c r="I177" s="331" t="s">
        <v>403</v>
      </c>
      <c r="J177" s="331"/>
      <c r="K177" s="331"/>
      <c r="L177" s="331"/>
      <c r="M177" s="331"/>
      <c r="N177" s="331"/>
      <c r="O177" s="331"/>
      <c r="P177" s="331"/>
      <c r="Q177" s="331"/>
      <c r="R177" s="331"/>
      <c r="S177" s="331"/>
      <c r="T177" s="331"/>
      <c r="U177" s="331"/>
      <c r="V177" s="331"/>
      <c r="W177" s="331"/>
      <c r="X177" s="331"/>
      <c r="Y177" s="331"/>
      <c r="Z177" s="331"/>
      <c r="AA177" s="331"/>
      <c r="AB177" s="331"/>
      <c r="AC177" s="331"/>
      <c r="AD177" s="331"/>
      <c r="AE177" s="331"/>
      <c r="AF177" s="331"/>
      <c r="AG177" s="331"/>
      <c r="AH177" s="331"/>
      <c r="AI177" s="331"/>
      <c r="AJ177" s="331"/>
      <c r="AK177" s="331"/>
      <c r="AL177" s="331"/>
      <c r="AM177" s="331"/>
      <c r="AN177" s="331"/>
      <c r="AO177" s="331"/>
      <c r="AP177" s="331"/>
      <c r="AQ177" s="331"/>
      <c r="AR177" s="331"/>
      <c r="AS177" s="331"/>
      <c r="AT177" s="331"/>
      <c r="AU177" s="331"/>
      <c r="AV177" s="331"/>
      <c r="AW177" s="331"/>
      <c r="AX177" s="331"/>
      <c r="AY177" s="332" t="s">
        <v>2476</v>
      </c>
      <c r="AZ177" s="332" t="s">
        <v>403</v>
      </c>
      <c r="BA177" s="332"/>
      <c r="BB177" s="332"/>
      <c r="BC177" s="332"/>
      <c r="BD177" s="332"/>
      <c r="BE177" s="332"/>
      <c r="BF177" s="332"/>
      <c r="BG177" s="332"/>
      <c r="BH177" s="332"/>
      <c r="BI177" s="332"/>
      <c r="BJ177" s="332"/>
      <c r="BK177" s="332"/>
      <c r="BL177" s="332"/>
      <c r="BM177" s="332"/>
      <c r="BN177" s="332"/>
      <c r="BO177" s="332"/>
      <c r="BP177" s="332"/>
      <c r="BQ177" s="332"/>
      <c r="BR177" s="332"/>
      <c r="BS177" s="332"/>
      <c r="BT177" s="332"/>
      <c r="BU177" s="332"/>
      <c r="BV177" s="332"/>
      <c r="BW177" s="332"/>
      <c r="BX177" s="332"/>
      <c r="BY177" s="332"/>
      <c r="BZ177" s="332"/>
      <c r="CA177" s="332"/>
      <c r="CB177" s="332"/>
      <c r="CC177" s="332"/>
      <c r="CD177" s="332"/>
      <c r="CE177" s="332"/>
      <c r="CF177" s="332"/>
      <c r="CG177" s="332"/>
      <c r="CH177" s="332"/>
      <c r="CI177" s="332"/>
      <c r="CJ177" s="332"/>
      <c r="CK177" s="332"/>
      <c r="CL177" s="332"/>
      <c r="CM177" s="332"/>
      <c r="CN177" s="332"/>
      <c r="CO177" s="332"/>
      <c r="CP177" s="333" t="s">
        <v>27</v>
      </c>
      <c r="CQ177" s="333" t="s">
        <v>403</v>
      </c>
      <c r="CR177" s="334">
        <v>-9.3462651604631901</v>
      </c>
      <c r="CS177" s="334">
        <v>-10.174619346402245</v>
      </c>
      <c r="CT177" s="334">
        <v>-10.808475727391512</v>
      </c>
      <c r="CU177" s="334">
        <v>-10.599288040141543</v>
      </c>
      <c r="CV177" s="334">
        <v>-10.041035331557758</v>
      </c>
      <c r="CW177" s="334">
        <v>-9.4934981154719296</v>
      </c>
      <c r="CX177" s="334">
        <v>-9.4075094076277352</v>
      </c>
      <c r="CY177" s="334">
        <v>-9.199059087713584</v>
      </c>
      <c r="CZ177" s="334">
        <v>-10.268824748936655</v>
      </c>
      <c r="DA177" s="334">
        <v>-9.4288392142776392</v>
      </c>
      <c r="DB177" s="334">
        <v>-9.3999805369670124</v>
      </c>
      <c r="DC177" s="334">
        <v>-8.7172894470430364</v>
      </c>
      <c r="DD177" s="334">
        <v>-9.1961079740845797</v>
      </c>
      <c r="DE177" s="334">
        <v>-8.6260478910121936</v>
      </c>
      <c r="DF177" s="334">
        <v>-8.644361024030923</v>
      </c>
      <c r="DG177" s="334">
        <v>-4.7537229041621405</v>
      </c>
      <c r="DH177" s="334">
        <v>-7.8654411431001785</v>
      </c>
      <c r="DI177" s="334">
        <v>-7.3983465041624052</v>
      </c>
      <c r="DJ177" s="334">
        <v>-6.3024864501762243</v>
      </c>
      <c r="DK177" s="334">
        <v>-6.0758680071563838</v>
      </c>
      <c r="DL177" s="334">
        <v>-5.2151378097927292</v>
      </c>
      <c r="DM177" s="334">
        <v>-5.5660457963814096</v>
      </c>
      <c r="DN177" s="334">
        <v>-6.6639526747670113</v>
      </c>
      <c r="DO177" s="334">
        <v>-7.4340138655509147</v>
      </c>
      <c r="DP177" s="334">
        <v>-5.2357115613969363</v>
      </c>
      <c r="DQ177" s="334">
        <v>-5.7599974725810323</v>
      </c>
      <c r="DR177" s="334">
        <v>-5.8334233253407612</v>
      </c>
      <c r="DS177" s="334">
        <v>-5.729078464703842</v>
      </c>
      <c r="DT177" s="334">
        <v>-4.756000532693589</v>
      </c>
      <c r="DU177" s="335">
        <v>-5.5192673551116433</v>
      </c>
      <c r="DV177" s="335">
        <v>-7.6997680271585107</v>
      </c>
      <c r="DW177" s="335">
        <v>-7.6621684639264558</v>
      </c>
      <c r="DX177" s="198">
        <v>-7.6997680271585107</v>
      </c>
      <c r="DY177" s="198">
        <v>-7.6997680271585107</v>
      </c>
      <c r="DZ177" s="198">
        <v>-7.6997680271585107</v>
      </c>
      <c r="EA177" s="198">
        <v>-3.7599563232054933E-2</v>
      </c>
      <c r="EB177" s="198">
        <v>-7.6997680271585107</v>
      </c>
      <c r="EC177" s="198">
        <v>-7.6997680271585107</v>
      </c>
      <c r="ED177" s="198">
        <v>-7.6997680271585107</v>
      </c>
      <c r="EE177" s="198">
        <v>-7.6997680271585107</v>
      </c>
      <c r="EF177" s="198">
        <v>-3.7599563232054933E-2</v>
      </c>
      <c r="EG177" s="198">
        <v>0</v>
      </c>
      <c r="EH177" s="198">
        <v>-8.7396294956985479</v>
      </c>
      <c r="EI177" s="336">
        <f t="shared" si="2"/>
        <v>-5.5195534300861739</v>
      </c>
      <c r="EJ177" s="336">
        <f>EI177-'[13]FAOSTAT21 CO2'!EH177</f>
        <v>-3.1449847700861735</v>
      </c>
    </row>
    <row r="178" spans="1:140" x14ac:dyDescent="0.25">
      <c r="A178" s="31">
        <v>12</v>
      </c>
      <c r="B178" s="31" t="s">
        <v>404</v>
      </c>
      <c r="C178" s="31">
        <v>184</v>
      </c>
      <c r="D178" s="31">
        <v>1</v>
      </c>
      <c r="E178" s="31">
        <v>0</v>
      </c>
      <c r="F178" s="31">
        <v>1</v>
      </c>
      <c r="G178" s="31">
        <v>0</v>
      </c>
      <c r="H178" s="331" t="s">
        <v>2475</v>
      </c>
      <c r="I178" s="331" t="s">
        <v>405</v>
      </c>
      <c r="J178" s="331"/>
      <c r="K178" s="331"/>
      <c r="L178" s="331"/>
      <c r="M178" s="331"/>
      <c r="N178" s="331"/>
      <c r="O178" s="331"/>
      <c r="P178" s="331"/>
      <c r="Q178" s="331"/>
      <c r="R178" s="331"/>
      <c r="S178" s="331"/>
      <c r="T178" s="331"/>
      <c r="U178" s="331"/>
      <c r="V178" s="331"/>
      <c r="W178" s="331"/>
      <c r="X178" s="331"/>
      <c r="Y178" s="331"/>
      <c r="Z178" s="331"/>
      <c r="AA178" s="331"/>
      <c r="AB178" s="331"/>
      <c r="AC178" s="331"/>
      <c r="AD178" s="331"/>
      <c r="AE178" s="331"/>
      <c r="AF178" s="331"/>
      <c r="AG178" s="331"/>
      <c r="AH178" s="331"/>
      <c r="AI178" s="331"/>
      <c r="AJ178" s="331"/>
      <c r="AK178" s="331"/>
      <c r="AL178" s="331"/>
      <c r="AM178" s="331"/>
      <c r="AN178" s="331"/>
      <c r="AO178" s="331"/>
      <c r="AP178" s="331"/>
      <c r="AQ178" s="331"/>
      <c r="AR178" s="331"/>
      <c r="AS178" s="331"/>
      <c r="AT178" s="331"/>
      <c r="AU178" s="331"/>
      <c r="AV178" s="331"/>
      <c r="AW178" s="331"/>
      <c r="AX178" s="331"/>
      <c r="AY178" s="332" t="s">
        <v>2476</v>
      </c>
      <c r="AZ178" s="332" t="s">
        <v>405</v>
      </c>
      <c r="BA178" s="332"/>
      <c r="BB178" s="332"/>
      <c r="BC178" s="332"/>
      <c r="BD178" s="332"/>
      <c r="BE178" s="332"/>
      <c r="BF178" s="332"/>
      <c r="BG178" s="332"/>
      <c r="BH178" s="332"/>
      <c r="BI178" s="332"/>
      <c r="BJ178" s="332"/>
      <c r="BK178" s="332"/>
      <c r="BL178" s="332"/>
      <c r="BM178" s="332"/>
      <c r="BN178" s="332"/>
      <c r="BO178" s="332"/>
      <c r="BP178" s="332"/>
      <c r="BQ178" s="332"/>
      <c r="BR178" s="332"/>
      <c r="BS178" s="332"/>
      <c r="BT178" s="332"/>
      <c r="BU178" s="332"/>
      <c r="BV178" s="332"/>
      <c r="BW178" s="332"/>
      <c r="BX178" s="332"/>
      <c r="BY178" s="332"/>
      <c r="BZ178" s="332"/>
      <c r="CA178" s="332"/>
      <c r="CB178" s="332"/>
      <c r="CC178" s="332"/>
      <c r="CD178" s="332"/>
      <c r="CE178" s="332"/>
      <c r="CF178" s="332"/>
      <c r="CG178" s="332"/>
      <c r="CH178" s="332"/>
      <c r="CI178" s="332"/>
      <c r="CJ178" s="332"/>
      <c r="CK178" s="332"/>
      <c r="CL178" s="332"/>
      <c r="CM178" s="332"/>
      <c r="CN178" s="332"/>
      <c r="CO178" s="332"/>
      <c r="CP178" s="333" t="s">
        <v>27</v>
      </c>
      <c r="CQ178" s="333" t="s">
        <v>405</v>
      </c>
      <c r="CR178" s="334">
        <v>-4.4072071443187575</v>
      </c>
      <c r="CS178" s="334">
        <v>-4.7601997247104375</v>
      </c>
      <c r="CT178" s="334">
        <v>-4.8762827714248562</v>
      </c>
      <c r="CU178" s="334">
        <v>-4.8763788344545924</v>
      </c>
      <c r="CV178" s="334">
        <v>-5.0628000595344558</v>
      </c>
      <c r="CW178" s="334">
        <v>-5.1485151987054945</v>
      </c>
      <c r="CX178" s="334">
        <v>-5.7216903596028086</v>
      </c>
      <c r="CY178" s="334">
        <v>-5.9331401136870019</v>
      </c>
      <c r="CZ178" s="334">
        <v>-6.0765708084379444</v>
      </c>
      <c r="DA178" s="334">
        <v>-6.1133797733413147</v>
      </c>
      <c r="DB178" s="334">
        <v>-6.2127271419771857</v>
      </c>
      <c r="DC178" s="334">
        <v>-6.2609384278112561</v>
      </c>
      <c r="DD178" s="334">
        <v>-7.3774055201379793</v>
      </c>
      <c r="DE178" s="334">
        <v>-7.0711587104128668</v>
      </c>
      <c r="DF178" s="334">
        <v>-7.1967285160538648</v>
      </c>
      <c r="DG178" s="334">
        <v>-7.2358504828810872</v>
      </c>
      <c r="DH178" s="334">
        <v>-7.2529674121227323</v>
      </c>
      <c r="DI178" s="334">
        <v>-7.5668037261644221</v>
      </c>
      <c r="DJ178" s="334">
        <v>-7.3153105486911079</v>
      </c>
      <c r="DK178" s="334">
        <v>-7.2493898898042586</v>
      </c>
      <c r="DL178" s="334">
        <v>-7.1767213443314342</v>
      </c>
      <c r="DM178" s="334">
        <v>-7.0773481657260966</v>
      </c>
      <c r="DN178" s="334">
        <v>-7.0162216442364445</v>
      </c>
      <c r="DO178" s="334">
        <v>-5.3163060758563008</v>
      </c>
      <c r="DP178" s="334">
        <v>0.70042653659128851</v>
      </c>
      <c r="DQ178" s="334">
        <v>0.80022045666031083</v>
      </c>
      <c r="DR178" s="334">
        <v>0.94880958065135446</v>
      </c>
      <c r="DS178" s="334">
        <v>0.94175757600162779</v>
      </c>
      <c r="DT178" s="334">
        <v>1.0387286671390941</v>
      </c>
      <c r="DU178" s="335">
        <v>-3.3521078591245419</v>
      </c>
      <c r="DV178" s="335">
        <v>-3.1498048902233622</v>
      </c>
      <c r="DW178" s="335">
        <v>-3.1126215491935603</v>
      </c>
      <c r="DX178" s="198">
        <v>-3.1498048902233622</v>
      </c>
      <c r="DY178" s="198">
        <v>-3.1498048902233622</v>
      </c>
      <c r="DZ178" s="198">
        <v>-3.1498048902233622</v>
      </c>
      <c r="EA178" s="198">
        <v>-3.718334102980192E-2</v>
      </c>
      <c r="EB178" s="198">
        <v>-3.1498048902233622</v>
      </c>
      <c r="EC178" s="198">
        <v>-3.1498048902233622</v>
      </c>
      <c r="ED178" s="198">
        <v>-3.1498048902233622</v>
      </c>
      <c r="EE178" s="198">
        <v>-3.1498048902233622</v>
      </c>
      <c r="EF178" s="198">
        <v>-3.718334102980192E-2</v>
      </c>
      <c r="EG178" s="198">
        <v>0</v>
      </c>
      <c r="EH178" s="198">
        <v>-3.5751892300124899</v>
      </c>
      <c r="EI178" s="336">
        <f t="shared" si="2"/>
        <v>7.5481684265569005E-2</v>
      </c>
      <c r="EJ178" s="336">
        <f>EI178-'[13]FAOSTAT21 CO2'!EH178</f>
        <v>0.32532522426556892</v>
      </c>
    </row>
    <row r="179" spans="1:140" x14ac:dyDescent="0.25">
      <c r="A179" s="31">
        <v>24</v>
      </c>
      <c r="B179" s="31" t="s">
        <v>406</v>
      </c>
      <c r="C179" s="31">
        <v>24</v>
      </c>
      <c r="D179" s="31">
        <v>0</v>
      </c>
      <c r="E179" s="31">
        <v>0</v>
      </c>
      <c r="F179" s="31">
        <v>0</v>
      </c>
      <c r="G179" s="31">
        <v>0</v>
      </c>
      <c r="H179" s="331" t="s">
        <v>2475</v>
      </c>
      <c r="I179" s="331" t="s">
        <v>407</v>
      </c>
      <c r="J179" s="331"/>
      <c r="K179" s="331"/>
      <c r="L179" s="331"/>
      <c r="M179" s="331"/>
      <c r="N179" s="331"/>
      <c r="O179" s="331"/>
      <c r="P179" s="331"/>
      <c r="Q179" s="331"/>
      <c r="R179" s="331"/>
      <c r="S179" s="331"/>
      <c r="T179" s="331"/>
      <c r="U179" s="331"/>
      <c r="V179" s="331"/>
      <c r="W179" s="331"/>
      <c r="X179" s="331"/>
      <c r="Y179" s="331"/>
      <c r="Z179" s="331"/>
      <c r="AA179" s="331"/>
      <c r="AB179" s="331"/>
      <c r="AC179" s="331"/>
      <c r="AD179" s="331"/>
      <c r="AE179" s="331"/>
      <c r="AF179" s="331"/>
      <c r="AG179" s="331"/>
      <c r="AH179" s="331"/>
      <c r="AI179" s="331"/>
      <c r="AJ179" s="331"/>
      <c r="AK179" s="331"/>
      <c r="AL179" s="331"/>
      <c r="AM179" s="331"/>
      <c r="AN179" s="331"/>
      <c r="AO179" s="331"/>
      <c r="AP179" s="331"/>
      <c r="AQ179" s="331"/>
      <c r="AR179" s="331"/>
      <c r="AS179" s="331"/>
      <c r="AT179" s="331"/>
      <c r="AU179" s="331"/>
      <c r="AV179" s="331"/>
      <c r="AW179" s="331"/>
      <c r="AX179" s="331"/>
      <c r="AY179" s="332" t="s">
        <v>2476</v>
      </c>
      <c r="AZ179" s="332" t="s">
        <v>407</v>
      </c>
      <c r="BA179" s="332"/>
      <c r="BB179" s="332"/>
      <c r="BC179" s="332"/>
      <c r="BD179" s="332"/>
      <c r="BE179" s="332"/>
      <c r="BF179" s="332"/>
      <c r="BG179" s="332"/>
      <c r="BH179" s="332"/>
      <c r="BI179" s="332"/>
      <c r="BJ179" s="332"/>
      <c r="BK179" s="332"/>
      <c r="BL179" s="332"/>
      <c r="BM179" s="332"/>
      <c r="BN179" s="332"/>
      <c r="BO179" s="332"/>
      <c r="BP179" s="332"/>
      <c r="BQ179" s="332"/>
      <c r="BR179" s="332"/>
      <c r="BS179" s="332"/>
      <c r="BT179" s="332"/>
      <c r="BU179" s="332"/>
      <c r="BV179" s="332"/>
      <c r="BW179" s="332"/>
      <c r="BX179" s="332"/>
      <c r="BY179" s="332"/>
      <c r="BZ179" s="332"/>
      <c r="CA179" s="332"/>
      <c r="CB179" s="332"/>
      <c r="CC179" s="332"/>
      <c r="CD179" s="332"/>
      <c r="CE179" s="332"/>
      <c r="CF179" s="332"/>
      <c r="CG179" s="332"/>
      <c r="CH179" s="332"/>
      <c r="CI179" s="332"/>
      <c r="CJ179" s="332"/>
      <c r="CK179" s="332"/>
      <c r="CL179" s="332"/>
      <c r="CM179" s="332"/>
      <c r="CN179" s="332"/>
      <c r="CO179" s="332"/>
      <c r="CP179" s="333" t="s">
        <v>27</v>
      </c>
      <c r="CQ179" s="333" t="s">
        <v>407</v>
      </c>
      <c r="CR179" s="339">
        <v>0</v>
      </c>
      <c r="CS179" s="339">
        <v>0</v>
      </c>
      <c r="CT179" s="339">
        <v>0</v>
      </c>
      <c r="CU179" s="339">
        <v>0</v>
      </c>
      <c r="CV179" s="339">
        <v>0</v>
      </c>
      <c r="CW179" s="339">
        <v>0</v>
      </c>
      <c r="CX179" s="339">
        <v>0</v>
      </c>
      <c r="CY179" s="339">
        <v>0</v>
      </c>
      <c r="CZ179" s="339">
        <v>0</v>
      </c>
      <c r="DA179" s="339">
        <v>0</v>
      </c>
      <c r="DB179" s="339">
        <v>0</v>
      </c>
      <c r="DC179" s="339">
        <v>0</v>
      </c>
      <c r="DD179" s="339">
        <v>0</v>
      </c>
      <c r="DE179" s="339">
        <v>0</v>
      </c>
      <c r="DF179" s="339">
        <v>0</v>
      </c>
      <c r="DG179" s="339">
        <v>0</v>
      </c>
      <c r="DH179" s="339">
        <v>0</v>
      </c>
      <c r="DI179" s="339">
        <v>0</v>
      </c>
      <c r="DJ179" s="339">
        <v>0</v>
      </c>
      <c r="DK179" s="339">
        <v>0</v>
      </c>
      <c r="DL179" s="339">
        <v>0</v>
      </c>
      <c r="DM179" s="339">
        <v>0</v>
      </c>
      <c r="DN179" s="339">
        <v>0</v>
      </c>
      <c r="DO179" s="339">
        <v>0</v>
      </c>
      <c r="DP179" s="339">
        <v>0</v>
      </c>
      <c r="DQ179" s="339">
        <v>0</v>
      </c>
      <c r="DR179" s="339">
        <v>0</v>
      </c>
      <c r="DS179" s="339">
        <v>0</v>
      </c>
      <c r="DT179" s="339">
        <v>0</v>
      </c>
      <c r="DU179" s="340">
        <v>0</v>
      </c>
      <c r="DV179" s="340">
        <v>0</v>
      </c>
      <c r="DW179" s="340">
        <v>0</v>
      </c>
      <c r="DX179" s="198" t="s">
        <v>2477</v>
      </c>
      <c r="DY179" s="198" t="s">
        <v>2477</v>
      </c>
      <c r="DZ179" s="198" t="s">
        <v>2477</v>
      </c>
      <c r="EA179" s="198" t="s">
        <v>2477</v>
      </c>
      <c r="EB179" s="198" t="s">
        <v>2477</v>
      </c>
      <c r="EC179" s="198" t="s">
        <v>2477</v>
      </c>
      <c r="ED179" s="198" t="s">
        <v>2477</v>
      </c>
      <c r="EE179" s="198" t="s">
        <v>2477</v>
      </c>
      <c r="EF179" s="198" t="s">
        <v>2477</v>
      </c>
      <c r="EG179" s="198" t="s">
        <v>2477</v>
      </c>
      <c r="EH179" s="198"/>
      <c r="EI179" s="336">
        <f t="shared" si="2"/>
        <v>0</v>
      </c>
      <c r="EJ179" s="336">
        <f>EI179-'[13]FAOSTAT21 CO2'!EH179</f>
        <v>-32.763690939999996</v>
      </c>
    </row>
    <row r="180" spans="1:140" x14ac:dyDescent="0.25">
      <c r="A180" s="31">
        <v>9</v>
      </c>
      <c r="B180" s="31" t="s">
        <v>408</v>
      </c>
      <c r="C180" s="31">
        <v>185</v>
      </c>
      <c r="D180" s="31">
        <v>0</v>
      </c>
      <c r="E180" s="31">
        <v>0</v>
      </c>
      <c r="F180" s="31">
        <v>0</v>
      </c>
      <c r="G180" s="31">
        <v>0</v>
      </c>
      <c r="H180" s="331" t="s">
        <v>2475</v>
      </c>
      <c r="I180" s="331" t="s">
        <v>409</v>
      </c>
      <c r="J180" s="331"/>
      <c r="K180" s="331"/>
      <c r="L180" s="331"/>
      <c r="M180" s="331"/>
      <c r="N180" s="331"/>
      <c r="O180" s="331"/>
      <c r="P180" s="331"/>
      <c r="Q180" s="331"/>
      <c r="R180" s="331"/>
      <c r="S180" s="331"/>
      <c r="T180" s="331"/>
      <c r="U180" s="331"/>
      <c r="V180" s="331"/>
      <c r="W180" s="331"/>
      <c r="X180" s="331"/>
      <c r="Y180" s="331"/>
      <c r="Z180" s="331"/>
      <c r="AA180" s="331"/>
      <c r="AB180" s="331"/>
      <c r="AC180" s="331"/>
      <c r="AD180" s="331"/>
      <c r="AE180" s="331"/>
      <c r="AF180" s="331"/>
      <c r="AG180" s="331"/>
      <c r="AH180" s="331"/>
      <c r="AI180" s="331"/>
      <c r="AJ180" s="331"/>
      <c r="AK180" s="331"/>
      <c r="AL180" s="331"/>
      <c r="AM180" s="331"/>
      <c r="AN180" s="331"/>
      <c r="AO180" s="331"/>
      <c r="AP180" s="331"/>
      <c r="AQ180" s="331"/>
      <c r="AR180" s="331"/>
      <c r="AS180" s="331"/>
      <c r="AT180" s="331"/>
      <c r="AU180" s="331"/>
      <c r="AV180" s="331"/>
      <c r="AW180" s="331"/>
      <c r="AX180" s="331"/>
      <c r="AY180" s="332" t="s">
        <v>2476</v>
      </c>
      <c r="AZ180" s="332" t="s">
        <v>409</v>
      </c>
      <c r="BA180" s="332"/>
      <c r="BB180" s="332"/>
      <c r="BC180" s="332"/>
      <c r="BD180" s="332"/>
      <c r="BE180" s="332"/>
      <c r="BF180" s="332"/>
      <c r="BG180" s="332"/>
      <c r="BH180" s="332"/>
      <c r="BI180" s="332"/>
      <c r="BJ180" s="332"/>
      <c r="BK180" s="332"/>
      <c r="BL180" s="332"/>
      <c r="BM180" s="332"/>
      <c r="BN180" s="332"/>
      <c r="BO180" s="332"/>
      <c r="BP180" s="332"/>
      <c r="BQ180" s="332"/>
      <c r="BR180" s="332"/>
      <c r="BS180" s="332"/>
      <c r="BT180" s="332"/>
      <c r="BU180" s="332"/>
      <c r="BV180" s="332"/>
      <c r="BW180" s="332"/>
      <c r="BX180" s="332"/>
      <c r="BY180" s="332"/>
      <c r="BZ180" s="332"/>
      <c r="CA180" s="332"/>
      <c r="CB180" s="332"/>
      <c r="CC180" s="332"/>
      <c r="CD180" s="332"/>
      <c r="CE180" s="332"/>
      <c r="CF180" s="332"/>
      <c r="CG180" s="332"/>
      <c r="CH180" s="332"/>
      <c r="CI180" s="332"/>
      <c r="CJ180" s="332"/>
      <c r="CK180" s="332"/>
      <c r="CL180" s="332"/>
      <c r="CM180" s="332"/>
      <c r="CN180" s="332"/>
      <c r="CO180" s="332"/>
      <c r="CP180" s="333" t="s">
        <v>27</v>
      </c>
      <c r="CQ180" s="333" t="s">
        <v>409</v>
      </c>
      <c r="CR180" s="334">
        <v>17.350000000000001</v>
      </c>
      <c r="CS180" s="334">
        <v>17.350000000000001</v>
      </c>
      <c r="CT180" s="334">
        <v>17.350000000000001</v>
      </c>
      <c r="CU180" s="334">
        <v>17.350000000000001</v>
      </c>
      <c r="CV180" s="334">
        <v>17.350000000000001</v>
      </c>
      <c r="CW180" s="334">
        <v>17.350000000000001</v>
      </c>
      <c r="CX180" s="334">
        <v>17.350000000000001</v>
      </c>
      <c r="CY180" s="334">
        <v>17.350000000000001</v>
      </c>
      <c r="CZ180" s="334">
        <v>17.350000000000001</v>
      </c>
      <c r="DA180" s="334">
        <v>17.350000000000001</v>
      </c>
      <c r="DB180" s="334">
        <v>17.350000000000001</v>
      </c>
      <c r="DC180" s="334">
        <v>17.350000000000001</v>
      </c>
      <c r="DD180" s="334">
        <v>17.350000000000001</v>
      </c>
      <c r="DE180" s="334">
        <v>17.350000000000001</v>
      </c>
      <c r="DF180" s="334">
        <v>17.350000000000001</v>
      </c>
      <c r="DG180" s="334">
        <v>17.350000000000001</v>
      </c>
      <c r="DH180" s="334">
        <v>17.350000000000001</v>
      </c>
      <c r="DI180" s="334">
        <v>17.350000000000001</v>
      </c>
      <c r="DJ180" s="334">
        <v>17.350000000000001</v>
      </c>
      <c r="DK180" s="334">
        <v>17.350000000000001</v>
      </c>
      <c r="DL180" s="334">
        <v>17.350000000000001</v>
      </c>
      <c r="DM180" s="334">
        <v>17.350000000000001</v>
      </c>
      <c r="DN180" s="334">
        <v>17.350000000000001</v>
      </c>
      <c r="DO180" s="334">
        <v>17.350000000000001</v>
      </c>
      <c r="DP180" s="334">
        <v>17.350000000000001</v>
      </c>
      <c r="DQ180" s="334">
        <v>17.350000000000001</v>
      </c>
      <c r="DR180" s="334">
        <v>17.350000000000001</v>
      </c>
      <c r="DS180" s="334">
        <v>17.350000000000001</v>
      </c>
      <c r="DT180" s="334">
        <v>17.350000000000001</v>
      </c>
      <c r="DU180" s="335">
        <v>17.350000000000001</v>
      </c>
      <c r="DV180" s="335">
        <v>17.350000000000001</v>
      </c>
      <c r="DW180" s="335">
        <v>17.350000000000009</v>
      </c>
      <c r="DX180" s="198">
        <v>17.350000000000001</v>
      </c>
      <c r="DY180" s="198">
        <v>17.350000000000001</v>
      </c>
      <c r="DZ180" s="198">
        <v>17.350000000000001</v>
      </c>
      <c r="EA180" s="198">
        <v>0</v>
      </c>
      <c r="EB180" s="198">
        <v>17.350000000000001</v>
      </c>
      <c r="EC180" s="198">
        <v>17.350000000000001</v>
      </c>
      <c r="ED180" s="198">
        <v>17.350000000000001</v>
      </c>
      <c r="EE180" s="198">
        <v>17.350000000000001</v>
      </c>
      <c r="EF180" s="198">
        <v>0</v>
      </c>
      <c r="EG180" s="198">
        <v>0</v>
      </c>
      <c r="EH180" s="198">
        <v>12.184963938624623</v>
      </c>
      <c r="EI180" s="336">
        <f t="shared" si="2"/>
        <v>17.350000000000001</v>
      </c>
      <c r="EJ180" s="336">
        <f>EI180-'[13]FAOSTAT21 CO2'!EH180</f>
        <v>-2.1516999999988684E-3</v>
      </c>
    </row>
    <row r="181" spans="1:140" x14ac:dyDescent="0.25">
      <c r="A181" s="31">
        <v>10</v>
      </c>
      <c r="B181" s="31" t="s">
        <v>410</v>
      </c>
      <c r="C181" s="31">
        <v>186</v>
      </c>
      <c r="D181" s="31">
        <v>0</v>
      </c>
      <c r="E181" s="31">
        <v>1</v>
      </c>
      <c r="F181" s="31">
        <v>0</v>
      </c>
      <c r="G181" s="31">
        <v>1</v>
      </c>
      <c r="H181" s="331" t="s">
        <v>2475</v>
      </c>
      <c r="I181" s="331" t="s">
        <v>411</v>
      </c>
      <c r="J181" s="331"/>
      <c r="K181" s="331"/>
      <c r="L181" s="331"/>
      <c r="M181" s="331"/>
      <c r="N181" s="331"/>
      <c r="O181" s="331"/>
      <c r="P181" s="331"/>
      <c r="Q181" s="331"/>
      <c r="R181" s="331"/>
      <c r="S181" s="331"/>
      <c r="T181" s="331"/>
      <c r="U181" s="331"/>
      <c r="V181" s="331"/>
      <c r="W181" s="331"/>
      <c r="X181" s="331"/>
      <c r="Y181" s="331"/>
      <c r="Z181" s="331"/>
      <c r="AA181" s="331"/>
      <c r="AB181" s="331"/>
      <c r="AC181" s="331"/>
      <c r="AD181" s="331"/>
      <c r="AE181" s="331"/>
      <c r="AF181" s="331"/>
      <c r="AG181" s="331"/>
      <c r="AH181" s="331"/>
      <c r="AI181" s="331"/>
      <c r="AJ181" s="331"/>
      <c r="AK181" s="331"/>
      <c r="AL181" s="331"/>
      <c r="AM181" s="331"/>
      <c r="AN181" s="331"/>
      <c r="AO181" s="331"/>
      <c r="AP181" s="331"/>
      <c r="AQ181" s="331"/>
      <c r="AR181" s="331"/>
      <c r="AS181" s="331"/>
      <c r="AT181" s="331"/>
      <c r="AU181" s="331"/>
      <c r="AV181" s="331"/>
      <c r="AW181" s="331"/>
      <c r="AX181" s="331"/>
      <c r="AY181" s="332" t="s">
        <v>2476</v>
      </c>
      <c r="AZ181" s="332" t="s">
        <v>411</v>
      </c>
      <c r="BA181" s="332"/>
      <c r="BB181" s="332"/>
      <c r="BC181" s="332"/>
      <c r="BD181" s="332"/>
      <c r="BE181" s="332"/>
      <c r="BF181" s="332"/>
      <c r="BG181" s="332"/>
      <c r="BH181" s="332"/>
      <c r="BI181" s="332"/>
      <c r="BJ181" s="332"/>
      <c r="BK181" s="332"/>
      <c r="BL181" s="332"/>
      <c r="BM181" s="332"/>
      <c r="BN181" s="332"/>
      <c r="BO181" s="332"/>
      <c r="BP181" s="332"/>
      <c r="BQ181" s="332"/>
      <c r="BR181" s="332"/>
      <c r="BS181" s="332"/>
      <c r="BT181" s="332"/>
      <c r="BU181" s="332"/>
      <c r="BV181" s="332"/>
      <c r="BW181" s="332"/>
      <c r="BX181" s="332"/>
      <c r="BY181" s="332"/>
      <c r="BZ181" s="332"/>
      <c r="CA181" s="332"/>
      <c r="CB181" s="332"/>
      <c r="CC181" s="332"/>
      <c r="CD181" s="332"/>
      <c r="CE181" s="332"/>
      <c r="CF181" s="332"/>
      <c r="CG181" s="332"/>
      <c r="CH181" s="332"/>
      <c r="CI181" s="332"/>
      <c r="CJ181" s="332"/>
      <c r="CK181" s="332"/>
      <c r="CL181" s="332"/>
      <c r="CM181" s="332"/>
      <c r="CN181" s="332"/>
      <c r="CO181" s="332"/>
      <c r="CP181" s="333" t="s">
        <v>27</v>
      </c>
      <c r="CQ181" s="333" t="s">
        <v>411</v>
      </c>
      <c r="CR181" s="334">
        <v>-19.095299999999998</v>
      </c>
      <c r="CS181" s="334">
        <v>-19.095299999999998</v>
      </c>
      <c r="CT181" s="334">
        <v>-19.095299999999998</v>
      </c>
      <c r="CU181" s="334">
        <v>-19.095299999999998</v>
      </c>
      <c r="CV181" s="334">
        <v>-19.095299999999998</v>
      </c>
      <c r="CW181" s="334">
        <v>-19.095299999999998</v>
      </c>
      <c r="CX181" s="334">
        <v>-19.095299999999998</v>
      </c>
      <c r="CY181" s="334">
        <v>-19.095299999999998</v>
      </c>
      <c r="CZ181" s="334">
        <v>-19.095299999999998</v>
      </c>
      <c r="DA181" s="334">
        <v>-19.095299999999998</v>
      </c>
      <c r="DB181" s="334">
        <v>-19.095299999999998</v>
      </c>
      <c r="DC181" s="334">
        <v>-10.092800000000002</v>
      </c>
      <c r="DD181" s="334">
        <v>-7.8257000000000048</v>
      </c>
      <c r="DE181" s="334">
        <v>-16.904200000000003</v>
      </c>
      <c r="DF181" s="334">
        <v>-7.4721000000000055</v>
      </c>
      <c r="DG181" s="334">
        <v>9.9004000000000012</v>
      </c>
      <c r="DH181" s="334">
        <v>7.4696999999999969</v>
      </c>
      <c r="DI181" s="334">
        <v>3.5964999999999998</v>
      </c>
      <c r="DJ181" s="334">
        <v>14.593799999999996</v>
      </c>
      <c r="DK181" s="334">
        <v>-5.7891999999999975</v>
      </c>
      <c r="DL181" s="334">
        <v>0.79159999999999853</v>
      </c>
      <c r="DM181" s="334">
        <v>-6.1661999999999972</v>
      </c>
      <c r="DN181" s="334">
        <v>-6.306</v>
      </c>
      <c r="DO181" s="334">
        <v>-15.380600000000003</v>
      </c>
      <c r="DP181" s="334">
        <v>-10.167</v>
      </c>
      <c r="DQ181" s="334">
        <v>-19.494399999999999</v>
      </c>
      <c r="DR181" s="334">
        <v>-33.2971</v>
      </c>
      <c r="DS181" s="334">
        <v>-18.582999999999998</v>
      </c>
      <c r="DT181" s="334">
        <v>-16.595700000000001</v>
      </c>
      <c r="DU181" s="335">
        <v>-21.6553</v>
      </c>
      <c r="DV181" s="335">
        <v>-26.686599999999999</v>
      </c>
      <c r="DW181" s="335">
        <v>-11.192363225806446</v>
      </c>
      <c r="DX181" s="198">
        <v>-26.686599999999999</v>
      </c>
      <c r="DY181" s="198">
        <v>-26.686599999999999</v>
      </c>
      <c r="DZ181" s="198">
        <v>-26.686599999999999</v>
      </c>
      <c r="EA181" s="198">
        <v>-15.494236774193553</v>
      </c>
      <c r="EB181" s="198">
        <v>-26.686599999999999</v>
      </c>
      <c r="EC181" s="198">
        <v>-26.686599999999999</v>
      </c>
      <c r="ED181" s="198">
        <v>-26.686599999999999</v>
      </c>
      <c r="EE181" s="198">
        <v>-26.686599999999999</v>
      </c>
      <c r="EF181" s="198">
        <v>-15.494236774193553</v>
      </c>
      <c r="EG181" s="198">
        <v>0</v>
      </c>
      <c r="EH181" s="198">
        <v>-42.486194521586</v>
      </c>
      <c r="EI181" s="336">
        <f t="shared" si="2"/>
        <v>-21.9251</v>
      </c>
      <c r="EJ181" s="336">
        <f>EI181-'[13]FAOSTAT21 CO2'!EH181</f>
        <v>-28.425487180000001</v>
      </c>
    </row>
    <row r="182" spans="1:140" x14ac:dyDescent="0.25">
      <c r="A182" s="31">
        <v>11</v>
      </c>
      <c r="B182" s="31" t="s">
        <v>412</v>
      </c>
      <c r="C182" s="31">
        <v>188</v>
      </c>
      <c r="D182" s="31">
        <v>1</v>
      </c>
      <c r="E182" s="31">
        <v>0</v>
      </c>
      <c r="F182" s="31">
        <v>1</v>
      </c>
      <c r="G182" s="31">
        <v>0</v>
      </c>
      <c r="H182" s="331" t="s">
        <v>2475</v>
      </c>
      <c r="I182" s="331" t="s">
        <v>413</v>
      </c>
      <c r="J182" s="331"/>
      <c r="K182" s="331"/>
      <c r="L182" s="331"/>
      <c r="M182" s="331"/>
      <c r="N182" s="331"/>
      <c r="O182" s="331"/>
      <c r="P182" s="331"/>
      <c r="Q182" s="331"/>
      <c r="R182" s="331"/>
      <c r="S182" s="331"/>
      <c r="T182" s="331"/>
      <c r="U182" s="331"/>
      <c r="V182" s="331"/>
      <c r="W182" s="331"/>
      <c r="X182" s="331"/>
      <c r="Y182" s="331"/>
      <c r="Z182" s="331"/>
      <c r="AA182" s="331"/>
      <c r="AB182" s="331"/>
      <c r="AC182" s="331"/>
      <c r="AD182" s="331"/>
      <c r="AE182" s="331"/>
      <c r="AF182" s="331"/>
      <c r="AG182" s="331"/>
      <c r="AH182" s="331"/>
      <c r="AI182" s="331"/>
      <c r="AJ182" s="331"/>
      <c r="AK182" s="331"/>
      <c r="AL182" s="331"/>
      <c r="AM182" s="331"/>
      <c r="AN182" s="331"/>
      <c r="AO182" s="331"/>
      <c r="AP182" s="331"/>
      <c r="AQ182" s="331"/>
      <c r="AR182" s="331"/>
      <c r="AS182" s="331"/>
      <c r="AT182" s="331"/>
      <c r="AU182" s="331"/>
      <c r="AV182" s="331"/>
      <c r="AW182" s="331"/>
      <c r="AX182" s="331"/>
      <c r="AY182" s="332" t="s">
        <v>2476</v>
      </c>
      <c r="AZ182" s="332" t="s">
        <v>413</v>
      </c>
      <c r="BA182" s="332"/>
      <c r="BB182" s="332"/>
      <c r="BC182" s="332"/>
      <c r="BD182" s="332"/>
      <c r="BE182" s="332"/>
      <c r="BF182" s="332"/>
      <c r="BG182" s="332"/>
      <c r="BH182" s="332"/>
      <c r="BI182" s="332"/>
      <c r="BJ182" s="332"/>
      <c r="BK182" s="332"/>
      <c r="BL182" s="332"/>
      <c r="BM182" s="332"/>
      <c r="BN182" s="332"/>
      <c r="BO182" s="332"/>
      <c r="BP182" s="332"/>
      <c r="BQ182" s="332"/>
      <c r="BR182" s="332"/>
      <c r="BS182" s="332"/>
      <c r="BT182" s="332"/>
      <c r="BU182" s="332"/>
      <c r="BV182" s="332"/>
      <c r="BW182" s="332"/>
      <c r="BX182" s="332"/>
      <c r="BY182" s="332"/>
      <c r="BZ182" s="332"/>
      <c r="CA182" s="332"/>
      <c r="CB182" s="332"/>
      <c r="CC182" s="332"/>
      <c r="CD182" s="332"/>
      <c r="CE182" s="332"/>
      <c r="CF182" s="332"/>
      <c r="CG182" s="332"/>
      <c r="CH182" s="332"/>
      <c r="CI182" s="332"/>
      <c r="CJ182" s="332"/>
      <c r="CK182" s="332"/>
      <c r="CL182" s="332"/>
      <c r="CM182" s="332"/>
      <c r="CN182" s="332"/>
      <c r="CO182" s="332"/>
      <c r="CP182" s="333" t="s">
        <v>27</v>
      </c>
      <c r="CQ182" s="333" t="s">
        <v>413</v>
      </c>
      <c r="CR182" s="334">
        <v>-33.91593629811792</v>
      </c>
      <c r="CS182" s="334">
        <v>-34.09278491321799</v>
      </c>
      <c r="CT182" s="334">
        <v>-34.245099910230834</v>
      </c>
      <c r="CU182" s="334">
        <v>-35.410737355343898</v>
      </c>
      <c r="CV182" s="334">
        <v>-34.17274755806374</v>
      </c>
      <c r="CW182" s="334">
        <v>-36.454504247796066</v>
      </c>
      <c r="CX182" s="334">
        <v>-37.261011019255179</v>
      </c>
      <c r="CY182" s="334">
        <v>-37.203061590405575</v>
      </c>
      <c r="CZ182" s="334">
        <v>-37.885848122718038</v>
      </c>
      <c r="DA182" s="334">
        <v>-41.456456745049387</v>
      </c>
      <c r="DB182" s="334">
        <v>-43.416272340225028</v>
      </c>
      <c r="DC182" s="334">
        <v>-45.323963100336968</v>
      </c>
      <c r="DD182" s="334">
        <v>-44.365644060942884</v>
      </c>
      <c r="DE182" s="334">
        <v>-43.896868571046099</v>
      </c>
      <c r="DF182" s="334">
        <v>-44.650458716234077</v>
      </c>
      <c r="DG182" s="334">
        <v>-44.399610570344414</v>
      </c>
      <c r="DH182" s="334">
        <v>-46.778013067646803</v>
      </c>
      <c r="DI182" s="334">
        <v>-44.184589462012397</v>
      </c>
      <c r="DJ182" s="334">
        <v>-44.074831805338945</v>
      </c>
      <c r="DK182" s="334">
        <v>-41.672848760876207</v>
      </c>
      <c r="DL182" s="334">
        <v>-44.161248130801944</v>
      </c>
      <c r="DM182" s="334">
        <v>-43.576575992001189</v>
      </c>
      <c r="DN182" s="334">
        <v>-41.060518456896503</v>
      </c>
      <c r="DO182" s="334">
        <v>-40.276233930007571</v>
      </c>
      <c r="DP182" s="334">
        <v>-42.146829320926784</v>
      </c>
      <c r="DQ182" s="334">
        <v>-44.571442086844314</v>
      </c>
      <c r="DR182" s="334">
        <v>-44.800056163757517</v>
      </c>
      <c r="DS182" s="334">
        <v>-45.31826865729392</v>
      </c>
      <c r="DT182" s="334">
        <v>-46.150358088398924</v>
      </c>
      <c r="DU182" s="335">
        <v>-45.239679009694946</v>
      </c>
      <c r="DV182" s="335">
        <v>-44.104390343882066</v>
      </c>
      <c r="DW182" s="335">
        <v>-44.531231546360395</v>
      </c>
      <c r="DX182" s="198">
        <v>-44.104390343882066</v>
      </c>
      <c r="DY182" s="198">
        <v>-44.104390343882066</v>
      </c>
      <c r="DZ182" s="198">
        <v>-44.104390343882066</v>
      </c>
      <c r="EA182" s="198">
        <v>0.4268412024783288</v>
      </c>
      <c r="EB182" s="198">
        <v>-44.104390343882066</v>
      </c>
      <c r="EC182" s="198">
        <v>-44.104390343882066</v>
      </c>
      <c r="ED182" s="198">
        <v>-44.104390343882066</v>
      </c>
      <c r="EE182" s="198">
        <v>-44.104390343882066</v>
      </c>
      <c r="EF182" s="198">
        <v>0.4268412024783288</v>
      </c>
      <c r="EG182" s="198">
        <v>0</v>
      </c>
      <c r="EH182" s="198">
        <v>-49.007818909219715</v>
      </c>
      <c r="EI182" s="336">
        <f t="shared" si="2"/>
        <v>-45.215960801197923</v>
      </c>
      <c r="EJ182" s="336">
        <f>EI182-'[13]FAOSTAT21 CO2'!EH182</f>
        <v>-32.536284621197922</v>
      </c>
    </row>
    <row r="183" spans="1:140" x14ac:dyDescent="0.25">
      <c r="A183" s="31">
        <v>25</v>
      </c>
      <c r="B183" s="31" t="s">
        <v>414</v>
      </c>
      <c r="C183" s="31">
        <v>37</v>
      </c>
      <c r="D183" s="31">
        <v>0</v>
      </c>
      <c r="E183" s="31">
        <v>0</v>
      </c>
      <c r="F183" s="31">
        <v>0</v>
      </c>
      <c r="G183" s="31">
        <v>0</v>
      </c>
      <c r="H183" s="331" t="s">
        <v>2475</v>
      </c>
      <c r="I183" s="331" t="s">
        <v>415</v>
      </c>
      <c r="J183" s="331"/>
      <c r="K183" s="331"/>
      <c r="L183" s="331"/>
      <c r="M183" s="331"/>
      <c r="N183" s="331"/>
      <c r="O183" s="331"/>
      <c r="P183" s="331"/>
      <c r="Q183" s="331"/>
      <c r="R183" s="331"/>
      <c r="S183" s="331"/>
      <c r="T183" s="331"/>
      <c r="U183" s="331"/>
      <c r="V183" s="331"/>
      <c r="W183" s="331"/>
      <c r="X183" s="331"/>
      <c r="Y183" s="331"/>
      <c r="Z183" s="331"/>
      <c r="AA183" s="331"/>
      <c r="AB183" s="331"/>
      <c r="AC183" s="331"/>
      <c r="AD183" s="331"/>
      <c r="AE183" s="331"/>
      <c r="AF183" s="331"/>
      <c r="AG183" s="331"/>
      <c r="AH183" s="331"/>
      <c r="AI183" s="331"/>
      <c r="AJ183" s="331"/>
      <c r="AK183" s="331"/>
      <c r="AL183" s="331"/>
      <c r="AM183" s="331"/>
      <c r="AN183" s="331"/>
      <c r="AO183" s="331"/>
      <c r="AP183" s="331"/>
      <c r="AQ183" s="331"/>
      <c r="AR183" s="331"/>
      <c r="AS183" s="331"/>
      <c r="AT183" s="331"/>
      <c r="AU183" s="331"/>
      <c r="AV183" s="331"/>
      <c r="AW183" s="331"/>
      <c r="AX183" s="331"/>
      <c r="AY183" s="332" t="s">
        <v>2476</v>
      </c>
      <c r="AZ183" s="332" t="s">
        <v>415</v>
      </c>
      <c r="BA183" s="332"/>
      <c r="BB183" s="332"/>
      <c r="BC183" s="332"/>
      <c r="BD183" s="332"/>
      <c r="BE183" s="332"/>
      <c r="BF183" s="332"/>
      <c r="BG183" s="332"/>
      <c r="BH183" s="332"/>
      <c r="BI183" s="332"/>
      <c r="BJ183" s="332"/>
      <c r="BK183" s="332"/>
      <c r="BL183" s="332"/>
      <c r="BM183" s="332"/>
      <c r="BN183" s="332"/>
      <c r="BO183" s="332"/>
      <c r="BP183" s="332"/>
      <c r="BQ183" s="332"/>
      <c r="BR183" s="332"/>
      <c r="BS183" s="332"/>
      <c r="BT183" s="332"/>
      <c r="BU183" s="332"/>
      <c r="BV183" s="332"/>
      <c r="BW183" s="332"/>
      <c r="BX183" s="332"/>
      <c r="BY183" s="332"/>
      <c r="BZ183" s="332"/>
      <c r="CA183" s="332"/>
      <c r="CB183" s="332"/>
      <c r="CC183" s="332"/>
      <c r="CD183" s="332"/>
      <c r="CE183" s="332"/>
      <c r="CF183" s="332"/>
      <c r="CG183" s="332"/>
      <c r="CH183" s="332"/>
      <c r="CI183" s="332"/>
      <c r="CJ183" s="332"/>
      <c r="CK183" s="332"/>
      <c r="CL183" s="332"/>
      <c r="CM183" s="332"/>
      <c r="CN183" s="332"/>
      <c r="CO183" s="332"/>
      <c r="CP183" s="333" t="s">
        <v>27</v>
      </c>
      <c r="CQ183" s="333" t="s">
        <v>415</v>
      </c>
      <c r="CR183" s="334">
        <v>27.88</v>
      </c>
      <c r="CS183" s="334">
        <v>27.88</v>
      </c>
      <c r="CT183" s="334">
        <v>27.88</v>
      </c>
      <c r="CU183" s="334">
        <v>27.88</v>
      </c>
      <c r="CV183" s="334">
        <v>27.88</v>
      </c>
      <c r="CW183" s="334">
        <v>19.156591666666664</v>
      </c>
      <c r="CX183" s="334">
        <v>10.43318333333333</v>
      </c>
      <c r="CY183" s="334">
        <v>1.7097749999999969</v>
      </c>
      <c r="CZ183" s="334">
        <v>-7.0136333333333365</v>
      </c>
      <c r="DA183" s="334">
        <v>-15.73704166666667</v>
      </c>
      <c r="DB183" s="334">
        <v>-24.460450000000002</v>
      </c>
      <c r="DC183" s="334">
        <v>-22.961739999999999</v>
      </c>
      <c r="DD183" s="334">
        <v>-20.805509999999998</v>
      </c>
      <c r="DE183" s="334">
        <v>-20.480649999999997</v>
      </c>
      <c r="DF183" s="334">
        <v>-19.61514</v>
      </c>
      <c r="DG183" s="334">
        <v>-19.512169999999998</v>
      </c>
      <c r="DH183" s="334">
        <v>-19.874009999999998</v>
      </c>
      <c r="DI183" s="334">
        <v>-18.666050000000002</v>
      </c>
      <c r="DJ183" s="334">
        <v>-18.31138</v>
      </c>
      <c r="DK183" s="334">
        <v>-18.286510000000003</v>
      </c>
      <c r="DL183" s="334">
        <v>-20.512949999999993</v>
      </c>
      <c r="DM183" s="334">
        <v>-36.400209309523234</v>
      </c>
      <c r="DN183" s="334">
        <v>-39.382316281385101</v>
      </c>
      <c r="DO183" s="334">
        <v>-42.364423253246059</v>
      </c>
      <c r="DP183" s="334">
        <v>-45.346530225107927</v>
      </c>
      <c r="DQ183" s="334">
        <v>-48.328637196968884</v>
      </c>
      <c r="DR183" s="334">
        <v>-51.310744168830752</v>
      </c>
      <c r="DS183" s="334">
        <v>-54.29285114069171</v>
      </c>
      <c r="DT183" s="334">
        <v>-57.274958112553577</v>
      </c>
      <c r="DU183" s="335">
        <v>-60.257065084415444</v>
      </c>
      <c r="DV183" s="335">
        <v>-63.239172056276402</v>
      </c>
      <c r="DW183" s="335">
        <v>-66.22127902813736</v>
      </c>
      <c r="DX183" s="198">
        <v>-63.239172056276402</v>
      </c>
      <c r="DY183" s="198">
        <v>-63.239172056276402</v>
      </c>
      <c r="DZ183" s="198">
        <v>-63.239172056276402</v>
      </c>
      <c r="EA183" s="198">
        <v>2.9821069718609579</v>
      </c>
      <c r="EB183" s="198">
        <v>-63.239172056276402</v>
      </c>
      <c r="EC183" s="198">
        <v>-63.239172056276402</v>
      </c>
      <c r="ED183" s="198">
        <v>-63.239172056276402</v>
      </c>
      <c r="EE183" s="198">
        <v>-63.239172056276402</v>
      </c>
      <c r="EF183" s="198">
        <v>2.9821069718609579</v>
      </c>
      <c r="EG183" s="198">
        <v>0</v>
      </c>
      <c r="EH183" s="198">
        <v>-67.766601536002071</v>
      </c>
      <c r="EI183" s="336">
        <f t="shared" si="2"/>
        <v>-54.292851140692072</v>
      </c>
      <c r="EJ183" s="336">
        <f>EI183-'[13]FAOSTAT21 CO2'!EH183</f>
        <v>-55.94638150069207</v>
      </c>
    </row>
    <row r="184" spans="1:140" x14ac:dyDescent="0.25">
      <c r="A184" s="31">
        <v>8</v>
      </c>
      <c r="B184" s="31" t="s">
        <v>416</v>
      </c>
      <c r="C184" s="31">
        <v>169</v>
      </c>
      <c r="D184" s="31">
        <v>0</v>
      </c>
      <c r="E184" s="31">
        <v>0</v>
      </c>
      <c r="F184" s="31">
        <v>0</v>
      </c>
      <c r="G184" s="31">
        <v>0</v>
      </c>
      <c r="H184" s="331" t="s">
        <v>2475</v>
      </c>
      <c r="I184" s="331" t="s">
        <v>417</v>
      </c>
      <c r="J184" s="331"/>
      <c r="K184" s="331"/>
      <c r="L184" s="331"/>
      <c r="M184" s="331"/>
      <c r="N184" s="331"/>
      <c r="O184" s="331"/>
      <c r="P184" s="331"/>
      <c r="Q184" s="331"/>
      <c r="R184" s="331"/>
      <c r="S184" s="331"/>
      <c r="T184" s="331"/>
      <c r="U184" s="331"/>
      <c r="V184" s="331"/>
      <c r="W184" s="331"/>
      <c r="X184" s="331"/>
      <c r="Y184" s="331"/>
      <c r="Z184" s="331"/>
      <c r="AA184" s="331"/>
      <c r="AB184" s="331"/>
      <c r="AC184" s="331"/>
      <c r="AD184" s="331"/>
      <c r="AE184" s="331"/>
      <c r="AF184" s="331"/>
      <c r="AG184" s="331"/>
      <c r="AH184" s="331"/>
      <c r="AI184" s="331"/>
      <c r="AJ184" s="331"/>
      <c r="AK184" s="331"/>
      <c r="AL184" s="331"/>
      <c r="AM184" s="331"/>
      <c r="AN184" s="331"/>
      <c r="AO184" s="331"/>
      <c r="AP184" s="331"/>
      <c r="AQ184" s="331"/>
      <c r="AR184" s="331"/>
      <c r="AS184" s="331"/>
      <c r="AT184" s="331"/>
      <c r="AU184" s="331"/>
      <c r="AV184" s="331"/>
      <c r="AW184" s="331"/>
      <c r="AX184" s="331"/>
      <c r="AY184" s="332" t="s">
        <v>2476</v>
      </c>
      <c r="AZ184" s="332" t="s">
        <v>417</v>
      </c>
      <c r="BA184" s="332"/>
      <c r="BB184" s="332"/>
      <c r="BC184" s="332"/>
      <c r="BD184" s="332"/>
      <c r="BE184" s="332"/>
      <c r="BF184" s="332"/>
      <c r="BG184" s="332"/>
      <c r="BH184" s="332"/>
      <c r="BI184" s="332"/>
      <c r="BJ184" s="332"/>
      <c r="BK184" s="332"/>
      <c r="BL184" s="332"/>
      <c r="BM184" s="332"/>
      <c r="BN184" s="332"/>
      <c r="BO184" s="332"/>
      <c r="BP184" s="332"/>
      <c r="BQ184" s="332"/>
      <c r="BR184" s="332"/>
      <c r="BS184" s="332"/>
      <c r="BT184" s="332"/>
      <c r="BU184" s="332"/>
      <c r="BV184" s="332"/>
      <c r="BW184" s="332"/>
      <c r="BX184" s="332"/>
      <c r="BY184" s="332"/>
      <c r="BZ184" s="332"/>
      <c r="CA184" s="332"/>
      <c r="CB184" s="332"/>
      <c r="CC184" s="332"/>
      <c r="CD184" s="332"/>
      <c r="CE184" s="332"/>
      <c r="CF184" s="332"/>
      <c r="CG184" s="332"/>
      <c r="CH184" s="332"/>
      <c r="CI184" s="332"/>
      <c r="CJ184" s="332"/>
      <c r="CK184" s="332"/>
      <c r="CL184" s="332"/>
      <c r="CM184" s="332"/>
      <c r="CN184" s="332"/>
      <c r="CO184" s="332"/>
      <c r="CP184" s="333" t="s">
        <v>27</v>
      </c>
      <c r="CQ184" s="333" t="s">
        <v>417</v>
      </c>
      <c r="CR184" s="334">
        <v>0</v>
      </c>
      <c r="CS184" s="334">
        <v>0</v>
      </c>
      <c r="CT184" s="334">
        <v>0</v>
      </c>
      <c r="CU184" s="334">
        <v>0</v>
      </c>
      <c r="CV184" s="334">
        <v>0</v>
      </c>
      <c r="CW184" s="334">
        <v>0</v>
      </c>
      <c r="CX184" s="334">
        <v>0</v>
      </c>
      <c r="CY184" s="334">
        <v>0</v>
      </c>
      <c r="CZ184" s="334">
        <v>0</v>
      </c>
      <c r="DA184" s="334">
        <v>0</v>
      </c>
      <c r="DB184" s="334">
        <v>0</v>
      </c>
      <c r="DC184" s="334">
        <v>0</v>
      </c>
      <c r="DD184" s="334">
        <v>0</v>
      </c>
      <c r="DE184" s="334">
        <v>0</v>
      </c>
      <c r="DF184" s="334">
        <v>0</v>
      </c>
      <c r="DG184" s="334">
        <v>0</v>
      </c>
      <c r="DH184" s="334">
        <v>0</v>
      </c>
      <c r="DI184" s="334">
        <v>0</v>
      </c>
      <c r="DJ184" s="334">
        <v>0</v>
      </c>
      <c r="DK184" s="334">
        <v>0</v>
      </c>
      <c r="DL184" s="334">
        <v>0</v>
      </c>
      <c r="DM184" s="334">
        <v>0</v>
      </c>
      <c r="DN184" s="334">
        <v>0</v>
      </c>
      <c r="DO184" s="334">
        <v>0</v>
      </c>
      <c r="DP184" s="334">
        <v>0</v>
      </c>
      <c r="DQ184" s="334">
        <v>0</v>
      </c>
      <c r="DR184" s="334">
        <v>0</v>
      </c>
      <c r="DS184" s="334">
        <v>0</v>
      </c>
      <c r="DT184" s="334">
        <v>0</v>
      </c>
      <c r="DU184" s="335">
        <v>0</v>
      </c>
      <c r="DV184" s="335">
        <v>0</v>
      </c>
      <c r="DW184" s="335">
        <v>0</v>
      </c>
      <c r="DX184" s="198" t="s">
        <v>2477</v>
      </c>
      <c r="DY184" s="198" t="s">
        <v>2477</v>
      </c>
      <c r="DZ184" s="198" t="s">
        <v>2477</v>
      </c>
      <c r="EA184" s="198" t="s">
        <v>2477</v>
      </c>
      <c r="EB184" s="198" t="s">
        <v>2477</v>
      </c>
      <c r="EC184" s="198" t="s">
        <v>2477</v>
      </c>
      <c r="ED184" s="198" t="s">
        <v>2477</v>
      </c>
      <c r="EE184" s="198" t="s">
        <v>2477</v>
      </c>
      <c r="EF184" s="198" t="s">
        <v>2477</v>
      </c>
      <c r="EG184" s="198" t="s">
        <v>2477</v>
      </c>
      <c r="EH184" s="198"/>
      <c r="EI184" s="336">
        <f t="shared" si="2"/>
        <v>0</v>
      </c>
      <c r="EJ184" s="336">
        <f>EI184-'[13]FAOSTAT21 CO2'!EH184</f>
        <v>-2.1026000000000001E-4</v>
      </c>
    </row>
    <row r="185" spans="1:140" x14ac:dyDescent="0.25">
      <c r="A185" s="31">
        <v>4</v>
      </c>
      <c r="B185" s="31" t="s">
        <v>418</v>
      </c>
      <c r="C185" s="31">
        <v>170</v>
      </c>
      <c r="D185" s="31">
        <v>0</v>
      </c>
      <c r="E185" s="31">
        <v>0</v>
      </c>
      <c r="F185" s="31">
        <v>0</v>
      </c>
      <c r="G185" s="31">
        <v>0</v>
      </c>
      <c r="H185" s="331" t="s">
        <v>2475</v>
      </c>
      <c r="I185" s="331" t="s">
        <v>419</v>
      </c>
      <c r="J185" s="331"/>
      <c r="K185" s="331"/>
      <c r="L185" s="331"/>
      <c r="M185" s="331"/>
      <c r="N185" s="331"/>
      <c r="O185" s="331"/>
      <c r="P185" s="331"/>
      <c r="Q185" s="331"/>
      <c r="R185" s="331"/>
      <c r="S185" s="331"/>
      <c r="T185" s="331"/>
      <c r="U185" s="331"/>
      <c r="V185" s="331"/>
      <c r="W185" s="331"/>
      <c r="X185" s="331"/>
      <c r="Y185" s="331"/>
      <c r="Z185" s="331"/>
      <c r="AA185" s="331"/>
      <c r="AB185" s="331"/>
      <c r="AC185" s="331"/>
      <c r="AD185" s="331"/>
      <c r="AE185" s="331"/>
      <c r="AF185" s="331"/>
      <c r="AG185" s="331"/>
      <c r="AH185" s="331"/>
      <c r="AI185" s="331"/>
      <c r="AJ185" s="331"/>
      <c r="AK185" s="331"/>
      <c r="AL185" s="331"/>
      <c r="AM185" s="331"/>
      <c r="AN185" s="331"/>
      <c r="AO185" s="331"/>
      <c r="AP185" s="331"/>
      <c r="AQ185" s="331"/>
      <c r="AR185" s="331"/>
      <c r="AS185" s="331"/>
      <c r="AT185" s="331"/>
      <c r="AU185" s="331"/>
      <c r="AV185" s="331"/>
      <c r="AW185" s="331"/>
      <c r="AX185" s="331"/>
      <c r="AY185" s="332" t="s">
        <v>2476</v>
      </c>
      <c r="AZ185" s="332" t="s">
        <v>419</v>
      </c>
      <c r="BA185" s="332"/>
      <c r="BB185" s="332"/>
      <c r="BC185" s="332"/>
      <c r="BD185" s="332"/>
      <c r="BE185" s="332"/>
      <c r="BF185" s="332"/>
      <c r="BG185" s="332"/>
      <c r="BH185" s="332"/>
      <c r="BI185" s="332"/>
      <c r="BJ185" s="332"/>
      <c r="BK185" s="332"/>
      <c r="BL185" s="332"/>
      <c r="BM185" s="332"/>
      <c r="BN185" s="332"/>
      <c r="BO185" s="332"/>
      <c r="BP185" s="332"/>
      <c r="BQ185" s="332"/>
      <c r="BR185" s="332"/>
      <c r="BS185" s="332"/>
      <c r="BT185" s="332"/>
      <c r="BU185" s="332"/>
      <c r="BV185" s="332"/>
      <c r="BW185" s="332"/>
      <c r="BX185" s="332"/>
      <c r="BY185" s="332"/>
      <c r="BZ185" s="332"/>
      <c r="CA185" s="332"/>
      <c r="CB185" s="332"/>
      <c r="CC185" s="332"/>
      <c r="CD185" s="332"/>
      <c r="CE185" s="332"/>
      <c r="CF185" s="332"/>
      <c r="CG185" s="332"/>
      <c r="CH185" s="332"/>
      <c r="CI185" s="332"/>
      <c r="CJ185" s="332"/>
      <c r="CK185" s="332"/>
      <c r="CL185" s="332"/>
      <c r="CM185" s="332"/>
      <c r="CN185" s="332"/>
      <c r="CO185" s="332"/>
      <c r="CP185" s="333" t="s">
        <v>27</v>
      </c>
      <c r="CQ185" s="333" t="s">
        <v>419</v>
      </c>
      <c r="CR185" s="334">
        <v>-6.584000000000001E-2</v>
      </c>
      <c r="CS185" s="334">
        <v>-6.584000000000001E-2</v>
      </c>
      <c r="CT185" s="334">
        <v>-6.584000000000001E-2</v>
      </c>
      <c r="CU185" s="334">
        <v>-6.584000000000001E-2</v>
      </c>
      <c r="CV185" s="334">
        <v>-6.584000000000001E-2</v>
      </c>
      <c r="CW185" s="334">
        <v>-6.584000000000001E-2</v>
      </c>
      <c r="CX185" s="334">
        <v>-6.584000000000001E-2</v>
      </c>
      <c r="CY185" s="334">
        <v>-6.584000000000001E-2</v>
      </c>
      <c r="CZ185" s="334">
        <v>-6.584000000000001E-2</v>
      </c>
      <c r="DA185" s="334">
        <v>-6.584000000000001E-2</v>
      </c>
      <c r="DB185" s="334">
        <v>-6.584000000000001E-2</v>
      </c>
      <c r="DC185" s="334">
        <v>-6.584000000000001E-2</v>
      </c>
      <c r="DD185" s="334">
        <v>-6.584000000000001E-2</v>
      </c>
      <c r="DE185" s="334">
        <v>-6.584000000000001E-2</v>
      </c>
      <c r="DF185" s="334">
        <v>-6.584000000000001E-2</v>
      </c>
      <c r="DG185" s="334">
        <v>-6.584000000000001E-2</v>
      </c>
      <c r="DH185" s="334">
        <v>-6.584000000000001E-2</v>
      </c>
      <c r="DI185" s="334">
        <v>-6.584000000000001E-2</v>
      </c>
      <c r="DJ185" s="334">
        <v>-6.584000000000001E-2</v>
      </c>
      <c r="DK185" s="334">
        <v>-6.584000000000001E-2</v>
      </c>
      <c r="DL185" s="334">
        <v>-6.584000000000001E-2</v>
      </c>
      <c r="DM185" s="334">
        <v>-9.0490000000000001E-2</v>
      </c>
      <c r="DN185" s="334">
        <v>-9.0490000000000001E-2</v>
      </c>
      <c r="DO185" s="334">
        <v>-9.0490000000000001E-2</v>
      </c>
      <c r="DP185" s="334">
        <v>-0.11309999999999999</v>
      </c>
      <c r="DQ185" s="334">
        <v>-0.11309999999999999</v>
      </c>
      <c r="DR185" s="334">
        <v>-0.11309999999999999</v>
      </c>
      <c r="DS185" s="334">
        <v>-0.11309999999999999</v>
      </c>
      <c r="DT185" s="334">
        <v>-0.11309999999999999</v>
      </c>
      <c r="DU185" s="335">
        <v>-0.10186241379310346</v>
      </c>
      <c r="DV185" s="335">
        <v>-0.10355068965517278</v>
      </c>
      <c r="DW185" s="335">
        <v>-0.10523896551724166</v>
      </c>
      <c r="DX185" s="198">
        <v>-0.10355068965517278</v>
      </c>
      <c r="DY185" s="198">
        <v>-0.10355068965517278</v>
      </c>
      <c r="DZ185" s="198">
        <v>-0.10355068965517278</v>
      </c>
      <c r="EA185" s="198">
        <v>1.6882758620688776E-3</v>
      </c>
      <c r="EB185" s="198">
        <v>-0.10355068965517278</v>
      </c>
      <c r="EC185" s="198">
        <v>-0.10355068965517278</v>
      </c>
      <c r="ED185" s="198">
        <v>-0.10355068965517278</v>
      </c>
      <c r="EE185" s="198">
        <v>-0.10355068965517278</v>
      </c>
      <c r="EF185" s="198">
        <v>1.6882758620688776E-3</v>
      </c>
      <c r="EG185" s="198">
        <v>0</v>
      </c>
      <c r="EH185" s="198">
        <v>-0.14553515101105058</v>
      </c>
      <c r="EI185" s="336">
        <f t="shared" si="2"/>
        <v>-0.11085248275862067</v>
      </c>
      <c r="EJ185" s="336">
        <f>EI185-'[13]FAOSTAT21 CO2'!EH185</f>
        <v>-0.11085248275862067</v>
      </c>
    </row>
    <row r="186" spans="1:140" x14ac:dyDescent="0.25">
      <c r="A186" s="31">
        <v>4</v>
      </c>
      <c r="B186" s="31" t="s">
        <v>420</v>
      </c>
      <c r="C186" s="31">
        <v>172</v>
      </c>
      <c r="D186" s="31">
        <v>0</v>
      </c>
      <c r="E186" s="31">
        <v>0</v>
      </c>
      <c r="F186" s="31">
        <v>0</v>
      </c>
      <c r="G186" s="31">
        <v>0</v>
      </c>
      <c r="H186" s="331" t="s">
        <v>2475</v>
      </c>
      <c r="I186" s="331" t="s">
        <v>421</v>
      </c>
      <c r="J186" s="331"/>
      <c r="K186" s="331"/>
      <c r="L186" s="331"/>
      <c r="M186" s="331"/>
      <c r="N186" s="331"/>
      <c r="O186" s="331"/>
      <c r="P186" s="331"/>
      <c r="Q186" s="331"/>
      <c r="R186" s="331"/>
      <c r="S186" s="331"/>
      <c r="T186" s="331"/>
      <c r="U186" s="331"/>
      <c r="V186" s="331"/>
      <c r="W186" s="331"/>
      <c r="X186" s="331"/>
      <c r="Y186" s="331"/>
      <c r="Z186" s="331"/>
      <c r="AA186" s="331"/>
      <c r="AB186" s="331"/>
      <c r="AC186" s="331"/>
      <c r="AD186" s="331"/>
      <c r="AE186" s="331"/>
      <c r="AF186" s="331"/>
      <c r="AG186" s="331"/>
      <c r="AH186" s="331"/>
      <c r="AI186" s="331"/>
      <c r="AJ186" s="331"/>
      <c r="AK186" s="331"/>
      <c r="AL186" s="331"/>
      <c r="AM186" s="331"/>
      <c r="AN186" s="331"/>
      <c r="AO186" s="331"/>
      <c r="AP186" s="331"/>
      <c r="AQ186" s="331"/>
      <c r="AR186" s="331"/>
      <c r="AS186" s="331"/>
      <c r="AT186" s="331"/>
      <c r="AU186" s="331"/>
      <c r="AV186" s="331"/>
      <c r="AW186" s="331"/>
      <c r="AX186" s="331"/>
      <c r="AY186" s="332" t="s">
        <v>2476</v>
      </c>
      <c r="AZ186" s="332" t="s">
        <v>421</v>
      </c>
      <c r="BA186" s="332"/>
      <c r="BB186" s="332"/>
      <c r="BC186" s="332"/>
      <c r="BD186" s="332"/>
      <c r="BE186" s="332"/>
      <c r="BF186" s="332"/>
      <c r="BG186" s="332"/>
      <c r="BH186" s="332"/>
      <c r="BI186" s="332"/>
      <c r="BJ186" s="332"/>
      <c r="BK186" s="332"/>
      <c r="BL186" s="332"/>
      <c r="BM186" s="332"/>
      <c r="BN186" s="332"/>
      <c r="BO186" s="332"/>
      <c r="BP186" s="332"/>
      <c r="BQ186" s="332"/>
      <c r="BR186" s="332"/>
      <c r="BS186" s="332"/>
      <c r="BT186" s="332"/>
      <c r="BU186" s="332"/>
      <c r="BV186" s="332"/>
      <c r="BW186" s="332"/>
      <c r="BX186" s="332"/>
      <c r="BY186" s="332"/>
      <c r="BZ186" s="332"/>
      <c r="CA186" s="332"/>
      <c r="CB186" s="332"/>
      <c r="CC186" s="332"/>
      <c r="CD186" s="332"/>
      <c r="CE186" s="332"/>
      <c r="CF186" s="332"/>
      <c r="CG186" s="332"/>
      <c r="CH186" s="332"/>
      <c r="CI186" s="332"/>
      <c r="CJ186" s="332"/>
      <c r="CK186" s="332"/>
      <c r="CL186" s="332"/>
      <c r="CM186" s="332"/>
      <c r="CN186" s="332"/>
      <c r="CO186" s="332"/>
      <c r="CP186" s="333" t="s">
        <v>27</v>
      </c>
      <c r="CQ186" s="333" t="s">
        <v>421</v>
      </c>
      <c r="CR186" s="334">
        <v>-0.34523541999999996</v>
      </c>
      <c r="CS186" s="334">
        <v>-0.34523541999999996</v>
      </c>
      <c r="CT186" s="334">
        <v>-0.34523541999999996</v>
      </c>
      <c r="CU186" s="334">
        <v>-0.34523541999999996</v>
      </c>
      <c r="CV186" s="334">
        <v>-0.34523541999999996</v>
      </c>
      <c r="CW186" s="334">
        <v>-0.30216138333333331</v>
      </c>
      <c r="CX186" s="334">
        <v>-0.25908734666666666</v>
      </c>
      <c r="CY186" s="334">
        <v>-0.21601331000000001</v>
      </c>
      <c r="CZ186" s="334">
        <v>-0.17293927333333337</v>
      </c>
      <c r="DA186" s="334">
        <v>-0.12986523666666672</v>
      </c>
      <c r="DB186" s="334">
        <v>-8.6791199999999999E-2</v>
      </c>
      <c r="DC186" s="334">
        <v>-8.6791339999999995E-2</v>
      </c>
      <c r="DD186" s="334">
        <v>-8.679147999999999E-2</v>
      </c>
      <c r="DE186" s="334">
        <v>-8.6791619999999986E-2</v>
      </c>
      <c r="DF186" s="334">
        <v>-8.6791759999999982E-2</v>
      </c>
      <c r="DG186" s="334">
        <v>-8.6791900000000005E-2</v>
      </c>
      <c r="DH186" s="334">
        <v>-9.400718000000001E-2</v>
      </c>
      <c r="DI186" s="334">
        <v>-0.10122246000000001</v>
      </c>
      <c r="DJ186" s="334">
        <v>-0.10843774000000002</v>
      </c>
      <c r="DK186" s="334">
        <v>-0.11565302000000002</v>
      </c>
      <c r="DL186" s="334">
        <v>-0.12286830000000001</v>
      </c>
      <c r="DM186" s="334">
        <v>-1.6120763571429109E-2</v>
      </c>
      <c r="DN186" s="334">
        <v>-8.3658341991110774E-4</v>
      </c>
      <c r="DO186" s="334">
        <v>1.444759673160334E-2</v>
      </c>
      <c r="DP186" s="334">
        <v>2.9731776883117789E-2</v>
      </c>
      <c r="DQ186" s="334">
        <v>4.5015957034632237E-2</v>
      </c>
      <c r="DR186" s="334">
        <v>6.0300137186146685E-2</v>
      </c>
      <c r="DS186" s="334">
        <v>7.5584317337664686E-2</v>
      </c>
      <c r="DT186" s="334">
        <v>9.0868497489179134E-2</v>
      </c>
      <c r="DU186" s="335">
        <v>0.10615267764069358</v>
      </c>
      <c r="DV186" s="335">
        <v>0.12143685779220803</v>
      </c>
      <c r="DW186" s="335">
        <v>0.13672103794372248</v>
      </c>
      <c r="DX186" s="198">
        <v>0.12143685779220803</v>
      </c>
      <c r="DY186" s="198">
        <v>0.12143685779220803</v>
      </c>
      <c r="DZ186" s="198">
        <v>0.12143685779220803</v>
      </c>
      <c r="EA186" s="198">
        <v>-1.5284180151514448E-2</v>
      </c>
      <c r="EB186" s="198">
        <v>0.12143685779220803</v>
      </c>
      <c r="EC186" s="198">
        <v>0.12143685779220803</v>
      </c>
      <c r="ED186" s="198">
        <v>0.12143685779220803</v>
      </c>
      <c r="EE186" s="198">
        <v>0.12143685779220803</v>
      </c>
      <c r="EF186" s="198">
        <v>-1.5284180151514448E-2</v>
      </c>
      <c r="EG186" s="198">
        <v>0</v>
      </c>
      <c r="EH186" s="198">
        <v>7.220047819749717E-2</v>
      </c>
      <c r="EI186" s="336">
        <f t="shared" si="2"/>
        <v>7.558431733766327E-2</v>
      </c>
      <c r="EJ186" s="336">
        <f>EI186-'[13]FAOSTAT21 CO2'!EH186</f>
        <v>0.22192695733766329</v>
      </c>
    </row>
    <row r="187" spans="1:140" x14ac:dyDescent="0.25">
      <c r="A187" s="31">
        <v>2</v>
      </c>
      <c r="B187" s="31" t="s">
        <v>422</v>
      </c>
      <c r="C187" s="31">
        <v>173</v>
      </c>
      <c r="D187" s="31">
        <v>0</v>
      </c>
      <c r="E187" s="31">
        <v>0</v>
      </c>
      <c r="F187" s="31">
        <v>0</v>
      </c>
      <c r="G187" s="31">
        <v>0</v>
      </c>
      <c r="H187" s="331" t="s">
        <v>2475</v>
      </c>
      <c r="I187" s="331" t="s">
        <v>423</v>
      </c>
      <c r="J187" s="331"/>
      <c r="K187" s="331"/>
      <c r="L187" s="331"/>
      <c r="M187" s="331"/>
      <c r="N187" s="331"/>
      <c r="O187" s="331"/>
      <c r="P187" s="331"/>
      <c r="Q187" s="331"/>
      <c r="R187" s="331"/>
      <c r="S187" s="331"/>
      <c r="T187" s="331"/>
      <c r="U187" s="331"/>
      <c r="V187" s="331"/>
      <c r="W187" s="331"/>
      <c r="X187" s="331"/>
      <c r="Y187" s="331"/>
      <c r="Z187" s="331"/>
      <c r="AA187" s="331"/>
      <c r="AB187" s="331"/>
      <c r="AC187" s="331"/>
      <c r="AD187" s="331"/>
      <c r="AE187" s="331"/>
      <c r="AF187" s="331"/>
      <c r="AG187" s="331"/>
      <c r="AH187" s="331"/>
      <c r="AI187" s="331"/>
      <c r="AJ187" s="331"/>
      <c r="AK187" s="331"/>
      <c r="AL187" s="331"/>
      <c r="AM187" s="331"/>
      <c r="AN187" s="331"/>
      <c r="AO187" s="331"/>
      <c r="AP187" s="331"/>
      <c r="AQ187" s="331"/>
      <c r="AR187" s="331"/>
      <c r="AS187" s="331"/>
      <c r="AT187" s="331"/>
      <c r="AU187" s="331"/>
      <c r="AV187" s="331"/>
      <c r="AW187" s="331"/>
      <c r="AX187" s="331"/>
      <c r="AY187" s="332" t="s">
        <v>2476</v>
      </c>
      <c r="AZ187" s="332" t="s">
        <v>423</v>
      </c>
      <c r="BA187" s="332"/>
      <c r="BB187" s="332"/>
      <c r="BC187" s="332"/>
      <c r="BD187" s="332"/>
      <c r="BE187" s="332"/>
      <c r="BF187" s="332"/>
      <c r="BG187" s="332"/>
      <c r="BH187" s="332"/>
      <c r="BI187" s="332"/>
      <c r="BJ187" s="332"/>
      <c r="BK187" s="332"/>
      <c r="BL187" s="332"/>
      <c r="BM187" s="332"/>
      <c r="BN187" s="332"/>
      <c r="BO187" s="332"/>
      <c r="BP187" s="332"/>
      <c r="BQ187" s="332"/>
      <c r="BR187" s="332"/>
      <c r="BS187" s="332"/>
      <c r="BT187" s="332"/>
      <c r="BU187" s="332"/>
      <c r="BV187" s="332"/>
      <c r="BW187" s="332"/>
      <c r="BX187" s="332"/>
      <c r="BY187" s="332"/>
      <c r="BZ187" s="332"/>
      <c r="CA187" s="332"/>
      <c r="CB187" s="332"/>
      <c r="CC187" s="332"/>
      <c r="CD187" s="332"/>
      <c r="CE187" s="332"/>
      <c r="CF187" s="332"/>
      <c r="CG187" s="332"/>
      <c r="CH187" s="332"/>
      <c r="CI187" s="332"/>
      <c r="CJ187" s="332"/>
      <c r="CK187" s="332"/>
      <c r="CL187" s="332"/>
      <c r="CM187" s="332"/>
      <c r="CN187" s="332"/>
      <c r="CO187" s="332"/>
      <c r="CP187" s="333" t="s">
        <v>27</v>
      </c>
      <c r="CQ187" s="333" t="s">
        <v>423</v>
      </c>
      <c r="CR187" s="334">
        <v>0</v>
      </c>
      <c r="CS187" s="334">
        <v>0</v>
      </c>
      <c r="CT187" s="334">
        <v>0</v>
      </c>
      <c r="CU187" s="334">
        <v>0</v>
      </c>
      <c r="CV187" s="334">
        <v>0</v>
      </c>
      <c r="CW187" s="334">
        <v>0</v>
      </c>
      <c r="CX187" s="334">
        <v>0</v>
      </c>
      <c r="CY187" s="334">
        <v>0</v>
      </c>
      <c r="CZ187" s="334">
        <v>0</v>
      </c>
      <c r="DA187" s="334">
        <v>0</v>
      </c>
      <c r="DB187" s="334">
        <v>0</v>
      </c>
      <c r="DC187" s="334">
        <v>0</v>
      </c>
      <c r="DD187" s="334">
        <v>0</v>
      </c>
      <c r="DE187" s="334">
        <v>0</v>
      </c>
      <c r="DF187" s="334">
        <v>0</v>
      </c>
      <c r="DG187" s="334">
        <v>0</v>
      </c>
      <c r="DH187" s="334">
        <v>0</v>
      </c>
      <c r="DI187" s="334">
        <v>0</v>
      </c>
      <c r="DJ187" s="334">
        <v>0</v>
      </c>
      <c r="DK187" s="334">
        <v>0</v>
      </c>
      <c r="DL187" s="334">
        <v>0</v>
      </c>
      <c r="DM187" s="334">
        <v>0</v>
      </c>
      <c r="DN187" s="334">
        <v>0</v>
      </c>
      <c r="DO187" s="334">
        <v>0</v>
      </c>
      <c r="DP187" s="334">
        <v>0</v>
      </c>
      <c r="DQ187" s="334">
        <v>0</v>
      </c>
      <c r="DR187" s="334">
        <v>0</v>
      </c>
      <c r="DS187" s="334">
        <v>0</v>
      </c>
      <c r="DT187" s="334">
        <v>0</v>
      </c>
      <c r="DU187" s="335">
        <v>0</v>
      </c>
      <c r="DV187" s="335">
        <v>0</v>
      </c>
      <c r="DW187" s="335">
        <v>0</v>
      </c>
      <c r="DX187" s="198" t="s">
        <v>2477</v>
      </c>
      <c r="DY187" s="198" t="s">
        <v>2477</v>
      </c>
      <c r="DZ187" s="198" t="s">
        <v>2477</v>
      </c>
      <c r="EA187" s="198" t="s">
        <v>2477</v>
      </c>
      <c r="EB187" s="198" t="s">
        <v>2477</v>
      </c>
      <c r="EC187" s="198" t="s">
        <v>2477</v>
      </c>
      <c r="ED187" s="198" t="s">
        <v>2477</v>
      </c>
      <c r="EE187" s="198" t="s">
        <v>2477</v>
      </c>
      <c r="EF187" s="198" t="s">
        <v>2477</v>
      </c>
      <c r="EG187" s="198" t="s">
        <v>2477</v>
      </c>
      <c r="EH187" s="198"/>
      <c r="EI187" s="336">
        <f t="shared" si="2"/>
        <v>0</v>
      </c>
      <c r="EJ187" s="336">
        <f>EI187-'[13]FAOSTAT21 CO2'!EH187</f>
        <v>-1.3688999999999999E-3</v>
      </c>
    </row>
    <row r="188" spans="1:140" x14ac:dyDescent="0.25">
      <c r="A188" s="31">
        <v>4</v>
      </c>
      <c r="B188" s="31" t="s">
        <v>424</v>
      </c>
      <c r="C188" s="31">
        <v>174</v>
      </c>
      <c r="D188" s="31">
        <v>0</v>
      </c>
      <c r="E188" s="31">
        <v>0</v>
      </c>
      <c r="F188" s="31">
        <v>0</v>
      </c>
      <c r="G188" s="31">
        <v>0</v>
      </c>
      <c r="H188" s="331" t="s">
        <v>2475</v>
      </c>
      <c r="I188" s="331" t="s">
        <v>425</v>
      </c>
      <c r="J188" s="331"/>
      <c r="K188" s="331"/>
      <c r="L188" s="331"/>
      <c r="M188" s="331"/>
      <c r="N188" s="331"/>
      <c r="O188" s="331"/>
      <c r="P188" s="331"/>
      <c r="Q188" s="331"/>
      <c r="R188" s="331"/>
      <c r="S188" s="331"/>
      <c r="T188" s="331"/>
      <c r="U188" s="331"/>
      <c r="V188" s="331"/>
      <c r="W188" s="331"/>
      <c r="X188" s="331"/>
      <c r="Y188" s="331"/>
      <c r="Z188" s="331"/>
      <c r="AA188" s="331"/>
      <c r="AB188" s="331"/>
      <c r="AC188" s="331"/>
      <c r="AD188" s="331"/>
      <c r="AE188" s="331"/>
      <c r="AF188" s="331"/>
      <c r="AG188" s="331"/>
      <c r="AH188" s="331"/>
      <c r="AI188" s="331"/>
      <c r="AJ188" s="331"/>
      <c r="AK188" s="331"/>
      <c r="AL188" s="331"/>
      <c r="AM188" s="331"/>
      <c r="AN188" s="331"/>
      <c r="AO188" s="331"/>
      <c r="AP188" s="331"/>
      <c r="AQ188" s="331"/>
      <c r="AR188" s="331"/>
      <c r="AS188" s="331"/>
      <c r="AT188" s="331"/>
      <c r="AU188" s="331"/>
      <c r="AV188" s="331"/>
      <c r="AW188" s="331"/>
      <c r="AX188" s="331"/>
      <c r="AY188" s="332" t="s">
        <v>2476</v>
      </c>
      <c r="AZ188" s="332" t="s">
        <v>425</v>
      </c>
      <c r="BA188" s="332"/>
      <c r="BB188" s="332"/>
      <c r="BC188" s="332"/>
      <c r="BD188" s="332"/>
      <c r="BE188" s="332"/>
      <c r="BF188" s="332"/>
      <c r="BG188" s="332"/>
      <c r="BH188" s="332"/>
      <c r="BI188" s="332"/>
      <c r="BJ188" s="332"/>
      <c r="BK188" s="332"/>
      <c r="BL188" s="332"/>
      <c r="BM188" s="332"/>
      <c r="BN188" s="332"/>
      <c r="BO188" s="332"/>
      <c r="BP188" s="332"/>
      <c r="BQ188" s="332"/>
      <c r="BR188" s="332"/>
      <c r="BS188" s="332"/>
      <c r="BT188" s="332"/>
      <c r="BU188" s="332"/>
      <c r="BV188" s="332"/>
      <c r="BW188" s="332"/>
      <c r="BX188" s="332"/>
      <c r="BY188" s="332"/>
      <c r="BZ188" s="332"/>
      <c r="CA188" s="332"/>
      <c r="CB188" s="332"/>
      <c r="CC188" s="332"/>
      <c r="CD188" s="332"/>
      <c r="CE188" s="332"/>
      <c r="CF188" s="332"/>
      <c r="CG188" s="332"/>
      <c r="CH188" s="332"/>
      <c r="CI188" s="332"/>
      <c r="CJ188" s="332"/>
      <c r="CK188" s="332"/>
      <c r="CL188" s="332"/>
      <c r="CM188" s="332"/>
      <c r="CN188" s="332"/>
      <c r="CO188" s="332"/>
      <c r="CP188" s="333" t="s">
        <v>27</v>
      </c>
      <c r="CQ188" s="333" t="s">
        <v>425</v>
      </c>
      <c r="CR188" s="334">
        <v>-0.13218750000000001</v>
      </c>
      <c r="CS188" s="334">
        <v>-0.13218750000000001</v>
      </c>
      <c r="CT188" s="334">
        <v>-0.13218750000000001</v>
      </c>
      <c r="CU188" s="334">
        <v>-0.13218750000000001</v>
      </c>
      <c r="CV188" s="334">
        <v>-0.13218750000000001</v>
      </c>
      <c r="CW188" s="334">
        <v>-0.13218750000000001</v>
      </c>
      <c r="CX188" s="334">
        <v>-0.13218750000000001</v>
      </c>
      <c r="CY188" s="334">
        <v>-0.13218750000000001</v>
      </c>
      <c r="CZ188" s="334">
        <v>-9.7476000000000007E-2</v>
      </c>
      <c r="DA188" s="334">
        <v>-6.2764500000000001E-2</v>
      </c>
      <c r="DB188" s="334">
        <v>-2.8053000000000002E-2</v>
      </c>
      <c r="DC188" s="334">
        <v>-2.9607000000000001E-2</v>
      </c>
      <c r="DD188" s="334">
        <v>-3.1161000000000001E-2</v>
      </c>
      <c r="DE188" s="334">
        <v>-3.2715000000000001E-2</v>
      </c>
      <c r="DF188" s="334">
        <v>-3.4269000000000001E-2</v>
      </c>
      <c r="DG188" s="334">
        <v>-1.489312857142977E-2</v>
      </c>
      <c r="DH188" s="334">
        <v>-5.3085571428574951E-3</v>
      </c>
      <c r="DI188" s="334">
        <v>4.2760142857147798E-3</v>
      </c>
      <c r="DJ188" s="334">
        <v>1.3860585714287055E-2</v>
      </c>
      <c r="DK188" s="334">
        <v>2.3445157142855777E-2</v>
      </c>
      <c r="DL188" s="334">
        <v>3.3029728571428052E-2</v>
      </c>
      <c r="DM188" s="334">
        <v>4.2614300000000327E-2</v>
      </c>
      <c r="DN188" s="334">
        <v>5.2198871428572602E-2</v>
      </c>
      <c r="DO188" s="334">
        <v>6.1783442857141324E-2</v>
      </c>
      <c r="DP188" s="334">
        <v>7.1368014285713599E-2</v>
      </c>
      <c r="DQ188" s="334">
        <v>8.0952585714285874E-2</v>
      </c>
      <c r="DR188" s="334">
        <v>9.0537157142858149E-2</v>
      </c>
      <c r="DS188" s="334">
        <v>0.10012172857142687</v>
      </c>
      <c r="DT188" s="334">
        <v>0.10970629999999915</v>
      </c>
      <c r="DU188" s="335">
        <v>0.11929087142857142</v>
      </c>
      <c r="DV188" s="335">
        <v>0.1288754428571437</v>
      </c>
      <c r="DW188" s="335">
        <v>0.13846001428571597</v>
      </c>
      <c r="DX188" s="198">
        <v>0.1288754428571437</v>
      </c>
      <c r="DY188" s="198">
        <v>0.1288754428571437</v>
      </c>
      <c r="DZ188" s="198">
        <v>0.1288754428571437</v>
      </c>
      <c r="EA188" s="198">
        <v>-9.584571428572275E-3</v>
      </c>
      <c r="EB188" s="198">
        <v>0.1288754428571437</v>
      </c>
      <c r="EC188" s="198">
        <v>0.1288754428571437</v>
      </c>
      <c r="ED188" s="198">
        <v>0.1288754428571437</v>
      </c>
      <c r="EE188" s="198">
        <v>0.1288754428571437</v>
      </c>
      <c r="EF188" s="198">
        <v>-9.584571428572275E-3</v>
      </c>
      <c r="EG188" s="198">
        <v>0</v>
      </c>
      <c r="EH188" s="198">
        <v>7.662310085560399E-2</v>
      </c>
      <c r="EI188" s="336">
        <f t="shared" si="2"/>
        <v>0.10012172857142829</v>
      </c>
      <c r="EJ188" s="336">
        <f>EI188-'[13]FAOSTAT21 CO2'!EH188</f>
        <v>0.10012172857142829</v>
      </c>
    </row>
    <row r="189" spans="1:140" x14ac:dyDescent="0.25">
      <c r="A189" s="31">
        <v>9</v>
      </c>
      <c r="B189" s="31" t="s">
        <v>426</v>
      </c>
      <c r="C189" s="31">
        <v>190</v>
      </c>
      <c r="D189" s="31">
        <v>0</v>
      </c>
      <c r="E189" s="31">
        <v>0</v>
      </c>
      <c r="F189" s="31">
        <v>0</v>
      </c>
      <c r="G189" s="31">
        <v>0</v>
      </c>
      <c r="H189" s="331" t="s">
        <v>2475</v>
      </c>
      <c r="I189" s="331" t="s">
        <v>427</v>
      </c>
      <c r="J189" s="331"/>
      <c r="K189" s="331"/>
      <c r="L189" s="331"/>
      <c r="M189" s="331"/>
      <c r="N189" s="331"/>
      <c r="O189" s="331"/>
      <c r="P189" s="331"/>
      <c r="Q189" s="331"/>
      <c r="R189" s="331"/>
      <c r="S189" s="331"/>
      <c r="T189" s="331"/>
      <c r="U189" s="331"/>
      <c r="V189" s="331"/>
      <c r="W189" s="331"/>
      <c r="X189" s="331"/>
      <c r="Y189" s="331"/>
      <c r="Z189" s="331"/>
      <c r="AA189" s="331"/>
      <c r="AB189" s="331"/>
      <c r="AC189" s="331"/>
      <c r="AD189" s="331"/>
      <c r="AE189" s="331"/>
      <c r="AF189" s="331"/>
      <c r="AG189" s="331"/>
      <c r="AH189" s="331"/>
      <c r="AI189" s="331"/>
      <c r="AJ189" s="331"/>
      <c r="AK189" s="331"/>
      <c r="AL189" s="331"/>
      <c r="AM189" s="331"/>
      <c r="AN189" s="331"/>
      <c r="AO189" s="331"/>
      <c r="AP189" s="331"/>
      <c r="AQ189" s="331"/>
      <c r="AR189" s="331"/>
      <c r="AS189" s="331"/>
      <c r="AT189" s="331"/>
      <c r="AU189" s="331"/>
      <c r="AV189" s="331"/>
      <c r="AW189" s="331"/>
      <c r="AX189" s="331"/>
      <c r="AY189" s="332" t="s">
        <v>2476</v>
      </c>
      <c r="AZ189" s="332" t="s">
        <v>427</v>
      </c>
      <c r="BA189" s="332"/>
      <c r="BB189" s="332"/>
      <c r="BC189" s="332"/>
      <c r="BD189" s="332"/>
      <c r="BE189" s="332"/>
      <c r="BF189" s="332"/>
      <c r="BG189" s="332"/>
      <c r="BH189" s="332"/>
      <c r="BI189" s="332"/>
      <c r="BJ189" s="332"/>
      <c r="BK189" s="332"/>
      <c r="BL189" s="332"/>
      <c r="BM189" s="332"/>
      <c r="BN189" s="332"/>
      <c r="BO189" s="332"/>
      <c r="BP189" s="332"/>
      <c r="BQ189" s="332"/>
      <c r="BR189" s="332"/>
      <c r="BS189" s="332"/>
      <c r="BT189" s="332"/>
      <c r="BU189" s="332"/>
      <c r="BV189" s="332"/>
      <c r="BW189" s="332"/>
      <c r="BX189" s="332"/>
      <c r="BY189" s="332"/>
      <c r="BZ189" s="332"/>
      <c r="CA189" s="332"/>
      <c r="CB189" s="332"/>
      <c r="CC189" s="332"/>
      <c r="CD189" s="332"/>
      <c r="CE189" s="332"/>
      <c r="CF189" s="332"/>
      <c r="CG189" s="332"/>
      <c r="CH189" s="332"/>
      <c r="CI189" s="332"/>
      <c r="CJ189" s="332"/>
      <c r="CK189" s="332"/>
      <c r="CL189" s="332"/>
      <c r="CM189" s="332"/>
      <c r="CN189" s="332"/>
      <c r="CO189" s="332"/>
      <c r="CP189" s="333" t="s">
        <v>27</v>
      </c>
      <c r="CQ189" s="333" t="s">
        <v>427</v>
      </c>
      <c r="CR189" s="334">
        <v>17.776</v>
      </c>
      <c r="CS189" s="334">
        <v>17.776</v>
      </c>
      <c r="CT189" s="334">
        <v>17.776</v>
      </c>
      <c r="CU189" s="334">
        <v>17.776</v>
      </c>
      <c r="CV189" s="334">
        <v>17.776</v>
      </c>
      <c r="CW189" s="334">
        <v>17.776</v>
      </c>
      <c r="CX189" s="334">
        <v>16.097000000000001</v>
      </c>
      <c r="CY189" s="334">
        <v>14.418000000000001</v>
      </c>
      <c r="CZ189" s="334">
        <v>12.739000000000001</v>
      </c>
      <c r="DA189" s="334">
        <v>11.06</v>
      </c>
      <c r="DB189" s="334">
        <v>9.3810000000000002</v>
      </c>
      <c r="DC189" s="334">
        <v>10.4494545454545</v>
      </c>
      <c r="DD189" s="334">
        <v>9.6099545454546842</v>
      </c>
      <c r="DE189" s="334">
        <v>8.7704545454546405</v>
      </c>
      <c r="DF189" s="334">
        <v>7.9309545454545969</v>
      </c>
      <c r="DG189" s="334">
        <v>7.0914545454547806</v>
      </c>
      <c r="DH189" s="334">
        <v>6.2519545454547369</v>
      </c>
      <c r="DI189" s="334">
        <v>5.4124545454546933</v>
      </c>
      <c r="DJ189" s="334">
        <v>4.5729545454546496</v>
      </c>
      <c r="DK189" s="334">
        <v>3.7334545454548334</v>
      </c>
      <c r="DL189" s="334">
        <v>2.8939545454547897</v>
      </c>
      <c r="DM189" s="334">
        <v>2.054454545454746</v>
      </c>
      <c r="DN189" s="334">
        <v>1.2149545454547024</v>
      </c>
      <c r="DO189" s="334">
        <v>0.3754545454548861</v>
      </c>
      <c r="DP189" s="334">
        <v>-0.46404545454515755</v>
      </c>
      <c r="DQ189" s="334">
        <v>-1.3035454545449738</v>
      </c>
      <c r="DR189" s="334">
        <v>-2.1430454545450175</v>
      </c>
      <c r="DS189" s="334">
        <v>-2.9825454545450611</v>
      </c>
      <c r="DT189" s="334">
        <v>-3.8220454545451048</v>
      </c>
      <c r="DU189" s="335">
        <v>-4.6615454545451485</v>
      </c>
      <c r="DV189" s="335">
        <v>-5.5010454545449647</v>
      </c>
      <c r="DW189" s="335">
        <v>-6.3405454545450084</v>
      </c>
      <c r="DX189" s="198">
        <v>-5.5010454545449647</v>
      </c>
      <c r="DY189" s="198">
        <v>-5.5010454545449647</v>
      </c>
      <c r="DZ189" s="198">
        <v>-5.5010454545449647</v>
      </c>
      <c r="EA189" s="198">
        <v>0.83950000000004366</v>
      </c>
      <c r="EB189" s="198">
        <v>-5.5010454545449647</v>
      </c>
      <c r="EC189" s="198">
        <v>-5.5010454545449647</v>
      </c>
      <c r="ED189" s="198">
        <v>-5.5010454545449647</v>
      </c>
      <c r="EE189" s="198">
        <v>-5.5010454545449647</v>
      </c>
      <c r="EF189" s="198">
        <v>0.83950000000004366</v>
      </c>
      <c r="EG189" s="198">
        <v>0</v>
      </c>
      <c r="EH189" s="198">
        <v>-7.1386879990976935</v>
      </c>
      <c r="EI189" s="336">
        <f t="shared" si="2"/>
        <v>-2.9825454545450611</v>
      </c>
      <c r="EJ189" s="336">
        <f>EI189-'[13]FAOSTAT21 CO2'!EH189</f>
        <v>-2.9825454545450611</v>
      </c>
    </row>
    <row r="190" spans="1:140" x14ac:dyDescent="0.25">
      <c r="A190" s="31">
        <v>6</v>
      </c>
      <c r="B190" s="31" t="s">
        <v>428</v>
      </c>
      <c r="C190" s="31">
        <v>191</v>
      </c>
      <c r="D190" s="31">
        <v>0</v>
      </c>
      <c r="E190" s="31">
        <v>0</v>
      </c>
      <c r="F190" s="31">
        <v>0</v>
      </c>
      <c r="G190" s="31">
        <v>0</v>
      </c>
      <c r="H190" s="331" t="s">
        <v>2475</v>
      </c>
      <c r="I190" s="331" t="s">
        <v>429</v>
      </c>
      <c r="J190" s="331"/>
      <c r="K190" s="331"/>
      <c r="L190" s="331"/>
      <c r="M190" s="331"/>
      <c r="N190" s="331"/>
      <c r="O190" s="331"/>
      <c r="P190" s="331"/>
      <c r="Q190" s="331"/>
      <c r="R190" s="331"/>
      <c r="S190" s="331"/>
      <c r="T190" s="331"/>
      <c r="U190" s="331"/>
      <c r="V190" s="331"/>
      <c r="W190" s="331"/>
      <c r="X190" s="331"/>
      <c r="Y190" s="331"/>
      <c r="Z190" s="331"/>
      <c r="AA190" s="331"/>
      <c r="AB190" s="331"/>
      <c r="AC190" s="331"/>
      <c r="AD190" s="331"/>
      <c r="AE190" s="331"/>
      <c r="AF190" s="331"/>
      <c r="AG190" s="331"/>
      <c r="AH190" s="331"/>
      <c r="AI190" s="331"/>
      <c r="AJ190" s="331"/>
      <c r="AK190" s="331"/>
      <c r="AL190" s="331"/>
      <c r="AM190" s="331"/>
      <c r="AN190" s="331"/>
      <c r="AO190" s="331"/>
      <c r="AP190" s="331"/>
      <c r="AQ190" s="331"/>
      <c r="AR190" s="331"/>
      <c r="AS190" s="331"/>
      <c r="AT190" s="331"/>
      <c r="AU190" s="331"/>
      <c r="AV190" s="331"/>
      <c r="AW190" s="331"/>
      <c r="AX190" s="331"/>
      <c r="AY190" s="332" t="s">
        <v>2476</v>
      </c>
      <c r="AZ190" s="332" t="s">
        <v>429</v>
      </c>
      <c r="BA190" s="332"/>
      <c r="BB190" s="332"/>
      <c r="BC190" s="332"/>
      <c r="BD190" s="332"/>
      <c r="BE190" s="332"/>
      <c r="BF190" s="332"/>
      <c r="BG190" s="332"/>
      <c r="BH190" s="332"/>
      <c r="BI190" s="332"/>
      <c r="BJ190" s="332"/>
      <c r="BK190" s="332"/>
      <c r="BL190" s="332"/>
      <c r="BM190" s="332"/>
      <c r="BN190" s="332"/>
      <c r="BO190" s="332"/>
      <c r="BP190" s="332"/>
      <c r="BQ190" s="332"/>
      <c r="BR190" s="332"/>
      <c r="BS190" s="332"/>
      <c r="BT190" s="332"/>
      <c r="BU190" s="332"/>
      <c r="BV190" s="332"/>
      <c r="BW190" s="332"/>
      <c r="BX190" s="332"/>
      <c r="BY190" s="332"/>
      <c r="BZ190" s="332"/>
      <c r="CA190" s="332"/>
      <c r="CB190" s="332"/>
      <c r="CC190" s="332"/>
      <c r="CD190" s="332"/>
      <c r="CE190" s="332"/>
      <c r="CF190" s="332"/>
      <c r="CG190" s="332"/>
      <c r="CH190" s="332"/>
      <c r="CI190" s="332"/>
      <c r="CJ190" s="332"/>
      <c r="CK190" s="332"/>
      <c r="CL190" s="332"/>
      <c r="CM190" s="332"/>
      <c r="CN190" s="332"/>
      <c r="CO190" s="332"/>
      <c r="CP190" s="333" t="s">
        <v>27</v>
      </c>
      <c r="CQ190" s="333" t="s">
        <v>429</v>
      </c>
      <c r="CR190" s="334">
        <v>-5.2818000000000005</v>
      </c>
      <c r="CS190" s="334">
        <v>-5.2818000000000005</v>
      </c>
      <c r="CT190" s="334">
        <v>-5.2818000000000005</v>
      </c>
      <c r="CU190" s="334">
        <v>-5.2818000000000005</v>
      </c>
      <c r="CV190" s="334">
        <v>-5.2818000000000005</v>
      </c>
      <c r="CW190" s="334">
        <v>-5.2818000000000005</v>
      </c>
      <c r="CX190" s="334">
        <v>-5.2818000000000005</v>
      </c>
      <c r="CY190" s="334">
        <v>-5.2818000000000005</v>
      </c>
      <c r="CZ190" s="334">
        <v>-5.2818000000000005</v>
      </c>
      <c r="DA190" s="334">
        <v>-5.2818000000000005</v>
      </c>
      <c r="DB190" s="334">
        <v>-5.2818000000000005</v>
      </c>
      <c r="DC190" s="334">
        <v>-4.1258999999999997</v>
      </c>
      <c r="DD190" s="334">
        <v>-5.5516999999999994</v>
      </c>
      <c r="DE190" s="334">
        <v>-6.9266000000000005</v>
      </c>
      <c r="DF190" s="334">
        <v>-8.2908999999999988</v>
      </c>
      <c r="DG190" s="334">
        <v>-9.5660000000000007</v>
      </c>
      <c r="DH190" s="334">
        <v>-10.8909</v>
      </c>
      <c r="DI190" s="334">
        <v>-12.4185</v>
      </c>
      <c r="DJ190" s="334">
        <v>-13.5878</v>
      </c>
      <c r="DK190" s="334">
        <v>-14.991400000000001</v>
      </c>
      <c r="DL190" s="334">
        <v>-12.8721</v>
      </c>
      <c r="DM190" s="334">
        <v>-13.4971</v>
      </c>
      <c r="DN190" s="334">
        <v>-14.3795</v>
      </c>
      <c r="DO190" s="334">
        <v>-15.838100000000001</v>
      </c>
      <c r="DP190" s="334">
        <v>-8.2508999999999997</v>
      </c>
      <c r="DQ190" s="334">
        <v>-13.8611</v>
      </c>
      <c r="DR190" s="334">
        <v>-15.8687</v>
      </c>
      <c r="DS190" s="334">
        <v>-17.860199999999999</v>
      </c>
      <c r="DT190" s="334">
        <v>-15.998975396825472</v>
      </c>
      <c r="DU190" s="335">
        <v>-16.469650547345395</v>
      </c>
      <c r="DV190" s="335">
        <v>-16.940325697865319</v>
      </c>
      <c r="DW190" s="335">
        <v>-17.411000848385356</v>
      </c>
      <c r="DX190" s="198">
        <v>-16.940325697865319</v>
      </c>
      <c r="DY190" s="198">
        <v>7</v>
      </c>
      <c r="DZ190" s="198">
        <v>-16.940325697865319</v>
      </c>
      <c r="EA190" s="198">
        <v>13.411000848385356</v>
      </c>
      <c r="EB190" s="198">
        <v>-16.940325697865319</v>
      </c>
      <c r="EC190" s="198">
        <v>-16.940325697865319</v>
      </c>
      <c r="ED190" s="198">
        <v>-16.940325697865319</v>
      </c>
      <c r="EE190" s="198">
        <v>-16.940325697865319</v>
      </c>
      <c r="EF190" s="198">
        <v>0.47067515052003728</v>
      </c>
      <c r="EG190" s="198">
        <v>-12.940325697865319</v>
      </c>
      <c r="EH190" s="198">
        <v>-21.320523207909865</v>
      </c>
      <c r="EI190" s="336">
        <f t="shared" si="2"/>
        <v>-16.011725188834173</v>
      </c>
      <c r="EJ190" s="336">
        <f>EI190-'[13]FAOSTAT21 CO2'!EH190</f>
        <v>-25.149086048834171</v>
      </c>
    </row>
    <row r="191" spans="1:140" x14ac:dyDescent="0.25">
      <c r="A191" s="31">
        <v>26</v>
      </c>
      <c r="B191" s="31" t="s">
        <v>430</v>
      </c>
      <c r="C191" s="31">
        <v>192</v>
      </c>
      <c r="D191" s="31">
        <v>0</v>
      </c>
      <c r="E191" s="31">
        <v>0</v>
      </c>
      <c r="F191" s="31">
        <v>0</v>
      </c>
      <c r="G191" s="31">
        <v>0</v>
      </c>
      <c r="H191" s="331" t="s">
        <v>2475</v>
      </c>
      <c r="I191" s="331" t="s">
        <v>431</v>
      </c>
      <c r="J191" s="331"/>
      <c r="K191" s="331"/>
      <c r="L191" s="331"/>
      <c r="M191" s="331"/>
      <c r="N191" s="331"/>
      <c r="O191" s="331"/>
      <c r="P191" s="331"/>
      <c r="Q191" s="331"/>
      <c r="R191" s="331"/>
      <c r="S191" s="331"/>
      <c r="T191" s="331"/>
      <c r="U191" s="331"/>
      <c r="V191" s="331"/>
      <c r="W191" s="331"/>
      <c r="X191" s="331"/>
      <c r="Y191" s="331"/>
      <c r="Z191" s="331"/>
      <c r="AA191" s="331"/>
      <c r="AB191" s="331"/>
      <c r="AC191" s="331"/>
      <c r="AD191" s="331"/>
      <c r="AE191" s="331"/>
      <c r="AF191" s="331"/>
      <c r="AG191" s="331"/>
      <c r="AH191" s="331"/>
      <c r="AI191" s="331"/>
      <c r="AJ191" s="331"/>
      <c r="AK191" s="331"/>
      <c r="AL191" s="331"/>
      <c r="AM191" s="331"/>
      <c r="AN191" s="331"/>
      <c r="AO191" s="331"/>
      <c r="AP191" s="331"/>
      <c r="AQ191" s="331"/>
      <c r="AR191" s="331"/>
      <c r="AS191" s="331"/>
      <c r="AT191" s="331"/>
      <c r="AU191" s="331"/>
      <c r="AV191" s="331"/>
      <c r="AW191" s="331"/>
      <c r="AX191" s="331"/>
      <c r="AY191" s="332" t="s">
        <v>2476</v>
      </c>
      <c r="AZ191" s="332" t="s">
        <v>431</v>
      </c>
      <c r="BA191" s="332"/>
      <c r="BB191" s="332"/>
      <c r="BC191" s="332"/>
      <c r="BD191" s="332"/>
      <c r="BE191" s="332"/>
      <c r="BF191" s="332"/>
      <c r="BG191" s="332"/>
      <c r="BH191" s="332"/>
      <c r="BI191" s="332"/>
      <c r="BJ191" s="332"/>
      <c r="BK191" s="332"/>
      <c r="BL191" s="332"/>
      <c r="BM191" s="332"/>
      <c r="BN191" s="332"/>
      <c r="BO191" s="332"/>
      <c r="BP191" s="332"/>
      <c r="BQ191" s="332"/>
      <c r="BR191" s="332"/>
      <c r="BS191" s="332"/>
      <c r="BT191" s="332"/>
      <c r="BU191" s="332"/>
      <c r="BV191" s="332"/>
      <c r="BW191" s="332"/>
      <c r="BX191" s="332"/>
      <c r="BY191" s="332"/>
      <c r="BZ191" s="332"/>
      <c r="CA191" s="332"/>
      <c r="CB191" s="332"/>
      <c r="CC191" s="332"/>
      <c r="CD191" s="332"/>
      <c r="CE191" s="332"/>
      <c r="CF191" s="332"/>
      <c r="CG191" s="332"/>
      <c r="CH191" s="332"/>
      <c r="CI191" s="332"/>
      <c r="CJ191" s="332"/>
      <c r="CK191" s="332"/>
      <c r="CL191" s="332"/>
      <c r="CM191" s="332"/>
      <c r="CN191" s="332"/>
      <c r="CO191" s="332"/>
      <c r="CP191" s="333" t="s">
        <v>27</v>
      </c>
      <c r="CQ191" s="333" t="s">
        <v>431</v>
      </c>
      <c r="CR191" s="334">
        <v>-6.2750000000000004</v>
      </c>
      <c r="CS191" s="334">
        <v>-6.2628000000000004</v>
      </c>
      <c r="CT191" s="334">
        <v>-6.2506000000000004</v>
      </c>
      <c r="CU191" s="334">
        <v>-6.2384000000000004</v>
      </c>
      <c r="CV191" s="334">
        <v>-6.2262000000000004</v>
      </c>
      <c r="CW191" s="334">
        <v>-6.2140000000000004</v>
      </c>
      <c r="CX191" s="334">
        <v>-6.2016</v>
      </c>
      <c r="CY191" s="334">
        <v>-6.1891999999999996</v>
      </c>
      <c r="CZ191" s="334">
        <v>-6.1767999999999992</v>
      </c>
      <c r="DA191" s="334">
        <v>-6.1643999999999988</v>
      </c>
      <c r="DB191" s="334">
        <v>-6.1520000000000001</v>
      </c>
      <c r="DC191" s="334">
        <v>-6.1231999999999998</v>
      </c>
      <c r="DD191" s="334">
        <v>-6.0943999999999994</v>
      </c>
      <c r="DE191" s="334">
        <v>-6.065599999999999</v>
      </c>
      <c r="DF191" s="334">
        <v>-6.0367999999999986</v>
      </c>
      <c r="DG191" s="334">
        <v>-6.008</v>
      </c>
      <c r="DH191" s="334">
        <v>-5.9992000000000001</v>
      </c>
      <c r="DI191" s="334">
        <v>-5.9904000000000002</v>
      </c>
      <c r="DJ191" s="334">
        <v>-5.9816000000000003</v>
      </c>
      <c r="DK191" s="334">
        <v>-5.9728000000000003</v>
      </c>
      <c r="DL191" s="334">
        <v>-5.9640000000000004</v>
      </c>
      <c r="DM191" s="334">
        <v>-5.9341047619047629</v>
      </c>
      <c r="DN191" s="334">
        <v>-5.9169151515151484</v>
      </c>
      <c r="DO191" s="334">
        <v>-5.8997255411255409</v>
      </c>
      <c r="DP191" s="334">
        <v>-5.8825359307359264</v>
      </c>
      <c r="DQ191" s="334">
        <v>-5.865346320346319</v>
      </c>
      <c r="DR191" s="334">
        <v>-5.8481567099567116</v>
      </c>
      <c r="DS191" s="334">
        <v>-5.830967099567097</v>
      </c>
      <c r="DT191" s="334">
        <v>-5.8137774891774896</v>
      </c>
      <c r="DU191" s="335">
        <v>-5.7965878787878751</v>
      </c>
      <c r="DV191" s="335">
        <v>-5.7793982683982605</v>
      </c>
      <c r="DW191" s="335">
        <v>-5.7622086580086531</v>
      </c>
      <c r="DX191" s="198">
        <v>-5.7793982683982605</v>
      </c>
      <c r="DY191" s="198">
        <v>-5.7793982683982605</v>
      </c>
      <c r="DZ191" s="198">
        <v>-5.7793982683982605</v>
      </c>
      <c r="EA191" s="198">
        <v>-1.7189610389607424E-2</v>
      </c>
      <c r="EB191" s="198">
        <v>-5.7793982683982605</v>
      </c>
      <c r="EC191" s="198">
        <v>-5.7793982683982605</v>
      </c>
      <c r="ED191" s="198">
        <v>-5.7793982683982605</v>
      </c>
      <c r="EE191" s="198">
        <v>-5.7793982683982605</v>
      </c>
      <c r="EF191" s="198">
        <v>-1.7189610389607424E-2</v>
      </c>
      <c r="EG191" s="198">
        <v>0</v>
      </c>
      <c r="EH191" s="198">
        <v>-6.9252415680840667</v>
      </c>
      <c r="EI191" s="336">
        <f t="shared" si="2"/>
        <v>-5.8309670995670988</v>
      </c>
      <c r="EJ191" s="336">
        <f>EI191-'[13]FAOSTAT21 CO2'!EH191</f>
        <v>-5.701880919567099</v>
      </c>
    </row>
    <row r="192" spans="1:140" x14ac:dyDescent="0.25">
      <c r="A192" s="31">
        <v>11</v>
      </c>
      <c r="B192" s="31" t="s">
        <v>432</v>
      </c>
      <c r="C192" s="31">
        <v>193</v>
      </c>
      <c r="D192" s="31">
        <v>1</v>
      </c>
      <c r="E192" s="31">
        <v>0</v>
      </c>
      <c r="F192" s="31">
        <v>1</v>
      </c>
      <c r="G192" s="31">
        <v>0</v>
      </c>
      <c r="H192" s="331" t="s">
        <v>2475</v>
      </c>
      <c r="I192" s="331" t="s">
        <v>433</v>
      </c>
      <c r="J192" s="331"/>
      <c r="K192" s="331"/>
      <c r="L192" s="331"/>
      <c r="M192" s="331"/>
      <c r="N192" s="331"/>
      <c r="O192" s="331"/>
      <c r="P192" s="331"/>
      <c r="Q192" s="331"/>
      <c r="R192" s="331"/>
      <c r="S192" s="331"/>
      <c r="T192" s="331"/>
      <c r="U192" s="331"/>
      <c r="V192" s="331"/>
      <c r="W192" s="331"/>
      <c r="X192" s="331"/>
      <c r="Y192" s="331"/>
      <c r="Z192" s="331"/>
      <c r="AA192" s="331"/>
      <c r="AB192" s="331"/>
      <c r="AC192" s="331"/>
      <c r="AD192" s="331"/>
      <c r="AE192" s="331"/>
      <c r="AF192" s="331"/>
      <c r="AG192" s="331"/>
      <c r="AH192" s="331"/>
      <c r="AI192" s="331"/>
      <c r="AJ192" s="331"/>
      <c r="AK192" s="331"/>
      <c r="AL192" s="331"/>
      <c r="AM192" s="331"/>
      <c r="AN192" s="331"/>
      <c r="AO192" s="331"/>
      <c r="AP192" s="331"/>
      <c r="AQ192" s="331"/>
      <c r="AR192" s="331"/>
      <c r="AS192" s="331"/>
      <c r="AT192" s="331"/>
      <c r="AU192" s="331"/>
      <c r="AV192" s="331"/>
      <c r="AW192" s="331"/>
      <c r="AX192" s="331"/>
      <c r="AY192" s="332" t="s">
        <v>2476</v>
      </c>
      <c r="AZ192" s="332" t="s">
        <v>433</v>
      </c>
      <c r="BA192" s="332"/>
      <c r="BB192" s="332"/>
      <c r="BC192" s="332"/>
      <c r="BD192" s="332"/>
      <c r="BE192" s="332"/>
      <c r="BF192" s="332"/>
      <c r="BG192" s="332"/>
      <c r="BH192" s="332"/>
      <c r="BI192" s="332"/>
      <c r="BJ192" s="332"/>
      <c r="BK192" s="332"/>
      <c r="BL192" s="332"/>
      <c r="BM192" s="332"/>
      <c r="BN192" s="332"/>
      <c r="BO192" s="332"/>
      <c r="BP192" s="332"/>
      <c r="BQ192" s="332"/>
      <c r="BR192" s="332"/>
      <c r="BS192" s="332"/>
      <c r="BT192" s="332"/>
      <c r="BU192" s="332"/>
      <c r="BV192" s="332"/>
      <c r="BW192" s="332"/>
      <c r="BX192" s="332"/>
      <c r="BY192" s="332"/>
      <c r="BZ192" s="332"/>
      <c r="CA192" s="332"/>
      <c r="CB192" s="332"/>
      <c r="CC192" s="332"/>
      <c r="CD192" s="332"/>
      <c r="CE192" s="332"/>
      <c r="CF192" s="332"/>
      <c r="CG192" s="332"/>
      <c r="CH192" s="332"/>
      <c r="CI192" s="332"/>
      <c r="CJ192" s="332"/>
      <c r="CK192" s="332"/>
      <c r="CL192" s="332"/>
      <c r="CM192" s="332"/>
      <c r="CN192" s="332"/>
      <c r="CO192" s="332"/>
      <c r="CP192" s="333" t="s">
        <v>27</v>
      </c>
      <c r="CQ192" s="333" t="s">
        <v>433</v>
      </c>
      <c r="CR192" s="334">
        <v>-46.342311771307358</v>
      </c>
      <c r="CS192" s="334">
        <v>-46.0713074731757</v>
      </c>
      <c r="CT192" s="334">
        <v>-45.084681123420367</v>
      </c>
      <c r="CU192" s="334">
        <v>-41.09058615884102</v>
      </c>
      <c r="CV192" s="334">
        <v>-42.599874622924361</v>
      </c>
      <c r="CW192" s="334">
        <v>-42.642940730390031</v>
      </c>
      <c r="CX192" s="334">
        <v>-45.215677136140364</v>
      </c>
      <c r="CY192" s="334">
        <v>-46.011851430586695</v>
      </c>
      <c r="CZ192" s="334">
        <v>-46.602833040676032</v>
      </c>
      <c r="DA192" s="334">
        <v>-46.974676070763699</v>
      </c>
      <c r="DB192" s="334">
        <v>-48.208345898637695</v>
      </c>
      <c r="DC192" s="334">
        <v>-49.097452280955679</v>
      </c>
      <c r="DD192" s="334">
        <v>-48.091791643941022</v>
      </c>
      <c r="DE192" s="334">
        <v>-45.308462830943014</v>
      </c>
      <c r="DF192" s="334">
        <v>-42.896854013822349</v>
      </c>
      <c r="DG192" s="334">
        <v>-43.388226415759021</v>
      </c>
      <c r="DH192" s="334">
        <v>-50.412338066557695</v>
      </c>
      <c r="DI192" s="334">
        <v>-48.314887423809687</v>
      </c>
      <c r="DJ192" s="334">
        <v>-48.047655118023016</v>
      </c>
      <c r="DK192" s="334">
        <v>-47.924898067774016</v>
      </c>
      <c r="DL192" s="334">
        <v>-50.295848091565702</v>
      </c>
      <c r="DM192" s="334">
        <v>-51.1734535477717</v>
      </c>
      <c r="DN192" s="334">
        <v>-51.256249738932695</v>
      </c>
      <c r="DO192" s="334">
        <v>-49.458439110854705</v>
      </c>
      <c r="DP192" s="334">
        <v>-47.927132680913694</v>
      </c>
      <c r="DQ192" s="334">
        <v>-46.415226770601016</v>
      </c>
      <c r="DR192" s="334">
        <v>-45.219161421162688</v>
      </c>
      <c r="DS192" s="334">
        <v>-38.792515109073356</v>
      </c>
      <c r="DT192" s="334">
        <v>-35.453718209711688</v>
      </c>
      <c r="DU192" s="335">
        <v>-38.259191908041018</v>
      </c>
      <c r="DV192" s="335">
        <v>-41.29078503790101</v>
      </c>
      <c r="DW192" s="335">
        <v>-41.71504904558401</v>
      </c>
      <c r="DX192" s="198">
        <v>-41.29078503790101</v>
      </c>
      <c r="DY192" s="198">
        <v>-41.29078503790101</v>
      </c>
      <c r="DZ192" s="198">
        <v>-41.29078503790101</v>
      </c>
      <c r="EA192" s="198">
        <v>0.42426400768299999</v>
      </c>
      <c r="EB192" s="198">
        <v>-41.29078503790101</v>
      </c>
      <c r="EC192" s="198">
        <v>-42.2</v>
      </c>
      <c r="ED192" s="198">
        <v>-41.29078503790101</v>
      </c>
      <c r="EE192" s="198">
        <v>-42.2</v>
      </c>
      <c r="EF192" s="198">
        <v>-0.4849509544159929</v>
      </c>
      <c r="EG192" s="198">
        <v>-0.90921496209899288</v>
      </c>
      <c r="EH192" s="198">
        <v>-50.484959561696236</v>
      </c>
      <c r="EI192" s="336">
        <f t="shared" si="2"/>
        <v>-40.827962683717956</v>
      </c>
      <c r="EJ192" s="336">
        <f>EI192-'[13]FAOSTAT21 CO2'!EH192</f>
        <v>-23.217272103717956</v>
      </c>
    </row>
    <row r="193" spans="1:140" x14ac:dyDescent="0.25">
      <c r="A193" s="31">
        <v>11</v>
      </c>
      <c r="B193" s="31" t="s">
        <v>434</v>
      </c>
      <c r="C193" s="31">
        <v>194</v>
      </c>
      <c r="D193" s="31">
        <v>0</v>
      </c>
      <c r="E193" s="31">
        <v>0</v>
      </c>
      <c r="F193" s="31">
        <v>1</v>
      </c>
      <c r="G193" s="31">
        <v>0</v>
      </c>
      <c r="H193" s="331" t="s">
        <v>2475</v>
      </c>
      <c r="I193" s="331" t="s">
        <v>435</v>
      </c>
      <c r="J193" s="331"/>
      <c r="K193" s="331"/>
      <c r="L193" s="331"/>
      <c r="M193" s="331"/>
      <c r="N193" s="331"/>
      <c r="O193" s="331"/>
      <c r="P193" s="331"/>
      <c r="Q193" s="331"/>
      <c r="R193" s="331"/>
      <c r="S193" s="331"/>
      <c r="T193" s="331"/>
      <c r="U193" s="331"/>
      <c r="V193" s="331"/>
      <c r="W193" s="331"/>
      <c r="X193" s="331"/>
      <c r="Y193" s="331"/>
      <c r="Z193" s="331"/>
      <c r="AA193" s="331"/>
      <c r="AB193" s="331"/>
      <c r="AC193" s="331"/>
      <c r="AD193" s="331"/>
      <c r="AE193" s="331"/>
      <c r="AF193" s="331"/>
      <c r="AG193" s="331"/>
      <c r="AH193" s="331"/>
      <c r="AI193" s="331"/>
      <c r="AJ193" s="331"/>
      <c r="AK193" s="331"/>
      <c r="AL193" s="331"/>
      <c r="AM193" s="331"/>
      <c r="AN193" s="331"/>
      <c r="AO193" s="331"/>
      <c r="AP193" s="331"/>
      <c r="AQ193" s="331"/>
      <c r="AR193" s="331"/>
      <c r="AS193" s="331"/>
      <c r="AT193" s="331"/>
      <c r="AU193" s="331"/>
      <c r="AV193" s="331"/>
      <c r="AW193" s="331"/>
      <c r="AX193" s="331"/>
      <c r="AY193" s="332" t="s">
        <v>2476</v>
      </c>
      <c r="AZ193" s="332" t="s">
        <v>435</v>
      </c>
      <c r="BA193" s="332"/>
      <c r="BB193" s="332"/>
      <c r="BC193" s="332"/>
      <c r="BD193" s="332"/>
      <c r="BE193" s="332"/>
      <c r="BF193" s="332"/>
      <c r="BG193" s="332"/>
      <c r="BH193" s="332"/>
      <c r="BI193" s="332"/>
      <c r="BJ193" s="332"/>
      <c r="BK193" s="332"/>
      <c r="BL193" s="332"/>
      <c r="BM193" s="332"/>
      <c r="BN193" s="332"/>
      <c r="BO193" s="332"/>
      <c r="BP193" s="332"/>
      <c r="BQ193" s="332"/>
      <c r="BR193" s="332"/>
      <c r="BS193" s="332"/>
      <c r="BT193" s="332"/>
      <c r="BU193" s="332"/>
      <c r="BV193" s="332"/>
      <c r="BW193" s="332"/>
      <c r="BX193" s="332"/>
      <c r="BY193" s="332"/>
      <c r="BZ193" s="332"/>
      <c r="CA193" s="332"/>
      <c r="CB193" s="332"/>
      <c r="CC193" s="332"/>
      <c r="CD193" s="332"/>
      <c r="CE193" s="332"/>
      <c r="CF193" s="332"/>
      <c r="CG193" s="332"/>
      <c r="CH193" s="332"/>
      <c r="CI193" s="332"/>
      <c r="CJ193" s="332"/>
      <c r="CK193" s="332"/>
      <c r="CL193" s="332"/>
      <c r="CM193" s="332"/>
      <c r="CN193" s="332"/>
      <c r="CO193" s="332"/>
      <c r="CP193" s="333" t="s">
        <v>27</v>
      </c>
      <c r="CQ193" s="333" t="s">
        <v>435</v>
      </c>
      <c r="CR193" s="334">
        <v>-1.7711689842664711</v>
      </c>
      <c r="CS193" s="334">
        <v>-4.8988475127037008</v>
      </c>
      <c r="CT193" s="334">
        <v>-4.0163014633988663</v>
      </c>
      <c r="CU193" s="334">
        <v>-4.2825042514579961</v>
      </c>
      <c r="CV193" s="334">
        <v>-2.9937464606801556</v>
      </c>
      <c r="CW193" s="334">
        <v>-3.8027071050811934</v>
      </c>
      <c r="CX193" s="334">
        <v>-5.463538104088058</v>
      </c>
      <c r="CY193" s="334">
        <v>-3.7670943779394737</v>
      </c>
      <c r="CZ193" s="334">
        <v>-2.8201032302004956</v>
      </c>
      <c r="DA193" s="334">
        <v>-2.4142520001550016</v>
      </c>
      <c r="DB193" s="334">
        <v>5.2574321056679088</v>
      </c>
      <c r="DC193" s="334">
        <v>-0.84033814387037975</v>
      </c>
      <c r="DD193" s="334">
        <v>-2.5949454227462452</v>
      </c>
      <c r="DE193" s="334">
        <v>-2.5589340228775859</v>
      </c>
      <c r="DF193" s="334">
        <v>-2.6398435688331165</v>
      </c>
      <c r="DG193" s="334">
        <v>-2.897835261720485</v>
      </c>
      <c r="DH193" s="334">
        <v>-1.9288889673917582</v>
      </c>
      <c r="DI193" s="334">
        <v>-0.84242798351927384</v>
      </c>
      <c r="DJ193" s="334">
        <v>-2.0656806967339754</v>
      </c>
      <c r="DK193" s="334">
        <v>-3.1660017018259019</v>
      </c>
      <c r="DL193" s="334">
        <v>-2.8141745786804293</v>
      </c>
      <c r="DM193" s="334">
        <v>-0.9904226799125001</v>
      </c>
      <c r="DN193" s="334">
        <v>-2.5234512853835591</v>
      </c>
      <c r="DO193" s="334">
        <v>-1.7502648686903088</v>
      </c>
      <c r="DP193" s="334">
        <v>-0.16831219106634387</v>
      </c>
      <c r="DQ193" s="334">
        <v>-1.9616465960130955</v>
      </c>
      <c r="DR193" s="334">
        <v>-1.9872947640980261</v>
      </c>
      <c r="DS193" s="334">
        <v>-1.6929830652149322</v>
      </c>
      <c r="DT193" s="334">
        <v>-1.094589070433438</v>
      </c>
      <c r="DU193" s="335">
        <v>-1.773750324624582</v>
      </c>
      <c r="DV193" s="335">
        <v>-1.4340402892265511</v>
      </c>
      <c r="DW193" s="335">
        <v>-1.8824873330205352</v>
      </c>
      <c r="DX193" s="198">
        <v>-2.82545</v>
      </c>
      <c r="DY193" s="198">
        <v>-0.50544999999999995</v>
      </c>
      <c r="DZ193" s="198">
        <v>-2.82545</v>
      </c>
      <c r="EA193" s="198">
        <v>1.3770373330205352</v>
      </c>
      <c r="EB193" s="198">
        <v>-1.4340402892265511</v>
      </c>
      <c r="EC193" s="198">
        <v>-1.4340402892265511</v>
      </c>
      <c r="ED193" s="198">
        <v>-1.4340402892265511</v>
      </c>
      <c r="EE193" s="198">
        <v>-1.4340402892265511</v>
      </c>
      <c r="EF193" s="198">
        <v>0.44844704379398403</v>
      </c>
      <c r="EG193" s="198">
        <v>-0.92859028922655118</v>
      </c>
      <c r="EH193" s="198">
        <v>-1.4849326480863152</v>
      </c>
      <c r="EI193" s="336">
        <f t="shared" si="2"/>
        <v>-1.7020527640768148</v>
      </c>
      <c r="EJ193" s="336">
        <f>EI193-'[13]FAOSTAT21 CO2'!EH193</f>
        <v>0.53225973592318532</v>
      </c>
    </row>
    <row r="194" spans="1:140" x14ac:dyDescent="0.25">
      <c r="A194" s="31">
        <v>17</v>
      </c>
      <c r="B194" s="31" t="s">
        <v>436</v>
      </c>
      <c r="C194" s="31">
        <v>195</v>
      </c>
      <c r="D194" s="31">
        <v>0</v>
      </c>
      <c r="E194" s="31">
        <v>0</v>
      </c>
      <c r="F194" s="31">
        <v>0</v>
      </c>
      <c r="G194" s="31">
        <v>0</v>
      </c>
      <c r="H194" s="331" t="s">
        <v>2475</v>
      </c>
      <c r="I194" s="331" t="s">
        <v>437</v>
      </c>
      <c r="J194" s="331"/>
      <c r="K194" s="331"/>
      <c r="L194" s="331"/>
      <c r="M194" s="331"/>
      <c r="N194" s="331"/>
      <c r="O194" s="331"/>
      <c r="P194" s="331"/>
      <c r="Q194" s="331"/>
      <c r="R194" s="331"/>
      <c r="S194" s="331"/>
      <c r="T194" s="331"/>
      <c r="U194" s="331"/>
      <c r="V194" s="331"/>
      <c r="W194" s="331"/>
      <c r="X194" s="331"/>
      <c r="Y194" s="331"/>
      <c r="Z194" s="331"/>
      <c r="AA194" s="331"/>
      <c r="AB194" s="331"/>
      <c r="AC194" s="331"/>
      <c r="AD194" s="331"/>
      <c r="AE194" s="331"/>
      <c r="AF194" s="331"/>
      <c r="AG194" s="331"/>
      <c r="AH194" s="331"/>
      <c r="AI194" s="331"/>
      <c r="AJ194" s="331"/>
      <c r="AK194" s="331"/>
      <c r="AL194" s="331"/>
      <c r="AM194" s="331"/>
      <c r="AN194" s="331"/>
      <c r="AO194" s="331"/>
      <c r="AP194" s="331"/>
      <c r="AQ194" s="331"/>
      <c r="AR194" s="331"/>
      <c r="AS194" s="331"/>
      <c r="AT194" s="331"/>
      <c r="AU194" s="331"/>
      <c r="AV194" s="331"/>
      <c r="AW194" s="331"/>
      <c r="AX194" s="331"/>
      <c r="AY194" s="332" t="s">
        <v>2476</v>
      </c>
      <c r="AZ194" s="332" t="s">
        <v>437</v>
      </c>
      <c r="BA194" s="332"/>
      <c r="BB194" s="332"/>
      <c r="BC194" s="332"/>
      <c r="BD194" s="332"/>
      <c r="BE194" s="332"/>
      <c r="BF194" s="332"/>
      <c r="BG194" s="332"/>
      <c r="BH194" s="332"/>
      <c r="BI194" s="332"/>
      <c r="BJ194" s="332"/>
      <c r="BK194" s="332"/>
      <c r="BL194" s="332"/>
      <c r="BM194" s="332"/>
      <c r="BN194" s="332"/>
      <c r="BO194" s="332"/>
      <c r="BP194" s="332"/>
      <c r="BQ194" s="332"/>
      <c r="BR194" s="332"/>
      <c r="BS194" s="332"/>
      <c r="BT194" s="332"/>
      <c r="BU194" s="332"/>
      <c r="BV194" s="332"/>
      <c r="BW194" s="332"/>
      <c r="BX194" s="332"/>
      <c r="BY194" s="332"/>
      <c r="BZ194" s="332"/>
      <c r="CA194" s="332"/>
      <c r="CB194" s="332"/>
      <c r="CC194" s="332"/>
      <c r="CD194" s="332"/>
      <c r="CE194" s="332"/>
      <c r="CF194" s="332"/>
      <c r="CG194" s="332"/>
      <c r="CH194" s="332"/>
      <c r="CI194" s="332"/>
      <c r="CJ194" s="332"/>
      <c r="CK194" s="332"/>
      <c r="CL194" s="332"/>
      <c r="CM194" s="332"/>
      <c r="CN194" s="332"/>
      <c r="CO194" s="332"/>
      <c r="CP194" s="333" t="s">
        <v>27</v>
      </c>
      <c r="CQ194" s="333" t="s">
        <v>437</v>
      </c>
      <c r="CR194" s="334">
        <v>0</v>
      </c>
      <c r="CS194" s="334">
        <v>0</v>
      </c>
      <c r="CT194" s="334">
        <v>0</v>
      </c>
      <c r="CU194" s="334">
        <v>0</v>
      </c>
      <c r="CV194" s="334">
        <v>0</v>
      </c>
      <c r="CW194" s="334">
        <v>0</v>
      </c>
      <c r="CX194" s="334">
        <v>0</v>
      </c>
      <c r="CY194" s="334">
        <v>0</v>
      </c>
      <c r="CZ194" s="334">
        <v>0</v>
      </c>
      <c r="DA194" s="334">
        <v>0</v>
      </c>
      <c r="DB194" s="334">
        <v>0</v>
      </c>
      <c r="DC194" s="334">
        <v>0</v>
      </c>
      <c r="DD194" s="334">
        <v>0</v>
      </c>
      <c r="DE194" s="334">
        <v>0</v>
      </c>
      <c r="DF194" s="334">
        <v>0</v>
      </c>
      <c r="DG194" s="334">
        <v>0</v>
      </c>
      <c r="DH194" s="334">
        <v>0</v>
      </c>
      <c r="DI194" s="334">
        <v>0</v>
      </c>
      <c r="DJ194" s="334">
        <v>0</v>
      </c>
      <c r="DK194" s="334">
        <v>0</v>
      </c>
      <c r="DL194" s="334">
        <v>0</v>
      </c>
      <c r="DM194" s="334">
        <v>0</v>
      </c>
      <c r="DN194" s="334">
        <v>0</v>
      </c>
      <c r="DO194" s="334">
        <v>0</v>
      </c>
      <c r="DP194" s="334">
        <v>0</v>
      </c>
      <c r="DQ194" s="334">
        <v>0</v>
      </c>
      <c r="DR194" s="334">
        <v>0</v>
      </c>
      <c r="DS194" s="334">
        <v>0</v>
      </c>
      <c r="DT194" s="334">
        <v>0</v>
      </c>
      <c r="DU194" s="335">
        <v>0</v>
      </c>
      <c r="DV194" s="335">
        <v>0</v>
      </c>
      <c r="DW194" s="335">
        <v>0</v>
      </c>
      <c r="DX194" s="198" t="s">
        <v>2477</v>
      </c>
      <c r="DY194" s="198" t="s">
        <v>2477</v>
      </c>
      <c r="DZ194" s="198" t="s">
        <v>2477</v>
      </c>
      <c r="EA194" s="198" t="s">
        <v>2477</v>
      </c>
      <c r="EB194" s="198" t="s">
        <v>2477</v>
      </c>
      <c r="EC194" s="198" t="s">
        <v>2477</v>
      </c>
      <c r="ED194" s="198" t="s">
        <v>2477</v>
      </c>
      <c r="EE194" s="198" t="s">
        <v>2477</v>
      </c>
      <c r="EF194" s="198" t="s">
        <v>2477</v>
      </c>
      <c r="EG194" s="198" t="s">
        <v>2477</v>
      </c>
      <c r="EH194" s="198"/>
      <c r="EI194" s="336">
        <f t="shared" si="2"/>
        <v>0</v>
      </c>
      <c r="EJ194" s="336">
        <f>EI194-'[13]FAOSTAT21 CO2'!EH194</f>
        <v>0.13212284000000002</v>
      </c>
    </row>
    <row r="195" spans="1:140" x14ac:dyDescent="0.25">
      <c r="A195" s="31">
        <v>20</v>
      </c>
      <c r="B195" s="31" t="s">
        <v>438</v>
      </c>
      <c r="C195" s="31">
        <v>41</v>
      </c>
      <c r="D195" s="31">
        <v>0</v>
      </c>
      <c r="E195" s="31">
        <v>0</v>
      </c>
      <c r="F195" s="31">
        <v>0</v>
      </c>
      <c r="G195" s="31">
        <v>0</v>
      </c>
      <c r="H195" s="331" t="s">
        <v>2475</v>
      </c>
      <c r="I195" s="331" t="s">
        <v>439</v>
      </c>
      <c r="J195" s="331"/>
      <c r="K195" s="331"/>
      <c r="L195" s="331"/>
      <c r="M195" s="331"/>
      <c r="N195" s="331"/>
      <c r="O195" s="331"/>
      <c r="P195" s="331"/>
      <c r="Q195" s="331"/>
      <c r="R195" s="331"/>
      <c r="S195" s="331"/>
      <c r="T195" s="331"/>
      <c r="U195" s="331"/>
      <c r="V195" s="331"/>
      <c r="W195" s="331"/>
      <c r="X195" s="331"/>
      <c r="Y195" s="331"/>
      <c r="Z195" s="331"/>
      <c r="AA195" s="331"/>
      <c r="AB195" s="331"/>
      <c r="AC195" s="331"/>
      <c r="AD195" s="331"/>
      <c r="AE195" s="331"/>
      <c r="AF195" s="331"/>
      <c r="AG195" s="331"/>
      <c r="AH195" s="331"/>
      <c r="AI195" s="331"/>
      <c r="AJ195" s="331"/>
      <c r="AK195" s="331"/>
      <c r="AL195" s="331"/>
      <c r="AM195" s="331"/>
      <c r="AN195" s="331"/>
      <c r="AO195" s="331"/>
      <c r="AP195" s="331"/>
      <c r="AQ195" s="331"/>
      <c r="AR195" s="331"/>
      <c r="AS195" s="331"/>
      <c r="AT195" s="331"/>
      <c r="AU195" s="331"/>
      <c r="AV195" s="331"/>
      <c r="AW195" s="331"/>
      <c r="AX195" s="331"/>
      <c r="AY195" s="332" t="s">
        <v>2476</v>
      </c>
      <c r="AZ195" s="332" t="s">
        <v>439</v>
      </c>
      <c r="BA195" s="332"/>
      <c r="BB195" s="332"/>
      <c r="BC195" s="332"/>
      <c r="BD195" s="332"/>
      <c r="BE195" s="332"/>
      <c r="BF195" s="332"/>
      <c r="BG195" s="332"/>
      <c r="BH195" s="332"/>
      <c r="BI195" s="332"/>
      <c r="BJ195" s="332"/>
      <c r="BK195" s="332"/>
      <c r="BL195" s="332"/>
      <c r="BM195" s="332"/>
      <c r="BN195" s="332"/>
      <c r="BO195" s="332"/>
      <c r="BP195" s="332"/>
      <c r="BQ195" s="332"/>
      <c r="BR195" s="332"/>
      <c r="BS195" s="332"/>
      <c r="BT195" s="332"/>
      <c r="BU195" s="332"/>
      <c r="BV195" s="332"/>
      <c r="BW195" s="332"/>
      <c r="BX195" s="332"/>
      <c r="BY195" s="332"/>
      <c r="BZ195" s="332"/>
      <c r="CA195" s="332"/>
      <c r="CB195" s="332"/>
      <c r="CC195" s="332"/>
      <c r="CD195" s="332"/>
      <c r="CE195" s="332"/>
      <c r="CF195" s="332"/>
      <c r="CG195" s="332"/>
      <c r="CH195" s="332"/>
      <c r="CI195" s="332"/>
      <c r="CJ195" s="332"/>
      <c r="CK195" s="332"/>
      <c r="CL195" s="332"/>
      <c r="CM195" s="332"/>
      <c r="CN195" s="332"/>
      <c r="CO195" s="332"/>
      <c r="CP195" s="333" t="s">
        <v>27</v>
      </c>
      <c r="CQ195" s="333" t="s">
        <v>439</v>
      </c>
      <c r="CR195" s="334">
        <v>0</v>
      </c>
      <c r="CS195" s="334">
        <v>0</v>
      </c>
      <c r="CT195" s="334">
        <v>0</v>
      </c>
      <c r="CU195" s="334">
        <v>0</v>
      </c>
      <c r="CV195" s="334">
        <v>0</v>
      </c>
      <c r="CW195" s="334">
        <v>0</v>
      </c>
      <c r="CX195" s="334">
        <v>0</v>
      </c>
      <c r="CY195" s="334">
        <v>0</v>
      </c>
      <c r="CZ195" s="334">
        <v>0</v>
      </c>
      <c r="DA195" s="334">
        <v>0</v>
      </c>
      <c r="DB195" s="334">
        <v>0</v>
      </c>
      <c r="DC195" s="334">
        <v>0</v>
      </c>
      <c r="DD195" s="334">
        <v>0</v>
      </c>
      <c r="DE195" s="334">
        <v>0</v>
      </c>
      <c r="DF195" s="334">
        <v>0</v>
      </c>
      <c r="DG195" s="334">
        <v>0</v>
      </c>
      <c r="DH195" s="334">
        <v>0</v>
      </c>
      <c r="DI195" s="334">
        <v>0</v>
      </c>
      <c r="DJ195" s="334">
        <v>0</v>
      </c>
      <c r="DK195" s="334">
        <v>0</v>
      </c>
      <c r="DL195" s="334">
        <v>0</v>
      </c>
      <c r="DM195" s="334">
        <v>0</v>
      </c>
      <c r="DN195" s="334">
        <v>0</v>
      </c>
      <c r="DO195" s="334">
        <v>0</v>
      </c>
      <c r="DP195" s="334">
        <v>0</v>
      </c>
      <c r="DQ195" s="334">
        <v>0</v>
      </c>
      <c r="DR195" s="334">
        <v>0</v>
      </c>
      <c r="DS195" s="334">
        <v>0</v>
      </c>
      <c r="DT195" s="334">
        <v>0</v>
      </c>
      <c r="DU195" s="335">
        <v>0</v>
      </c>
      <c r="DV195" s="335">
        <v>0</v>
      </c>
      <c r="DW195" s="335">
        <v>0</v>
      </c>
      <c r="DX195" s="198" t="s">
        <v>2477</v>
      </c>
      <c r="DY195" s="198" t="s">
        <v>2477</v>
      </c>
      <c r="DZ195" s="198" t="s">
        <v>2477</v>
      </c>
      <c r="EA195" s="198" t="s">
        <v>2477</v>
      </c>
      <c r="EB195" s="198" t="s">
        <v>2477</v>
      </c>
      <c r="EC195" s="198" t="s">
        <v>2477</v>
      </c>
      <c r="ED195" s="198" t="s">
        <v>2477</v>
      </c>
      <c r="EE195" s="198" t="s">
        <v>2477</v>
      </c>
      <c r="EF195" s="198" t="s">
        <v>2477</v>
      </c>
      <c r="EG195" s="198" t="s">
        <v>2477</v>
      </c>
      <c r="EH195" s="198"/>
      <c r="EI195" s="336">
        <f t="shared" ref="EI195:EI226" si="3">AVERAGE(DQ195:DU195)</f>
        <v>0</v>
      </c>
      <c r="EJ195" s="336">
        <f>EI195-'[13]FAOSTAT21 CO2'!EH195</f>
        <v>0</v>
      </c>
    </row>
    <row r="196" spans="1:140" x14ac:dyDescent="0.25">
      <c r="A196" s="31">
        <v>15</v>
      </c>
      <c r="B196" s="31" t="s">
        <v>440</v>
      </c>
      <c r="C196" s="31">
        <v>196</v>
      </c>
      <c r="D196" s="31">
        <v>0</v>
      </c>
      <c r="E196" s="31">
        <v>0</v>
      </c>
      <c r="F196" s="31">
        <v>0</v>
      </c>
      <c r="G196" s="31">
        <v>0</v>
      </c>
      <c r="H196" s="331" t="s">
        <v>2475</v>
      </c>
      <c r="I196" s="331" t="s">
        <v>441</v>
      </c>
      <c r="J196" s="331"/>
      <c r="K196" s="331"/>
      <c r="L196" s="331"/>
      <c r="M196" s="331"/>
      <c r="N196" s="331"/>
      <c r="O196" s="331"/>
      <c r="P196" s="331"/>
      <c r="Q196" s="331"/>
      <c r="R196" s="331"/>
      <c r="S196" s="331"/>
      <c r="T196" s="331"/>
      <c r="U196" s="331"/>
      <c r="V196" s="331"/>
      <c r="W196" s="331"/>
      <c r="X196" s="331"/>
      <c r="Y196" s="331"/>
      <c r="Z196" s="331"/>
      <c r="AA196" s="331"/>
      <c r="AB196" s="331"/>
      <c r="AC196" s="331"/>
      <c r="AD196" s="331"/>
      <c r="AE196" s="331"/>
      <c r="AF196" s="331"/>
      <c r="AG196" s="331"/>
      <c r="AH196" s="331"/>
      <c r="AI196" s="331"/>
      <c r="AJ196" s="331"/>
      <c r="AK196" s="331"/>
      <c r="AL196" s="331"/>
      <c r="AM196" s="331"/>
      <c r="AN196" s="331"/>
      <c r="AO196" s="331"/>
      <c r="AP196" s="331"/>
      <c r="AQ196" s="331"/>
      <c r="AR196" s="331"/>
      <c r="AS196" s="331"/>
      <c r="AT196" s="331"/>
      <c r="AU196" s="331"/>
      <c r="AV196" s="331"/>
      <c r="AW196" s="331"/>
      <c r="AX196" s="331"/>
      <c r="AY196" s="332" t="s">
        <v>2476</v>
      </c>
      <c r="AZ196" s="332" t="s">
        <v>441</v>
      </c>
      <c r="BA196" s="332"/>
      <c r="BB196" s="332"/>
      <c r="BC196" s="332"/>
      <c r="BD196" s="332"/>
      <c r="BE196" s="332"/>
      <c r="BF196" s="332"/>
      <c r="BG196" s="332"/>
      <c r="BH196" s="332"/>
      <c r="BI196" s="332"/>
      <c r="BJ196" s="332"/>
      <c r="BK196" s="332"/>
      <c r="BL196" s="332"/>
      <c r="BM196" s="332"/>
      <c r="BN196" s="332"/>
      <c r="BO196" s="332"/>
      <c r="BP196" s="332"/>
      <c r="BQ196" s="332"/>
      <c r="BR196" s="332"/>
      <c r="BS196" s="332"/>
      <c r="BT196" s="332"/>
      <c r="BU196" s="332"/>
      <c r="BV196" s="332"/>
      <c r="BW196" s="332"/>
      <c r="BX196" s="332"/>
      <c r="BY196" s="332"/>
      <c r="BZ196" s="332"/>
      <c r="CA196" s="332"/>
      <c r="CB196" s="332"/>
      <c r="CC196" s="332"/>
      <c r="CD196" s="332"/>
      <c r="CE196" s="332"/>
      <c r="CF196" s="332"/>
      <c r="CG196" s="332"/>
      <c r="CH196" s="332"/>
      <c r="CI196" s="332"/>
      <c r="CJ196" s="332"/>
      <c r="CK196" s="332"/>
      <c r="CL196" s="332"/>
      <c r="CM196" s="332"/>
      <c r="CN196" s="332"/>
      <c r="CO196" s="332"/>
      <c r="CP196" s="333" t="s">
        <v>27</v>
      </c>
      <c r="CQ196" s="333" t="s">
        <v>441</v>
      </c>
      <c r="CR196" s="334">
        <v>-1.9160000000000001</v>
      </c>
      <c r="CS196" s="334">
        <v>-1.8960000000000001</v>
      </c>
      <c r="CT196" s="334">
        <v>-1.889</v>
      </c>
      <c r="CU196" s="334">
        <v>-1.899</v>
      </c>
      <c r="CV196" s="334">
        <v>-1.887</v>
      </c>
      <c r="CW196" s="334">
        <v>-1.877</v>
      </c>
      <c r="CX196" s="334">
        <v>-1.883</v>
      </c>
      <c r="CY196" s="334">
        <v>-1.873</v>
      </c>
      <c r="CZ196" s="334">
        <v>-1.8620000000000001</v>
      </c>
      <c r="DA196" s="334">
        <v>-1.8540000000000001</v>
      </c>
      <c r="DB196" s="334">
        <v>-1.877</v>
      </c>
      <c r="DC196" s="334">
        <v>-1.8820000000000001</v>
      </c>
      <c r="DD196" s="334">
        <v>-1.9140000000000001</v>
      </c>
      <c r="DE196" s="334">
        <v>-1.93</v>
      </c>
      <c r="DF196" s="334">
        <v>-1.4607699999999999</v>
      </c>
      <c r="DG196" s="334">
        <v>-1.4608099999999999</v>
      </c>
      <c r="DH196" s="334">
        <v>-1.4919100000000001</v>
      </c>
      <c r="DI196" s="334">
        <v>-1.49648</v>
      </c>
      <c r="DJ196" s="334">
        <v>-1.50196</v>
      </c>
      <c r="DK196" s="334">
        <v>-1.4982500000000001</v>
      </c>
      <c r="DL196" s="334">
        <v>-1.5121199999999999</v>
      </c>
      <c r="DM196" s="334">
        <v>-1.53627</v>
      </c>
      <c r="DN196" s="334">
        <v>-1.5507899999999999</v>
      </c>
      <c r="DO196" s="334">
        <v>-1.5642799999999999</v>
      </c>
      <c r="DP196" s="334">
        <v>-1.5769000000000002</v>
      </c>
      <c r="DQ196" s="334">
        <v>-1.5907500000000001</v>
      </c>
      <c r="DR196" s="334">
        <v>-1.59832</v>
      </c>
      <c r="DS196" s="334">
        <v>-1.4503414814814803</v>
      </c>
      <c r="DT196" s="334">
        <v>-1.4315071164021163</v>
      </c>
      <c r="DU196" s="335">
        <v>-1.4126727513227522</v>
      </c>
      <c r="DV196" s="335">
        <v>-1.393838386243381</v>
      </c>
      <c r="DW196" s="335">
        <v>-1.375004021164024</v>
      </c>
      <c r="DX196" s="198">
        <v>-1.393838386243381</v>
      </c>
      <c r="DY196" s="198">
        <v>-1.393838386243381</v>
      </c>
      <c r="DZ196" s="198">
        <v>-1.393838386243381</v>
      </c>
      <c r="EA196" s="198">
        <v>-1.8834365079356985E-2</v>
      </c>
      <c r="EB196" s="198">
        <v>-1.393838386243381</v>
      </c>
      <c r="EC196" s="198">
        <v>-1.393838386243381</v>
      </c>
      <c r="ED196" s="198">
        <v>-1.393838386243381</v>
      </c>
      <c r="EE196" s="198">
        <v>-1.393838386243381</v>
      </c>
      <c r="EF196" s="198">
        <v>-1.8834365079356985E-2</v>
      </c>
      <c r="EG196" s="198">
        <v>0</v>
      </c>
      <c r="EH196" s="198">
        <v>-1.8567449221919152</v>
      </c>
      <c r="EI196" s="336">
        <f t="shared" si="3"/>
        <v>-1.4967182698412698</v>
      </c>
      <c r="EJ196" s="336">
        <f>EI196-'[13]FAOSTAT21 CO2'!EH196</f>
        <v>-1.3134374298412699</v>
      </c>
    </row>
    <row r="197" spans="1:140" x14ac:dyDescent="0.25">
      <c r="A197" s="31">
        <v>26</v>
      </c>
      <c r="B197" s="31" t="s">
        <v>442</v>
      </c>
      <c r="C197" s="31">
        <v>213</v>
      </c>
      <c r="D197" s="31">
        <v>0</v>
      </c>
      <c r="E197" s="31">
        <v>0</v>
      </c>
      <c r="F197" s="31">
        <v>0</v>
      </c>
      <c r="G197" s="31">
        <v>0</v>
      </c>
      <c r="H197" s="331" t="s">
        <v>2475</v>
      </c>
      <c r="I197" s="331" t="s">
        <v>443</v>
      </c>
      <c r="J197" s="331"/>
      <c r="K197" s="331"/>
      <c r="L197" s="331"/>
      <c r="M197" s="331"/>
      <c r="N197" s="331"/>
      <c r="O197" s="331"/>
      <c r="P197" s="331"/>
      <c r="Q197" s="331"/>
      <c r="R197" s="331"/>
      <c r="S197" s="331"/>
      <c r="T197" s="331"/>
      <c r="U197" s="331"/>
      <c r="V197" s="331"/>
      <c r="W197" s="331"/>
      <c r="X197" s="331"/>
      <c r="Y197" s="331"/>
      <c r="Z197" s="331"/>
      <c r="AA197" s="331"/>
      <c r="AB197" s="331"/>
      <c r="AC197" s="331"/>
      <c r="AD197" s="331"/>
      <c r="AE197" s="331"/>
      <c r="AF197" s="331"/>
      <c r="AG197" s="331"/>
      <c r="AH197" s="331"/>
      <c r="AI197" s="331"/>
      <c r="AJ197" s="331"/>
      <c r="AK197" s="331"/>
      <c r="AL197" s="331"/>
      <c r="AM197" s="331"/>
      <c r="AN197" s="331"/>
      <c r="AO197" s="331"/>
      <c r="AP197" s="331"/>
      <c r="AQ197" s="331"/>
      <c r="AR197" s="331"/>
      <c r="AS197" s="331"/>
      <c r="AT197" s="331"/>
      <c r="AU197" s="331"/>
      <c r="AV197" s="331"/>
      <c r="AW197" s="331"/>
      <c r="AX197" s="331"/>
      <c r="AY197" s="332" t="s">
        <v>2476</v>
      </c>
      <c r="AZ197" s="332" t="s">
        <v>443</v>
      </c>
      <c r="BA197" s="332"/>
      <c r="BB197" s="332"/>
      <c r="BC197" s="332"/>
      <c r="BD197" s="332"/>
      <c r="BE197" s="332"/>
      <c r="BF197" s="332"/>
      <c r="BG197" s="332"/>
      <c r="BH197" s="332"/>
      <c r="BI197" s="332"/>
      <c r="BJ197" s="332"/>
      <c r="BK197" s="332"/>
      <c r="BL197" s="332"/>
      <c r="BM197" s="332"/>
      <c r="BN197" s="332"/>
      <c r="BO197" s="332"/>
      <c r="BP197" s="332"/>
      <c r="BQ197" s="332"/>
      <c r="BR197" s="332"/>
      <c r="BS197" s="332"/>
      <c r="BT197" s="332"/>
      <c r="BU197" s="332"/>
      <c r="BV197" s="332"/>
      <c r="BW197" s="332"/>
      <c r="BX197" s="332"/>
      <c r="BY197" s="332"/>
      <c r="BZ197" s="332"/>
      <c r="CA197" s="332"/>
      <c r="CB197" s="332"/>
      <c r="CC197" s="332"/>
      <c r="CD197" s="332"/>
      <c r="CE197" s="332"/>
      <c r="CF197" s="332"/>
      <c r="CG197" s="332"/>
      <c r="CH197" s="332"/>
      <c r="CI197" s="332"/>
      <c r="CJ197" s="332"/>
      <c r="CK197" s="332"/>
      <c r="CL197" s="332"/>
      <c r="CM197" s="332"/>
      <c r="CN197" s="332"/>
      <c r="CO197" s="332"/>
      <c r="CP197" s="333" t="s">
        <v>27</v>
      </c>
      <c r="CQ197" s="333" t="s">
        <v>443</v>
      </c>
      <c r="CR197" s="334">
        <v>177.46299999999999</v>
      </c>
      <c r="CS197" s="334">
        <v>177.46299999999999</v>
      </c>
      <c r="CT197" s="334">
        <v>177.46299999999999</v>
      </c>
      <c r="CU197" s="334">
        <v>177.46299999999999</v>
      </c>
      <c r="CV197" s="334">
        <v>177.46299999999999</v>
      </c>
      <c r="CW197" s="334">
        <v>177.46299999999999</v>
      </c>
      <c r="CX197" s="334">
        <v>178.52249999999998</v>
      </c>
      <c r="CY197" s="334">
        <v>179.58199999999999</v>
      </c>
      <c r="CZ197" s="334">
        <v>179.922</v>
      </c>
      <c r="DA197" s="334">
        <v>180.262</v>
      </c>
      <c r="DB197" s="334">
        <v>180.60499999999999</v>
      </c>
      <c r="DC197" s="334">
        <v>181.80799999999999</v>
      </c>
      <c r="DD197" s="334">
        <v>183.011</v>
      </c>
      <c r="DE197" s="334">
        <v>182.30753846153846</v>
      </c>
      <c r="DF197" s="334">
        <v>182.76366483516495</v>
      </c>
      <c r="DG197" s="334">
        <v>183.21979120879132</v>
      </c>
      <c r="DH197" s="334">
        <v>183.6759175824177</v>
      </c>
      <c r="DI197" s="334">
        <v>184.13204395604396</v>
      </c>
      <c r="DJ197" s="334">
        <v>184.58817032967033</v>
      </c>
      <c r="DK197" s="334">
        <v>185.04429670329682</v>
      </c>
      <c r="DL197" s="334">
        <v>185.50042307692308</v>
      </c>
      <c r="DM197" s="334">
        <v>185.95654945054946</v>
      </c>
      <c r="DN197" s="334">
        <v>186.41267582417595</v>
      </c>
      <c r="DO197" s="334">
        <v>186.86880219780232</v>
      </c>
      <c r="DP197" s="334">
        <v>187.3249285714287</v>
      </c>
      <c r="DQ197" s="334">
        <v>187.78105494505508</v>
      </c>
      <c r="DR197" s="334">
        <v>188.23718131868145</v>
      </c>
      <c r="DS197" s="334">
        <v>188.69330769230794</v>
      </c>
      <c r="DT197" s="334">
        <v>189.14943406593432</v>
      </c>
      <c r="DU197" s="335">
        <v>189.60556043956069</v>
      </c>
      <c r="DV197" s="335">
        <v>190.06168681318707</v>
      </c>
      <c r="DW197" s="335">
        <v>190.51781318681333</v>
      </c>
      <c r="DX197" s="198">
        <v>190.06168681318707</v>
      </c>
      <c r="DY197" s="198">
        <v>190.06168681318707</v>
      </c>
      <c r="DZ197" s="198">
        <v>190.06168681318707</v>
      </c>
      <c r="EA197" s="198">
        <v>-0.45612637362626174</v>
      </c>
      <c r="EB197" s="198">
        <v>190.06168681318707</v>
      </c>
      <c r="EC197" s="198">
        <v>190.06168681318707</v>
      </c>
      <c r="ED197" s="198">
        <v>190.06168681318707</v>
      </c>
      <c r="EE197" s="198">
        <v>190.06168681318707</v>
      </c>
      <c r="EF197" s="198">
        <v>-0.45612637362626174</v>
      </c>
      <c r="EG197" s="198">
        <v>0</v>
      </c>
      <c r="EH197" s="198">
        <v>145.29138204407053</v>
      </c>
      <c r="EI197" s="336">
        <f t="shared" si="3"/>
        <v>188.69330769230788</v>
      </c>
      <c r="EJ197" s="336">
        <f>EI197-'[13]FAOSTAT21 CO2'!EH197</f>
        <v>127.01615881230788</v>
      </c>
    </row>
    <row r="198" spans="1:140" x14ac:dyDescent="0.25">
      <c r="A198" s="31">
        <v>21</v>
      </c>
      <c r="B198" s="31" t="s">
        <v>444</v>
      </c>
      <c r="C198" s="31">
        <v>197</v>
      </c>
      <c r="D198" s="31">
        <v>0</v>
      </c>
      <c r="E198" s="31">
        <v>0</v>
      </c>
      <c r="F198" s="31">
        <v>0</v>
      </c>
      <c r="G198" s="31">
        <v>1</v>
      </c>
      <c r="H198" s="331" t="s">
        <v>2475</v>
      </c>
      <c r="I198" s="331" t="s">
        <v>445</v>
      </c>
      <c r="J198" s="331"/>
      <c r="K198" s="331"/>
      <c r="L198" s="331"/>
      <c r="M198" s="331"/>
      <c r="N198" s="331"/>
      <c r="O198" s="331"/>
      <c r="P198" s="331"/>
      <c r="Q198" s="331"/>
      <c r="R198" s="331"/>
      <c r="S198" s="331"/>
      <c r="T198" s="331"/>
      <c r="U198" s="331"/>
      <c r="V198" s="331"/>
      <c r="W198" s="331"/>
      <c r="X198" s="331"/>
      <c r="Y198" s="331"/>
      <c r="Z198" s="331"/>
      <c r="AA198" s="331"/>
      <c r="AB198" s="331"/>
      <c r="AC198" s="331"/>
      <c r="AD198" s="331"/>
      <c r="AE198" s="331"/>
      <c r="AF198" s="331"/>
      <c r="AG198" s="331"/>
      <c r="AH198" s="331"/>
      <c r="AI198" s="331"/>
      <c r="AJ198" s="331"/>
      <c r="AK198" s="331"/>
      <c r="AL198" s="331"/>
      <c r="AM198" s="331"/>
      <c r="AN198" s="331"/>
      <c r="AO198" s="331"/>
      <c r="AP198" s="331"/>
      <c r="AQ198" s="331"/>
      <c r="AR198" s="331"/>
      <c r="AS198" s="331"/>
      <c r="AT198" s="331"/>
      <c r="AU198" s="331"/>
      <c r="AV198" s="331"/>
      <c r="AW198" s="331"/>
      <c r="AX198" s="331"/>
      <c r="AY198" s="332" t="s">
        <v>2476</v>
      </c>
      <c r="AZ198" s="332" t="s">
        <v>445</v>
      </c>
      <c r="BA198" s="332"/>
      <c r="BB198" s="332"/>
      <c r="BC198" s="332"/>
      <c r="BD198" s="332"/>
      <c r="BE198" s="332"/>
      <c r="BF198" s="332"/>
      <c r="BG198" s="332"/>
      <c r="BH198" s="332"/>
      <c r="BI198" s="332"/>
      <c r="BJ198" s="332"/>
      <c r="BK198" s="332"/>
      <c r="BL198" s="332"/>
      <c r="BM198" s="332"/>
      <c r="BN198" s="332"/>
      <c r="BO198" s="332"/>
      <c r="BP198" s="332"/>
      <c r="BQ198" s="332"/>
      <c r="BR198" s="332"/>
      <c r="BS198" s="332"/>
      <c r="BT198" s="332"/>
      <c r="BU198" s="332"/>
      <c r="BV198" s="332"/>
      <c r="BW198" s="332"/>
      <c r="BX198" s="332"/>
      <c r="BY198" s="332"/>
      <c r="BZ198" s="332"/>
      <c r="CA198" s="332"/>
      <c r="CB198" s="332"/>
      <c r="CC198" s="332"/>
      <c r="CD198" s="332"/>
      <c r="CE198" s="332"/>
      <c r="CF198" s="332"/>
      <c r="CG198" s="332"/>
      <c r="CH198" s="332"/>
      <c r="CI198" s="332"/>
      <c r="CJ198" s="332"/>
      <c r="CK198" s="332"/>
      <c r="CL198" s="332"/>
      <c r="CM198" s="332"/>
      <c r="CN198" s="332"/>
      <c r="CO198" s="332"/>
      <c r="CP198" s="333" t="s">
        <v>27</v>
      </c>
      <c r="CQ198" s="333" t="s">
        <v>445</v>
      </c>
      <c r="CR198" s="334">
        <v>-45.443599999999996</v>
      </c>
      <c r="CS198" s="334">
        <v>-45.443599999999996</v>
      </c>
      <c r="CT198" s="334">
        <v>-45.443599999999996</v>
      </c>
      <c r="CU198" s="334">
        <v>-45.443599999999996</v>
      </c>
      <c r="CV198" s="334">
        <v>-45.443599999999996</v>
      </c>
      <c r="CW198" s="334">
        <v>-45.443599999999996</v>
      </c>
      <c r="CX198" s="334">
        <v>-45.443599999999996</v>
      </c>
      <c r="CY198" s="334">
        <v>-45.443599999999996</v>
      </c>
      <c r="CZ198" s="334">
        <v>-45.443599999999996</v>
      </c>
      <c r="DA198" s="334">
        <v>-45.443599999999996</v>
      </c>
      <c r="DB198" s="334">
        <v>-45.443599999999996</v>
      </c>
      <c r="DC198" s="334">
        <v>-54.436910000000005</v>
      </c>
      <c r="DD198" s="334">
        <v>-44.126050000000006</v>
      </c>
      <c r="DE198" s="334">
        <v>-45.887410000000003</v>
      </c>
      <c r="DF198" s="334">
        <v>-54.146050000000002</v>
      </c>
      <c r="DG198" s="334">
        <v>-58.340429999999998</v>
      </c>
      <c r="DH198" s="334">
        <v>-61.39087</v>
      </c>
      <c r="DI198" s="334">
        <v>-68.39636999999999</v>
      </c>
      <c r="DJ198" s="334">
        <v>-69.184970000000007</v>
      </c>
      <c r="DK198" s="334">
        <v>-71.197039999999987</v>
      </c>
      <c r="DL198" s="334">
        <v>-65.827730000000003</v>
      </c>
      <c r="DM198" s="334">
        <v>-74.636179999999996</v>
      </c>
      <c r="DN198" s="334">
        <v>-80.695940000000007</v>
      </c>
      <c r="DO198" s="334">
        <v>-83.110839999999996</v>
      </c>
      <c r="DP198" s="334">
        <v>-100.50825</v>
      </c>
      <c r="DQ198" s="334">
        <v>-87.337570000000014</v>
      </c>
      <c r="DR198" s="334">
        <v>-87.054600000000008</v>
      </c>
      <c r="DS198" s="334">
        <v>-85.38082</v>
      </c>
      <c r="DT198" s="334">
        <v>-85.968299999999999</v>
      </c>
      <c r="DU198" s="335">
        <v>-91.988520000000008</v>
      </c>
      <c r="DV198" s="335">
        <v>-91.990225425287463</v>
      </c>
      <c r="DW198" s="335">
        <v>-93.904660506488653</v>
      </c>
      <c r="DX198" s="198">
        <v>-91.990225425287463</v>
      </c>
      <c r="DY198" s="198">
        <v>-110</v>
      </c>
      <c r="DZ198" s="198">
        <v>-110</v>
      </c>
      <c r="EA198" s="198">
        <v>-16.095339493511347</v>
      </c>
      <c r="EB198" s="198">
        <v>-91.990225425287463</v>
      </c>
      <c r="EC198" s="198">
        <v>-120</v>
      </c>
      <c r="ED198" s="198">
        <v>-91.990225425287463</v>
      </c>
      <c r="EE198" s="198">
        <v>-120</v>
      </c>
      <c r="EF198" s="198">
        <v>-26.095339493511347</v>
      </c>
      <c r="EG198" s="198">
        <v>-10</v>
      </c>
      <c r="EH198" s="198">
        <v>-97.457002000000003</v>
      </c>
      <c r="EI198" s="336">
        <f t="shared" si="3"/>
        <v>-87.545962000000003</v>
      </c>
      <c r="EJ198" s="336">
        <f>EI198-'[13]FAOSTAT21 CO2'!EH198</f>
        <v>-98.035458320000004</v>
      </c>
    </row>
    <row r="199" spans="1:140" x14ac:dyDescent="0.25">
      <c r="A199" s="31">
        <v>22</v>
      </c>
      <c r="B199" s="31" t="s">
        <v>446</v>
      </c>
      <c r="C199" s="31">
        <v>162</v>
      </c>
      <c r="D199" s="31">
        <v>0</v>
      </c>
      <c r="E199" s="31">
        <v>0</v>
      </c>
      <c r="F199" s="31">
        <v>0</v>
      </c>
      <c r="G199" s="31">
        <v>0</v>
      </c>
      <c r="H199" s="331" t="s">
        <v>2475</v>
      </c>
      <c r="I199" s="331" t="s">
        <v>447</v>
      </c>
      <c r="J199" s="331"/>
      <c r="K199" s="331"/>
      <c r="L199" s="331"/>
      <c r="M199" s="331"/>
      <c r="N199" s="331"/>
      <c r="O199" s="331"/>
      <c r="P199" s="331"/>
      <c r="Q199" s="331"/>
      <c r="R199" s="331"/>
      <c r="S199" s="331"/>
      <c r="T199" s="331"/>
      <c r="U199" s="331"/>
      <c r="V199" s="331"/>
      <c r="W199" s="331"/>
      <c r="X199" s="331"/>
      <c r="Y199" s="331"/>
      <c r="Z199" s="331"/>
      <c r="AA199" s="331"/>
      <c r="AB199" s="331"/>
      <c r="AC199" s="331"/>
      <c r="AD199" s="331"/>
      <c r="AE199" s="331"/>
      <c r="AF199" s="331"/>
      <c r="AG199" s="331"/>
      <c r="AH199" s="331"/>
      <c r="AI199" s="331"/>
      <c r="AJ199" s="331"/>
      <c r="AK199" s="331"/>
      <c r="AL199" s="331"/>
      <c r="AM199" s="331"/>
      <c r="AN199" s="331"/>
      <c r="AO199" s="331"/>
      <c r="AP199" s="331"/>
      <c r="AQ199" s="331"/>
      <c r="AR199" s="331"/>
      <c r="AS199" s="331"/>
      <c r="AT199" s="331"/>
      <c r="AU199" s="331"/>
      <c r="AV199" s="331"/>
      <c r="AW199" s="331"/>
      <c r="AX199" s="331"/>
      <c r="AY199" s="332" t="s">
        <v>2476</v>
      </c>
      <c r="AZ199" s="332" t="s">
        <v>447</v>
      </c>
      <c r="BA199" s="332"/>
      <c r="BB199" s="332"/>
      <c r="BC199" s="332"/>
      <c r="BD199" s="332"/>
      <c r="BE199" s="332"/>
      <c r="BF199" s="332"/>
      <c r="BG199" s="332"/>
      <c r="BH199" s="332"/>
      <c r="BI199" s="332"/>
      <c r="BJ199" s="332"/>
      <c r="BK199" s="332"/>
      <c r="BL199" s="332"/>
      <c r="BM199" s="332"/>
      <c r="BN199" s="332"/>
      <c r="BO199" s="332"/>
      <c r="BP199" s="332"/>
      <c r="BQ199" s="332"/>
      <c r="BR199" s="332"/>
      <c r="BS199" s="332"/>
      <c r="BT199" s="332"/>
      <c r="BU199" s="332"/>
      <c r="BV199" s="332"/>
      <c r="BW199" s="332"/>
      <c r="BX199" s="332"/>
      <c r="BY199" s="332"/>
      <c r="BZ199" s="332"/>
      <c r="CA199" s="332"/>
      <c r="CB199" s="332"/>
      <c r="CC199" s="332"/>
      <c r="CD199" s="332"/>
      <c r="CE199" s="332"/>
      <c r="CF199" s="332"/>
      <c r="CG199" s="332"/>
      <c r="CH199" s="332"/>
      <c r="CI199" s="332"/>
      <c r="CJ199" s="332"/>
      <c r="CK199" s="332"/>
      <c r="CL199" s="332"/>
      <c r="CM199" s="332"/>
      <c r="CN199" s="332"/>
      <c r="CO199" s="332"/>
      <c r="CP199" s="333" t="s">
        <v>27</v>
      </c>
      <c r="CQ199" s="333" t="s">
        <v>447</v>
      </c>
      <c r="CR199" s="334">
        <v>-0.30299999999999999</v>
      </c>
      <c r="CS199" s="334">
        <v>-0.30299999999999999</v>
      </c>
      <c r="CT199" s="334">
        <v>-0.30299999999999999</v>
      </c>
      <c r="CU199" s="334">
        <v>-0.30299999999999999</v>
      </c>
      <c r="CV199" s="334">
        <v>-0.30299999999999999</v>
      </c>
      <c r="CW199" s="334">
        <v>-0.30299999999999999</v>
      </c>
      <c r="CX199" s="334">
        <v>-0.30299999999999999</v>
      </c>
      <c r="CY199" s="334">
        <v>-0.30299999999999999</v>
      </c>
      <c r="CZ199" s="334">
        <v>-0.30299999999999999</v>
      </c>
      <c r="DA199" s="334">
        <v>-0.30299999999999999</v>
      </c>
      <c r="DB199" s="334">
        <v>-0.30299999999999999</v>
      </c>
      <c r="DC199" s="334">
        <v>-0.30299999999999999</v>
      </c>
      <c r="DD199" s="334">
        <v>-0.30299999999999999</v>
      </c>
      <c r="DE199" s="334">
        <v>-0.30299999999999999</v>
      </c>
      <c r="DF199" s="334">
        <v>-0.30299999999999999</v>
      </c>
      <c r="DG199" s="334">
        <v>-0.30299999999999999</v>
      </c>
      <c r="DH199" s="334">
        <v>1.1830000000000001</v>
      </c>
      <c r="DI199" s="334">
        <v>-5.5869999999999997</v>
      </c>
      <c r="DJ199" s="334">
        <v>-4.5640000000000001</v>
      </c>
      <c r="DK199" s="334">
        <v>-2.4220000000000002</v>
      </c>
      <c r="DL199" s="334">
        <v>-0.27900000000000003</v>
      </c>
      <c r="DM199" s="334">
        <v>-3.43</v>
      </c>
      <c r="DN199" s="334">
        <v>-2.859</v>
      </c>
      <c r="DO199" s="334">
        <v>-2.64</v>
      </c>
      <c r="DP199" s="334">
        <v>1.4390000000000001</v>
      </c>
      <c r="DQ199" s="334">
        <v>-1.4787300000000001</v>
      </c>
      <c r="DR199" s="334">
        <v>-2.1402476923076961</v>
      </c>
      <c r="DS199" s="334">
        <v>-2.2261756410256339</v>
      </c>
      <c r="DT199" s="334">
        <v>-2.3121035897436002</v>
      </c>
      <c r="DU199" s="335">
        <v>-2.398031538461538</v>
      </c>
      <c r="DV199" s="335">
        <v>-2.4839594871794759</v>
      </c>
      <c r="DW199" s="335">
        <v>-2.5698874358974422</v>
      </c>
      <c r="DX199" s="198">
        <v>-2.4839594871794759</v>
      </c>
      <c r="DY199" s="198">
        <v>-2.4839594871794759</v>
      </c>
      <c r="DZ199" s="198">
        <v>-2.4839594871794759</v>
      </c>
      <c r="EA199" s="198">
        <v>8.5927948717966274E-2</v>
      </c>
      <c r="EB199" s="198">
        <v>-2.4839594871794759</v>
      </c>
      <c r="EC199" s="198">
        <v>-2.4839594871794759</v>
      </c>
      <c r="ED199" s="198">
        <v>-2.4839594871794759</v>
      </c>
      <c r="EE199" s="198">
        <v>-2.4839594871794759</v>
      </c>
      <c r="EF199" s="198">
        <v>8.5927948717966274E-2</v>
      </c>
      <c r="EG199" s="198">
        <v>0</v>
      </c>
      <c r="EH199" s="198">
        <v>-2.3177685896190905</v>
      </c>
      <c r="EI199" s="336">
        <f t="shared" si="3"/>
        <v>-2.1110576923076936</v>
      </c>
      <c r="EJ199" s="336">
        <f>EI199-'[13]FAOSTAT21 CO2'!EH199</f>
        <v>-2.5742896923076937</v>
      </c>
    </row>
    <row r="200" spans="1:140" x14ac:dyDescent="0.25">
      <c r="A200" s="31">
        <v>8</v>
      </c>
      <c r="B200" s="31" t="s">
        <v>448</v>
      </c>
      <c r="C200" s="31">
        <v>198</v>
      </c>
      <c r="D200" s="31">
        <v>0</v>
      </c>
      <c r="E200" s="31">
        <v>0</v>
      </c>
      <c r="F200" s="31">
        <v>0</v>
      </c>
      <c r="G200" s="31">
        <v>0</v>
      </c>
      <c r="H200" s="331" t="s">
        <v>2475</v>
      </c>
      <c r="I200" s="331" t="s">
        <v>449</v>
      </c>
      <c r="J200" s="331"/>
      <c r="K200" s="331"/>
      <c r="L200" s="331"/>
      <c r="M200" s="331"/>
      <c r="N200" s="331"/>
      <c r="O200" s="331"/>
      <c r="P200" s="331"/>
      <c r="Q200" s="331"/>
      <c r="R200" s="331"/>
      <c r="S200" s="331"/>
      <c r="T200" s="331"/>
      <c r="U200" s="331"/>
      <c r="V200" s="331"/>
      <c r="W200" s="331"/>
      <c r="X200" s="331"/>
      <c r="Y200" s="331"/>
      <c r="Z200" s="331"/>
      <c r="AA200" s="331"/>
      <c r="AB200" s="331"/>
      <c r="AC200" s="331"/>
      <c r="AD200" s="331"/>
      <c r="AE200" s="331"/>
      <c r="AF200" s="331"/>
      <c r="AG200" s="331"/>
      <c r="AH200" s="331"/>
      <c r="AI200" s="331"/>
      <c r="AJ200" s="331"/>
      <c r="AK200" s="331"/>
      <c r="AL200" s="331"/>
      <c r="AM200" s="331"/>
      <c r="AN200" s="331"/>
      <c r="AO200" s="331"/>
      <c r="AP200" s="331"/>
      <c r="AQ200" s="331"/>
      <c r="AR200" s="331"/>
      <c r="AS200" s="331"/>
      <c r="AT200" s="331"/>
      <c r="AU200" s="331"/>
      <c r="AV200" s="331"/>
      <c r="AW200" s="331"/>
      <c r="AX200" s="331"/>
      <c r="AY200" s="332" t="s">
        <v>2476</v>
      </c>
      <c r="AZ200" s="332" t="s">
        <v>449</v>
      </c>
      <c r="BA200" s="332"/>
      <c r="BB200" s="332"/>
      <c r="BC200" s="332"/>
      <c r="BD200" s="332"/>
      <c r="BE200" s="332"/>
      <c r="BF200" s="332"/>
      <c r="BG200" s="332"/>
      <c r="BH200" s="332"/>
      <c r="BI200" s="332"/>
      <c r="BJ200" s="332"/>
      <c r="BK200" s="332"/>
      <c r="BL200" s="332"/>
      <c r="BM200" s="332"/>
      <c r="BN200" s="332"/>
      <c r="BO200" s="332"/>
      <c r="BP200" s="332"/>
      <c r="BQ200" s="332"/>
      <c r="BR200" s="332"/>
      <c r="BS200" s="332"/>
      <c r="BT200" s="332"/>
      <c r="BU200" s="332"/>
      <c r="BV200" s="332"/>
      <c r="BW200" s="332"/>
      <c r="BX200" s="332"/>
      <c r="BY200" s="332"/>
      <c r="BZ200" s="332"/>
      <c r="CA200" s="332"/>
      <c r="CB200" s="332"/>
      <c r="CC200" s="332"/>
      <c r="CD200" s="332"/>
      <c r="CE200" s="332"/>
      <c r="CF200" s="332"/>
      <c r="CG200" s="332"/>
      <c r="CH200" s="332"/>
      <c r="CI200" s="332"/>
      <c r="CJ200" s="332"/>
      <c r="CK200" s="332"/>
      <c r="CL200" s="332"/>
      <c r="CM200" s="332"/>
      <c r="CN200" s="332"/>
      <c r="CO200" s="332"/>
      <c r="CP200" s="333" t="s">
        <v>27</v>
      </c>
      <c r="CQ200" s="333" t="s">
        <v>449</v>
      </c>
      <c r="CR200" s="334">
        <v>6.3452700000000002</v>
      </c>
      <c r="CS200" s="334">
        <v>6.3452700000000002</v>
      </c>
      <c r="CT200" s="334">
        <v>6.3452700000000002</v>
      </c>
      <c r="CU200" s="334">
        <v>6.3452700000000002</v>
      </c>
      <c r="CV200" s="334">
        <v>6.3452700000000002</v>
      </c>
      <c r="CW200" s="334">
        <v>6.3452700000000002</v>
      </c>
      <c r="CX200" s="334">
        <v>6.9380139999999999</v>
      </c>
      <c r="CY200" s="334">
        <v>7.5307579999999996</v>
      </c>
      <c r="CZ200" s="334">
        <v>8.1235020000000002</v>
      </c>
      <c r="DA200" s="334">
        <v>8.7162459999999999</v>
      </c>
      <c r="DB200" s="334">
        <v>9.3089899999999997</v>
      </c>
      <c r="DC200" s="334">
        <v>9.8569019999999998</v>
      </c>
      <c r="DD200" s="334">
        <v>10.404814</v>
      </c>
      <c r="DE200" s="334">
        <v>10.952726</v>
      </c>
      <c r="DF200" s="334">
        <v>11.500638</v>
      </c>
      <c r="DG200" s="334">
        <v>12.048549999999999</v>
      </c>
      <c r="DH200" s="334">
        <v>12.658977999999999</v>
      </c>
      <c r="DI200" s="334">
        <v>13.269406</v>
      </c>
      <c r="DJ200" s="334">
        <v>13.879834000000001</v>
      </c>
      <c r="DK200" s="334">
        <v>14.490262000000001</v>
      </c>
      <c r="DL200" s="334">
        <v>15.10069</v>
      </c>
      <c r="DM200" s="334">
        <v>15.911040000000002</v>
      </c>
      <c r="DN200" s="334">
        <v>16.721390000000003</v>
      </c>
      <c r="DO200" s="334">
        <v>17.531740000000003</v>
      </c>
      <c r="DP200" s="334">
        <v>17.844169999999998</v>
      </c>
      <c r="DQ200" s="334">
        <v>18.342939999999999</v>
      </c>
      <c r="DR200" s="334">
        <v>17.91112</v>
      </c>
      <c r="DS200" s="334">
        <v>18.521439999999998</v>
      </c>
      <c r="DT200" s="334">
        <v>18.1388</v>
      </c>
      <c r="DU200" s="335">
        <v>19.624876748768429</v>
      </c>
      <c r="DV200" s="335">
        <v>20.142915497536933</v>
      </c>
      <c r="DW200" s="335">
        <v>20.660954246305437</v>
      </c>
      <c r="DX200" s="198">
        <v>20.142915497536933</v>
      </c>
      <c r="DY200" s="198">
        <v>20.142915497536933</v>
      </c>
      <c r="DZ200" s="198">
        <v>20.142915497536933</v>
      </c>
      <c r="EA200" s="198">
        <v>-0.51803874876850386</v>
      </c>
      <c r="EB200" s="198">
        <v>20.142915497536933</v>
      </c>
      <c r="EC200" s="198">
        <v>20.142915497536933</v>
      </c>
      <c r="ED200" s="198">
        <v>20.142915497536933</v>
      </c>
      <c r="EE200" s="198">
        <v>20.142915497536933</v>
      </c>
      <c r="EF200" s="198">
        <v>-0.51803874876850386</v>
      </c>
      <c r="EG200" s="198">
        <v>0</v>
      </c>
      <c r="EH200" s="198">
        <v>14.146437980187354</v>
      </c>
      <c r="EI200" s="336">
        <f t="shared" si="3"/>
        <v>18.507835349753684</v>
      </c>
      <c r="EJ200" s="336">
        <f>EI200-'[13]FAOSTAT21 CO2'!EH200</f>
        <v>17.670315869753683</v>
      </c>
    </row>
    <row r="201" spans="1:140" x14ac:dyDescent="0.25">
      <c r="A201" s="31">
        <v>24</v>
      </c>
      <c r="B201" s="31" t="s">
        <v>450</v>
      </c>
      <c r="C201" s="31">
        <v>199</v>
      </c>
      <c r="D201" s="31">
        <v>0</v>
      </c>
      <c r="E201" s="31">
        <v>0</v>
      </c>
      <c r="F201" s="31">
        <v>0</v>
      </c>
      <c r="G201" s="31">
        <v>0</v>
      </c>
      <c r="H201" s="331" t="s">
        <v>2475</v>
      </c>
      <c r="I201" s="331" t="s">
        <v>451</v>
      </c>
      <c r="J201" s="331"/>
      <c r="K201" s="331"/>
      <c r="L201" s="331"/>
      <c r="M201" s="331"/>
      <c r="N201" s="331"/>
      <c r="O201" s="331"/>
      <c r="P201" s="331"/>
      <c r="Q201" s="331"/>
      <c r="R201" s="331"/>
      <c r="S201" s="331"/>
      <c r="T201" s="331"/>
      <c r="U201" s="331"/>
      <c r="V201" s="331"/>
      <c r="W201" s="331"/>
      <c r="X201" s="331"/>
      <c r="Y201" s="331"/>
      <c r="Z201" s="331"/>
      <c r="AA201" s="331"/>
      <c r="AB201" s="331"/>
      <c r="AC201" s="331"/>
      <c r="AD201" s="331"/>
      <c r="AE201" s="331"/>
      <c r="AF201" s="331"/>
      <c r="AG201" s="331"/>
      <c r="AH201" s="331"/>
      <c r="AI201" s="331"/>
      <c r="AJ201" s="331"/>
      <c r="AK201" s="331"/>
      <c r="AL201" s="331"/>
      <c r="AM201" s="331"/>
      <c r="AN201" s="331"/>
      <c r="AO201" s="331"/>
      <c r="AP201" s="331"/>
      <c r="AQ201" s="331"/>
      <c r="AR201" s="331"/>
      <c r="AS201" s="331"/>
      <c r="AT201" s="331"/>
      <c r="AU201" s="331"/>
      <c r="AV201" s="331"/>
      <c r="AW201" s="331"/>
      <c r="AX201" s="331"/>
      <c r="AY201" s="332" t="s">
        <v>2476</v>
      </c>
      <c r="AZ201" s="332" t="s">
        <v>451</v>
      </c>
      <c r="BA201" s="332"/>
      <c r="BB201" s="332"/>
      <c r="BC201" s="332"/>
      <c r="BD201" s="332"/>
      <c r="BE201" s="332"/>
      <c r="BF201" s="332"/>
      <c r="BG201" s="332"/>
      <c r="BH201" s="332"/>
      <c r="BI201" s="332"/>
      <c r="BJ201" s="332"/>
      <c r="BK201" s="332"/>
      <c r="BL201" s="332"/>
      <c r="BM201" s="332"/>
      <c r="BN201" s="332"/>
      <c r="BO201" s="332"/>
      <c r="BP201" s="332"/>
      <c r="BQ201" s="332"/>
      <c r="BR201" s="332"/>
      <c r="BS201" s="332"/>
      <c r="BT201" s="332"/>
      <c r="BU201" s="332"/>
      <c r="BV201" s="332"/>
      <c r="BW201" s="332"/>
      <c r="BX201" s="332"/>
      <c r="BY201" s="332"/>
      <c r="BZ201" s="332"/>
      <c r="CA201" s="332"/>
      <c r="CB201" s="332"/>
      <c r="CC201" s="332"/>
      <c r="CD201" s="332"/>
      <c r="CE201" s="332"/>
      <c r="CF201" s="332"/>
      <c r="CG201" s="332"/>
      <c r="CH201" s="332"/>
      <c r="CI201" s="332"/>
      <c r="CJ201" s="332"/>
      <c r="CK201" s="332"/>
      <c r="CL201" s="332"/>
      <c r="CM201" s="332"/>
      <c r="CN201" s="332"/>
      <c r="CO201" s="332"/>
      <c r="CP201" s="333" t="s">
        <v>27</v>
      </c>
      <c r="CQ201" s="333" t="s">
        <v>451</v>
      </c>
      <c r="CR201" s="334">
        <v>0</v>
      </c>
      <c r="CS201" s="334">
        <v>0</v>
      </c>
      <c r="CT201" s="334">
        <v>0</v>
      </c>
      <c r="CU201" s="334">
        <v>0</v>
      </c>
      <c r="CV201" s="334">
        <v>0</v>
      </c>
      <c r="CW201" s="334">
        <v>0</v>
      </c>
      <c r="CX201" s="334">
        <v>0</v>
      </c>
      <c r="CY201" s="334">
        <v>0</v>
      </c>
      <c r="CZ201" s="334">
        <v>0</v>
      </c>
      <c r="DA201" s="334">
        <v>0</v>
      </c>
      <c r="DB201" s="334">
        <v>0</v>
      </c>
      <c r="DC201" s="334">
        <v>0</v>
      </c>
      <c r="DD201" s="334">
        <v>0</v>
      </c>
      <c r="DE201" s="334">
        <v>0</v>
      </c>
      <c r="DF201" s="334">
        <v>0</v>
      </c>
      <c r="DG201" s="334">
        <v>0</v>
      </c>
      <c r="DH201" s="334">
        <v>0</v>
      </c>
      <c r="DI201" s="334">
        <v>0</v>
      </c>
      <c r="DJ201" s="334">
        <v>0</v>
      </c>
      <c r="DK201" s="334">
        <v>0</v>
      </c>
      <c r="DL201" s="334">
        <v>0</v>
      </c>
      <c r="DM201" s="334">
        <v>0</v>
      </c>
      <c r="DN201" s="334">
        <v>0</v>
      </c>
      <c r="DO201" s="334">
        <v>0</v>
      </c>
      <c r="DP201" s="334">
        <v>0</v>
      </c>
      <c r="DQ201" s="334">
        <v>0</v>
      </c>
      <c r="DR201" s="334">
        <v>0</v>
      </c>
      <c r="DS201" s="334">
        <v>0</v>
      </c>
      <c r="DT201" s="334">
        <v>0</v>
      </c>
      <c r="DU201" s="335">
        <v>0</v>
      </c>
      <c r="DV201" s="335">
        <v>0</v>
      </c>
      <c r="DW201" s="335">
        <v>0</v>
      </c>
      <c r="DX201" s="198" t="s">
        <v>2477</v>
      </c>
      <c r="DY201" s="198" t="s">
        <v>2477</v>
      </c>
      <c r="DZ201" s="198" t="s">
        <v>2477</v>
      </c>
      <c r="EA201" s="198" t="s">
        <v>2477</v>
      </c>
      <c r="EB201" s="198" t="s">
        <v>2477</v>
      </c>
      <c r="EC201" s="198" t="s">
        <v>2477</v>
      </c>
      <c r="ED201" s="198" t="s">
        <v>2477</v>
      </c>
      <c r="EE201" s="198" t="s">
        <v>2477</v>
      </c>
      <c r="EF201" s="198" t="s">
        <v>2477</v>
      </c>
      <c r="EG201" s="198" t="s">
        <v>2477</v>
      </c>
      <c r="EH201" s="198"/>
      <c r="EI201" s="336">
        <f t="shared" si="3"/>
        <v>0</v>
      </c>
      <c r="EJ201" s="336">
        <f>EI201-'[13]FAOSTAT21 CO2'!EH201</f>
        <v>0</v>
      </c>
    </row>
    <row r="202" spans="1:140" x14ac:dyDescent="0.25">
      <c r="A202" s="31">
        <v>24</v>
      </c>
      <c r="B202" s="31" t="s">
        <v>452</v>
      </c>
      <c r="C202" s="31">
        <v>200</v>
      </c>
      <c r="D202" s="31">
        <v>0</v>
      </c>
      <c r="E202" s="31">
        <v>0</v>
      </c>
      <c r="F202" s="31">
        <v>0</v>
      </c>
      <c r="G202" s="31">
        <v>0</v>
      </c>
      <c r="H202" s="331" t="s">
        <v>2475</v>
      </c>
      <c r="I202" s="331" t="s">
        <v>453</v>
      </c>
      <c r="J202" s="331"/>
      <c r="K202" s="331"/>
      <c r="L202" s="331"/>
      <c r="M202" s="331"/>
      <c r="N202" s="331"/>
      <c r="O202" s="331"/>
      <c r="P202" s="331"/>
      <c r="Q202" s="331"/>
      <c r="R202" s="331"/>
      <c r="S202" s="331"/>
      <c r="T202" s="331"/>
      <c r="U202" s="331"/>
      <c r="V202" s="331"/>
      <c r="W202" s="331"/>
      <c r="X202" s="331"/>
      <c r="Y202" s="331"/>
      <c r="Z202" s="331"/>
      <c r="AA202" s="331"/>
      <c r="AB202" s="331"/>
      <c r="AC202" s="331"/>
      <c r="AD202" s="331"/>
      <c r="AE202" s="331"/>
      <c r="AF202" s="331"/>
      <c r="AG202" s="331"/>
      <c r="AH202" s="331"/>
      <c r="AI202" s="331"/>
      <c r="AJ202" s="331"/>
      <c r="AK202" s="331"/>
      <c r="AL202" s="331"/>
      <c r="AM202" s="331"/>
      <c r="AN202" s="331"/>
      <c r="AO202" s="331"/>
      <c r="AP202" s="331"/>
      <c r="AQ202" s="331"/>
      <c r="AR202" s="331"/>
      <c r="AS202" s="331"/>
      <c r="AT202" s="331"/>
      <c r="AU202" s="331"/>
      <c r="AV202" s="331"/>
      <c r="AW202" s="331"/>
      <c r="AX202" s="331"/>
      <c r="AY202" s="332" t="s">
        <v>2476</v>
      </c>
      <c r="AZ202" s="332" t="s">
        <v>453</v>
      </c>
      <c r="BA202" s="332"/>
      <c r="BB202" s="332"/>
      <c r="BC202" s="332"/>
      <c r="BD202" s="332"/>
      <c r="BE202" s="332"/>
      <c r="BF202" s="332"/>
      <c r="BG202" s="332"/>
      <c r="BH202" s="332"/>
      <c r="BI202" s="332"/>
      <c r="BJ202" s="332"/>
      <c r="BK202" s="332"/>
      <c r="BL202" s="332"/>
      <c r="BM202" s="332"/>
      <c r="BN202" s="332"/>
      <c r="BO202" s="332"/>
      <c r="BP202" s="332"/>
      <c r="BQ202" s="332"/>
      <c r="BR202" s="332"/>
      <c r="BS202" s="332"/>
      <c r="BT202" s="332"/>
      <c r="BU202" s="332"/>
      <c r="BV202" s="332"/>
      <c r="BW202" s="332"/>
      <c r="BX202" s="332"/>
      <c r="BY202" s="332"/>
      <c r="BZ202" s="332"/>
      <c r="CA202" s="332"/>
      <c r="CB202" s="332"/>
      <c r="CC202" s="332"/>
      <c r="CD202" s="332"/>
      <c r="CE202" s="332"/>
      <c r="CF202" s="332"/>
      <c r="CG202" s="332"/>
      <c r="CH202" s="332"/>
      <c r="CI202" s="332"/>
      <c r="CJ202" s="332"/>
      <c r="CK202" s="332"/>
      <c r="CL202" s="332"/>
      <c r="CM202" s="332"/>
      <c r="CN202" s="332"/>
      <c r="CO202" s="332"/>
      <c r="CP202" s="333" t="s">
        <v>27</v>
      </c>
      <c r="CQ202" s="333" t="s">
        <v>453</v>
      </c>
      <c r="CR202" s="334">
        <v>-0.30963000000000002</v>
      </c>
      <c r="CS202" s="334">
        <v>-0.30963000000000002</v>
      </c>
      <c r="CT202" s="334">
        <v>-0.30963000000000002</v>
      </c>
      <c r="CU202" s="334">
        <v>-0.30963000000000002</v>
      </c>
      <c r="CV202" s="334">
        <v>-0.30963000000000002</v>
      </c>
      <c r="CW202" s="334">
        <v>-0.56307333333333331</v>
      </c>
      <c r="CX202" s="334">
        <v>-0.81651666666666656</v>
      </c>
      <c r="CY202" s="334">
        <v>-1.0699599999999998</v>
      </c>
      <c r="CZ202" s="334">
        <v>-1.323403333333333</v>
      </c>
      <c r="DA202" s="334">
        <v>-1.5768466666666663</v>
      </c>
      <c r="DB202" s="334">
        <v>-1.83029</v>
      </c>
      <c r="DC202" s="334">
        <v>-1.8072366666666666</v>
      </c>
      <c r="DD202" s="334">
        <v>-1.7841833333333332</v>
      </c>
      <c r="DE202" s="334">
        <v>-1.7611299999999999</v>
      </c>
      <c r="DF202" s="334">
        <v>-1.7380766666666665</v>
      </c>
      <c r="DG202" s="334">
        <v>-1.7150233333333331</v>
      </c>
      <c r="DH202" s="334">
        <v>-1.69197</v>
      </c>
      <c r="DI202" s="334">
        <v>-2.2093841911764684</v>
      </c>
      <c r="DJ202" s="334">
        <v>-2.3292121078431478</v>
      </c>
      <c r="DK202" s="334">
        <v>-2.4490400245097987</v>
      </c>
      <c r="DL202" s="334">
        <v>-2.5688679411764497</v>
      </c>
      <c r="DM202" s="334">
        <v>-2.688695857843129</v>
      </c>
      <c r="DN202" s="334">
        <v>-2.80852377450978</v>
      </c>
      <c r="DO202" s="334">
        <v>-2.9283516911764593</v>
      </c>
      <c r="DP202" s="334">
        <v>-3.0481796078431103</v>
      </c>
      <c r="DQ202" s="334">
        <v>-3.1680075245097896</v>
      </c>
      <c r="DR202" s="334">
        <v>-3.2878354411764406</v>
      </c>
      <c r="DS202" s="334">
        <v>-3.4076633578431483</v>
      </c>
      <c r="DT202" s="334">
        <v>-3.5274912745097708</v>
      </c>
      <c r="DU202" s="335">
        <v>-3.6473191911764502</v>
      </c>
      <c r="DV202" s="335">
        <v>-3.7671471078431011</v>
      </c>
      <c r="DW202" s="335">
        <v>-3.8869750245097805</v>
      </c>
      <c r="DX202" s="198">
        <v>-3.7671471078431011</v>
      </c>
      <c r="DY202" s="198">
        <v>-3.7671471078431011</v>
      </c>
      <c r="DZ202" s="198">
        <v>-3.7671471078431011</v>
      </c>
      <c r="EA202" s="198">
        <v>0.11982791666667936</v>
      </c>
      <c r="EB202" s="198">
        <v>-3.7671471078431011</v>
      </c>
      <c r="EC202" s="198">
        <v>-3.7671471078431011</v>
      </c>
      <c r="ED202" s="198">
        <v>-3.7671471078431011</v>
      </c>
      <c r="EE202" s="198">
        <v>-3.7671471078431011</v>
      </c>
      <c r="EF202" s="198">
        <v>0.11982791666667936</v>
      </c>
      <c r="EG202" s="198">
        <v>0</v>
      </c>
      <c r="EH202" s="198">
        <v>-3.5151037221414487</v>
      </c>
      <c r="EI202" s="336">
        <f t="shared" si="3"/>
        <v>-3.4076633578431199</v>
      </c>
      <c r="EJ202" s="336">
        <f>EI202-'[13]FAOSTAT21 CO2'!EH202</f>
        <v>-3.4076633578431199</v>
      </c>
    </row>
    <row r="203" spans="1:140" x14ac:dyDescent="0.25">
      <c r="A203" s="31">
        <v>4</v>
      </c>
      <c r="B203" s="31" t="s">
        <v>454</v>
      </c>
      <c r="C203" s="31">
        <v>201</v>
      </c>
      <c r="D203" s="31">
        <v>0</v>
      </c>
      <c r="E203" s="31">
        <v>0</v>
      </c>
      <c r="F203" s="31">
        <v>0</v>
      </c>
      <c r="G203" s="31">
        <v>0</v>
      </c>
      <c r="H203" s="331" t="s">
        <v>2475</v>
      </c>
      <c r="I203" s="331" t="s">
        <v>455</v>
      </c>
      <c r="J203" s="331"/>
      <c r="K203" s="331"/>
      <c r="L203" s="331"/>
      <c r="M203" s="331"/>
      <c r="N203" s="331"/>
      <c r="O203" s="331"/>
      <c r="P203" s="331"/>
      <c r="Q203" s="331"/>
      <c r="R203" s="331"/>
      <c r="S203" s="331"/>
      <c r="T203" s="331"/>
      <c r="U203" s="331"/>
      <c r="V203" s="331"/>
      <c r="W203" s="331"/>
      <c r="X203" s="331"/>
      <c r="Y203" s="331"/>
      <c r="Z203" s="331"/>
      <c r="AA203" s="331"/>
      <c r="AB203" s="331"/>
      <c r="AC203" s="331"/>
      <c r="AD203" s="331"/>
      <c r="AE203" s="331"/>
      <c r="AF203" s="331"/>
      <c r="AG203" s="331"/>
      <c r="AH203" s="331"/>
      <c r="AI203" s="331"/>
      <c r="AJ203" s="331"/>
      <c r="AK203" s="331"/>
      <c r="AL203" s="331"/>
      <c r="AM203" s="331"/>
      <c r="AN203" s="331"/>
      <c r="AO203" s="331"/>
      <c r="AP203" s="331"/>
      <c r="AQ203" s="331"/>
      <c r="AR203" s="331"/>
      <c r="AS203" s="331"/>
      <c r="AT203" s="331"/>
      <c r="AU203" s="331"/>
      <c r="AV203" s="331"/>
      <c r="AW203" s="331"/>
      <c r="AX203" s="331"/>
      <c r="AY203" s="332" t="s">
        <v>2476</v>
      </c>
      <c r="AZ203" s="332" t="s">
        <v>455</v>
      </c>
      <c r="BA203" s="332"/>
      <c r="BB203" s="332"/>
      <c r="BC203" s="332"/>
      <c r="BD203" s="332"/>
      <c r="BE203" s="332"/>
      <c r="BF203" s="332"/>
      <c r="BG203" s="332"/>
      <c r="BH203" s="332"/>
      <c r="BI203" s="332"/>
      <c r="BJ203" s="332"/>
      <c r="BK203" s="332"/>
      <c r="BL203" s="332"/>
      <c r="BM203" s="332"/>
      <c r="BN203" s="332"/>
      <c r="BO203" s="332"/>
      <c r="BP203" s="332"/>
      <c r="BQ203" s="332"/>
      <c r="BR203" s="332"/>
      <c r="BS203" s="332"/>
      <c r="BT203" s="332"/>
      <c r="BU203" s="332"/>
      <c r="BV203" s="332"/>
      <c r="BW203" s="332"/>
      <c r="BX203" s="332"/>
      <c r="BY203" s="332"/>
      <c r="BZ203" s="332"/>
      <c r="CA203" s="332"/>
      <c r="CB203" s="332"/>
      <c r="CC203" s="332"/>
      <c r="CD203" s="332"/>
      <c r="CE203" s="332"/>
      <c r="CF203" s="332"/>
      <c r="CG203" s="332"/>
      <c r="CH203" s="332"/>
      <c r="CI203" s="332"/>
      <c r="CJ203" s="332"/>
      <c r="CK203" s="332"/>
      <c r="CL203" s="332"/>
      <c r="CM203" s="332"/>
      <c r="CN203" s="332"/>
      <c r="CO203" s="332"/>
      <c r="CP203" s="333" t="s">
        <v>27</v>
      </c>
      <c r="CQ203" s="333" t="s">
        <v>455</v>
      </c>
      <c r="CR203" s="334">
        <v>-1.4961520000000001</v>
      </c>
      <c r="CS203" s="334">
        <v>-1.5394437142857205</v>
      </c>
      <c r="CT203" s="334">
        <v>-1.582735428571439</v>
      </c>
      <c r="CU203" s="334">
        <v>-1.6260271428571431</v>
      </c>
      <c r="CV203" s="334">
        <v>-1.6693188571428619</v>
      </c>
      <c r="CW203" s="334">
        <v>-1.7126105714285804</v>
      </c>
      <c r="CX203" s="334">
        <v>-1.755902285714299</v>
      </c>
      <c r="CY203" s="334">
        <v>-1.7991940000000031</v>
      </c>
      <c r="CZ203" s="334">
        <v>-1.8424857142857218</v>
      </c>
      <c r="DA203" s="334">
        <v>-1.8857774285714404</v>
      </c>
      <c r="DB203" s="334">
        <v>-1.9290691428571445</v>
      </c>
      <c r="DC203" s="334">
        <v>-1.972360857142863</v>
      </c>
      <c r="DD203" s="334">
        <v>-2.0156525714285816</v>
      </c>
      <c r="DE203" s="334">
        <v>-2.0589442857142859</v>
      </c>
      <c r="DF203" s="334">
        <v>-2.1022360000000044</v>
      </c>
      <c r="DG203" s="334">
        <v>-2.145527714285723</v>
      </c>
      <c r="DH203" s="334">
        <v>-2.1888194285714415</v>
      </c>
      <c r="DI203" s="334">
        <v>-2.2321111428571458</v>
      </c>
      <c r="DJ203" s="334">
        <v>-2.2754028571428644</v>
      </c>
      <c r="DK203" s="334">
        <v>-2.3186945714285829</v>
      </c>
      <c r="DL203" s="334">
        <v>-2.3619862857142873</v>
      </c>
      <c r="DM203" s="334">
        <v>-2.4052780000000058</v>
      </c>
      <c r="DN203" s="334">
        <v>-2.4485697142857243</v>
      </c>
      <c r="DO203" s="334">
        <v>-2.4918614285714282</v>
      </c>
      <c r="DP203" s="334">
        <v>-2.5351531428571472</v>
      </c>
      <c r="DQ203" s="334">
        <v>-2.5784448571428658</v>
      </c>
      <c r="DR203" s="334">
        <v>-2.6217365714285843</v>
      </c>
      <c r="DS203" s="334">
        <v>-2.6650282857142882</v>
      </c>
      <c r="DT203" s="334">
        <v>-2.7083200000000001</v>
      </c>
      <c r="DU203" s="335">
        <v>-2.7516117142857155</v>
      </c>
      <c r="DV203" s="335">
        <v>-2.7949034285714305</v>
      </c>
      <c r="DW203" s="335">
        <v>-2.8381951428571455</v>
      </c>
      <c r="DX203" s="198">
        <v>-1</v>
      </c>
      <c r="DY203" s="198">
        <v>-1</v>
      </c>
      <c r="DZ203" s="198">
        <v>-1</v>
      </c>
      <c r="EA203" s="198">
        <v>1.8381951428571455</v>
      </c>
      <c r="EB203" s="198">
        <v>-2.7949034285714305</v>
      </c>
      <c r="EC203" s="198">
        <v>-2.7949034285714305</v>
      </c>
      <c r="ED203" s="198">
        <v>-2.7949034285714305</v>
      </c>
      <c r="EE203" s="198">
        <v>-2.7949034285714305</v>
      </c>
      <c r="EF203" s="198">
        <v>4.3291714285714988E-2</v>
      </c>
      <c r="EG203" s="198">
        <v>-1.7949034285714305</v>
      </c>
      <c r="EH203" s="198">
        <v>-3.9280925495808807</v>
      </c>
      <c r="EI203" s="336">
        <f t="shared" si="3"/>
        <v>-2.6650282857142908</v>
      </c>
      <c r="EJ203" s="336">
        <f>EI203-'[13]FAOSTAT21 CO2'!EH203</f>
        <v>-2.7881611057142908</v>
      </c>
    </row>
    <row r="204" spans="1:140" x14ac:dyDescent="0.25">
      <c r="A204" s="31">
        <v>7</v>
      </c>
      <c r="B204" s="31" t="s">
        <v>456</v>
      </c>
      <c r="C204" s="31">
        <v>203</v>
      </c>
      <c r="D204" s="31">
        <v>0</v>
      </c>
      <c r="E204" s="31">
        <v>0</v>
      </c>
      <c r="F204" s="31">
        <v>0</v>
      </c>
      <c r="G204" s="31">
        <v>0</v>
      </c>
      <c r="H204" s="331" t="s">
        <v>2475</v>
      </c>
      <c r="I204" s="331" t="s">
        <v>457</v>
      </c>
      <c r="J204" s="331"/>
      <c r="K204" s="331"/>
      <c r="L204" s="331"/>
      <c r="M204" s="331"/>
      <c r="N204" s="331"/>
      <c r="O204" s="331"/>
      <c r="P204" s="331"/>
      <c r="Q204" s="331"/>
      <c r="R204" s="331"/>
      <c r="S204" s="331"/>
      <c r="T204" s="331"/>
      <c r="U204" s="331"/>
      <c r="V204" s="331"/>
      <c r="W204" s="331"/>
      <c r="X204" s="331"/>
      <c r="Y204" s="331"/>
      <c r="Z204" s="331"/>
      <c r="AA204" s="331"/>
      <c r="AB204" s="331"/>
      <c r="AC204" s="331"/>
      <c r="AD204" s="331"/>
      <c r="AE204" s="331"/>
      <c r="AF204" s="331"/>
      <c r="AG204" s="331"/>
      <c r="AH204" s="331"/>
      <c r="AI204" s="331"/>
      <c r="AJ204" s="331"/>
      <c r="AK204" s="331"/>
      <c r="AL204" s="331"/>
      <c r="AM204" s="331"/>
      <c r="AN204" s="331"/>
      <c r="AO204" s="331"/>
      <c r="AP204" s="331"/>
      <c r="AQ204" s="331"/>
      <c r="AR204" s="331"/>
      <c r="AS204" s="331"/>
      <c r="AT204" s="331"/>
      <c r="AU204" s="331"/>
      <c r="AV204" s="331"/>
      <c r="AW204" s="331"/>
      <c r="AX204" s="331"/>
      <c r="AY204" s="332" t="s">
        <v>2476</v>
      </c>
      <c r="AZ204" s="332" t="s">
        <v>457</v>
      </c>
      <c r="BA204" s="332"/>
      <c r="BB204" s="332"/>
      <c r="BC204" s="332"/>
      <c r="BD204" s="332"/>
      <c r="BE204" s="332"/>
      <c r="BF204" s="332"/>
      <c r="BG204" s="332"/>
      <c r="BH204" s="332"/>
      <c r="BI204" s="332"/>
      <c r="BJ204" s="332"/>
      <c r="BK204" s="332"/>
      <c r="BL204" s="332"/>
      <c r="BM204" s="332"/>
      <c r="BN204" s="332"/>
      <c r="BO204" s="332"/>
      <c r="BP204" s="332"/>
      <c r="BQ204" s="332"/>
      <c r="BR204" s="332"/>
      <c r="BS204" s="332"/>
      <c r="BT204" s="332"/>
      <c r="BU204" s="332"/>
      <c r="BV204" s="332"/>
      <c r="BW204" s="332"/>
      <c r="BX204" s="332"/>
      <c r="BY204" s="332"/>
      <c r="BZ204" s="332"/>
      <c r="CA204" s="332"/>
      <c r="CB204" s="332"/>
      <c r="CC204" s="332"/>
      <c r="CD204" s="332"/>
      <c r="CE204" s="332"/>
      <c r="CF204" s="332"/>
      <c r="CG204" s="332"/>
      <c r="CH204" s="332"/>
      <c r="CI204" s="332"/>
      <c r="CJ204" s="332"/>
      <c r="CK204" s="332"/>
      <c r="CL204" s="332"/>
      <c r="CM204" s="332"/>
      <c r="CN204" s="332"/>
      <c r="CO204" s="332"/>
      <c r="CP204" s="333" t="s">
        <v>27</v>
      </c>
      <c r="CQ204" s="333" t="s">
        <v>457</v>
      </c>
      <c r="CR204" s="334">
        <v>-1.7726999999999999</v>
      </c>
      <c r="CS204" s="334">
        <v>-1.7726999999999999</v>
      </c>
      <c r="CT204" s="334">
        <v>-1.7726999999999999</v>
      </c>
      <c r="CU204" s="334">
        <v>-1.7726999999999999</v>
      </c>
      <c r="CV204" s="334">
        <v>-1.7726999999999999</v>
      </c>
      <c r="CW204" s="334">
        <v>-1.8342516666666666</v>
      </c>
      <c r="CX204" s="334">
        <v>-1.8958033333333333</v>
      </c>
      <c r="CY204" s="334">
        <v>-1.957355</v>
      </c>
      <c r="CZ204" s="334">
        <v>-2.0189066666666666</v>
      </c>
      <c r="DA204" s="334">
        <v>-2.0804583333333335</v>
      </c>
      <c r="DB204" s="334">
        <v>-2.1420100000000004</v>
      </c>
      <c r="DC204" s="334">
        <v>-3.2200090000000001</v>
      </c>
      <c r="DD204" s="334">
        <v>-4.2980080000000003</v>
      </c>
      <c r="DE204" s="334">
        <v>-5.3760070000000004</v>
      </c>
      <c r="DF204" s="334">
        <v>-6.4540060000000006</v>
      </c>
      <c r="DG204" s="334">
        <v>-7.5320050000000007</v>
      </c>
      <c r="DH204" s="334">
        <v>-8.610004</v>
      </c>
      <c r="DI204" s="334">
        <v>-9.6880030000000001</v>
      </c>
      <c r="DJ204" s="334">
        <v>-10.766002</v>
      </c>
      <c r="DK204" s="334">
        <v>-11.844001</v>
      </c>
      <c r="DL204" s="334">
        <v>-12.922000000000001</v>
      </c>
      <c r="DM204" s="334">
        <v>-13.132</v>
      </c>
      <c r="DN204" s="334">
        <v>-13.521000000000001</v>
      </c>
      <c r="DO204" s="334">
        <v>-14.866</v>
      </c>
      <c r="DP204" s="334">
        <v>-15.224</v>
      </c>
      <c r="DQ204" s="334">
        <v>-16.123000000000001</v>
      </c>
      <c r="DR204" s="334">
        <v>-16.666</v>
      </c>
      <c r="DS204" s="334">
        <v>-16.754000000000001</v>
      </c>
      <c r="DT204" s="334">
        <v>-17.001000000000001</v>
      </c>
      <c r="DU204" s="335">
        <v>-17.033000000000001</v>
      </c>
      <c r="DV204" s="335">
        <v>-17.257999999999999</v>
      </c>
      <c r="DW204" s="335">
        <v>-17.254000000000001</v>
      </c>
      <c r="DX204" s="198">
        <v>-3</v>
      </c>
      <c r="DY204" s="198">
        <v>-4</v>
      </c>
      <c r="DZ204" s="198">
        <v>-4</v>
      </c>
      <c r="EA204" s="198">
        <v>13.254000000000001</v>
      </c>
      <c r="EB204" s="198">
        <v>-16.100000000000001</v>
      </c>
      <c r="EC204" s="198">
        <v>-33.799999999999997</v>
      </c>
      <c r="ED204" s="198">
        <v>-16.100000000000001</v>
      </c>
      <c r="EE204" s="198">
        <v>-33.799999999999997</v>
      </c>
      <c r="EF204" s="198">
        <v>-16.545999999999996</v>
      </c>
      <c r="EG204" s="198">
        <v>-29.799999999999997</v>
      </c>
      <c r="EH204" s="198">
        <v>-21.836497174860551</v>
      </c>
      <c r="EI204" s="336">
        <f t="shared" si="3"/>
        <v>-16.715400000000002</v>
      </c>
      <c r="EJ204" s="336">
        <f>EI204-'[13]FAOSTAT21 CO2'!EH204</f>
        <v>-14.463259220000003</v>
      </c>
    </row>
    <row r="205" spans="1:140" x14ac:dyDescent="0.25">
      <c r="A205" s="31">
        <v>13</v>
      </c>
      <c r="B205" s="31" t="s">
        <v>458</v>
      </c>
      <c r="C205" s="31">
        <v>204</v>
      </c>
      <c r="D205" s="31">
        <v>0</v>
      </c>
      <c r="E205" s="31">
        <v>1</v>
      </c>
      <c r="F205" s="31">
        <v>1</v>
      </c>
      <c r="G205" s="31">
        <v>1</v>
      </c>
      <c r="H205" s="331" t="s">
        <v>2475</v>
      </c>
      <c r="I205" s="331" t="s">
        <v>459</v>
      </c>
      <c r="J205" s="331"/>
      <c r="K205" s="331"/>
      <c r="L205" s="331"/>
      <c r="M205" s="331"/>
      <c r="N205" s="331"/>
      <c r="O205" s="331"/>
      <c r="P205" s="331"/>
      <c r="Q205" s="331"/>
      <c r="R205" s="331"/>
      <c r="S205" s="331"/>
      <c r="T205" s="331"/>
      <c r="U205" s="331"/>
      <c r="V205" s="331"/>
      <c r="W205" s="331"/>
      <c r="X205" s="331"/>
      <c r="Y205" s="331"/>
      <c r="Z205" s="331"/>
      <c r="AA205" s="331"/>
      <c r="AB205" s="331"/>
      <c r="AC205" s="331"/>
      <c r="AD205" s="331"/>
      <c r="AE205" s="331"/>
      <c r="AF205" s="331"/>
      <c r="AG205" s="331"/>
      <c r="AH205" s="331"/>
      <c r="AI205" s="331"/>
      <c r="AJ205" s="331"/>
      <c r="AK205" s="331"/>
      <c r="AL205" s="331"/>
      <c r="AM205" s="331"/>
      <c r="AN205" s="331"/>
      <c r="AO205" s="331"/>
      <c r="AP205" s="331"/>
      <c r="AQ205" s="331"/>
      <c r="AR205" s="331"/>
      <c r="AS205" s="331"/>
      <c r="AT205" s="331"/>
      <c r="AU205" s="331"/>
      <c r="AV205" s="331"/>
      <c r="AW205" s="331"/>
      <c r="AX205" s="331"/>
      <c r="AY205" s="332" t="s">
        <v>2476</v>
      </c>
      <c r="AZ205" s="332" t="s">
        <v>459</v>
      </c>
      <c r="BA205" s="332"/>
      <c r="BB205" s="332"/>
      <c r="BC205" s="332"/>
      <c r="BD205" s="332"/>
      <c r="BE205" s="332"/>
      <c r="BF205" s="332"/>
      <c r="BG205" s="332"/>
      <c r="BH205" s="332"/>
      <c r="BI205" s="332"/>
      <c r="BJ205" s="332"/>
      <c r="BK205" s="332"/>
      <c r="BL205" s="332"/>
      <c r="BM205" s="332"/>
      <c r="BN205" s="332"/>
      <c r="BO205" s="332"/>
      <c r="BP205" s="332"/>
      <c r="BQ205" s="332"/>
      <c r="BR205" s="332"/>
      <c r="BS205" s="332"/>
      <c r="BT205" s="332"/>
      <c r="BU205" s="332"/>
      <c r="BV205" s="332"/>
      <c r="BW205" s="332"/>
      <c r="BX205" s="332"/>
      <c r="BY205" s="332"/>
      <c r="BZ205" s="332"/>
      <c r="CA205" s="332"/>
      <c r="CB205" s="332"/>
      <c r="CC205" s="332"/>
      <c r="CD205" s="332"/>
      <c r="CE205" s="332"/>
      <c r="CF205" s="332"/>
      <c r="CG205" s="332"/>
      <c r="CH205" s="332"/>
      <c r="CI205" s="332"/>
      <c r="CJ205" s="332"/>
      <c r="CK205" s="332"/>
      <c r="CL205" s="332"/>
      <c r="CM205" s="332"/>
      <c r="CN205" s="332"/>
      <c r="CO205" s="332"/>
      <c r="CP205" s="333" t="s">
        <v>27</v>
      </c>
      <c r="CQ205" s="333" t="s">
        <v>459</v>
      </c>
      <c r="CR205" s="334">
        <v>-66.51095574568275</v>
      </c>
      <c r="CS205" s="334">
        <v>-67.373895896386998</v>
      </c>
      <c r="CT205" s="334">
        <v>-67.476352512069397</v>
      </c>
      <c r="CU205" s="334">
        <v>-66.607971137629988</v>
      </c>
      <c r="CV205" s="334">
        <v>-68.021009385102701</v>
      </c>
      <c r="CW205" s="334">
        <v>-67.775455098637849</v>
      </c>
      <c r="CX205" s="334">
        <v>-67.139526034524508</v>
      </c>
      <c r="CY205" s="334">
        <v>-70.462529519533589</v>
      </c>
      <c r="CZ205" s="334">
        <v>-70.627460057585921</v>
      </c>
      <c r="DA205" s="334">
        <v>-71.211360263320842</v>
      </c>
      <c r="DB205" s="334">
        <v>-68.070639091397595</v>
      </c>
      <c r="DC205" s="334">
        <v>-70.802216540895444</v>
      </c>
      <c r="DD205" s="334">
        <v>-69.301782618355304</v>
      </c>
      <c r="DE205" s="334">
        <v>-71.182383044131257</v>
      </c>
      <c r="DF205" s="334">
        <v>-69.713144653133241</v>
      </c>
      <c r="DG205" s="334">
        <v>-71.806714855064016</v>
      </c>
      <c r="DH205" s="334">
        <v>-71.487707735153876</v>
      </c>
      <c r="DI205" s="334">
        <v>-71.819302544982492</v>
      </c>
      <c r="DJ205" s="334">
        <v>-67.959318884972433</v>
      </c>
      <c r="DK205" s="334">
        <v>-70.898750681130323</v>
      </c>
      <c r="DL205" s="334">
        <v>-71.933560075064861</v>
      </c>
      <c r="DM205" s="334">
        <v>-75.639829632940078</v>
      </c>
      <c r="DN205" s="334">
        <v>-73.443385893504484</v>
      </c>
      <c r="DO205" s="334">
        <v>-76.550879074444325</v>
      </c>
      <c r="DP205" s="334">
        <v>-76.940064170174907</v>
      </c>
      <c r="DQ205" s="334">
        <v>-72.874305777544294</v>
      </c>
      <c r="DR205" s="334">
        <v>-73.178510562651454</v>
      </c>
      <c r="DS205" s="334">
        <v>-75.029340224967683</v>
      </c>
      <c r="DT205" s="334">
        <v>-69.822724685048016</v>
      </c>
      <c r="DU205" s="335">
        <v>-62.794131685473999</v>
      </c>
      <c r="DV205" s="335">
        <v>-57.02557700163154</v>
      </c>
      <c r="DW205" s="335">
        <v>-47.223901614016647</v>
      </c>
      <c r="DX205" s="198">
        <v>-57.02557700163154</v>
      </c>
      <c r="DY205" s="198">
        <v>-57.02557700163154</v>
      </c>
      <c r="DZ205" s="198">
        <v>-57.02557700163154</v>
      </c>
      <c r="EA205" s="198">
        <v>-9.8016753876148925</v>
      </c>
      <c r="EB205" s="198">
        <v>-57.02557700163154</v>
      </c>
      <c r="EC205" s="198">
        <v>-57.02557700163154</v>
      </c>
      <c r="ED205" s="198">
        <v>-57.02557700163154</v>
      </c>
      <c r="EE205" s="198">
        <v>-57.02557700163154</v>
      </c>
      <c r="EF205" s="198">
        <v>-9.8016753876148925</v>
      </c>
      <c r="EG205" s="198">
        <v>0</v>
      </c>
      <c r="EH205" s="198">
        <v>-44.406157350000001</v>
      </c>
      <c r="EI205" s="336">
        <f t="shared" si="3"/>
        <v>-70.739802587137092</v>
      </c>
      <c r="EJ205" s="336">
        <f>EI205-'[13]FAOSTAT21 CO2'!EH205</f>
        <v>-35.88545294713709</v>
      </c>
    </row>
    <row r="206" spans="1:140" x14ac:dyDescent="0.25">
      <c r="A206" s="31">
        <v>15</v>
      </c>
      <c r="B206" s="31" t="s">
        <v>460</v>
      </c>
      <c r="C206" s="31">
        <v>205</v>
      </c>
      <c r="D206" s="31">
        <v>0</v>
      </c>
      <c r="E206" s="31">
        <v>0</v>
      </c>
      <c r="F206" s="31">
        <v>0</v>
      </c>
      <c r="G206" s="31">
        <v>0</v>
      </c>
      <c r="H206" s="331" t="s">
        <v>2475</v>
      </c>
      <c r="I206" s="331" t="s">
        <v>461</v>
      </c>
      <c r="J206" s="331"/>
      <c r="K206" s="331"/>
      <c r="L206" s="331"/>
      <c r="M206" s="331"/>
      <c r="N206" s="331"/>
      <c r="O206" s="331"/>
      <c r="P206" s="331"/>
      <c r="Q206" s="331"/>
      <c r="R206" s="331"/>
      <c r="S206" s="331"/>
      <c r="T206" s="331"/>
      <c r="U206" s="331"/>
      <c r="V206" s="331"/>
      <c r="W206" s="331"/>
      <c r="X206" s="331"/>
      <c r="Y206" s="331"/>
      <c r="Z206" s="331"/>
      <c r="AA206" s="331"/>
      <c r="AB206" s="331"/>
      <c r="AC206" s="331"/>
      <c r="AD206" s="331"/>
      <c r="AE206" s="331"/>
      <c r="AF206" s="331"/>
      <c r="AG206" s="331"/>
      <c r="AH206" s="331"/>
      <c r="AI206" s="331"/>
      <c r="AJ206" s="331"/>
      <c r="AK206" s="331"/>
      <c r="AL206" s="331"/>
      <c r="AM206" s="331"/>
      <c r="AN206" s="331"/>
      <c r="AO206" s="331"/>
      <c r="AP206" s="331"/>
      <c r="AQ206" s="331"/>
      <c r="AR206" s="331"/>
      <c r="AS206" s="331"/>
      <c r="AT206" s="331"/>
      <c r="AU206" s="331"/>
      <c r="AV206" s="331"/>
      <c r="AW206" s="331"/>
      <c r="AX206" s="331"/>
      <c r="AY206" s="332" t="s">
        <v>2476</v>
      </c>
      <c r="AZ206" s="332" t="s">
        <v>461</v>
      </c>
      <c r="BA206" s="332"/>
      <c r="BB206" s="332"/>
      <c r="BC206" s="332"/>
      <c r="BD206" s="332"/>
      <c r="BE206" s="332"/>
      <c r="BF206" s="332"/>
      <c r="BG206" s="332"/>
      <c r="BH206" s="332"/>
      <c r="BI206" s="332"/>
      <c r="BJ206" s="332"/>
      <c r="BK206" s="332"/>
      <c r="BL206" s="332"/>
      <c r="BM206" s="332"/>
      <c r="BN206" s="332"/>
      <c r="BO206" s="332"/>
      <c r="BP206" s="332"/>
      <c r="BQ206" s="332"/>
      <c r="BR206" s="332"/>
      <c r="BS206" s="332"/>
      <c r="BT206" s="332"/>
      <c r="BU206" s="332"/>
      <c r="BV206" s="332"/>
      <c r="BW206" s="332"/>
      <c r="BX206" s="332"/>
      <c r="BY206" s="332"/>
      <c r="BZ206" s="332"/>
      <c r="CA206" s="332"/>
      <c r="CB206" s="332"/>
      <c r="CC206" s="332"/>
      <c r="CD206" s="332"/>
      <c r="CE206" s="332"/>
      <c r="CF206" s="332"/>
      <c r="CG206" s="332"/>
      <c r="CH206" s="332"/>
      <c r="CI206" s="332"/>
      <c r="CJ206" s="332"/>
      <c r="CK206" s="332"/>
      <c r="CL206" s="332"/>
      <c r="CM206" s="332"/>
      <c r="CN206" s="332"/>
      <c r="CO206" s="332"/>
      <c r="CP206" s="333" t="s">
        <v>27</v>
      </c>
      <c r="CQ206" s="333" t="s">
        <v>461</v>
      </c>
      <c r="CR206" s="334">
        <v>-0.82999599999999996</v>
      </c>
      <c r="CS206" s="334">
        <v>-0.82999599999999996</v>
      </c>
      <c r="CT206" s="334">
        <v>-0.82999599999999996</v>
      </c>
      <c r="CU206" s="334">
        <v>-0.82999599999999996</v>
      </c>
      <c r="CV206" s="334">
        <v>-0.82999599999999996</v>
      </c>
      <c r="CW206" s="334">
        <v>-0.82999599999999996</v>
      </c>
      <c r="CX206" s="334">
        <v>-0.82999599999999996</v>
      </c>
      <c r="CY206" s="334">
        <v>-0.82999599999999996</v>
      </c>
      <c r="CZ206" s="334">
        <v>-0.82999599999999996</v>
      </c>
      <c r="DA206" s="334">
        <v>-0.82999599999999996</v>
      </c>
      <c r="DB206" s="334">
        <v>-0.82999599999999996</v>
      </c>
      <c r="DC206" s="334">
        <v>-0.82999599999999996</v>
      </c>
      <c r="DD206" s="334">
        <v>-0.82999599999999996</v>
      </c>
      <c r="DE206" s="334">
        <v>-0.82999599999999996</v>
      </c>
      <c r="DF206" s="334">
        <v>-0.82999599999999996</v>
      </c>
      <c r="DG206" s="334">
        <v>-0.82999599999999962</v>
      </c>
      <c r="DH206" s="334">
        <v>-0.82999599999999951</v>
      </c>
      <c r="DI206" s="334">
        <v>-0.82999599999999951</v>
      </c>
      <c r="DJ206" s="334">
        <v>-0.8299959999999994</v>
      </c>
      <c r="DK206" s="334">
        <v>-0.82999599999999929</v>
      </c>
      <c r="DL206" s="334">
        <v>-0.82999599999999918</v>
      </c>
      <c r="DM206" s="334">
        <v>-0.82999599999999907</v>
      </c>
      <c r="DN206" s="334">
        <v>-0.82999599999999896</v>
      </c>
      <c r="DO206" s="334">
        <v>-0.82999599999999873</v>
      </c>
      <c r="DP206" s="334">
        <v>-0.82999599999999851</v>
      </c>
      <c r="DQ206" s="334">
        <v>-0.8299959999999984</v>
      </c>
      <c r="DR206" s="334">
        <v>-0.82999599999999829</v>
      </c>
      <c r="DS206" s="334">
        <v>-0.82999599999999829</v>
      </c>
      <c r="DT206" s="334">
        <v>-0.82999599999999796</v>
      </c>
      <c r="DU206" s="335">
        <v>-0.82999599999999796</v>
      </c>
      <c r="DV206" s="335">
        <v>-0.82999599999999785</v>
      </c>
      <c r="DW206" s="335">
        <v>-0.82999599999999762</v>
      </c>
      <c r="DX206" s="198">
        <v>-0.82999599999999785</v>
      </c>
      <c r="DY206" s="198">
        <v>-0.82999599999999785</v>
      </c>
      <c r="DZ206" s="198">
        <v>-0.82999599999999785</v>
      </c>
      <c r="EA206" s="198">
        <v>0</v>
      </c>
      <c r="EB206" s="198">
        <v>-0.82999599999999785</v>
      </c>
      <c r="EC206" s="198">
        <v>-0.82999599999999785</v>
      </c>
      <c r="ED206" s="198">
        <v>-0.82999599999999785</v>
      </c>
      <c r="EE206" s="198">
        <v>-0.82999599999999785</v>
      </c>
      <c r="EF206" s="198">
        <v>0</v>
      </c>
      <c r="EG206" s="198">
        <v>0</v>
      </c>
      <c r="EH206" s="198">
        <v>-1.1056452983714167</v>
      </c>
      <c r="EI206" s="336">
        <f t="shared" si="3"/>
        <v>-0.82999599999999807</v>
      </c>
      <c r="EJ206" s="336">
        <f>EI206-'[13]FAOSTAT21 CO2'!EH206</f>
        <v>-0.82999599999999807</v>
      </c>
    </row>
    <row r="207" spans="1:140" x14ac:dyDescent="0.25">
      <c r="A207" s="31">
        <v>4</v>
      </c>
      <c r="B207" s="31" t="s">
        <v>462</v>
      </c>
      <c r="C207" s="31">
        <v>206</v>
      </c>
      <c r="D207" s="31">
        <v>0</v>
      </c>
      <c r="E207" s="31">
        <v>0</v>
      </c>
      <c r="F207" s="31">
        <v>0</v>
      </c>
      <c r="G207" s="31">
        <v>0</v>
      </c>
      <c r="H207" s="331" t="s">
        <v>2475</v>
      </c>
      <c r="I207" s="331" t="s">
        <v>463</v>
      </c>
      <c r="J207" s="331"/>
      <c r="K207" s="331"/>
      <c r="L207" s="331"/>
      <c r="M207" s="331"/>
      <c r="N207" s="331"/>
      <c r="O207" s="331"/>
      <c r="P207" s="331"/>
      <c r="Q207" s="331"/>
      <c r="R207" s="331"/>
      <c r="S207" s="331"/>
      <c r="T207" s="331"/>
      <c r="U207" s="331"/>
      <c r="V207" s="331"/>
      <c r="W207" s="331"/>
      <c r="X207" s="331"/>
      <c r="Y207" s="331"/>
      <c r="Z207" s="331"/>
      <c r="AA207" s="331"/>
      <c r="AB207" s="331"/>
      <c r="AC207" s="331"/>
      <c r="AD207" s="331"/>
      <c r="AE207" s="331"/>
      <c r="AF207" s="331"/>
      <c r="AG207" s="331"/>
      <c r="AH207" s="331"/>
      <c r="AI207" s="331"/>
      <c r="AJ207" s="331"/>
      <c r="AK207" s="331"/>
      <c r="AL207" s="331"/>
      <c r="AM207" s="331"/>
      <c r="AN207" s="331"/>
      <c r="AO207" s="331"/>
      <c r="AP207" s="331"/>
      <c r="AQ207" s="331"/>
      <c r="AR207" s="331"/>
      <c r="AS207" s="331"/>
      <c r="AT207" s="331"/>
      <c r="AU207" s="331"/>
      <c r="AV207" s="331"/>
      <c r="AW207" s="331"/>
      <c r="AX207" s="331"/>
      <c r="AY207" s="332" t="s">
        <v>2476</v>
      </c>
      <c r="AZ207" s="332" t="s">
        <v>463</v>
      </c>
      <c r="BA207" s="332"/>
      <c r="BB207" s="332"/>
      <c r="BC207" s="332"/>
      <c r="BD207" s="332"/>
      <c r="BE207" s="332"/>
      <c r="BF207" s="332"/>
      <c r="BG207" s="332"/>
      <c r="BH207" s="332"/>
      <c r="BI207" s="332"/>
      <c r="BJ207" s="332"/>
      <c r="BK207" s="332"/>
      <c r="BL207" s="332"/>
      <c r="BM207" s="332"/>
      <c r="BN207" s="332"/>
      <c r="BO207" s="332"/>
      <c r="BP207" s="332"/>
      <c r="BQ207" s="332"/>
      <c r="BR207" s="332"/>
      <c r="BS207" s="332"/>
      <c r="BT207" s="332"/>
      <c r="BU207" s="332"/>
      <c r="BV207" s="332"/>
      <c r="BW207" s="332"/>
      <c r="BX207" s="332"/>
      <c r="BY207" s="332"/>
      <c r="BZ207" s="332"/>
      <c r="CA207" s="332"/>
      <c r="CB207" s="332"/>
      <c r="CC207" s="332"/>
      <c r="CD207" s="332"/>
      <c r="CE207" s="332"/>
      <c r="CF207" s="332"/>
      <c r="CG207" s="332"/>
      <c r="CH207" s="332"/>
      <c r="CI207" s="332"/>
      <c r="CJ207" s="332"/>
      <c r="CK207" s="332"/>
      <c r="CL207" s="332"/>
      <c r="CM207" s="332"/>
      <c r="CN207" s="332"/>
      <c r="CO207" s="332"/>
      <c r="CP207" s="333" t="s">
        <v>27</v>
      </c>
      <c r="CQ207" s="333" t="s">
        <v>463</v>
      </c>
      <c r="CR207" s="334">
        <v>0</v>
      </c>
      <c r="CS207" s="334">
        <v>0</v>
      </c>
      <c r="CT207" s="334">
        <v>0</v>
      </c>
      <c r="CU207" s="334">
        <v>0</v>
      </c>
      <c r="CV207" s="334">
        <v>0</v>
      </c>
      <c r="CW207" s="334">
        <v>0</v>
      </c>
      <c r="CX207" s="334">
        <v>0</v>
      </c>
      <c r="CY207" s="334">
        <v>0</v>
      </c>
      <c r="CZ207" s="334">
        <v>0</v>
      </c>
      <c r="DA207" s="334">
        <v>0</v>
      </c>
      <c r="DB207" s="334">
        <v>0</v>
      </c>
      <c r="DC207" s="334">
        <v>0</v>
      </c>
      <c r="DD207" s="334">
        <v>0</v>
      </c>
      <c r="DE207" s="334">
        <v>0</v>
      </c>
      <c r="DF207" s="334">
        <v>0</v>
      </c>
      <c r="DG207" s="334">
        <v>0</v>
      </c>
      <c r="DH207" s="334">
        <v>0</v>
      </c>
      <c r="DI207" s="334">
        <v>0</v>
      </c>
      <c r="DJ207" s="334">
        <v>0</v>
      </c>
      <c r="DK207" s="334">
        <v>0</v>
      </c>
      <c r="DL207" s="334">
        <v>0</v>
      </c>
      <c r="DM207" s="334">
        <v>0</v>
      </c>
      <c r="DN207" s="334">
        <v>0</v>
      </c>
      <c r="DO207" s="334">
        <v>0</v>
      </c>
      <c r="DP207" s="334">
        <v>0</v>
      </c>
      <c r="DQ207" s="334">
        <v>0</v>
      </c>
      <c r="DR207" s="334">
        <v>0</v>
      </c>
      <c r="DS207" s="334">
        <v>0</v>
      </c>
      <c r="DT207" s="334">
        <v>0</v>
      </c>
      <c r="DU207" s="335">
        <v>0</v>
      </c>
      <c r="DV207" s="335">
        <v>0</v>
      </c>
      <c r="DW207" s="335">
        <v>0</v>
      </c>
      <c r="DX207" s="198" t="s">
        <v>2477</v>
      </c>
      <c r="DY207" s="198" t="s">
        <v>2477</v>
      </c>
      <c r="DZ207" s="198" t="s">
        <v>2477</v>
      </c>
      <c r="EA207" s="198" t="s">
        <v>2477</v>
      </c>
      <c r="EB207" s="198" t="s">
        <v>2477</v>
      </c>
      <c r="EC207" s="198" t="s">
        <v>2477</v>
      </c>
      <c r="ED207" s="198" t="s">
        <v>2477</v>
      </c>
      <c r="EE207" s="198" t="s">
        <v>2477</v>
      </c>
      <c r="EF207" s="198" t="s">
        <v>2477</v>
      </c>
      <c r="EG207" s="198" t="s">
        <v>2477</v>
      </c>
      <c r="EH207" s="198"/>
      <c r="EI207" s="336">
        <f t="shared" si="3"/>
        <v>0</v>
      </c>
      <c r="EJ207" s="336">
        <f>EI207-'[13]FAOSTAT21 CO2'!EH207</f>
        <v>0</v>
      </c>
    </row>
    <row r="208" spans="1:140" x14ac:dyDescent="0.25">
      <c r="A208" s="31">
        <v>24</v>
      </c>
      <c r="B208" s="31" t="s">
        <v>464</v>
      </c>
      <c r="C208" s="31">
        <v>207</v>
      </c>
      <c r="D208" s="31">
        <v>0</v>
      </c>
      <c r="E208" s="31">
        <v>0</v>
      </c>
      <c r="F208" s="31">
        <v>0</v>
      </c>
      <c r="G208" s="31">
        <v>0</v>
      </c>
      <c r="H208" s="331" t="s">
        <v>2475</v>
      </c>
      <c r="I208" s="331" t="s">
        <v>465</v>
      </c>
      <c r="J208" s="331"/>
      <c r="K208" s="331"/>
      <c r="L208" s="331"/>
      <c r="M208" s="331"/>
      <c r="N208" s="331"/>
      <c r="O208" s="331"/>
      <c r="P208" s="331"/>
      <c r="Q208" s="331"/>
      <c r="R208" s="331"/>
      <c r="S208" s="331"/>
      <c r="T208" s="331"/>
      <c r="U208" s="331"/>
      <c r="V208" s="331"/>
      <c r="W208" s="331"/>
      <c r="X208" s="331"/>
      <c r="Y208" s="331"/>
      <c r="Z208" s="331"/>
      <c r="AA208" s="331"/>
      <c r="AB208" s="331"/>
      <c r="AC208" s="331"/>
      <c r="AD208" s="331"/>
      <c r="AE208" s="331"/>
      <c r="AF208" s="331"/>
      <c r="AG208" s="331"/>
      <c r="AH208" s="331"/>
      <c r="AI208" s="331"/>
      <c r="AJ208" s="331"/>
      <c r="AK208" s="331"/>
      <c r="AL208" s="331"/>
      <c r="AM208" s="331"/>
      <c r="AN208" s="331"/>
      <c r="AO208" s="331"/>
      <c r="AP208" s="331"/>
      <c r="AQ208" s="331"/>
      <c r="AR208" s="331"/>
      <c r="AS208" s="331"/>
      <c r="AT208" s="331"/>
      <c r="AU208" s="331"/>
      <c r="AV208" s="331"/>
      <c r="AW208" s="331"/>
      <c r="AX208" s="331"/>
      <c r="AY208" s="332" t="s">
        <v>2476</v>
      </c>
      <c r="AZ208" s="332" t="s">
        <v>465</v>
      </c>
      <c r="BA208" s="332"/>
      <c r="BB208" s="332"/>
      <c r="BC208" s="332"/>
      <c r="BD208" s="332"/>
      <c r="BE208" s="332"/>
      <c r="BF208" s="332"/>
      <c r="BG208" s="332"/>
      <c r="BH208" s="332"/>
      <c r="BI208" s="332"/>
      <c r="BJ208" s="332"/>
      <c r="BK208" s="332"/>
      <c r="BL208" s="332"/>
      <c r="BM208" s="332"/>
      <c r="BN208" s="332"/>
      <c r="BO208" s="332"/>
      <c r="BP208" s="332"/>
      <c r="BQ208" s="332"/>
      <c r="BR208" s="332"/>
      <c r="BS208" s="332"/>
      <c r="BT208" s="332"/>
      <c r="BU208" s="332"/>
      <c r="BV208" s="332"/>
      <c r="BW208" s="332"/>
      <c r="BX208" s="332"/>
      <c r="BY208" s="332"/>
      <c r="BZ208" s="332"/>
      <c r="CA208" s="332"/>
      <c r="CB208" s="332"/>
      <c r="CC208" s="332"/>
      <c r="CD208" s="332"/>
      <c r="CE208" s="332"/>
      <c r="CF208" s="332"/>
      <c r="CG208" s="332"/>
      <c r="CH208" s="332"/>
      <c r="CI208" s="332"/>
      <c r="CJ208" s="332"/>
      <c r="CK208" s="332"/>
      <c r="CL208" s="332"/>
      <c r="CM208" s="332"/>
      <c r="CN208" s="332"/>
      <c r="CO208" s="332"/>
      <c r="CP208" s="333" t="s">
        <v>27</v>
      </c>
      <c r="CQ208" s="333" t="s">
        <v>465</v>
      </c>
      <c r="CR208" s="334">
        <v>-3.3399999999999999E-5</v>
      </c>
      <c r="CS208" s="334">
        <v>-3.3399999999999999E-5</v>
      </c>
      <c r="CT208" s="334">
        <v>-3.3399999999999999E-5</v>
      </c>
      <c r="CU208" s="334">
        <v>-3.3399999999999999E-5</v>
      </c>
      <c r="CV208" s="334">
        <v>-3.3399999999999999E-5</v>
      </c>
      <c r="CW208" s="334">
        <v>-3.3399999999999999E-5</v>
      </c>
      <c r="CX208" s="334">
        <v>-3.3399999999999999E-5</v>
      </c>
      <c r="CY208" s="334">
        <v>-3.3399999999999999E-5</v>
      </c>
      <c r="CZ208" s="334">
        <v>-3.3399999999999999E-5</v>
      </c>
      <c r="DA208" s="334">
        <v>-3.3399999999999999E-5</v>
      </c>
      <c r="DB208" s="334">
        <v>-3.3399999999999999E-5</v>
      </c>
      <c r="DC208" s="334">
        <v>-3.3399999999999999E-5</v>
      </c>
      <c r="DD208" s="334">
        <v>-3.3399999999999999E-5</v>
      </c>
      <c r="DE208" s="334">
        <v>-3.3399999999999999E-5</v>
      </c>
      <c r="DF208" s="334">
        <v>-3.3399999999999999E-5</v>
      </c>
      <c r="DG208" s="334">
        <v>-3.3399999999999999E-5</v>
      </c>
      <c r="DH208" s="334">
        <v>-3.3399999999999999E-5</v>
      </c>
      <c r="DI208" s="334">
        <v>-3.3399999999999999E-5</v>
      </c>
      <c r="DJ208" s="334">
        <v>-3.3399999999999999E-5</v>
      </c>
      <c r="DK208" s="334">
        <v>-3.3399999999999999E-5</v>
      </c>
      <c r="DL208" s="334">
        <v>-3.3399999999999999E-5</v>
      </c>
      <c r="DM208" s="334">
        <v>-3.3399999999999999E-5</v>
      </c>
      <c r="DN208" s="334">
        <v>-3.3399999999999999E-5</v>
      </c>
      <c r="DO208" s="334">
        <v>-3.3399999999999999E-5</v>
      </c>
      <c r="DP208" s="334">
        <v>-3.3399999999999999E-5</v>
      </c>
      <c r="DQ208" s="334">
        <v>-3.3400000000000019E-5</v>
      </c>
      <c r="DR208" s="334">
        <v>-3.3400000000000026E-5</v>
      </c>
      <c r="DS208" s="334">
        <v>-3.3400000000000019E-5</v>
      </c>
      <c r="DT208" s="334">
        <v>-3.3400000000000026E-5</v>
      </c>
      <c r="DU208" s="335">
        <v>-3.3400000000000033E-5</v>
      </c>
      <c r="DV208" s="335">
        <v>-3.3400000000000039E-5</v>
      </c>
      <c r="DW208" s="335">
        <v>-3.3400000000000039E-5</v>
      </c>
      <c r="DX208" s="198">
        <v>-3.3400000000000039E-5</v>
      </c>
      <c r="DY208" s="198">
        <v>-3.3400000000000039E-5</v>
      </c>
      <c r="DZ208" s="198">
        <v>-3.3400000000000039E-5</v>
      </c>
      <c r="EA208" s="198">
        <v>0</v>
      </c>
      <c r="EB208" s="198">
        <v>-3.3400000000000039E-5</v>
      </c>
      <c r="EC208" s="198">
        <v>-3.3400000000000039E-5</v>
      </c>
      <c r="ED208" s="198">
        <v>-3.3400000000000039E-5</v>
      </c>
      <c r="EE208" s="198">
        <v>-3.3400000000000039E-5</v>
      </c>
      <c r="EF208" s="198">
        <v>0</v>
      </c>
      <c r="EG208" s="198">
        <v>0</v>
      </c>
      <c r="EH208" s="198">
        <v>-3.1165351646366963E-5</v>
      </c>
      <c r="EI208" s="336">
        <f t="shared" si="3"/>
        <v>-3.3400000000000026E-5</v>
      </c>
      <c r="EJ208" s="336">
        <f>EI208-'[13]FAOSTAT21 CO2'!EH208</f>
        <v>1.6173999999999993E-4</v>
      </c>
    </row>
    <row r="209" spans="1:140" x14ac:dyDescent="0.25">
      <c r="A209" s="31">
        <v>9</v>
      </c>
      <c r="B209" s="31" t="s">
        <v>466</v>
      </c>
      <c r="C209" s="31">
        <v>208</v>
      </c>
      <c r="D209" s="31">
        <v>0</v>
      </c>
      <c r="E209" s="31">
        <v>0</v>
      </c>
      <c r="F209" s="31">
        <v>0</v>
      </c>
      <c r="G209" s="31">
        <v>0</v>
      </c>
      <c r="H209" s="331" t="s">
        <v>2475</v>
      </c>
      <c r="I209" s="331" t="s">
        <v>467</v>
      </c>
      <c r="J209" s="331"/>
      <c r="K209" s="331"/>
      <c r="L209" s="331"/>
      <c r="M209" s="331"/>
      <c r="N209" s="331"/>
      <c r="O209" s="331"/>
      <c r="P209" s="331"/>
      <c r="Q209" s="331"/>
      <c r="R209" s="331"/>
      <c r="S209" s="331"/>
      <c r="T209" s="331"/>
      <c r="U209" s="331"/>
      <c r="V209" s="331"/>
      <c r="W209" s="331"/>
      <c r="X209" s="331"/>
      <c r="Y209" s="331"/>
      <c r="Z209" s="331"/>
      <c r="AA209" s="331"/>
      <c r="AB209" s="331"/>
      <c r="AC209" s="331"/>
      <c r="AD209" s="331"/>
      <c r="AE209" s="331"/>
      <c r="AF209" s="331"/>
      <c r="AG209" s="331"/>
      <c r="AH209" s="331"/>
      <c r="AI209" s="331"/>
      <c r="AJ209" s="331"/>
      <c r="AK209" s="331"/>
      <c r="AL209" s="331"/>
      <c r="AM209" s="331"/>
      <c r="AN209" s="331"/>
      <c r="AO209" s="331"/>
      <c r="AP209" s="331"/>
      <c r="AQ209" s="331"/>
      <c r="AR209" s="331"/>
      <c r="AS209" s="331"/>
      <c r="AT209" s="331"/>
      <c r="AU209" s="331"/>
      <c r="AV209" s="331"/>
      <c r="AW209" s="331"/>
      <c r="AX209" s="331"/>
      <c r="AY209" s="332" t="s">
        <v>2476</v>
      </c>
      <c r="AZ209" s="332" t="s">
        <v>467</v>
      </c>
      <c r="BA209" s="332"/>
      <c r="BB209" s="332"/>
      <c r="BC209" s="332"/>
      <c r="BD209" s="332"/>
      <c r="BE209" s="332"/>
      <c r="BF209" s="332"/>
      <c r="BG209" s="332"/>
      <c r="BH209" s="332"/>
      <c r="BI209" s="332"/>
      <c r="BJ209" s="332"/>
      <c r="BK209" s="332"/>
      <c r="BL209" s="332"/>
      <c r="BM209" s="332"/>
      <c r="BN209" s="332"/>
      <c r="BO209" s="332"/>
      <c r="BP209" s="332"/>
      <c r="BQ209" s="332"/>
      <c r="BR209" s="332"/>
      <c r="BS209" s="332"/>
      <c r="BT209" s="332"/>
      <c r="BU209" s="332"/>
      <c r="BV209" s="332"/>
      <c r="BW209" s="332"/>
      <c r="BX209" s="332"/>
      <c r="BY209" s="332"/>
      <c r="BZ209" s="332"/>
      <c r="CA209" s="332"/>
      <c r="CB209" s="332"/>
      <c r="CC209" s="332"/>
      <c r="CD209" s="332"/>
      <c r="CE209" s="332"/>
      <c r="CF209" s="332"/>
      <c r="CG209" s="332"/>
      <c r="CH209" s="332"/>
      <c r="CI209" s="332"/>
      <c r="CJ209" s="332"/>
      <c r="CK209" s="332"/>
      <c r="CL209" s="332"/>
      <c r="CM209" s="332"/>
      <c r="CN209" s="332"/>
      <c r="CO209" s="332"/>
      <c r="CP209" s="333" t="s">
        <v>27</v>
      </c>
      <c r="CQ209" s="333" t="s">
        <v>467</v>
      </c>
      <c r="CR209" s="334">
        <v>15.022</v>
      </c>
      <c r="CS209" s="334">
        <v>15.022</v>
      </c>
      <c r="CT209" s="334">
        <v>15.022</v>
      </c>
      <c r="CU209" s="334">
        <v>15.022</v>
      </c>
      <c r="CV209" s="334">
        <v>15.022</v>
      </c>
      <c r="CW209" s="334">
        <v>15.022</v>
      </c>
      <c r="CX209" s="334">
        <v>15.9542</v>
      </c>
      <c r="CY209" s="334">
        <v>16.886400000000002</v>
      </c>
      <c r="CZ209" s="334">
        <v>17.818600000000004</v>
      </c>
      <c r="DA209" s="334">
        <v>18.750800000000005</v>
      </c>
      <c r="DB209" s="334">
        <v>19.683</v>
      </c>
      <c r="DC209" s="334">
        <v>21.676400000000001</v>
      </c>
      <c r="DD209" s="334">
        <v>23.669800000000002</v>
      </c>
      <c r="DE209" s="334">
        <v>25.663200000000003</v>
      </c>
      <c r="DF209" s="334">
        <v>27.656600000000005</v>
      </c>
      <c r="DG209" s="334">
        <v>29.65</v>
      </c>
      <c r="DH209" s="334">
        <v>32.406399999999998</v>
      </c>
      <c r="DI209" s="334">
        <v>35.162799999999997</v>
      </c>
      <c r="DJ209" s="334">
        <v>37.919199999999996</v>
      </c>
      <c r="DK209" s="334">
        <v>40.675599999999996</v>
      </c>
      <c r="DL209" s="334">
        <v>43.432000000000002</v>
      </c>
      <c r="DM209" s="334">
        <v>45.357800000000005</v>
      </c>
      <c r="DN209" s="334">
        <v>47.283600000000007</v>
      </c>
      <c r="DO209" s="334">
        <v>49.209400000000009</v>
      </c>
      <c r="DP209" s="334">
        <v>51.135200000000012</v>
      </c>
      <c r="DQ209" s="334">
        <v>53.061</v>
      </c>
      <c r="DR209" s="334">
        <v>54.765500000000003</v>
      </c>
      <c r="DS209" s="334">
        <v>56.47</v>
      </c>
      <c r="DT209" s="334">
        <v>55.657829365079579</v>
      </c>
      <c r="DU209" s="335">
        <v>57.391818828681153</v>
      </c>
      <c r="DV209" s="335">
        <v>59.125808292282272</v>
      </c>
      <c r="DW209" s="335">
        <v>60.859797755883847</v>
      </c>
      <c r="DX209" s="198">
        <v>80</v>
      </c>
      <c r="DY209" s="198">
        <v>79.050279409867571</v>
      </c>
      <c r="DZ209" s="198">
        <v>77.024208817585077</v>
      </c>
      <c r="EA209" s="198">
        <v>18.190481653983724</v>
      </c>
      <c r="EB209" s="198">
        <v>59.125808292282272</v>
      </c>
      <c r="EC209" s="198">
        <v>59.125808292282272</v>
      </c>
      <c r="ED209" s="198">
        <v>59.125808292282272</v>
      </c>
      <c r="EE209" s="198">
        <v>59.125808292282272</v>
      </c>
      <c r="EF209" s="198">
        <v>-1.7339894636015742</v>
      </c>
      <c r="EG209" s="198">
        <v>-19.924471117585298</v>
      </c>
      <c r="EH209" s="198">
        <v>45.198327686642543</v>
      </c>
      <c r="EI209" s="336">
        <f t="shared" si="3"/>
        <v>55.469229638752154</v>
      </c>
      <c r="EJ209" s="336">
        <f>EI209-'[13]FAOSTAT21 CO2'!EH209</f>
        <v>39.644291498752153</v>
      </c>
    </row>
    <row r="210" spans="1:140" x14ac:dyDescent="0.25">
      <c r="A210" s="31">
        <v>14</v>
      </c>
      <c r="B210" s="31" t="s">
        <v>468</v>
      </c>
      <c r="C210" s="31">
        <v>209</v>
      </c>
      <c r="D210" s="31">
        <v>0</v>
      </c>
      <c r="E210" s="31">
        <v>0</v>
      </c>
      <c r="F210" s="31">
        <v>1</v>
      </c>
      <c r="G210" s="31">
        <v>1</v>
      </c>
      <c r="H210" s="331" t="s">
        <v>2475</v>
      </c>
      <c r="I210" s="331" t="s">
        <v>469</v>
      </c>
      <c r="J210" s="331"/>
      <c r="K210" s="331"/>
      <c r="L210" s="331"/>
      <c r="M210" s="331"/>
      <c r="N210" s="331"/>
      <c r="O210" s="331"/>
      <c r="P210" s="331"/>
      <c r="Q210" s="331"/>
      <c r="R210" s="331"/>
      <c r="S210" s="331"/>
      <c r="T210" s="331"/>
      <c r="U210" s="331"/>
      <c r="V210" s="331"/>
      <c r="W210" s="331"/>
      <c r="X210" s="331"/>
      <c r="Y210" s="331"/>
      <c r="Z210" s="331"/>
      <c r="AA210" s="331"/>
      <c r="AB210" s="331"/>
      <c r="AC210" s="331"/>
      <c r="AD210" s="331"/>
      <c r="AE210" s="331"/>
      <c r="AF210" s="331"/>
      <c r="AG210" s="331"/>
      <c r="AH210" s="331"/>
      <c r="AI210" s="331"/>
      <c r="AJ210" s="331"/>
      <c r="AK210" s="331"/>
      <c r="AL210" s="331"/>
      <c r="AM210" s="331"/>
      <c r="AN210" s="331"/>
      <c r="AO210" s="331"/>
      <c r="AP210" s="331"/>
      <c r="AQ210" s="331"/>
      <c r="AR210" s="331"/>
      <c r="AS210" s="331"/>
      <c r="AT210" s="331"/>
      <c r="AU210" s="331"/>
      <c r="AV210" s="331"/>
      <c r="AW210" s="331"/>
      <c r="AX210" s="331"/>
      <c r="AY210" s="332" t="s">
        <v>2476</v>
      </c>
      <c r="AZ210" s="332" t="s">
        <v>469</v>
      </c>
      <c r="BA210" s="332"/>
      <c r="BB210" s="332"/>
      <c r="BC210" s="332"/>
      <c r="BD210" s="332"/>
      <c r="BE210" s="332"/>
      <c r="BF210" s="332"/>
      <c r="BG210" s="332"/>
      <c r="BH210" s="332"/>
      <c r="BI210" s="332"/>
      <c r="BJ210" s="332"/>
      <c r="BK210" s="332"/>
      <c r="BL210" s="332"/>
      <c r="BM210" s="332"/>
      <c r="BN210" s="332"/>
      <c r="BO210" s="332"/>
      <c r="BP210" s="332"/>
      <c r="BQ210" s="332"/>
      <c r="BR210" s="332"/>
      <c r="BS210" s="332"/>
      <c r="BT210" s="332"/>
      <c r="BU210" s="332"/>
      <c r="BV210" s="332"/>
      <c r="BW210" s="332"/>
      <c r="BX210" s="332"/>
      <c r="BY210" s="332"/>
      <c r="BZ210" s="332"/>
      <c r="CA210" s="332"/>
      <c r="CB210" s="332"/>
      <c r="CC210" s="332"/>
      <c r="CD210" s="332"/>
      <c r="CE210" s="332"/>
      <c r="CF210" s="332"/>
      <c r="CG210" s="332"/>
      <c r="CH210" s="332"/>
      <c r="CI210" s="332"/>
      <c r="CJ210" s="332"/>
      <c r="CK210" s="332"/>
      <c r="CL210" s="332"/>
      <c r="CM210" s="332"/>
      <c r="CN210" s="332"/>
      <c r="CO210" s="332"/>
      <c r="CP210" s="333" t="s">
        <v>27</v>
      </c>
      <c r="CQ210" s="333" t="s">
        <v>469</v>
      </c>
      <c r="CR210" s="334">
        <v>-31.406801371257068</v>
      </c>
      <c r="CS210" s="334">
        <v>-39.593848036415181</v>
      </c>
      <c r="CT210" s="334">
        <v>-39.320648086944679</v>
      </c>
      <c r="CU210" s="334">
        <v>-32.811417072490471</v>
      </c>
      <c r="CV210" s="334">
        <v>-36.986035012164351</v>
      </c>
      <c r="CW210" s="334">
        <v>-32.125677266488573</v>
      </c>
      <c r="CX210" s="334">
        <v>-27.725177273773234</v>
      </c>
      <c r="CY210" s="334">
        <v>-22.467955458735965</v>
      </c>
      <c r="CZ210" s="334">
        <v>-28.098797764259714</v>
      </c>
      <c r="DA210" s="334">
        <v>-31.017005319783788</v>
      </c>
      <c r="DB210" s="334">
        <v>-22.912755739020643</v>
      </c>
      <c r="DC210" s="334">
        <v>-17.35936215322366</v>
      </c>
      <c r="DD210" s="334">
        <v>-14.801776466413388</v>
      </c>
      <c r="DE210" s="334">
        <v>-21.253886482619443</v>
      </c>
      <c r="DF210" s="334">
        <v>-9.5733240087765932</v>
      </c>
      <c r="DG210" s="334">
        <v>-8.9468270469968303</v>
      </c>
      <c r="DH210" s="334">
        <v>-11.998909238990546</v>
      </c>
      <c r="DI210" s="334">
        <v>-14.071558626439</v>
      </c>
      <c r="DJ210" s="334">
        <v>0.84506131990818867</v>
      </c>
      <c r="DK210" s="334">
        <v>-4.7483912663536287</v>
      </c>
      <c r="DL210" s="334">
        <v>-8.9970773016305916</v>
      </c>
      <c r="DM210" s="334">
        <v>8.6094430589576127</v>
      </c>
      <c r="DN210" s="334">
        <v>5.03140293528892</v>
      </c>
      <c r="DO210" s="334">
        <v>18.986513475073302</v>
      </c>
      <c r="DP210" s="334">
        <v>20.075505191236228</v>
      </c>
      <c r="DQ210" s="334">
        <v>19.741978204966212</v>
      </c>
      <c r="DR210" s="334">
        <v>24.351298437329202</v>
      </c>
      <c r="DS210" s="334">
        <v>13.439553571443371</v>
      </c>
      <c r="DT210" s="334">
        <v>24.915821811685309</v>
      </c>
      <c r="DU210" s="335">
        <v>23.331490985402446</v>
      </c>
      <c r="DV210" s="335">
        <v>-0.40317473119244235</v>
      </c>
      <c r="DW210" s="335">
        <v>14.230098496152248</v>
      </c>
      <c r="DX210" s="198">
        <v>-17</v>
      </c>
      <c r="DY210" s="198">
        <v>-17</v>
      </c>
      <c r="DZ210" s="198">
        <v>-17</v>
      </c>
      <c r="EA210" s="198">
        <v>-31.230098496152248</v>
      </c>
      <c r="EB210" s="198">
        <v>-0.40317473119244235</v>
      </c>
      <c r="EC210" s="198">
        <v>-0.40317473119244235</v>
      </c>
      <c r="ED210" s="198">
        <v>-44.4</v>
      </c>
      <c r="EE210" s="198">
        <v>-52.15</v>
      </c>
      <c r="EF210" s="198">
        <v>-14.63327322734469</v>
      </c>
      <c r="EG210" s="198">
        <v>16.596825268807557</v>
      </c>
      <c r="EH210" s="198">
        <v>-1.2244007311924423</v>
      </c>
      <c r="EI210" s="336">
        <f t="shared" si="3"/>
        <v>21.156028602165311</v>
      </c>
      <c r="EJ210" s="336">
        <f>EI210-'[13]FAOSTAT21 CO2'!EH210</f>
        <v>33.75332214216531</v>
      </c>
    </row>
    <row r="211" spans="1:140" x14ac:dyDescent="0.25">
      <c r="A211" s="31">
        <v>17</v>
      </c>
      <c r="B211" s="31" t="s">
        <v>470</v>
      </c>
      <c r="C211" s="31">
        <v>202</v>
      </c>
      <c r="D211" s="31">
        <v>0</v>
      </c>
      <c r="E211" s="31">
        <v>0</v>
      </c>
      <c r="F211" s="31">
        <v>0</v>
      </c>
      <c r="G211" s="31">
        <v>0</v>
      </c>
      <c r="H211" s="331" t="s">
        <v>2475</v>
      </c>
      <c r="I211" s="331" t="s">
        <v>471</v>
      </c>
      <c r="J211" s="331"/>
      <c r="K211" s="331"/>
      <c r="L211" s="331"/>
      <c r="M211" s="331"/>
      <c r="N211" s="331"/>
      <c r="O211" s="331"/>
      <c r="P211" s="331"/>
      <c r="Q211" s="331"/>
      <c r="R211" s="331"/>
      <c r="S211" s="331"/>
      <c r="T211" s="331"/>
      <c r="U211" s="331"/>
      <c r="V211" s="331"/>
      <c r="W211" s="331"/>
      <c r="X211" s="331"/>
      <c r="Y211" s="331"/>
      <c r="Z211" s="331"/>
      <c r="AA211" s="331"/>
      <c r="AB211" s="331"/>
      <c r="AC211" s="331"/>
      <c r="AD211" s="331"/>
      <c r="AE211" s="331"/>
      <c r="AF211" s="331"/>
      <c r="AG211" s="331"/>
      <c r="AH211" s="331"/>
      <c r="AI211" s="331"/>
      <c r="AJ211" s="331"/>
      <c r="AK211" s="331"/>
      <c r="AL211" s="331"/>
      <c r="AM211" s="331"/>
      <c r="AN211" s="331"/>
      <c r="AO211" s="331"/>
      <c r="AP211" s="331"/>
      <c r="AQ211" s="331"/>
      <c r="AR211" s="331"/>
      <c r="AS211" s="331"/>
      <c r="AT211" s="331"/>
      <c r="AU211" s="331"/>
      <c r="AV211" s="331"/>
      <c r="AW211" s="331"/>
      <c r="AX211" s="331"/>
      <c r="AY211" s="332" t="s">
        <v>2476</v>
      </c>
      <c r="AZ211" s="332" t="s">
        <v>471</v>
      </c>
      <c r="BA211" s="332"/>
      <c r="BB211" s="332"/>
      <c r="BC211" s="332"/>
      <c r="BD211" s="332"/>
      <c r="BE211" s="332"/>
      <c r="BF211" s="332"/>
      <c r="BG211" s="332"/>
      <c r="BH211" s="332"/>
      <c r="BI211" s="332"/>
      <c r="BJ211" s="332"/>
      <c r="BK211" s="332"/>
      <c r="BL211" s="332"/>
      <c r="BM211" s="332"/>
      <c r="BN211" s="332"/>
      <c r="BO211" s="332"/>
      <c r="BP211" s="332"/>
      <c r="BQ211" s="332"/>
      <c r="BR211" s="332"/>
      <c r="BS211" s="332"/>
      <c r="BT211" s="332"/>
      <c r="BU211" s="332"/>
      <c r="BV211" s="332"/>
      <c r="BW211" s="332"/>
      <c r="BX211" s="332"/>
      <c r="BY211" s="332"/>
      <c r="BZ211" s="332"/>
      <c r="CA211" s="332"/>
      <c r="CB211" s="332"/>
      <c r="CC211" s="332"/>
      <c r="CD211" s="332"/>
      <c r="CE211" s="332"/>
      <c r="CF211" s="332"/>
      <c r="CG211" s="332"/>
      <c r="CH211" s="332"/>
      <c r="CI211" s="332"/>
      <c r="CJ211" s="332"/>
      <c r="CK211" s="332"/>
      <c r="CL211" s="332"/>
      <c r="CM211" s="332"/>
      <c r="CN211" s="332"/>
      <c r="CO211" s="332"/>
      <c r="CP211" s="333" t="s">
        <v>27</v>
      </c>
      <c r="CQ211" s="333" t="s">
        <v>471</v>
      </c>
      <c r="CR211" s="334">
        <v>-4.2270000000000003</v>
      </c>
      <c r="CS211" s="334">
        <v>-4.2270000000000003</v>
      </c>
      <c r="CT211" s="334">
        <v>-4.2270000000000003</v>
      </c>
      <c r="CU211" s="334">
        <v>-4.2270000000000003</v>
      </c>
      <c r="CV211" s="334">
        <v>-4.2270000000000003</v>
      </c>
      <c r="CW211" s="334">
        <v>-5.1333333333333337</v>
      </c>
      <c r="CX211" s="334">
        <v>-6.0396666666666672</v>
      </c>
      <c r="CY211" s="334">
        <v>-6.9460000000000006</v>
      </c>
      <c r="CZ211" s="334">
        <v>-7.8523333333333341</v>
      </c>
      <c r="DA211" s="334">
        <v>-8.7586666666666666</v>
      </c>
      <c r="DB211" s="334">
        <v>-9.6650000000000009</v>
      </c>
      <c r="DC211" s="334">
        <v>-10.376600000000002</v>
      </c>
      <c r="DD211" s="334">
        <v>-11.088200000000002</v>
      </c>
      <c r="DE211" s="334">
        <v>-11.799800000000003</v>
      </c>
      <c r="DF211" s="334">
        <v>-12.511400000000004</v>
      </c>
      <c r="DG211" s="334">
        <v>-13.223000000000001</v>
      </c>
      <c r="DH211" s="334">
        <v>-12.690930222222223</v>
      </c>
      <c r="DI211" s="334">
        <v>-12.158860444444445</v>
      </c>
      <c r="DJ211" s="334">
        <v>-11.626790666666666</v>
      </c>
      <c r="DK211" s="334">
        <v>-11.094720888888888</v>
      </c>
      <c r="DL211" s="334">
        <v>-10.56265111111111</v>
      </c>
      <c r="DM211" s="334">
        <v>-10.030581333333332</v>
      </c>
      <c r="DN211" s="334">
        <v>-9.4985115555555542</v>
      </c>
      <c r="DO211" s="334">
        <v>-8.9664417777777761</v>
      </c>
      <c r="DP211" s="334">
        <v>-8.4343719999999998</v>
      </c>
      <c r="DQ211" s="334">
        <v>-7.3828467985714283</v>
      </c>
      <c r="DR211" s="334">
        <v>-6.3313215971428569</v>
      </c>
      <c r="DS211" s="334">
        <v>-5.2797963957142855</v>
      </c>
      <c r="DT211" s="334">
        <v>-4.2282711942857141</v>
      </c>
      <c r="DU211" s="335">
        <v>-3.1767459928571427</v>
      </c>
      <c r="DV211" s="335">
        <v>-2.1252207914285712</v>
      </c>
      <c r="DW211" s="335">
        <v>-1.07369559</v>
      </c>
      <c r="DX211" s="198">
        <v>-2.1252207914285712</v>
      </c>
      <c r="DY211" s="198">
        <v>-2.1252207914285712</v>
      </c>
      <c r="DZ211" s="198">
        <v>-2.1252207914285712</v>
      </c>
      <c r="EA211" s="198">
        <v>-1.0515252014285712</v>
      </c>
      <c r="EB211" s="198">
        <v>-1</v>
      </c>
      <c r="EC211" s="198">
        <v>-13</v>
      </c>
      <c r="ED211" s="198">
        <v>-1</v>
      </c>
      <c r="EE211" s="198">
        <v>-13</v>
      </c>
      <c r="EF211" s="198">
        <v>-11.92630441</v>
      </c>
      <c r="EG211" s="198">
        <v>-10.874779208571429</v>
      </c>
      <c r="EH211" s="198">
        <v>-8.279541</v>
      </c>
      <c r="EI211" s="336">
        <f t="shared" si="3"/>
        <v>-5.2797963957142855</v>
      </c>
      <c r="EJ211" s="336">
        <f>EI211-'[13]FAOSTAT21 CO2'!EH211</f>
        <v>-5.2797963957142855</v>
      </c>
    </row>
    <row r="212" spans="1:140" x14ac:dyDescent="0.25">
      <c r="A212" s="31">
        <v>11</v>
      </c>
      <c r="B212" s="31" t="s">
        <v>472</v>
      </c>
      <c r="C212" s="31">
        <v>212</v>
      </c>
      <c r="D212" s="31">
        <v>1</v>
      </c>
      <c r="E212" s="31">
        <v>0</v>
      </c>
      <c r="F212" s="31">
        <v>1</v>
      </c>
      <c r="G212" s="31">
        <v>0</v>
      </c>
      <c r="H212" s="331" t="s">
        <v>2475</v>
      </c>
      <c r="I212" s="331" t="s">
        <v>473</v>
      </c>
      <c r="J212" s="331"/>
      <c r="K212" s="331"/>
      <c r="L212" s="331"/>
      <c r="M212" s="331"/>
      <c r="N212" s="331"/>
      <c r="O212" s="331"/>
      <c r="P212" s="331"/>
      <c r="Q212" s="331"/>
      <c r="R212" s="331"/>
      <c r="S212" s="331"/>
      <c r="T212" s="331"/>
      <c r="U212" s="331"/>
      <c r="V212" s="331"/>
      <c r="W212" s="331"/>
      <c r="X212" s="331"/>
      <c r="Y212" s="331"/>
      <c r="Z212" s="331"/>
      <c r="AA212" s="331"/>
      <c r="AB212" s="331"/>
      <c r="AC212" s="331"/>
      <c r="AD212" s="331"/>
      <c r="AE212" s="331"/>
      <c r="AF212" s="331"/>
      <c r="AG212" s="331"/>
      <c r="AH212" s="331"/>
      <c r="AI212" s="331"/>
      <c r="AJ212" s="331"/>
      <c r="AK212" s="331"/>
      <c r="AL212" s="331"/>
      <c r="AM212" s="331"/>
      <c r="AN212" s="331"/>
      <c r="AO212" s="331"/>
      <c r="AP212" s="331"/>
      <c r="AQ212" s="331"/>
      <c r="AR212" s="331"/>
      <c r="AS212" s="331"/>
      <c r="AT212" s="331"/>
      <c r="AU212" s="331"/>
      <c r="AV212" s="331"/>
      <c r="AW212" s="331"/>
      <c r="AX212" s="331"/>
      <c r="AY212" s="332" t="s">
        <v>2476</v>
      </c>
      <c r="AZ212" s="332" t="s">
        <v>473</v>
      </c>
      <c r="BA212" s="332"/>
      <c r="BB212" s="332"/>
      <c r="BC212" s="332"/>
      <c r="BD212" s="332"/>
      <c r="BE212" s="332"/>
      <c r="BF212" s="332"/>
      <c r="BG212" s="332"/>
      <c r="BH212" s="332"/>
      <c r="BI212" s="332"/>
      <c r="BJ212" s="332"/>
      <c r="BK212" s="332"/>
      <c r="BL212" s="332"/>
      <c r="BM212" s="332"/>
      <c r="BN212" s="332"/>
      <c r="BO212" s="332"/>
      <c r="BP212" s="332"/>
      <c r="BQ212" s="332"/>
      <c r="BR212" s="332"/>
      <c r="BS212" s="332"/>
      <c r="BT212" s="332"/>
      <c r="BU212" s="332"/>
      <c r="BV212" s="332"/>
      <c r="BW212" s="332"/>
      <c r="BX212" s="332"/>
      <c r="BY212" s="332"/>
      <c r="BZ212" s="332"/>
      <c r="CA212" s="332"/>
      <c r="CB212" s="332"/>
      <c r="CC212" s="332"/>
      <c r="CD212" s="332"/>
      <c r="CE212" s="332"/>
      <c r="CF212" s="332"/>
      <c r="CG212" s="332"/>
      <c r="CH212" s="332"/>
      <c r="CI212" s="332"/>
      <c r="CJ212" s="332"/>
      <c r="CK212" s="332"/>
      <c r="CL212" s="332"/>
      <c r="CM212" s="332"/>
      <c r="CN212" s="332"/>
      <c r="CO212" s="332"/>
      <c r="CP212" s="333" t="s">
        <v>27</v>
      </c>
      <c r="CQ212" s="333" t="s">
        <v>473</v>
      </c>
      <c r="CR212" s="334">
        <v>10.880539461701852</v>
      </c>
      <c r="CS212" s="334">
        <v>10.375227291429853</v>
      </c>
      <c r="CT212" s="334">
        <v>9.5365291256612394</v>
      </c>
      <c r="CU212" s="334">
        <v>8.9560410393379186</v>
      </c>
      <c r="CV212" s="334">
        <v>8.5463893141391338</v>
      </c>
      <c r="CW212" s="334">
        <v>8.567601438642507</v>
      </c>
      <c r="CX212" s="334">
        <v>7.5546929618479499</v>
      </c>
      <c r="CY212" s="334">
        <v>7.004715406120873</v>
      </c>
      <c r="CZ212" s="334">
        <v>6.2124529366773036</v>
      </c>
      <c r="DA212" s="334">
        <v>6.3406441307973544</v>
      </c>
      <c r="DB212" s="334">
        <v>6.103977811320104</v>
      </c>
      <c r="DC212" s="334">
        <v>5.4638050031293517</v>
      </c>
      <c r="DD212" s="334">
        <v>4.6385749873722011</v>
      </c>
      <c r="DE212" s="334">
        <v>4.4999893954020447</v>
      </c>
      <c r="DF212" s="334">
        <v>3.6524337809879244</v>
      </c>
      <c r="DG212" s="334">
        <v>3.2865246887672592</v>
      </c>
      <c r="DH212" s="334">
        <v>2.8840404199340646</v>
      </c>
      <c r="DI212" s="334">
        <v>2.5457842562658688</v>
      </c>
      <c r="DJ212" s="334">
        <v>1.7183486576865676</v>
      </c>
      <c r="DK212" s="334">
        <v>1.6402172827307988</v>
      </c>
      <c r="DL212" s="334">
        <v>1.5858058577404719</v>
      </c>
      <c r="DM212" s="334">
        <v>0.99070109182533772</v>
      </c>
      <c r="DN212" s="334">
        <v>1.166240516886939</v>
      </c>
      <c r="DO212" s="334">
        <v>1.1144735664638297</v>
      </c>
      <c r="DP212" s="334">
        <v>0.72439626800658474</v>
      </c>
      <c r="DQ212" s="334">
        <v>0.93161199438640097</v>
      </c>
      <c r="DR212" s="334">
        <v>0.99230193253673771</v>
      </c>
      <c r="DS212" s="334">
        <v>0.73428652698023822</v>
      </c>
      <c r="DT212" s="334">
        <v>1.3536594695699853</v>
      </c>
      <c r="DU212" s="335">
        <v>1.6763466903409598</v>
      </c>
      <c r="DV212" s="335">
        <v>1.1055433073677507</v>
      </c>
      <c r="DW212" s="335">
        <v>1.0113778276688663</v>
      </c>
      <c r="DX212" s="198">
        <v>-5.3711799999999998</v>
      </c>
      <c r="DY212" s="198">
        <v>-5.3711799999999998</v>
      </c>
      <c r="DZ212" s="198">
        <v>-5.3711799999999998</v>
      </c>
      <c r="EA212" s="198">
        <v>-6.3825578276688661</v>
      </c>
      <c r="EB212" s="198">
        <v>1.1055433073677507</v>
      </c>
      <c r="EC212" s="198">
        <v>1.1055433073677507</v>
      </c>
      <c r="ED212" s="198">
        <v>1.1055433073677507</v>
      </c>
      <c r="EE212" s="198">
        <v>1.1055433073677507</v>
      </c>
      <c r="EF212" s="198">
        <v>9.4165479698884447E-2</v>
      </c>
      <c r="EG212" s="198">
        <v>6.4767233073677506</v>
      </c>
      <c r="EH212" s="198">
        <v>0.98427262500000001</v>
      </c>
      <c r="EI212" s="336">
        <f t="shared" si="3"/>
        <v>1.1376413227628643</v>
      </c>
      <c r="EJ212" s="336">
        <f>EI212-'[13]FAOSTAT21 CO2'!EH212</f>
        <v>11.767016882762864</v>
      </c>
    </row>
    <row r="213" spans="1:140" x14ac:dyDescent="0.25">
      <c r="A213" s="31">
        <v>2</v>
      </c>
      <c r="B213" s="31" t="s">
        <v>474</v>
      </c>
      <c r="C213" s="31">
        <v>214</v>
      </c>
      <c r="D213" s="31">
        <v>0</v>
      </c>
      <c r="E213" s="31">
        <v>1</v>
      </c>
      <c r="F213" s="31">
        <v>1</v>
      </c>
      <c r="G213" s="31">
        <v>1</v>
      </c>
      <c r="H213" s="331" t="s">
        <v>2475</v>
      </c>
      <c r="I213" s="331" t="s">
        <v>475</v>
      </c>
      <c r="J213" s="331"/>
      <c r="K213" s="331"/>
      <c r="L213" s="331"/>
      <c r="M213" s="331"/>
      <c r="N213" s="331"/>
      <c r="O213" s="331"/>
      <c r="P213" s="331"/>
      <c r="Q213" s="331"/>
      <c r="R213" s="331"/>
      <c r="S213" s="331"/>
      <c r="T213" s="331"/>
      <c r="U213" s="331"/>
      <c r="V213" s="331"/>
      <c r="W213" s="331"/>
      <c r="X213" s="331"/>
      <c r="Y213" s="331"/>
      <c r="Z213" s="331"/>
      <c r="AA213" s="331"/>
      <c r="AB213" s="331"/>
      <c r="AC213" s="331"/>
      <c r="AD213" s="331"/>
      <c r="AE213" s="331"/>
      <c r="AF213" s="331"/>
      <c r="AG213" s="331"/>
      <c r="AH213" s="331"/>
      <c r="AI213" s="331"/>
      <c r="AJ213" s="331"/>
      <c r="AK213" s="331"/>
      <c r="AL213" s="331"/>
      <c r="AM213" s="331"/>
      <c r="AN213" s="331"/>
      <c r="AO213" s="331"/>
      <c r="AP213" s="331"/>
      <c r="AQ213" s="331"/>
      <c r="AR213" s="331"/>
      <c r="AS213" s="331"/>
      <c r="AT213" s="331"/>
      <c r="AU213" s="331"/>
      <c r="AV213" s="331"/>
      <c r="AW213" s="331"/>
      <c r="AX213" s="331"/>
      <c r="AY213" s="332" t="s">
        <v>2476</v>
      </c>
      <c r="AZ213" s="332" t="s">
        <v>475</v>
      </c>
      <c r="BA213" s="332"/>
      <c r="BB213" s="332"/>
      <c r="BC213" s="332"/>
      <c r="BD213" s="332"/>
      <c r="BE213" s="332"/>
      <c r="BF213" s="332"/>
      <c r="BG213" s="332"/>
      <c r="BH213" s="332"/>
      <c r="BI213" s="332"/>
      <c r="BJ213" s="332"/>
      <c r="BK213" s="332"/>
      <c r="BL213" s="332"/>
      <c r="BM213" s="332"/>
      <c r="BN213" s="332"/>
      <c r="BO213" s="332"/>
      <c r="BP213" s="332"/>
      <c r="BQ213" s="332"/>
      <c r="BR213" s="332"/>
      <c r="BS213" s="332"/>
      <c r="BT213" s="332"/>
      <c r="BU213" s="332"/>
      <c r="BV213" s="332"/>
      <c r="BW213" s="332"/>
      <c r="BX213" s="332"/>
      <c r="BY213" s="332"/>
      <c r="BZ213" s="332"/>
      <c r="CA213" s="332"/>
      <c r="CB213" s="332"/>
      <c r="CC213" s="332"/>
      <c r="CD213" s="332"/>
      <c r="CE213" s="332"/>
      <c r="CF213" s="332"/>
      <c r="CG213" s="332"/>
      <c r="CH213" s="332"/>
      <c r="CI213" s="332"/>
      <c r="CJ213" s="332"/>
      <c r="CK213" s="332"/>
      <c r="CL213" s="332"/>
      <c r="CM213" s="332"/>
      <c r="CN213" s="332"/>
      <c r="CO213" s="332"/>
      <c r="CP213" s="333" t="s">
        <v>27</v>
      </c>
      <c r="CQ213" s="333" t="s">
        <v>475</v>
      </c>
      <c r="CR213" s="334">
        <v>-881.29648331946362</v>
      </c>
      <c r="CS213" s="334">
        <v>-887.52601295655472</v>
      </c>
      <c r="CT213" s="334">
        <v>-882.93495921992189</v>
      </c>
      <c r="CU213" s="334">
        <v>-863.53358822257542</v>
      </c>
      <c r="CV213" s="334">
        <v>-874.02437686186784</v>
      </c>
      <c r="CW213" s="334">
        <v>-849.27937536863476</v>
      </c>
      <c r="CX213" s="334">
        <v>-866.85788720704318</v>
      </c>
      <c r="CY213" s="334">
        <v>-850.34207349376004</v>
      </c>
      <c r="CZ213" s="334">
        <v>-850.45443745465207</v>
      </c>
      <c r="DA213" s="334">
        <v>-841.4339802041809</v>
      </c>
      <c r="DB213" s="334">
        <v>-836.32728496941047</v>
      </c>
      <c r="DC213" s="334">
        <v>-843.10025911865273</v>
      </c>
      <c r="DD213" s="334">
        <v>-797.08596462673324</v>
      </c>
      <c r="DE213" s="334">
        <v>-828.63814344961474</v>
      </c>
      <c r="DF213" s="334">
        <v>-710.23195824782749</v>
      </c>
      <c r="DG213" s="334">
        <v>-781.72990305744906</v>
      </c>
      <c r="DH213" s="334">
        <v>-819.07589275717282</v>
      </c>
      <c r="DI213" s="334">
        <v>-774.75750182413299</v>
      </c>
      <c r="DJ213" s="334">
        <v>-764.05410621958117</v>
      </c>
      <c r="DK213" s="334">
        <v>-721.06001181788099</v>
      </c>
      <c r="DL213" s="334">
        <v>-751.43202219946977</v>
      </c>
      <c r="DM213" s="334">
        <v>-791.68139562784881</v>
      </c>
      <c r="DN213" s="334">
        <v>-785.99706040758701</v>
      </c>
      <c r="DO213" s="334">
        <v>-749.64112105735092</v>
      </c>
      <c r="DP213" s="334">
        <v>-769.25570099878439</v>
      </c>
      <c r="DQ213" s="334">
        <v>-672.26525323430678</v>
      </c>
      <c r="DR213" s="334">
        <v>-815.73381550805175</v>
      </c>
      <c r="DS213" s="334">
        <v>-774.5984009073677</v>
      </c>
      <c r="DT213" s="334">
        <v>-765.53872502084437</v>
      </c>
      <c r="DU213" s="335">
        <v>-704.46412580281344</v>
      </c>
      <c r="DV213" s="335">
        <v>-776.59432042198773</v>
      </c>
      <c r="DW213" s="335">
        <v>-754.65583755201544</v>
      </c>
      <c r="DX213" s="198">
        <v>-800</v>
      </c>
      <c r="DY213" s="198">
        <v>-920</v>
      </c>
      <c r="DZ213" s="198">
        <v>-920</v>
      </c>
      <c r="EA213" s="198">
        <v>-165.34416244798456</v>
      </c>
      <c r="EB213" s="198">
        <v>-815</v>
      </c>
      <c r="EC213" s="198">
        <v>-950</v>
      </c>
      <c r="ED213" s="198">
        <v>-815</v>
      </c>
      <c r="EE213" s="198">
        <v>-950</v>
      </c>
      <c r="EF213" s="198">
        <v>-195.34416244798456</v>
      </c>
      <c r="EG213" s="198">
        <v>-30</v>
      </c>
      <c r="EH213" s="198">
        <v>-786.87001350000003</v>
      </c>
      <c r="EI213" s="336">
        <f t="shared" si="3"/>
        <v>-746.52006409467663</v>
      </c>
      <c r="EJ213" s="336">
        <f>EI213-'[13]FAOSTAT21 CO2'!EH213</f>
        <v>-477.25401349467666</v>
      </c>
    </row>
    <row r="214" spans="1:140" x14ac:dyDescent="0.25">
      <c r="A214" s="31">
        <v>6</v>
      </c>
      <c r="B214" s="31" t="s">
        <v>476</v>
      </c>
      <c r="C214" s="31">
        <v>217</v>
      </c>
      <c r="D214" s="31">
        <v>0</v>
      </c>
      <c r="E214" s="31">
        <v>0</v>
      </c>
      <c r="F214" s="31">
        <v>0</v>
      </c>
      <c r="G214" s="31">
        <v>0</v>
      </c>
      <c r="H214" s="331" t="s">
        <v>2475</v>
      </c>
      <c r="I214" s="331" t="s">
        <v>477</v>
      </c>
      <c r="J214" s="331"/>
      <c r="K214" s="331"/>
      <c r="L214" s="331"/>
      <c r="M214" s="331"/>
      <c r="N214" s="331"/>
      <c r="O214" s="331"/>
      <c r="P214" s="331"/>
      <c r="Q214" s="331"/>
      <c r="R214" s="331"/>
      <c r="S214" s="331"/>
      <c r="T214" s="331"/>
      <c r="U214" s="331"/>
      <c r="V214" s="331"/>
      <c r="W214" s="331"/>
      <c r="X214" s="331"/>
      <c r="Y214" s="331"/>
      <c r="Z214" s="331"/>
      <c r="AA214" s="331"/>
      <c r="AB214" s="331"/>
      <c r="AC214" s="331"/>
      <c r="AD214" s="331"/>
      <c r="AE214" s="331"/>
      <c r="AF214" s="331"/>
      <c r="AG214" s="331"/>
      <c r="AH214" s="331"/>
      <c r="AI214" s="331"/>
      <c r="AJ214" s="331"/>
      <c r="AK214" s="331"/>
      <c r="AL214" s="331"/>
      <c r="AM214" s="331"/>
      <c r="AN214" s="331"/>
      <c r="AO214" s="331"/>
      <c r="AP214" s="331"/>
      <c r="AQ214" s="331"/>
      <c r="AR214" s="331"/>
      <c r="AS214" s="331"/>
      <c r="AT214" s="331"/>
      <c r="AU214" s="331"/>
      <c r="AV214" s="331"/>
      <c r="AW214" s="331"/>
      <c r="AX214" s="331"/>
      <c r="AY214" s="332" t="s">
        <v>2476</v>
      </c>
      <c r="AZ214" s="332" t="s">
        <v>477</v>
      </c>
      <c r="BA214" s="332"/>
      <c r="BB214" s="332"/>
      <c r="BC214" s="332"/>
      <c r="BD214" s="332"/>
      <c r="BE214" s="332"/>
      <c r="BF214" s="332"/>
      <c r="BG214" s="332"/>
      <c r="BH214" s="332"/>
      <c r="BI214" s="332"/>
      <c r="BJ214" s="332"/>
      <c r="BK214" s="332"/>
      <c r="BL214" s="332"/>
      <c r="BM214" s="332"/>
      <c r="BN214" s="332"/>
      <c r="BO214" s="332"/>
      <c r="BP214" s="332"/>
      <c r="BQ214" s="332"/>
      <c r="BR214" s="332"/>
      <c r="BS214" s="332"/>
      <c r="BT214" s="332"/>
      <c r="BU214" s="332"/>
      <c r="BV214" s="332"/>
      <c r="BW214" s="332"/>
      <c r="BX214" s="332"/>
      <c r="BY214" s="332"/>
      <c r="BZ214" s="332"/>
      <c r="CA214" s="332"/>
      <c r="CB214" s="332"/>
      <c r="CC214" s="332"/>
      <c r="CD214" s="332"/>
      <c r="CE214" s="332"/>
      <c r="CF214" s="332"/>
      <c r="CG214" s="332"/>
      <c r="CH214" s="332"/>
      <c r="CI214" s="332"/>
      <c r="CJ214" s="332"/>
      <c r="CK214" s="332"/>
      <c r="CL214" s="332"/>
      <c r="CM214" s="332"/>
      <c r="CN214" s="332"/>
      <c r="CO214" s="332"/>
      <c r="CP214" s="333" t="s">
        <v>27</v>
      </c>
      <c r="CQ214" s="333" t="s">
        <v>477</v>
      </c>
      <c r="CR214" s="334">
        <v>-7.5321999999999996</v>
      </c>
      <c r="CS214" s="334">
        <v>-7.6954999999999991</v>
      </c>
      <c r="CT214" s="334">
        <v>-7.8587999999999987</v>
      </c>
      <c r="CU214" s="334">
        <v>-8.0220999999999982</v>
      </c>
      <c r="CV214" s="334">
        <v>-8.1853999999999996</v>
      </c>
      <c r="CW214" s="334">
        <v>-9.3238000000000003</v>
      </c>
      <c r="CX214" s="334">
        <v>-10.462200000000001</v>
      </c>
      <c r="CY214" s="334">
        <v>-11.600600000000002</v>
      </c>
      <c r="CZ214" s="334">
        <v>-12.739000000000001</v>
      </c>
      <c r="DA214" s="334">
        <v>-14.873700000000001</v>
      </c>
      <c r="DB214" s="334">
        <v>-17.008400000000002</v>
      </c>
      <c r="DC214" s="334">
        <v>-17.463850000000001</v>
      </c>
      <c r="DD214" s="334">
        <v>-17.9193</v>
      </c>
      <c r="DE214" s="334">
        <v>-17.3599</v>
      </c>
      <c r="DF214" s="334">
        <v>-16.8005</v>
      </c>
      <c r="DG214" s="334">
        <v>-15.965350000000001</v>
      </c>
      <c r="DH214" s="334">
        <v>-15.1302</v>
      </c>
      <c r="DI214" s="334">
        <v>-14.032299999999999</v>
      </c>
      <c r="DJ214" s="334">
        <v>-12.9344</v>
      </c>
      <c r="DK214" s="334">
        <v>-12.1632</v>
      </c>
      <c r="DL214" s="334">
        <v>-11.391999999999999</v>
      </c>
      <c r="DM214" s="334">
        <v>-14.744149999999999</v>
      </c>
      <c r="DN214" s="334">
        <v>-18.096299999999999</v>
      </c>
      <c r="DO214" s="334">
        <v>-16.4038</v>
      </c>
      <c r="DP214" s="334">
        <v>-14.7113</v>
      </c>
      <c r="DQ214" s="334">
        <v>-14.239850000000001</v>
      </c>
      <c r="DR214" s="334">
        <v>-13.7684</v>
      </c>
      <c r="DS214" s="334">
        <v>-12.554500000000001</v>
      </c>
      <c r="DT214" s="334">
        <v>-10.321299999999999</v>
      </c>
      <c r="DU214" s="335">
        <v>-11.465999999999999</v>
      </c>
      <c r="DV214" s="335">
        <v>-9.6712999999999987</v>
      </c>
      <c r="DW214" s="335">
        <v>-15.063695483870958</v>
      </c>
      <c r="DX214" s="198">
        <v>-9.6712999999999987</v>
      </c>
      <c r="DY214" s="198">
        <v>-9.6712999999999987</v>
      </c>
      <c r="DZ214" s="198">
        <v>-9.6712999999999987</v>
      </c>
      <c r="EA214" s="198">
        <v>5.3923954838709598</v>
      </c>
      <c r="EB214" s="198">
        <v>-2.5430000000000001</v>
      </c>
      <c r="EC214" s="198">
        <v>-7.3469999999999995</v>
      </c>
      <c r="ED214" s="198">
        <v>-2.5430000000000001</v>
      </c>
      <c r="EE214" s="198">
        <v>-7.3469999999999995</v>
      </c>
      <c r="EF214" s="198">
        <v>7.7166954838709589</v>
      </c>
      <c r="EG214" s="198">
        <v>2.3242999999999991</v>
      </c>
      <c r="EH214" s="198">
        <v>-12.171972356271871</v>
      </c>
      <c r="EI214" s="336">
        <f t="shared" si="3"/>
        <v>-12.47001</v>
      </c>
      <c r="EJ214" s="336">
        <f>EI214-'[13]FAOSTAT21 CO2'!EH214</f>
        <v>-9.6770960600000002</v>
      </c>
    </row>
    <row r="215" spans="1:140" x14ac:dyDescent="0.25">
      <c r="A215" s="31">
        <v>15</v>
      </c>
      <c r="B215" s="31" t="s">
        <v>478</v>
      </c>
      <c r="C215" s="31">
        <v>218</v>
      </c>
      <c r="D215" s="31">
        <v>0</v>
      </c>
      <c r="E215" s="31">
        <v>0</v>
      </c>
      <c r="F215" s="31">
        <v>0</v>
      </c>
      <c r="G215" s="31">
        <v>0</v>
      </c>
      <c r="H215" s="331" t="s">
        <v>2475</v>
      </c>
      <c r="I215" s="331" t="s">
        <v>479</v>
      </c>
      <c r="J215" s="331"/>
      <c r="K215" s="331"/>
      <c r="L215" s="331"/>
      <c r="M215" s="331"/>
      <c r="N215" s="331"/>
      <c r="O215" s="331"/>
      <c r="P215" s="331"/>
      <c r="Q215" s="331"/>
      <c r="R215" s="331"/>
      <c r="S215" s="331"/>
      <c r="T215" s="331"/>
      <c r="U215" s="331"/>
      <c r="V215" s="331"/>
      <c r="W215" s="331"/>
      <c r="X215" s="331"/>
      <c r="Y215" s="331"/>
      <c r="Z215" s="331"/>
      <c r="AA215" s="331"/>
      <c r="AB215" s="331"/>
      <c r="AC215" s="331"/>
      <c r="AD215" s="331"/>
      <c r="AE215" s="331"/>
      <c r="AF215" s="331"/>
      <c r="AG215" s="331"/>
      <c r="AH215" s="331"/>
      <c r="AI215" s="331"/>
      <c r="AJ215" s="331"/>
      <c r="AK215" s="331"/>
      <c r="AL215" s="331"/>
      <c r="AM215" s="331"/>
      <c r="AN215" s="331"/>
      <c r="AO215" s="331"/>
      <c r="AP215" s="331"/>
      <c r="AQ215" s="331"/>
      <c r="AR215" s="331"/>
      <c r="AS215" s="331"/>
      <c r="AT215" s="331"/>
      <c r="AU215" s="331"/>
      <c r="AV215" s="331"/>
      <c r="AW215" s="331"/>
      <c r="AX215" s="331"/>
      <c r="AY215" s="332" t="s">
        <v>2476</v>
      </c>
      <c r="AZ215" s="332" t="s">
        <v>479</v>
      </c>
      <c r="BA215" s="332"/>
      <c r="BB215" s="332"/>
      <c r="BC215" s="332"/>
      <c r="BD215" s="332"/>
      <c r="BE215" s="332"/>
      <c r="BF215" s="332"/>
      <c r="BG215" s="332"/>
      <c r="BH215" s="332"/>
      <c r="BI215" s="332"/>
      <c r="BJ215" s="332"/>
      <c r="BK215" s="332"/>
      <c r="BL215" s="332"/>
      <c r="BM215" s="332"/>
      <c r="BN215" s="332"/>
      <c r="BO215" s="332"/>
      <c r="BP215" s="332"/>
      <c r="BQ215" s="332"/>
      <c r="BR215" s="332"/>
      <c r="BS215" s="332"/>
      <c r="BT215" s="332"/>
      <c r="BU215" s="332"/>
      <c r="BV215" s="332"/>
      <c r="BW215" s="332"/>
      <c r="BX215" s="332"/>
      <c r="BY215" s="332"/>
      <c r="BZ215" s="332"/>
      <c r="CA215" s="332"/>
      <c r="CB215" s="332"/>
      <c r="CC215" s="332"/>
      <c r="CD215" s="332"/>
      <c r="CE215" s="332"/>
      <c r="CF215" s="332"/>
      <c r="CG215" s="332"/>
      <c r="CH215" s="332"/>
      <c r="CI215" s="332"/>
      <c r="CJ215" s="332"/>
      <c r="CK215" s="332"/>
      <c r="CL215" s="332"/>
      <c r="CM215" s="332"/>
      <c r="CN215" s="332"/>
      <c r="CO215" s="332"/>
      <c r="CP215" s="333" t="s">
        <v>27</v>
      </c>
      <c r="CQ215" s="333" t="s">
        <v>479</v>
      </c>
      <c r="CR215" s="334">
        <v>-14.1</v>
      </c>
      <c r="CS215" s="334">
        <v>-13.33</v>
      </c>
      <c r="CT215" s="334">
        <v>-12.56</v>
      </c>
      <c r="CU215" s="334">
        <v>-11.790000000000001</v>
      </c>
      <c r="CV215" s="334">
        <v>-11.020000000000001</v>
      </c>
      <c r="CW215" s="334">
        <v>-10.250000000000002</v>
      </c>
      <c r="CX215" s="334">
        <v>-9.4800000000000022</v>
      </c>
      <c r="CY215" s="334">
        <v>-8.7100000000000026</v>
      </c>
      <c r="CZ215" s="334">
        <v>-7.9400000000000031</v>
      </c>
      <c r="DA215" s="334">
        <v>-7.1700000000000035</v>
      </c>
      <c r="DB215" s="334">
        <v>-6.4</v>
      </c>
      <c r="DC215" s="334">
        <v>-7.1222222222222227</v>
      </c>
      <c r="DD215" s="334">
        <v>-7.844444444444445</v>
      </c>
      <c r="DE215" s="334">
        <v>-8.5666666666666664</v>
      </c>
      <c r="DF215" s="334">
        <v>-9.2888888888888879</v>
      </c>
      <c r="DG215" s="334">
        <v>-10.011111111111109</v>
      </c>
      <c r="DH215" s="334">
        <v>-10.733333333333331</v>
      </c>
      <c r="DI215" s="334">
        <v>-11.455555555555552</v>
      </c>
      <c r="DJ215" s="334">
        <v>-12.177777777777774</v>
      </c>
      <c r="DK215" s="334">
        <v>-12.899999999999995</v>
      </c>
      <c r="DL215" s="334">
        <v>-12.9</v>
      </c>
      <c r="DM215" s="334">
        <v>-13.3</v>
      </c>
      <c r="DN215" s="334">
        <v>-12.9</v>
      </c>
      <c r="DO215" s="334">
        <v>-11.3</v>
      </c>
      <c r="DP215" s="334">
        <v>-13</v>
      </c>
      <c r="DQ215" s="334">
        <v>-12.2</v>
      </c>
      <c r="DR215" s="334">
        <v>-10.5</v>
      </c>
      <c r="DS215" s="334">
        <v>-8.6</v>
      </c>
      <c r="DT215" s="334">
        <v>-11.104232804232808</v>
      </c>
      <c r="DU215" s="335">
        <v>-11.137160189746396</v>
      </c>
      <c r="DV215" s="335">
        <v>-11.170087575260006</v>
      </c>
      <c r="DW215" s="335">
        <v>-11.203014960773586</v>
      </c>
      <c r="DX215" s="198">
        <v>-11.170087575260006</v>
      </c>
      <c r="DY215" s="198">
        <v>-11.170087575260006</v>
      </c>
      <c r="DZ215" s="198">
        <v>-11.170087575260006</v>
      </c>
      <c r="EA215" s="198">
        <v>3.2927385513580987E-2</v>
      </c>
      <c r="EB215" s="198">
        <v>-11.170087575260006</v>
      </c>
      <c r="EC215" s="198">
        <v>-11.170087575260006</v>
      </c>
      <c r="ED215" s="198">
        <v>-11.170087575260006</v>
      </c>
      <c r="EE215" s="198">
        <v>-11.170087575260006</v>
      </c>
      <c r="EF215" s="198">
        <v>3.2927385513580987E-2</v>
      </c>
      <c r="EG215" s="198">
        <v>0</v>
      </c>
      <c r="EH215" s="198">
        <v>-14.879776300106549</v>
      </c>
      <c r="EI215" s="336">
        <f t="shared" si="3"/>
        <v>-10.70827859879584</v>
      </c>
      <c r="EJ215" s="336">
        <f>EI215-'[13]FAOSTAT21 CO2'!EH215</f>
        <v>-7.3911249787958395</v>
      </c>
    </row>
    <row r="216" spans="1:140" x14ac:dyDescent="0.25">
      <c r="A216" s="31">
        <v>24</v>
      </c>
      <c r="B216" s="31" t="s">
        <v>480</v>
      </c>
      <c r="C216" s="31">
        <v>141</v>
      </c>
      <c r="D216" s="31">
        <v>0</v>
      </c>
      <c r="E216" s="31">
        <v>0</v>
      </c>
      <c r="F216" s="31">
        <v>0</v>
      </c>
      <c r="G216" s="31">
        <v>0</v>
      </c>
      <c r="H216" s="331" t="s">
        <v>2475</v>
      </c>
      <c r="I216" s="331" t="s">
        <v>481</v>
      </c>
      <c r="J216" s="331"/>
      <c r="K216" s="331"/>
      <c r="L216" s="331"/>
      <c r="M216" s="331"/>
      <c r="N216" s="331"/>
      <c r="O216" s="331"/>
      <c r="P216" s="331"/>
      <c r="Q216" s="331"/>
      <c r="R216" s="331"/>
      <c r="S216" s="331"/>
      <c r="T216" s="331"/>
      <c r="U216" s="331"/>
      <c r="V216" s="331"/>
      <c r="W216" s="331"/>
      <c r="X216" s="331"/>
      <c r="Y216" s="331"/>
      <c r="Z216" s="331"/>
      <c r="AA216" s="331"/>
      <c r="AB216" s="331"/>
      <c r="AC216" s="331"/>
      <c r="AD216" s="331"/>
      <c r="AE216" s="331"/>
      <c r="AF216" s="331"/>
      <c r="AG216" s="331"/>
      <c r="AH216" s="331"/>
      <c r="AI216" s="331"/>
      <c r="AJ216" s="331"/>
      <c r="AK216" s="331"/>
      <c r="AL216" s="331"/>
      <c r="AM216" s="331"/>
      <c r="AN216" s="331"/>
      <c r="AO216" s="331"/>
      <c r="AP216" s="331"/>
      <c r="AQ216" s="331"/>
      <c r="AR216" s="331"/>
      <c r="AS216" s="331"/>
      <c r="AT216" s="331"/>
      <c r="AU216" s="331"/>
      <c r="AV216" s="331"/>
      <c r="AW216" s="331"/>
      <c r="AX216" s="331"/>
      <c r="AY216" s="332" t="s">
        <v>2476</v>
      </c>
      <c r="AZ216" s="332" t="s">
        <v>481</v>
      </c>
      <c r="BA216" s="332"/>
      <c r="BB216" s="332"/>
      <c r="BC216" s="332"/>
      <c r="BD216" s="332"/>
      <c r="BE216" s="332"/>
      <c r="BF216" s="332"/>
      <c r="BG216" s="332"/>
      <c r="BH216" s="332"/>
      <c r="BI216" s="332"/>
      <c r="BJ216" s="332"/>
      <c r="BK216" s="332"/>
      <c r="BL216" s="332"/>
      <c r="BM216" s="332"/>
      <c r="BN216" s="332"/>
      <c r="BO216" s="332"/>
      <c r="BP216" s="332"/>
      <c r="BQ216" s="332"/>
      <c r="BR216" s="332"/>
      <c r="BS216" s="332"/>
      <c r="BT216" s="332"/>
      <c r="BU216" s="332"/>
      <c r="BV216" s="332"/>
      <c r="BW216" s="332"/>
      <c r="BX216" s="332"/>
      <c r="BY216" s="332"/>
      <c r="BZ216" s="332"/>
      <c r="CA216" s="332"/>
      <c r="CB216" s="332"/>
      <c r="CC216" s="332"/>
      <c r="CD216" s="332"/>
      <c r="CE216" s="332"/>
      <c r="CF216" s="332"/>
      <c r="CG216" s="332"/>
      <c r="CH216" s="332"/>
      <c r="CI216" s="332"/>
      <c r="CJ216" s="332"/>
      <c r="CK216" s="332"/>
      <c r="CL216" s="332"/>
      <c r="CM216" s="332"/>
      <c r="CN216" s="332"/>
      <c r="CO216" s="332"/>
      <c r="CP216" s="333" t="s">
        <v>27</v>
      </c>
      <c r="CQ216" s="333" t="s">
        <v>481</v>
      </c>
      <c r="CR216" s="334">
        <v>-1.1534E-3</v>
      </c>
      <c r="CS216" s="334">
        <v>-1.1534E-3</v>
      </c>
      <c r="CT216" s="334">
        <v>-1.1534E-3</v>
      </c>
      <c r="CU216" s="334">
        <v>-1.1534E-3</v>
      </c>
      <c r="CV216" s="334">
        <v>-1.1534E-3</v>
      </c>
      <c r="CW216" s="334">
        <v>-1.3198215000000002</v>
      </c>
      <c r="CX216" s="334">
        <v>-2.6384896000000007</v>
      </c>
      <c r="CY216" s="334">
        <v>-3.9571577000000007</v>
      </c>
      <c r="CZ216" s="334">
        <v>-5.2758258000000007</v>
      </c>
      <c r="DA216" s="334">
        <v>-6.5944939000000007</v>
      </c>
      <c r="DB216" s="334">
        <v>-7.9131620000000007</v>
      </c>
      <c r="DC216" s="334">
        <v>-7.9126670000000008</v>
      </c>
      <c r="DD216" s="334">
        <v>-7.9121720000000009</v>
      </c>
      <c r="DE216" s="334">
        <v>-7.911677000000001</v>
      </c>
      <c r="DF216" s="334">
        <v>-7.911182000000001</v>
      </c>
      <c r="DG216" s="334">
        <v>-7.9106870000000002</v>
      </c>
      <c r="DH216" s="334">
        <v>-7.4659434999999998</v>
      </c>
      <c r="DI216" s="334">
        <v>-7.0211999999999994</v>
      </c>
      <c r="DJ216" s="334">
        <v>-7.0211999999999994</v>
      </c>
      <c r="DK216" s="334">
        <v>-7.0211999999999994</v>
      </c>
      <c r="DL216" s="334">
        <v>-6.9737</v>
      </c>
      <c r="DM216" s="334">
        <v>-6.9737</v>
      </c>
      <c r="DN216" s="334">
        <v>-6.9737</v>
      </c>
      <c r="DO216" s="334">
        <v>-6.9737</v>
      </c>
      <c r="DP216" s="334">
        <v>-6.9737</v>
      </c>
      <c r="DQ216" s="334">
        <v>-6.9737</v>
      </c>
      <c r="DR216" s="334">
        <v>-9.5831700507692403</v>
      </c>
      <c r="DS216" s="334">
        <v>-9.9009124305982823</v>
      </c>
      <c r="DT216" s="334">
        <v>-10.218654810427324</v>
      </c>
      <c r="DU216" s="335">
        <v>-10.536397190256366</v>
      </c>
      <c r="DV216" s="335">
        <v>-10.854139570085522</v>
      </c>
      <c r="DW216" s="335">
        <v>-11.171881949914564</v>
      </c>
      <c r="DX216" s="198">
        <v>-10.854139570085522</v>
      </c>
      <c r="DY216" s="198">
        <v>-10.854139570085522</v>
      </c>
      <c r="DZ216" s="198">
        <v>-10.854139570085522</v>
      </c>
      <c r="EA216" s="198">
        <v>0.31774237982904197</v>
      </c>
      <c r="EB216" s="198">
        <v>-5.88</v>
      </c>
      <c r="EC216" s="198">
        <v>-6.9740000000000002</v>
      </c>
      <c r="ED216" s="198">
        <v>-5.88</v>
      </c>
      <c r="EE216" s="198">
        <v>-6.9740000000000002</v>
      </c>
      <c r="EF216" s="198">
        <v>4.1978819499145636</v>
      </c>
      <c r="EG216" s="198">
        <v>3.8801395700855217</v>
      </c>
      <c r="EH216" s="198">
        <v>-10.1279364227683</v>
      </c>
      <c r="EI216" s="336">
        <f t="shared" si="3"/>
        <v>-9.4425668964102432</v>
      </c>
      <c r="EJ216" s="336">
        <f>EI216-'[13]FAOSTAT21 CO2'!EH216</f>
        <v>-9.4425668964102432</v>
      </c>
    </row>
    <row r="217" spans="1:140" x14ac:dyDescent="0.25">
      <c r="A217" s="31">
        <v>11</v>
      </c>
      <c r="B217" s="31" t="s">
        <v>482</v>
      </c>
      <c r="C217" s="31">
        <v>85</v>
      </c>
      <c r="D217" s="31">
        <v>0</v>
      </c>
      <c r="E217" s="31">
        <v>0</v>
      </c>
      <c r="F217" s="31">
        <v>0</v>
      </c>
      <c r="G217" s="31">
        <v>0</v>
      </c>
      <c r="H217" s="331" t="s">
        <v>2475</v>
      </c>
      <c r="I217" s="331" t="s">
        <v>483</v>
      </c>
      <c r="J217" s="331"/>
      <c r="K217" s="331"/>
      <c r="L217" s="331"/>
      <c r="M217" s="331"/>
      <c r="N217" s="331"/>
      <c r="O217" s="331"/>
      <c r="P217" s="331"/>
      <c r="Q217" s="331"/>
      <c r="R217" s="331"/>
      <c r="S217" s="331"/>
      <c r="T217" s="331"/>
      <c r="U217" s="331"/>
      <c r="V217" s="331"/>
      <c r="W217" s="331"/>
      <c r="X217" s="331"/>
      <c r="Y217" s="331"/>
      <c r="Z217" s="331"/>
      <c r="AA217" s="331"/>
      <c r="AB217" s="331"/>
      <c r="AC217" s="331"/>
      <c r="AD217" s="331"/>
      <c r="AE217" s="331"/>
      <c r="AF217" s="331"/>
      <c r="AG217" s="331"/>
      <c r="AH217" s="331"/>
      <c r="AI217" s="331"/>
      <c r="AJ217" s="331"/>
      <c r="AK217" s="331"/>
      <c r="AL217" s="331"/>
      <c r="AM217" s="331"/>
      <c r="AN217" s="331"/>
      <c r="AO217" s="331"/>
      <c r="AP217" s="331"/>
      <c r="AQ217" s="331"/>
      <c r="AR217" s="331"/>
      <c r="AS217" s="331"/>
      <c r="AT217" s="331"/>
      <c r="AU217" s="331"/>
      <c r="AV217" s="331"/>
      <c r="AW217" s="331"/>
      <c r="AX217" s="331"/>
      <c r="AY217" s="332" t="s">
        <v>2476</v>
      </c>
      <c r="AZ217" s="332" t="s">
        <v>483</v>
      </c>
      <c r="BA217" s="332"/>
      <c r="BB217" s="332"/>
      <c r="BC217" s="332"/>
      <c r="BD217" s="332"/>
      <c r="BE217" s="332"/>
      <c r="BF217" s="332"/>
      <c r="BG217" s="332"/>
      <c r="BH217" s="332"/>
      <c r="BI217" s="332"/>
      <c r="BJ217" s="332"/>
      <c r="BK217" s="332"/>
      <c r="BL217" s="332"/>
      <c r="BM217" s="332"/>
      <c r="BN217" s="332"/>
      <c r="BO217" s="332"/>
      <c r="BP217" s="332"/>
      <c r="BQ217" s="332"/>
      <c r="BR217" s="332"/>
      <c r="BS217" s="332"/>
      <c r="BT217" s="332"/>
      <c r="BU217" s="332"/>
      <c r="BV217" s="332"/>
      <c r="BW217" s="332"/>
      <c r="BX217" s="332"/>
      <c r="BY217" s="332"/>
      <c r="BZ217" s="332"/>
      <c r="CA217" s="332"/>
      <c r="CB217" s="332"/>
      <c r="CC217" s="332"/>
      <c r="CD217" s="332"/>
      <c r="CE217" s="332"/>
      <c r="CF217" s="332"/>
      <c r="CG217" s="332"/>
      <c r="CH217" s="332"/>
      <c r="CI217" s="332"/>
      <c r="CJ217" s="332"/>
      <c r="CK217" s="332"/>
      <c r="CL217" s="332"/>
      <c r="CM217" s="332"/>
      <c r="CN217" s="332"/>
      <c r="CO217" s="332"/>
      <c r="CP217" s="333" t="s">
        <v>27</v>
      </c>
      <c r="CQ217" s="333" t="s">
        <v>483</v>
      </c>
      <c r="CR217" s="334">
        <v>0</v>
      </c>
      <c r="CS217" s="334">
        <v>0</v>
      </c>
      <c r="CT217" s="334">
        <v>0</v>
      </c>
      <c r="CU217" s="334">
        <v>0</v>
      </c>
      <c r="CV217" s="334">
        <v>0</v>
      </c>
      <c r="CW217" s="334">
        <v>0</v>
      </c>
      <c r="CX217" s="334">
        <v>0</v>
      </c>
      <c r="CY217" s="334">
        <v>0</v>
      </c>
      <c r="CZ217" s="334">
        <v>0</v>
      </c>
      <c r="DA217" s="334">
        <v>0</v>
      </c>
      <c r="DB217" s="334">
        <v>0</v>
      </c>
      <c r="DC217" s="334">
        <v>0</v>
      </c>
      <c r="DD217" s="334">
        <v>0</v>
      </c>
      <c r="DE217" s="334">
        <v>0</v>
      </c>
      <c r="DF217" s="334">
        <v>0</v>
      </c>
      <c r="DG217" s="334">
        <v>0</v>
      </c>
      <c r="DH217" s="334">
        <v>0</v>
      </c>
      <c r="DI217" s="334">
        <v>0</v>
      </c>
      <c r="DJ217" s="334">
        <v>0</v>
      </c>
      <c r="DK217" s="334">
        <v>0</v>
      </c>
      <c r="DL217" s="334">
        <v>0</v>
      </c>
      <c r="DM217" s="334">
        <v>0</v>
      </c>
      <c r="DN217" s="334">
        <v>0</v>
      </c>
      <c r="DO217" s="334">
        <v>0</v>
      </c>
      <c r="DP217" s="334">
        <v>0</v>
      </c>
      <c r="DQ217" s="334">
        <v>0</v>
      </c>
      <c r="DR217" s="334">
        <v>0</v>
      </c>
      <c r="DS217" s="334">
        <v>0</v>
      </c>
      <c r="DT217" s="334">
        <v>0</v>
      </c>
      <c r="DU217" s="335">
        <v>0</v>
      </c>
      <c r="DV217" s="335">
        <v>0</v>
      </c>
      <c r="DW217" s="335">
        <v>0</v>
      </c>
      <c r="DX217" s="198" t="s">
        <v>2477</v>
      </c>
      <c r="DY217" s="198" t="s">
        <v>2477</v>
      </c>
      <c r="DZ217" s="198" t="s">
        <v>2477</v>
      </c>
      <c r="EA217" s="198" t="s">
        <v>2477</v>
      </c>
      <c r="EB217" s="198" t="s">
        <v>2477</v>
      </c>
      <c r="EC217" s="198" t="s">
        <v>2477</v>
      </c>
      <c r="ED217" s="198" t="s">
        <v>2477</v>
      </c>
      <c r="EE217" s="198" t="s">
        <v>2477</v>
      </c>
      <c r="EF217" s="198" t="s">
        <v>2477</v>
      </c>
      <c r="EG217" s="198" t="s">
        <v>2477</v>
      </c>
      <c r="EH217" s="198"/>
      <c r="EI217" s="336"/>
      <c r="EJ217" s="336"/>
    </row>
    <row r="218" spans="1:140" x14ac:dyDescent="0.25">
      <c r="A218" s="31">
        <v>6</v>
      </c>
      <c r="B218" s="31" t="s">
        <v>484</v>
      </c>
      <c r="C218" s="31">
        <v>219</v>
      </c>
      <c r="D218" s="31">
        <v>0</v>
      </c>
      <c r="E218" s="31">
        <v>0</v>
      </c>
      <c r="F218" s="31">
        <v>0</v>
      </c>
      <c r="G218" s="31">
        <v>0</v>
      </c>
      <c r="H218" s="331" t="s">
        <v>2475</v>
      </c>
      <c r="I218" s="331" t="s">
        <v>485</v>
      </c>
      <c r="J218" s="331"/>
      <c r="K218" s="331"/>
      <c r="L218" s="331"/>
      <c r="M218" s="331"/>
      <c r="N218" s="331"/>
      <c r="O218" s="331"/>
      <c r="P218" s="331"/>
      <c r="Q218" s="331"/>
      <c r="R218" s="331"/>
      <c r="S218" s="331"/>
      <c r="T218" s="331"/>
      <c r="U218" s="331"/>
      <c r="V218" s="331"/>
      <c r="W218" s="331"/>
      <c r="X218" s="331"/>
      <c r="Y218" s="331"/>
      <c r="Z218" s="331"/>
      <c r="AA218" s="331"/>
      <c r="AB218" s="331"/>
      <c r="AC218" s="331"/>
      <c r="AD218" s="331"/>
      <c r="AE218" s="331"/>
      <c r="AF218" s="331"/>
      <c r="AG218" s="331"/>
      <c r="AH218" s="331"/>
      <c r="AI218" s="331"/>
      <c r="AJ218" s="331"/>
      <c r="AK218" s="331"/>
      <c r="AL218" s="331"/>
      <c r="AM218" s="331"/>
      <c r="AN218" s="331"/>
      <c r="AO218" s="331"/>
      <c r="AP218" s="331"/>
      <c r="AQ218" s="331"/>
      <c r="AR218" s="331"/>
      <c r="AS218" s="331"/>
      <c r="AT218" s="331"/>
      <c r="AU218" s="331"/>
      <c r="AV218" s="331"/>
      <c r="AW218" s="331"/>
      <c r="AX218" s="331"/>
      <c r="AY218" s="332" t="s">
        <v>2476</v>
      </c>
      <c r="AZ218" s="332" t="s">
        <v>485</v>
      </c>
      <c r="BA218" s="332"/>
      <c r="BB218" s="332"/>
      <c r="BC218" s="332"/>
      <c r="BD218" s="332"/>
      <c r="BE218" s="332"/>
      <c r="BF218" s="332"/>
      <c r="BG218" s="332"/>
      <c r="BH218" s="332"/>
      <c r="BI218" s="332"/>
      <c r="BJ218" s="332"/>
      <c r="BK218" s="332"/>
      <c r="BL218" s="332"/>
      <c r="BM218" s="332"/>
      <c r="BN218" s="332"/>
      <c r="BO218" s="332"/>
      <c r="BP218" s="332"/>
      <c r="BQ218" s="332"/>
      <c r="BR218" s="332"/>
      <c r="BS218" s="332"/>
      <c r="BT218" s="332"/>
      <c r="BU218" s="332"/>
      <c r="BV218" s="332"/>
      <c r="BW218" s="332"/>
      <c r="BX218" s="332"/>
      <c r="BY218" s="332"/>
      <c r="BZ218" s="332"/>
      <c r="CA218" s="332"/>
      <c r="CB218" s="332"/>
      <c r="CC218" s="332"/>
      <c r="CD218" s="332"/>
      <c r="CE218" s="332"/>
      <c r="CF218" s="332"/>
      <c r="CG218" s="332"/>
      <c r="CH218" s="332"/>
      <c r="CI218" s="332"/>
      <c r="CJ218" s="332"/>
      <c r="CK218" s="332"/>
      <c r="CL218" s="332"/>
      <c r="CM218" s="332"/>
      <c r="CN218" s="332"/>
      <c r="CO218" s="332"/>
      <c r="CP218" s="333" t="s">
        <v>27</v>
      </c>
      <c r="CQ218" s="333" t="s">
        <v>485</v>
      </c>
      <c r="CR218" s="334">
        <v>-14.29</v>
      </c>
      <c r="CS218" s="334">
        <v>-14.29</v>
      </c>
      <c r="CT218" s="334">
        <v>-14.29</v>
      </c>
      <c r="CU218" s="334">
        <v>-14.29</v>
      </c>
      <c r="CV218" s="334">
        <v>-14.29</v>
      </c>
      <c r="CW218" s="334">
        <v>-14.29</v>
      </c>
      <c r="CX218" s="334">
        <v>-14.29</v>
      </c>
      <c r="CY218" s="334">
        <v>-14.29</v>
      </c>
      <c r="CZ218" s="334">
        <v>-14.29</v>
      </c>
      <c r="DA218" s="334">
        <v>-14.29</v>
      </c>
      <c r="DB218" s="334">
        <v>-15.739909090909091</v>
      </c>
      <c r="DC218" s="334">
        <v>-17.189818181818183</v>
      </c>
      <c r="DD218" s="334">
        <v>-18.639727272727274</v>
      </c>
      <c r="DE218" s="334">
        <v>-20.089636363636366</v>
      </c>
      <c r="DF218" s="334">
        <v>-21.539545454545458</v>
      </c>
      <c r="DG218" s="334">
        <v>-22.989454545454549</v>
      </c>
      <c r="DH218" s="334">
        <v>-24.439363636363641</v>
      </c>
      <c r="DI218" s="334">
        <v>-25.889272727272733</v>
      </c>
      <c r="DJ218" s="334">
        <v>-27.339181818181824</v>
      </c>
      <c r="DK218" s="334">
        <v>-28.789090909090916</v>
      </c>
      <c r="DL218" s="334">
        <v>-30.239000000000001</v>
      </c>
      <c r="DM218" s="334">
        <v>-27.960571428571257</v>
      </c>
      <c r="DN218" s="334">
        <v>-28.789090909091101</v>
      </c>
      <c r="DO218" s="334">
        <v>-29.617610389610491</v>
      </c>
      <c r="DP218" s="334">
        <v>-30.44612987012988</v>
      </c>
      <c r="DQ218" s="334">
        <v>-31.274649350649497</v>
      </c>
      <c r="DR218" s="334">
        <v>-32.103168831168887</v>
      </c>
      <c r="DS218" s="334">
        <v>-32.931688311688504</v>
      </c>
      <c r="DT218" s="334">
        <v>-33.760207792207893</v>
      </c>
      <c r="DU218" s="335">
        <v>-34.588727272727283</v>
      </c>
      <c r="DV218" s="335">
        <v>-35.417246753246673</v>
      </c>
      <c r="DW218" s="335">
        <v>-36.24576623376629</v>
      </c>
      <c r="DX218" s="198">
        <v>-35.417246753246673</v>
      </c>
      <c r="DY218" s="198">
        <v>-35.417246753246673</v>
      </c>
      <c r="DZ218" s="198">
        <v>-35.417246753246673</v>
      </c>
      <c r="EA218" s="198">
        <v>0.82851948051961699</v>
      </c>
      <c r="EB218" s="198">
        <v>-35.417246753246673</v>
      </c>
      <c r="EC218" s="198">
        <v>-35.417246753246673</v>
      </c>
      <c r="ED218" s="198">
        <v>-35.417246753246673</v>
      </c>
      <c r="EE218" s="198">
        <v>-35.417246753246673</v>
      </c>
      <c r="EF218" s="198">
        <v>0.82851948051961699</v>
      </c>
      <c r="EG218" s="198">
        <v>0</v>
      </c>
      <c r="EH218" s="198">
        <v>-44.574953565268189</v>
      </c>
      <c r="EI218" s="336">
        <f t="shared" si="3"/>
        <v>-32.931688311688411</v>
      </c>
      <c r="EJ218" s="336">
        <f>EI218-'[13]FAOSTAT21 CO2'!EH218</f>
        <v>-89.047330391688405</v>
      </c>
    </row>
    <row r="219" spans="1:140" x14ac:dyDescent="0.25">
      <c r="A219" s="31">
        <v>21</v>
      </c>
      <c r="B219" s="31" t="s">
        <v>486</v>
      </c>
      <c r="C219" s="31">
        <v>183</v>
      </c>
      <c r="D219" s="31">
        <v>0</v>
      </c>
      <c r="E219" s="31">
        <v>0</v>
      </c>
      <c r="F219" s="31">
        <v>0</v>
      </c>
      <c r="G219" s="31">
        <v>0</v>
      </c>
      <c r="H219" s="331" t="s">
        <v>2475</v>
      </c>
      <c r="I219" s="331" t="s">
        <v>487</v>
      </c>
      <c r="J219" s="331"/>
      <c r="K219" s="331"/>
      <c r="L219" s="331"/>
      <c r="M219" s="331"/>
      <c r="N219" s="331"/>
      <c r="O219" s="331"/>
      <c r="P219" s="331"/>
      <c r="Q219" s="331"/>
      <c r="R219" s="331"/>
      <c r="S219" s="331"/>
      <c r="T219" s="331"/>
      <c r="U219" s="331"/>
      <c r="V219" s="331"/>
      <c r="W219" s="331"/>
      <c r="X219" s="331"/>
      <c r="Y219" s="331"/>
      <c r="Z219" s="331"/>
      <c r="AA219" s="331"/>
      <c r="AB219" s="331"/>
      <c r="AC219" s="331"/>
      <c r="AD219" s="331"/>
      <c r="AE219" s="331"/>
      <c r="AF219" s="331"/>
      <c r="AG219" s="331"/>
      <c r="AH219" s="331"/>
      <c r="AI219" s="331"/>
      <c r="AJ219" s="331"/>
      <c r="AK219" s="331"/>
      <c r="AL219" s="331"/>
      <c r="AM219" s="331"/>
      <c r="AN219" s="331"/>
      <c r="AO219" s="331"/>
      <c r="AP219" s="331"/>
      <c r="AQ219" s="331"/>
      <c r="AR219" s="331"/>
      <c r="AS219" s="331"/>
      <c r="AT219" s="331"/>
      <c r="AU219" s="331"/>
      <c r="AV219" s="331"/>
      <c r="AW219" s="331"/>
      <c r="AX219" s="331"/>
      <c r="AY219" s="332" t="s">
        <v>2476</v>
      </c>
      <c r="AZ219" s="332" t="s">
        <v>487</v>
      </c>
      <c r="BA219" s="332"/>
      <c r="BB219" s="332"/>
      <c r="BC219" s="332"/>
      <c r="BD219" s="332"/>
      <c r="BE219" s="332"/>
      <c r="BF219" s="332"/>
      <c r="BG219" s="332"/>
      <c r="BH219" s="332"/>
      <c r="BI219" s="332"/>
      <c r="BJ219" s="332"/>
      <c r="BK219" s="332"/>
      <c r="BL219" s="332"/>
      <c r="BM219" s="332"/>
      <c r="BN219" s="332"/>
      <c r="BO219" s="332"/>
      <c r="BP219" s="332"/>
      <c r="BQ219" s="332"/>
      <c r="BR219" s="332"/>
      <c r="BS219" s="332"/>
      <c r="BT219" s="332"/>
      <c r="BU219" s="332"/>
      <c r="BV219" s="332"/>
      <c r="BW219" s="332"/>
      <c r="BX219" s="332"/>
      <c r="BY219" s="332"/>
      <c r="BZ219" s="332"/>
      <c r="CA219" s="332"/>
      <c r="CB219" s="332"/>
      <c r="CC219" s="332"/>
      <c r="CD219" s="332"/>
      <c r="CE219" s="332"/>
      <c r="CF219" s="332"/>
      <c r="CG219" s="332"/>
      <c r="CH219" s="332"/>
      <c r="CI219" s="332"/>
      <c r="CJ219" s="332"/>
      <c r="CK219" s="332"/>
      <c r="CL219" s="332"/>
      <c r="CM219" s="332"/>
      <c r="CN219" s="332"/>
      <c r="CO219" s="332"/>
      <c r="CP219" s="333" t="s">
        <v>27</v>
      </c>
      <c r="CQ219" s="333" t="s">
        <v>487</v>
      </c>
      <c r="CR219" s="334">
        <v>19.38</v>
      </c>
      <c r="CS219" s="334">
        <v>19.38</v>
      </c>
      <c r="CT219" s="334">
        <v>19.38</v>
      </c>
      <c r="CU219" s="334">
        <v>19.38</v>
      </c>
      <c r="CV219" s="334">
        <v>19.38</v>
      </c>
      <c r="CW219" s="334">
        <v>19.38</v>
      </c>
      <c r="CX219" s="334">
        <v>18.667453333333334</v>
      </c>
      <c r="CY219" s="334">
        <v>17.954906666666666</v>
      </c>
      <c r="CZ219" s="334">
        <v>17.242359999999998</v>
      </c>
      <c r="DA219" s="334">
        <v>16.52981333333333</v>
      </c>
      <c r="DB219" s="334">
        <v>15.817266666666663</v>
      </c>
      <c r="DC219" s="334">
        <v>15.10472</v>
      </c>
      <c r="DD219" s="334">
        <v>11.672389000000001</v>
      </c>
      <c r="DE219" s="334">
        <v>8.2400580000000012</v>
      </c>
      <c r="DF219" s="334">
        <v>4.8077270000000016</v>
      </c>
      <c r="DG219" s="334">
        <v>1.3753960000000016</v>
      </c>
      <c r="DH219" s="334">
        <v>-2.0569349999999984</v>
      </c>
      <c r="DI219" s="334">
        <v>-5.4892659999999989</v>
      </c>
      <c r="DJ219" s="334">
        <v>-8.9215969999999984</v>
      </c>
      <c r="DK219" s="334">
        <v>-12.353927999999998</v>
      </c>
      <c r="DL219" s="334">
        <v>-15.786258999999998</v>
      </c>
      <c r="DM219" s="334">
        <v>-19.218589999999999</v>
      </c>
      <c r="DN219" s="334">
        <v>-24.225669999999997</v>
      </c>
      <c r="DO219" s="334">
        <v>-29.232749999999996</v>
      </c>
      <c r="DP219" s="334">
        <v>-34.239829999999998</v>
      </c>
      <c r="DQ219" s="334">
        <v>-37.540179999999999</v>
      </c>
      <c r="DR219" s="334">
        <v>-29.419496815385173</v>
      </c>
      <c r="DS219" s="334">
        <v>-31.754351522507022</v>
      </c>
      <c r="DT219" s="334">
        <v>-34.089206229628871</v>
      </c>
      <c r="DU219" s="335">
        <v>-36.424060936752539</v>
      </c>
      <c r="DV219" s="335">
        <v>-38.758915643874388</v>
      </c>
      <c r="DW219" s="335">
        <v>-41.093770350997147</v>
      </c>
      <c r="DX219" s="198">
        <v>-49.2</v>
      </c>
      <c r="DY219" s="198">
        <v>-95.6</v>
      </c>
      <c r="DZ219" s="198">
        <v>-81.7</v>
      </c>
      <c r="EA219" s="198">
        <v>-54.506229649002847</v>
      </c>
      <c r="EB219" s="198">
        <v>-38.758915643874388</v>
      </c>
      <c r="EC219" s="198">
        <v>-38.758915643874388</v>
      </c>
      <c r="ED219" s="198">
        <v>-38.758915643874388</v>
      </c>
      <c r="EE219" s="198">
        <v>-38.758915643874388</v>
      </c>
      <c r="EF219" s="198">
        <v>2.3348547071227586</v>
      </c>
      <c r="EG219" s="198">
        <v>56.841084356125606</v>
      </c>
      <c r="EH219" s="198">
        <v>-48.784640000000003</v>
      </c>
      <c r="EI219" s="336">
        <f t="shared" si="3"/>
        <v>-33.845459100854718</v>
      </c>
      <c r="EJ219" s="336">
        <f>EI219-'[13]FAOSTAT21 CO2'!EH219</f>
        <v>-19.385145460854716</v>
      </c>
    </row>
    <row r="220" spans="1:140" x14ac:dyDescent="0.25">
      <c r="A220" s="31">
        <v>4</v>
      </c>
      <c r="B220" s="31" t="s">
        <v>488</v>
      </c>
      <c r="C220" s="31">
        <v>25</v>
      </c>
      <c r="D220" s="31">
        <v>0</v>
      </c>
      <c r="E220" s="31">
        <v>0</v>
      </c>
      <c r="F220" s="31">
        <v>0</v>
      </c>
      <c r="G220" s="31">
        <v>0</v>
      </c>
      <c r="H220" s="331" t="s">
        <v>2475</v>
      </c>
      <c r="I220" s="331" t="s">
        <v>489</v>
      </c>
      <c r="J220" s="331"/>
      <c r="K220" s="331"/>
      <c r="L220" s="331"/>
      <c r="M220" s="331"/>
      <c r="N220" s="331"/>
      <c r="O220" s="331"/>
      <c r="P220" s="331"/>
      <c r="Q220" s="331"/>
      <c r="R220" s="331"/>
      <c r="S220" s="331"/>
      <c r="T220" s="331"/>
      <c r="U220" s="331"/>
      <c r="V220" s="331"/>
      <c r="W220" s="331"/>
      <c r="X220" s="331"/>
      <c r="Y220" s="331"/>
      <c r="Z220" s="331"/>
      <c r="AA220" s="331"/>
      <c r="AB220" s="331"/>
      <c r="AC220" s="331"/>
      <c r="AD220" s="331"/>
      <c r="AE220" s="331"/>
      <c r="AF220" s="331"/>
      <c r="AG220" s="331"/>
      <c r="AH220" s="331"/>
      <c r="AI220" s="331"/>
      <c r="AJ220" s="331"/>
      <c r="AK220" s="331"/>
      <c r="AL220" s="331"/>
      <c r="AM220" s="331"/>
      <c r="AN220" s="331"/>
      <c r="AO220" s="331"/>
      <c r="AP220" s="331"/>
      <c r="AQ220" s="331"/>
      <c r="AR220" s="331"/>
      <c r="AS220" s="331"/>
      <c r="AT220" s="331"/>
      <c r="AU220" s="331"/>
      <c r="AV220" s="331"/>
      <c r="AW220" s="331"/>
      <c r="AX220" s="331"/>
      <c r="AY220" s="332" t="s">
        <v>2476</v>
      </c>
      <c r="AZ220" s="332" t="s">
        <v>489</v>
      </c>
      <c r="BA220" s="332"/>
      <c r="BB220" s="332"/>
      <c r="BC220" s="332"/>
      <c r="BD220" s="332"/>
      <c r="BE220" s="332"/>
      <c r="BF220" s="332"/>
      <c r="BG220" s="332"/>
      <c r="BH220" s="332"/>
      <c r="BI220" s="332"/>
      <c r="BJ220" s="332"/>
      <c r="BK220" s="332"/>
      <c r="BL220" s="332"/>
      <c r="BM220" s="332"/>
      <c r="BN220" s="332"/>
      <c r="BO220" s="332"/>
      <c r="BP220" s="332"/>
      <c r="BQ220" s="332"/>
      <c r="BR220" s="332"/>
      <c r="BS220" s="332"/>
      <c r="BT220" s="332"/>
      <c r="BU220" s="332"/>
      <c r="BV220" s="332"/>
      <c r="BW220" s="332"/>
      <c r="BX220" s="332"/>
      <c r="BY220" s="332"/>
      <c r="BZ220" s="332"/>
      <c r="CA220" s="332"/>
      <c r="CB220" s="332"/>
      <c r="CC220" s="332"/>
      <c r="CD220" s="332"/>
      <c r="CE220" s="332"/>
      <c r="CF220" s="332"/>
      <c r="CG220" s="332"/>
      <c r="CH220" s="332"/>
      <c r="CI220" s="332"/>
      <c r="CJ220" s="332"/>
      <c r="CK220" s="332"/>
      <c r="CL220" s="332"/>
      <c r="CM220" s="332"/>
      <c r="CN220" s="332"/>
      <c r="CO220" s="332"/>
      <c r="CP220" s="333" t="s">
        <v>27</v>
      </c>
      <c r="CQ220" s="333" t="s">
        <v>489</v>
      </c>
      <c r="CR220" s="334">
        <v>0</v>
      </c>
      <c r="CS220" s="334">
        <v>0</v>
      </c>
      <c r="CT220" s="334">
        <v>0</v>
      </c>
      <c r="CU220" s="334">
        <v>0</v>
      </c>
      <c r="CV220" s="334">
        <v>0</v>
      </c>
      <c r="CW220" s="334">
        <v>0</v>
      </c>
      <c r="CX220" s="334">
        <v>0</v>
      </c>
      <c r="CY220" s="334">
        <v>0</v>
      </c>
      <c r="CZ220" s="334">
        <v>0</v>
      </c>
      <c r="DA220" s="334">
        <v>0</v>
      </c>
      <c r="DB220" s="334">
        <v>0</v>
      </c>
      <c r="DC220" s="334">
        <v>0</v>
      </c>
      <c r="DD220" s="334">
        <v>0</v>
      </c>
      <c r="DE220" s="334">
        <v>0</v>
      </c>
      <c r="DF220" s="334">
        <v>0</v>
      </c>
      <c r="DG220" s="334">
        <v>0</v>
      </c>
      <c r="DH220" s="334">
        <v>0</v>
      </c>
      <c r="DI220" s="334">
        <v>0</v>
      </c>
      <c r="DJ220" s="334">
        <v>0</v>
      </c>
      <c r="DK220" s="334">
        <v>0</v>
      </c>
      <c r="DL220" s="334">
        <v>0</v>
      </c>
      <c r="DM220" s="334">
        <v>0</v>
      </c>
      <c r="DN220" s="334">
        <v>0</v>
      </c>
      <c r="DO220" s="334">
        <v>0</v>
      </c>
      <c r="DP220" s="334">
        <v>0</v>
      </c>
      <c r="DQ220" s="334">
        <v>0</v>
      </c>
      <c r="DR220" s="334">
        <v>0</v>
      </c>
      <c r="DS220" s="334">
        <v>0</v>
      </c>
      <c r="DT220" s="334">
        <v>0</v>
      </c>
      <c r="DU220" s="335">
        <v>0</v>
      </c>
      <c r="DV220" s="335">
        <v>0</v>
      </c>
      <c r="DW220" s="335">
        <v>0</v>
      </c>
      <c r="DX220" s="198" t="s">
        <v>2477</v>
      </c>
      <c r="DY220" s="198" t="s">
        <v>2477</v>
      </c>
      <c r="DZ220" s="198" t="s">
        <v>2477</v>
      </c>
      <c r="EA220" s="198" t="s">
        <v>2477</v>
      </c>
      <c r="EB220" s="198" t="s">
        <v>2477</v>
      </c>
      <c r="EC220" s="198" t="s">
        <v>2477</v>
      </c>
      <c r="ED220" s="198" t="s">
        <v>2477</v>
      </c>
      <c r="EE220" s="198" t="s">
        <v>2477</v>
      </c>
      <c r="EF220" s="198" t="s">
        <v>2477</v>
      </c>
      <c r="EG220" s="198" t="s">
        <v>2477</v>
      </c>
      <c r="EH220" s="198"/>
      <c r="EI220" s="336">
        <f t="shared" si="3"/>
        <v>0</v>
      </c>
      <c r="EJ220" s="336">
        <f>EI220-'[13]FAOSTAT21 CO2'!EH220</f>
        <v>0</v>
      </c>
    </row>
    <row r="221" spans="1:140" x14ac:dyDescent="0.25">
      <c r="A221" s="31">
        <v>4</v>
      </c>
      <c r="B221" s="31" t="s">
        <v>490</v>
      </c>
      <c r="C221" s="31">
        <v>215</v>
      </c>
      <c r="D221" s="31">
        <v>0</v>
      </c>
      <c r="E221" s="31">
        <v>0</v>
      </c>
      <c r="F221" s="31">
        <v>0</v>
      </c>
      <c r="G221" s="31">
        <v>0</v>
      </c>
      <c r="H221" s="331" t="s">
        <v>2475</v>
      </c>
      <c r="I221" s="331" t="s">
        <v>491</v>
      </c>
      <c r="J221" s="331"/>
      <c r="K221" s="331"/>
      <c r="L221" s="331"/>
      <c r="M221" s="331"/>
      <c r="N221" s="331"/>
      <c r="O221" s="331"/>
      <c r="P221" s="331"/>
      <c r="Q221" s="331"/>
      <c r="R221" s="331"/>
      <c r="S221" s="331"/>
      <c r="T221" s="331"/>
      <c r="U221" s="331"/>
      <c r="V221" s="331"/>
      <c r="W221" s="331"/>
      <c r="X221" s="331"/>
      <c r="Y221" s="331"/>
      <c r="Z221" s="331"/>
      <c r="AA221" s="331"/>
      <c r="AB221" s="331"/>
      <c r="AC221" s="331"/>
      <c r="AD221" s="331"/>
      <c r="AE221" s="331"/>
      <c r="AF221" s="331"/>
      <c r="AG221" s="331"/>
      <c r="AH221" s="331"/>
      <c r="AI221" s="331"/>
      <c r="AJ221" s="331"/>
      <c r="AK221" s="331"/>
      <c r="AL221" s="331"/>
      <c r="AM221" s="331"/>
      <c r="AN221" s="331"/>
      <c r="AO221" s="331"/>
      <c r="AP221" s="331"/>
      <c r="AQ221" s="331"/>
      <c r="AR221" s="331"/>
      <c r="AS221" s="331"/>
      <c r="AT221" s="331"/>
      <c r="AU221" s="331"/>
      <c r="AV221" s="331"/>
      <c r="AW221" s="331"/>
      <c r="AX221" s="331"/>
      <c r="AY221" s="332" t="s">
        <v>2476</v>
      </c>
      <c r="AZ221" s="332" t="s">
        <v>491</v>
      </c>
      <c r="BA221" s="332"/>
      <c r="BB221" s="332"/>
      <c r="BC221" s="332"/>
      <c r="BD221" s="332"/>
      <c r="BE221" s="332"/>
      <c r="BF221" s="332"/>
      <c r="BG221" s="332"/>
      <c r="BH221" s="332"/>
      <c r="BI221" s="332"/>
      <c r="BJ221" s="332"/>
      <c r="BK221" s="332"/>
      <c r="BL221" s="332"/>
      <c r="BM221" s="332"/>
      <c r="BN221" s="332"/>
      <c r="BO221" s="332"/>
      <c r="BP221" s="332"/>
      <c r="BQ221" s="332"/>
      <c r="BR221" s="332"/>
      <c r="BS221" s="332"/>
      <c r="BT221" s="332"/>
      <c r="BU221" s="332"/>
      <c r="BV221" s="332"/>
      <c r="BW221" s="332"/>
      <c r="BX221" s="332"/>
      <c r="BY221" s="332"/>
      <c r="BZ221" s="332"/>
      <c r="CA221" s="332"/>
      <c r="CB221" s="332"/>
      <c r="CC221" s="332"/>
      <c r="CD221" s="332"/>
      <c r="CE221" s="332"/>
      <c r="CF221" s="332"/>
      <c r="CG221" s="332"/>
      <c r="CH221" s="332"/>
      <c r="CI221" s="332"/>
      <c r="CJ221" s="332"/>
      <c r="CK221" s="332"/>
      <c r="CL221" s="332"/>
      <c r="CM221" s="332"/>
      <c r="CN221" s="332"/>
      <c r="CO221" s="332"/>
      <c r="CP221" s="333" t="s">
        <v>27</v>
      </c>
      <c r="CQ221" s="333" t="s">
        <v>491</v>
      </c>
      <c r="CR221" s="334">
        <v>0</v>
      </c>
      <c r="CS221" s="334">
        <v>0</v>
      </c>
      <c r="CT221" s="334">
        <v>0</v>
      </c>
      <c r="CU221" s="334">
        <v>0</v>
      </c>
      <c r="CV221" s="334">
        <v>0</v>
      </c>
      <c r="CW221" s="334">
        <v>0</v>
      </c>
      <c r="CX221" s="334">
        <v>0</v>
      </c>
      <c r="CY221" s="334">
        <v>0</v>
      </c>
      <c r="CZ221" s="334">
        <v>0</v>
      </c>
      <c r="DA221" s="334">
        <v>0</v>
      </c>
      <c r="DB221" s="334">
        <v>0</v>
      </c>
      <c r="DC221" s="334">
        <v>0</v>
      </c>
      <c r="DD221" s="334">
        <v>0</v>
      </c>
      <c r="DE221" s="334">
        <v>0</v>
      </c>
      <c r="DF221" s="334">
        <v>0</v>
      </c>
      <c r="DG221" s="334">
        <v>0</v>
      </c>
      <c r="DH221" s="334">
        <v>0</v>
      </c>
      <c r="DI221" s="334">
        <v>0</v>
      </c>
      <c r="DJ221" s="334">
        <v>0</v>
      </c>
      <c r="DK221" s="334">
        <v>0</v>
      </c>
      <c r="DL221" s="334">
        <v>0</v>
      </c>
      <c r="DM221" s="334">
        <v>0</v>
      </c>
      <c r="DN221" s="334">
        <v>0</v>
      </c>
      <c r="DO221" s="334">
        <v>0</v>
      </c>
      <c r="DP221" s="334">
        <v>0</v>
      </c>
      <c r="DQ221" s="334">
        <v>0</v>
      </c>
      <c r="DR221" s="334">
        <v>0</v>
      </c>
      <c r="DS221" s="334">
        <v>0</v>
      </c>
      <c r="DT221" s="334">
        <v>0</v>
      </c>
      <c r="DU221" s="335">
        <v>0</v>
      </c>
      <c r="DV221" s="335">
        <v>0</v>
      </c>
      <c r="DW221" s="335">
        <v>0</v>
      </c>
      <c r="DX221" s="198" t="s">
        <v>2477</v>
      </c>
      <c r="DY221" s="198" t="s">
        <v>2477</v>
      </c>
      <c r="DZ221" s="198" t="s">
        <v>2477</v>
      </c>
      <c r="EA221" s="198" t="s">
        <v>2477</v>
      </c>
      <c r="EB221" s="198" t="s">
        <v>2477</v>
      </c>
      <c r="EC221" s="198" t="s">
        <v>2477</v>
      </c>
      <c r="ED221" s="198" t="s">
        <v>2477</v>
      </c>
      <c r="EE221" s="198" t="s">
        <v>2477</v>
      </c>
      <c r="EF221" s="198" t="s">
        <v>2477</v>
      </c>
      <c r="EG221" s="198" t="s">
        <v>2477</v>
      </c>
      <c r="EH221" s="198"/>
      <c r="EI221" s="336">
        <f t="shared" si="3"/>
        <v>0</v>
      </c>
      <c r="EJ221" s="336">
        <f>EI221-'[13]FAOSTAT21 CO2'!EH221</f>
        <v>0.14084201999999998</v>
      </c>
    </row>
    <row r="222" spans="1:140" x14ac:dyDescent="0.25">
      <c r="A222" s="31">
        <v>24</v>
      </c>
      <c r="B222" s="31" t="s">
        <v>492</v>
      </c>
      <c r="C222" s="31">
        <v>220</v>
      </c>
      <c r="D222" s="31">
        <v>0</v>
      </c>
      <c r="E222" s="31">
        <v>0</v>
      </c>
      <c r="F222" s="31">
        <v>0</v>
      </c>
      <c r="G222" s="31">
        <v>0</v>
      </c>
      <c r="H222" s="331" t="s">
        <v>2475</v>
      </c>
      <c r="I222" s="331" t="s">
        <v>493</v>
      </c>
      <c r="J222" s="331"/>
      <c r="K222" s="331"/>
      <c r="L222" s="331"/>
      <c r="M222" s="331"/>
      <c r="N222" s="331"/>
      <c r="O222" s="331"/>
      <c r="P222" s="331"/>
      <c r="Q222" s="331"/>
      <c r="R222" s="331"/>
      <c r="S222" s="331"/>
      <c r="T222" s="331"/>
      <c r="U222" s="331"/>
      <c r="V222" s="331"/>
      <c r="W222" s="331"/>
      <c r="X222" s="331"/>
      <c r="Y222" s="331"/>
      <c r="Z222" s="331"/>
      <c r="AA222" s="331"/>
      <c r="AB222" s="331"/>
      <c r="AC222" s="331"/>
      <c r="AD222" s="331"/>
      <c r="AE222" s="331"/>
      <c r="AF222" s="331"/>
      <c r="AG222" s="331"/>
      <c r="AH222" s="331"/>
      <c r="AI222" s="331"/>
      <c r="AJ222" s="331"/>
      <c r="AK222" s="331"/>
      <c r="AL222" s="331"/>
      <c r="AM222" s="331"/>
      <c r="AN222" s="331"/>
      <c r="AO222" s="331"/>
      <c r="AP222" s="331"/>
      <c r="AQ222" s="331"/>
      <c r="AR222" s="331"/>
      <c r="AS222" s="331"/>
      <c r="AT222" s="331"/>
      <c r="AU222" s="331"/>
      <c r="AV222" s="331"/>
      <c r="AW222" s="331"/>
      <c r="AX222" s="331"/>
      <c r="AY222" s="332" t="s">
        <v>2476</v>
      </c>
      <c r="AZ222" s="332" t="s">
        <v>493</v>
      </c>
      <c r="BA222" s="332"/>
      <c r="BB222" s="332"/>
      <c r="BC222" s="332"/>
      <c r="BD222" s="332"/>
      <c r="BE222" s="332"/>
      <c r="BF222" s="332"/>
      <c r="BG222" s="332"/>
      <c r="BH222" s="332"/>
      <c r="BI222" s="332"/>
      <c r="BJ222" s="332"/>
      <c r="BK222" s="332"/>
      <c r="BL222" s="332"/>
      <c r="BM222" s="332"/>
      <c r="BN222" s="332"/>
      <c r="BO222" s="332"/>
      <c r="BP222" s="332"/>
      <c r="BQ222" s="332"/>
      <c r="BR222" s="332"/>
      <c r="BS222" s="332"/>
      <c r="BT222" s="332"/>
      <c r="BU222" s="332"/>
      <c r="BV222" s="332"/>
      <c r="BW222" s="332"/>
      <c r="BX222" s="332"/>
      <c r="BY222" s="332"/>
      <c r="BZ222" s="332"/>
      <c r="CA222" s="332"/>
      <c r="CB222" s="332"/>
      <c r="CC222" s="332"/>
      <c r="CD222" s="332"/>
      <c r="CE222" s="332"/>
      <c r="CF222" s="332"/>
      <c r="CG222" s="332"/>
      <c r="CH222" s="332"/>
      <c r="CI222" s="332"/>
      <c r="CJ222" s="332"/>
      <c r="CK222" s="332"/>
      <c r="CL222" s="332"/>
      <c r="CM222" s="332"/>
      <c r="CN222" s="332"/>
      <c r="CO222" s="332"/>
      <c r="CP222" s="333" t="s">
        <v>27</v>
      </c>
      <c r="CQ222" s="333" t="s">
        <v>493</v>
      </c>
      <c r="CR222" s="334">
        <v>0</v>
      </c>
      <c r="CS222" s="334">
        <v>0</v>
      </c>
      <c r="CT222" s="334">
        <v>0</v>
      </c>
      <c r="CU222" s="334">
        <v>0</v>
      </c>
      <c r="CV222" s="334">
        <v>0</v>
      </c>
      <c r="CW222" s="334">
        <v>0</v>
      </c>
      <c r="CX222" s="334">
        <v>0</v>
      </c>
      <c r="CY222" s="334">
        <v>0</v>
      </c>
      <c r="CZ222" s="334">
        <v>0</v>
      </c>
      <c r="DA222" s="334">
        <v>0</v>
      </c>
      <c r="DB222" s="334">
        <v>0</v>
      </c>
      <c r="DC222" s="334">
        <v>0</v>
      </c>
      <c r="DD222" s="334">
        <v>0</v>
      </c>
      <c r="DE222" s="334">
        <v>0</v>
      </c>
      <c r="DF222" s="334">
        <v>0</v>
      </c>
      <c r="DG222" s="334">
        <v>0</v>
      </c>
      <c r="DH222" s="334">
        <v>0</v>
      </c>
      <c r="DI222" s="334">
        <v>0</v>
      </c>
      <c r="DJ222" s="334">
        <v>0</v>
      </c>
      <c r="DK222" s="334">
        <v>0</v>
      </c>
      <c r="DL222" s="334">
        <v>0</v>
      </c>
      <c r="DM222" s="334">
        <v>0</v>
      </c>
      <c r="DN222" s="334">
        <v>0</v>
      </c>
      <c r="DO222" s="334">
        <v>0</v>
      </c>
      <c r="DP222" s="334">
        <v>0</v>
      </c>
      <c r="DQ222" s="334">
        <v>0</v>
      </c>
      <c r="DR222" s="334">
        <v>0</v>
      </c>
      <c r="DS222" s="334">
        <v>0</v>
      </c>
      <c r="DT222" s="334">
        <v>0</v>
      </c>
      <c r="DU222" s="335">
        <v>0</v>
      </c>
      <c r="DV222" s="335">
        <v>0</v>
      </c>
      <c r="DW222" s="335">
        <v>0</v>
      </c>
      <c r="DX222" s="198" t="s">
        <v>2477</v>
      </c>
      <c r="DY222" s="198" t="s">
        <v>2477</v>
      </c>
      <c r="DZ222" s="198" t="s">
        <v>2477</v>
      </c>
      <c r="EA222" s="198" t="s">
        <v>2477</v>
      </c>
      <c r="EB222" s="198" t="s">
        <v>2477</v>
      </c>
      <c r="EC222" s="198" t="s">
        <v>2477</v>
      </c>
      <c r="ED222" s="198" t="s">
        <v>2477</v>
      </c>
      <c r="EE222" s="198" t="s">
        <v>2477</v>
      </c>
      <c r="EF222" s="198" t="s">
        <v>2477</v>
      </c>
      <c r="EG222" s="198" t="s">
        <v>2477</v>
      </c>
      <c r="EH222" s="198"/>
      <c r="EI222" s="336">
        <f t="shared" si="3"/>
        <v>0</v>
      </c>
      <c r="EJ222" s="336">
        <f>EI222-'[13]FAOSTAT21 CO2'!EH222</f>
        <v>-1.3154E-4</v>
      </c>
    </row>
    <row r="223" spans="1:140" x14ac:dyDescent="0.25">
      <c r="A223" s="31">
        <v>7</v>
      </c>
      <c r="B223" s="31" t="s">
        <v>494</v>
      </c>
      <c r="C223" s="31">
        <v>189</v>
      </c>
      <c r="D223" s="31">
        <v>0</v>
      </c>
      <c r="E223" s="31">
        <v>0</v>
      </c>
      <c r="F223" s="31">
        <v>0</v>
      </c>
      <c r="G223" s="31">
        <v>0</v>
      </c>
      <c r="H223" s="331" t="s">
        <v>2475</v>
      </c>
      <c r="I223" s="331" t="s">
        <v>495</v>
      </c>
      <c r="J223" s="331"/>
      <c r="K223" s="331"/>
      <c r="L223" s="331"/>
      <c r="M223" s="331"/>
      <c r="N223" s="331"/>
      <c r="O223" s="331"/>
      <c r="P223" s="331"/>
      <c r="Q223" s="331"/>
      <c r="R223" s="331"/>
      <c r="S223" s="331"/>
      <c r="T223" s="331"/>
      <c r="U223" s="331"/>
      <c r="V223" s="331"/>
      <c r="W223" s="331"/>
      <c r="X223" s="331"/>
      <c r="Y223" s="331"/>
      <c r="Z223" s="331"/>
      <c r="AA223" s="331"/>
      <c r="AB223" s="331"/>
      <c r="AC223" s="331"/>
      <c r="AD223" s="331"/>
      <c r="AE223" s="331"/>
      <c r="AF223" s="331"/>
      <c r="AG223" s="331"/>
      <c r="AH223" s="331"/>
      <c r="AI223" s="331"/>
      <c r="AJ223" s="331"/>
      <c r="AK223" s="331"/>
      <c r="AL223" s="331"/>
      <c r="AM223" s="331"/>
      <c r="AN223" s="331"/>
      <c r="AO223" s="331"/>
      <c r="AP223" s="331"/>
      <c r="AQ223" s="331"/>
      <c r="AR223" s="331"/>
      <c r="AS223" s="331"/>
      <c r="AT223" s="331"/>
      <c r="AU223" s="331"/>
      <c r="AV223" s="331"/>
      <c r="AW223" s="331"/>
      <c r="AX223" s="331"/>
      <c r="AY223" s="332" t="s">
        <v>2476</v>
      </c>
      <c r="AZ223" s="332" t="s">
        <v>495</v>
      </c>
      <c r="BA223" s="332"/>
      <c r="BB223" s="332"/>
      <c r="BC223" s="332"/>
      <c r="BD223" s="332"/>
      <c r="BE223" s="332"/>
      <c r="BF223" s="332"/>
      <c r="BG223" s="332"/>
      <c r="BH223" s="332"/>
      <c r="BI223" s="332"/>
      <c r="BJ223" s="332"/>
      <c r="BK223" s="332"/>
      <c r="BL223" s="332"/>
      <c r="BM223" s="332"/>
      <c r="BN223" s="332"/>
      <c r="BO223" s="332"/>
      <c r="BP223" s="332"/>
      <c r="BQ223" s="332"/>
      <c r="BR223" s="332"/>
      <c r="BS223" s="332"/>
      <c r="BT223" s="332"/>
      <c r="BU223" s="332"/>
      <c r="BV223" s="332"/>
      <c r="BW223" s="332"/>
      <c r="BX223" s="332"/>
      <c r="BY223" s="332"/>
      <c r="BZ223" s="332"/>
      <c r="CA223" s="332"/>
      <c r="CB223" s="332"/>
      <c r="CC223" s="332"/>
      <c r="CD223" s="332"/>
      <c r="CE223" s="332"/>
      <c r="CF223" s="332"/>
      <c r="CG223" s="332"/>
      <c r="CH223" s="332"/>
      <c r="CI223" s="332"/>
      <c r="CJ223" s="332"/>
      <c r="CK223" s="332"/>
      <c r="CL223" s="332"/>
      <c r="CM223" s="332"/>
      <c r="CN223" s="332"/>
      <c r="CO223" s="332"/>
      <c r="CP223" s="333" t="s">
        <v>27</v>
      </c>
      <c r="CQ223" s="333" t="s">
        <v>495</v>
      </c>
      <c r="CR223" s="334">
        <v>0</v>
      </c>
      <c r="CS223" s="334">
        <v>0</v>
      </c>
      <c r="CT223" s="334">
        <v>0</v>
      </c>
      <c r="CU223" s="334">
        <v>0</v>
      </c>
      <c r="CV223" s="334">
        <v>0</v>
      </c>
      <c r="CW223" s="334">
        <v>0</v>
      </c>
      <c r="CX223" s="334">
        <v>0</v>
      </c>
      <c r="CY223" s="334">
        <v>0</v>
      </c>
      <c r="CZ223" s="334">
        <v>0</v>
      </c>
      <c r="DA223" s="334">
        <v>0</v>
      </c>
      <c r="DB223" s="334">
        <v>0</v>
      </c>
      <c r="DC223" s="334">
        <v>0</v>
      </c>
      <c r="DD223" s="334">
        <v>0</v>
      </c>
      <c r="DE223" s="334">
        <v>0</v>
      </c>
      <c r="DF223" s="334">
        <v>0</v>
      </c>
      <c r="DG223" s="334">
        <v>0</v>
      </c>
      <c r="DH223" s="334">
        <v>0</v>
      </c>
      <c r="DI223" s="334">
        <v>0</v>
      </c>
      <c r="DJ223" s="334">
        <v>0</v>
      </c>
      <c r="DK223" s="334">
        <v>0</v>
      </c>
      <c r="DL223" s="334">
        <v>0</v>
      </c>
      <c r="DM223" s="334">
        <v>0</v>
      </c>
      <c r="DN223" s="334">
        <v>0</v>
      </c>
      <c r="DO223" s="334">
        <v>0</v>
      </c>
      <c r="DP223" s="334">
        <v>0</v>
      </c>
      <c r="DQ223" s="334">
        <v>0</v>
      </c>
      <c r="DR223" s="334">
        <v>0</v>
      </c>
      <c r="DS223" s="334">
        <v>0</v>
      </c>
      <c r="DT223" s="334">
        <v>0</v>
      </c>
      <c r="DU223" s="335">
        <v>0</v>
      </c>
      <c r="DV223" s="335">
        <v>0</v>
      </c>
      <c r="DW223" s="335">
        <v>0</v>
      </c>
      <c r="DX223" s="198" t="s">
        <v>2477</v>
      </c>
      <c r="DY223" s="198" t="s">
        <v>2477</v>
      </c>
      <c r="DZ223" s="198" t="s">
        <v>2477</v>
      </c>
      <c r="EA223" s="198" t="s">
        <v>2477</v>
      </c>
      <c r="EB223" s="198" t="s">
        <v>2477</v>
      </c>
      <c r="EC223" s="198" t="s">
        <v>2477</v>
      </c>
      <c r="ED223" s="198" t="s">
        <v>2477</v>
      </c>
      <c r="EE223" s="198" t="s">
        <v>2477</v>
      </c>
      <c r="EF223" s="198" t="s">
        <v>2477</v>
      </c>
      <c r="EG223" s="198" t="s">
        <v>2477</v>
      </c>
      <c r="EH223" s="198"/>
      <c r="EI223" s="336">
        <f t="shared" si="3"/>
        <v>0</v>
      </c>
      <c r="EJ223" s="336">
        <f>EI223-'[13]FAOSTAT21 CO2'!EH223</f>
        <v>0.11136114</v>
      </c>
    </row>
    <row r="224" spans="1:140" x14ac:dyDescent="0.25">
      <c r="A224" s="31">
        <v>17</v>
      </c>
      <c r="B224" s="31" t="s">
        <v>496</v>
      </c>
      <c r="C224" s="31">
        <v>222</v>
      </c>
      <c r="D224" s="31">
        <v>0</v>
      </c>
      <c r="E224" s="31">
        <v>0</v>
      </c>
      <c r="F224" s="31">
        <v>0</v>
      </c>
      <c r="G224" s="31">
        <v>0</v>
      </c>
      <c r="H224" s="331" t="s">
        <v>2475</v>
      </c>
      <c r="I224" s="331" t="s">
        <v>497</v>
      </c>
      <c r="J224" s="331"/>
      <c r="K224" s="331"/>
      <c r="L224" s="331"/>
      <c r="M224" s="331"/>
      <c r="N224" s="331"/>
      <c r="O224" s="331"/>
      <c r="P224" s="331"/>
      <c r="Q224" s="331"/>
      <c r="R224" s="331"/>
      <c r="S224" s="331"/>
      <c r="T224" s="331"/>
      <c r="U224" s="331"/>
      <c r="V224" s="331"/>
      <c r="W224" s="331"/>
      <c r="X224" s="331"/>
      <c r="Y224" s="331"/>
      <c r="Z224" s="331"/>
      <c r="AA224" s="331"/>
      <c r="AB224" s="331"/>
      <c r="AC224" s="331"/>
      <c r="AD224" s="331"/>
      <c r="AE224" s="331"/>
      <c r="AF224" s="331"/>
      <c r="AG224" s="331"/>
      <c r="AH224" s="331"/>
      <c r="AI224" s="331"/>
      <c r="AJ224" s="331"/>
      <c r="AK224" s="331"/>
      <c r="AL224" s="331"/>
      <c r="AM224" s="331"/>
      <c r="AN224" s="331"/>
      <c r="AO224" s="331"/>
      <c r="AP224" s="331"/>
      <c r="AQ224" s="331"/>
      <c r="AR224" s="331"/>
      <c r="AS224" s="331"/>
      <c r="AT224" s="331"/>
      <c r="AU224" s="331"/>
      <c r="AV224" s="331"/>
      <c r="AW224" s="331"/>
      <c r="AX224" s="331"/>
      <c r="AY224" s="332" t="s">
        <v>2476</v>
      </c>
      <c r="AZ224" s="332" t="s">
        <v>497</v>
      </c>
      <c r="BA224" s="332"/>
      <c r="BB224" s="332"/>
      <c r="BC224" s="332"/>
      <c r="BD224" s="332"/>
      <c r="BE224" s="332"/>
      <c r="BF224" s="332"/>
      <c r="BG224" s="332"/>
      <c r="BH224" s="332"/>
      <c r="BI224" s="332"/>
      <c r="BJ224" s="332"/>
      <c r="BK224" s="332"/>
      <c r="BL224" s="332"/>
      <c r="BM224" s="332"/>
      <c r="BN224" s="332"/>
      <c r="BO224" s="332"/>
      <c r="BP224" s="332"/>
      <c r="BQ224" s="332"/>
      <c r="BR224" s="332"/>
      <c r="BS224" s="332"/>
      <c r="BT224" s="332"/>
      <c r="BU224" s="332"/>
      <c r="BV224" s="332"/>
      <c r="BW224" s="332"/>
      <c r="BX224" s="332"/>
      <c r="BY224" s="332"/>
      <c r="BZ224" s="332"/>
      <c r="CA224" s="332"/>
      <c r="CB224" s="332"/>
      <c r="CC224" s="332"/>
      <c r="CD224" s="332"/>
      <c r="CE224" s="332"/>
      <c r="CF224" s="332"/>
      <c r="CG224" s="332"/>
      <c r="CH224" s="332"/>
      <c r="CI224" s="332"/>
      <c r="CJ224" s="332"/>
      <c r="CK224" s="332"/>
      <c r="CL224" s="332"/>
      <c r="CM224" s="332"/>
      <c r="CN224" s="332"/>
      <c r="CO224" s="332"/>
      <c r="CP224" s="333" t="s">
        <v>27</v>
      </c>
      <c r="CQ224" s="333" t="s">
        <v>497</v>
      </c>
      <c r="CR224" s="334">
        <v>-9.670179000000001</v>
      </c>
      <c r="CS224" s="334">
        <v>-9.670179000000001</v>
      </c>
      <c r="CT224" s="334">
        <v>-9.670179000000001</v>
      </c>
      <c r="CU224" s="334">
        <v>-9.670179000000001</v>
      </c>
      <c r="CV224" s="334">
        <v>-9.670179000000001</v>
      </c>
      <c r="CW224" s="334">
        <v>-9.670179000000001</v>
      </c>
      <c r="CX224" s="334">
        <v>-8.0364072000000011</v>
      </c>
      <c r="CY224" s="334">
        <v>-6.4026354000000012</v>
      </c>
      <c r="CZ224" s="334">
        <v>-4.7688636000000013</v>
      </c>
      <c r="DA224" s="334">
        <v>-3.135091800000001</v>
      </c>
      <c r="DB224" s="334">
        <v>-1.50132</v>
      </c>
      <c r="DC224" s="334">
        <v>-1.5398879999999999</v>
      </c>
      <c r="DD224" s="334">
        <v>-1.5784559999999999</v>
      </c>
      <c r="DE224" s="334">
        <v>-1.6170239999999998</v>
      </c>
      <c r="DF224" s="334">
        <v>-1.6555919999999997</v>
      </c>
      <c r="DG224" s="334">
        <v>-1.6941599999999997</v>
      </c>
      <c r="DH224" s="334">
        <v>-1.7327279999999996</v>
      </c>
      <c r="DI224" s="334">
        <v>-1.7712959999999995</v>
      </c>
      <c r="DJ224" s="334">
        <v>-1.8098639999999995</v>
      </c>
      <c r="DK224" s="334">
        <v>-1.8484319999999994</v>
      </c>
      <c r="DL224" s="334">
        <v>-1.887</v>
      </c>
      <c r="DM224" s="334">
        <v>-1.7135</v>
      </c>
      <c r="DN224" s="334">
        <v>-1.54</v>
      </c>
      <c r="DO224" s="334">
        <v>1.0880522964426973</v>
      </c>
      <c r="DP224" s="334">
        <v>1.5492064081026911</v>
      </c>
      <c r="DQ224" s="334">
        <v>2.0103605197627985</v>
      </c>
      <c r="DR224" s="334">
        <v>2.4715146314227923</v>
      </c>
      <c r="DS224" s="334">
        <v>2.9326687430828997</v>
      </c>
      <c r="DT224" s="334">
        <v>3.3938228547430072</v>
      </c>
      <c r="DU224" s="335">
        <v>3.8549769664031146</v>
      </c>
      <c r="DV224" s="335">
        <v>4.316131078063222</v>
      </c>
      <c r="DW224" s="335">
        <v>4.7772851897232158</v>
      </c>
      <c r="DX224" s="198">
        <v>4.316131078063222</v>
      </c>
      <c r="DY224" s="198">
        <v>4.316131078063222</v>
      </c>
      <c r="DZ224" s="198">
        <v>4.316131078063222</v>
      </c>
      <c r="EA224" s="198">
        <v>-0.46115411165999376</v>
      </c>
      <c r="EB224" s="198">
        <v>4.316131078063222</v>
      </c>
      <c r="EC224" s="198">
        <v>4.316131078063222</v>
      </c>
      <c r="ED224" s="198">
        <v>4.316131078063222</v>
      </c>
      <c r="EE224" s="198">
        <v>4.316131078063222</v>
      </c>
      <c r="EF224" s="198">
        <v>-0.46115411165999376</v>
      </c>
      <c r="EG224" s="198">
        <v>0</v>
      </c>
      <c r="EH224" s="198">
        <v>3.1930583006121784</v>
      </c>
      <c r="EI224" s="336">
        <f t="shared" si="3"/>
        <v>2.9326687430829224</v>
      </c>
      <c r="EJ224" s="336">
        <f>EI224-'[13]FAOSTAT21 CO2'!EH224</f>
        <v>2.9326687430829224</v>
      </c>
    </row>
    <row r="225" spans="1:140" x14ac:dyDescent="0.25">
      <c r="A225" s="31">
        <v>26</v>
      </c>
      <c r="B225" s="31" t="s">
        <v>498</v>
      </c>
      <c r="C225" s="31">
        <v>224</v>
      </c>
      <c r="D225" s="31">
        <v>0</v>
      </c>
      <c r="E225" s="31">
        <v>0</v>
      </c>
      <c r="F225" s="31">
        <v>0</v>
      </c>
      <c r="G225" s="31">
        <v>0</v>
      </c>
      <c r="H225" s="331" t="s">
        <v>2475</v>
      </c>
      <c r="I225" s="331" t="s">
        <v>499</v>
      </c>
      <c r="J225" s="331"/>
      <c r="K225" s="331"/>
      <c r="L225" s="331"/>
      <c r="M225" s="331"/>
      <c r="N225" s="331"/>
      <c r="O225" s="331"/>
      <c r="P225" s="331"/>
      <c r="Q225" s="331"/>
      <c r="R225" s="331"/>
      <c r="S225" s="331"/>
      <c r="T225" s="331"/>
      <c r="U225" s="331"/>
      <c r="V225" s="331"/>
      <c r="W225" s="331"/>
      <c r="X225" s="331"/>
      <c r="Y225" s="331"/>
      <c r="Z225" s="331"/>
      <c r="AA225" s="331"/>
      <c r="AB225" s="331"/>
      <c r="AC225" s="331"/>
      <c r="AD225" s="331"/>
      <c r="AE225" s="331"/>
      <c r="AF225" s="331"/>
      <c r="AG225" s="331"/>
      <c r="AH225" s="331"/>
      <c r="AI225" s="331"/>
      <c r="AJ225" s="331"/>
      <c r="AK225" s="331"/>
      <c r="AL225" s="331"/>
      <c r="AM225" s="331"/>
      <c r="AN225" s="331"/>
      <c r="AO225" s="331"/>
      <c r="AP225" s="331"/>
      <c r="AQ225" s="331"/>
      <c r="AR225" s="331"/>
      <c r="AS225" s="331"/>
      <c r="AT225" s="331"/>
      <c r="AU225" s="331"/>
      <c r="AV225" s="331"/>
      <c r="AW225" s="331"/>
      <c r="AX225" s="331"/>
      <c r="AY225" s="332" t="s">
        <v>2476</v>
      </c>
      <c r="AZ225" s="332" t="s">
        <v>499</v>
      </c>
      <c r="BA225" s="332"/>
      <c r="BB225" s="332"/>
      <c r="BC225" s="332"/>
      <c r="BD225" s="332"/>
      <c r="BE225" s="332"/>
      <c r="BF225" s="332"/>
      <c r="BG225" s="332"/>
      <c r="BH225" s="332"/>
      <c r="BI225" s="332"/>
      <c r="BJ225" s="332"/>
      <c r="BK225" s="332"/>
      <c r="BL225" s="332"/>
      <c r="BM225" s="332"/>
      <c r="BN225" s="332"/>
      <c r="BO225" s="332"/>
      <c r="BP225" s="332"/>
      <c r="BQ225" s="332"/>
      <c r="BR225" s="332"/>
      <c r="BS225" s="332"/>
      <c r="BT225" s="332"/>
      <c r="BU225" s="332"/>
      <c r="BV225" s="332"/>
      <c r="BW225" s="332"/>
      <c r="BX225" s="332"/>
      <c r="BY225" s="332"/>
      <c r="BZ225" s="332"/>
      <c r="CA225" s="332"/>
      <c r="CB225" s="332"/>
      <c r="CC225" s="332"/>
      <c r="CD225" s="332"/>
      <c r="CE225" s="332"/>
      <c r="CF225" s="332"/>
      <c r="CG225" s="332"/>
      <c r="CH225" s="332"/>
      <c r="CI225" s="332"/>
      <c r="CJ225" s="332"/>
      <c r="CK225" s="332"/>
      <c r="CL225" s="332"/>
      <c r="CM225" s="332"/>
      <c r="CN225" s="332"/>
      <c r="CO225" s="332"/>
      <c r="CP225" s="333" t="s">
        <v>27</v>
      </c>
      <c r="CQ225" s="333" t="s">
        <v>499</v>
      </c>
      <c r="CR225" s="334">
        <v>-69.007000000000005</v>
      </c>
      <c r="CS225" s="334">
        <v>-69.007000000000005</v>
      </c>
      <c r="CT225" s="334">
        <v>-69.007000000000005</v>
      </c>
      <c r="CU225" s="334">
        <v>-69.007000000000005</v>
      </c>
      <c r="CV225" s="334">
        <v>-69.007000000000005</v>
      </c>
      <c r="CW225" s="334">
        <v>-66.247716666666676</v>
      </c>
      <c r="CX225" s="334">
        <v>-63.48843333333334</v>
      </c>
      <c r="CY225" s="334">
        <v>-60.729150000000004</v>
      </c>
      <c r="CZ225" s="334">
        <v>-57.969866666666668</v>
      </c>
      <c r="DA225" s="334">
        <v>-55.210583333333332</v>
      </c>
      <c r="DB225" s="334">
        <v>-52.451300000000003</v>
      </c>
      <c r="DC225" s="334">
        <v>-51.336280000000002</v>
      </c>
      <c r="DD225" s="334">
        <v>-50.221260000000001</v>
      </c>
      <c r="DE225" s="334">
        <v>-49.10624</v>
      </c>
      <c r="DF225" s="334">
        <v>-47.991219999999998</v>
      </c>
      <c r="DG225" s="334">
        <v>-46.876199999999997</v>
      </c>
      <c r="DH225" s="334">
        <v>-44.528599999999997</v>
      </c>
      <c r="DI225" s="334">
        <v>-42.180999999999997</v>
      </c>
      <c r="DJ225" s="334">
        <v>-39.833399999999997</v>
      </c>
      <c r="DK225" s="334">
        <v>-37.485799999999998</v>
      </c>
      <c r="DL225" s="334">
        <v>-35.138199999999998</v>
      </c>
      <c r="DM225" s="334">
        <v>-38.514099999999999</v>
      </c>
      <c r="DN225" s="334">
        <v>-37.418099999999995</v>
      </c>
      <c r="DO225" s="334">
        <v>-36.292999999999999</v>
      </c>
      <c r="DP225" s="334">
        <v>-35.137699999999995</v>
      </c>
      <c r="DQ225" s="334">
        <v>-33.951099999999997</v>
      </c>
      <c r="DR225" s="334">
        <v>-33.659300000000002</v>
      </c>
      <c r="DS225" s="334">
        <v>-28.163439743589606</v>
      </c>
      <c r="DT225" s="334">
        <v>-26.575104619454578</v>
      </c>
      <c r="DU225" s="335">
        <v>-24.98676949531955</v>
      </c>
      <c r="DV225" s="335">
        <v>-23.398434371184067</v>
      </c>
      <c r="DW225" s="335">
        <v>-21.810099247049493</v>
      </c>
      <c r="DX225" s="198">
        <v>-23.398434371184067</v>
      </c>
      <c r="DY225" s="198">
        <v>-52.398434371184067</v>
      </c>
      <c r="DZ225" s="198">
        <v>-40.398434371184067</v>
      </c>
      <c r="EA225" s="198">
        <v>-30.588335124134574</v>
      </c>
      <c r="EB225" s="198">
        <v>-23.398434371184067</v>
      </c>
      <c r="EC225" s="198">
        <v>-23.398434371184067</v>
      </c>
      <c r="ED225" s="198">
        <v>-23.398434371184067</v>
      </c>
      <c r="EE225" s="198">
        <v>-23.398434371184067</v>
      </c>
      <c r="EF225" s="198">
        <v>-1.5883351241345736</v>
      </c>
      <c r="EG225" s="198">
        <v>29</v>
      </c>
      <c r="EH225" s="198">
        <v>-28.03748812769043</v>
      </c>
      <c r="EI225" s="336">
        <f t="shared" si="3"/>
        <v>-29.467142771672748</v>
      </c>
      <c r="EJ225" s="336">
        <f>EI225-'[13]FAOSTAT21 CO2'!EH225</f>
        <v>-62.258720211672745</v>
      </c>
    </row>
    <row r="226" spans="1:140" x14ac:dyDescent="0.25">
      <c r="A226" s="31">
        <v>26</v>
      </c>
      <c r="B226" s="31" t="s">
        <v>500</v>
      </c>
      <c r="C226" s="31">
        <v>187</v>
      </c>
      <c r="D226" s="31">
        <v>0</v>
      </c>
      <c r="E226" s="31">
        <v>0</v>
      </c>
      <c r="F226" s="31">
        <v>0</v>
      </c>
      <c r="G226" s="31">
        <v>0</v>
      </c>
      <c r="H226" s="331" t="s">
        <v>2475</v>
      </c>
      <c r="I226" s="331" t="s">
        <v>501</v>
      </c>
      <c r="J226" s="331"/>
      <c r="K226" s="331"/>
      <c r="L226" s="331"/>
      <c r="M226" s="331"/>
      <c r="N226" s="331"/>
      <c r="O226" s="331"/>
      <c r="P226" s="331"/>
      <c r="Q226" s="331"/>
      <c r="R226" s="331"/>
      <c r="S226" s="331"/>
      <c r="T226" s="331"/>
      <c r="U226" s="331"/>
      <c r="V226" s="331"/>
      <c r="W226" s="331"/>
      <c r="X226" s="331"/>
      <c r="Y226" s="331"/>
      <c r="Z226" s="331"/>
      <c r="AA226" s="331"/>
      <c r="AB226" s="331"/>
      <c r="AC226" s="331"/>
      <c r="AD226" s="331"/>
      <c r="AE226" s="331"/>
      <c r="AF226" s="331"/>
      <c r="AG226" s="331"/>
      <c r="AH226" s="331"/>
      <c r="AI226" s="331"/>
      <c r="AJ226" s="331"/>
      <c r="AK226" s="331"/>
      <c r="AL226" s="331"/>
      <c r="AM226" s="331"/>
      <c r="AN226" s="331"/>
      <c r="AO226" s="331"/>
      <c r="AP226" s="331"/>
      <c r="AQ226" s="331"/>
      <c r="AR226" s="331"/>
      <c r="AS226" s="331"/>
      <c r="AT226" s="331"/>
      <c r="AU226" s="331"/>
      <c r="AV226" s="331"/>
      <c r="AW226" s="331"/>
      <c r="AX226" s="331"/>
      <c r="AY226" s="332" t="s">
        <v>2476</v>
      </c>
      <c r="AZ226" s="332" t="s">
        <v>501</v>
      </c>
      <c r="BA226" s="332"/>
      <c r="BB226" s="332"/>
      <c r="BC226" s="332"/>
      <c r="BD226" s="332"/>
      <c r="BE226" s="332"/>
      <c r="BF226" s="332"/>
      <c r="BG226" s="332"/>
      <c r="BH226" s="332"/>
      <c r="BI226" s="332"/>
      <c r="BJ226" s="332"/>
      <c r="BK226" s="332"/>
      <c r="BL226" s="332"/>
      <c r="BM226" s="332"/>
      <c r="BN226" s="332"/>
      <c r="BO226" s="332"/>
      <c r="BP226" s="332"/>
      <c r="BQ226" s="332"/>
      <c r="BR226" s="332"/>
      <c r="BS226" s="332"/>
      <c r="BT226" s="332"/>
      <c r="BU226" s="332"/>
      <c r="BV226" s="332"/>
      <c r="BW226" s="332"/>
      <c r="BX226" s="332"/>
      <c r="BY226" s="332"/>
      <c r="BZ226" s="332"/>
      <c r="CA226" s="332"/>
      <c r="CB226" s="332"/>
      <c r="CC226" s="332"/>
      <c r="CD226" s="332"/>
      <c r="CE226" s="332"/>
      <c r="CF226" s="332"/>
      <c r="CG226" s="332"/>
      <c r="CH226" s="332"/>
      <c r="CI226" s="332"/>
      <c r="CJ226" s="332"/>
      <c r="CK226" s="332"/>
      <c r="CL226" s="332"/>
      <c r="CM226" s="332"/>
      <c r="CN226" s="332"/>
      <c r="CO226" s="332"/>
      <c r="CP226" s="333" t="s">
        <v>27</v>
      </c>
      <c r="CQ226" s="333" t="s">
        <v>501</v>
      </c>
      <c r="CR226" s="334">
        <v>-39.479699999999994</v>
      </c>
      <c r="CS226" s="334">
        <v>-39.479699999999994</v>
      </c>
      <c r="CT226" s="334">
        <v>-39.479699999999994</v>
      </c>
      <c r="CU226" s="334">
        <v>-39.479699999999994</v>
      </c>
      <c r="CV226" s="334">
        <v>-39.479699999999994</v>
      </c>
      <c r="CW226" s="334">
        <v>-39.479699999999994</v>
      </c>
      <c r="CX226" s="334">
        <v>-38.596439999999994</v>
      </c>
      <c r="CY226" s="334">
        <v>-37.713179999999994</v>
      </c>
      <c r="CZ226" s="334">
        <v>-36.829919999999994</v>
      </c>
      <c r="DA226" s="334">
        <v>-35.946659999999994</v>
      </c>
      <c r="DB226" s="334">
        <v>-35.063400000000001</v>
      </c>
      <c r="DC226" s="334">
        <v>-35.102600000000002</v>
      </c>
      <c r="DD226" s="334">
        <v>-35.141800000000003</v>
      </c>
      <c r="DE226" s="334">
        <v>-35.181000000000004</v>
      </c>
      <c r="DF226" s="334">
        <v>-35.220200000000006</v>
      </c>
      <c r="DG226" s="334">
        <v>-35.259400000000007</v>
      </c>
      <c r="DH226" s="334">
        <v>-35.2986</v>
      </c>
      <c r="DI226" s="334">
        <v>-32.173850000000002</v>
      </c>
      <c r="DJ226" s="334">
        <v>-29.049100000000003</v>
      </c>
      <c r="DK226" s="334">
        <v>-25.924350000000004</v>
      </c>
      <c r="DL226" s="334">
        <v>-22.799599999999998</v>
      </c>
      <c r="DM226" s="334">
        <v>-22.17792857142857</v>
      </c>
      <c r="DN226" s="334">
        <v>-21.556257142857142</v>
      </c>
      <c r="DO226" s="334">
        <v>-20.934585714285713</v>
      </c>
      <c r="DP226" s="334">
        <v>-20.312914285714285</v>
      </c>
      <c r="DQ226" s="334">
        <v>-19.691242857142857</v>
      </c>
      <c r="DR226" s="334">
        <v>-19.069571428571429</v>
      </c>
      <c r="DS226" s="334">
        <v>-18.447900000000001</v>
      </c>
      <c r="DT226" s="334">
        <v>-18.751846825396797</v>
      </c>
      <c r="DU226" s="335">
        <v>-17.866829611384901</v>
      </c>
      <c r="DV226" s="335">
        <v>-16.981812397372778</v>
      </c>
      <c r="DW226" s="335">
        <v>-16.096795183360655</v>
      </c>
      <c r="DX226" s="198">
        <v>-4.9818123973727779</v>
      </c>
      <c r="DY226" s="198">
        <v>-4.9818123973727779</v>
      </c>
      <c r="DZ226" s="198">
        <v>-32.316795183360654</v>
      </c>
      <c r="EA226" s="198">
        <v>-16.22</v>
      </c>
      <c r="EB226" s="198">
        <v>5</v>
      </c>
      <c r="EC226" s="198">
        <v>0.59</v>
      </c>
      <c r="ED226" s="198">
        <v>5</v>
      </c>
      <c r="EE226" s="198">
        <v>0.59</v>
      </c>
      <c r="EF226" s="198">
        <v>16.686795183360655</v>
      </c>
      <c r="EG226" s="198">
        <v>32.906795183360657</v>
      </c>
      <c r="EH226" s="198">
        <v>-20.348684699364835</v>
      </c>
      <c r="EI226" s="336">
        <f t="shared" si="3"/>
        <v>-18.765478144499198</v>
      </c>
      <c r="EJ226" s="336">
        <f>EI226-'[13]FAOSTAT21 CO2'!EH226</f>
        <v>-90.7594628844992</v>
      </c>
    </row>
    <row r="227" spans="1:140" x14ac:dyDescent="0.25">
      <c r="A227" s="31">
        <v>0</v>
      </c>
      <c r="B227" s="31" t="s">
        <v>22</v>
      </c>
      <c r="C227" s="31">
        <v>225</v>
      </c>
      <c r="D227" s="31">
        <v>0</v>
      </c>
      <c r="E227" s="31">
        <v>1</v>
      </c>
      <c r="F227" s="31">
        <v>1</v>
      </c>
      <c r="G227" s="31">
        <v>1</v>
      </c>
      <c r="H227" s="331" t="s">
        <v>2475</v>
      </c>
      <c r="I227" s="331" t="s">
        <v>22</v>
      </c>
      <c r="J227" s="331"/>
      <c r="K227" s="331"/>
      <c r="L227" s="331"/>
      <c r="M227" s="331"/>
      <c r="N227" s="331"/>
      <c r="O227" s="331"/>
      <c r="P227" s="331"/>
      <c r="Q227" s="331"/>
      <c r="R227" s="331"/>
      <c r="S227" s="331"/>
      <c r="T227" s="331"/>
      <c r="U227" s="331"/>
      <c r="V227" s="331"/>
      <c r="W227" s="331"/>
      <c r="X227" s="331"/>
      <c r="Y227" s="331"/>
      <c r="Z227" s="331"/>
      <c r="AA227" s="331"/>
      <c r="AB227" s="331"/>
      <c r="AC227" s="331"/>
      <c r="AD227" s="331"/>
      <c r="AE227" s="331"/>
      <c r="AF227" s="331"/>
      <c r="AG227" s="331"/>
      <c r="AH227" s="331"/>
      <c r="AI227" s="331"/>
      <c r="AJ227" s="331"/>
      <c r="AK227" s="331"/>
      <c r="AL227" s="331"/>
      <c r="AM227" s="331"/>
      <c r="AN227" s="331"/>
      <c r="AO227" s="331"/>
      <c r="AP227" s="331"/>
      <c r="AQ227" s="331"/>
      <c r="AR227" s="331"/>
      <c r="AS227" s="331"/>
      <c r="AT227" s="331"/>
      <c r="AU227" s="331"/>
      <c r="AV227" s="331"/>
      <c r="AW227" s="331"/>
      <c r="AX227" s="331"/>
      <c r="AY227" s="332" t="s">
        <v>2476</v>
      </c>
      <c r="AZ227" s="332" t="s">
        <v>22</v>
      </c>
      <c r="BA227" s="332"/>
      <c r="BB227" s="332"/>
      <c r="BC227" s="332"/>
      <c r="BD227" s="332"/>
      <c r="BE227" s="332"/>
      <c r="BF227" s="332"/>
      <c r="BG227" s="332"/>
      <c r="BH227" s="332"/>
      <c r="BI227" s="332"/>
      <c r="BJ227" s="332"/>
      <c r="BK227" s="332"/>
      <c r="BL227" s="332"/>
      <c r="BM227" s="332"/>
      <c r="BN227" s="332"/>
      <c r="BO227" s="332"/>
      <c r="BP227" s="332"/>
      <c r="BQ227" s="332"/>
      <c r="BR227" s="332"/>
      <c r="BS227" s="332"/>
      <c r="BT227" s="332"/>
      <c r="BU227" s="332"/>
      <c r="BV227" s="332"/>
      <c r="BW227" s="332"/>
      <c r="BX227" s="332"/>
      <c r="BY227" s="332"/>
      <c r="BZ227" s="332"/>
      <c r="CA227" s="332"/>
      <c r="CB227" s="332"/>
      <c r="CC227" s="332"/>
      <c r="CD227" s="332"/>
      <c r="CE227" s="332"/>
      <c r="CF227" s="332"/>
      <c r="CG227" s="332"/>
      <c r="CH227" s="332"/>
      <c r="CI227" s="332"/>
      <c r="CJ227" s="332"/>
      <c r="CK227" s="332"/>
      <c r="CL227" s="332"/>
      <c r="CM227" s="332"/>
      <c r="CN227" s="332"/>
      <c r="CO227" s="332"/>
      <c r="CP227" s="333" t="s">
        <v>27</v>
      </c>
      <c r="CQ227" s="333" t="s">
        <v>502</v>
      </c>
      <c r="CR227" s="334">
        <v>-209.66433922599055</v>
      </c>
      <c r="CS227" s="334">
        <v>-312.36519027631175</v>
      </c>
      <c r="CT227" s="334">
        <v>-286.89140487650695</v>
      </c>
      <c r="CU227" s="334">
        <v>-301.61798026042413</v>
      </c>
      <c r="CV227" s="334">
        <v>-293.03317774926359</v>
      </c>
      <c r="CW227" s="334">
        <v>-316.98057641974799</v>
      </c>
      <c r="CX227" s="334">
        <v>-334.9723689342714</v>
      </c>
      <c r="CY227" s="334">
        <v>-327.37911804834414</v>
      </c>
      <c r="CZ227" s="334">
        <v>-340.60934587080328</v>
      </c>
      <c r="DA227" s="334">
        <v>-354.51884609079724</v>
      </c>
      <c r="DB227" s="334">
        <v>-304.8982348578304</v>
      </c>
      <c r="DC227" s="334">
        <v>-353.91134647427532</v>
      </c>
      <c r="DD227" s="334">
        <v>-323.65407748162369</v>
      </c>
      <c r="DE227" s="334">
        <v>-311.84480418104289</v>
      </c>
      <c r="DF227" s="334">
        <v>-350.7671564137392</v>
      </c>
      <c r="DG227" s="334">
        <v>-343.02492172552223</v>
      </c>
      <c r="DH227" s="334">
        <v>-352.18735633929225</v>
      </c>
      <c r="DI227" s="334">
        <v>-301.52699440527664</v>
      </c>
      <c r="DJ227" s="334">
        <v>-345.17764455437634</v>
      </c>
      <c r="DK227" s="334">
        <v>-347.9611358737439</v>
      </c>
      <c r="DL227" s="334">
        <v>-353.52913219712758</v>
      </c>
      <c r="DM227" s="334">
        <v>-348.19408181337167</v>
      </c>
      <c r="DN227" s="334">
        <v>-343.54400001793744</v>
      </c>
      <c r="DO227" s="334">
        <v>-343.52607058004259</v>
      </c>
      <c r="DP227" s="334">
        <v>-328.712147565642</v>
      </c>
      <c r="DQ227" s="334">
        <v>-323.3349784772065</v>
      </c>
      <c r="DR227" s="334">
        <v>-319.37957930149031</v>
      </c>
      <c r="DS227" s="334">
        <v>-250.70494771044585</v>
      </c>
      <c r="DT227" s="334">
        <v>-258.62681516627651</v>
      </c>
      <c r="DU227" s="343">
        <v>-248.13069987813424</v>
      </c>
      <c r="DV227" s="333">
        <v>-241.83073308340519</v>
      </c>
      <c r="DW227" s="333">
        <v>-230.77871276794869</v>
      </c>
      <c r="DX227" s="198">
        <v>-241.43073308340519</v>
      </c>
      <c r="DY227" s="198">
        <v>-310</v>
      </c>
      <c r="DZ227" s="198">
        <v>-310</v>
      </c>
      <c r="EA227" s="198">
        <v>-79.22128723205131</v>
      </c>
      <c r="EB227" s="198">
        <v>-260</v>
      </c>
      <c r="EC227" s="198">
        <v>-386</v>
      </c>
      <c r="ED227" s="198">
        <v>-260</v>
      </c>
      <c r="EE227" s="198">
        <v>-386</v>
      </c>
      <c r="EF227" s="198">
        <v>-155.22128723205131</v>
      </c>
      <c r="EG227" s="198">
        <v>-76</v>
      </c>
      <c r="EH227" s="198">
        <v>-310</v>
      </c>
      <c r="EI227" s="336">
        <f>AVERAGE(DQ227:DU227)</f>
        <v>-280.03540410671064</v>
      </c>
      <c r="EJ227" s="336">
        <f>EI227-'[13]FAOSTAT21 CO2'!EH227</f>
        <v>33.032711133289354</v>
      </c>
    </row>
    <row r="228" spans="1:140" x14ac:dyDescent="0.25">
      <c r="A228" t="s">
        <v>2478</v>
      </c>
      <c r="CO228" s="344"/>
      <c r="CP228" s="344"/>
      <c r="CQ228" s="344"/>
      <c r="CR228" s="344"/>
      <c r="CS228" s="344"/>
      <c r="CT228" s="344"/>
      <c r="CU228" s="344"/>
      <c r="CV228" s="344"/>
      <c r="CW228" s="344"/>
      <c r="CX228" s="344"/>
      <c r="CY228" s="344"/>
      <c r="CZ228" s="344"/>
      <c r="DA228" s="344"/>
      <c r="DB228" s="344"/>
      <c r="DC228" s="344"/>
      <c r="DD228" s="344"/>
      <c r="DE228" s="344"/>
      <c r="DF228" s="344"/>
      <c r="DG228" s="344"/>
      <c r="DH228" s="344"/>
      <c r="DI228" s="344"/>
      <c r="DJ228" s="344"/>
      <c r="DK228" s="344"/>
      <c r="DL228" s="344"/>
      <c r="DM228" s="344"/>
      <c r="DN228" s="344"/>
      <c r="DO228" s="344"/>
      <c r="DP228" s="344"/>
      <c r="DQ228" s="344"/>
      <c r="EH228" s="198" t="s">
        <v>2716</v>
      </c>
    </row>
    <row r="229" spans="1:140" x14ac:dyDescent="0.25">
      <c r="CR229" s="345">
        <f t="shared" ref="CR229:EG229" si="4">SUM(CR3:CR226)</f>
        <v>-901.3633634444185</v>
      </c>
      <c r="CS229" s="345">
        <f t="shared" si="4"/>
        <v>-1200.7120681716876</v>
      </c>
      <c r="CT229" s="345">
        <f t="shared" si="4"/>
        <v>-1049.3420653972425</v>
      </c>
      <c r="CU229" s="345">
        <f t="shared" si="4"/>
        <v>-1051.650367095928</v>
      </c>
      <c r="CV229" s="345">
        <f t="shared" si="4"/>
        <v>-1092.5138750242686</v>
      </c>
      <c r="CW229" s="345">
        <f t="shared" si="4"/>
        <v>-247.55383941650518</v>
      </c>
      <c r="CX229" s="345">
        <f t="shared" si="4"/>
        <v>-1125.7597912274093</v>
      </c>
      <c r="CY229" s="345">
        <f t="shared" si="4"/>
        <v>-1601.4655226991351</v>
      </c>
      <c r="CZ229" s="345">
        <f t="shared" si="4"/>
        <v>-1466.1537414113864</v>
      </c>
      <c r="DA229" s="345">
        <f t="shared" si="4"/>
        <v>-1680.5727770003068</v>
      </c>
      <c r="DB229" s="345">
        <f t="shared" si="4"/>
        <v>-1849.6405518351105</v>
      </c>
      <c r="DC229" s="345">
        <f t="shared" si="4"/>
        <v>-2604.5920425409572</v>
      </c>
      <c r="DD229" s="345">
        <f t="shared" si="4"/>
        <v>-2110.3914518324768</v>
      </c>
      <c r="DE229" s="345">
        <f t="shared" si="4"/>
        <v>-1460.6351214010529</v>
      </c>
      <c r="DF229" s="345">
        <f t="shared" si="4"/>
        <v>-831.43585329271457</v>
      </c>
      <c r="DG229" s="345">
        <f t="shared" si="4"/>
        <v>-1809.0695575630548</v>
      </c>
      <c r="DH229" s="345">
        <f t="shared" si="4"/>
        <v>-1627.7058889005973</v>
      </c>
      <c r="DI229" s="345">
        <f t="shared" si="4"/>
        <v>-2715.9486160148035</v>
      </c>
      <c r="DJ229" s="345">
        <f t="shared" si="4"/>
        <v>-2906.0948583727013</v>
      </c>
      <c r="DK229" s="345">
        <f t="shared" si="4"/>
        <v>-3355.5430284470222</v>
      </c>
      <c r="DL229" s="345">
        <f t="shared" si="4"/>
        <v>-3952.4163248510636</v>
      </c>
      <c r="DM229" s="345">
        <f t="shared" si="4"/>
        <v>-3649.8706911347886</v>
      </c>
      <c r="DN229" s="345">
        <f t="shared" si="4"/>
        <v>-3390.4553228194268</v>
      </c>
      <c r="DO229" s="345">
        <f t="shared" si="4"/>
        <v>-3632.8127720735401</v>
      </c>
      <c r="DP229" s="345">
        <f t="shared" si="4"/>
        <v>-3733.9217743698491</v>
      </c>
      <c r="DQ229" s="345">
        <f t="shared" si="4"/>
        <v>-3248.8278355877042</v>
      </c>
      <c r="DR229" s="345">
        <f t="shared" si="4"/>
        <v>-4480.2611787661726</v>
      </c>
      <c r="DS229" s="345">
        <f t="shared" si="4"/>
        <v>-4227.54546098849</v>
      </c>
      <c r="DT229" s="345">
        <f t="shared" si="4"/>
        <v>-4167.2187840699917</v>
      </c>
      <c r="DU229" s="345">
        <f t="shared" si="4"/>
        <v>-3730.8176388060492</v>
      </c>
      <c r="DV229" s="345">
        <f t="shared" si="4"/>
        <v>-4059.3373789952257</v>
      </c>
      <c r="DW229" s="345">
        <f t="shared" si="4"/>
        <v>-4157.6907401159478</v>
      </c>
      <c r="DX229" s="345">
        <f t="shared" si="4"/>
        <v>-2504.5402509361161</v>
      </c>
      <c r="DY229" s="345">
        <f t="shared" si="4"/>
        <v>-4658.4473808914445</v>
      </c>
      <c r="DZ229" s="345">
        <f t="shared" si="4"/>
        <v>-5690.9131140844747</v>
      </c>
      <c r="EA229" s="345">
        <f t="shared" si="4"/>
        <v>-947.00979529906874</v>
      </c>
      <c r="EB229" s="345">
        <f t="shared" si="4"/>
        <v>-3866.5749655044101</v>
      </c>
      <c r="EC229" s="345">
        <f t="shared" si="4"/>
        <v>-5218.6018951665428</v>
      </c>
      <c r="ED229" s="345">
        <f t="shared" si="4"/>
        <v>-3910.5717907732178</v>
      </c>
      <c r="EE229" s="345">
        <f t="shared" si="4"/>
        <v>-5759.6223638732936</v>
      </c>
      <c r="EF229" s="345">
        <f t="shared" si="4"/>
        <v>-1051.4800850505931</v>
      </c>
      <c r="EG229" s="345">
        <f t="shared" si="4"/>
        <v>-104.47028975152426</v>
      </c>
      <c r="EH229">
        <v>-4526.5364103758811</v>
      </c>
      <c r="EI229" s="345" t="e">
        <f>SUM(EI3:EI226)</f>
        <v>#DIV/0!</v>
      </c>
      <c r="EJ229" s="345" t="e">
        <f>SUM(EJ3:EJ226)</f>
        <v>#DIV/0!</v>
      </c>
    </row>
    <row r="238" spans="1:140" x14ac:dyDescent="0.25">
      <c r="C238">
        <f>1</f>
        <v>1</v>
      </c>
      <c r="D238">
        <f>C238+1</f>
        <v>2</v>
      </c>
      <c r="E238">
        <f t="shared" ref="E238:BP238" si="5">D238+1</f>
        <v>3</v>
      </c>
      <c r="F238">
        <f t="shared" si="5"/>
        <v>4</v>
      </c>
      <c r="G238">
        <f t="shared" si="5"/>
        <v>5</v>
      </c>
      <c r="H238">
        <f t="shared" si="5"/>
        <v>6</v>
      </c>
      <c r="I238">
        <f t="shared" si="5"/>
        <v>7</v>
      </c>
      <c r="J238">
        <f t="shared" si="5"/>
        <v>8</v>
      </c>
      <c r="K238">
        <f t="shared" si="5"/>
        <v>9</v>
      </c>
      <c r="L238">
        <f t="shared" si="5"/>
        <v>10</v>
      </c>
      <c r="M238">
        <f t="shared" si="5"/>
        <v>11</v>
      </c>
      <c r="N238">
        <f t="shared" si="5"/>
        <v>12</v>
      </c>
      <c r="O238">
        <f t="shared" si="5"/>
        <v>13</v>
      </c>
      <c r="P238">
        <f t="shared" si="5"/>
        <v>14</v>
      </c>
      <c r="Q238">
        <f t="shared" si="5"/>
        <v>15</v>
      </c>
      <c r="R238">
        <f t="shared" si="5"/>
        <v>16</v>
      </c>
      <c r="S238">
        <f t="shared" si="5"/>
        <v>17</v>
      </c>
      <c r="T238">
        <f t="shared" si="5"/>
        <v>18</v>
      </c>
      <c r="U238">
        <f t="shared" si="5"/>
        <v>19</v>
      </c>
      <c r="V238">
        <f t="shared" si="5"/>
        <v>20</v>
      </c>
      <c r="W238">
        <f t="shared" si="5"/>
        <v>21</v>
      </c>
      <c r="X238">
        <f t="shared" si="5"/>
        <v>22</v>
      </c>
      <c r="Y238">
        <f t="shared" si="5"/>
        <v>23</v>
      </c>
      <c r="Z238">
        <f t="shared" si="5"/>
        <v>24</v>
      </c>
      <c r="AA238">
        <f t="shared" si="5"/>
        <v>25</v>
      </c>
      <c r="AB238">
        <f t="shared" si="5"/>
        <v>26</v>
      </c>
      <c r="AC238">
        <f t="shared" si="5"/>
        <v>27</v>
      </c>
      <c r="AD238">
        <f t="shared" si="5"/>
        <v>28</v>
      </c>
      <c r="AE238">
        <f t="shared" si="5"/>
        <v>29</v>
      </c>
      <c r="AF238">
        <f t="shared" si="5"/>
        <v>30</v>
      </c>
      <c r="AG238">
        <f t="shared" si="5"/>
        <v>31</v>
      </c>
      <c r="AH238">
        <f t="shared" si="5"/>
        <v>32</v>
      </c>
      <c r="AI238">
        <f t="shared" si="5"/>
        <v>33</v>
      </c>
      <c r="AJ238">
        <f t="shared" si="5"/>
        <v>34</v>
      </c>
      <c r="AK238">
        <f t="shared" si="5"/>
        <v>35</v>
      </c>
      <c r="AL238">
        <f t="shared" si="5"/>
        <v>36</v>
      </c>
      <c r="AM238">
        <f t="shared" si="5"/>
        <v>37</v>
      </c>
      <c r="AN238">
        <f t="shared" si="5"/>
        <v>38</v>
      </c>
      <c r="AO238">
        <f t="shared" si="5"/>
        <v>39</v>
      </c>
      <c r="AP238">
        <f t="shared" si="5"/>
        <v>40</v>
      </c>
      <c r="AQ238">
        <f t="shared" si="5"/>
        <v>41</v>
      </c>
      <c r="AR238">
        <f t="shared" si="5"/>
        <v>42</v>
      </c>
      <c r="AS238">
        <f t="shared" si="5"/>
        <v>43</v>
      </c>
      <c r="AT238">
        <f t="shared" si="5"/>
        <v>44</v>
      </c>
      <c r="AU238">
        <f t="shared" si="5"/>
        <v>45</v>
      </c>
      <c r="AV238">
        <f t="shared" si="5"/>
        <v>46</v>
      </c>
      <c r="AW238">
        <f t="shared" si="5"/>
        <v>47</v>
      </c>
      <c r="AX238">
        <f t="shared" si="5"/>
        <v>48</v>
      </c>
      <c r="AY238">
        <f t="shared" si="5"/>
        <v>49</v>
      </c>
      <c r="AZ238">
        <f t="shared" si="5"/>
        <v>50</v>
      </c>
      <c r="BA238">
        <f t="shared" si="5"/>
        <v>51</v>
      </c>
      <c r="BB238">
        <f t="shared" si="5"/>
        <v>52</v>
      </c>
      <c r="BC238">
        <f t="shared" si="5"/>
        <v>53</v>
      </c>
      <c r="BD238">
        <f t="shared" si="5"/>
        <v>54</v>
      </c>
      <c r="BE238">
        <f t="shared" si="5"/>
        <v>55</v>
      </c>
      <c r="BF238">
        <f t="shared" si="5"/>
        <v>56</v>
      </c>
      <c r="BG238">
        <f t="shared" si="5"/>
        <v>57</v>
      </c>
      <c r="BH238">
        <f t="shared" si="5"/>
        <v>58</v>
      </c>
      <c r="BI238">
        <f t="shared" si="5"/>
        <v>59</v>
      </c>
      <c r="BJ238">
        <f t="shared" si="5"/>
        <v>60</v>
      </c>
      <c r="BK238">
        <f t="shared" si="5"/>
        <v>61</v>
      </c>
      <c r="BL238">
        <f t="shared" si="5"/>
        <v>62</v>
      </c>
      <c r="BM238">
        <f t="shared" si="5"/>
        <v>63</v>
      </c>
      <c r="BN238">
        <f t="shared" si="5"/>
        <v>64</v>
      </c>
      <c r="BO238">
        <f t="shared" si="5"/>
        <v>65</v>
      </c>
      <c r="BP238">
        <f t="shared" si="5"/>
        <v>66</v>
      </c>
      <c r="BQ238">
        <f t="shared" ref="BQ238:DU238" si="6">BP238+1</f>
        <v>67</v>
      </c>
      <c r="BR238">
        <f t="shared" si="6"/>
        <v>68</v>
      </c>
      <c r="BS238">
        <f t="shared" si="6"/>
        <v>69</v>
      </c>
      <c r="BT238">
        <f t="shared" si="6"/>
        <v>70</v>
      </c>
      <c r="BU238">
        <f t="shared" si="6"/>
        <v>71</v>
      </c>
      <c r="BV238">
        <f t="shared" si="6"/>
        <v>72</v>
      </c>
      <c r="BW238">
        <f t="shared" si="6"/>
        <v>73</v>
      </c>
      <c r="BX238">
        <f t="shared" si="6"/>
        <v>74</v>
      </c>
      <c r="BY238">
        <f t="shared" si="6"/>
        <v>75</v>
      </c>
      <c r="BZ238">
        <f t="shared" si="6"/>
        <v>76</v>
      </c>
      <c r="CA238">
        <f t="shared" si="6"/>
        <v>77</v>
      </c>
      <c r="CB238">
        <f t="shared" si="6"/>
        <v>78</v>
      </c>
      <c r="CC238">
        <f t="shared" si="6"/>
        <v>79</v>
      </c>
      <c r="CD238">
        <f t="shared" si="6"/>
        <v>80</v>
      </c>
      <c r="CE238">
        <f t="shared" si="6"/>
        <v>81</v>
      </c>
      <c r="CF238">
        <f t="shared" si="6"/>
        <v>82</v>
      </c>
      <c r="CG238">
        <f t="shared" si="6"/>
        <v>83</v>
      </c>
      <c r="CH238">
        <f t="shared" si="6"/>
        <v>84</v>
      </c>
      <c r="CI238">
        <f t="shared" si="6"/>
        <v>85</v>
      </c>
      <c r="CJ238">
        <f t="shared" si="6"/>
        <v>86</v>
      </c>
      <c r="CK238">
        <f t="shared" si="6"/>
        <v>87</v>
      </c>
      <c r="CL238">
        <f t="shared" si="6"/>
        <v>88</v>
      </c>
      <c r="CM238">
        <f t="shared" si="6"/>
        <v>89</v>
      </c>
      <c r="CN238">
        <f t="shared" si="6"/>
        <v>90</v>
      </c>
      <c r="CO238">
        <f t="shared" si="6"/>
        <v>91</v>
      </c>
      <c r="CP238">
        <f t="shared" si="6"/>
        <v>92</v>
      </c>
      <c r="CQ238">
        <f t="shared" si="6"/>
        <v>93</v>
      </c>
      <c r="CR238">
        <f t="shared" si="6"/>
        <v>94</v>
      </c>
      <c r="CS238">
        <f t="shared" si="6"/>
        <v>95</v>
      </c>
      <c r="CT238">
        <f t="shared" si="6"/>
        <v>96</v>
      </c>
      <c r="CU238">
        <f t="shared" si="6"/>
        <v>97</v>
      </c>
      <c r="CV238">
        <f t="shared" si="6"/>
        <v>98</v>
      </c>
      <c r="CW238">
        <f t="shared" si="6"/>
        <v>99</v>
      </c>
      <c r="CX238">
        <f t="shared" si="6"/>
        <v>100</v>
      </c>
      <c r="CY238">
        <f t="shared" si="6"/>
        <v>101</v>
      </c>
      <c r="CZ238">
        <f t="shared" si="6"/>
        <v>102</v>
      </c>
      <c r="DA238">
        <f t="shared" si="6"/>
        <v>103</v>
      </c>
      <c r="DB238">
        <f t="shared" si="6"/>
        <v>104</v>
      </c>
      <c r="DC238">
        <f t="shared" si="6"/>
        <v>105</v>
      </c>
      <c r="DD238">
        <f t="shared" si="6"/>
        <v>106</v>
      </c>
      <c r="DE238">
        <f t="shared" si="6"/>
        <v>107</v>
      </c>
      <c r="DF238">
        <f t="shared" si="6"/>
        <v>108</v>
      </c>
      <c r="DG238">
        <f t="shared" si="6"/>
        <v>109</v>
      </c>
      <c r="DH238">
        <f t="shared" si="6"/>
        <v>110</v>
      </c>
      <c r="DI238">
        <f t="shared" si="6"/>
        <v>111</v>
      </c>
      <c r="DJ238">
        <f t="shared" si="6"/>
        <v>112</v>
      </c>
      <c r="DK238">
        <f t="shared" si="6"/>
        <v>113</v>
      </c>
      <c r="DL238">
        <f t="shared" si="6"/>
        <v>114</v>
      </c>
      <c r="DM238">
        <f t="shared" si="6"/>
        <v>115</v>
      </c>
      <c r="DN238">
        <f t="shared" si="6"/>
        <v>116</v>
      </c>
      <c r="DO238">
        <f t="shared" si="6"/>
        <v>117</v>
      </c>
      <c r="DP238">
        <f t="shared" si="6"/>
        <v>118</v>
      </c>
      <c r="DQ238">
        <f t="shared" si="6"/>
        <v>119</v>
      </c>
      <c r="DR238">
        <f t="shared" si="6"/>
        <v>120</v>
      </c>
      <c r="DS238">
        <f t="shared" si="6"/>
        <v>121</v>
      </c>
      <c r="DT238">
        <f t="shared" si="6"/>
        <v>122</v>
      </c>
      <c r="DU238">
        <f t="shared" si="6"/>
        <v>123</v>
      </c>
    </row>
    <row r="239" spans="1:140" x14ac:dyDescent="0.25">
      <c r="DT239" s="346">
        <f>SUM(DT3:DT227)</f>
        <v>-4425.8455992362678</v>
      </c>
      <c r="DU239" s="346">
        <f>SUM(DU3:DU227)</f>
        <v>-3978.9483386841835</v>
      </c>
    </row>
    <row r="450" spans="52:52" x14ac:dyDescent="0.25">
      <c r="AZ450" t="s">
        <v>501</v>
      </c>
    </row>
  </sheetData>
  <autoFilter ref="A2:EF229" xr:uid="{00000000-0009-0000-0000-00002A000000}"/>
  <pageMargins left="0.7" right="0.7" top="0.75" bottom="0.75" header="0.3" footer="0.3"/>
  <pageSetup orientation="portrait" horizontalDpi="1200" verticalDpi="12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B1E22-ADA7-4C5B-9B9E-657C095979CD}">
  <sheetPr>
    <tabColor theme="7" tint="0.39997558519241921"/>
  </sheetPr>
  <dimension ref="A1:AO68"/>
  <sheetViews>
    <sheetView workbookViewId="0"/>
  </sheetViews>
  <sheetFormatPr defaultRowHeight="15" x14ac:dyDescent="0.25"/>
  <cols>
    <col min="1" max="1" width="9.28515625" customWidth="1"/>
    <col min="9" max="9" width="9.85546875" customWidth="1"/>
    <col min="10" max="10" width="10.28515625" customWidth="1"/>
    <col min="14" max="14" width="9.5703125" customWidth="1"/>
    <col min="26" max="26" width="11" customWidth="1"/>
    <col min="27" max="27" width="12.5703125" customWidth="1"/>
    <col min="28" max="28" width="11.28515625" customWidth="1"/>
    <col min="29" max="29" width="10" customWidth="1"/>
    <col min="30" max="30" width="11.28515625" customWidth="1"/>
    <col min="31" max="31" width="9.7109375" customWidth="1"/>
    <col min="33" max="38" width="9.7109375" customWidth="1"/>
  </cols>
  <sheetData>
    <row r="1" spans="1:41" x14ac:dyDescent="0.25">
      <c r="I1" s="444" t="s">
        <v>2650</v>
      </c>
      <c r="J1" s="444"/>
      <c r="L1" s="120" t="s">
        <v>2651</v>
      </c>
      <c r="Z1" t="s">
        <v>2652</v>
      </c>
      <c r="AB1" t="s">
        <v>2653</v>
      </c>
      <c r="AD1" t="s">
        <v>2654</v>
      </c>
      <c r="AG1" t="s">
        <v>2652</v>
      </c>
      <c r="AI1" t="s">
        <v>2653</v>
      </c>
      <c r="AK1" t="s">
        <v>2654</v>
      </c>
    </row>
    <row r="2" spans="1:41" x14ac:dyDescent="0.25">
      <c r="I2" s="444" t="s">
        <v>2655</v>
      </c>
      <c r="J2" s="444"/>
      <c r="X2" s="445" t="s">
        <v>2656</v>
      </c>
      <c r="Z2" s="148" t="s">
        <v>2657</v>
      </c>
      <c r="AA2" s="148"/>
      <c r="AB2" s="148" t="s">
        <v>2658</v>
      </c>
      <c r="AC2" s="148"/>
      <c r="AD2" s="148" t="s">
        <v>2659</v>
      </c>
      <c r="AE2" s="148"/>
      <c r="AG2" s="148" t="s">
        <v>2657</v>
      </c>
      <c r="AH2" s="148"/>
      <c r="AI2" s="148" t="s">
        <v>2658</v>
      </c>
      <c r="AJ2" s="148"/>
      <c r="AK2" s="148" t="s">
        <v>2659</v>
      </c>
      <c r="AL2" s="148"/>
    </row>
    <row r="3" spans="1:41" x14ac:dyDescent="0.25">
      <c r="C3" s="446" t="s">
        <v>2686</v>
      </c>
      <c r="D3" s="447"/>
      <c r="E3" s="447" t="s">
        <v>2660</v>
      </c>
      <c r="F3" s="447"/>
      <c r="G3" s="447" t="s">
        <v>2661</v>
      </c>
      <c r="H3" s="447"/>
      <c r="I3" s="447" t="s">
        <v>2662</v>
      </c>
      <c r="J3" s="447"/>
      <c r="K3" s="445" t="s">
        <v>2269</v>
      </c>
      <c r="L3" s="448" t="s">
        <v>2663</v>
      </c>
      <c r="M3" s="449"/>
      <c r="N3" s="449"/>
      <c r="O3" s="450" t="s">
        <v>2664</v>
      </c>
      <c r="P3" s="445" t="s">
        <v>2269</v>
      </c>
      <c r="Q3" s="451" t="s">
        <v>2665</v>
      </c>
      <c r="R3" s="451"/>
      <c r="S3" s="451"/>
      <c r="T3" s="451"/>
      <c r="V3" t="s">
        <v>2666</v>
      </c>
      <c r="W3" t="s">
        <v>2666</v>
      </c>
      <c r="X3" t="s">
        <v>2666</v>
      </c>
      <c r="Z3" s="447" t="s">
        <v>2667</v>
      </c>
      <c r="AA3" s="447"/>
      <c r="AB3" s="447" t="s">
        <v>2667</v>
      </c>
      <c r="AC3" s="447"/>
      <c r="AD3" s="447" t="s">
        <v>2667</v>
      </c>
      <c r="AE3" s="447"/>
      <c r="AG3" s="447" t="s">
        <v>2662</v>
      </c>
      <c r="AH3" s="447"/>
      <c r="AI3" s="447" t="s">
        <v>2662</v>
      </c>
      <c r="AJ3" s="447"/>
      <c r="AK3" s="447" t="s">
        <v>2662</v>
      </c>
      <c r="AL3" s="447"/>
    </row>
    <row r="4" spans="1:41" ht="51.75" x14ac:dyDescent="0.25">
      <c r="A4" s="452" t="s">
        <v>2668</v>
      </c>
      <c r="C4" s="452">
        <v>1990</v>
      </c>
      <c r="D4" s="452">
        <v>2005</v>
      </c>
      <c r="E4" s="452">
        <v>2015</v>
      </c>
      <c r="F4" s="452">
        <v>2019</v>
      </c>
      <c r="G4" s="453" t="s">
        <v>2687</v>
      </c>
      <c r="H4" s="453" t="s">
        <v>2688</v>
      </c>
      <c r="I4" s="453" t="s">
        <v>2687</v>
      </c>
      <c r="J4" s="453" t="s">
        <v>2688</v>
      </c>
      <c r="K4" s="454">
        <v>2019</v>
      </c>
      <c r="L4" s="455" t="s">
        <v>2689</v>
      </c>
      <c r="M4" s="456" t="s">
        <v>2672</v>
      </c>
      <c r="N4" s="456" t="s">
        <v>2671</v>
      </c>
      <c r="O4" s="457" t="s">
        <v>2669</v>
      </c>
      <c r="P4" s="457" t="s">
        <v>2670</v>
      </c>
      <c r="Q4" s="455" t="s">
        <v>2689</v>
      </c>
      <c r="R4" s="456" t="s">
        <v>2672</v>
      </c>
      <c r="S4" s="456" t="s">
        <v>2671</v>
      </c>
      <c r="T4" s="457" t="s">
        <v>2690</v>
      </c>
      <c r="V4" s="456" t="s">
        <v>2672</v>
      </c>
      <c r="W4" s="456" t="s">
        <v>2673</v>
      </c>
      <c r="X4" s="456" t="s">
        <v>2672</v>
      </c>
      <c r="Z4" s="453" t="s">
        <v>2687</v>
      </c>
      <c r="AA4" s="453" t="s">
        <v>2688</v>
      </c>
      <c r="AB4" s="453" t="s">
        <v>2687</v>
      </c>
      <c r="AC4" s="453" t="s">
        <v>2688</v>
      </c>
      <c r="AD4" s="453" t="s">
        <v>2687</v>
      </c>
      <c r="AE4" s="453" t="s">
        <v>2688</v>
      </c>
      <c r="AG4" s="453" t="s">
        <v>2687</v>
      </c>
      <c r="AH4" s="453" t="s">
        <v>2688</v>
      </c>
      <c r="AI4" s="453" t="s">
        <v>2687</v>
      </c>
      <c r="AJ4" s="453" t="s">
        <v>2688</v>
      </c>
      <c r="AK4" s="453" t="s">
        <v>2687</v>
      </c>
      <c r="AL4" s="453" t="s">
        <v>2688</v>
      </c>
    </row>
    <row r="5" spans="1:41" x14ac:dyDescent="0.25">
      <c r="B5" s="458" t="s">
        <v>23</v>
      </c>
      <c r="U5" s="458" t="s">
        <v>23</v>
      </c>
      <c r="V5" s="459"/>
      <c r="W5" s="459"/>
      <c r="X5" s="459"/>
    </row>
    <row r="6" spans="1:41" x14ac:dyDescent="0.25">
      <c r="A6" t="s">
        <v>2475</v>
      </c>
      <c r="B6" s="460" t="s">
        <v>75</v>
      </c>
      <c r="C6" s="461">
        <v>195.61</v>
      </c>
      <c r="D6" s="461">
        <v>79.64</v>
      </c>
      <c r="E6" s="461">
        <v>-3.28</v>
      </c>
      <c r="F6" s="461">
        <v>-48.74</v>
      </c>
      <c r="G6" s="461">
        <v>346.66829999999948</v>
      </c>
      <c r="H6" s="461">
        <v>346.66829999999948</v>
      </c>
      <c r="I6" s="462">
        <v>346.66829999999948</v>
      </c>
      <c r="J6" s="462">
        <v>346.66829999999948</v>
      </c>
      <c r="K6" s="463">
        <v>-49.387874426500694</v>
      </c>
      <c r="L6" s="464">
        <v>-42</v>
      </c>
      <c r="M6" s="465">
        <v>-118.215218490265</v>
      </c>
      <c r="N6" s="465">
        <v>-118.215218490265</v>
      </c>
      <c r="O6" s="466">
        <v>76.215218490265002</v>
      </c>
      <c r="P6" s="466">
        <v>7.3878744265006944</v>
      </c>
      <c r="Q6" s="464">
        <v>-1.5912136348316999</v>
      </c>
      <c r="R6" s="465">
        <v>-92.21</v>
      </c>
      <c r="S6" s="465">
        <v>-92.21</v>
      </c>
      <c r="T6" s="466">
        <v>90.61878636516829</v>
      </c>
      <c r="U6" s="460" t="s">
        <v>75</v>
      </c>
      <c r="V6" s="461">
        <v>-10.323842287214006</v>
      </c>
      <c r="W6" s="461">
        <v>-9.4936092016349676</v>
      </c>
      <c r="X6" s="467">
        <v>-58.881483628135662</v>
      </c>
      <c r="Z6" s="461">
        <v>388.66829999999948</v>
      </c>
      <c r="AA6" s="468">
        <v>388.66829999999948</v>
      </c>
      <c r="AB6" s="461">
        <v>464.88351849026446</v>
      </c>
      <c r="AC6" s="469">
        <v>464.88351849026446</v>
      </c>
      <c r="AD6" s="461">
        <v>405.54978362813512</v>
      </c>
      <c r="AE6" s="461">
        <v>356.99214228721348</v>
      </c>
      <c r="AG6" s="461">
        <v>346.66829999999948</v>
      </c>
      <c r="AH6" s="461">
        <v>346.66829999999948</v>
      </c>
      <c r="AI6" s="461">
        <v>346.66829999999948</v>
      </c>
      <c r="AJ6" s="461">
        <v>346.66829999999948</v>
      </c>
      <c r="AK6" s="461">
        <v>346.66829999999948</v>
      </c>
      <c r="AL6" s="461">
        <v>298.11065865907784</v>
      </c>
      <c r="AN6" t="s">
        <v>2674</v>
      </c>
    </row>
    <row r="7" spans="1:41" x14ac:dyDescent="0.25">
      <c r="A7" t="s">
        <v>2475</v>
      </c>
      <c r="B7" s="470" t="s">
        <v>133</v>
      </c>
      <c r="C7" s="471">
        <v>-407.47899999999998</v>
      </c>
      <c r="D7" s="471">
        <v>-766</v>
      </c>
      <c r="E7" s="471">
        <v>-1122.0055600000001</v>
      </c>
      <c r="F7" s="471">
        <v>-1150.0278000000001</v>
      </c>
      <c r="G7" s="471">
        <v>13744.651933441501</v>
      </c>
      <c r="H7" s="471">
        <v>13744.651933441501</v>
      </c>
      <c r="I7" s="472">
        <v>14186.8609934415</v>
      </c>
      <c r="J7" s="472">
        <v>14186.8609934415</v>
      </c>
      <c r="K7" s="473">
        <v>-1181.8669950738913</v>
      </c>
      <c r="L7" s="474">
        <v>-935</v>
      </c>
      <c r="M7" s="475">
        <v>-1377.2090599999999</v>
      </c>
      <c r="N7" s="475">
        <v>-1377.2090599999999</v>
      </c>
      <c r="O7" s="476">
        <v>442.20905999999991</v>
      </c>
      <c r="P7" s="476">
        <v>246.8669950738913</v>
      </c>
      <c r="Q7" s="477">
        <v>-653.22535714285698</v>
      </c>
      <c r="R7" s="475">
        <v>-1302.8499999999999</v>
      </c>
      <c r="S7" s="475">
        <v>-1302.8499999999999</v>
      </c>
      <c r="T7" s="476">
        <v>649.62464285714293</v>
      </c>
      <c r="U7" s="470" t="s">
        <v>133</v>
      </c>
      <c r="V7" s="471">
        <v>5.1330664069992054</v>
      </c>
      <c r="W7" s="471">
        <v>-134.73430816600012</v>
      </c>
      <c r="X7" s="467">
        <v>-1316.6013032398914</v>
      </c>
      <c r="Y7" s="109" t="s">
        <v>133</v>
      </c>
      <c r="Z7" s="471">
        <v>15121.8609934415</v>
      </c>
      <c r="AA7" s="478">
        <v>15121.8609934415</v>
      </c>
      <c r="AB7" s="472">
        <v>15121.8609934415</v>
      </c>
      <c r="AC7" s="472">
        <v>15121.8609934415</v>
      </c>
      <c r="AD7" s="472">
        <v>15121.8609934415</v>
      </c>
      <c r="AE7" s="472">
        <v>15121.8609934415</v>
      </c>
      <c r="AG7" s="472">
        <v>14186.8609934415</v>
      </c>
      <c r="AH7" s="472">
        <v>14186.8609934415</v>
      </c>
      <c r="AI7" s="472">
        <v>13744.651933441501</v>
      </c>
      <c r="AJ7" s="472">
        <v>13744.651933441501</v>
      </c>
      <c r="AK7" s="472">
        <v>13805.259690201608</v>
      </c>
      <c r="AL7" s="472">
        <v>13805.259690201608</v>
      </c>
      <c r="AN7" s="479" t="s">
        <v>40</v>
      </c>
      <c r="AO7" s="480" t="s">
        <v>2675</v>
      </c>
    </row>
    <row r="8" spans="1:41" x14ac:dyDescent="0.25">
      <c r="A8" t="s">
        <v>2476</v>
      </c>
      <c r="B8" s="470" t="s">
        <v>121</v>
      </c>
      <c r="C8" s="471">
        <v>-64.507019009999993</v>
      </c>
      <c r="D8" s="471">
        <v>-5.542408494</v>
      </c>
      <c r="E8" s="471">
        <v>2.3901091999999999E-2</v>
      </c>
      <c r="F8" s="471">
        <v>-18.821111439999999</v>
      </c>
      <c r="G8" s="471">
        <v>424.76400000000001</v>
      </c>
      <c r="H8" s="471">
        <v>424.76400000000001</v>
      </c>
      <c r="I8" s="471">
        <v>392.76400000000001</v>
      </c>
      <c r="J8" s="471">
        <v>392.76400000000001</v>
      </c>
      <c r="K8" s="473">
        <v>-18.821111441463596</v>
      </c>
      <c r="L8" s="474">
        <v>-32</v>
      </c>
      <c r="M8" s="475">
        <v>-28.496770730000001</v>
      </c>
      <c r="N8" s="475">
        <v>-32</v>
      </c>
      <c r="O8" s="481">
        <v>-3.5032292699999985</v>
      </c>
      <c r="P8" s="481">
        <v>-13.178888558536404</v>
      </c>
      <c r="Q8" s="474">
        <v>-21.812514999999991</v>
      </c>
      <c r="R8" s="475">
        <v>0.25</v>
      </c>
      <c r="S8" s="475">
        <v>-21.812514999999991</v>
      </c>
      <c r="T8" s="481">
        <v>-22.062514999999991</v>
      </c>
      <c r="U8" s="470" t="s">
        <v>121</v>
      </c>
      <c r="V8" s="482">
        <v>73.486978543397072</v>
      </c>
      <c r="W8" s="482">
        <v>1.3640319473740874</v>
      </c>
      <c r="X8" s="483">
        <v>-17.457079494089509</v>
      </c>
      <c r="Y8" s="484" t="s">
        <v>2476</v>
      </c>
      <c r="Z8" s="482">
        <v>424.76400000000001</v>
      </c>
      <c r="AA8" s="485">
        <v>424.76400000000001</v>
      </c>
      <c r="AB8" s="482">
        <v>424.76400000000001</v>
      </c>
      <c r="AC8" s="486">
        <v>424.76400000000001</v>
      </c>
      <c r="AD8" s="482">
        <v>424.76400000000001</v>
      </c>
      <c r="AE8" s="482">
        <v>424.76400000000001</v>
      </c>
      <c r="AG8" s="482">
        <v>392.76400000000001</v>
      </c>
      <c r="AH8" s="482">
        <v>392.76400000000001</v>
      </c>
      <c r="AI8" s="482">
        <v>396.26722927000003</v>
      </c>
      <c r="AJ8" s="486">
        <v>396.26722927000003</v>
      </c>
      <c r="AK8" s="482">
        <v>407.30692050591051</v>
      </c>
      <c r="AL8" s="482">
        <v>407.30692050591051</v>
      </c>
      <c r="AN8" s="487" t="s">
        <v>2676</v>
      </c>
      <c r="AO8" s="488">
        <v>-97.011450000000025</v>
      </c>
    </row>
    <row r="9" spans="1:41" x14ac:dyDescent="0.25">
      <c r="A9" t="s">
        <v>2475</v>
      </c>
      <c r="B9" s="470" t="s">
        <v>502</v>
      </c>
      <c r="C9" s="489">
        <v>-208.79522539999999</v>
      </c>
      <c r="D9" s="490">
        <v>-342.10947609999999</v>
      </c>
      <c r="E9" s="490">
        <v>-322.42383899999999</v>
      </c>
      <c r="F9" s="490">
        <v>-247.31762359999999</v>
      </c>
      <c r="G9" s="471">
        <v>2084.9399999999996</v>
      </c>
      <c r="H9" s="490">
        <v>2084.9399999999996</v>
      </c>
      <c r="I9" s="491">
        <v>2084.9399999999996</v>
      </c>
      <c r="J9" s="491">
        <v>2084.9399999999996</v>
      </c>
      <c r="K9" s="492">
        <v>-248.13069987813424</v>
      </c>
      <c r="L9" s="493">
        <v>-310</v>
      </c>
      <c r="M9" s="494">
        <v>-229.20330079999999</v>
      </c>
      <c r="N9" s="494">
        <v>-310</v>
      </c>
      <c r="O9" s="481">
        <v>-80.796699200000006</v>
      </c>
      <c r="P9" s="481">
        <v>-61.869300121865763</v>
      </c>
      <c r="Q9" s="493">
        <v>-300</v>
      </c>
      <c r="R9" s="494">
        <v>-225.51</v>
      </c>
      <c r="S9" s="494">
        <v>-300</v>
      </c>
      <c r="T9" s="481">
        <v>-74.490000000000009</v>
      </c>
      <c r="U9" s="470" t="s">
        <v>502</v>
      </c>
      <c r="V9" s="490">
        <v>154.9228448759801</v>
      </c>
      <c r="W9" s="490">
        <v>3.8479994327800568</v>
      </c>
      <c r="X9" s="495">
        <v>-244.28270044535418</v>
      </c>
      <c r="Z9" s="490">
        <v>2394.9399999999996</v>
      </c>
      <c r="AA9" s="496">
        <v>2394.9399999999996</v>
      </c>
      <c r="AB9" s="490">
        <v>2314.1433007999995</v>
      </c>
      <c r="AC9" s="497">
        <v>2314.1433007999995</v>
      </c>
      <c r="AD9" s="490">
        <v>2329.2227004453539</v>
      </c>
      <c r="AE9" s="497">
        <v>2329.2227004453539</v>
      </c>
      <c r="AG9" s="490">
        <v>2084.9399999999996</v>
      </c>
      <c r="AH9" s="490">
        <v>2084.9399999999996</v>
      </c>
      <c r="AI9" s="490">
        <v>2084.9399999999996</v>
      </c>
      <c r="AJ9" s="497">
        <v>2084.9399999999996</v>
      </c>
      <c r="AK9" s="490">
        <v>2084.9399999999996</v>
      </c>
      <c r="AL9" s="497">
        <v>2084.9399999999996</v>
      </c>
      <c r="AN9" s="487" t="s">
        <v>2677</v>
      </c>
      <c r="AO9" s="498">
        <v>-64.879924278787826</v>
      </c>
    </row>
    <row r="10" spans="1:41" x14ac:dyDescent="0.25">
      <c r="A10" t="s">
        <v>2475</v>
      </c>
      <c r="B10" s="470" t="s">
        <v>22</v>
      </c>
      <c r="C10" s="489">
        <v>-197.64274806</v>
      </c>
      <c r="D10" s="490">
        <v>-338.62780567599998</v>
      </c>
      <c r="E10" s="490">
        <v>-321.33432143799996</v>
      </c>
      <c r="F10" s="490">
        <v>-245.48825168099998</v>
      </c>
      <c r="G10" s="471">
        <v>2346.5253823487997</v>
      </c>
      <c r="H10" s="490">
        <v>2346.5253823487997</v>
      </c>
      <c r="I10" s="491">
        <v>2346.5253823487997</v>
      </c>
      <c r="J10" s="491">
        <v>2346.5253823487997</v>
      </c>
      <c r="K10" s="492">
        <v>-246.45435318779329</v>
      </c>
      <c r="L10" s="493">
        <v>-315.37117999999998</v>
      </c>
      <c r="M10" s="494">
        <v>-229.20330079999999</v>
      </c>
      <c r="N10" s="494">
        <v>-315.37117999999998</v>
      </c>
      <c r="O10" s="481">
        <v>-86.167879199999987</v>
      </c>
      <c r="P10" s="481">
        <v>-68.916826812206693</v>
      </c>
      <c r="Q10" s="493">
        <v>-300</v>
      </c>
      <c r="R10" s="494">
        <v>-225.51</v>
      </c>
      <c r="S10" s="494">
        <v>-300</v>
      </c>
      <c r="T10" s="481">
        <v>-74.490000000000009</v>
      </c>
      <c r="U10" s="470" t="s">
        <v>22</v>
      </c>
      <c r="V10" s="490">
        <v>154.9228448759801</v>
      </c>
      <c r="W10" s="490">
        <v>3.8479994327800568</v>
      </c>
      <c r="X10" s="495">
        <v>-242.60635375501323</v>
      </c>
      <c r="Z10" s="490">
        <v>2661.8965623487998</v>
      </c>
      <c r="AA10" s="496">
        <v>2661.8965623487998</v>
      </c>
      <c r="AB10" s="490">
        <v>2575.7286831487995</v>
      </c>
      <c r="AC10" s="497">
        <v>2575.7286831487995</v>
      </c>
      <c r="AD10" s="490">
        <v>2589.1317361038127</v>
      </c>
      <c r="AE10" s="497">
        <v>2589.1317361038127</v>
      </c>
      <c r="AG10" s="490">
        <v>2346.5253823487997</v>
      </c>
      <c r="AH10" s="490">
        <v>2346.5253823487997</v>
      </c>
      <c r="AI10" s="490">
        <v>2346.5253823487997</v>
      </c>
      <c r="AJ10" s="497">
        <v>2346.5253823487997</v>
      </c>
      <c r="AK10" s="490">
        <v>2346.5253823487997</v>
      </c>
      <c r="AL10" s="497">
        <v>2346.5253823487997</v>
      </c>
      <c r="AN10" s="499" t="s">
        <v>135</v>
      </c>
      <c r="AO10" s="500">
        <v>-45.69</v>
      </c>
    </row>
    <row r="11" spans="1:41" x14ac:dyDescent="0.25">
      <c r="A11" t="s">
        <v>2475</v>
      </c>
      <c r="B11" s="470" t="s">
        <v>473</v>
      </c>
      <c r="C11" s="489">
        <v>11.152477340000001</v>
      </c>
      <c r="D11" s="490">
        <v>3.4816704239999998</v>
      </c>
      <c r="E11" s="490">
        <v>1.0895175619999999</v>
      </c>
      <c r="F11" s="490">
        <v>1.829371919</v>
      </c>
      <c r="G11" s="471">
        <v>261.58538234879995</v>
      </c>
      <c r="H11" s="490">
        <v>261.58538234879995</v>
      </c>
      <c r="I11" s="491">
        <v>261.58538234879995</v>
      </c>
      <c r="J11" s="491">
        <v>261.58538234879995</v>
      </c>
      <c r="K11" s="492">
        <v>1.6763466903409598</v>
      </c>
      <c r="L11" s="493">
        <v>-5.3711799999999998</v>
      </c>
      <c r="M11" s="494">
        <v>6</v>
      </c>
      <c r="N11" s="494">
        <v>-5.3711799999999998</v>
      </c>
      <c r="O11" s="481">
        <v>-11.371179999999999</v>
      </c>
      <c r="P11" s="481">
        <v>-7.0475266903409599</v>
      </c>
      <c r="Q11" s="493">
        <v>6</v>
      </c>
      <c r="R11" s="494">
        <v>6</v>
      </c>
      <c r="S11" s="494">
        <v>6</v>
      </c>
      <c r="T11" s="481">
        <v>0</v>
      </c>
      <c r="U11" s="470" t="s">
        <v>473</v>
      </c>
      <c r="V11" s="490"/>
      <c r="W11" s="490"/>
      <c r="X11" s="495">
        <v>1.6763466903409598</v>
      </c>
      <c r="Z11" s="490">
        <v>266.95656234879993</v>
      </c>
      <c r="AA11" s="496">
        <v>266.95656234879993</v>
      </c>
      <c r="AB11" s="490">
        <v>255.58538234879995</v>
      </c>
      <c r="AC11" s="497">
        <v>255.58538234879995</v>
      </c>
      <c r="AD11" s="490">
        <v>259.909035658459</v>
      </c>
      <c r="AE11" s="497">
        <v>259.909035658459</v>
      </c>
      <c r="AG11" s="490">
        <v>261.58538234879995</v>
      </c>
      <c r="AH11" s="490">
        <v>261.58538234879995</v>
      </c>
      <c r="AI11" s="490">
        <v>261.58538234879995</v>
      </c>
      <c r="AJ11" s="497">
        <v>261.58538234879995</v>
      </c>
      <c r="AK11" s="490">
        <v>261.58538234879995</v>
      </c>
      <c r="AL11" s="497">
        <v>261.58538234879995</v>
      </c>
      <c r="AN11" s="487" t="s">
        <v>265</v>
      </c>
      <c r="AO11" s="498">
        <v>-45</v>
      </c>
    </row>
    <row r="12" spans="1:41" x14ac:dyDescent="0.25">
      <c r="A12" t="s">
        <v>2475</v>
      </c>
      <c r="B12" s="470" t="s">
        <v>69</v>
      </c>
      <c r="C12" s="501">
        <v>48.280990000000003</v>
      </c>
      <c r="D12" s="490">
        <v>92.432469999999995</v>
      </c>
      <c r="E12" s="501">
        <v>37.540509999999998</v>
      </c>
      <c r="F12" s="501">
        <v>32.28078</v>
      </c>
      <c r="G12" s="471">
        <v>349</v>
      </c>
      <c r="H12" s="501">
        <v>349</v>
      </c>
      <c r="I12" s="491">
        <v>349</v>
      </c>
      <c r="J12" s="491">
        <v>349</v>
      </c>
      <c r="K12" s="502">
        <v>7.7522000000000011</v>
      </c>
      <c r="L12" s="503">
        <v>-26.650089999999992</v>
      </c>
      <c r="M12" s="504">
        <v>-17.89451</v>
      </c>
      <c r="N12" s="504">
        <v>-26.650089999999992</v>
      </c>
      <c r="O12" s="476">
        <v>-8.7555799999999913</v>
      </c>
      <c r="P12" s="476">
        <v>-34.402289999999994</v>
      </c>
      <c r="Q12" s="503">
        <v>22.030605348000002</v>
      </c>
      <c r="R12" s="504">
        <v>-13.9</v>
      </c>
      <c r="S12" s="504">
        <v>-13.9</v>
      </c>
      <c r="T12" s="476">
        <v>35.930605348</v>
      </c>
      <c r="U12" s="470" t="s">
        <v>69</v>
      </c>
      <c r="V12" s="490"/>
      <c r="W12" s="490"/>
      <c r="X12" s="495">
        <v>7.7522000000000011</v>
      </c>
      <c r="Z12" s="490">
        <v>375.65008999999998</v>
      </c>
      <c r="AA12" s="496">
        <v>375.65008999999998</v>
      </c>
      <c r="AB12" s="490">
        <v>366.89451000000003</v>
      </c>
      <c r="AC12" s="497">
        <v>366.89451000000003</v>
      </c>
      <c r="AD12" s="490">
        <v>341.24779999999998</v>
      </c>
      <c r="AE12" s="497">
        <v>341.24779999999998</v>
      </c>
      <c r="AG12" s="490">
        <v>349</v>
      </c>
      <c r="AH12" s="490">
        <v>349</v>
      </c>
      <c r="AI12" s="490">
        <v>349</v>
      </c>
      <c r="AJ12" s="497">
        <v>349</v>
      </c>
      <c r="AK12" s="490">
        <v>349</v>
      </c>
      <c r="AL12" s="497">
        <v>349</v>
      </c>
      <c r="AN12" s="499" t="s">
        <v>233</v>
      </c>
      <c r="AO12" s="500">
        <v>-42</v>
      </c>
    </row>
    <row r="13" spans="1:41" x14ac:dyDescent="0.25">
      <c r="A13" t="s">
        <v>2475</v>
      </c>
      <c r="B13" s="470" t="s">
        <v>247</v>
      </c>
      <c r="C13" s="490">
        <v>-63.272180519999999</v>
      </c>
      <c r="D13" s="490">
        <v>-88.841243160000005</v>
      </c>
      <c r="E13" s="490">
        <v>-56.132443209999998</v>
      </c>
      <c r="F13" s="490">
        <v>-50.699932080000004</v>
      </c>
      <c r="G13" s="505">
        <v>808.0200000000001</v>
      </c>
      <c r="H13" s="506">
        <v>808.0200000000001</v>
      </c>
      <c r="I13" s="506">
        <v>768.22000000000014</v>
      </c>
      <c r="J13" s="506">
        <v>768.22000000000014</v>
      </c>
      <c r="K13" s="492">
        <v>-50.819693492441196</v>
      </c>
      <c r="L13" s="493">
        <v>-39.799999999999997</v>
      </c>
      <c r="M13" s="494">
        <v>-34.000036735332799</v>
      </c>
      <c r="N13" s="494">
        <v>-39.799999999999997</v>
      </c>
      <c r="O13" s="481">
        <v>-5.7999632646671984</v>
      </c>
      <c r="P13" s="481">
        <v>11.019693492441199</v>
      </c>
      <c r="Q13" s="493">
        <v>-92.9</v>
      </c>
      <c r="R13" s="494">
        <v>-26.55</v>
      </c>
      <c r="S13" s="494">
        <v>-92.9</v>
      </c>
      <c r="T13" s="481">
        <v>-66.350000000000009</v>
      </c>
      <c r="U13" s="470" t="s">
        <v>247</v>
      </c>
      <c r="V13" s="490">
        <v>-34.45782504492297</v>
      </c>
      <c r="W13" s="490">
        <v>-21.80382954273307</v>
      </c>
      <c r="X13" s="495">
        <v>-72.623523035174259</v>
      </c>
      <c r="Z13" s="506">
        <v>808.0200000000001</v>
      </c>
      <c r="AA13" s="507">
        <v>808.0200000000001</v>
      </c>
      <c r="AB13" s="506">
        <v>808.0200000000001</v>
      </c>
      <c r="AC13" s="508">
        <v>808.0200000000001</v>
      </c>
      <c r="AD13" s="506">
        <v>808.0200000000001</v>
      </c>
      <c r="AE13" s="508">
        <v>808.0200000000001</v>
      </c>
      <c r="AG13" s="506">
        <v>768.22000000000014</v>
      </c>
      <c r="AH13" s="506">
        <v>768.22000000000014</v>
      </c>
      <c r="AI13" s="506">
        <v>774.01996326466724</v>
      </c>
      <c r="AJ13" s="506">
        <v>774.01996326466724</v>
      </c>
      <c r="AK13" s="506">
        <v>773.56217495507713</v>
      </c>
      <c r="AL13" s="506">
        <v>773.56217495507713</v>
      </c>
      <c r="AN13" s="499" t="s">
        <v>117</v>
      </c>
      <c r="AO13" s="500">
        <v>-35.099999999999994</v>
      </c>
    </row>
    <row r="14" spans="1:41" x14ac:dyDescent="0.25">
      <c r="A14" t="s">
        <v>2475</v>
      </c>
      <c r="B14" s="470" t="s">
        <v>231</v>
      </c>
      <c r="C14" s="509">
        <v>1.4850000000000001</v>
      </c>
      <c r="D14" s="471">
        <v>-189.431438571428</v>
      </c>
      <c r="E14" s="509">
        <v>-304.26113999999899</v>
      </c>
      <c r="F14" s="509">
        <v>-315.45507989999999</v>
      </c>
      <c r="G14" s="471">
        <v>4445.3995031812647</v>
      </c>
      <c r="H14" s="509">
        <v>4170.283188405233</v>
      </c>
      <c r="I14" s="472">
        <v>4277.2024624812648</v>
      </c>
      <c r="J14" s="472">
        <v>4002.0861477052326</v>
      </c>
      <c r="K14" s="510">
        <v>-485.47199999999998</v>
      </c>
      <c r="L14" s="511">
        <v>-571.09199999999998</v>
      </c>
      <c r="M14" s="512">
        <v>-402.89495929999998</v>
      </c>
      <c r="N14" s="512">
        <v>-571.09199999999998</v>
      </c>
      <c r="O14" s="476">
        <v>-168.1970407</v>
      </c>
      <c r="P14" s="476">
        <v>-85.62</v>
      </c>
      <c r="Q14" s="511">
        <v>-305.53200000000004</v>
      </c>
      <c r="R14" s="512">
        <v>-372.99</v>
      </c>
      <c r="S14" s="512">
        <v>-372.99</v>
      </c>
      <c r="T14" s="476">
        <v>67.45799999999997</v>
      </c>
      <c r="U14" s="470" t="s">
        <v>231</v>
      </c>
      <c r="V14" s="471">
        <v>6.3178444141803993</v>
      </c>
      <c r="W14" s="471">
        <v>0.4505279326604068</v>
      </c>
      <c r="X14" s="467">
        <v>-485.02147206733957</v>
      </c>
      <c r="Y14" s="109" t="s">
        <v>231</v>
      </c>
      <c r="Z14" s="471">
        <v>4848.2944624812644</v>
      </c>
      <c r="AA14" s="478">
        <v>4573.1781477052327</v>
      </c>
      <c r="AB14" s="472">
        <v>4848.2944624812644</v>
      </c>
      <c r="AC14" s="472">
        <v>4573.1781477052327</v>
      </c>
      <c r="AD14" s="472">
        <v>4848.2944624812644</v>
      </c>
      <c r="AE14" s="472">
        <v>4573.1781477052327</v>
      </c>
      <c r="AG14" s="472">
        <v>4277.2024624812648</v>
      </c>
      <c r="AH14" s="472">
        <v>4002.0861477052326</v>
      </c>
      <c r="AI14" s="472">
        <v>4445.3995031812647</v>
      </c>
      <c r="AJ14" s="472">
        <v>4170.283188405233</v>
      </c>
      <c r="AK14" s="472">
        <v>4363.2729904139251</v>
      </c>
      <c r="AL14" s="472">
        <v>4088.1566756378934</v>
      </c>
      <c r="AN14" s="487" t="s">
        <v>487</v>
      </c>
      <c r="AO14" s="498">
        <v>-30.200000000000003</v>
      </c>
    </row>
    <row r="15" spans="1:41" x14ac:dyDescent="0.25">
      <c r="A15" t="s">
        <v>2475</v>
      </c>
      <c r="B15" s="470" t="s">
        <v>107</v>
      </c>
      <c r="C15" s="501">
        <v>912.98292470000001</v>
      </c>
      <c r="D15" s="490">
        <v>1573.52433</v>
      </c>
      <c r="E15" s="501">
        <v>376.90362739999898</v>
      </c>
      <c r="F15" s="501">
        <v>561.84062940000001</v>
      </c>
      <c r="G15" s="471">
        <v>1224.0081383519837</v>
      </c>
      <c r="H15" s="501">
        <v>1224.0081383519837</v>
      </c>
      <c r="I15" s="491">
        <v>1224.0081383519837</v>
      </c>
      <c r="J15" s="491">
        <v>1224.0081383519837</v>
      </c>
      <c r="K15" s="502">
        <v>376.91019733416033</v>
      </c>
      <c r="L15" s="513">
        <v>-15</v>
      </c>
      <c r="M15" s="504">
        <v>596.41523221459602</v>
      </c>
      <c r="N15" s="504">
        <v>-15</v>
      </c>
      <c r="O15" s="481">
        <v>-611.41523221459602</v>
      </c>
      <c r="P15" s="481">
        <v>-391.91019733416033</v>
      </c>
      <c r="Q15" s="513">
        <v>215.5</v>
      </c>
      <c r="R15" s="504">
        <v>356.18724040608299</v>
      </c>
      <c r="S15" s="504">
        <v>215.5</v>
      </c>
      <c r="T15" s="481">
        <v>-140.68724040608299</v>
      </c>
      <c r="U15" s="470" t="s">
        <v>107</v>
      </c>
      <c r="V15" s="490">
        <v>344.71306576041002</v>
      </c>
      <c r="W15" s="490">
        <v>-567.51538731255005</v>
      </c>
      <c r="X15" s="495">
        <v>-190.60518997838972</v>
      </c>
      <c r="Z15" s="490">
        <v>1239.0081383519837</v>
      </c>
      <c r="AA15" s="496">
        <v>1239.0081383519837</v>
      </c>
      <c r="AB15" s="490">
        <v>627.59290613738767</v>
      </c>
      <c r="AC15" s="497">
        <v>627.59290613738767</v>
      </c>
      <c r="AD15" s="490">
        <v>1414.6133283303734</v>
      </c>
      <c r="AE15" s="497">
        <v>1414.6133283303734</v>
      </c>
      <c r="AG15" s="490">
        <v>1224.0081383519837</v>
      </c>
      <c r="AH15" s="490">
        <v>1224.0081383519837</v>
      </c>
      <c r="AI15" s="490">
        <v>1224.0081383519837</v>
      </c>
      <c r="AJ15" s="497">
        <v>1224.0081383519837</v>
      </c>
      <c r="AK15" s="490">
        <v>1224.0081383519837</v>
      </c>
      <c r="AL15" s="497">
        <v>1224.0081383519837</v>
      </c>
      <c r="AN15" s="499" t="s">
        <v>499</v>
      </c>
      <c r="AO15" s="500">
        <v>-30</v>
      </c>
    </row>
    <row r="16" spans="1:41" x14ac:dyDescent="0.25">
      <c r="A16" t="s">
        <v>2475</v>
      </c>
      <c r="B16" s="470" t="s">
        <v>381</v>
      </c>
      <c r="C16" s="489">
        <v>-77.415607440000002</v>
      </c>
      <c r="D16" s="490">
        <v>-539.68902869999999</v>
      </c>
      <c r="E16" s="490">
        <v>-583.2815885</v>
      </c>
      <c r="F16" s="490">
        <v>-550.50224300000002</v>
      </c>
      <c r="G16" s="471">
        <v>2160.5919999999996</v>
      </c>
      <c r="H16" s="490">
        <v>1647.26377</v>
      </c>
      <c r="I16" s="491">
        <v>2160.5919999999996</v>
      </c>
      <c r="J16" s="491">
        <v>1647.26377</v>
      </c>
      <c r="K16" s="492">
        <v>-550.64134123852421</v>
      </c>
      <c r="L16" s="503">
        <v>-539</v>
      </c>
      <c r="M16" s="494">
        <v>-419.134514999999</v>
      </c>
      <c r="N16" s="494">
        <v>-539</v>
      </c>
      <c r="O16" s="476">
        <v>-119.865485000001</v>
      </c>
      <c r="P16" s="476">
        <v>11.641341238524205</v>
      </c>
      <c r="Q16" s="503">
        <v>-450.73333333333346</v>
      </c>
      <c r="R16" s="494">
        <v>-496.25</v>
      </c>
      <c r="S16" s="494">
        <v>-496.25</v>
      </c>
      <c r="T16" s="476">
        <v>45.516666666666538</v>
      </c>
      <c r="U16" s="470" t="s">
        <v>381</v>
      </c>
      <c r="V16" s="490">
        <v>199.83179069585003</v>
      </c>
      <c r="W16" s="490">
        <v>20.50229203814979</v>
      </c>
      <c r="X16" s="495">
        <v>-530.13904920037442</v>
      </c>
      <c r="Z16" s="490">
        <v>2699.5919999999996</v>
      </c>
      <c r="AA16" s="496">
        <v>2186.26377</v>
      </c>
      <c r="AB16" s="490">
        <v>2579.7265149999985</v>
      </c>
      <c r="AC16" s="497">
        <v>2066.3982849999989</v>
      </c>
      <c r="AD16" s="490">
        <v>2690.7310492003739</v>
      </c>
      <c r="AE16" s="497">
        <v>2177.4028192003743</v>
      </c>
      <c r="AG16" s="490">
        <v>2160.5919999999996</v>
      </c>
      <c r="AH16" s="490">
        <v>1647.26377</v>
      </c>
      <c r="AI16" s="490">
        <v>2160.5919999999996</v>
      </c>
      <c r="AJ16" s="497">
        <v>1647.2637699999998</v>
      </c>
      <c r="AK16" s="490">
        <v>2160.5919999999996</v>
      </c>
      <c r="AL16" s="497">
        <v>1647.26377</v>
      </c>
      <c r="AN16" s="514" t="s">
        <v>2678</v>
      </c>
      <c r="AO16" s="498">
        <v>-24.056999999999999</v>
      </c>
    </row>
    <row r="17" spans="1:41" x14ac:dyDescent="0.25">
      <c r="A17" t="s">
        <v>2475</v>
      </c>
      <c r="B17" s="470" t="s">
        <v>233</v>
      </c>
      <c r="C17" s="501">
        <v>199.35988</v>
      </c>
      <c r="D17" s="501">
        <v>400.171999999999</v>
      </c>
      <c r="E17" s="501">
        <v>1565.579</v>
      </c>
      <c r="F17" s="501">
        <v>926.24219049999897</v>
      </c>
      <c r="G17" s="471">
        <v>1954.0759</v>
      </c>
      <c r="H17" s="501">
        <v>1629.5920000000001</v>
      </c>
      <c r="I17" s="491">
        <v>1954.0759</v>
      </c>
      <c r="J17" s="491">
        <v>1629.5920000000001</v>
      </c>
      <c r="K17" s="515">
        <v>924.85299999999995</v>
      </c>
      <c r="L17" s="513">
        <v>214</v>
      </c>
      <c r="M17" s="504">
        <v>861.67909612806204</v>
      </c>
      <c r="N17" s="504">
        <v>214</v>
      </c>
      <c r="O17" s="481">
        <v>-647.67909612806204</v>
      </c>
      <c r="P17" s="481">
        <v>-710.85299999999995</v>
      </c>
      <c r="Q17" s="513">
        <v>151.05232241681699</v>
      </c>
      <c r="R17" s="504">
        <v>862.87</v>
      </c>
      <c r="S17" s="504">
        <v>151.05232241681699</v>
      </c>
      <c r="T17" s="481">
        <v>-711.81767758318301</v>
      </c>
      <c r="U17" s="470" t="s">
        <v>233</v>
      </c>
      <c r="V17" s="490">
        <v>505.71746374699001</v>
      </c>
      <c r="W17" s="490">
        <v>-449.01349296966987</v>
      </c>
      <c r="X17" s="495">
        <v>475.83950703033008</v>
      </c>
      <c r="Z17" s="490">
        <v>1740.0759</v>
      </c>
      <c r="AA17" s="516">
        <v>1644.5920000000001</v>
      </c>
      <c r="AB17" s="490">
        <v>1092.3968038719381</v>
      </c>
      <c r="AC17" s="497">
        <v>767.91290387193806</v>
      </c>
      <c r="AD17" s="490">
        <v>1478.2363929696699</v>
      </c>
      <c r="AE17" s="497">
        <v>1153.7524929696701</v>
      </c>
      <c r="AG17" s="490">
        <v>1954.0759</v>
      </c>
      <c r="AH17" s="490">
        <v>1629.5920000000001</v>
      </c>
      <c r="AI17" s="490">
        <v>1954.0759000000003</v>
      </c>
      <c r="AJ17" s="497">
        <v>1629.5920000000001</v>
      </c>
      <c r="AK17" s="490">
        <v>1954.0758999999998</v>
      </c>
      <c r="AL17" s="497">
        <v>1629.5920000000001</v>
      </c>
      <c r="AN17" s="487" t="s">
        <v>177</v>
      </c>
      <c r="AO17" s="498">
        <v>-22.62</v>
      </c>
    </row>
    <row r="18" spans="1:41" x14ac:dyDescent="0.25">
      <c r="A18" t="s">
        <v>2476</v>
      </c>
      <c r="B18" s="470" t="s">
        <v>411</v>
      </c>
      <c r="C18" s="490">
        <v>-17</v>
      </c>
      <c r="D18" s="490">
        <v>1</v>
      </c>
      <c r="E18" s="490">
        <v>-23</v>
      </c>
      <c r="F18" s="490">
        <v>-32.514764</v>
      </c>
      <c r="G18" s="471">
        <v>385</v>
      </c>
      <c r="H18" s="490">
        <v>385</v>
      </c>
      <c r="I18" s="471">
        <v>362.27</v>
      </c>
      <c r="J18" s="471">
        <v>362.27</v>
      </c>
      <c r="K18" s="492">
        <v>-21.6553</v>
      </c>
      <c r="L18" s="517">
        <v>-22.729999999999997</v>
      </c>
      <c r="M18" s="494">
        <v>-42.486194521586</v>
      </c>
      <c r="N18" s="494">
        <v>-42.486194521586</v>
      </c>
      <c r="O18" s="481">
        <v>19.756194521586004</v>
      </c>
      <c r="P18" s="481">
        <v>-1.0746999999999964</v>
      </c>
      <c r="Q18" s="493">
        <v>-22.729999999999997</v>
      </c>
      <c r="R18" s="494">
        <v>-40.78</v>
      </c>
      <c r="S18" s="494">
        <v>-40.78</v>
      </c>
      <c r="T18" s="481">
        <v>18.050000000000004</v>
      </c>
      <c r="U18" s="470" t="s">
        <v>411</v>
      </c>
      <c r="V18" s="482">
        <v>21.299148911490988</v>
      </c>
      <c r="W18" s="482">
        <v>-7.3100500375840056</v>
      </c>
      <c r="X18" s="483">
        <v>-28.965350037584006</v>
      </c>
      <c r="Y18" s="484" t="s">
        <v>2476</v>
      </c>
      <c r="Z18" s="482">
        <v>385</v>
      </c>
      <c r="AA18" s="485">
        <v>385</v>
      </c>
      <c r="AB18" s="482">
        <v>385</v>
      </c>
      <c r="AC18" s="486">
        <v>385</v>
      </c>
      <c r="AD18" s="482">
        <v>385</v>
      </c>
      <c r="AE18" s="482">
        <v>385</v>
      </c>
      <c r="AG18" s="482">
        <v>362.27</v>
      </c>
      <c r="AH18" s="482">
        <v>362.27</v>
      </c>
      <c r="AI18" s="482">
        <v>342.51380547841399</v>
      </c>
      <c r="AJ18" s="486">
        <v>342.51380547841399</v>
      </c>
      <c r="AK18" s="482">
        <v>356.03464996241598</v>
      </c>
      <c r="AL18" s="482">
        <v>356.03464996241598</v>
      </c>
      <c r="AN18" s="499" t="s">
        <v>502</v>
      </c>
      <c r="AO18" s="500">
        <v>-21.326546482417086</v>
      </c>
    </row>
    <row r="19" spans="1:41" x14ac:dyDescent="0.25">
      <c r="A19" t="s">
        <v>2475</v>
      </c>
      <c r="B19" s="470" t="s">
        <v>1532</v>
      </c>
      <c r="C19" s="490">
        <v>-880.95441700000003</v>
      </c>
      <c r="D19" s="490">
        <v>-781.09461739999995</v>
      </c>
      <c r="E19" s="490">
        <v>-671.86351930000001</v>
      </c>
      <c r="F19" s="490">
        <v>-704.04508810000004</v>
      </c>
      <c r="G19" s="471">
        <v>3281.1692343639952</v>
      </c>
      <c r="H19" s="490">
        <v>3281.1692343639952</v>
      </c>
      <c r="I19" s="491">
        <v>3281.1692343639952</v>
      </c>
      <c r="J19" s="491">
        <v>3281.1692343639952</v>
      </c>
      <c r="K19" s="492">
        <v>-704.46412580281344</v>
      </c>
      <c r="L19" s="503">
        <v>-920</v>
      </c>
      <c r="M19" s="494">
        <v>-786.87001350000003</v>
      </c>
      <c r="N19" s="494">
        <v>-920</v>
      </c>
      <c r="O19" s="476">
        <v>-133.12998649999997</v>
      </c>
      <c r="P19" s="476">
        <v>-215.53587419718656</v>
      </c>
      <c r="Q19" s="503">
        <v>-630.29999999999995</v>
      </c>
      <c r="R19" s="494">
        <v>-791.17</v>
      </c>
      <c r="S19" s="494">
        <v>-791.17</v>
      </c>
      <c r="T19" s="476">
        <v>160.87</v>
      </c>
      <c r="U19" s="470" t="s">
        <v>1532</v>
      </c>
      <c r="V19" s="490">
        <v>120.14398087866994</v>
      </c>
      <c r="W19" s="490">
        <v>44.074904129950482</v>
      </c>
      <c r="X19" s="495">
        <v>-660.38922167286296</v>
      </c>
      <c r="Z19" s="490">
        <v>4201.1692343639952</v>
      </c>
      <c r="AA19" s="496">
        <v>4201.1692343639952</v>
      </c>
      <c r="AB19" s="490">
        <v>4068.0392478639951</v>
      </c>
      <c r="AC19" s="497">
        <v>4068.0392478639951</v>
      </c>
      <c r="AD19" s="490">
        <v>3941.5584560368579</v>
      </c>
      <c r="AE19" s="497">
        <v>3941.5584560368579</v>
      </c>
      <c r="AG19" s="490">
        <v>3281.1692343639952</v>
      </c>
      <c r="AH19" s="490">
        <v>3281.1692343639952</v>
      </c>
      <c r="AI19" s="490">
        <v>3281.1692343639952</v>
      </c>
      <c r="AJ19" s="497">
        <v>3281.1692343639952</v>
      </c>
      <c r="AK19" s="490">
        <v>3281.1692343639952</v>
      </c>
      <c r="AL19" s="497">
        <v>3281.1692343639952</v>
      </c>
      <c r="AN19" s="499" t="s">
        <v>393</v>
      </c>
      <c r="AO19" s="500">
        <v>-20.045000000000002</v>
      </c>
    </row>
    <row r="20" spans="1:41" x14ac:dyDescent="0.25">
      <c r="A20" t="s">
        <v>2475</v>
      </c>
      <c r="B20" s="470" t="s">
        <v>307</v>
      </c>
      <c r="C20" s="490">
        <v>-217.8895971</v>
      </c>
      <c r="D20" s="490">
        <v>-199.91084230000001</v>
      </c>
      <c r="E20" s="490">
        <v>-193.3730554</v>
      </c>
      <c r="F20" s="490">
        <v>-201.94097260000001</v>
      </c>
      <c r="G20" s="471">
        <v>669.62007397564958</v>
      </c>
      <c r="H20" s="490">
        <v>573.96006340769964</v>
      </c>
      <c r="I20" s="491">
        <v>669.62007397564958</v>
      </c>
      <c r="J20" s="491">
        <v>573.96006340769964</v>
      </c>
      <c r="K20" s="492">
        <v>-201.94097263875773</v>
      </c>
      <c r="L20" s="517">
        <v>-22.376475200000002</v>
      </c>
      <c r="M20" s="494">
        <v>-265.04369359999998</v>
      </c>
      <c r="N20" s="494">
        <v>-265.04369359999998</v>
      </c>
      <c r="O20" s="481">
        <v>242.66721839999997</v>
      </c>
      <c r="P20" s="481">
        <v>179.56449743875771</v>
      </c>
      <c r="Q20" s="493">
        <v>-22.376475200000002</v>
      </c>
      <c r="R20" s="494">
        <v>-230.03</v>
      </c>
      <c r="S20" s="494">
        <v>-230.03</v>
      </c>
      <c r="T20" s="481">
        <v>207.65352480000001</v>
      </c>
      <c r="U20" s="470" t="s">
        <v>307</v>
      </c>
      <c r="V20" s="490">
        <v>89.902263888555012</v>
      </c>
      <c r="W20" s="490">
        <v>43.205078768789008</v>
      </c>
      <c r="X20" s="495">
        <v>-158.73589386996872</v>
      </c>
      <c r="Z20" s="490">
        <v>691.99654917564953</v>
      </c>
      <c r="AA20" s="496">
        <v>596.33653860769959</v>
      </c>
      <c r="AB20" s="490">
        <v>934.66376757564956</v>
      </c>
      <c r="AC20" s="497">
        <v>839.00375700769962</v>
      </c>
      <c r="AD20" s="490">
        <v>828.35596784561835</v>
      </c>
      <c r="AE20" s="497">
        <v>732.69595727766841</v>
      </c>
      <c r="AG20" s="490">
        <v>669.62007397564958</v>
      </c>
      <c r="AH20" s="490">
        <v>573.96006340769964</v>
      </c>
      <c r="AI20" s="490">
        <v>669.62007397564958</v>
      </c>
      <c r="AJ20" s="497">
        <v>573.96006340769964</v>
      </c>
      <c r="AK20" s="490">
        <v>669.62007397564958</v>
      </c>
      <c r="AL20" s="497">
        <v>573.96006340769964</v>
      </c>
      <c r="AN20" s="518" t="s">
        <v>75</v>
      </c>
      <c r="AO20" s="519">
        <v>18.21</v>
      </c>
    </row>
    <row r="21" spans="1:41" x14ac:dyDescent="0.25">
      <c r="A21" t="s">
        <v>2475</v>
      </c>
      <c r="B21" s="470" t="s">
        <v>459</v>
      </c>
      <c r="C21" s="490">
        <v>-66.510955749999994</v>
      </c>
      <c r="D21" s="490">
        <v>-71.778437460000006</v>
      </c>
      <c r="E21" s="490">
        <v>-72.806567200000003</v>
      </c>
      <c r="F21" s="490">
        <v>-62.720284550000002</v>
      </c>
      <c r="G21" s="471">
        <v>693.25000000000011</v>
      </c>
      <c r="H21" s="490">
        <v>693.25000000000011</v>
      </c>
      <c r="I21" s="491">
        <v>693.25000000000011</v>
      </c>
      <c r="J21" s="491">
        <v>693.25000000000011</v>
      </c>
      <c r="K21" s="492">
        <v>-62.794131685473999</v>
      </c>
      <c r="L21" s="493">
        <v>-57.02557700163154</v>
      </c>
      <c r="M21" s="494">
        <v>-44.406157350000001</v>
      </c>
      <c r="N21" s="494">
        <v>-57.02557700163154</v>
      </c>
      <c r="O21" s="481">
        <v>-12.619419651631539</v>
      </c>
      <c r="P21" s="481">
        <v>5.76855468384246</v>
      </c>
      <c r="Q21" s="493">
        <v>-105.185</v>
      </c>
      <c r="R21" s="494">
        <v>-54.45</v>
      </c>
      <c r="S21" s="494">
        <v>-105.185</v>
      </c>
      <c r="T21" s="481">
        <v>-50.734999999999999</v>
      </c>
      <c r="U21" s="470" t="s">
        <v>459</v>
      </c>
      <c r="V21" s="490">
        <v>41.610785522089941</v>
      </c>
      <c r="W21" s="490">
        <v>6.5088194728697317</v>
      </c>
      <c r="X21" s="495">
        <v>-56.285312212604268</v>
      </c>
      <c r="Z21" s="490">
        <v>750.27557700163163</v>
      </c>
      <c r="AA21" s="496">
        <v>750.27557700163163</v>
      </c>
      <c r="AB21" s="490">
        <v>737.65615735000006</v>
      </c>
      <c r="AC21" s="497">
        <v>737.65615735000006</v>
      </c>
      <c r="AD21" s="490">
        <v>749.53531221260437</v>
      </c>
      <c r="AE21" s="497">
        <v>749.53531221260437</v>
      </c>
      <c r="AG21" s="490">
        <v>693.25000000000011</v>
      </c>
      <c r="AH21" s="490">
        <v>693.25000000000011</v>
      </c>
      <c r="AI21" s="490">
        <v>693.25</v>
      </c>
      <c r="AJ21" s="497">
        <v>693.25</v>
      </c>
      <c r="AK21" s="490">
        <v>693.25000000000011</v>
      </c>
      <c r="AL21" s="497">
        <v>693.25000000000011</v>
      </c>
      <c r="AN21" s="520" t="s">
        <v>18</v>
      </c>
      <c r="AO21" s="521">
        <v>459.719920761205</v>
      </c>
    </row>
    <row r="22" spans="1:41" x14ac:dyDescent="0.25">
      <c r="A22" t="s">
        <v>2475</v>
      </c>
      <c r="B22" s="470" t="s">
        <v>2562</v>
      </c>
      <c r="C22" s="490">
        <v>-38.105323579999997</v>
      </c>
      <c r="D22" s="490">
        <v>-54.596871399999998</v>
      </c>
      <c r="E22" s="490">
        <v>-44.735672989999998</v>
      </c>
      <c r="F22" s="490">
        <v>-41.782105270000002</v>
      </c>
      <c r="G22" s="505">
        <v>436.56</v>
      </c>
      <c r="H22" s="506">
        <v>436.56</v>
      </c>
      <c r="I22" s="506">
        <v>409.86</v>
      </c>
      <c r="J22" s="506">
        <v>409.86</v>
      </c>
      <c r="K22" s="492">
        <v>-55.747331282051391</v>
      </c>
      <c r="L22" s="493">
        <v>-26.7</v>
      </c>
      <c r="M22" s="494">
        <v>-43.404440270000002</v>
      </c>
      <c r="N22" s="494">
        <v>-43.404440270000002</v>
      </c>
      <c r="O22" s="481">
        <v>16.704440270000003</v>
      </c>
      <c r="P22" s="481">
        <v>29.047331282051392</v>
      </c>
      <c r="Q22" s="493">
        <v>-55.797139999999999</v>
      </c>
      <c r="R22" s="494">
        <v>-45.29</v>
      </c>
      <c r="S22" s="494">
        <v>-55.797139999999999</v>
      </c>
      <c r="T22" s="481">
        <v>-10.50714</v>
      </c>
      <c r="U22" s="470" t="s">
        <v>2562</v>
      </c>
      <c r="V22" s="490">
        <v>-12.086680010168948</v>
      </c>
      <c r="W22" s="490">
        <v>-1.7018677569739111</v>
      </c>
      <c r="X22" s="495">
        <v>-57.449199039025302</v>
      </c>
      <c r="Z22" s="506">
        <v>436.56</v>
      </c>
      <c r="AA22" s="507">
        <v>436.56</v>
      </c>
      <c r="AB22" s="506">
        <v>436.56</v>
      </c>
      <c r="AC22" s="508">
        <v>436.56</v>
      </c>
      <c r="AD22" s="506">
        <v>436.56</v>
      </c>
      <c r="AE22" s="508">
        <v>436.56</v>
      </c>
      <c r="AG22" s="506">
        <v>409.86</v>
      </c>
      <c r="AH22" s="506">
        <v>409.86</v>
      </c>
      <c r="AI22" s="506">
        <v>393.15555972999999</v>
      </c>
      <c r="AJ22" s="506">
        <v>393.15555972999999</v>
      </c>
      <c r="AK22" s="506">
        <v>424.47331998983105</v>
      </c>
      <c r="AL22" s="506">
        <v>424.47331998983105</v>
      </c>
    </row>
    <row r="23" spans="1:41" x14ac:dyDescent="0.25">
      <c r="A23" t="s">
        <v>2476</v>
      </c>
      <c r="B23" s="522" t="s">
        <v>391</v>
      </c>
      <c r="C23" s="523">
        <v>-15.24</v>
      </c>
      <c r="D23" s="523">
        <v>-11.60895</v>
      </c>
      <c r="E23" s="523">
        <v>-9.2401</v>
      </c>
      <c r="F23" s="523">
        <v>-9.2674054120000005</v>
      </c>
      <c r="G23" s="523">
        <v>836.5</v>
      </c>
      <c r="H23" s="523">
        <v>836.5</v>
      </c>
      <c r="I23" s="523">
        <v>827.34900000000005</v>
      </c>
      <c r="J23" s="523">
        <v>827.34900000000005</v>
      </c>
      <c r="K23" s="524">
        <v>-6.6816731225296735</v>
      </c>
      <c r="L23" s="525">
        <v>-9.1509999999999998</v>
      </c>
      <c r="M23" s="526">
        <v>-9.7072576559999995</v>
      </c>
      <c r="N23" s="526">
        <v>-9.7072576559999995</v>
      </c>
      <c r="O23" s="527">
        <v>0.55625765599999966</v>
      </c>
      <c r="P23" s="527">
        <v>-2.4693268774703263</v>
      </c>
      <c r="Q23" s="528">
        <v>-9.1509999999999998</v>
      </c>
      <c r="R23" s="526">
        <v>-9.6999999999999993</v>
      </c>
      <c r="S23" s="526">
        <v>-9.6999999999999993</v>
      </c>
      <c r="T23" s="527">
        <v>0.54899999999999949</v>
      </c>
      <c r="U23" s="522" t="s">
        <v>391</v>
      </c>
      <c r="V23" s="482">
        <v>6.3178444141803993</v>
      </c>
      <c r="W23" s="482">
        <v>0.4505279326604068</v>
      </c>
      <c r="X23" s="483">
        <v>-6.2311451898692667</v>
      </c>
      <c r="Y23" s="484" t="s">
        <v>2476</v>
      </c>
      <c r="Z23" s="482">
        <v>836.5</v>
      </c>
      <c r="AA23" s="485">
        <v>836.5</v>
      </c>
      <c r="AB23" s="482">
        <v>836.5</v>
      </c>
      <c r="AC23" s="486">
        <v>836.5</v>
      </c>
      <c r="AD23" s="482">
        <v>836.5</v>
      </c>
      <c r="AE23" s="482">
        <v>836.5</v>
      </c>
      <c r="AG23" s="482">
        <v>827.34900000000005</v>
      </c>
      <c r="AH23" s="482">
        <v>827.34900000000005</v>
      </c>
      <c r="AI23" s="482">
        <v>826.79274234399998</v>
      </c>
      <c r="AJ23" s="486">
        <v>826.79274234399998</v>
      </c>
      <c r="AK23" s="482">
        <v>830.26885481013073</v>
      </c>
      <c r="AL23" s="482">
        <v>830.26885481013073</v>
      </c>
      <c r="AN23" s="529" t="s">
        <v>2392</v>
      </c>
      <c r="AO23" s="106">
        <v>414.6033742787879</v>
      </c>
    </row>
    <row r="24" spans="1:41" x14ac:dyDescent="0.25">
      <c r="B24" s="530" t="s">
        <v>23</v>
      </c>
      <c r="C24" s="523">
        <v>-688.2980537599999</v>
      </c>
      <c r="D24" s="523">
        <v>-900.35284316142952</v>
      </c>
      <c r="E24" s="523">
        <v>-1425.2669295460003</v>
      </c>
      <c r="F24" s="523">
        <v>-1911.6414381330007</v>
      </c>
      <c r="G24" s="523">
        <v>34105.804465663183</v>
      </c>
      <c r="H24" s="523">
        <v>32897.2160103192</v>
      </c>
      <c r="I24" s="523">
        <v>34249.435484963193</v>
      </c>
      <c r="J24" s="523">
        <v>33040.84702961921</v>
      </c>
      <c r="K24" s="531">
        <v>-2327.2315060580795</v>
      </c>
      <c r="L24" s="528">
        <v>-3359.8963222016314</v>
      </c>
      <c r="M24" s="526">
        <v>-2354.8717996105247</v>
      </c>
      <c r="N24" s="526">
        <v>-4158.0047115394837</v>
      </c>
      <c r="O24" s="527">
        <v>-1005.0245225911069</v>
      </c>
      <c r="P24" s="527">
        <v>-1032.6648161435514</v>
      </c>
      <c r="Q24" s="528">
        <v>-2576.7511065462054</v>
      </c>
      <c r="R24" s="526">
        <v>-2701.8827595939169</v>
      </c>
      <c r="S24" s="526">
        <v>-3853.0223325831835</v>
      </c>
      <c r="T24" s="527">
        <v>125.13165304771155</v>
      </c>
      <c r="U24" s="530" t="s">
        <v>23</v>
      </c>
      <c r="V24" s="523">
        <v>1512.5287307164872</v>
      </c>
      <c r="W24" s="523">
        <v>-1071.1683633319121</v>
      </c>
      <c r="X24" s="523">
        <v>-3398.3998693899916</v>
      </c>
      <c r="Z24" s="523">
        <v>37609.331807164832</v>
      </c>
      <c r="AA24" s="532">
        <v>36629.743351820842</v>
      </c>
      <c r="AB24" s="523">
        <v>36302.581565360793</v>
      </c>
      <c r="AC24" s="532">
        <v>35093.993110016796</v>
      </c>
      <c r="AD24" s="523">
        <v>37299.959282250202</v>
      </c>
      <c r="AE24" s="532">
        <v>36042.813185565305</v>
      </c>
      <c r="AG24" s="523">
        <v>34249.435484963193</v>
      </c>
      <c r="AH24" s="532">
        <v>33040.84702961921</v>
      </c>
      <c r="AI24" s="523">
        <v>33947.709765750275</v>
      </c>
      <c r="AJ24" s="532">
        <v>32739.121310406295</v>
      </c>
      <c r="AK24" s="523">
        <v>33985.08762987933</v>
      </c>
      <c r="AL24" s="532">
        <v>32727.941533194422</v>
      </c>
    </row>
    <row r="25" spans="1:41" x14ac:dyDescent="0.25">
      <c r="B25" s="530" t="s">
        <v>2392</v>
      </c>
      <c r="C25" s="523">
        <v>-860.86812919890838</v>
      </c>
      <c r="D25" s="523">
        <v>-1212.5844725971474</v>
      </c>
      <c r="E25" s="523">
        <v>-1986.7303504372239</v>
      </c>
      <c r="F25" s="523">
        <v>-1858.1610635354766</v>
      </c>
      <c r="G25" s="523"/>
      <c r="H25" s="523"/>
      <c r="I25" s="523"/>
      <c r="J25" s="523"/>
      <c r="K25" s="523">
        <v>-1830.4592340578683</v>
      </c>
      <c r="L25" s="528">
        <v>1262.8235465392538</v>
      </c>
      <c r="M25" s="526">
        <v>1677.4269208180417</v>
      </c>
      <c r="N25" s="526">
        <v>1262.8235465392538</v>
      </c>
      <c r="O25" s="527"/>
      <c r="P25" s="527"/>
      <c r="Q25" s="528">
        <v>1262.8235465392538</v>
      </c>
      <c r="R25" s="526">
        <v>1677.4269208180417</v>
      </c>
      <c r="S25" s="526">
        <v>1262.8235465392538</v>
      </c>
      <c r="T25" s="481"/>
      <c r="U25" s="530" t="s">
        <v>2392</v>
      </c>
      <c r="V25" s="523"/>
      <c r="W25" s="523"/>
      <c r="X25" s="467"/>
      <c r="Z25" s="523"/>
      <c r="AA25" s="523"/>
      <c r="AB25" s="523"/>
      <c r="AC25" s="523"/>
      <c r="AD25" s="523"/>
      <c r="AE25" s="523"/>
      <c r="AG25" s="523"/>
      <c r="AH25" s="523"/>
      <c r="AI25" s="523"/>
      <c r="AJ25" s="523"/>
      <c r="AK25" s="523"/>
      <c r="AL25" s="523"/>
    </row>
    <row r="26" spans="1:41" x14ac:dyDescent="0.25">
      <c r="B26" s="530" t="s">
        <v>2503</v>
      </c>
      <c r="C26" s="533">
        <v>-1549.1661829589084</v>
      </c>
      <c r="D26" s="533">
        <v>-2112.9373157585769</v>
      </c>
      <c r="E26" s="533">
        <v>-3411.997279983224</v>
      </c>
      <c r="F26" s="533">
        <v>-3769.8025016684774</v>
      </c>
      <c r="G26" s="533"/>
      <c r="H26" s="533"/>
      <c r="I26" s="533"/>
      <c r="J26" s="533"/>
      <c r="K26" s="533">
        <v>-4157.6907401159478</v>
      </c>
      <c r="L26" s="534">
        <v>-2097.0727756623774</v>
      </c>
      <c r="M26" s="535">
        <v>-677.444878792483</v>
      </c>
      <c r="N26" s="535">
        <v>-2895.1811650002301</v>
      </c>
      <c r="O26" s="527"/>
      <c r="P26" s="527"/>
      <c r="Q26" s="534">
        <v>-1313.9275600069516</v>
      </c>
      <c r="R26" s="535">
        <v>-1024.4558387758752</v>
      </c>
      <c r="S26" s="535">
        <v>-2590.1987860439294</v>
      </c>
      <c r="T26" s="527"/>
      <c r="U26" s="530" t="s">
        <v>2503</v>
      </c>
      <c r="V26" s="533"/>
      <c r="W26" s="533"/>
      <c r="X26" s="536"/>
      <c r="Z26" s="533"/>
      <c r="AA26" s="533"/>
      <c r="AB26" s="533"/>
      <c r="AC26" s="533"/>
      <c r="AD26" s="533"/>
      <c r="AE26" s="533"/>
      <c r="AG26" s="533"/>
      <c r="AH26" s="533"/>
      <c r="AI26" s="533"/>
      <c r="AJ26" s="533"/>
      <c r="AK26" s="533"/>
      <c r="AL26" s="533"/>
    </row>
    <row r="27" spans="1:41" x14ac:dyDescent="0.25">
      <c r="B27" s="530" t="s">
        <v>2679</v>
      </c>
      <c r="C27" s="533"/>
      <c r="D27" s="533"/>
      <c r="E27" s="533">
        <v>6562</v>
      </c>
      <c r="F27" s="533">
        <v>6562</v>
      </c>
      <c r="G27" s="533"/>
      <c r="H27" s="533"/>
      <c r="I27" s="533"/>
      <c r="J27" s="533"/>
      <c r="K27" s="533">
        <v>6562</v>
      </c>
      <c r="L27" s="534">
        <v>6562</v>
      </c>
      <c r="M27" s="535">
        <v>6562</v>
      </c>
      <c r="N27" s="535">
        <v>6562</v>
      </c>
      <c r="O27" s="527"/>
      <c r="P27" s="527"/>
      <c r="Q27" s="534">
        <v>3700</v>
      </c>
      <c r="R27" s="535">
        <v>3700</v>
      </c>
      <c r="S27" s="535">
        <v>3700</v>
      </c>
      <c r="T27" s="527"/>
      <c r="U27" s="530" t="s">
        <v>2679</v>
      </c>
      <c r="V27" s="533"/>
      <c r="W27" s="533"/>
      <c r="X27" s="536"/>
      <c r="Z27" s="533"/>
      <c r="AA27" s="533"/>
      <c r="AB27" s="533"/>
      <c r="AC27" s="533"/>
      <c r="AD27" s="533"/>
      <c r="AE27" s="533"/>
      <c r="AG27" s="533"/>
      <c r="AH27" s="533"/>
      <c r="AI27" s="533"/>
      <c r="AJ27" s="533"/>
      <c r="AK27" s="533"/>
      <c r="AL27" s="533"/>
    </row>
    <row r="28" spans="1:41" x14ac:dyDescent="0.25">
      <c r="B28" s="530" t="s">
        <v>2680</v>
      </c>
      <c r="C28" s="533"/>
      <c r="D28" s="533"/>
      <c r="E28" s="533">
        <v>3150.002720016776</v>
      </c>
      <c r="F28" s="533">
        <v>2792.1974983315226</v>
      </c>
      <c r="G28" s="533"/>
      <c r="H28" s="533"/>
      <c r="I28" s="533"/>
      <c r="J28" s="533"/>
      <c r="K28" s="533">
        <v>2404.3092598840522</v>
      </c>
      <c r="L28" s="534">
        <v>4464.9272243376226</v>
      </c>
      <c r="M28" s="535">
        <v>5884.555121207517</v>
      </c>
      <c r="N28" s="535">
        <v>3666.8188349997699</v>
      </c>
      <c r="O28" s="527"/>
      <c r="P28" s="527"/>
      <c r="Q28" s="534">
        <v>2386.0724399930486</v>
      </c>
      <c r="R28" s="535">
        <v>2675.5441612241248</v>
      </c>
      <c r="S28" s="535">
        <v>1109.8012139560706</v>
      </c>
      <c r="T28" s="527"/>
      <c r="U28" s="530" t="s">
        <v>2680</v>
      </c>
      <c r="V28" s="537"/>
      <c r="W28" s="537"/>
      <c r="X28" s="537"/>
    </row>
    <row r="30" spans="1:41" x14ac:dyDescent="0.25">
      <c r="A30" s="68" t="s">
        <v>2681</v>
      </c>
      <c r="B30" t="s">
        <v>2503</v>
      </c>
      <c r="C30" s="538">
        <v>-901.3633634444185</v>
      </c>
      <c r="D30" s="538">
        <v>-1809.0695575630548</v>
      </c>
      <c r="E30" s="538">
        <v>-3248.8278355877042</v>
      </c>
      <c r="F30" s="538">
        <v>-4167.2187840699917</v>
      </c>
      <c r="G30" s="538"/>
      <c r="H30" s="538"/>
      <c r="I30" s="538"/>
      <c r="J30" s="538"/>
      <c r="K30" s="538"/>
    </row>
    <row r="31" spans="1:41" x14ac:dyDescent="0.25">
      <c r="B31" t="s">
        <v>2392</v>
      </c>
      <c r="C31" s="106">
        <v>-860.86812919890838</v>
      </c>
      <c r="D31" s="106">
        <v>-1212.5844725971474</v>
      </c>
      <c r="E31" s="106">
        <v>-1986.7303504372239</v>
      </c>
      <c r="F31" s="106">
        <v>-1858.1610635354766</v>
      </c>
      <c r="G31" s="106"/>
      <c r="H31" s="106"/>
      <c r="I31" s="106"/>
      <c r="J31" s="106"/>
      <c r="K31" s="106"/>
      <c r="L31" s="265" t="e">
        <v>#REF!</v>
      </c>
      <c r="M31" s="106" t="e">
        <v>#REF!</v>
      </c>
      <c r="N31" s="106">
        <v>0</v>
      </c>
      <c r="Q31" s="265">
        <v>-2170.5206815693668</v>
      </c>
      <c r="R31" s="106">
        <v>-1755.9173072905789</v>
      </c>
      <c r="S31" s="106">
        <v>0</v>
      </c>
    </row>
    <row r="32" spans="1:41" x14ac:dyDescent="0.25">
      <c r="C32" t="s">
        <v>2682</v>
      </c>
      <c r="E32" s="106">
        <v>-1755.9173072905789</v>
      </c>
      <c r="L32" s="38" t="s">
        <v>2683</v>
      </c>
      <c r="M32" s="38"/>
      <c r="N32" s="38"/>
      <c r="Q32" s="38" t="s">
        <v>2683</v>
      </c>
      <c r="R32" s="38"/>
      <c r="S32" s="38"/>
    </row>
    <row r="33" spans="2:30" x14ac:dyDescent="0.25">
      <c r="B33" t="s">
        <v>23</v>
      </c>
      <c r="C33" s="538">
        <v>-40.495234245510119</v>
      </c>
      <c r="D33" s="538">
        <v>-596.48508496590739</v>
      </c>
      <c r="E33" s="538">
        <v>-1262.0974851504802</v>
      </c>
      <c r="F33" s="538">
        <v>-2309.0577205345153</v>
      </c>
      <c r="G33" s="538"/>
      <c r="H33" s="538"/>
      <c r="I33" s="538"/>
      <c r="J33" s="538"/>
      <c r="K33" s="538"/>
    </row>
    <row r="37" spans="2:30" x14ac:dyDescent="0.25">
      <c r="E37" s="539" t="s">
        <v>27</v>
      </c>
    </row>
    <row r="38" spans="2:30" x14ac:dyDescent="0.25">
      <c r="B38" t="s">
        <v>2691</v>
      </c>
      <c r="C38" t="s">
        <v>2692</v>
      </c>
      <c r="D38" t="s">
        <v>2693</v>
      </c>
      <c r="E38" t="s">
        <v>2694</v>
      </c>
      <c r="F38" t="s">
        <v>2579</v>
      </c>
      <c r="H38">
        <v>2005</v>
      </c>
      <c r="I38">
        <v>2010</v>
      </c>
      <c r="J38">
        <v>2015</v>
      </c>
      <c r="K38">
        <v>2020</v>
      </c>
      <c r="L38">
        <v>2025</v>
      </c>
      <c r="M38">
        <v>2030</v>
      </c>
      <c r="N38">
        <v>2035</v>
      </c>
      <c r="O38">
        <v>2040</v>
      </c>
      <c r="Q38">
        <v>2045</v>
      </c>
      <c r="R38">
        <v>2050</v>
      </c>
      <c r="S38" s="25" t="s">
        <v>26</v>
      </c>
      <c r="T38" s="25" t="s">
        <v>2695</v>
      </c>
      <c r="U38" s="540" t="s">
        <v>2684</v>
      </c>
      <c r="V38" s="540"/>
      <c r="W38" s="540"/>
      <c r="X38" s="540"/>
    </row>
    <row r="39" spans="2:30" x14ac:dyDescent="0.25">
      <c r="B39" s="541" t="s">
        <v>2696</v>
      </c>
      <c r="C39" s="541" t="s">
        <v>2697</v>
      </c>
      <c r="D39" s="541" t="s">
        <v>121</v>
      </c>
      <c r="E39" s="541" t="s">
        <v>2698</v>
      </c>
      <c r="F39" s="541" t="s">
        <v>2699</v>
      </c>
      <c r="G39" s="541"/>
      <c r="H39" s="542">
        <v>100.10173398266102</v>
      </c>
      <c r="I39" s="542">
        <v>86.89254893434304</v>
      </c>
      <c r="J39" s="542">
        <v>72.122946596022985</v>
      </c>
      <c r="K39" s="542">
        <v>57.500801449394089</v>
      </c>
      <c r="L39" s="543">
        <v>75.98123803376302</v>
      </c>
      <c r="M39" s="543">
        <v>73.486978543397072</v>
      </c>
      <c r="N39" s="544">
        <v>68.525062052338967</v>
      </c>
      <c r="O39" s="544">
        <v>69.226795520783071</v>
      </c>
      <c r="P39" s="544"/>
      <c r="Q39" s="544">
        <v>53.391723309929944</v>
      </c>
      <c r="R39" s="544">
        <v>55.149175590220011</v>
      </c>
      <c r="S39" s="106">
        <v>1</v>
      </c>
      <c r="T39" s="165">
        <v>1.8912593172521586E-2</v>
      </c>
      <c r="U39" s="106">
        <v>1.3640319473740874</v>
      </c>
      <c r="V39" s="165"/>
      <c r="W39" s="165"/>
      <c r="X39" s="165"/>
      <c r="Y39" s="544"/>
      <c r="Z39" s="106"/>
      <c r="AA39" s="106"/>
      <c r="AB39" s="106"/>
      <c r="AC39" s="106"/>
      <c r="AD39" s="106"/>
    </row>
    <row r="40" spans="2:30" x14ac:dyDescent="0.25">
      <c r="B40" s="541" t="s">
        <v>2696</v>
      </c>
      <c r="C40" s="541" t="s">
        <v>2697</v>
      </c>
      <c r="D40" s="541" t="s">
        <v>474</v>
      </c>
      <c r="E40" s="541" t="s">
        <v>2698</v>
      </c>
      <c r="F40" s="541" t="s">
        <v>2699</v>
      </c>
      <c r="G40" s="541"/>
      <c r="H40" s="542">
        <v>165.02824854862956</v>
      </c>
      <c r="I40" s="542">
        <v>191.32718504439981</v>
      </c>
      <c r="J40" s="542">
        <v>76.069076748719453</v>
      </c>
      <c r="K40" s="542">
        <v>151.76599784873997</v>
      </c>
      <c r="L40" s="543">
        <v>22.701654169650283</v>
      </c>
      <c r="M40" s="543">
        <v>120.14398087866994</v>
      </c>
      <c r="N40" s="544">
        <v>103.48524566791957</v>
      </c>
      <c r="O40" s="544">
        <v>213.65789134525994</v>
      </c>
      <c r="P40" s="544"/>
      <c r="Q40" s="544">
        <v>92.833885060919783</v>
      </c>
      <c r="R40" s="544">
        <v>194.76136166087008</v>
      </c>
      <c r="S40" s="106">
        <v>2</v>
      </c>
      <c r="T40" s="165">
        <v>0.57940632401184544</v>
      </c>
      <c r="U40" s="106">
        <v>44.074904129950482</v>
      </c>
      <c r="V40" s="165"/>
      <c r="W40" s="165"/>
      <c r="X40" s="165"/>
      <c r="Y40" s="544"/>
      <c r="Z40" s="106"/>
      <c r="AA40" s="106"/>
      <c r="AB40" s="106"/>
      <c r="AC40" s="106"/>
      <c r="AD40" s="106"/>
    </row>
    <row r="41" spans="2:30" x14ac:dyDescent="0.25">
      <c r="B41" s="541" t="s">
        <v>2696</v>
      </c>
      <c r="C41" s="541" t="s">
        <v>2697</v>
      </c>
      <c r="D41" s="541" t="s">
        <v>307</v>
      </c>
      <c r="E41" s="541" t="s">
        <v>2698</v>
      </c>
      <c r="F41" s="541" t="s">
        <v>2699</v>
      </c>
      <c r="G41" s="541"/>
      <c r="H41" s="542">
        <v>61.787278584468936</v>
      </c>
      <c r="I41" s="542">
        <v>51.19901529537799</v>
      </c>
      <c r="J41" s="542">
        <v>46.697185119766004</v>
      </c>
      <c r="K41" s="542">
        <v>35.830706165571996</v>
      </c>
      <c r="L41" s="543">
        <v>125.74382279743998</v>
      </c>
      <c r="M41" s="543">
        <v>89.902263888555012</v>
      </c>
      <c r="N41" s="544">
        <v>79.048526027311937</v>
      </c>
      <c r="O41" s="544">
        <v>66.550455041631039</v>
      </c>
      <c r="P41" s="544"/>
      <c r="Q41" s="544">
        <v>185.03769448048706</v>
      </c>
      <c r="R41" s="544">
        <v>142.09817943749505</v>
      </c>
      <c r="S41" s="106">
        <v>3</v>
      </c>
      <c r="T41" s="165">
        <v>0.92521805453539296</v>
      </c>
      <c r="U41" s="106">
        <v>43.205078768789008</v>
      </c>
      <c r="V41" s="165"/>
      <c r="W41" s="165"/>
      <c r="X41" s="165"/>
      <c r="Y41" s="544"/>
      <c r="Z41" s="106"/>
      <c r="AA41" s="106"/>
      <c r="AB41" s="106"/>
      <c r="AC41" s="106"/>
      <c r="AD41" s="106"/>
    </row>
    <row r="42" spans="2:30" x14ac:dyDescent="0.25">
      <c r="B42" s="541" t="s">
        <v>2696</v>
      </c>
      <c r="C42" s="541" t="s">
        <v>2697</v>
      </c>
      <c r="D42" s="541" t="s">
        <v>2700</v>
      </c>
      <c r="E42" s="541" t="s">
        <v>2698</v>
      </c>
      <c r="F42" s="541" t="s">
        <v>2699</v>
      </c>
      <c r="G42" s="541"/>
      <c r="H42" s="542">
        <v>131.54696133611199</v>
      </c>
      <c r="I42" s="542">
        <v>117.957567813081</v>
      </c>
      <c r="J42" s="542">
        <v>48.760171056408979</v>
      </c>
      <c r="K42" s="542">
        <v>72.696819005194982</v>
      </c>
      <c r="L42" s="543">
        <v>93.493642645287025</v>
      </c>
      <c r="M42" s="543">
        <v>130.473183832058</v>
      </c>
      <c r="N42" s="544">
        <v>134.74236758751101</v>
      </c>
      <c r="O42" s="544">
        <v>115.40286695793299</v>
      </c>
      <c r="P42" s="544"/>
      <c r="Q42" s="544">
        <v>102.50535417981092</v>
      </c>
      <c r="R42" s="544">
        <v>120.03086385400593</v>
      </c>
      <c r="S42" s="106">
        <v>4</v>
      </c>
      <c r="T42" s="165">
        <v>1.6758147275799757</v>
      </c>
      <c r="U42" s="106">
        <v>81.71301277564902</v>
      </c>
      <c r="V42" s="165"/>
      <c r="W42" s="165"/>
      <c r="X42" s="165"/>
      <c r="Y42" s="544"/>
      <c r="Z42" s="106"/>
      <c r="AA42" s="106"/>
      <c r="AB42" s="106"/>
      <c r="AC42" s="106"/>
      <c r="AD42" s="106"/>
    </row>
    <row r="43" spans="2:30" x14ac:dyDescent="0.25">
      <c r="B43" s="541" t="s">
        <v>2696</v>
      </c>
      <c r="C43" s="541" t="s">
        <v>2697</v>
      </c>
      <c r="D43" s="541" t="s">
        <v>107</v>
      </c>
      <c r="E43" s="541" t="s">
        <v>2698</v>
      </c>
      <c r="F43" s="541" t="s">
        <v>2699</v>
      </c>
      <c r="G43" s="541"/>
      <c r="H43" s="542">
        <v>1440.55983197144</v>
      </c>
      <c r="I43" s="542">
        <v>1519.54575059636</v>
      </c>
      <c r="J43" s="542">
        <v>912.22845307296006</v>
      </c>
      <c r="K43" s="542">
        <v>1040.7012804877099</v>
      </c>
      <c r="L43" s="543">
        <v>973.25177167360994</v>
      </c>
      <c r="M43" s="543">
        <v>344.71306576041002</v>
      </c>
      <c r="N43" s="544">
        <v>267.28550765890986</v>
      </c>
      <c r="O43" s="544">
        <v>378.37513705294009</v>
      </c>
      <c r="P43" s="544"/>
      <c r="Q43" s="544">
        <v>547.10997178458001</v>
      </c>
      <c r="R43" s="544">
        <v>389.58544792095017</v>
      </c>
      <c r="S43" s="106">
        <v>5</v>
      </c>
      <c r="T43" s="165">
        <v>-0.62211980496859165</v>
      </c>
      <c r="U43" s="106">
        <v>-567.51538731255005</v>
      </c>
      <c r="V43" s="165"/>
      <c r="W43" s="165"/>
      <c r="X43" s="165"/>
      <c r="Y43" s="544"/>
      <c r="Z43" s="106"/>
      <c r="AA43" s="106"/>
      <c r="AB43" s="106"/>
      <c r="AC43" s="106"/>
      <c r="AD43" s="106"/>
    </row>
    <row r="44" spans="2:30" x14ac:dyDescent="0.25">
      <c r="B44" s="541" t="s">
        <v>2696</v>
      </c>
      <c r="C44" s="541" t="s">
        <v>2697</v>
      </c>
      <c r="D44" s="541" t="s">
        <v>2701</v>
      </c>
      <c r="E44" s="541" t="s">
        <v>2698</v>
      </c>
      <c r="F44" s="541" t="s">
        <v>2699</v>
      </c>
      <c r="G44" s="541"/>
      <c r="H44" s="542">
        <v>218.6940719160699</v>
      </c>
      <c r="I44" s="542">
        <v>396.48691080047001</v>
      </c>
      <c r="J44" s="542">
        <v>387.39487781999992</v>
      </c>
      <c r="K44" s="542">
        <v>397.50450388288004</v>
      </c>
      <c r="L44" s="543">
        <v>1889.9944827730101</v>
      </c>
      <c r="M44" s="543">
        <v>1102.1866443627803</v>
      </c>
      <c r="N44" s="544">
        <v>1281.5226178755702</v>
      </c>
      <c r="O44" s="544">
        <v>1312.43353357877</v>
      </c>
      <c r="P44" s="544"/>
      <c r="Q44" s="544">
        <v>1315.9233062645101</v>
      </c>
      <c r="R44" s="544">
        <v>1348.4863577245799</v>
      </c>
      <c r="S44" s="106">
        <v>6</v>
      </c>
      <c r="T44" s="165">
        <v>1.8451244646422582</v>
      </c>
      <c r="U44" s="106">
        <v>714.79176654278035</v>
      </c>
      <c r="V44" s="165"/>
      <c r="W44" s="165"/>
      <c r="X44" s="165"/>
      <c r="Y44" s="544"/>
      <c r="Z44" s="106"/>
      <c r="AA44" s="106"/>
      <c r="AB44" s="106"/>
      <c r="AC44" s="106"/>
      <c r="AD44" s="106"/>
    </row>
    <row r="45" spans="2:30" x14ac:dyDescent="0.25">
      <c r="B45" s="541" t="s">
        <v>2696</v>
      </c>
      <c r="C45" s="541" t="s">
        <v>2697</v>
      </c>
      <c r="D45" s="541" t="s">
        <v>2702</v>
      </c>
      <c r="E45" s="541" t="s">
        <v>2698</v>
      </c>
      <c r="F45" s="541" t="s">
        <v>2699</v>
      </c>
      <c r="G45" s="541"/>
      <c r="H45" s="542">
        <v>5.2743200761830167</v>
      </c>
      <c r="I45" s="542">
        <v>0.35728077520502666</v>
      </c>
      <c r="J45" s="542">
        <v>4.9140288276889805</v>
      </c>
      <c r="K45" s="542">
        <v>0.73367283076004242</v>
      </c>
      <c r="L45" s="543">
        <v>6.503256707321043</v>
      </c>
      <c r="M45" s="543">
        <v>2.615734447100067</v>
      </c>
      <c r="N45" s="544">
        <v>7.9712180867310281</v>
      </c>
      <c r="O45" s="544">
        <v>4.6194390378200296</v>
      </c>
      <c r="P45" s="544"/>
      <c r="Q45" s="544">
        <v>10.232750988090061</v>
      </c>
      <c r="R45" s="544">
        <v>-0.77138287615309764</v>
      </c>
      <c r="S45" s="106">
        <v>7</v>
      </c>
      <c r="T45" s="165">
        <v>-0.46770063041526333</v>
      </c>
      <c r="U45" s="106">
        <v>-2.2982943805889136</v>
      </c>
      <c r="V45" s="165"/>
      <c r="W45" s="165"/>
      <c r="X45" s="165"/>
      <c r="Y45" s="544"/>
      <c r="Z45" s="106"/>
      <c r="AA45" s="106"/>
      <c r="AB45" s="106"/>
      <c r="AC45" s="106"/>
      <c r="AD45" s="106"/>
    </row>
    <row r="46" spans="2:30" x14ac:dyDescent="0.25">
      <c r="B46" s="541" t="s">
        <v>2696</v>
      </c>
      <c r="C46" s="541" t="s">
        <v>2697</v>
      </c>
      <c r="D46" s="541" t="s">
        <v>2703</v>
      </c>
      <c r="E46" s="541" t="s">
        <v>2698</v>
      </c>
      <c r="F46" s="541" t="s">
        <v>2699</v>
      </c>
      <c r="G46" s="541"/>
      <c r="H46" s="542">
        <v>572.25670082655006</v>
      </c>
      <c r="I46" s="542">
        <v>611.76619112223989</v>
      </c>
      <c r="J46" s="542">
        <v>333.41153150412003</v>
      </c>
      <c r="K46" s="542">
        <v>272.07491730476295</v>
      </c>
      <c r="L46" s="543">
        <v>1016.9952438844701</v>
      </c>
      <c r="M46" s="543">
        <v>1896.97128977837</v>
      </c>
      <c r="N46" s="544">
        <v>1700.6712983996299</v>
      </c>
      <c r="O46" s="544">
        <v>1610.3970667764299</v>
      </c>
      <c r="P46" s="544"/>
      <c r="Q46" s="544">
        <v>1484.5952201897699</v>
      </c>
      <c r="R46" s="544">
        <v>1355.4163260893499</v>
      </c>
      <c r="S46" s="106">
        <v>8</v>
      </c>
      <c r="T46" s="165">
        <v>4.689579125294677</v>
      </c>
      <c r="U46" s="106">
        <v>1563.5597582742498</v>
      </c>
      <c r="V46" s="165"/>
      <c r="W46" s="165"/>
      <c r="X46" s="165"/>
      <c r="Y46" s="544"/>
      <c r="Z46" s="159"/>
      <c r="AA46" s="159"/>
      <c r="AB46" s="159"/>
      <c r="AC46" s="159"/>
      <c r="AD46" s="159"/>
    </row>
    <row r="47" spans="2:30" x14ac:dyDescent="0.25">
      <c r="B47" s="541" t="s">
        <v>2696</v>
      </c>
      <c r="C47" s="541" t="s">
        <v>2697</v>
      </c>
      <c r="D47" s="541" t="s">
        <v>2704</v>
      </c>
      <c r="E47" s="541" t="s">
        <v>2698</v>
      </c>
      <c r="F47" s="541" t="s">
        <v>2699</v>
      </c>
      <c r="G47" s="541"/>
      <c r="H47" s="542">
        <v>388.30902531229594</v>
      </c>
      <c r="I47" s="542">
        <v>470.49490715486201</v>
      </c>
      <c r="J47" s="542">
        <v>409.81152856384597</v>
      </c>
      <c r="K47" s="542">
        <v>279.75991149873801</v>
      </c>
      <c r="L47" s="543">
        <v>414.01726327949996</v>
      </c>
      <c r="M47" s="543">
        <v>557.28740261748999</v>
      </c>
      <c r="N47" s="544">
        <v>533.39151916960009</v>
      </c>
      <c r="O47" s="544">
        <v>514.81991877845007</v>
      </c>
      <c r="P47" s="544"/>
      <c r="Q47" s="544">
        <v>784.0095659909</v>
      </c>
      <c r="R47" s="544">
        <v>590.78616853990002</v>
      </c>
      <c r="S47" s="106">
        <v>9</v>
      </c>
      <c r="T47" s="165">
        <v>0.35986267777888603</v>
      </c>
      <c r="U47" s="106">
        <v>147.47587405364402</v>
      </c>
      <c r="V47" s="165"/>
      <c r="W47" s="165"/>
      <c r="X47" s="165"/>
      <c r="Y47" s="544"/>
      <c r="Z47" s="106"/>
      <c r="AA47" s="106"/>
      <c r="AB47" s="106"/>
      <c r="AC47" s="106"/>
      <c r="AD47" s="106"/>
    </row>
    <row r="48" spans="2:30" x14ac:dyDescent="0.25">
      <c r="B48" s="541" t="s">
        <v>2696</v>
      </c>
      <c r="C48" s="541" t="s">
        <v>2697</v>
      </c>
      <c r="D48" s="541" t="s">
        <v>411</v>
      </c>
      <c r="E48" s="541" t="s">
        <v>2698</v>
      </c>
      <c r="F48" s="541" t="s">
        <v>2699</v>
      </c>
      <c r="G48" s="541"/>
      <c r="H48" s="542">
        <v>28.476006113825974</v>
      </c>
      <c r="I48" s="542">
        <v>9.0868111967049572</v>
      </c>
      <c r="J48" s="542">
        <v>28.609198949074994</v>
      </c>
      <c r="K48" s="542">
        <v>40.747779215568016</v>
      </c>
      <c r="L48" s="543">
        <v>52.639402594680973</v>
      </c>
      <c r="M48" s="543">
        <v>21.299148911490988</v>
      </c>
      <c r="N48" s="544">
        <v>28.021643373687994</v>
      </c>
      <c r="O48" s="544">
        <v>20.891561573160971</v>
      </c>
      <c r="P48" s="544"/>
      <c r="Q48" s="544">
        <v>31.053129630471062</v>
      </c>
      <c r="R48" s="544">
        <v>5.1115293531620409</v>
      </c>
      <c r="S48" s="106">
        <v>10</v>
      </c>
      <c r="T48" s="165">
        <v>-0.25551397124386654</v>
      </c>
      <c r="U48" s="106">
        <v>-7.3100500375840056</v>
      </c>
      <c r="V48" s="165"/>
      <c r="W48" s="165"/>
      <c r="X48" s="165"/>
      <c r="Y48" s="544"/>
      <c r="Z48" s="159"/>
      <c r="AA48" s="159"/>
      <c r="AB48" s="159"/>
      <c r="AC48" s="159"/>
      <c r="AD48" s="159"/>
    </row>
    <row r="49" spans="2:30" x14ac:dyDescent="0.25">
      <c r="B49" s="541" t="s">
        <v>2696</v>
      </c>
      <c r="C49" s="541" t="s">
        <v>2697</v>
      </c>
      <c r="D49" s="541" t="s">
        <v>2705</v>
      </c>
      <c r="E49" s="541" t="s">
        <v>2698</v>
      </c>
      <c r="F49" s="541" t="s">
        <v>2699</v>
      </c>
      <c r="G49" s="541"/>
      <c r="H49" s="542">
        <v>139.46846963617008</v>
      </c>
      <c r="I49" s="542">
        <v>109.82907566574022</v>
      </c>
      <c r="J49" s="542">
        <v>115.97287939397984</v>
      </c>
      <c r="K49" s="542">
        <v>96.772327897219839</v>
      </c>
      <c r="L49" s="543">
        <v>121.73129009637978</v>
      </c>
      <c r="M49" s="543">
        <v>113.31205935389016</v>
      </c>
      <c r="N49" s="544">
        <v>148.04420453368994</v>
      </c>
      <c r="O49" s="544">
        <v>137.3034384685302</v>
      </c>
      <c r="P49" s="544"/>
      <c r="Q49" s="544">
        <v>137.9386184427201</v>
      </c>
      <c r="R49" s="544">
        <v>131.34919002810989</v>
      </c>
      <c r="S49" s="106">
        <v>11</v>
      </c>
      <c r="T49" s="165">
        <v>-2.2943467938313478E-2</v>
      </c>
      <c r="U49" s="106">
        <v>-2.6608200400896749</v>
      </c>
      <c r="V49" s="165"/>
      <c r="W49" s="165"/>
      <c r="X49" s="165"/>
      <c r="Y49" s="544"/>
      <c r="Z49" s="106"/>
      <c r="AA49" s="106"/>
      <c r="AB49" s="106"/>
      <c r="AC49" s="106"/>
      <c r="AD49" s="106"/>
    </row>
    <row r="50" spans="2:30" x14ac:dyDescent="0.25">
      <c r="B50" s="541" t="s">
        <v>2696</v>
      </c>
      <c r="C50" s="541" t="s">
        <v>2697</v>
      </c>
      <c r="D50" s="541" t="s">
        <v>2706</v>
      </c>
      <c r="E50" s="541" t="s">
        <v>2698</v>
      </c>
      <c r="F50" s="541" t="s">
        <v>2699</v>
      </c>
      <c r="G50" s="541"/>
      <c r="H50" s="542">
        <v>58.774920771950065</v>
      </c>
      <c r="I50" s="542">
        <v>35.528144104230023</v>
      </c>
      <c r="J50" s="542">
        <v>35.101966049220209</v>
      </c>
      <c r="K50" s="542">
        <v>32.684123663399987</v>
      </c>
      <c r="L50" s="543">
        <v>39.641714359427965</v>
      </c>
      <c r="M50" s="543">
        <v>41.610785522089941</v>
      </c>
      <c r="N50" s="544">
        <v>61.302882514863995</v>
      </c>
      <c r="O50" s="544">
        <v>53.753516737174039</v>
      </c>
      <c r="P50" s="544"/>
      <c r="Q50" s="544">
        <v>41.37367974839799</v>
      </c>
      <c r="R50" s="544">
        <v>44.697166833778965</v>
      </c>
      <c r="S50" s="106">
        <v>12</v>
      </c>
      <c r="T50" s="165">
        <v>0.1854260659856779</v>
      </c>
      <c r="U50" s="106">
        <v>6.5088194728697317</v>
      </c>
      <c r="V50" s="165"/>
      <c r="W50" s="165"/>
      <c r="X50" s="165"/>
      <c r="Y50" s="544"/>
      <c r="Z50" s="159"/>
      <c r="AA50" s="159"/>
      <c r="AB50" s="159"/>
      <c r="AC50" s="159"/>
      <c r="AD50" s="159"/>
    </row>
    <row r="51" spans="2:30" x14ac:dyDescent="0.25">
      <c r="B51" s="541" t="s">
        <v>2696</v>
      </c>
      <c r="C51" s="541" t="s">
        <v>2697</v>
      </c>
      <c r="D51" s="541" t="s">
        <v>459</v>
      </c>
      <c r="E51" s="541" t="s">
        <v>2698</v>
      </c>
      <c r="F51" s="541" t="s">
        <v>2699</v>
      </c>
      <c r="G51" s="541"/>
      <c r="H51" s="542">
        <v>-2.3674504313040075</v>
      </c>
      <c r="I51" s="542">
        <v>-4.1049994284170452</v>
      </c>
      <c r="J51" s="542">
        <v>-7.1575787869599026</v>
      </c>
      <c r="K51" s="542">
        <v>-5.9155035148429533</v>
      </c>
      <c r="L51" s="543">
        <v>-4.4118152588680459</v>
      </c>
      <c r="M51" s="543">
        <v>-1.4696199785839781</v>
      </c>
      <c r="N51" s="544">
        <v>-7.535672520020853E-3</v>
      </c>
      <c r="O51" s="544">
        <v>-2.2972975787079122</v>
      </c>
      <c r="P51" s="544"/>
      <c r="Q51" s="544">
        <v>-3.7599558580050143</v>
      </c>
      <c r="R51" s="544">
        <v>0.45469661156903385</v>
      </c>
      <c r="S51" s="106">
        <v>13</v>
      </c>
      <c r="T51" s="165">
        <v>-0.79467638117216144</v>
      </c>
      <c r="U51" s="106">
        <v>5.6879588083759245</v>
      </c>
      <c r="V51" s="165"/>
      <c r="W51" s="165"/>
      <c r="X51" s="165"/>
      <c r="Y51" s="544"/>
      <c r="Z51" s="159"/>
      <c r="AA51" s="159"/>
      <c r="AB51" s="159"/>
      <c r="AC51" s="159"/>
      <c r="AD51" s="159"/>
    </row>
    <row r="52" spans="2:30" x14ac:dyDescent="0.25">
      <c r="B52" s="541" t="s">
        <v>2696</v>
      </c>
      <c r="C52" s="541" t="s">
        <v>2697</v>
      </c>
      <c r="D52" s="541" t="s">
        <v>469</v>
      </c>
      <c r="E52" s="541" t="s">
        <v>2698</v>
      </c>
      <c r="F52" s="541" t="s">
        <v>2699</v>
      </c>
      <c r="G52" s="541"/>
      <c r="H52" s="542">
        <v>62.095561184705048</v>
      </c>
      <c r="I52" s="542">
        <v>54.371368312221023</v>
      </c>
      <c r="J52" s="542">
        <v>64.414052655228033</v>
      </c>
      <c r="K52" s="542">
        <v>59.37196686763798</v>
      </c>
      <c r="L52" s="543">
        <v>66.026704000798986</v>
      </c>
      <c r="M52" s="543">
        <v>59.427791352311999</v>
      </c>
      <c r="N52" s="544">
        <v>66.111604151594975</v>
      </c>
      <c r="O52" s="544">
        <v>59.81300318173794</v>
      </c>
      <c r="P52" s="544"/>
      <c r="Q52" s="544">
        <v>66.336783843279022</v>
      </c>
      <c r="R52" s="544">
        <v>60.111828871582929</v>
      </c>
      <c r="S52" s="106">
        <v>14</v>
      </c>
      <c r="T52" s="165">
        <v>-7.740952629707476E-2</v>
      </c>
      <c r="U52" s="106">
        <v>-4.9862613029160343</v>
      </c>
      <c r="V52" s="165"/>
      <c r="W52" s="165"/>
      <c r="X52" s="165"/>
      <c r="Y52" s="544"/>
      <c r="Z52" s="106"/>
      <c r="AA52" s="106"/>
      <c r="AB52" s="106"/>
      <c r="AC52" s="106"/>
      <c r="AD52" s="106"/>
    </row>
    <row r="53" spans="2:30" x14ac:dyDescent="0.25">
      <c r="B53" s="541" t="s">
        <v>2696</v>
      </c>
      <c r="C53" s="541" t="s">
        <v>2697</v>
      </c>
      <c r="D53" s="541" t="s">
        <v>2707</v>
      </c>
      <c r="E53" s="541" t="s">
        <v>2698</v>
      </c>
      <c r="F53" s="541" t="s">
        <v>2699</v>
      </c>
      <c r="G53" s="541"/>
      <c r="H53" s="542">
        <v>5.0963944469890521</v>
      </c>
      <c r="I53" s="542">
        <v>-0.68584424589096216</v>
      </c>
      <c r="J53" s="542">
        <v>3.6620600741239286</v>
      </c>
      <c r="K53" s="542">
        <v>1.9246182455580083</v>
      </c>
      <c r="L53" s="543">
        <v>4.9489328254610427</v>
      </c>
      <c r="M53" s="543">
        <v>3.5391356066069193</v>
      </c>
      <c r="N53" s="544">
        <v>6.0913102846759557</v>
      </c>
      <c r="O53" s="544">
        <v>3.5522204181859252</v>
      </c>
      <c r="P53" s="544"/>
      <c r="Q53" s="544">
        <v>6.027585822329911</v>
      </c>
      <c r="R53" s="544">
        <v>-0.52955479175011533</v>
      </c>
      <c r="S53" s="106">
        <v>15</v>
      </c>
      <c r="T53" s="165">
        <v>-3.3567026490251228E-2</v>
      </c>
      <c r="U53" s="106">
        <v>-0.12292446751700936</v>
      </c>
      <c r="V53" s="165"/>
      <c r="W53" s="165"/>
      <c r="X53" s="165"/>
      <c r="Y53" s="544"/>
      <c r="Z53" s="106"/>
      <c r="AA53" s="106"/>
      <c r="AB53" s="106"/>
      <c r="AC53" s="106"/>
      <c r="AD53" s="106"/>
    </row>
    <row r="54" spans="2:30" x14ac:dyDescent="0.25">
      <c r="B54" s="541" t="s">
        <v>2696</v>
      </c>
      <c r="C54" s="541" t="s">
        <v>2697</v>
      </c>
      <c r="D54" s="541" t="s">
        <v>2708</v>
      </c>
      <c r="E54" s="541" t="s">
        <v>2698</v>
      </c>
      <c r="F54" s="541" t="s">
        <v>2699</v>
      </c>
      <c r="G54" s="541"/>
      <c r="H54" s="542">
        <v>195.02120404819016</v>
      </c>
      <c r="I54" s="542">
        <v>204.43752254648007</v>
      </c>
      <c r="J54" s="542">
        <v>179.32949865770024</v>
      </c>
      <c r="K54" s="542">
        <v>212.91026403612022</v>
      </c>
      <c r="L54" s="543">
        <v>150.34163144688</v>
      </c>
      <c r="M54" s="543">
        <v>199.83179069585003</v>
      </c>
      <c r="N54" s="544">
        <v>176.54317343720004</v>
      </c>
      <c r="O54" s="544">
        <v>248.90805194494988</v>
      </c>
      <c r="P54" s="544"/>
      <c r="Q54" s="544">
        <v>170.10834694998994</v>
      </c>
      <c r="R54" s="544">
        <v>255.5948260299001</v>
      </c>
      <c r="S54" s="106">
        <v>16</v>
      </c>
      <c r="T54" s="165">
        <v>0.11432749319889668</v>
      </c>
      <c r="U54" s="106">
        <v>20.50229203814979</v>
      </c>
      <c r="V54" s="165"/>
      <c r="W54" s="165"/>
      <c r="X54" s="165"/>
      <c r="Y54" s="544"/>
      <c r="Z54" s="106"/>
      <c r="AA54" s="106"/>
      <c r="AB54" s="106"/>
      <c r="AC54" s="106"/>
      <c r="AD54" s="106"/>
    </row>
    <row r="55" spans="2:30" x14ac:dyDescent="0.25">
      <c r="B55" s="541" t="s">
        <v>2696</v>
      </c>
      <c r="C55" s="541" t="s">
        <v>2697</v>
      </c>
      <c r="D55" s="541" t="s">
        <v>2709</v>
      </c>
      <c r="E55" s="541" t="s">
        <v>2698</v>
      </c>
      <c r="F55" s="541" t="s">
        <v>2699</v>
      </c>
      <c r="G55" s="541"/>
      <c r="H55" s="542">
        <v>3.6474376333701457</v>
      </c>
      <c r="I55" s="542">
        <v>1.4593051060796824</v>
      </c>
      <c r="J55" s="542">
        <v>5.8673164815199925</v>
      </c>
      <c r="K55" s="542">
        <v>3.3551523903101952</v>
      </c>
      <c r="L55" s="543">
        <v>6.0482978575701054</v>
      </c>
      <c r="M55" s="543">
        <v>6.3178444141803993</v>
      </c>
      <c r="N55" s="544">
        <v>6.9411066032203053</v>
      </c>
      <c r="O55" s="544">
        <v>6.6667483713204092</v>
      </c>
      <c r="P55" s="544"/>
      <c r="Q55" s="544">
        <v>6.9466256319797139</v>
      </c>
      <c r="R55" s="544">
        <v>5.9993471295797463</v>
      </c>
      <c r="S55" s="106">
        <v>17</v>
      </c>
      <c r="T55" s="165">
        <v>7.6786028856533184E-2</v>
      </c>
      <c r="U55" s="106">
        <v>0.4505279326604068</v>
      </c>
      <c r="V55" s="165"/>
      <c r="W55" s="165"/>
      <c r="X55" s="165"/>
      <c r="Y55" s="544"/>
      <c r="Z55" s="159"/>
      <c r="AA55" s="159"/>
      <c r="AB55" s="159"/>
      <c r="AC55" s="159"/>
      <c r="AD55" s="159"/>
    </row>
    <row r="56" spans="2:30" x14ac:dyDescent="0.25">
      <c r="B56" s="541" t="s">
        <v>2696</v>
      </c>
      <c r="C56" s="541" t="s">
        <v>2697</v>
      </c>
      <c r="D56" s="541" t="s">
        <v>231</v>
      </c>
      <c r="E56" s="541" t="s">
        <v>2698</v>
      </c>
      <c r="F56" s="541" t="s">
        <v>2699</v>
      </c>
      <c r="G56" s="541"/>
      <c r="H56" s="542">
        <v>123.72720615022013</v>
      </c>
      <c r="I56" s="542">
        <v>77.836205973009783</v>
      </c>
      <c r="J56" s="542">
        <v>93.506397827929959</v>
      </c>
      <c r="K56" s="542">
        <v>58.587550487799945</v>
      </c>
      <c r="L56" s="543">
        <v>88.22283846199025</v>
      </c>
      <c r="M56" s="543">
        <v>37.68466637371057</v>
      </c>
      <c r="N56" s="544">
        <v>27.375474819289593</v>
      </c>
      <c r="O56" s="544">
        <v>-33.098211954989893</v>
      </c>
      <c r="P56" s="544"/>
      <c r="Q56" s="544">
        <v>-66.973817878630143</v>
      </c>
      <c r="R56" s="544">
        <v>-77.785031917580454</v>
      </c>
      <c r="S56" s="106">
        <v>18</v>
      </c>
      <c r="T56" s="165">
        <v>-0.59698301668023057</v>
      </c>
      <c r="U56" s="106">
        <v>-55.821731454219389</v>
      </c>
      <c r="V56" s="165"/>
      <c r="W56" s="165"/>
      <c r="X56" s="165"/>
      <c r="Y56" s="544"/>
      <c r="Z56" s="106"/>
      <c r="AA56" s="106"/>
      <c r="AB56" s="106"/>
      <c r="AC56" s="106"/>
      <c r="AD56" s="106"/>
    </row>
    <row r="57" spans="2:30" x14ac:dyDescent="0.25">
      <c r="B57" s="541" t="s">
        <v>2696</v>
      </c>
      <c r="C57" s="541" t="s">
        <v>2697</v>
      </c>
      <c r="D57" s="541" t="s">
        <v>2710</v>
      </c>
      <c r="E57" s="541" t="s">
        <v>2698</v>
      </c>
      <c r="F57" s="541" t="s">
        <v>2699</v>
      </c>
      <c r="G57" s="541"/>
      <c r="H57" s="542">
        <v>-8.5418776637230849</v>
      </c>
      <c r="I57" s="542">
        <v>-8.5225899544939239</v>
      </c>
      <c r="J57" s="542">
        <v>-10.384812253195037</v>
      </c>
      <c r="K57" s="542">
        <v>-14.238194099810926</v>
      </c>
      <c r="L57" s="543">
        <v>-12.932481315731025</v>
      </c>
      <c r="M57" s="543">
        <v>-12.086680010168948</v>
      </c>
      <c r="N57" s="544">
        <v>-9.7139815971840449</v>
      </c>
      <c r="O57" s="544">
        <v>-10.064583562258974</v>
      </c>
      <c r="P57" s="544"/>
      <c r="Q57" s="544">
        <v>-9.5398361236640312</v>
      </c>
      <c r="R57" s="544">
        <v>-10.70404352976999</v>
      </c>
      <c r="S57" s="106">
        <v>19</v>
      </c>
      <c r="T57" s="165">
        <v>0.16388045498370052</v>
      </c>
      <c r="U57" s="106">
        <v>-1.7018677569739111</v>
      </c>
      <c r="V57" s="165"/>
      <c r="W57" s="165"/>
      <c r="X57" s="165"/>
      <c r="Y57" s="544"/>
      <c r="Z57" s="106"/>
      <c r="AA57" s="106"/>
      <c r="AB57" s="106"/>
      <c r="AC57" s="106"/>
      <c r="AD57" s="106"/>
    </row>
    <row r="58" spans="2:30" x14ac:dyDescent="0.25">
      <c r="B58" s="541" t="s">
        <v>2696</v>
      </c>
      <c r="C58" s="541" t="s">
        <v>2697</v>
      </c>
      <c r="D58" s="541" t="s">
        <v>133</v>
      </c>
      <c r="E58" s="541" t="s">
        <v>2698</v>
      </c>
      <c r="F58" s="541" t="s">
        <v>2699</v>
      </c>
      <c r="G58" s="541"/>
      <c r="H58" s="542">
        <v>253.59736129197972</v>
      </c>
      <c r="I58" s="542">
        <v>198.48006794719913</v>
      </c>
      <c r="J58" s="542">
        <v>139.86737457299932</v>
      </c>
      <c r="K58" s="542">
        <v>125.75394970930029</v>
      </c>
      <c r="L58" s="543">
        <v>42.762649372099986</v>
      </c>
      <c r="M58" s="543">
        <v>5.1330664069992054</v>
      </c>
      <c r="N58" s="544">
        <v>-426.5084279292987</v>
      </c>
      <c r="O58" s="544">
        <v>-403.79333815790051</v>
      </c>
      <c r="P58" s="544"/>
      <c r="Q58" s="544">
        <v>-468.89670089250103</v>
      </c>
      <c r="R58" s="544">
        <v>-370.31597450119989</v>
      </c>
      <c r="S58" s="106">
        <v>20</v>
      </c>
      <c r="T58" s="165">
        <v>-0.96330047359028559</v>
      </c>
      <c r="U58" s="106">
        <v>-134.73430816600012</v>
      </c>
      <c r="V58" s="165"/>
      <c r="W58" s="165"/>
      <c r="X58" s="165"/>
      <c r="Y58" s="544"/>
      <c r="Z58" s="106"/>
      <c r="AA58" s="106"/>
      <c r="AB58" s="106"/>
      <c r="AC58" s="106"/>
      <c r="AD58" s="106"/>
    </row>
    <row r="59" spans="2:30" x14ac:dyDescent="0.25">
      <c r="B59" s="541" t="s">
        <v>2696</v>
      </c>
      <c r="C59" s="541" t="s">
        <v>2697</v>
      </c>
      <c r="D59" s="541" t="s">
        <v>2711</v>
      </c>
      <c r="E59" s="541" t="s">
        <v>2698</v>
      </c>
      <c r="F59" s="541" t="s">
        <v>2699</v>
      </c>
      <c r="G59" s="541"/>
      <c r="H59" s="542">
        <v>407.3224182179199</v>
      </c>
      <c r="I59" s="542">
        <v>594.73142212695006</v>
      </c>
      <c r="J59" s="542">
        <v>623.41719443481998</v>
      </c>
      <c r="K59" s="542">
        <v>638.52020862109998</v>
      </c>
      <c r="L59" s="543">
        <v>403.92452648944982</v>
      </c>
      <c r="M59" s="543">
        <v>509.19256485969004</v>
      </c>
      <c r="N59" s="544">
        <v>635.53079921281005</v>
      </c>
      <c r="O59" s="544">
        <v>631.38569099834012</v>
      </c>
      <c r="P59" s="544"/>
      <c r="Q59" s="544">
        <v>446.87281831769997</v>
      </c>
      <c r="R59" s="544">
        <v>348.15441910588015</v>
      </c>
      <c r="S59" s="106">
        <v>21</v>
      </c>
      <c r="T59" s="165">
        <v>-0.18322341859480495</v>
      </c>
      <c r="U59" s="106">
        <v>-114.22462957512994</v>
      </c>
      <c r="V59" s="165"/>
      <c r="W59" s="165"/>
      <c r="X59" s="165"/>
      <c r="Y59" s="544"/>
      <c r="Z59" s="106"/>
      <c r="AA59" s="106"/>
      <c r="AB59" s="106"/>
      <c r="AC59" s="106"/>
      <c r="AD59" s="106"/>
    </row>
    <row r="60" spans="2:30" x14ac:dyDescent="0.25">
      <c r="B60" s="541" t="s">
        <v>2696</v>
      </c>
      <c r="C60" s="541" t="s">
        <v>2697</v>
      </c>
      <c r="D60" s="541" t="s">
        <v>233</v>
      </c>
      <c r="E60" s="541" t="s">
        <v>2698</v>
      </c>
      <c r="F60" s="541" t="s">
        <v>2699</v>
      </c>
      <c r="G60" s="541"/>
      <c r="H60" s="542">
        <v>1194.10548580765</v>
      </c>
      <c r="I60" s="542">
        <v>1273.22771674756</v>
      </c>
      <c r="J60" s="542">
        <v>954.73095671665988</v>
      </c>
      <c r="K60" s="542">
        <v>838.56213019662982</v>
      </c>
      <c r="L60" s="543">
        <v>681.5107135248702</v>
      </c>
      <c r="M60" s="543">
        <v>505.71746374699001</v>
      </c>
      <c r="N60" s="544">
        <v>456.36150680676974</v>
      </c>
      <c r="O60" s="544">
        <v>581.86876499521009</v>
      </c>
      <c r="P60" s="544"/>
      <c r="Q60" s="544">
        <v>620.85162518361994</v>
      </c>
      <c r="R60" s="544">
        <v>577.91828408768993</v>
      </c>
      <c r="S60" s="106">
        <v>22</v>
      </c>
      <c r="T60" s="165">
        <v>-0.4703036911192624</v>
      </c>
      <c r="U60" s="106">
        <v>-449.01349296966987</v>
      </c>
      <c r="V60" s="165"/>
      <c r="W60" s="165"/>
      <c r="X60" s="165"/>
      <c r="Y60" s="544"/>
      <c r="Z60" s="159"/>
      <c r="AA60" s="159"/>
      <c r="AB60" s="159"/>
      <c r="AC60" s="159"/>
      <c r="AD60" s="159"/>
    </row>
    <row r="61" spans="2:30" x14ac:dyDescent="0.25">
      <c r="B61" s="541" t="s">
        <v>2696</v>
      </c>
      <c r="C61" s="541" t="s">
        <v>2697</v>
      </c>
      <c r="D61" s="541" t="s">
        <v>247</v>
      </c>
      <c r="E61" s="541" t="s">
        <v>2698</v>
      </c>
      <c r="F61" s="541" t="s">
        <v>2699</v>
      </c>
      <c r="G61" s="541"/>
      <c r="H61" s="542">
        <v>1.1752577866100182</v>
      </c>
      <c r="I61" s="542">
        <v>-13.820395474879888</v>
      </c>
      <c r="J61" s="542">
        <v>-12.6539955021899</v>
      </c>
      <c r="K61" s="542">
        <v>-25.051070301009986</v>
      </c>
      <c r="L61" s="543">
        <v>-23.661717710559969</v>
      </c>
      <c r="M61" s="543">
        <v>-34.45782504492297</v>
      </c>
      <c r="N61" s="544">
        <v>-19.719453263253058</v>
      </c>
      <c r="O61" s="544">
        <v>-26.344364705696989</v>
      </c>
      <c r="P61" s="544"/>
      <c r="Q61" s="544">
        <v>-17.686149292169944</v>
      </c>
      <c r="R61" s="544">
        <v>-36.055281533206994</v>
      </c>
      <c r="S61" s="106">
        <v>23</v>
      </c>
      <c r="T61" s="165">
        <v>1.7230786544028485</v>
      </c>
      <c r="U61" s="106">
        <v>-21.80382954273307</v>
      </c>
      <c r="V61" s="165"/>
      <c r="W61" s="165"/>
      <c r="X61" s="165"/>
      <c r="Y61" s="544"/>
      <c r="Z61" s="106"/>
      <c r="AA61" s="106"/>
      <c r="AB61" s="106"/>
      <c r="AC61" s="106"/>
      <c r="AD61" s="106"/>
    </row>
    <row r="62" spans="2:30" x14ac:dyDescent="0.25">
      <c r="B62" s="541" t="s">
        <v>2696</v>
      </c>
      <c r="C62" s="541" t="s">
        <v>2697</v>
      </c>
      <c r="D62" s="541" t="s">
        <v>955</v>
      </c>
      <c r="E62" s="541" t="s">
        <v>2698</v>
      </c>
      <c r="F62" s="541" t="s">
        <v>2699</v>
      </c>
      <c r="G62" s="541"/>
      <c r="H62" s="542">
        <v>26.078853279646978</v>
      </c>
      <c r="I62" s="542">
        <v>37.390322597174077</v>
      </c>
      <c r="J62" s="542">
        <v>-0.83023308557903874</v>
      </c>
      <c r="K62" s="542">
        <v>51.19737717602095</v>
      </c>
      <c r="L62" s="543">
        <v>79.475854103797019</v>
      </c>
      <c r="M62" s="543">
        <v>-10.323842287214006</v>
      </c>
      <c r="N62" s="544">
        <v>19.885587086264991</v>
      </c>
      <c r="O62" s="544">
        <v>42.597646742652955</v>
      </c>
      <c r="P62" s="544"/>
      <c r="Q62" s="544">
        <v>261.80088317832701</v>
      </c>
      <c r="R62" s="544">
        <v>124.32028099450804</v>
      </c>
      <c r="S62" s="106">
        <v>24</v>
      </c>
      <c r="T62" s="165">
        <v>11.434872166066151</v>
      </c>
      <c r="U62" s="106">
        <v>-9.4936092016349676</v>
      </c>
      <c r="V62" s="165"/>
      <c r="W62" s="165"/>
      <c r="X62" s="165"/>
      <c r="Y62" s="544"/>
      <c r="Z62" s="106"/>
      <c r="AA62" s="106"/>
      <c r="AB62" s="106"/>
      <c r="AC62" s="106"/>
      <c r="AD62" s="106"/>
    </row>
    <row r="63" spans="2:30" x14ac:dyDescent="0.25">
      <c r="B63" s="541" t="s">
        <v>2696</v>
      </c>
      <c r="C63" s="541" t="s">
        <v>2697</v>
      </c>
      <c r="D63" s="541" t="s">
        <v>2712</v>
      </c>
      <c r="E63" s="541" t="s">
        <v>2698</v>
      </c>
      <c r="F63" s="541" t="s">
        <v>2699</v>
      </c>
      <c r="G63" s="541"/>
      <c r="H63" s="542">
        <v>32.467384962281926</v>
      </c>
      <c r="I63" s="542">
        <v>25.081994801467999</v>
      </c>
      <c r="J63" s="542">
        <v>18.673557816140942</v>
      </c>
      <c r="K63" s="542">
        <v>15.561438656753012</v>
      </c>
      <c r="L63" s="543">
        <v>28.675201924653948</v>
      </c>
      <c r="M63" s="543">
        <v>14.810123553879976</v>
      </c>
      <c r="N63" s="544">
        <v>35.334050737850021</v>
      </c>
      <c r="O63" s="544">
        <v>37.521459782039983</v>
      </c>
      <c r="P63" s="544"/>
      <c r="Q63" s="544">
        <v>42.221574141959991</v>
      </c>
      <c r="R63" s="544">
        <v>18.258166269089998</v>
      </c>
      <c r="S63" s="106">
        <v>25</v>
      </c>
      <c r="T63" s="165">
        <v>-0.20689331408080758</v>
      </c>
      <c r="U63" s="106">
        <v>-3.8634342622609665</v>
      </c>
      <c r="V63" s="165"/>
      <c r="W63" s="165"/>
      <c r="X63" s="165"/>
      <c r="Y63" s="544"/>
      <c r="Z63" s="106"/>
      <c r="AA63" s="106"/>
      <c r="AB63" s="106"/>
      <c r="AC63" s="106"/>
      <c r="AD63" s="106"/>
    </row>
    <row r="64" spans="2:30" x14ac:dyDescent="0.25">
      <c r="B64" s="541" t="s">
        <v>2696</v>
      </c>
      <c r="C64" s="541" t="s">
        <v>2697</v>
      </c>
      <c r="D64" s="541" t="s">
        <v>2713</v>
      </c>
      <c r="E64" s="541" t="s">
        <v>2698</v>
      </c>
      <c r="F64" s="541" t="s">
        <v>2699</v>
      </c>
      <c r="G64" s="541"/>
      <c r="H64" s="542">
        <v>172.18723725836199</v>
      </c>
      <c r="I64" s="542">
        <v>214.54738489338999</v>
      </c>
      <c r="J64" s="542">
        <v>312.95346212934101</v>
      </c>
      <c r="K64" s="542">
        <v>302.58279590821894</v>
      </c>
      <c r="L64" s="543">
        <v>518.778988727767</v>
      </c>
      <c r="M64" s="543">
        <v>384.17630300858008</v>
      </c>
      <c r="N64" s="544">
        <v>368.01230076542197</v>
      </c>
      <c r="O64" s="544">
        <v>479.73214635613004</v>
      </c>
      <c r="P64" s="544"/>
      <c r="Q64" s="544">
        <v>497.22988624605398</v>
      </c>
      <c r="R64" s="544">
        <v>824.58718325991003</v>
      </c>
      <c r="S64" s="106">
        <v>26</v>
      </c>
      <c r="T64" s="165">
        <v>0.22758285016129109</v>
      </c>
      <c r="U64" s="106">
        <v>71.222840879239072</v>
      </c>
      <c r="V64" s="165"/>
      <c r="W64" s="165"/>
      <c r="X64" s="165"/>
      <c r="Y64" s="544"/>
      <c r="Z64" s="106"/>
      <c r="AA64" s="106"/>
      <c r="AB64" s="106"/>
      <c r="AC64" s="106"/>
      <c r="AD64" s="106"/>
    </row>
    <row r="65" spans="2:30" x14ac:dyDescent="0.25">
      <c r="B65" s="541" t="s">
        <v>2696</v>
      </c>
      <c r="C65" s="541" t="s">
        <v>2697</v>
      </c>
      <c r="D65" s="541" t="s">
        <v>2714</v>
      </c>
      <c r="E65" s="541" t="s">
        <v>2698</v>
      </c>
      <c r="F65" s="541" t="s">
        <v>2699</v>
      </c>
      <c r="G65" s="541"/>
      <c r="H65" s="542">
        <v>5775.8901249749033</v>
      </c>
      <c r="I65" s="542">
        <v>6254.9005222379055</v>
      </c>
      <c r="J65" s="542">
        <v>4836.4890868326984</v>
      </c>
      <c r="K65" s="542">
        <v>4741.895724714901</v>
      </c>
      <c r="L65" s="543">
        <v>6862.4047799643013</v>
      </c>
      <c r="M65" s="543">
        <v>6161.4955883668008</v>
      </c>
      <c r="N65" s="544">
        <v>5756.2490016178999</v>
      </c>
      <c r="O65" s="544">
        <v>6113.8805344149005</v>
      </c>
      <c r="P65" s="544"/>
      <c r="Q65" s="544">
        <v>6337.5449287462034</v>
      </c>
      <c r="R65" s="544">
        <v>6096.710188007004</v>
      </c>
      <c r="S65" s="106">
        <v>27</v>
      </c>
      <c r="T65" s="165">
        <v>0.27396040345494033</v>
      </c>
      <c r="U65" s="106">
        <v>1325.0065015341024</v>
      </c>
      <c r="V65" s="165"/>
      <c r="W65" s="165"/>
      <c r="X65" s="165"/>
      <c r="Y65" s="544"/>
      <c r="Z65" s="106"/>
      <c r="AA65" s="106"/>
      <c r="AB65" s="106"/>
      <c r="AC65" s="106"/>
      <c r="AD65" s="106"/>
    </row>
    <row r="66" spans="2:30" x14ac:dyDescent="0.25">
      <c r="T66" s="165" t="e">
        <v>#DIV/0!</v>
      </c>
      <c r="U66" s="106">
        <v>0</v>
      </c>
      <c r="V66" s="165"/>
      <c r="W66" s="165"/>
      <c r="X66" s="165"/>
    </row>
    <row r="67" spans="2:30" x14ac:dyDescent="0.25">
      <c r="E67" t="s">
        <v>2685</v>
      </c>
      <c r="H67" s="545">
        <v>1191.053660622089</v>
      </c>
      <c r="I67" s="545">
        <v>1356.5748982798359</v>
      </c>
      <c r="J67" s="545">
        <v>954.58862332568185</v>
      </c>
      <c r="K67" s="545">
        <v>942.56491603138988</v>
      </c>
      <c r="L67" s="545">
        <v>3279.7631929851605</v>
      </c>
      <c r="M67" s="545">
        <v>3307.2524280517973</v>
      </c>
      <c r="N67" s="545">
        <v>3361.3548199492157</v>
      </c>
      <c r="O67" s="545">
        <v>3289.6834895042111</v>
      </c>
      <c r="P67" s="545"/>
      <c r="Q67" s="545">
        <v>3362.6279006951536</v>
      </c>
      <c r="R67" s="545">
        <v>3134.4355080161895</v>
      </c>
      <c r="S67" s="111"/>
      <c r="T67" s="165">
        <v>2.4645839550545796</v>
      </c>
      <c r="U67" s="106">
        <v>2352.6638047261154</v>
      </c>
      <c r="V67" s="165"/>
      <c r="W67" s="165"/>
      <c r="X67" s="165"/>
      <c r="Y67" s="111"/>
    </row>
    <row r="68" spans="2:30" x14ac:dyDescent="0.25">
      <c r="E68" t="s">
        <v>2392</v>
      </c>
      <c r="H68" s="545">
        <v>4584.8364643528148</v>
      </c>
      <c r="I68" s="545">
        <v>4898.3256239580696</v>
      </c>
      <c r="J68" s="545">
        <v>3881.9004635070164</v>
      </c>
      <c r="K68" s="545">
        <v>3799.3308086835113</v>
      </c>
      <c r="L68" s="545">
        <v>3582.6415869791408</v>
      </c>
      <c r="M68" s="545">
        <v>2854.2431603150035</v>
      </c>
      <c r="N68" s="545">
        <v>2394.8941816686843</v>
      </c>
      <c r="O68" s="545">
        <v>2824.1970449106893</v>
      </c>
      <c r="P68" s="545"/>
      <c r="Q68" s="545">
        <v>2974.9170280510498</v>
      </c>
      <c r="R68" s="545">
        <v>2962.2746799908145</v>
      </c>
    </row>
  </sheetData>
  <pageMargins left="0.7" right="0.7" top="0.75" bottom="0.75" header="0.3" footer="0.3"/>
  <pageSetup orientation="portrait" horizontalDpi="90" verticalDpi="90" r:id="rId1"/>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76239-6E19-4E24-88D3-2D9E609585CB}">
  <sheetPr>
    <tabColor theme="7" tint="0.59999389629810485"/>
  </sheetPr>
  <dimension ref="A1:AX244"/>
  <sheetViews>
    <sheetView workbookViewId="0"/>
  </sheetViews>
  <sheetFormatPr defaultColWidth="9.140625" defaultRowHeight="15" x14ac:dyDescent="0.25"/>
  <cols>
    <col min="1" max="1" width="25.140625" style="361" bestFit="1" customWidth="1"/>
    <col min="2" max="3" width="6.42578125" style="361" bestFit="1" customWidth="1"/>
    <col min="4" max="4" width="7.140625" style="361" bestFit="1" customWidth="1"/>
    <col min="5" max="5" width="11.5703125" style="361" bestFit="1" customWidth="1"/>
    <col min="6" max="6" width="12.5703125" style="361" bestFit="1" customWidth="1"/>
    <col min="7" max="37" width="9.140625" style="362"/>
    <col min="38" max="38" width="9.140625" style="363"/>
    <col min="39" max="16384" width="9.140625" style="362"/>
  </cols>
  <sheetData>
    <row r="1" spans="1:50" x14ac:dyDescent="0.25">
      <c r="A1" s="361" t="s">
        <v>2485</v>
      </c>
    </row>
    <row r="2" spans="1:50" x14ac:dyDescent="0.25">
      <c r="C2" s="362"/>
      <c r="D2" s="362"/>
      <c r="E2" s="362"/>
      <c r="F2" s="362"/>
      <c r="G2" s="362" t="s">
        <v>2486</v>
      </c>
    </row>
    <row r="3" spans="1:50" x14ac:dyDescent="0.25">
      <c r="A3" s="364" t="s">
        <v>2487</v>
      </c>
      <c r="C3" s="362"/>
      <c r="D3" s="362"/>
      <c r="E3" s="362"/>
      <c r="F3" s="362"/>
      <c r="AL3" s="363" t="s">
        <v>2488</v>
      </c>
    </row>
    <row r="4" spans="1:50" x14ac:dyDescent="0.25">
      <c r="A4" s="364" t="s">
        <v>2489</v>
      </c>
      <c r="C4" s="361" t="s">
        <v>2490</v>
      </c>
      <c r="G4" s="362" t="s">
        <v>2491</v>
      </c>
    </row>
    <row r="5" spans="1:50" x14ac:dyDescent="0.25">
      <c r="A5" s="365" t="s">
        <v>2492</v>
      </c>
      <c r="B5" s="365" t="s">
        <v>24</v>
      </c>
      <c r="C5" s="365" t="s">
        <v>2493</v>
      </c>
      <c r="D5" s="365" t="s">
        <v>25</v>
      </c>
      <c r="E5" s="365" t="s">
        <v>2494</v>
      </c>
      <c r="F5" s="365" t="s">
        <v>2495</v>
      </c>
      <c r="G5" s="366">
        <v>1990</v>
      </c>
      <c r="H5" s="366">
        <v>1991</v>
      </c>
      <c r="I5" s="366">
        <v>1992</v>
      </c>
      <c r="J5" s="366">
        <v>1993</v>
      </c>
      <c r="K5" s="366">
        <v>1994</v>
      </c>
      <c r="L5" s="366">
        <v>1995</v>
      </c>
      <c r="M5" s="366">
        <v>1996</v>
      </c>
      <c r="N5" s="366">
        <v>1997</v>
      </c>
      <c r="O5" s="366">
        <v>1998</v>
      </c>
      <c r="P5" s="366">
        <v>1999</v>
      </c>
      <c r="Q5" s="366">
        <v>2000</v>
      </c>
      <c r="R5" s="366">
        <v>2001</v>
      </c>
      <c r="S5" s="366">
        <v>2002</v>
      </c>
      <c r="T5" s="366">
        <v>2003</v>
      </c>
      <c r="U5" s="366">
        <v>2004</v>
      </c>
      <c r="V5" s="366">
        <v>2005</v>
      </c>
      <c r="W5" s="366">
        <v>2006</v>
      </c>
      <c r="X5" s="366">
        <v>2007</v>
      </c>
      <c r="Y5" s="366">
        <v>2008</v>
      </c>
      <c r="Z5" s="366">
        <v>2009</v>
      </c>
      <c r="AA5" s="366">
        <v>2010</v>
      </c>
      <c r="AB5" s="366">
        <v>2011</v>
      </c>
      <c r="AC5" s="366">
        <v>2012</v>
      </c>
      <c r="AD5" s="366">
        <v>2013</v>
      </c>
      <c r="AE5" s="366">
        <v>2014</v>
      </c>
      <c r="AF5" s="366">
        <v>2015</v>
      </c>
      <c r="AG5" s="366">
        <v>2016</v>
      </c>
      <c r="AH5" s="366">
        <v>2017</v>
      </c>
      <c r="AI5" s="366">
        <v>2018</v>
      </c>
      <c r="AJ5" s="366">
        <v>2019</v>
      </c>
      <c r="AK5" s="366">
        <v>2020</v>
      </c>
      <c r="AL5" s="363">
        <v>2021</v>
      </c>
      <c r="AM5" s="362">
        <v>2022</v>
      </c>
      <c r="AN5" s="362">
        <v>2023</v>
      </c>
      <c r="AO5" s="362">
        <v>2024</v>
      </c>
      <c r="AP5" s="362">
        <v>2025</v>
      </c>
      <c r="AQ5" s="362">
        <v>2026</v>
      </c>
      <c r="AR5" s="362">
        <v>2027</v>
      </c>
      <c r="AS5" s="362">
        <v>2028</v>
      </c>
      <c r="AT5" s="362">
        <v>2029</v>
      </c>
      <c r="AU5" s="362">
        <v>2030</v>
      </c>
      <c r="AW5" s="362" t="s">
        <v>2496</v>
      </c>
      <c r="AX5" s="362" t="s">
        <v>2497</v>
      </c>
    </row>
    <row r="6" spans="1:50" x14ac:dyDescent="0.25">
      <c r="A6" s="361" t="s">
        <v>55</v>
      </c>
      <c r="B6" s="361">
        <v>4</v>
      </c>
      <c r="C6" s="361" t="s">
        <v>54</v>
      </c>
      <c r="D6" s="361">
        <v>1</v>
      </c>
      <c r="E6" s="361">
        <v>25</v>
      </c>
      <c r="F6" s="361" t="s">
        <v>2374</v>
      </c>
      <c r="G6" s="362">
        <v>12412308.000000002</v>
      </c>
      <c r="H6" s="362">
        <v>13299017</v>
      </c>
      <c r="I6" s="362">
        <v>14485546.000000002</v>
      </c>
      <c r="J6" s="362">
        <v>15816602.999999998</v>
      </c>
      <c r="K6" s="362">
        <v>17075727</v>
      </c>
      <c r="L6" s="362">
        <v>18110657</v>
      </c>
      <c r="M6" s="362">
        <v>18853437.000000004</v>
      </c>
      <c r="N6" s="362">
        <v>19357126</v>
      </c>
      <c r="O6" s="362">
        <v>19737765</v>
      </c>
      <c r="P6" s="362">
        <v>20170844.000000004</v>
      </c>
      <c r="Q6" s="362">
        <v>20779953.000000004</v>
      </c>
      <c r="R6" s="362">
        <v>21606988</v>
      </c>
      <c r="S6" s="362">
        <v>22600770</v>
      </c>
      <c r="T6" s="362">
        <v>23680871</v>
      </c>
      <c r="U6" s="362">
        <v>24726684.000000004</v>
      </c>
      <c r="V6" s="362">
        <v>25654276.999999996</v>
      </c>
      <c r="W6" s="362">
        <v>26433049</v>
      </c>
      <c r="X6" s="362">
        <v>27100536</v>
      </c>
      <c r="Y6" s="362">
        <v>27722276</v>
      </c>
      <c r="Z6" s="362">
        <v>28394813</v>
      </c>
      <c r="AA6" s="362">
        <v>29185507</v>
      </c>
      <c r="AB6" s="362">
        <v>30117413</v>
      </c>
      <c r="AC6" s="362">
        <v>31161376</v>
      </c>
      <c r="AD6" s="362">
        <v>32269589.000000004</v>
      </c>
      <c r="AE6" s="362">
        <v>33370794.000000004</v>
      </c>
      <c r="AF6" s="362">
        <v>34413603</v>
      </c>
      <c r="AG6" s="362">
        <v>35383032</v>
      </c>
      <c r="AH6" s="362">
        <v>36296113</v>
      </c>
      <c r="AI6" s="362">
        <v>37171921.000000007</v>
      </c>
      <c r="AJ6" s="362">
        <v>38041754</v>
      </c>
      <c r="AK6" s="362">
        <v>38928346</v>
      </c>
      <c r="AL6" s="363">
        <v>39835428</v>
      </c>
      <c r="AM6" s="362">
        <v>40754388</v>
      </c>
      <c r="AN6" s="362">
        <v>41681231</v>
      </c>
      <c r="AO6" s="362">
        <v>42608716</v>
      </c>
      <c r="AP6" s="362">
        <v>43531519</v>
      </c>
      <c r="AQ6" s="362">
        <v>44449091</v>
      </c>
      <c r="AR6" s="362">
        <v>45363557</v>
      </c>
      <c r="AS6" s="362">
        <v>46275304</v>
      </c>
      <c r="AT6" s="362">
        <v>47185167</v>
      </c>
      <c r="AU6" s="362">
        <v>48093578</v>
      </c>
      <c r="AV6" s="362" t="s">
        <v>55</v>
      </c>
      <c r="AW6" s="362">
        <v>2.3305760296962186E-2</v>
      </c>
      <c r="AX6" s="362">
        <v>2.3301323924730832E-2</v>
      </c>
    </row>
    <row r="7" spans="1:50" x14ac:dyDescent="0.25">
      <c r="A7" s="361" t="s">
        <v>57</v>
      </c>
      <c r="B7" s="361">
        <v>8</v>
      </c>
      <c r="C7" s="361" t="s">
        <v>56</v>
      </c>
      <c r="D7" s="361">
        <v>2</v>
      </c>
      <c r="E7" s="361">
        <v>12</v>
      </c>
      <c r="F7" s="361" t="s">
        <v>2374</v>
      </c>
      <c r="G7" s="362">
        <v>3286073</v>
      </c>
      <c r="H7" s="362">
        <v>3280395</v>
      </c>
      <c r="I7" s="362">
        <v>3245886</v>
      </c>
      <c r="J7" s="362">
        <v>3195199</v>
      </c>
      <c r="K7" s="362">
        <v>3146518.9999999995</v>
      </c>
      <c r="L7" s="362">
        <v>3112936.0000000005</v>
      </c>
      <c r="M7" s="362">
        <v>3098700</v>
      </c>
      <c r="N7" s="362">
        <v>3099752</v>
      </c>
      <c r="O7" s="362">
        <v>3110681.9999999995</v>
      </c>
      <c r="P7" s="362">
        <v>3122697</v>
      </c>
      <c r="Q7" s="362">
        <v>3129243</v>
      </c>
      <c r="R7" s="362">
        <v>3129704.0000000005</v>
      </c>
      <c r="S7" s="362">
        <v>3126187</v>
      </c>
      <c r="T7" s="362">
        <v>3118023</v>
      </c>
      <c r="U7" s="362">
        <v>3104892</v>
      </c>
      <c r="V7" s="362">
        <v>3086810</v>
      </c>
      <c r="W7" s="362">
        <v>3063021</v>
      </c>
      <c r="X7" s="362">
        <v>3033998</v>
      </c>
      <c r="Y7" s="362">
        <v>3002678</v>
      </c>
      <c r="Z7" s="362">
        <v>2973048</v>
      </c>
      <c r="AA7" s="362">
        <v>2948023</v>
      </c>
      <c r="AB7" s="362">
        <v>2928592</v>
      </c>
      <c r="AC7" s="362">
        <v>2914096</v>
      </c>
      <c r="AD7" s="362">
        <v>2903790</v>
      </c>
      <c r="AE7" s="362">
        <v>2896305</v>
      </c>
      <c r="AF7" s="362">
        <v>2890513</v>
      </c>
      <c r="AG7" s="362">
        <v>2886438</v>
      </c>
      <c r="AH7" s="362">
        <v>2884169</v>
      </c>
      <c r="AI7" s="362">
        <v>2882739.9999999995</v>
      </c>
      <c r="AJ7" s="362">
        <v>2880916.9999999995</v>
      </c>
      <c r="AK7" s="362">
        <v>2877797</v>
      </c>
      <c r="AL7" s="363">
        <v>2872933</v>
      </c>
      <c r="AM7" s="362">
        <v>2866374</v>
      </c>
      <c r="AN7" s="362">
        <v>2858430</v>
      </c>
      <c r="AO7" s="362">
        <v>2849657</v>
      </c>
      <c r="AP7" s="362">
        <v>2840464</v>
      </c>
      <c r="AQ7" s="362">
        <v>2830850</v>
      </c>
      <c r="AR7" s="362">
        <v>2820633</v>
      </c>
      <c r="AS7" s="362">
        <v>2809861</v>
      </c>
      <c r="AT7" s="362">
        <v>2798631</v>
      </c>
      <c r="AU7" s="362">
        <v>2786974</v>
      </c>
      <c r="AV7" s="362" t="s">
        <v>57</v>
      </c>
      <c r="AW7" s="362">
        <v>-1.0829885067843437E-3</v>
      </c>
      <c r="AX7" s="362">
        <v>-1.6901817605620151E-3</v>
      </c>
    </row>
    <row r="8" spans="1:50" x14ac:dyDescent="0.25">
      <c r="A8" s="361" t="s">
        <v>59</v>
      </c>
      <c r="B8" s="361">
        <v>12</v>
      </c>
      <c r="C8" s="361" t="s">
        <v>58</v>
      </c>
      <c r="D8" s="361">
        <v>3</v>
      </c>
      <c r="E8" s="361">
        <v>7</v>
      </c>
      <c r="F8" s="361" t="s">
        <v>2374</v>
      </c>
      <c r="G8" s="362">
        <v>25758868.999999996</v>
      </c>
      <c r="H8" s="362">
        <v>26400479</v>
      </c>
      <c r="I8" s="362">
        <v>27028326</v>
      </c>
      <c r="J8" s="362">
        <v>27635514.999999996</v>
      </c>
      <c r="K8" s="362">
        <v>28213774</v>
      </c>
      <c r="L8" s="362">
        <v>28757785</v>
      </c>
      <c r="M8" s="362">
        <v>29266405</v>
      </c>
      <c r="N8" s="362">
        <v>29742979</v>
      </c>
      <c r="O8" s="362">
        <v>30192754</v>
      </c>
      <c r="P8" s="362">
        <v>30623406</v>
      </c>
      <c r="Q8" s="362">
        <v>31042235</v>
      </c>
      <c r="R8" s="362">
        <v>31451514</v>
      </c>
      <c r="S8" s="362">
        <v>31855109</v>
      </c>
      <c r="T8" s="362">
        <v>32264156.999999996</v>
      </c>
      <c r="U8" s="362">
        <v>32692163</v>
      </c>
      <c r="V8" s="362">
        <v>33149724</v>
      </c>
      <c r="W8" s="362">
        <v>33641002</v>
      </c>
      <c r="X8" s="362">
        <v>34166972</v>
      </c>
      <c r="Y8" s="362">
        <v>34730608</v>
      </c>
      <c r="Z8" s="362">
        <v>35333881</v>
      </c>
      <c r="AA8" s="362">
        <v>35977455</v>
      </c>
      <c r="AB8" s="362">
        <v>36661445</v>
      </c>
      <c r="AC8" s="362">
        <v>37383894.999999993</v>
      </c>
      <c r="AD8" s="362">
        <v>38140133</v>
      </c>
      <c r="AE8" s="362">
        <v>38923692</v>
      </c>
      <c r="AF8" s="362">
        <v>39728025</v>
      </c>
      <c r="AG8" s="362">
        <v>40551392</v>
      </c>
      <c r="AH8" s="362">
        <v>41389189</v>
      </c>
      <c r="AI8" s="362">
        <v>42228408</v>
      </c>
      <c r="AJ8" s="362">
        <v>43053053.999999993</v>
      </c>
      <c r="AK8" s="362">
        <v>43851044</v>
      </c>
      <c r="AL8" s="363">
        <v>44616624</v>
      </c>
      <c r="AM8" s="362">
        <v>45350148</v>
      </c>
      <c r="AN8" s="362">
        <v>46053477</v>
      </c>
      <c r="AO8" s="362">
        <v>46731369</v>
      </c>
      <c r="AP8" s="362">
        <v>47387618</v>
      </c>
      <c r="AQ8" s="362">
        <v>48022195</v>
      </c>
      <c r="AR8" s="362">
        <v>48634174</v>
      </c>
      <c r="AS8" s="362">
        <v>49225942</v>
      </c>
      <c r="AT8" s="362">
        <v>49800531</v>
      </c>
      <c r="AU8" s="362">
        <v>50360749</v>
      </c>
      <c r="AV8" s="362" t="s">
        <v>59</v>
      </c>
      <c r="AW8" s="362">
        <v>1.853503818799962E-2</v>
      </c>
      <c r="AX8" s="362">
        <v>1.745864933113106E-2</v>
      </c>
    </row>
    <row r="9" spans="1:50" x14ac:dyDescent="0.25">
      <c r="A9" s="361" t="s">
        <v>61</v>
      </c>
      <c r="B9" s="361">
        <v>16</v>
      </c>
      <c r="C9" s="361" t="s">
        <v>60</v>
      </c>
      <c r="D9" s="361">
        <v>4</v>
      </c>
      <c r="E9" s="361">
        <v>24</v>
      </c>
      <c r="F9" s="361" t="s">
        <v>2374</v>
      </c>
      <c r="G9" s="362">
        <v>47347</v>
      </c>
      <c r="H9" s="362">
        <v>48685</v>
      </c>
      <c r="I9" s="362">
        <v>49896</v>
      </c>
      <c r="J9" s="362">
        <v>51020</v>
      </c>
      <c r="K9" s="362">
        <v>52094.999999999993</v>
      </c>
      <c r="L9" s="362">
        <v>53161</v>
      </c>
      <c r="M9" s="362">
        <v>54210.999999999993</v>
      </c>
      <c r="N9" s="362">
        <v>55221</v>
      </c>
      <c r="O9" s="362">
        <v>56171</v>
      </c>
      <c r="P9" s="362">
        <v>57053</v>
      </c>
      <c r="Q9" s="362">
        <v>57821</v>
      </c>
      <c r="R9" s="362">
        <v>58494</v>
      </c>
      <c r="S9" s="362">
        <v>59080</v>
      </c>
      <c r="T9" s="362">
        <v>59503.999999999993</v>
      </c>
      <c r="U9" s="362">
        <v>59681</v>
      </c>
      <c r="V9" s="362">
        <v>59562</v>
      </c>
      <c r="W9" s="362">
        <v>59107</v>
      </c>
      <c r="X9" s="362">
        <v>58365</v>
      </c>
      <c r="Y9" s="362">
        <v>57491.999999999993</v>
      </c>
      <c r="Z9" s="362">
        <v>56683</v>
      </c>
      <c r="AA9" s="362">
        <v>56079.000000000007</v>
      </c>
      <c r="AB9" s="362">
        <v>55759</v>
      </c>
      <c r="AC9" s="362">
        <v>55667</v>
      </c>
      <c r="AD9" s="362">
        <v>55713</v>
      </c>
      <c r="AE9" s="362">
        <v>55790.999999999993</v>
      </c>
      <c r="AF9" s="362">
        <v>55812</v>
      </c>
      <c r="AG9" s="362">
        <v>55741</v>
      </c>
      <c r="AH9" s="362">
        <v>55619.999999999993</v>
      </c>
      <c r="AI9" s="362">
        <v>55465</v>
      </c>
      <c r="AJ9" s="362">
        <v>55312</v>
      </c>
      <c r="AK9" s="362">
        <v>55191.000000000007</v>
      </c>
      <c r="AL9" s="363">
        <v>55100</v>
      </c>
      <c r="AM9" s="362">
        <v>55030</v>
      </c>
      <c r="AN9" s="362">
        <v>54984</v>
      </c>
      <c r="AO9" s="362">
        <v>54930</v>
      </c>
      <c r="AP9" s="362">
        <v>54890</v>
      </c>
      <c r="AQ9" s="362">
        <v>54850</v>
      </c>
      <c r="AR9" s="362">
        <v>54820</v>
      </c>
      <c r="AS9" s="362">
        <v>54792</v>
      </c>
      <c r="AT9" s="362">
        <v>54764</v>
      </c>
      <c r="AU9" s="362">
        <v>54728</v>
      </c>
      <c r="AV9" s="362" t="s">
        <v>61</v>
      </c>
      <c r="AW9" s="362">
        <v>-2.1875903962972343E-3</v>
      </c>
      <c r="AX9" s="362">
        <v>-1.6488195539129391E-3</v>
      </c>
    </row>
    <row r="10" spans="1:50" x14ac:dyDescent="0.25">
      <c r="A10" s="361" t="s">
        <v>63</v>
      </c>
      <c r="B10" s="361">
        <v>20</v>
      </c>
      <c r="C10" s="367"/>
      <c r="D10" s="361">
        <v>5</v>
      </c>
      <c r="E10" s="361">
        <v>11</v>
      </c>
      <c r="F10" s="361" t="s">
        <v>2374</v>
      </c>
      <c r="G10" s="368">
        <v>0</v>
      </c>
      <c r="H10" s="368">
        <v>0</v>
      </c>
      <c r="I10" s="368">
        <v>0</v>
      </c>
      <c r="J10" s="368">
        <v>0</v>
      </c>
      <c r="K10" s="368">
        <v>0</v>
      </c>
      <c r="L10" s="368">
        <v>0</v>
      </c>
      <c r="M10" s="368">
        <v>0</v>
      </c>
      <c r="N10" s="368">
        <v>0</v>
      </c>
      <c r="O10" s="368">
        <v>0</v>
      </c>
      <c r="P10" s="368">
        <v>0</v>
      </c>
      <c r="Q10" s="368">
        <v>0</v>
      </c>
      <c r="R10" s="368">
        <v>0</v>
      </c>
      <c r="S10" s="368">
        <v>0</v>
      </c>
      <c r="T10" s="368">
        <v>0</v>
      </c>
      <c r="U10" s="368">
        <v>0</v>
      </c>
      <c r="V10" s="368">
        <v>0</v>
      </c>
      <c r="W10" s="368">
        <v>0</v>
      </c>
      <c r="X10" s="368">
        <v>0</v>
      </c>
      <c r="Y10" s="368">
        <v>0</v>
      </c>
      <c r="Z10" s="368">
        <v>0</v>
      </c>
      <c r="AA10" s="368">
        <v>0</v>
      </c>
      <c r="AB10" s="368">
        <v>0</v>
      </c>
      <c r="AC10" s="368">
        <v>0</v>
      </c>
      <c r="AD10" s="368">
        <v>0</v>
      </c>
      <c r="AE10" s="368">
        <v>0</v>
      </c>
      <c r="AF10" s="368">
        <v>0</v>
      </c>
      <c r="AG10" s="368">
        <v>0</v>
      </c>
      <c r="AH10" s="368">
        <v>0</v>
      </c>
      <c r="AI10" s="368">
        <v>0</v>
      </c>
      <c r="AJ10" s="368">
        <v>0</v>
      </c>
      <c r="AK10" s="368">
        <v>0</v>
      </c>
      <c r="AL10" s="363">
        <v>7</v>
      </c>
      <c r="AM10" s="362">
        <v>77463</v>
      </c>
      <c r="AN10" s="362">
        <v>77572</v>
      </c>
      <c r="AO10" s="362">
        <v>77679</v>
      </c>
      <c r="AP10" s="362">
        <v>77775</v>
      </c>
      <c r="AQ10" s="362">
        <v>77841</v>
      </c>
      <c r="AR10" s="362">
        <v>77894</v>
      </c>
      <c r="AS10" s="362">
        <v>77906</v>
      </c>
      <c r="AT10" s="362">
        <v>77916</v>
      </c>
      <c r="AU10" s="362">
        <v>77925</v>
      </c>
      <c r="AV10" s="362" t="s">
        <v>63</v>
      </c>
      <c r="AW10" s="362" t="e">
        <v>#DIV/0!</v>
      </c>
      <c r="AX10" s="362" t="e">
        <v>#DIV/0!</v>
      </c>
    </row>
    <row r="11" spans="1:50" x14ac:dyDescent="0.25">
      <c r="A11" s="361" t="s">
        <v>65</v>
      </c>
      <c r="B11" s="361">
        <v>24</v>
      </c>
      <c r="C11" s="361" t="s">
        <v>64</v>
      </c>
      <c r="D11" s="361">
        <v>6</v>
      </c>
      <c r="E11" s="361">
        <v>26</v>
      </c>
      <c r="F11" s="361" t="s">
        <v>2374</v>
      </c>
      <c r="G11" s="362">
        <v>11848386</v>
      </c>
      <c r="H11" s="362">
        <v>12248901</v>
      </c>
      <c r="I11" s="362">
        <v>12657366</v>
      </c>
      <c r="J11" s="362">
        <v>13075049.000000002</v>
      </c>
      <c r="K11" s="362">
        <v>13503746.999999998</v>
      </c>
      <c r="L11" s="362">
        <v>13945206</v>
      </c>
      <c r="M11" s="362">
        <v>14400718.999999998</v>
      </c>
      <c r="N11" s="362">
        <v>14871570</v>
      </c>
      <c r="O11" s="362">
        <v>15359601.000000002</v>
      </c>
      <c r="P11" s="362">
        <v>15866869.000000002</v>
      </c>
      <c r="Q11" s="362">
        <v>16395473.000000002</v>
      </c>
      <c r="R11" s="362">
        <v>16945753</v>
      </c>
      <c r="S11" s="362">
        <v>17519417</v>
      </c>
      <c r="T11" s="362">
        <v>18121479</v>
      </c>
      <c r="U11" s="362">
        <v>18758145</v>
      </c>
      <c r="V11" s="362">
        <v>19433602</v>
      </c>
      <c r="W11" s="362">
        <v>20149901.000000004</v>
      </c>
      <c r="X11" s="362">
        <v>20905363</v>
      </c>
      <c r="Y11" s="362">
        <v>21695634</v>
      </c>
      <c r="Z11" s="362">
        <v>22514281</v>
      </c>
      <c r="AA11" s="362">
        <v>23356246</v>
      </c>
      <c r="AB11" s="362">
        <v>24220661</v>
      </c>
      <c r="AC11" s="362">
        <v>25107931</v>
      </c>
      <c r="AD11" s="362">
        <v>26015781</v>
      </c>
      <c r="AE11" s="362">
        <v>26941779</v>
      </c>
      <c r="AF11" s="362">
        <v>27884381</v>
      </c>
      <c r="AG11" s="362">
        <v>28842489</v>
      </c>
      <c r="AH11" s="362">
        <v>29816766</v>
      </c>
      <c r="AI11" s="362">
        <v>30809787</v>
      </c>
      <c r="AJ11" s="362">
        <v>31825294.999999996</v>
      </c>
      <c r="AK11" s="362">
        <v>32866271.999999996</v>
      </c>
      <c r="AL11" s="363">
        <v>33933610</v>
      </c>
      <c r="AM11" s="362">
        <v>35027343</v>
      </c>
      <c r="AN11" s="362">
        <v>36148631</v>
      </c>
      <c r="AO11" s="362">
        <v>37298623</v>
      </c>
      <c r="AP11" s="362">
        <v>38478226</v>
      </c>
      <c r="AQ11" s="362">
        <v>39688095</v>
      </c>
      <c r="AR11" s="362">
        <v>40928613</v>
      </c>
      <c r="AS11" s="362">
        <v>42199941</v>
      </c>
      <c r="AT11" s="362">
        <v>43502001</v>
      </c>
      <c r="AU11" s="362">
        <v>44834712</v>
      </c>
      <c r="AV11" s="362" t="s">
        <v>65</v>
      </c>
      <c r="AW11" s="362">
        <v>3.27091076453494E-2</v>
      </c>
      <c r="AX11" s="362">
        <v>3.2475176983869813E-2</v>
      </c>
    </row>
    <row r="12" spans="1:50" x14ac:dyDescent="0.25">
      <c r="A12" s="361" t="s">
        <v>67</v>
      </c>
      <c r="B12" s="361">
        <v>660</v>
      </c>
      <c r="C12" s="361" t="s">
        <v>66</v>
      </c>
      <c r="D12" s="361">
        <v>171</v>
      </c>
      <c r="E12" s="361">
        <v>4</v>
      </c>
      <c r="F12" s="361" t="s">
        <v>2374</v>
      </c>
      <c r="G12" s="362">
        <v>8898.9999999999982</v>
      </c>
      <c r="H12" s="362">
        <v>9134.9999999999982</v>
      </c>
      <c r="I12" s="362">
        <v>9332</v>
      </c>
      <c r="J12" s="362">
        <v>9493</v>
      </c>
      <c r="K12" s="362">
        <v>9663.9999999999982</v>
      </c>
      <c r="L12" s="362">
        <v>9866</v>
      </c>
      <c r="M12" s="362">
        <v>10117.000000000002</v>
      </c>
      <c r="N12" s="362">
        <v>10388</v>
      </c>
      <c r="O12" s="362">
        <v>10683.999999999998</v>
      </c>
      <c r="P12" s="362">
        <v>10971</v>
      </c>
      <c r="Q12" s="362">
        <v>11252</v>
      </c>
      <c r="R12" s="362">
        <v>11515.000000000002</v>
      </c>
      <c r="S12" s="362">
        <v>11760.999999999998</v>
      </c>
      <c r="T12" s="362">
        <v>12001</v>
      </c>
      <c r="U12" s="362">
        <v>12233</v>
      </c>
      <c r="V12" s="362">
        <v>12452.999999999998</v>
      </c>
      <c r="W12" s="362">
        <v>12661</v>
      </c>
      <c r="X12" s="362">
        <v>12868.000000000002</v>
      </c>
      <c r="Y12" s="362">
        <v>13063</v>
      </c>
      <c r="Z12" s="362">
        <v>13257.999999999998</v>
      </c>
      <c r="AA12" s="362">
        <v>13438</v>
      </c>
      <c r="AB12" s="362">
        <v>13619.999999999998</v>
      </c>
      <c r="AC12" s="362">
        <v>13795</v>
      </c>
      <c r="AD12" s="362">
        <v>13954.000000000002</v>
      </c>
      <c r="AE12" s="362">
        <v>14112</v>
      </c>
      <c r="AF12" s="362">
        <v>14279</v>
      </c>
      <c r="AG12" s="362">
        <v>14429</v>
      </c>
      <c r="AH12" s="362">
        <v>14584</v>
      </c>
      <c r="AI12" s="362">
        <v>14731</v>
      </c>
      <c r="AJ12" s="362">
        <v>14869</v>
      </c>
      <c r="AK12" s="362">
        <v>15003</v>
      </c>
      <c r="AL12" s="363">
        <v>15117</v>
      </c>
      <c r="AM12" s="362">
        <v>15230</v>
      </c>
      <c r="AN12" s="362">
        <v>15331</v>
      </c>
      <c r="AO12" s="362">
        <v>15420</v>
      </c>
      <c r="AP12" s="362">
        <v>15505</v>
      </c>
      <c r="AQ12" s="362">
        <v>15588</v>
      </c>
      <c r="AR12" s="362">
        <v>15682</v>
      </c>
      <c r="AS12" s="362">
        <v>15755</v>
      </c>
      <c r="AT12" s="362">
        <v>15840</v>
      </c>
      <c r="AU12" s="362">
        <v>15914</v>
      </c>
      <c r="AV12" s="362" t="s">
        <v>67</v>
      </c>
      <c r="AW12" s="362">
        <v>9.0120384692984334E-3</v>
      </c>
      <c r="AX12" s="362">
        <v>7.5984803039392812E-3</v>
      </c>
    </row>
    <row r="13" spans="1:50" x14ac:dyDescent="0.25">
      <c r="A13" s="361" t="s">
        <v>69</v>
      </c>
      <c r="B13" s="361">
        <v>32</v>
      </c>
      <c r="C13" s="361" t="s">
        <v>68</v>
      </c>
      <c r="D13" s="361">
        <v>8</v>
      </c>
      <c r="E13" s="361">
        <v>6</v>
      </c>
      <c r="F13" s="361" t="s">
        <v>2374</v>
      </c>
      <c r="G13" s="362">
        <v>32618651</v>
      </c>
      <c r="H13" s="362">
        <v>33079000</v>
      </c>
      <c r="I13" s="362">
        <v>33529325.999999996</v>
      </c>
      <c r="J13" s="362">
        <v>33970110.999999993</v>
      </c>
      <c r="K13" s="362">
        <v>34402671.999999993</v>
      </c>
      <c r="L13" s="362">
        <v>34828170</v>
      </c>
      <c r="M13" s="362">
        <v>35246374</v>
      </c>
      <c r="N13" s="362">
        <v>35657428.999999993</v>
      </c>
      <c r="O13" s="362">
        <v>36063459</v>
      </c>
      <c r="P13" s="362">
        <v>36467218</v>
      </c>
      <c r="Q13" s="362">
        <v>36870787</v>
      </c>
      <c r="R13" s="362">
        <v>37275652</v>
      </c>
      <c r="S13" s="362">
        <v>37681749</v>
      </c>
      <c r="T13" s="362">
        <v>38087868</v>
      </c>
      <c r="U13" s="362">
        <v>38491972.000000007</v>
      </c>
      <c r="V13" s="362">
        <v>38892931</v>
      </c>
      <c r="W13" s="362">
        <v>39289877.999999993</v>
      </c>
      <c r="X13" s="362">
        <v>39684295</v>
      </c>
      <c r="Y13" s="362">
        <v>40080160.000000007</v>
      </c>
      <c r="Z13" s="362">
        <v>40482788</v>
      </c>
      <c r="AA13" s="362">
        <v>40895752</v>
      </c>
      <c r="AB13" s="362">
        <v>41320500</v>
      </c>
      <c r="AC13" s="362">
        <v>41755196.000000007</v>
      </c>
      <c r="AD13" s="362">
        <v>42196030</v>
      </c>
      <c r="AE13" s="362">
        <v>42637511</v>
      </c>
      <c r="AF13" s="362">
        <v>43075416</v>
      </c>
      <c r="AG13" s="362">
        <v>43508460</v>
      </c>
      <c r="AH13" s="362">
        <v>43937140</v>
      </c>
      <c r="AI13" s="362">
        <v>44361150</v>
      </c>
      <c r="AJ13" s="362">
        <v>44780677.000000007</v>
      </c>
      <c r="AK13" s="362">
        <v>45195774</v>
      </c>
      <c r="AL13" s="363">
        <v>45605826</v>
      </c>
      <c r="AM13" s="362">
        <v>46010234</v>
      </c>
      <c r="AN13" s="362">
        <v>46409168</v>
      </c>
      <c r="AO13" s="362">
        <v>46803049</v>
      </c>
      <c r="AP13" s="362">
        <v>47192100</v>
      </c>
      <c r="AQ13" s="362">
        <v>47576269</v>
      </c>
      <c r="AR13" s="362">
        <v>47955212</v>
      </c>
      <c r="AS13" s="362">
        <v>48328513</v>
      </c>
      <c r="AT13" s="362">
        <v>48695635</v>
      </c>
      <c r="AU13" s="362">
        <v>49056162</v>
      </c>
      <c r="AV13" s="362" t="s">
        <v>69</v>
      </c>
      <c r="AW13" s="362">
        <v>9.2695561525339976E-3</v>
      </c>
      <c r="AX13" s="362">
        <v>9.072795168858061E-3</v>
      </c>
    </row>
    <row r="14" spans="1:50" x14ac:dyDescent="0.25">
      <c r="A14" s="361" t="s">
        <v>71</v>
      </c>
      <c r="B14" s="361">
        <v>51</v>
      </c>
      <c r="C14" s="361" t="s">
        <v>70</v>
      </c>
      <c r="D14" s="361">
        <v>14</v>
      </c>
      <c r="E14" s="361">
        <v>16</v>
      </c>
      <c r="F14" s="361" t="s">
        <v>2374</v>
      </c>
      <c r="G14" s="362">
        <v>3538170.9999999995</v>
      </c>
      <c r="H14" s="362">
        <v>3505258</v>
      </c>
      <c r="I14" s="362">
        <v>3442817</v>
      </c>
      <c r="J14" s="362">
        <v>3363108</v>
      </c>
      <c r="K14" s="362">
        <v>3283667</v>
      </c>
      <c r="L14" s="362">
        <v>3217348</v>
      </c>
      <c r="M14" s="362">
        <v>3168221</v>
      </c>
      <c r="N14" s="362">
        <v>3133089</v>
      </c>
      <c r="O14" s="362">
        <v>3108686.9999999995</v>
      </c>
      <c r="P14" s="362">
        <v>3089022</v>
      </c>
      <c r="Q14" s="362">
        <v>3069591</v>
      </c>
      <c r="R14" s="362">
        <v>3050687</v>
      </c>
      <c r="S14" s="362">
        <v>3033978.0000000005</v>
      </c>
      <c r="T14" s="362">
        <v>3017931.9999999995</v>
      </c>
      <c r="U14" s="362">
        <v>3000720</v>
      </c>
      <c r="V14" s="362">
        <v>2981268.9999999995</v>
      </c>
      <c r="W14" s="362">
        <v>2958306.9999999995</v>
      </c>
      <c r="X14" s="362">
        <v>2932617.9999999995</v>
      </c>
      <c r="Y14" s="362">
        <v>2907618</v>
      </c>
      <c r="Z14" s="362">
        <v>2888092</v>
      </c>
      <c r="AA14" s="362">
        <v>2877319</v>
      </c>
      <c r="AB14" s="362">
        <v>2876538</v>
      </c>
      <c r="AC14" s="362">
        <v>2884233.9999999995</v>
      </c>
      <c r="AD14" s="362">
        <v>2897588.0000000005</v>
      </c>
      <c r="AE14" s="362">
        <v>2912409.0000000005</v>
      </c>
      <c r="AF14" s="362">
        <v>2925553</v>
      </c>
      <c r="AG14" s="362">
        <v>2936143</v>
      </c>
      <c r="AH14" s="362">
        <v>2944791.0000000005</v>
      </c>
      <c r="AI14" s="362">
        <v>2951745</v>
      </c>
      <c r="AJ14" s="362">
        <v>2957731.0000000005</v>
      </c>
      <c r="AK14" s="362">
        <v>2963243</v>
      </c>
      <c r="AL14" s="363">
        <v>2968127</v>
      </c>
      <c r="AM14" s="362">
        <v>2971966</v>
      </c>
      <c r="AN14" s="362">
        <v>2974770</v>
      </c>
      <c r="AO14" s="362">
        <v>2976528</v>
      </c>
      <c r="AP14" s="362">
        <v>2977276</v>
      </c>
      <c r="AQ14" s="362">
        <v>2977007</v>
      </c>
      <c r="AR14" s="362">
        <v>2975753</v>
      </c>
      <c r="AS14" s="362">
        <v>2973589</v>
      </c>
      <c r="AT14" s="362">
        <v>2970639</v>
      </c>
      <c r="AU14" s="362">
        <v>2967005</v>
      </c>
      <c r="AV14" s="362" t="s">
        <v>71</v>
      </c>
      <c r="AW14" s="362">
        <v>1.8635907051720579E-3</v>
      </c>
      <c r="AX14" s="362">
        <v>1.6481942250432535E-3</v>
      </c>
    </row>
    <row r="15" spans="1:50" x14ac:dyDescent="0.25">
      <c r="A15" s="361" t="s">
        <v>73</v>
      </c>
      <c r="B15" s="361">
        <v>533</v>
      </c>
      <c r="C15" s="361" t="s">
        <v>72</v>
      </c>
      <c r="D15" s="361">
        <v>139</v>
      </c>
      <c r="E15" s="361">
        <v>4</v>
      </c>
      <c r="F15" s="361" t="s">
        <v>2374</v>
      </c>
      <c r="G15" s="362">
        <v>62149</v>
      </c>
      <c r="H15" s="362">
        <v>64622</v>
      </c>
      <c r="I15" s="362">
        <v>68235</v>
      </c>
      <c r="J15" s="362">
        <v>72504</v>
      </c>
      <c r="K15" s="362">
        <v>76700</v>
      </c>
      <c r="L15" s="362">
        <v>80323.999999999985</v>
      </c>
      <c r="M15" s="362">
        <v>83200</v>
      </c>
      <c r="N15" s="362">
        <v>85451</v>
      </c>
      <c r="O15" s="362">
        <v>87277.000000000015</v>
      </c>
      <c r="P15" s="362">
        <v>89005</v>
      </c>
      <c r="Q15" s="362">
        <v>90852.999999999985</v>
      </c>
      <c r="R15" s="362">
        <v>92898</v>
      </c>
      <c r="S15" s="362">
        <v>94992</v>
      </c>
      <c r="T15" s="362">
        <v>97016.999999999985</v>
      </c>
      <c r="U15" s="362">
        <v>98736.999999999985</v>
      </c>
      <c r="V15" s="362">
        <v>100031.00000000001</v>
      </c>
      <c r="W15" s="362">
        <v>100834</v>
      </c>
      <c r="X15" s="362">
        <v>101221.99999999999</v>
      </c>
      <c r="Y15" s="362">
        <v>101358</v>
      </c>
      <c r="Z15" s="362">
        <v>101455</v>
      </c>
      <c r="AA15" s="362">
        <v>101669</v>
      </c>
      <c r="AB15" s="362">
        <v>102046.00000000001</v>
      </c>
      <c r="AC15" s="362">
        <v>102560</v>
      </c>
      <c r="AD15" s="362">
        <v>103159</v>
      </c>
      <c r="AE15" s="362">
        <v>103774</v>
      </c>
      <c r="AF15" s="362">
        <v>104340.99999999999</v>
      </c>
      <c r="AG15" s="362">
        <v>104872</v>
      </c>
      <c r="AH15" s="362">
        <v>105366</v>
      </c>
      <c r="AI15" s="362">
        <v>105845</v>
      </c>
      <c r="AJ15" s="362">
        <v>106313.99999999999</v>
      </c>
      <c r="AK15" s="362">
        <v>106766</v>
      </c>
      <c r="AL15" s="363">
        <v>107204</v>
      </c>
      <c r="AM15" s="362">
        <v>107609</v>
      </c>
      <c r="AN15" s="362">
        <v>108013</v>
      </c>
      <c r="AO15" s="362">
        <v>108386</v>
      </c>
      <c r="AP15" s="362">
        <v>108752</v>
      </c>
      <c r="AQ15" s="362">
        <v>109096</v>
      </c>
      <c r="AR15" s="362">
        <v>109417</v>
      </c>
      <c r="AS15" s="362">
        <v>109717</v>
      </c>
      <c r="AT15" s="362">
        <v>110000</v>
      </c>
      <c r="AU15" s="362">
        <v>110247</v>
      </c>
      <c r="AV15" s="362" t="s">
        <v>73</v>
      </c>
      <c r="AW15" s="362">
        <v>4.2515567093703854E-3</v>
      </c>
      <c r="AX15" s="362">
        <v>4.1024296124234638E-3</v>
      </c>
    </row>
    <row r="16" spans="1:50" x14ac:dyDescent="0.25">
      <c r="A16" s="361" t="s">
        <v>75</v>
      </c>
      <c r="B16" s="361">
        <v>36</v>
      </c>
      <c r="C16" s="361" t="s">
        <v>74</v>
      </c>
      <c r="D16" s="361">
        <v>9</v>
      </c>
      <c r="E16" s="361">
        <v>24</v>
      </c>
      <c r="F16" s="361" t="s">
        <v>2374</v>
      </c>
      <c r="G16" s="362">
        <v>16960597</v>
      </c>
      <c r="H16" s="362">
        <v>17189240</v>
      </c>
      <c r="I16" s="362">
        <v>17402172.999999996</v>
      </c>
      <c r="J16" s="362">
        <v>17603205.000000004</v>
      </c>
      <c r="K16" s="362">
        <v>17798529</v>
      </c>
      <c r="L16" s="362">
        <v>17993074</v>
      </c>
      <c r="M16" s="362">
        <v>18189276.999999996</v>
      </c>
      <c r="N16" s="362">
        <v>18387214</v>
      </c>
      <c r="O16" s="362">
        <v>18587021</v>
      </c>
      <c r="P16" s="362">
        <v>18788186.000000004</v>
      </c>
      <c r="Q16" s="362">
        <v>18991431.000000004</v>
      </c>
      <c r="R16" s="362">
        <v>19194671.999999996</v>
      </c>
      <c r="S16" s="362">
        <v>19401367.999999996</v>
      </c>
      <c r="T16" s="362">
        <v>19624166.000000004</v>
      </c>
      <c r="U16" s="362">
        <v>19879649</v>
      </c>
      <c r="V16" s="362">
        <v>20178540</v>
      </c>
      <c r="W16" s="362">
        <v>20526303</v>
      </c>
      <c r="X16" s="362">
        <v>20916344.000000004</v>
      </c>
      <c r="Y16" s="362">
        <v>21332282</v>
      </c>
      <c r="Z16" s="362">
        <v>21750850.999999996</v>
      </c>
      <c r="AA16" s="362">
        <v>22154679</v>
      </c>
      <c r="AB16" s="362">
        <v>22538001</v>
      </c>
      <c r="AC16" s="362">
        <v>22903948</v>
      </c>
      <c r="AD16" s="362">
        <v>23254913.000000004</v>
      </c>
      <c r="AE16" s="362">
        <v>23596424</v>
      </c>
      <c r="AF16" s="362">
        <v>23932502</v>
      </c>
      <c r="AG16" s="362">
        <v>24262712</v>
      </c>
      <c r="AH16" s="362">
        <v>24584619.999999996</v>
      </c>
      <c r="AI16" s="362">
        <v>24898152</v>
      </c>
      <c r="AJ16" s="362">
        <v>25203198</v>
      </c>
      <c r="AK16" s="362">
        <v>25499883.999999996</v>
      </c>
      <c r="AL16" s="363">
        <v>25788215</v>
      </c>
      <c r="AM16" s="362">
        <v>26068792</v>
      </c>
      <c r="AN16" s="362">
        <v>26343068</v>
      </c>
      <c r="AO16" s="362">
        <v>26612914</v>
      </c>
      <c r="AP16" s="362">
        <v>26879753</v>
      </c>
      <c r="AQ16" s="362">
        <v>27144222</v>
      </c>
      <c r="AR16" s="362">
        <v>27406334</v>
      </c>
      <c r="AS16" s="362">
        <v>27666058</v>
      </c>
      <c r="AT16" s="362">
        <v>27923172</v>
      </c>
      <c r="AU16" s="362">
        <v>28177481</v>
      </c>
      <c r="AV16" s="362" t="s">
        <v>75</v>
      </c>
      <c r="AW16" s="362">
        <v>1.177176007584424E-2</v>
      </c>
      <c r="AX16" s="362">
        <v>1.1307149475660472E-2</v>
      </c>
    </row>
    <row r="17" spans="1:50" x14ac:dyDescent="0.25">
      <c r="A17" s="361" t="s">
        <v>77</v>
      </c>
      <c r="B17" s="361">
        <v>40</v>
      </c>
      <c r="C17" s="361" t="s">
        <v>76</v>
      </c>
      <c r="D17" s="361">
        <v>10</v>
      </c>
      <c r="E17" s="361">
        <v>11</v>
      </c>
      <c r="F17" s="361" t="s">
        <v>2374</v>
      </c>
      <c r="G17" s="362">
        <v>7723948.9999999991</v>
      </c>
      <c r="H17" s="362">
        <v>7772701</v>
      </c>
      <c r="I17" s="362">
        <v>7830933</v>
      </c>
      <c r="J17" s="362">
        <v>7892086</v>
      </c>
      <c r="K17" s="362">
        <v>7947209</v>
      </c>
      <c r="L17" s="362">
        <v>7990121</v>
      </c>
      <c r="M17" s="362">
        <v>8017863</v>
      </c>
      <c r="N17" s="362">
        <v>8032876</v>
      </c>
      <c r="O17" s="362">
        <v>8041050</v>
      </c>
      <c r="P17" s="362">
        <v>8051113.0000000009</v>
      </c>
      <c r="Q17" s="362">
        <v>8069276</v>
      </c>
      <c r="R17" s="362">
        <v>8097747.9999999991</v>
      </c>
      <c r="S17" s="362">
        <v>8134412.0000000009</v>
      </c>
      <c r="T17" s="362">
        <v>8175851.9999999991</v>
      </c>
      <c r="U17" s="362">
        <v>8216805.0000000009</v>
      </c>
      <c r="V17" s="362">
        <v>8253650</v>
      </c>
      <c r="W17" s="362">
        <v>8285343.0000000009</v>
      </c>
      <c r="X17" s="362">
        <v>8313737</v>
      </c>
      <c r="Y17" s="362">
        <v>8341531.9999999991</v>
      </c>
      <c r="Z17" s="362">
        <v>8372663.0000000009</v>
      </c>
      <c r="AA17" s="362">
        <v>8409949.0000000019</v>
      </c>
      <c r="AB17" s="362">
        <v>8453501.0000000019</v>
      </c>
      <c r="AC17" s="362">
        <v>8502227.0000000019</v>
      </c>
      <c r="AD17" s="362">
        <v>8556189</v>
      </c>
      <c r="AE17" s="362">
        <v>8615214</v>
      </c>
      <c r="AF17" s="362">
        <v>8678660</v>
      </c>
      <c r="AG17" s="362">
        <v>8747301</v>
      </c>
      <c r="AH17" s="362">
        <v>8819901</v>
      </c>
      <c r="AI17" s="362">
        <v>8891388.0000000019</v>
      </c>
      <c r="AJ17" s="362">
        <v>8955102</v>
      </c>
      <c r="AK17" s="362">
        <v>9006397.9999999981</v>
      </c>
      <c r="AL17" s="363">
        <v>9043070</v>
      </c>
      <c r="AM17" s="362">
        <v>9066710</v>
      </c>
      <c r="AN17" s="362">
        <v>9081180</v>
      </c>
      <c r="AO17" s="362">
        <v>9092313</v>
      </c>
      <c r="AP17" s="362">
        <v>9104438</v>
      </c>
      <c r="AQ17" s="362">
        <v>9118652</v>
      </c>
      <c r="AR17" s="362">
        <v>9133805</v>
      </c>
      <c r="AS17" s="362">
        <v>9149216</v>
      </c>
      <c r="AT17" s="362">
        <v>9163515</v>
      </c>
      <c r="AU17" s="362">
        <v>9175689</v>
      </c>
      <c r="AV17" s="362" t="s">
        <v>77</v>
      </c>
      <c r="AW17" s="362">
        <v>5.728131293200045E-3</v>
      </c>
      <c r="AX17" s="362">
        <v>4.0717720891305653E-3</v>
      </c>
    </row>
    <row r="18" spans="1:50" x14ac:dyDescent="0.25">
      <c r="A18" s="361" t="s">
        <v>79</v>
      </c>
      <c r="B18" s="361">
        <v>31</v>
      </c>
      <c r="C18" s="361" t="s">
        <v>78</v>
      </c>
      <c r="D18" s="361">
        <v>7</v>
      </c>
      <c r="E18" s="361">
        <v>16</v>
      </c>
      <c r="F18" s="361" t="s">
        <v>2374</v>
      </c>
      <c r="G18" s="362">
        <v>7242761.0000000009</v>
      </c>
      <c r="H18" s="362">
        <v>7357948</v>
      </c>
      <c r="I18" s="362">
        <v>7471926.0000000009</v>
      </c>
      <c r="J18" s="362">
        <v>7581754</v>
      </c>
      <c r="K18" s="362">
        <v>7683707.9999999991</v>
      </c>
      <c r="L18" s="362">
        <v>7775424</v>
      </c>
      <c r="M18" s="362">
        <v>7855553</v>
      </c>
      <c r="N18" s="362">
        <v>7925668</v>
      </c>
      <c r="O18" s="362">
        <v>7989904.9999999991</v>
      </c>
      <c r="P18" s="362">
        <v>8054126</v>
      </c>
      <c r="Q18" s="362">
        <v>8122741</v>
      </c>
      <c r="R18" s="362">
        <v>8197298</v>
      </c>
      <c r="S18" s="362">
        <v>8277061</v>
      </c>
      <c r="T18" s="362">
        <v>8361433.0000000019</v>
      </c>
      <c r="U18" s="362">
        <v>8448946</v>
      </c>
      <c r="V18" s="362">
        <v>8538605</v>
      </c>
      <c r="W18" s="362">
        <v>8630146</v>
      </c>
      <c r="X18" s="362">
        <v>8724243</v>
      </c>
      <c r="Y18" s="362">
        <v>8821873</v>
      </c>
      <c r="Z18" s="362">
        <v>8924388</v>
      </c>
      <c r="AA18" s="362">
        <v>9032461</v>
      </c>
      <c r="AB18" s="362">
        <v>9146275</v>
      </c>
      <c r="AC18" s="362">
        <v>9264691.9999999981</v>
      </c>
      <c r="AD18" s="362">
        <v>9385468.0000000019</v>
      </c>
      <c r="AE18" s="362">
        <v>9505621.9999999981</v>
      </c>
      <c r="AF18" s="362">
        <v>9622745</v>
      </c>
      <c r="AG18" s="362">
        <v>9736043</v>
      </c>
      <c r="AH18" s="362">
        <v>9845320</v>
      </c>
      <c r="AI18" s="362">
        <v>9949537</v>
      </c>
      <c r="AJ18" s="362">
        <v>10047718.000000002</v>
      </c>
      <c r="AK18" s="362">
        <v>10139177</v>
      </c>
      <c r="AL18" s="363">
        <v>10223342</v>
      </c>
      <c r="AM18" s="362">
        <v>10300205</v>
      </c>
      <c r="AN18" s="362">
        <v>10370500</v>
      </c>
      <c r="AO18" s="362">
        <v>10435339</v>
      </c>
      <c r="AP18" s="362">
        <v>10495686</v>
      </c>
      <c r="AQ18" s="362">
        <v>10551683</v>
      </c>
      <c r="AR18" s="362">
        <v>10603362</v>
      </c>
      <c r="AS18" s="362">
        <v>10651434</v>
      </c>
      <c r="AT18" s="362">
        <v>10696678</v>
      </c>
      <c r="AU18" s="362">
        <v>10739732</v>
      </c>
      <c r="AV18" s="362" t="s">
        <v>79</v>
      </c>
      <c r="AW18" s="362">
        <v>9.1024648581894407E-3</v>
      </c>
      <c r="AX18" s="362">
        <v>8.3009695954612273E-3</v>
      </c>
    </row>
    <row r="19" spans="1:50" x14ac:dyDescent="0.25">
      <c r="A19" s="361" t="s">
        <v>81</v>
      </c>
      <c r="B19" s="361">
        <v>44</v>
      </c>
      <c r="C19" s="361" t="s">
        <v>80</v>
      </c>
      <c r="D19" s="361">
        <v>11</v>
      </c>
      <c r="E19" s="361">
        <v>4</v>
      </c>
      <c r="F19" s="361" t="s">
        <v>2374</v>
      </c>
      <c r="G19" s="362">
        <v>256223.00000000003</v>
      </c>
      <c r="H19" s="362">
        <v>261007.99999999997</v>
      </c>
      <c r="I19" s="362">
        <v>266029</v>
      </c>
      <c r="J19" s="362">
        <v>271069</v>
      </c>
      <c r="K19" s="362">
        <v>275846</v>
      </c>
      <c r="L19" s="362">
        <v>280184.00000000006</v>
      </c>
      <c r="M19" s="362">
        <v>283978</v>
      </c>
      <c r="N19" s="362">
        <v>287358</v>
      </c>
      <c r="O19" s="362">
        <v>290597</v>
      </c>
      <c r="P19" s="362">
        <v>294062</v>
      </c>
      <c r="Q19" s="362">
        <v>298051</v>
      </c>
      <c r="R19" s="362">
        <v>302618</v>
      </c>
      <c r="S19" s="362">
        <v>307660.00000000006</v>
      </c>
      <c r="T19" s="362">
        <v>313129.00000000006</v>
      </c>
      <c r="U19" s="362">
        <v>318894</v>
      </c>
      <c r="V19" s="362">
        <v>324858.99999999994</v>
      </c>
      <c r="W19" s="362">
        <v>331033</v>
      </c>
      <c r="X19" s="362">
        <v>337389</v>
      </c>
      <c r="Y19" s="362">
        <v>343680.99999999994</v>
      </c>
      <c r="Z19" s="362">
        <v>349603.99999999994</v>
      </c>
      <c r="AA19" s="362">
        <v>354942</v>
      </c>
      <c r="AB19" s="362">
        <v>359577.99999999994</v>
      </c>
      <c r="AC19" s="362">
        <v>363584</v>
      </c>
      <c r="AD19" s="362">
        <v>367168.99999999994</v>
      </c>
      <c r="AE19" s="362">
        <v>370633</v>
      </c>
      <c r="AF19" s="362">
        <v>374206.00000000006</v>
      </c>
      <c r="AG19" s="362">
        <v>377930</v>
      </c>
      <c r="AH19" s="362">
        <v>381755</v>
      </c>
      <c r="AI19" s="362">
        <v>385637</v>
      </c>
      <c r="AJ19" s="362">
        <v>389482.00000000006</v>
      </c>
      <c r="AK19" s="362">
        <v>393244.00000000006</v>
      </c>
      <c r="AL19" s="363">
        <v>396913</v>
      </c>
      <c r="AM19" s="362">
        <v>400516</v>
      </c>
      <c r="AN19" s="362">
        <v>404058</v>
      </c>
      <c r="AO19" s="362">
        <v>407520</v>
      </c>
      <c r="AP19" s="362">
        <v>410932</v>
      </c>
      <c r="AQ19" s="362">
        <v>414281</v>
      </c>
      <c r="AR19" s="362">
        <v>417546</v>
      </c>
      <c r="AS19" s="362">
        <v>420733</v>
      </c>
      <c r="AT19" s="362">
        <v>423823</v>
      </c>
      <c r="AU19" s="362">
        <v>426813</v>
      </c>
      <c r="AV19" s="362" t="s">
        <v>81</v>
      </c>
      <c r="AW19" s="362">
        <v>9.6589829568503038E-3</v>
      </c>
      <c r="AX19" s="362">
        <v>9.3300851379802818E-3</v>
      </c>
    </row>
    <row r="20" spans="1:50" x14ac:dyDescent="0.25">
      <c r="A20" s="361" t="s">
        <v>83</v>
      </c>
      <c r="B20" s="361">
        <v>48</v>
      </c>
      <c r="C20" s="361" t="s">
        <v>82</v>
      </c>
      <c r="D20" s="361">
        <v>12</v>
      </c>
      <c r="E20" s="361">
        <v>17</v>
      </c>
      <c r="F20" s="361" t="s">
        <v>2374</v>
      </c>
      <c r="G20" s="362">
        <v>495931</v>
      </c>
      <c r="H20" s="362">
        <v>509760</v>
      </c>
      <c r="I20" s="362">
        <v>523086.00000000006</v>
      </c>
      <c r="J20" s="362">
        <v>536210.00000000012</v>
      </c>
      <c r="K20" s="362">
        <v>549582.99999999988</v>
      </c>
      <c r="L20" s="362">
        <v>563697</v>
      </c>
      <c r="M20" s="362">
        <v>578666</v>
      </c>
      <c r="N20" s="362">
        <v>594931</v>
      </c>
      <c r="O20" s="362">
        <v>613700</v>
      </c>
      <c r="P20" s="362">
        <v>636541</v>
      </c>
      <c r="Q20" s="362">
        <v>664611</v>
      </c>
      <c r="R20" s="362">
        <v>697545</v>
      </c>
      <c r="S20" s="362">
        <v>735146</v>
      </c>
      <c r="T20" s="362">
        <v>778708</v>
      </c>
      <c r="U20" s="362">
        <v>829844</v>
      </c>
      <c r="V20" s="362">
        <v>889164</v>
      </c>
      <c r="W20" s="362">
        <v>958418</v>
      </c>
      <c r="X20" s="362">
        <v>1035919</v>
      </c>
      <c r="Y20" s="362">
        <v>1114641</v>
      </c>
      <c r="Z20" s="362">
        <v>1185076</v>
      </c>
      <c r="AA20" s="362">
        <v>1240859.9999999998</v>
      </c>
      <c r="AB20" s="362">
        <v>1278151</v>
      </c>
      <c r="AC20" s="362">
        <v>1299944</v>
      </c>
      <c r="AD20" s="362">
        <v>1315028</v>
      </c>
      <c r="AE20" s="362">
        <v>1336075.0000000002</v>
      </c>
      <c r="AF20" s="362">
        <v>1371851.0000000002</v>
      </c>
      <c r="AG20" s="362">
        <v>1425792</v>
      </c>
      <c r="AH20" s="362">
        <v>1494076</v>
      </c>
      <c r="AI20" s="362">
        <v>1569446</v>
      </c>
      <c r="AJ20" s="362">
        <v>1641172</v>
      </c>
      <c r="AK20" s="362">
        <v>1701575</v>
      </c>
      <c r="AL20" s="363">
        <v>1748296</v>
      </c>
      <c r="AM20" s="362">
        <v>1783983</v>
      </c>
      <c r="AN20" s="362">
        <v>1811994</v>
      </c>
      <c r="AO20" s="362">
        <v>1837727</v>
      </c>
      <c r="AP20" s="362">
        <v>1865081</v>
      </c>
      <c r="AQ20" s="362">
        <v>1894876</v>
      </c>
      <c r="AR20" s="362">
        <v>1925727</v>
      </c>
      <c r="AS20" s="362">
        <v>1956740</v>
      </c>
      <c r="AT20" s="362">
        <v>1986344</v>
      </c>
      <c r="AU20" s="362">
        <v>2013416</v>
      </c>
      <c r="AV20" s="362" t="s">
        <v>83</v>
      </c>
      <c r="AW20" s="362">
        <v>3.6804795597292772E-2</v>
      </c>
      <c r="AX20" s="362">
        <v>2.7457502607878048E-2</v>
      </c>
    </row>
    <row r="21" spans="1:50" x14ac:dyDescent="0.25">
      <c r="A21" s="361" t="s">
        <v>85</v>
      </c>
      <c r="B21" s="361">
        <v>50</v>
      </c>
      <c r="C21" s="361" t="s">
        <v>84</v>
      </c>
      <c r="D21" s="361">
        <v>13</v>
      </c>
      <c r="E21" s="361">
        <v>25</v>
      </c>
      <c r="F21" s="361" t="s">
        <v>2374</v>
      </c>
      <c r="G21" s="362">
        <v>103171956.00000001</v>
      </c>
      <c r="H21" s="362">
        <v>105599127</v>
      </c>
      <c r="I21" s="362">
        <v>107983704</v>
      </c>
      <c r="J21" s="362">
        <v>110350639</v>
      </c>
      <c r="K21" s="362">
        <v>112737683</v>
      </c>
      <c r="L21" s="362">
        <v>115169930</v>
      </c>
      <c r="M21" s="362">
        <v>117649932</v>
      </c>
      <c r="N21" s="362">
        <v>120160564</v>
      </c>
      <c r="O21" s="362">
        <v>122682815</v>
      </c>
      <c r="P21" s="362">
        <v>125189651</v>
      </c>
      <c r="Q21" s="362">
        <v>127657854</v>
      </c>
      <c r="R21" s="362">
        <v>130088702.00000001</v>
      </c>
      <c r="S21" s="362">
        <v>132478086.00000001</v>
      </c>
      <c r="T21" s="362">
        <v>134791603</v>
      </c>
      <c r="U21" s="362">
        <v>136986432</v>
      </c>
      <c r="V21" s="362">
        <v>139035505</v>
      </c>
      <c r="W21" s="362">
        <v>140921167</v>
      </c>
      <c r="X21" s="362">
        <v>142660376</v>
      </c>
      <c r="Y21" s="362">
        <v>144304166.99999997</v>
      </c>
      <c r="Z21" s="362">
        <v>145924796.99999997</v>
      </c>
      <c r="AA21" s="362">
        <v>147575429.99999997</v>
      </c>
      <c r="AB21" s="362">
        <v>149273139</v>
      </c>
      <c r="AC21" s="362">
        <v>151005739</v>
      </c>
      <c r="AD21" s="362">
        <v>152761418</v>
      </c>
      <c r="AE21" s="362">
        <v>154517382.00000003</v>
      </c>
      <c r="AF21" s="362">
        <v>156256276</v>
      </c>
      <c r="AG21" s="362">
        <v>157977153</v>
      </c>
      <c r="AH21" s="362">
        <v>159685424</v>
      </c>
      <c r="AI21" s="362">
        <v>161376708</v>
      </c>
      <c r="AJ21" s="362">
        <v>163046160.99999997</v>
      </c>
      <c r="AK21" s="362">
        <v>164689383</v>
      </c>
      <c r="AL21" s="363">
        <v>166303498</v>
      </c>
      <c r="AM21" s="362">
        <v>167885689</v>
      </c>
      <c r="AN21" s="362">
        <v>169431797</v>
      </c>
      <c r="AO21" s="362">
        <v>170937442</v>
      </c>
      <c r="AP21" s="362">
        <v>172399078</v>
      </c>
      <c r="AQ21" s="362">
        <v>173813769</v>
      </c>
      <c r="AR21" s="362">
        <v>175180151</v>
      </c>
      <c r="AS21" s="362">
        <v>176498335</v>
      </c>
      <c r="AT21" s="362">
        <v>177769396</v>
      </c>
      <c r="AU21" s="362">
        <v>178993869</v>
      </c>
      <c r="AV21" s="362" t="s">
        <v>85</v>
      </c>
      <c r="AW21" s="362">
        <v>1.0078262437593022E-2</v>
      </c>
      <c r="AX21" s="362">
        <v>9.8009657368136605E-3</v>
      </c>
    </row>
    <row r="22" spans="1:50" x14ac:dyDescent="0.25">
      <c r="A22" s="361" t="s">
        <v>87</v>
      </c>
      <c r="B22" s="361">
        <v>52</v>
      </c>
      <c r="C22" s="361" t="s">
        <v>86</v>
      </c>
      <c r="D22" s="361">
        <v>15</v>
      </c>
      <c r="E22" s="361">
        <v>4</v>
      </c>
      <c r="F22" s="361" t="s">
        <v>2374</v>
      </c>
      <c r="G22" s="362">
        <v>260936</v>
      </c>
      <c r="H22" s="362">
        <v>261905</v>
      </c>
      <c r="I22" s="362">
        <v>262886</v>
      </c>
      <c r="J22" s="362">
        <v>263874</v>
      </c>
      <c r="K22" s="362">
        <v>264893</v>
      </c>
      <c r="L22" s="362">
        <v>265955</v>
      </c>
      <c r="M22" s="362">
        <v>267049</v>
      </c>
      <c r="N22" s="362">
        <v>268187</v>
      </c>
      <c r="O22" s="362">
        <v>269336</v>
      </c>
      <c r="P22" s="362">
        <v>270451</v>
      </c>
      <c r="Q22" s="362">
        <v>271515</v>
      </c>
      <c r="R22" s="362">
        <v>272500</v>
      </c>
      <c r="S22" s="362">
        <v>273425.00000000006</v>
      </c>
      <c r="T22" s="362">
        <v>274329</v>
      </c>
      <c r="U22" s="362">
        <v>275284</v>
      </c>
      <c r="V22" s="362">
        <v>276323</v>
      </c>
      <c r="W22" s="362">
        <v>277477</v>
      </c>
      <c r="X22" s="362">
        <v>278700</v>
      </c>
      <c r="Y22" s="362">
        <v>279946</v>
      </c>
      <c r="Z22" s="362">
        <v>281103.99999999994</v>
      </c>
      <c r="AA22" s="362">
        <v>282130.99999999994</v>
      </c>
      <c r="AB22" s="362">
        <v>282987.00000000006</v>
      </c>
      <c r="AC22" s="362">
        <v>283701.00000000006</v>
      </c>
      <c r="AD22" s="362">
        <v>284296</v>
      </c>
      <c r="AE22" s="362">
        <v>284826</v>
      </c>
      <c r="AF22" s="362">
        <v>285324</v>
      </c>
      <c r="AG22" s="362">
        <v>285796</v>
      </c>
      <c r="AH22" s="362">
        <v>286232.00000000006</v>
      </c>
      <c r="AI22" s="362">
        <v>286641.00000000006</v>
      </c>
      <c r="AJ22" s="362">
        <v>287025</v>
      </c>
      <c r="AK22" s="362">
        <v>287375</v>
      </c>
      <c r="AL22" s="363">
        <v>287711</v>
      </c>
      <c r="AM22" s="362">
        <v>288023</v>
      </c>
      <c r="AN22" s="362">
        <v>288309</v>
      </c>
      <c r="AO22" s="362">
        <v>288569</v>
      </c>
      <c r="AP22" s="362">
        <v>288806</v>
      </c>
      <c r="AQ22" s="362">
        <v>289002</v>
      </c>
      <c r="AR22" s="362">
        <v>289168</v>
      </c>
      <c r="AS22" s="362">
        <v>289303</v>
      </c>
      <c r="AT22" s="362">
        <v>289398</v>
      </c>
      <c r="AU22" s="362">
        <v>289444</v>
      </c>
      <c r="AV22" s="362" t="s">
        <v>87</v>
      </c>
      <c r="AW22" s="362">
        <v>1.2194059750891828E-3</v>
      </c>
      <c r="AX22" s="362">
        <v>1.1692040017399208E-3</v>
      </c>
    </row>
    <row r="23" spans="1:50" x14ac:dyDescent="0.25">
      <c r="A23" s="361" t="s">
        <v>89</v>
      </c>
      <c r="B23" s="361">
        <v>112</v>
      </c>
      <c r="C23" s="361" t="s">
        <v>88</v>
      </c>
      <c r="D23" s="361">
        <v>30</v>
      </c>
      <c r="E23" s="361">
        <v>14</v>
      </c>
      <c r="F23" s="361" t="s">
        <v>2374</v>
      </c>
      <c r="G23" s="362">
        <v>10151134</v>
      </c>
      <c r="H23" s="362">
        <v>10160797</v>
      </c>
      <c r="I23" s="362">
        <v>10154334</v>
      </c>
      <c r="J23" s="362">
        <v>10135127</v>
      </c>
      <c r="K23" s="362">
        <v>10108291</v>
      </c>
      <c r="L23" s="362">
        <v>10077608</v>
      </c>
      <c r="M23" s="362">
        <v>10044853</v>
      </c>
      <c r="N23" s="362">
        <v>10009394</v>
      </c>
      <c r="O23" s="362">
        <v>9969987</v>
      </c>
      <c r="P23" s="362">
        <v>9924437</v>
      </c>
      <c r="Q23" s="362">
        <v>9871632</v>
      </c>
      <c r="R23" s="362">
        <v>9811401</v>
      </c>
      <c r="S23" s="362">
        <v>9745923.0000000019</v>
      </c>
      <c r="T23" s="362">
        <v>9679235</v>
      </c>
      <c r="U23" s="362">
        <v>9616634</v>
      </c>
      <c r="V23" s="362">
        <v>9562088</v>
      </c>
      <c r="W23" s="362">
        <v>9516883</v>
      </c>
      <c r="X23" s="362">
        <v>9480514.9999999981</v>
      </c>
      <c r="Y23" s="362">
        <v>9452855</v>
      </c>
      <c r="Z23" s="362">
        <v>9433152</v>
      </c>
      <c r="AA23" s="362">
        <v>9420574</v>
      </c>
      <c r="AB23" s="362">
        <v>9415320</v>
      </c>
      <c r="AC23" s="362">
        <v>9417046</v>
      </c>
      <c r="AD23" s="362">
        <v>9423506</v>
      </c>
      <c r="AE23" s="362">
        <v>9431735</v>
      </c>
      <c r="AF23" s="362">
        <v>9439423.0000000019</v>
      </c>
      <c r="AG23" s="362">
        <v>9445643</v>
      </c>
      <c r="AH23" s="362">
        <v>9450231</v>
      </c>
      <c r="AI23" s="362">
        <v>9452617</v>
      </c>
      <c r="AJ23" s="362">
        <v>9452411</v>
      </c>
      <c r="AK23" s="362">
        <v>9449323</v>
      </c>
      <c r="AL23" s="363">
        <v>9442862</v>
      </c>
      <c r="AM23" s="362">
        <v>9432800</v>
      </c>
      <c r="AN23" s="362">
        <v>9419487</v>
      </c>
      <c r="AO23" s="362">
        <v>9403539</v>
      </c>
      <c r="AP23" s="362">
        <v>9385438</v>
      </c>
      <c r="AQ23" s="362">
        <v>9365307</v>
      </c>
      <c r="AR23" s="362">
        <v>9343090</v>
      </c>
      <c r="AS23" s="362">
        <v>9318860</v>
      </c>
      <c r="AT23" s="362">
        <v>9292717</v>
      </c>
      <c r="AU23" s="362">
        <v>9264784</v>
      </c>
      <c r="AV23" s="362" t="s">
        <v>89</v>
      </c>
      <c r="AW23" s="362">
        <v>-3.266891378295167E-4</v>
      </c>
      <c r="AX23" s="362">
        <v>-6.8375268789100385E-4</v>
      </c>
    </row>
    <row r="24" spans="1:50" x14ac:dyDescent="0.25">
      <c r="A24" s="361" t="s">
        <v>91</v>
      </c>
      <c r="B24" s="361">
        <v>56</v>
      </c>
      <c r="C24" s="361" t="s">
        <v>90</v>
      </c>
      <c r="D24" s="361">
        <v>16</v>
      </c>
      <c r="E24" s="361">
        <v>11</v>
      </c>
      <c r="F24" s="361" t="s">
        <v>2374</v>
      </c>
      <c r="G24" s="362">
        <v>10006544</v>
      </c>
      <c r="H24" s="362">
        <v>10039444.999999998</v>
      </c>
      <c r="I24" s="362">
        <v>10078101</v>
      </c>
      <c r="J24" s="362">
        <v>10118674</v>
      </c>
      <c r="K24" s="362">
        <v>10155918.999999998</v>
      </c>
      <c r="L24" s="362">
        <v>10186305</v>
      </c>
      <c r="M24" s="362">
        <v>10208275</v>
      </c>
      <c r="N24" s="362">
        <v>10223789</v>
      </c>
      <c r="O24" s="362">
        <v>10237299</v>
      </c>
      <c r="P24" s="362">
        <v>10255160</v>
      </c>
      <c r="Q24" s="362">
        <v>10282033</v>
      </c>
      <c r="R24" s="362">
        <v>10319019</v>
      </c>
      <c r="S24" s="362">
        <v>10364885.000000002</v>
      </c>
      <c r="T24" s="362">
        <v>10419032</v>
      </c>
      <c r="U24" s="362">
        <v>10480117</v>
      </c>
      <c r="V24" s="362">
        <v>10546886</v>
      </c>
      <c r="W24" s="362">
        <v>10619475</v>
      </c>
      <c r="X24" s="362">
        <v>10697572.000000002</v>
      </c>
      <c r="Y24" s="362">
        <v>10778758</v>
      </c>
      <c r="Z24" s="362">
        <v>10859940</v>
      </c>
      <c r="AA24" s="362">
        <v>10938739</v>
      </c>
      <c r="AB24" s="362">
        <v>11013853</v>
      </c>
      <c r="AC24" s="362">
        <v>11085358</v>
      </c>
      <c r="AD24" s="362">
        <v>11154009</v>
      </c>
      <c r="AE24" s="362">
        <v>11221231</v>
      </c>
      <c r="AF24" s="362">
        <v>11287940</v>
      </c>
      <c r="AG24" s="362">
        <v>11354420</v>
      </c>
      <c r="AH24" s="362">
        <v>11419748</v>
      </c>
      <c r="AI24" s="362">
        <v>11482178</v>
      </c>
      <c r="AJ24" s="362">
        <v>11539328</v>
      </c>
      <c r="AK24" s="362">
        <v>11589623</v>
      </c>
      <c r="AL24" s="363">
        <v>11632326</v>
      </c>
      <c r="AM24" s="362">
        <v>11668278</v>
      </c>
      <c r="AN24" s="362">
        <v>11699400</v>
      </c>
      <c r="AO24" s="362">
        <v>11728458</v>
      </c>
      <c r="AP24" s="362">
        <v>11757510</v>
      </c>
      <c r="AQ24" s="362">
        <v>11787207</v>
      </c>
      <c r="AR24" s="362">
        <v>11817125</v>
      </c>
      <c r="AS24" s="362">
        <v>11846942</v>
      </c>
      <c r="AT24" s="362">
        <v>11875982</v>
      </c>
      <c r="AU24" s="362">
        <v>11903750</v>
      </c>
      <c r="AV24" s="362" t="s">
        <v>91</v>
      </c>
      <c r="AW24" s="362">
        <v>4.3585727002473096E-3</v>
      </c>
      <c r="AX24" s="362">
        <v>3.6845892226176069E-3</v>
      </c>
    </row>
    <row r="25" spans="1:50" x14ac:dyDescent="0.25">
      <c r="A25" s="361" t="s">
        <v>93</v>
      </c>
      <c r="B25" s="361">
        <v>84</v>
      </c>
      <c r="C25" s="361" t="s">
        <v>92</v>
      </c>
      <c r="D25" s="361">
        <v>23</v>
      </c>
      <c r="E25" s="361">
        <v>4</v>
      </c>
      <c r="F25" s="361" t="s">
        <v>2374</v>
      </c>
      <c r="G25" s="362">
        <v>187552</v>
      </c>
      <c r="H25" s="362">
        <v>191128</v>
      </c>
      <c r="I25" s="362">
        <v>194324.00000000003</v>
      </c>
      <c r="J25" s="362">
        <v>197622.00000000003</v>
      </c>
      <c r="K25" s="362">
        <v>201680</v>
      </c>
      <c r="L25" s="362">
        <v>206962.99999999997</v>
      </c>
      <c r="M25" s="362">
        <v>213664</v>
      </c>
      <c r="N25" s="362">
        <v>221580</v>
      </c>
      <c r="O25" s="362">
        <v>230244</v>
      </c>
      <c r="P25" s="362">
        <v>238988</v>
      </c>
      <c r="Q25" s="362">
        <v>247315</v>
      </c>
      <c r="R25" s="362">
        <v>255062.99999999997</v>
      </c>
      <c r="S25" s="362">
        <v>262378</v>
      </c>
      <c r="T25" s="362">
        <v>269425</v>
      </c>
      <c r="U25" s="362">
        <v>276504</v>
      </c>
      <c r="V25" s="362">
        <v>283800</v>
      </c>
      <c r="W25" s="362">
        <v>291329</v>
      </c>
      <c r="X25" s="362">
        <v>299025</v>
      </c>
      <c r="Y25" s="362">
        <v>306822.99999999994</v>
      </c>
      <c r="Z25" s="362">
        <v>314654.99999999994</v>
      </c>
      <c r="AA25" s="362">
        <v>322464</v>
      </c>
      <c r="AB25" s="362">
        <v>330237</v>
      </c>
      <c r="AC25" s="362">
        <v>338000</v>
      </c>
      <c r="AD25" s="362">
        <v>345715</v>
      </c>
      <c r="AE25" s="362">
        <v>353365.99999999994</v>
      </c>
      <c r="AF25" s="362">
        <v>360933</v>
      </c>
      <c r="AG25" s="362">
        <v>368399.99999999994</v>
      </c>
      <c r="AH25" s="362">
        <v>375769</v>
      </c>
      <c r="AI25" s="362">
        <v>383071.00000000006</v>
      </c>
      <c r="AJ25" s="362">
        <v>390353</v>
      </c>
      <c r="AK25" s="362">
        <v>397628</v>
      </c>
      <c r="AL25" s="363">
        <v>404914</v>
      </c>
      <c r="AM25" s="362">
        <v>412190</v>
      </c>
      <c r="AN25" s="362">
        <v>419438</v>
      </c>
      <c r="AO25" s="362">
        <v>426619</v>
      </c>
      <c r="AP25" s="362">
        <v>433715</v>
      </c>
      <c r="AQ25" s="362">
        <v>440710</v>
      </c>
      <c r="AR25" s="362">
        <v>447604</v>
      </c>
      <c r="AS25" s="362">
        <v>454389</v>
      </c>
      <c r="AT25" s="362">
        <v>461072</v>
      </c>
      <c r="AU25" s="362">
        <v>467633</v>
      </c>
      <c r="AV25" s="362" t="s">
        <v>93</v>
      </c>
      <c r="AW25" s="362">
        <v>1.8636977300033664E-2</v>
      </c>
      <c r="AX25" s="362">
        <v>1.8323659299646966E-2</v>
      </c>
    </row>
    <row r="26" spans="1:50" x14ac:dyDescent="0.25">
      <c r="A26" s="361" t="s">
        <v>95</v>
      </c>
      <c r="B26" s="361">
        <v>204</v>
      </c>
      <c r="C26" s="361" t="s">
        <v>94</v>
      </c>
      <c r="D26" s="361">
        <v>52</v>
      </c>
      <c r="E26" s="361">
        <v>8</v>
      </c>
      <c r="F26" s="361" t="s">
        <v>2374</v>
      </c>
      <c r="G26" s="362">
        <v>4978496</v>
      </c>
      <c r="H26" s="362">
        <v>5149499</v>
      </c>
      <c r="I26" s="362">
        <v>5331803</v>
      </c>
      <c r="J26" s="362">
        <v>5521763</v>
      </c>
      <c r="K26" s="362">
        <v>5714220</v>
      </c>
      <c r="L26" s="362">
        <v>5905558</v>
      </c>
      <c r="M26" s="362">
        <v>6094259</v>
      </c>
      <c r="N26" s="362">
        <v>6281639</v>
      </c>
      <c r="O26" s="362">
        <v>6470265</v>
      </c>
      <c r="P26" s="362">
        <v>6664098</v>
      </c>
      <c r="Q26" s="362">
        <v>6865951</v>
      </c>
      <c r="R26" s="362">
        <v>7076733</v>
      </c>
      <c r="S26" s="362">
        <v>7295394</v>
      </c>
      <c r="T26" s="362">
        <v>7520555</v>
      </c>
      <c r="U26" s="362">
        <v>7750004</v>
      </c>
      <c r="V26" s="362">
        <v>7982225.0000000009</v>
      </c>
      <c r="W26" s="362">
        <v>8216897.0000000009</v>
      </c>
      <c r="X26" s="362">
        <v>8454793</v>
      </c>
      <c r="Y26" s="362">
        <v>8696921</v>
      </c>
      <c r="Z26" s="362">
        <v>8944708</v>
      </c>
      <c r="AA26" s="362">
        <v>9199259</v>
      </c>
      <c r="AB26" s="362">
        <v>9460831</v>
      </c>
      <c r="AC26" s="362">
        <v>9729249</v>
      </c>
      <c r="AD26" s="362">
        <v>10004591</v>
      </c>
      <c r="AE26" s="362">
        <v>10286843.999999998</v>
      </c>
      <c r="AF26" s="362">
        <v>10575952</v>
      </c>
      <c r="AG26" s="362">
        <v>10872063</v>
      </c>
      <c r="AH26" s="362">
        <v>11175198</v>
      </c>
      <c r="AI26" s="362">
        <v>11485044</v>
      </c>
      <c r="AJ26" s="362">
        <v>11801150.999999998</v>
      </c>
      <c r="AK26" s="362">
        <v>12123200</v>
      </c>
      <c r="AL26" s="363">
        <v>12451040</v>
      </c>
      <c r="AM26" s="362">
        <v>12784726</v>
      </c>
      <c r="AN26" s="362">
        <v>13124356</v>
      </c>
      <c r="AO26" s="362">
        <v>13470096</v>
      </c>
      <c r="AP26" s="362">
        <v>13822071</v>
      </c>
      <c r="AQ26" s="362">
        <v>14180223</v>
      </c>
      <c r="AR26" s="362">
        <v>14544420</v>
      </c>
      <c r="AS26" s="362">
        <v>14914570</v>
      </c>
      <c r="AT26" s="362">
        <v>15290578</v>
      </c>
      <c r="AU26" s="362">
        <v>15672304</v>
      </c>
      <c r="AV26" s="362" t="s">
        <v>95</v>
      </c>
      <c r="AW26" s="362">
        <v>2.7289626240694753E-2</v>
      </c>
      <c r="AX26" s="362">
        <v>2.7042365052131423E-2</v>
      </c>
    </row>
    <row r="27" spans="1:50" x14ac:dyDescent="0.25">
      <c r="A27" s="361" t="s">
        <v>97</v>
      </c>
      <c r="B27" s="361">
        <v>60</v>
      </c>
      <c r="C27" s="361" t="s">
        <v>96</v>
      </c>
      <c r="D27" s="361">
        <v>17</v>
      </c>
      <c r="E27" s="361">
        <v>4</v>
      </c>
      <c r="F27" s="361" t="s">
        <v>2374</v>
      </c>
      <c r="G27" s="362">
        <v>61634</v>
      </c>
      <c r="H27" s="362">
        <v>62020.000000000007</v>
      </c>
      <c r="I27" s="362">
        <v>62389</v>
      </c>
      <c r="J27" s="362">
        <v>62750</v>
      </c>
      <c r="K27" s="362">
        <v>63101.000000000007</v>
      </c>
      <c r="L27" s="362">
        <v>63442</v>
      </c>
      <c r="M27" s="362">
        <v>63774</v>
      </c>
      <c r="N27" s="362">
        <v>64080</v>
      </c>
      <c r="O27" s="362">
        <v>64393.000000000007</v>
      </c>
      <c r="P27" s="362">
        <v>64700.000000000007</v>
      </c>
      <c r="Q27" s="362">
        <v>65012</v>
      </c>
      <c r="R27" s="362">
        <v>65329</v>
      </c>
      <c r="S27" s="362">
        <v>65656</v>
      </c>
      <c r="T27" s="362">
        <v>65943</v>
      </c>
      <c r="U27" s="362">
        <v>66150</v>
      </c>
      <c r="V27" s="362">
        <v>66257.000000000015</v>
      </c>
      <c r="W27" s="362">
        <v>66248</v>
      </c>
      <c r="X27" s="362">
        <v>66129</v>
      </c>
      <c r="Y27" s="362">
        <v>65931</v>
      </c>
      <c r="Z27" s="362">
        <v>65674.000000000015</v>
      </c>
      <c r="AA27" s="362">
        <v>65389</v>
      </c>
      <c r="AB27" s="362">
        <v>65078</v>
      </c>
      <c r="AC27" s="362">
        <v>64736.999999999985</v>
      </c>
      <c r="AD27" s="362">
        <v>64386</v>
      </c>
      <c r="AE27" s="362">
        <v>64033.000000000007</v>
      </c>
      <c r="AF27" s="362">
        <v>63692</v>
      </c>
      <c r="AG27" s="362">
        <v>63362</v>
      </c>
      <c r="AH27" s="362">
        <v>63048.999999999993</v>
      </c>
      <c r="AI27" s="362">
        <v>62756.000000000007</v>
      </c>
      <c r="AJ27" s="362">
        <v>62506.000000000007</v>
      </c>
      <c r="AK27" s="362">
        <v>62278</v>
      </c>
      <c r="AL27" s="363">
        <v>62090</v>
      </c>
      <c r="AM27" s="362">
        <v>61939</v>
      </c>
      <c r="AN27" s="362">
        <v>61806</v>
      </c>
      <c r="AO27" s="362">
        <v>61672</v>
      </c>
      <c r="AP27" s="362">
        <v>61510</v>
      </c>
      <c r="AQ27" s="362">
        <v>61342</v>
      </c>
      <c r="AR27" s="362">
        <v>61151</v>
      </c>
      <c r="AS27" s="362">
        <v>60948</v>
      </c>
      <c r="AT27" s="362">
        <v>60722</v>
      </c>
      <c r="AU27" s="362">
        <v>60492</v>
      </c>
      <c r="AV27" s="362" t="s">
        <v>97</v>
      </c>
      <c r="AW27" s="362">
        <v>-3.6476498256168277E-3</v>
      </c>
      <c r="AX27" s="362">
        <v>-3.0187225023282638E-3</v>
      </c>
    </row>
    <row r="28" spans="1:50" x14ac:dyDescent="0.25">
      <c r="A28" s="361" t="s">
        <v>99</v>
      </c>
      <c r="B28" s="361">
        <v>64</v>
      </c>
      <c r="C28" s="361" t="s">
        <v>98</v>
      </c>
      <c r="D28" s="361">
        <v>18</v>
      </c>
      <c r="E28" s="361">
        <v>25</v>
      </c>
      <c r="F28" s="361" t="s">
        <v>2374</v>
      </c>
      <c r="G28" s="362">
        <v>530804</v>
      </c>
      <c r="H28" s="362">
        <v>534632</v>
      </c>
      <c r="I28" s="362">
        <v>534516</v>
      </c>
      <c r="J28" s="362">
        <v>532596</v>
      </c>
      <c r="K28" s="362">
        <v>531897.00000000012</v>
      </c>
      <c r="L28" s="362">
        <v>534620</v>
      </c>
      <c r="M28" s="362">
        <v>541465.00000000012</v>
      </c>
      <c r="N28" s="362">
        <v>551708.99999999988</v>
      </c>
      <c r="O28" s="362">
        <v>564376.99999999988</v>
      </c>
      <c r="P28" s="362">
        <v>577881</v>
      </c>
      <c r="Q28" s="362">
        <v>591020.99999999988</v>
      </c>
      <c r="R28" s="362">
        <v>603640</v>
      </c>
      <c r="S28" s="362">
        <v>616018.00000000012</v>
      </c>
      <c r="T28" s="362">
        <v>627839</v>
      </c>
      <c r="U28" s="362">
        <v>638815</v>
      </c>
      <c r="V28" s="362">
        <v>648739.00000000012</v>
      </c>
      <c r="W28" s="362">
        <v>657409.99999999988</v>
      </c>
      <c r="X28" s="362">
        <v>664876</v>
      </c>
      <c r="Y28" s="362">
        <v>671613</v>
      </c>
      <c r="Z28" s="362">
        <v>678323</v>
      </c>
      <c r="AA28" s="362">
        <v>685503.00000000012</v>
      </c>
      <c r="AB28" s="362">
        <v>693298</v>
      </c>
      <c r="AC28" s="362">
        <v>701581</v>
      </c>
      <c r="AD28" s="362">
        <v>710237</v>
      </c>
      <c r="AE28" s="362">
        <v>719055</v>
      </c>
      <c r="AF28" s="362">
        <v>727876</v>
      </c>
      <c r="AG28" s="362">
        <v>736707.99999999988</v>
      </c>
      <c r="AH28" s="362">
        <v>745563</v>
      </c>
      <c r="AI28" s="362">
        <v>754388.00000000012</v>
      </c>
      <c r="AJ28" s="362">
        <v>763092</v>
      </c>
      <c r="AK28" s="362">
        <v>771608</v>
      </c>
      <c r="AL28" s="363">
        <v>779898</v>
      </c>
      <c r="AM28" s="362">
        <v>787941</v>
      </c>
      <c r="AN28" s="362">
        <v>795732</v>
      </c>
      <c r="AO28" s="362">
        <v>803270</v>
      </c>
      <c r="AP28" s="362">
        <v>810540</v>
      </c>
      <c r="AQ28" s="362">
        <v>817555</v>
      </c>
      <c r="AR28" s="362">
        <v>824274</v>
      </c>
      <c r="AS28" s="362">
        <v>830708</v>
      </c>
      <c r="AT28" s="362">
        <v>836839</v>
      </c>
      <c r="AU28" s="362">
        <v>842670</v>
      </c>
      <c r="AV28" s="362" t="s">
        <v>99</v>
      </c>
      <c r="AW28" s="362">
        <v>1.1159860147924583E-2</v>
      </c>
      <c r="AX28" s="362">
        <v>1.0743797368611974E-2</v>
      </c>
    </row>
    <row r="29" spans="1:50" x14ac:dyDescent="0.25">
      <c r="A29" s="361" t="s">
        <v>101</v>
      </c>
      <c r="B29" s="361">
        <v>68</v>
      </c>
      <c r="C29" s="361" t="s">
        <v>100</v>
      </c>
      <c r="D29" s="361">
        <v>19</v>
      </c>
      <c r="E29" s="361">
        <v>6</v>
      </c>
      <c r="F29" s="361" t="s">
        <v>2374</v>
      </c>
      <c r="G29" s="362">
        <v>6864841.9999999991</v>
      </c>
      <c r="H29" s="362">
        <v>7011453</v>
      </c>
      <c r="I29" s="362">
        <v>7160920</v>
      </c>
      <c r="J29" s="362">
        <v>7312850</v>
      </c>
      <c r="K29" s="362">
        <v>7466793</v>
      </c>
      <c r="L29" s="362">
        <v>7622338</v>
      </c>
      <c r="M29" s="362">
        <v>7779267</v>
      </c>
      <c r="N29" s="362">
        <v>7937457.9999999991</v>
      </c>
      <c r="O29" s="362">
        <v>8096761.0000000009</v>
      </c>
      <c r="P29" s="362">
        <v>8257066</v>
      </c>
      <c r="Q29" s="362">
        <v>8418263.9999999981</v>
      </c>
      <c r="R29" s="362">
        <v>8580235</v>
      </c>
      <c r="S29" s="362">
        <v>8742814.0000000019</v>
      </c>
      <c r="T29" s="362">
        <v>8905823</v>
      </c>
      <c r="U29" s="362">
        <v>9069039</v>
      </c>
      <c r="V29" s="362">
        <v>9232306.0000000019</v>
      </c>
      <c r="W29" s="362">
        <v>9395446</v>
      </c>
      <c r="X29" s="362">
        <v>9558439</v>
      </c>
      <c r="Y29" s="362">
        <v>9721454</v>
      </c>
      <c r="Z29" s="362">
        <v>9884781</v>
      </c>
      <c r="AA29" s="362">
        <v>10048590</v>
      </c>
      <c r="AB29" s="362">
        <v>10212954</v>
      </c>
      <c r="AC29" s="362">
        <v>10377676</v>
      </c>
      <c r="AD29" s="362">
        <v>10542377</v>
      </c>
      <c r="AE29" s="362">
        <v>10706517</v>
      </c>
      <c r="AF29" s="362">
        <v>10869729.999999998</v>
      </c>
      <c r="AG29" s="362">
        <v>11031814</v>
      </c>
      <c r="AH29" s="362">
        <v>11192855</v>
      </c>
      <c r="AI29" s="362">
        <v>11353142</v>
      </c>
      <c r="AJ29" s="362">
        <v>11513100</v>
      </c>
      <c r="AK29" s="362">
        <v>11673021</v>
      </c>
      <c r="AL29" s="363">
        <v>11832940</v>
      </c>
      <c r="AM29" s="362">
        <v>11992656</v>
      </c>
      <c r="AN29" s="362">
        <v>12151989</v>
      </c>
      <c r="AO29" s="362">
        <v>12310670</v>
      </c>
      <c r="AP29" s="362">
        <v>12468487</v>
      </c>
      <c r="AQ29" s="362">
        <v>12625331</v>
      </c>
      <c r="AR29" s="362">
        <v>12781161</v>
      </c>
      <c r="AS29" s="362">
        <v>12935762</v>
      </c>
      <c r="AT29" s="362">
        <v>13088903</v>
      </c>
      <c r="AU29" s="362">
        <v>13240382</v>
      </c>
      <c r="AV29" s="362" t="s">
        <v>101</v>
      </c>
      <c r="AW29" s="362">
        <v>1.3890350991479172E-2</v>
      </c>
      <c r="AX29" s="362">
        <v>1.3699881119034973E-2</v>
      </c>
    </row>
    <row r="30" spans="1:50" x14ac:dyDescent="0.25">
      <c r="A30" s="361" t="s">
        <v>103</v>
      </c>
      <c r="B30" s="361">
        <v>70</v>
      </c>
      <c r="C30" s="361" t="s">
        <v>102</v>
      </c>
      <c r="D30" s="361">
        <v>20</v>
      </c>
      <c r="E30" s="361">
        <v>12</v>
      </c>
      <c r="F30" s="361" t="s">
        <v>2374</v>
      </c>
      <c r="G30" s="362">
        <v>4463423</v>
      </c>
      <c r="H30" s="362">
        <v>4369319.0000000009</v>
      </c>
      <c r="I30" s="362">
        <v>4233676</v>
      </c>
      <c r="J30" s="362">
        <v>4078937</v>
      </c>
      <c r="K30" s="362">
        <v>3936524</v>
      </c>
      <c r="L30" s="362">
        <v>3829050</v>
      </c>
      <c r="M30" s="362">
        <v>3764425</v>
      </c>
      <c r="N30" s="362">
        <v>3736070</v>
      </c>
      <c r="O30" s="362">
        <v>3734337</v>
      </c>
      <c r="P30" s="362">
        <v>3743353.9999999995</v>
      </c>
      <c r="Q30" s="362">
        <v>3751176</v>
      </c>
      <c r="R30" s="362">
        <v>3755512</v>
      </c>
      <c r="S30" s="362">
        <v>3759387.0000000005</v>
      </c>
      <c r="T30" s="362">
        <v>3762173</v>
      </c>
      <c r="U30" s="362">
        <v>3764194</v>
      </c>
      <c r="V30" s="362">
        <v>3765331</v>
      </c>
      <c r="W30" s="362">
        <v>3765424</v>
      </c>
      <c r="X30" s="362">
        <v>3762786</v>
      </c>
      <c r="Y30" s="362">
        <v>3754271</v>
      </c>
      <c r="Z30" s="362">
        <v>3735938</v>
      </c>
      <c r="AA30" s="362">
        <v>3705472.0000000005</v>
      </c>
      <c r="AB30" s="362">
        <v>3661175</v>
      </c>
      <c r="AC30" s="362">
        <v>3604972</v>
      </c>
      <c r="AD30" s="362">
        <v>3542606</v>
      </c>
      <c r="AE30" s="362">
        <v>3482105</v>
      </c>
      <c r="AF30" s="362">
        <v>3429360.9999999995</v>
      </c>
      <c r="AG30" s="362">
        <v>3386266</v>
      </c>
      <c r="AH30" s="362">
        <v>3351525</v>
      </c>
      <c r="AI30" s="362">
        <v>3323925</v>
      </c>
      <c r="AJ30" s="362">
        <v>3301000</v>
      </c>
      <c r="AK30" s="362">
        <v>3280819</v>
      </c>
      <c r="AL30" s="363">
        <v>3263466</v>
      </c>
      <c r="AM30" s="362">
        <v>3249317</v>
      </c>
      <c r="AN30" s="362">
        <v>3237063</v>
      </c>
      <c r="AO30" s="362">
        <v>3225022</v>
      </c>
      <c r="AP30" s="362">
        <v>3211970</v>
      </c>
      <c r="AQ30" s="362">
        <v>3197230</v>
      </c>
      <c r="AR30" s="362">
        <v>3180888</v>
      </c>
      <c r="AS30" s="362">
        <v>3163265</v>
      </c>
      <c r="AT30" s="362">
        <v>3145025</v>
      </c>
      <c r="AU30" s="362">
        <v>3126648</v>
      </c>
      <c r="AV30" s="362" t="s">
        <v>103</v>
      </c>
      <c r="AW30" s="362">
        <v>-6.11360193880639E-3</v>
      </c>
      <c r="AX30" s="362">
        <v>-5.2892280860358243E-3</v>
      </c>
    </row>
    <row r="31" spans="1:50" x14ac:dyDescent="0.25">
      <c r="A31" s="361" t="s">
        <v>105</v>
      </c>
      <c r="B31" s="361">
        <v>72</v>
      </c>
      <c r="C31" s="361" t="s">
        <v>104</v>
      </c>
      <c r="D31" s="361">
        <v>21</v>
      </c>
      <c r="E31" s="361">
        <v>26</v>
      </c>
      <c r="F31" s="361" t="s">
        <v>2374</v>
      </c>
      <c r="G31" s="362">
        <v>1286756</v>
      </c>
      <c r="H31" s="362">
        <v>1326321.9999999998</v>
      </c>
      <c r="I31" s="362">
        <v>1363554.0000000002</v>
      </c>
      <c r="J31" s="362">
        <v>1399109.9999999998</v>
      </c>
      <c r="K31" s="362">
        <v>1434059</v>
      </c>
      <c r="L31" s="362">
        <v>1469174</v>
      </c>
      <c r="M31" s="362">
        <v>1504730.0000000002</v>
      </c>
      <c r="N31" s="362">
        <v>1540425</v>
      </c>
      <c r="O31" s="362">
        <v>1575824</v>
      </c>
      <c r="P31" s="362">
        <v>1610264</v>
      </c>
      <c r="Q31" s="362">
        <v>1643334</v>
      </c>
      <c r="R31" s="362">
        <v>1674678</v>
      </c>
      <c r="S31" s="362">
        <v>1704642</v>
      </c>
      <c r="T31" s="362">
        <v>1734398</v>
      </c>
      <c r="U31" s="362">
        <v>1765527</v>
      </c>
      <c r="V31" s="362">
        <v>1799078</v>
      </c>
      <c r="W31" s="362">
        <v>1835907.9999999998</v>
      </c>
      <c r="X31" s="362">
        <v>1875459</v>
      </c>
      <c r="Y31" s="362">
        <v>1915638.9999999998</v>
      </c>
      <c r="Z31" s="362">
        <v>1953498</v>
      </c>
      <c r="AA31" s="362">
        <v>1987105.0000000002</v>
      </c>
      <c r="AB31" s="362">
        <v>2015403</v>
      </c>
      <c r="AC31" s="362">
        <v>2039556.0000000002</v>
      </c>
      <c r="AD31" s="362">
        <v>2062547.9999999995</v>
      </c>
      <c r="AE31" s="362">
        <v>2088617.9999999998</v>
      </c>
      <c r="AF31" s="362">
        <v>2120716</v>
      </c>
      <c r="AG31" s="362">
        <v>2159927</v>
      </c>
      <c r="AH31" s="362">
        <v>2205079.9999999995</v>
      </c>
      <c r="AI31" s="362">
        <v>2254068</v>
      </c>
      <c r="AJ31" s="362">
        <v>2303697</v>
      </c>
      <c r="AK31" s="362">
        <v>2351627</v>
      </c>
      <c r="AL31" s="363">
        <v>2397241</v>
      </c>
      <c r="AM31" s="362">
        <v>2441162</v>
      </c>
      <c r="AN31" s="362">
        <v>2483754</v>
      </c>
      <c r="AO31" s="362">
        <v>2525764</v>
      </c>
      <c r="AP31" s="362">
        <v>2567774</v>
      </c>
      <c r="AQ31" s="362">
        <v>2609707</v>
      </c>
      <c r="AR31" s="362">
        <v>2651298</v>
      </c>
      <c r="AS31" s="362">
        <v>2692572</v>
      </c>
      <c r="AT31" s="362">
        <v>2733573</v>
      </c>
      <c r="AU31" s="362">
        <v>2774340</v>
      </c>
      <c r="AV31" s="362" t="s">
        <v>105</v>
      </c>
      <c r="AW31" s="362">
        <v>2.0805687553528074E-2</v>
      </c>
      <c r="AX31" s="362">
        <v>1.939678358855379E-2</v>
      </c>
    </row>
    <row r="32" spans="1:50" x14ac:dyDescent="0.25">
      <c r="A32" s="369" t="s">
        <v>107</v>
      </c>
      <c r="B32" s="361">
        <v>76</v>
      </c>
      <c r="C32" s="361" t="s">
        <v>106</v>
      </c>
      <c r="D32" s="361">
        <v>22</v>
      </c>
      <c r="E32" s="361">
        <v>5</v>
      </c>
      <c r="F32" s="361" t="s">
        <v>2374</v>
      </c>
      <c r="G32" s="362">
        <v>149003223</v>
      </c>
      <c r="H32" s="362">
        <v>151648011</v>
      </c>
      <c r="I32" s="362">
        <v>154259380</v>
      </c>
      <c r="J32" s="362">
        <v>156849078.00000003</v>
      </c>
      <c r="K32" s="362">
        <v>159432716</v>
      </c>
      <c r="L32" s="362">
        <v>162019896.00000003</v>
      </c>
      <c r="M32" s="362">
        <v>164614688</v>
      </c>
      <c r="N32" s="362">
        <v>167209040.00000003</v>
      </c>
      <c r="O32" s="362">
        <v>169785250</v>
      </c>
      <c r="P32" s="362">
        <v>172318674.99999997</v>
      </c>
      <c r="Q32" s="362">
        <v>174790340</v>
      </c>
      <c r="R32" s="362">
        <v>177196054</v>
      </c>
      <c r="S32" s="362">
        <v>179537520</v>
      </c>
      <c r="T32" s="362">
        <v>181809246</v>
      </c>
      <c r="U32" s="362">
        <v>184006481</v>
      </c>
      <c r="V32" s="362">
        <v>186127103</v>
      </c>
      <c r="W32" s="362">
        <v>188167356</v>
      </c>
      <c r="X32" s="362">
        <v>190130443</v>
      </c>
      <c r="Y32" s="362">
        <v>192030362</v>
      </c>
      <c r="Z32" s="362">
        <v>193886508</v>
      </c>
      <c r="AA32" s="362">
        <v>195713635</v>
      </c>
      <c r="AB32" s="362">
        <v>197514536</v>
      </c>
      <c r="AC32" s="362">
        <v>199287299</v>
      </c>
      <c r="AD32" s="362">
        <v>201035912.00000003</v>
      </c>
      <c r="AE32" s="362">
        <v>202763739.00000003</v>
      </c>
      <c r="AF32" s="362">
        <v>204471769</v>
      </c>
      <c r="AG32" s="362">
        <v>206163053.00000003</v>
      </c>
      <c r="AH32" s="362">
        <v>207833823</v>
      </c>
      <c r="AI32" s="362">
        <v>209469323</v>
      </c>
      <c r="AJ32" s="362">
        <v>211049527</v>
      </c>
      <c r="AK32" s="362">
        <v>212559417</v>
      </c>
      <c r="AL32" s="363">
        <v>213993437</v>
      </c>
      <c r="AM32" s="362">
        <v>215353593</v>
      </c>
      <c r="AN32" s="362">
        <v>216641832</v>
      </c>
      <c r="AO32" s="362">
        <v>217863040</v>
      </c>
      <c r="AP32" s="362">
        <v>219020907</v>
      </c>
      <c r="AQ32" s="362">
        <v>220114740</v>
      </c>
      <c r="AR32" s="362">
        <v>221142804</v>
      </c>
      <c r="AS32" s="362">
        <v>222106891</v>
      </c>
      <c r="AT32" s="362">
        <v>223009379</v>
      </c>
      <c r="AU32" s="362">
        <v>223852122</v>
      </c>
      <c r="AV32" s="362" t="s">
        <v>107</v>
      </c>
      <c r="AW32" s="362">
        <v>7.1541975073936559E-3</v>
      </c>
      <c r="AX32" s="362">
        <v>6.7464430427939259E-3</v>
      </c>
    </row>
    <row r="33" spans="1:50" x14ac:dyDescent="0.25">
      <c r="A33" s="361" t="s">
        <v>109</v>
      </c>
      <c r="B33" s="361">
        <v>96</v>
      </c>
      <c r="C33" s="361" t="s">
        <v>108</v>
      </c>
      <c r="D33" s="361">
        <v>26</v>
      </c>
      <c r="E33" s="361">
        <v>21</v>
      </c>
      <c r="F33" s="361" t="s">
        <v>2374</v>
      </c>
      <c r="G33" s="362">
        <v>258720.99999999997</v>
      </c>
      <c r="H33" s="362">
        <v>266210</v>
      </c>
      <c r="I33" s="362">
        <v>273891.99999999994</v>
      </c>
      <c r="J33" s="362">
        <v>281680.99999999994</v>
      </c>
      <c r="K33" s="362">
        <v>289454</v>
      </c>
      <c r="L33" s="362">
        <v>297114</v>
      </c>
      <c r="M33" s="362">
        <v>304622</v>
      </c>
      <c r="N33" s="362">
        <v>311958</v>
      </c>
      <c r="O33" s="362">
        <v>319144</v>
      </c>
      <c r="P33" s="362">
        <v>326210</v>
      </c>
      <c r="Q33" s="362">
        <v>333165.00000000006</v>
      </c>
      <c r="R33" s="362">
        <v>340034</v>
      </c>
      <c r="S33" s="362">
        <v>346782</v>
      </c>
      <c r="T33" s="362">
        <v>353293</v>
      </c>
      <c r="U33" s="362">
        <v>359433</v>
      </c>
      <c r="V33" s="362">
        <v>365114</v>
      </c>
      <c r="W33" s="362">
        <v>370262.99999999994</v>
      </c>
      <c r="X33" s="362">
        <v>374965</v>
      </c>
      <c r="Y33" s="362">
        <v>379421</v>
      </c>
      <c r="Z33" s="362">
        <v>383906</v>
      </c>
      <c r="AA33" s="362">
        <v>388646</v>
      </c>
      <c r="AB33" s="362">
        <v>393688</v>
      </c>
      <c r="AC33" s="362">
        <v>398989</v>
      </c>
      <c r="AD33" s="362">
        <v>404421</v>
      </c>
      <c r="AE33" s="362">
        <v>409769</v>
      </c>
      <c r="AF33" s="362">
        <v>414906.99999999994</v>
      </c>
      <c r="AG33" s="362">
        <v>419800</v>
      </c>
      <c r="AH33" s="362">
        <v>424473</v>
      </c>
      <c r="AI33" s="362">
        <v>428963.00000000006</v>
      </c>
      <c r="AJ33" s="362">
        <v>433285.00000000006</v>
      </c>
      <c r="AK33" s="362">
        <v>437479</v>
      </c>
      <c r="AL33" s="363">
        <v>441532</v>
      </c>
      <c r="AM33" s="362">
        <v>445431</v>
      </c>
      <c r="AN33" s="362">
        <v>449171</v>
      </c>
      <c r="AO33" s="362">
        <v>452755</v>
      </c>
      <c r="AP33" s="362">
        <v>456189</v>
      </c>
      <c r="AQ33" s="362">
        <v>459462</v>
      </c>
      <c r="AR33" s="362">
        <v>462578</v>
      </c>
      <c r="AS33" s="362">
        <v>465550</v>
      </c>
      <c r="AT33" s="362">
        <v>468346</v>
      </c>
      <c r="AU33" s="362">
        <v>470990</v>
      </c>
      <c r="AV33" s="362" t="s">
        <v>109</v>
      </c>
      <c r="AW33" s="362">
        <v>9.6795411795929098E-3</v>
      </c>
      <c r="AX33" s="362">
        <v>9.2644446933451974E-3</v>
      </c>
    </row>
    <row r="34" spans="1:50" x14ac:dyDescent="0.25">
      <c r="A34" s="361" t="s">
        <v>111</v>
      </c>
      <c r="B34" s="361">
        <v>100</v>
      </c>
      <c r="C34" s="361" t="s">
        <v>110</v>
      </c>
      <c r="D34" s="361">
        <v>27</v>
      </c>
      <c r="E34" s="361">
        <v>12</v>
      </c>
      <c r="F34" s="361" t="s">
        <v>2374</v>
      </c>
      <c r="G34" s="362">
        <v>8841458.0000000019</v>
      </c>
      <c r="H34" s="362">
        <v>8766999</v>
      </c>
      <c r="I34" s="362">
        <v>8676377</v>
      </c>
      <c r="J34" s="362">
        <v>8576038</v>
      </c>
      <c r="K34" s="362">
        <v>8474825.9999999981</v>
      </c>
      <c r="L34" s="362">
        <v>8379308.0000000019</v>
      </c>
      <c r="M34" s="362">
        <v>8291969.9999999991</v>
      </c>
      <c r="N34" s="362">
        <v>8211814</v>
      </c>
      <c r="O34" s="362">
        <v>8137670</v>
      </c>
      <c r="P34" s="362">
        <v>8066998</v>
      </c>
      <c r="Q34" s="362">
        <v>7997957</v>
      </c>
      <c r="R34" s="362">
        <v>7930703</v>
      </c>
      <c r="S34" s="362">
        <v>7866238.9999999991</v>
      </c>
      <c r="T34" s="362">
        <v>7804311.9999999991</v>
      </c>
      <c r="U34" s="362">
        <v>7744631.9999999991</v>
      </c>
      <c r="V34" s="362">
        <v>7686962</v>
      </c>
      <c r="W34" s="362">
        <v>7631012</v>
      </c>
      <c r="X34" s="362">
        <v>7576671.9999999991</v>
      </c>
      <c r="Y34" s="362">
        <v>7524087.0000000009</v>
      </c>
      <c r="Z34" s="362">
        <v>7473513</v>
      </c>
      <c r="AA34" s="362">
        <v>7425008</v>
      </c>
      <c r="AB34" s="362">
        <v>7378649.9999999991</v>
      </c>
      <c r="AC34" s="362">
        <v>7334003</v>
      </c>
      <c r="AD34" s="362">
        <v>7290088</v>
      </c>
      <c r="AE34" s="362">
        <v>7245646</v>
      </c>
      <c r="AF34" s="362">
        <v>7199741</v>
      </c>
      <c r="AG34" s="362">
        <v>7151953.0000000009</v>
      </c>
      <c r="AH34" s="362">
        <v>7102444</v>
      </c>
      <c r="AI34" s="362">
        <v>7051608</v>
      </c>
      <c r="AJ34" s="362">
        <v>7000119</v>
      </c>
      <c r="AK34" s="362">
        <v>6948445</v>
      </c>
      <c r="AL34" s="363">
        <v>6896663</v>
      </c>
      <c r="AM34" s="362">
        <v>6844597</v>
      </c>
      <c r="AN34" s="362">
        <v>6792238</v>
      </c>
      <c r="AO34" s="362">
        <v>6739536</v>
      </c>
      <c r="AP34" s="362">
        <v>6686471</v>
      </c>
      <c r="AQ34" s="362">
        <v>6633110</v>
      </c>
      <c r="AR34" s="362">
        <v>6579505</v>
      </c>
      <c r="AS34" s="362">
        <v>6525607</v>
      </c>
      <c r="AT34" s="362">
        <v>6471361</v>
      </c>
      <c r="AU34" s="362">
        <v>6416749</v>
      </c>
      <c r="AV34" s="362" t="s">
        <v>111</v>
      </c>
      <c r="AW34" s="362">
        <v>-7.3818745081333237E-3</v>
      </c>
      <c r="AX34" s="362">
        <v>-7.4523148704493947E-3</v>
      </c>
    </row>
    <row r="35" spans="1:50" x14ac:dyDescent="0.25">
      <c r="A35" s="361" t="s">
        <v>113</v>
      </c>
      <c r="B35" s="361">
        <v>854</v>
      </c>
      <c r="C35" s="361" t="s">
        <v>112</v>
      </c>
      <c r="D35" s="361">
        <v>216</v>
      </c>
      <c r="E35" s="361">
        <v>8</v>
      </c>
      <c r="F35" s="361" t="s">
        <v>2374</v>
      </c>
      <c r="G35" s="362">
        <v>8811034</v>
      </c>
      <c r="H35" s="362">
        <v>9050084</v>
      </c>
      <c r="I35" s="362">
        <v>9297113</v>
      </c>
      <c r="J35" s="362">
        <v>9552476</v>
      </c>
      <c r="K35" s="362">
        <v>9816588</v>
      </c>
      <c r="L35" s="362">
        <v>10089878</v>
      </c>
      <c r="M35" s="362">
        <v>10372745</v>
      </c>
      <c r="N35" s="362">
        <v>10665546</v>
      </c>
      <c r="O35" s="362">
        <v>10968724</v>
      </c>
      <c r="P35" s="362">
        <v>11282701</v>
      </c>
      <c r="Q35" s="362">
        <v>11607942</v>
      </c>
      <c r="R35" s="362">
        <v>11944587</v>
      </c>
      <c r="S35" s="362">
        <v>12293100</v>
      </c>
      <c r="T35" s="362">
        <v>12654620.999999998</v>
      </c>
      <c r="U35" s="362">
        <v>13030569</v>
      </c>
      <c r="V35" s="362">
        <v>13421930</v>
      </c>
      <c r="W35" s="362">
        <v>13829176</v>
      </c>
      <c r="X35" s="362">
        <v>14252021.000000002</v>
      </c>
      <c r="Y35" s="362">
        <v>14689725.000000002</v>
      </c>
      <c r="Z35" s="362">
        <v>15141098</v>
      </c>
      <c r="AA35" s="362">
        <v>15605217</v>
      </c>
      <c r="AB35" s="362">
        <v>16081913</v>
      </c>
      <c r="AC35" s="362">
        <v>16571253.000000002</v>
      </c>
      <c r="AD35" s="362">
        <v>17072785</v>
      </c>
      <c r="AE35" s="362">
        <v>17586029.999999996</v>
      </c>
      <c r="AF35" s="362">
        <v>18110624</v>
      </c>
      <c r="AG35" s="362">
        <v>18646357</v>
      </c>
      <c r="AH35" s="362">
        <v>19193234</v>
      </c>
      <c r="AI35" s="362">
        <v>19751466</v>
      </c>
      <c r="AJ35" s="362">
        <v>20321378</v>
      </c>
      <c r="AK35" s="362">
        <v>20903273.000000004</v>
      </c>
      <c r="AL35" s="363">
        <v>21497096</v>
      </c>
      <c r="AM35" s="362">
        <v>22102838</v>
      </c>
      <c r="AN35" s="362">
        <v>22720835</v>
      </c>
      <c r="AO35" s="362">
        <v>23351514</v>
      </c>
      <c r="AP35" s="362">
        <v>23995149</v>
      </c>
      <c r="AQ35" s="362">
        <v>24651765</v>
      </c>
      <c r="AR35" s="362">
        <v>25321195</v>
      </c>
      <c r="AS35" s="362">
        <v>26003233</v>
      </c>
      <c r="AT35" s="362">
        <v>26697622</v>
      </c>
      <c r="AU35" s="362">
        <v>27404039</v>
      </c>
      <c r="AV35" s="362" t="s">
        <v>113</v>
      </c>
      <c r="AW35" s="362">
        <v>2.863462310479159E-2</v>
      </c>
      <c r="AX35" s="362">
        <v>2.8408134936571683E-2</v>
      </c>
    </row>
    <row r="36" spans="1:50" x14ac:dyDescent="0.25">
      <c r="A36" s="361" t="s">
        <v>115</v>
      </c>
      <c r="B36" s="361">
        <v>108</v>
      </c>
      <c r="C36" s="361" t="s">
        <v>114</v>
      </c>
      <c r="D36" s="361">
        <v>29</v>
      </c>
      <c r="E36" s="361">
        <v>9</v>
      </c>
      <c r="F36" s="361" t="s">
        <v>2374</v>
      </c>
      <c r="G36" s="362">
        <v>5438957</v>
      </c>
      <c r="H36" s="362">
        <v>5564926.0000000009</v>
      </c>
      <c r="I36" s="362">
        <v>5685565</v>
      </c>
      <c r="J36" s="362">
        <v>5798052.9999999991</v>
      </c>
      <c r="K36" s="362">
        <v>5898967</v>
      </c>
      <c r="L36" s="362">
        <v>5987043</v>
      </c>
      <c r="M36" s="362">
        <v>6060111</v>
      </c>
      <c r="N36" s="362">
        <v>6122130</v>
      </c>
      <c r="O36" s="362">
        <v>6185562</v>
      </c>
      <c r="P36" s="362">
        <v>6267124</v>
      </c>
      <c r="Q36" s="362">
        <v>6378871</v>
      </c>
      <c r="R36" s="362">
        <v>6525545</v>
      </c>
      <c r="S36" s="362">
        <v>6704113</v>
      </c>
      <c r="T36" s="362">
        <v>6909154</v>
      </c>
      <c r="U36" s="362">
        <v>7131693</v>
      </c>
      <c r="V36" s="362">
        <v>7364862</v>
      </c>
      <c r="W36" s="362">
        <v>7607849</v>
      </c>
      <c r="X36" s="362">
        <v>7862214</v>
      </c>
      <c r="Y36" s="362">
        <v>8126101.9999999991</v>
      </c>
      <c r="Z36" s="362">
        <v>8397668</v>
      </c>
      <c r="AA36" s="362">
        <v>8675602.0000000019</v>
      </c>
      <c r="AB36" s="362">
        <v>8958406</v>
      </c>
      <c r="AC36" s="362">
        <v>9245987.9999999981</v>
      </c>
      <c r="AD36" s="362">
        <v>9540291</v>
      </c>
      <c r="AE36" s="362">
        <v>9844299.0000000019</v>
      </c>
      <c r="AF36" s="362">
        <v>10160030</v>
      </c>
      <c r="AG36" s="362">
        <v>10487995.000000002</v>
      </c>
      <c r="AH36" s="362">
        <v>10827019</v>
      </c>
      <c r="AI36" s="362">
        <v>11175374</v>
      </c>
      <c r="AJ36" s="362">
        <v>11530580</v>
      </c>
      <c r="AK36" s="362">
        <v>11890784</v>
      </c>
      <c r="AL36" s="363">
        <v>12255433</v>
      </c>
      <c r="AM36" s="362">
        <v>12624840</v>
      </c>
      <c r="AN36" s="362">
        <v>12999146</v>
      </c>
      <c r="AO36" s="362">
        <v>13378739</v>
      </c>
      <c r="AP36" s="362">
        <v>13763922</v>
      </c>
      <c r="AQ36" s="362">
        <v>14154613</v>
      </c>
      <c r="AR36" s="362">
        <v>14550631</v>
      </c>
      <c r="AS36" s="362">
        <v>14952174</v>
      </c>
      <c r="AT36" s="362">
        <v>15359502</v>
      </c>
      <c r="AU36" s="362">
        <v>15772822</v>
      </c>
      <c r="AV36" s="362" t="s">
        <v>115</v>
      </c>
      <c r="AW36" s="362">
        <v>3.1239018332122059E-2</v>
      </c>
      <c r="AX36" s="362">
        <v>3.0666522913880279E-2</v>
      </c>
    </row>
    <row r="37" spans="1:50" x14ac:dyDescent="0.25">
      <c r="A37" s="361" t="s">
        <v>117</v>
      </c>
      <c r="B37" s="361">
        <v>116</v>
      </c>
      <c r="C37" s="361" t="s">
        <v>116</v>
      </c>
      <c r="D37" s="361">
        <v>31</v>
      </c>
      <c r="E37" s="361">
        <v>21</v>
      </c>
      <c r="F37" s="361" t="s">
        <v>2374</v>
      </c>
      <c r="G37" s="362">
        <v>8975597</v>
      </c>
      <c r="H37" s="362">
        <v>9289299.0000000019</v>
      </c>
      <c r="I37" s="362">
        <v>9623888.9999999981</v>
      </c>
      <c r="J37" s="362">
        <v>9970733.0000000019</v>
      </c>
      <c r="K37" s="362">
        <v>10317898.999999998</v>
      </c>
      <c r="L37" s="362">
        <v>10656138</v>
      </c>
      <c r="M37" s="362">
        <v>10982916.999999998</v>
      </c>
      <c r="N37" s="362">
        <v>11298600</v>
      </c>
      <c r="O37" s="362">
        <v>11600508</v>
      </c>
      <c r="P37" s="362">
        <v>11886458.000000002</v>
      </c>
      <c r="Q37" s="362">
        <v>12155239</v>
      </c>
      <c r="R37" s="362">
        <v>12405408</v>
      </c>
      <c r="S37" s="362">
        <v>12637727</v>
      </c>
      <c r="T37" s="362">
        <v>12856163</v>
      </c>
      <c r="U37" s="362">
        <v>13066469</v>
      </c>
      <c r="V37" s="362">
        <v>13273354</v>
      </c>
      <c r="W37" s="362">
        <v>13477709</v>
      </c>
      <c r="X37" s="362">
        <v>13679962</v>
      </c>
      <c r="Y37" s="362">
        <v>13883834</v>
      </c>
      <c r="Z37" s="362">
        <v>14093604</v>
      </c>
      <c r="AA37" s="362">
        <v>14312211.999999998</v>
      </c>
      <c r="AB37" s="362">
        <v>14541423</v>
      </c>
      <c r="AC37" s="362">
        <v>14780453.999999998</v>
      </c>
      <c r="AD37" s="362">
        <v>15026332</v>
      </c>
      <c r="AE37" s="362">
        <v>15274503.000000002</v>
      </c>
      <c r="AF37" s="362">
        <v>15521436</v>
      </c>
      <c r="AG37" s="362">
        <v>15766292</v>
      </c>
      <c r="AH37" s="362">
        <v>16009408.999999998</v>
      </c>
      <c r="AI37" s="362">
        <v>16249792</v>
      </c>
      <c r="AJ37" s="362">
        <v>16486542</v>
      </c>
      <c r="AK37" s="362">
        <v>16718965</v>
      </c>
      <c r="AL37" s="363">
        <v>16946438</v>
      </c>
      <c r="AM37" s="362">
        <v>17168639</v>
      </c>
      <c r="AN37" s="362">
        <v>17385668</v>
      </c>
      <c r="AO37" s="362">
        <v>17597869</v>
      </c>
      <c r="AP37" s="362">
        <v>17805565</v>
      </c>
      <c r="AQ37" s="362">
        <v>18008648</v>
      </c>
      <c r="AR37" s="362">
        <v>18207112</v>
      </c>
      <c r="AS37" s="362">
        <v>18401510</v>
      </c>
      <c r="AT37" s="362">
        <v>18592631</v>
      </c>
      <c r="AU37" s="362">
        <v>18781033</v>
      </c>
      <c r="AV37" s="362" t="s">
        <v>117</v>
      </c>
      <c r="AW37" s="362">
        <v>1.4097741054491575E-2</v>
      </c>
      <c r="AX37" s="362">
        <v>1.3605686715654874E-2</v>
      </c>
    </row>
    <row r="38" spans="1:50" x14ac:dyDescent="0.25">
      <c r="A38" s="361" t="s">
        <v>119</v>
      </c>
      <c r="B38" s="361">
        <v>120</v>
      </c>
      <c r="C38" s="361" t="s">
        <v>118</v>
      </c>
      <c r="D38" s="361">
        <v>32</v>
      </c>
      <c r="E38" s="361">
        <v>8</v>
      </c>
      <c r="F38" s="361" t="s">
        <v>2374</v>
      </c>
      <c r="G38" s="362">
        <v>11780088</v>
      </c>
      <c r="H38" s="362">
        <v>12137912</v>
      </c>
      <c r="I38" s="362">
        <v>12499499</v>
      </c>
      <c r="J38" s="362">
        <v>12864090</v>
      </c>
      <c r="K38" s="362">
        <v>13230984.000000002</v>
      </c>
      <c r="L38" s="362">
        <v>13599988</v>
      </c>
      <c r="M38" s="362">
        <v>13970813</v>
      </c>
      <c r="N38" s="362">
        <v>14344449</v>
      </c>
      <c r="O38" s="362">
        <v>14723768</v>
      </c>
      <c r="P38" s="362">
        <v>15112592.000000002</v>
      </c>
      <c r="Q38" s="362">
        <v>15513945</v>
      </c>
      <c r="R38" s="362">
        <v>15928910</v>
      </c>
      <c r="S38" s="362">
        <v>16357602</v>
      </c>
      <c r="T38" s="362">
        <v>16800865</v>
      </c>
      <c r="U38" s="362">
        <v>17259322</v>
      </c>
      <c r="V38" s="362">
        <v>17733410</v>
      </c>
      <c r="W38" s="362">
        <v>18223674</v>
      </c>
      <c r="X38" s="362">
        <v>18730282</v>
      </c>
      <c r="Y38" s="362">
        <v>19252666</v>
      </c>
      <c r="Z38" s="362">
        <v>19789919</v>
      </c>
      <c r="AA38" s="362">
        <v>20341241</v>
      </c>
      <c r="AB38" s="362">
        <v>20906388</v>
      </c>
      <c r="AC38" s="362">
        <v>21485265</v>
      </c>
      <c r="AD38" s="362">
        <v>22077294.000000004</v>
      </c>
      <c r="AE38" s="362">
        <v>22681852</v>
      </c>
      <c r="AF38" s="362">
        <v>23298368</v>
      </c>
      <c r="AG38" s="362">
        <v>23926551</v>
      </c>
      <c r="AH38" s="362">
        <v>24566073</v>
      </c>
      <c r="AI38" s="362">
        <v>25216267</v>
      </c>
      <c r="AJ38" s="362">
        <v>25876380</v>
      </c>
      <c r="AK38" s="362">
        <v>26545863</v>
      </c>
      <c r="AL38" s="363">
        <v>27224265</v>
      </c>
      <c r="AM38" s="362">
        <v>27911548</v>
      </c>
      <c r="AN38" s="362">
        <v>28608133</v>
      </c>
      <c r="AO38" s="362">
        <v>29314688</v>
      </c>
      <c r="AP38" s="362">
        <v>30031673</v>
      </c>
      <c r="AQ38" s="362">
        <v>30759099</v>
      </c>
      <c r="AR38" s="362">
        <v>31496602</v>
      </c>
      <c r="AS38" s="362">
        <v>32243887</v>
      </c>
      <c r="AT38" s="362">
        <v>33000513</v>
      </c>
      <c r="AU38" s="362">
        <v>33766121</v>
      </c>
      <c r="AV38" s="362" t="s">
        <v>119</v>
      </c>
      <c r="AW38" s="362">
        <v>2.5872359271273737E-2</v>
      </c>
      <c r="AX38" s="362">
        <v>2.5555846498567458E-2</v>
      </c>
    </row>
    <row r="39" spans="1:50" x14ac:dyDescent="0.25">
      <c r="A39" s="369" t="s">
        <v>121</v>
      </c>
      <c r="B39" s="361">
        <v>124</v>
      </c>
      <c r="C39" s="361" t="s">
        <v>120</v>
      </c>
      <c r="D39" s="361">
        <v>33</v>
      </c>
      <c r="E39" s="361">
        <v>1</v>
      </c>
      <c r="F39" s="361" t="s">
        <v>2374</v>
      </c>
      <c r="G39" s="362">
        <v>27541318.999999996</v>
      </c>
      <c r="H39" s="362">
        <v>27888810.000000004</v>
      </c>
      <c r="I39" s="362">
        <v>28224409</v>
      </c>
      <c r="J39" s="362">
        <v>28547967</v>
      </c>
      <c r="K39" s="362">
        <v>28860734</v>
      </c>
      <c r="L39" s="362">
        <v>29164151.999999996</v>
      </c>
      <c r="M39" s="362">
        <v>29457817</v>
      </c>
      <c r="N39" s="362">
        <v>29742382.000000004</v>
      </c>
      <c r="O39" s="362">
        <v>30022073</v>
      </c>
      <c r="P39" s="362">
        <v>30302515</v>
      </c>
      <c r="Q39" s="362">
        <v>30588383</v>
      </c>
      <c r="R39" s="362">
        <v>30880073</v>
      </c>
      <c r="S39" s="362">
        <v>31178262.999999996</v>
      </c>
      <c r="T39" s="362">
        <v>31488048</v>
      </c>
      <c r="U39" s="362">
        <v>31815493.999999996</v>
      </c>
      <c r="V39" s="362">
        <v>32164309.000000004</v>
      </c>
      <c r="W39" s="362">
        <v>32536987.000000004</v>
      </c>
      <c r="X39" s="362">
        <v>32930794</v>
      </c>
      <c r="Y39" s="362">
        <v>33337638</v>
      </c>
      <c r="Z39" s="362">
        <v>33746093</v>
      </c>
      <c r="AA39" s="362">
        <v>34147563.999999993</v>
      </c>
      <c r="AB39" s="362">
        <v>34539159</v>
      </c>
      <c r="AC39" s="362">
        <v>34922030</v>
      </c>
      <c r="AD39" s="362">
        <v>35296527.999999993</v>
      </c>
      <c r="AE39" s="362">
        <v>35664336.999999993</v>
      </c>
      <c r="AF39" s="362">
        <v>36026676</v>
      </c>
      <c r="AG39" s="362">
        <v>36382944</v>
      </c>
      <c r="AH39" s="362">
        <v>36732095</v>
      </c>
      <c r="AI39" s="362">
        <v>37074562</v>
      </c>
      <c r="AJ39" s="362">
        <v>37411047</v>
      </c>
      <c r="AK39" s="362">
        <v>37742154</v>
      </c>
      <c r="AL39" s="363">
        <v>38067903</v>
      </c>
      <c r="AM39" s="362">
        <v>38388419</v>
      </c>
      <c r="AN39" s="362">
        <v>38704477</v>
      </c>
      <c r="AO39" s="362">
        <v>39017093</v>
      </c>
      <c r="AP39" s="362">
        <v>39326966</v>
      </c>
      <c r="AQ39" s="362">
        <v>39634343</v>
      </c>
      <c r="AR39" s="362">
        <v>39939036</v>
      </c>
      <c r="AS39" s="362">
        <v>40240805</v>
      </c>
      <c r="AT39" s="362">
        <v>40539181</v>
      </c>
      <c r="AU39" s="362">
        <v>40833727</v>
      </c>
      <c r="AV39" s="362" t="s">
        <v>121</v>
      </c>
      <c r="AW39" s="362">
        <v>8.8505141275516674E-3</v>
      </c>
      <c r="AX39" s="362">
        <v>8.6309064395211355E-3</v>
      </c>
    </row>
    <row r="40" spans="1:50" x14ac:dyDescent="0.25">
      <c r="A40" s="361" t="s">
        <v>123</v>
      </c>
      <c r="B40" s="361">
        <v>132</v>
      </c>
      <c r="C40" s="361" t="s">
        <v>122</v>
      </c>
      <c r="D40" s="361">
        <v>34</v>
      </c>
      <c r="E40" s="361">
        <v>8</v>
      </c>
      <c r="F40" s="361" t="s">
        <v>2374</v>
      </c>
      <c r="G40" s="362">
        <v>337950</v>
      </c>
      <c r="H40" s="362">
        <v>346230.00000000006</v>
      </c>
      <c r="I40" s="362">
        <v>355757</v>
      </c>
      <c r="J40" s="362">
        <v>366053</v>
      </c>
      <c r="K40" s="362">
        <v>376407</v>
      </c>
      <c r="L40" s="362">
        <v>386284</v>
      </c>
      <c r="M40" s="362">
        <v>395533</v>
      </c>
      <c r="N40" s="362">
        <v>404259.00000000006</v>
      </c>
      <c r="O40" s="362">
        <v>412514</v>
      </c>
      <c r="P40" s="362">
        <v>420452</v>
      </c>
      <c r="Q40" s="362">
        <v>428188</v>
      </c>
      <c r="R40" s="362">
        <v>435709</v>
      </c>
      <c r="S40" s="362">
        <v>442951.00000000006</v>
      </c>
      <c r="T40" s="362">
        <v>449930</v>
      </c>
      <c r="U40" s="362">
        <v>456617</v>
      </c>
      <c r="V40" s="362">
        <v>463032</v>
      </c>
      <c r="W40" s="362">
        <v>469170.00000000006</v>
      </c>
      <c r="X40" s="362">
        <v>475060</v>
      </c>
      <c r="Y40" s="362">
        <v>480842</v>
      </c>
      <c r="Z40" s="362">
        <v>486670.99999999994</v>
      </c>
      <c r="AA40" s="362">
        <v>492654</v>
      </c>
      <c r="AB40" s="362">
        <v>498857.00000000006</v>
      </c>
      <c r="AC40" s="362">
        <v>505235</v>
      </c>
      <c r="AD40" s="362">
        <v>511748</v>
      </c>
      <c r="AE40" s="362">
        <v>518270.99999999994</v>
      </c>
      <c r="AF40" s="362">
        <v>524743.00000000012</v>
      </c>
      <c r="AG40" s="362">
        <v>531146</v>
      </c>
      <c r="AH40" s="362">
        <v>537498</v>
      </c>
      <c r="AI40" s="362">
        <v>543767</v>
      </c>
      <c r="AJ40" s="362">
        <v>549935</v>
      </c>
      <c r="AK40" s="362">
        <v>555987</v>
      </c>
      <c r="AL40" s="363">
        <v>561898</v>
      </c>
      <c r="AM40" s="362">
        <v>567678</v>
      </c>
      <c r="AN40" s="362">
        <v>573323</v>
      </c>
      <c r="AO40" s="362">
        <v>578857</v>
      </c>
      <c r="AP40" s="362">
        <v>584320</v>
      </c>
      <c r="AQ40" s="362">
        <v>589673</v>
      </c>
      <c r="AR40" s="362">
        <v>594925</v>
      </c>
      <c r="AS40" s="362">
        <v>600088</v>
      </c>
      <c r="AT40" s="362">
        <v>605130</v>
      </c>
      <c r="AU40" s="362">
        <v>610057</v>
      </c>
      <c r="AV40" s="362" t="s">
        <v>123</v>
      </c>
      <c r="AW40" s="362">
        <v>1.1004936947093702E-2</v>
      </c>
      <c r="AX40" s="362">
        <v>1.0631543543284216E-2</v>
      </c>
    </row>
    <row r="41" spans="1:50" x14ac:dyDescent="0.25">
      <c r="A41" s="361" t="s">
        <v>125</v>
      </c>
      <c r="B41" s="361">
        <v>136</v>
      </c>
      <c r="C41" s="361" t="s">
        <v>124</v>
      </c>
      <c r="D41" s="361">
        <v>35</v>
      </c>
      <c r="E41" s="361">
        <v>4</v>
      </c>
      <c r="F41" s="361" t="s">
        <v>2374</v>
      </c>
      <c r="G41" s="362">
        <v>25312</v>
      </c>
      <c r="H41" s="362">
        <v>26544</v>
      </c>
      <c r="I41" s="362">
        <v>27780.000000000004</v>
      </c>
      <c r="J41" s="362">
        <v>29068.999999999996</v>
      </c>
      <c r="K41" s="362">
        <v>30514</v>
      </c>
      <c r="L41" s="362">
        <v>32166</v>
      </c>
      <c r="M41" s="362">
        <v>34065</v>
      </c>
      <c r="N41" s="362">
        <v>36156</v>
      </c>
      <c r="O41" s="362">
        <v>38329</v>
      </c>
      <c r="P41" s="362">
        <v>40420.000000000007</v>
      </c>
      <c r="Q41" s="362">
        <v>42303</v>
      </c>
      <c r="R41" s="362">
        <v>43935</v>
      </c>
      <c r="S41" s="362">
        <v>45351</v>
      </c>
      <c r="T41" s="362">
        <v>46632</v>
      </c>
      <c r="U41" s="362">
        <v>47902</v>
      </c>
      <c r="V41" s="362">
        <v>49261.000000000007</v>
      </c>
      <c r="W41" s="362">
        <v>50740</v>
      </c>
      <c r="X41" s="362">
        <v>52280</v>
      </c>
      <c r="Y41" s="362">
        <v>53836</v>
      </c>
      <c r="Z41" s="362">
        <v>55322</v>
      </c>
      <c r="AA41" s="362">
        <v>56672</v>
      </c>
      <c r="AB41" s="362">
        <v>57878</v>
      </c>
      <c r="AC41" s="362">
        <v>58958</v>
      </c>
      <c r="AD41" s="362">
        <v>59932</v>
      </c>
      <c r="AE41" s="362">
        <v>60848</v>
      </c>
      <c r="AF41" s="362">
        <v>61723.999999999993</v>
      </c>
      <c r="AG41" s="362">
        <v>62569</v>
      </c>
      <c r="AH41" s="362">
        <v>63381.999999999993</v>
      </c>
      <c r="AI41" s="362">
        <v>64174.000000000007</v>
      </c>
      <c r="AJ41" s="362">
        <v>64947.999999999993</v>
      </c>
      <c r="AK41" s="362">
        <v>65721.999999999985</v>
      </c>
      <c r="AL41" s="363">
        <v>66497</v>
      </c>
      <c r="AM41" s="362">
        <v>67277</v>
      </c>
      <c r="AN41" s="362">
        <v>68063</v>
      </c>
      <c r="AO41" s="362">
        <v>68835</v>
      </c>
      <c r="AP41" s="362">
        <v>69599</v>
      </c>
      <c r="AQ41" s="362">
        <v>70362</v>
      </c>
      <c r="AR41" s="362">
        <v>71116</v>
      </c>
      <c r="AS41" s="362">
        <v>71864</v>
      </c>
      <c r="AT41" s="362">
        <v>72604</v>
      </c>
      <c r="AU41" s="362">
        <v>73334</v>
      </c>
      <c r="AV41" s="362" t="s">
        <v>125</v>
      </c>
      <c r="AW41" s="362">
        <v>1.1917226088562938E-2</v>
      </c>
      <c r="AX41" s="362">
        <v>1.1792093971577433E-2</v>
      </c>
    </row>
    <row r="42" spans="1:50" x14ac:dyDescent="0.25">
      <c r="A42" s="361" t="s">
        <v>127</v>
      </c>
      <c r="B42" s="361">
        <v>140</v>
      </c>
      <c r="C42" s="361" t="s">
        <v>126</v>
      </c>
      <c r="D42" s="361">
        <v>36</v>
      </c>
      <c r="E42" s="361">
        <v>8</v>
      </c>
      <c r="F42" s="361" t="s">
        <v>2374</v>
      </c>
      <c r="G42" s="362">
        <v>2806734</v>
      </c>
      <c r="H42" s="362">
        <v>2878509</v>
      </c>
      <c r="I42" s="362">
        <v>2959235.9999999995</v>
      </c>
      <c r="J42" s="362">
        <v>3046149</v>
      </c>
      <c r="K42" s="362">
        <v>3135014.9999999995</v>
      </c>
      <c r="L42" s="362">
        <v>3222655.9999999995</v>
      </c>
      <c r="M42" s="362">
        <v>3308233</v>
      </c>
      <c r="N42" s="362">
        <v>3392436</v>
      </c>
      <c r="O42" s="362">
        <v>3475492</v>
      </c>
      <c r="P42" s="362">
        <v>3558014</v>
      </c>
      <c r="Q42" s="362">
        <v>3640427.0000000005</v>
      </c>
      <c r="R42" s="362">
        <v>3722018</v>
      </c>
      <c r="S42" s="362">
        <v>3802128</v>
      </c>
      <c r="T42" s="362">
        <v>3881181</v>
      </c>
      <c r="U42" s="362">
        <v>3959875</v>
      </c>
      <c r="V42" s="362">
        <v>4038382.0000000005</v>
      </c>
      <c r="W42" s="362">
        <v>4118069</v>
      </c>
      <c r="X42" s="362">
        <v>4198010</v>
      </c>
      <c r="Y42" s="362">
        <v>4273366</v>
      </c>
      <c r="Z42" s="362">
        <v>4337625</v>
      </c>
      <c r="AA42" s="362">
        <v>4386768</v>
      </c>
      <c r="AB42" s="362">
        <v>4418636.9999999991</v>
      </c>
      <c r="AC42" s="362">
        <v>4436416</v>
      </c>
      <c r="AD42" s="362">
        <v>4447944.0000000009</v>
      </c>
      <c r="AE42" s="362">
        <v>4464175</v>
      </c>
      <c r="AF42" s="362">
        <v>4493170</v>
      </c>
      <c r="AG42" s="362">
        <v>4537686</v>
      </c>
      <c r="AH42" s="362">
        <v>4596023</v>
      </c>
      <c r="AI42" s="362">
        <v>4666368</v>
      </c>
      <c r="AJ42" s="362">
        <v>4745185</v>
      </c>
      <c r="AK42" s="362">
        <v>4829766.9999999991</v>
      </c>
      <c r="AL42" s="363">
        <v>4919981</v>
      </c>
      <c r="AM42" s="362">
        <v>5016678</v>
      </c>
      <c r="AN42" s="362">
        <v>5119141</v>
      </c>
      <c r="AO42" s="362">
        <v>5226580</v>
      </c>
      <c r="AP42" s="362">
        <v>5338264</v>
      </c>
      <c r="AQ42" s="362">
        <v>5453693</v>
      </c>
      <c r="AR42" s="362">
        <v>5572373</v>
      </c>
      <c r="AS42" s="362">
        <v>5693740</v>
      </c>
      <c r="AT42" s="362">
        <v>5817198</v>
      </c>
      <c r="AU42" s="362">
        <v>5942211</v>
      </c>
      <c r="AV42" s="362" t="s">
        <v>127</v>
      </c>
      <c r="AW42" s="362">
        <v>1.7824805566063029E-2</v>
      </c>
      <c r="AX42" s="362">
        <v>1.867874785678092E-2</v>
      </c>
    </row>
    <row r="43" spans="1:50" x14ac:dyDescent="0.25">
      <c r="A43" s="361" t="s">
        <v>129</v>
      </c>
      <c r="B43" s="361">
        <v>148</v>
      </c>
      <c r="C43" s="361" t="s">
        <v>128</v>
      </c>
      <c r="D43" s="361">
        <v>38</v>
      </c>
      <c r="E43" s="361">
        <v>8</v>
      </c>
      <c r="F43" s="361" t="s">
        <v>2374</v>
      </c>
      <c r="G43" s="362">
        <v>5963252.0000000009</v>
      </c>
      <c r="H43" s="362">
        <v>6157078.9999999991</v>
      </c>
      <c r="I43" s="362">
        <v>6356748</v>
      </c>
      <c r="J43" s="362">
        <v>6563922</v>
      </c>
      <c r="K43" s="362">
        <v>6781053</v>
      </c>
      <c r="L43" s="362">
        <v>7010145.0000000009</v>
      </c>
      <c r="M43" s="362">
        <v>7250975</v>
      </c>
      <c r="N43" s="362">
        <v>7503493.0000000009</v>
      </c>
      <c r="O43" s="362">
        <v>7770048</v>
      </c>
      <c r="P43" s="362">
        <v>8053535.9999999991</v>
      </c>
      <c r="Q43" s="362">
        <v>8355654.0000000009</v>
      </c>
      <c r="R43" s="362">
        <v>8678051</v>
      </c>
      <c r="S43" s="362">
        <v>9019233</v>
      </c>
      <c r="T43" s="362">
        <v>9373916</v>
      </c>
      <c r="U43" s="362">
        <v>9734767</v>
      </c>
      <c r="V43" s="362">
        <v>10096633</v>
      </c>
      <c r="W43" s="362">
        <v>10457124</v>
      </c>
      <c r="X43" s="362">
        <v>10818024</v>
      </c>
      <c r="Y43" s="362">
        <v>11183588</v>
      </c>
      <c r="Z43" s="362">
        <v>11560147</v>
      </c>
      <c r="AA43" s="362">
        <v>11952136.000000002</v>
      </c>
      <c r="AB43" s="362">
        <v>12360990</v>
      </c>
      <c r="AC43" s="362">
        <v>12784750</v>
      </c>
      <c r="AD43" s="362">
        <v>13220433.000000002</v>
      </c>
      <c r="AE43" s="362">
        <v>13663566.000000002</v>
      </c>
      <c r="AF43" s="362">
        <v>14110975</v>
      </c>
      <c r="AG43" s="362">
        <v>14561660</v>
      </c>
      <c r="AH43" s="362">
        <v>15016753.000000002</v>
      </c>
      <c r="AI43" s="362">
        <v>15477729</v>
      </c>
      <c r="AJ43" s="362">
        <v>15946876</v>
      </c>
      <c r="AK43" s="362">
        <v>16425864</v>
      </c>
      <c r="AL43" s="363">
        <v>16914985</v>
      </c>
      <c r="AM43" s="362">
        <v>17413580</v>
      </c>
      <c r="AN43" s="362">
        <v>17921184</v>
      </c>
      <c r="AO43" s="362">
        <v>18437030</v>
      </c>
      <c r="AP43" s="362">
        <v>18960529</v>
      </c>
      <c r="AQ43" s="362">
        <v>19491497</v>
      </c>
      <c r="AR43" s="362">
        <v>20030003</v>
      </c>
      <c r="AS43" s="362">
        <v>20575994</v>
      </c>
      <c r="AT43" s="362">
        <v>21129475</v>
      </c>
      <c r="AU43" s="362">
        <v>21690381</v>
      </c>
      <c r="AV43" s="362" t="s">
        <v>129</v>
      </c>
      <c r="AW43" s="362">
        <v>3.0036478618131746E-2</v>
      </c>
      <c r="AX43" s="362">
        <v>2.9777489939037505E-2</v>
      </c>
    </row>
    <row r="44" spans="1:50" x14ac:dyDescent="0.25">
      <c r="A44" s="361" t="s">
        <v>131</v>
      </c>
      <c r="B44" s="361">
        <v>152</v>
      </c>
      <c r="C44" s="361" t="s">
        <v>130</v>
      </c>
      <c r="D44" s="361">
        <v>39</v>
      </c>
      <c r="E44" s="361">
        <v>6</v>
      </c>
      <c r="F44" s="361" t="s">
        <v>2374</v>
      </c>
      <c r="G44" s="362">
        <v>13274623</v>
      </c>
      <c r="H44" s="362">
        <v>13495258</v>
      </c>
      <c r="I44" s="362">
        <v>13719819</v>
      </c>
      <c r="J44" s="362">
        <v>13944937</v>
      </c>
      <c r="K44" s="362">
        <v>14166340</v>
      </c>
      <c r="L44" s="362">
        <v>14380866</v>
      </c>
      <c r="M44" s="362">
        <v>14587370</v>
      </c>
      <c r="N44" s="362">
        <v>14786220</v>
      </c>
      <c r="O44" s="362">
        <v>14977733</v>
      </c>
      <c r="P44" s="362">
        <v>15162799.999999998</v>
      </c>
      <c r="Q44" s="362">
        <v>15342353</v>
      </c>
      <c r="R44" s="362">
        <v>15516112.999999998</v>
      </c>
      <c r="S44" s="362">
        <v>15684409</v>
      </c>
      <c r="T44" s="362">
        <v>15849652</v>
      </c>
      <c r="U44" s="362">
        <v>16014971</v>
      </c>
      <c r="V44" s="362">
        <v>16182721</v>
      </c>
      <c r="W44" s="362">
        <v>16354504.000000002</v>
      </c>
      <c r="X44" s="362">
        <v>16530195</v>
      </c>
      <c r="Y44" s="362">
        <v>16708258</v>
      </c>
      <c r="Z44" s="362">
        <v>16886186.000000004</v>
      </c>
      <c r="AA44" s="362">
        <v>17062536</v>
      </c>
      <c r="AB44" s="362">
        <v>17233576</v>
      </c>
      <c r="AC44" s="362">
        <v>17400347</v>
      </c>
      <c r="AD44" s="362">
        <v>17571507</v>
      </c>
      <c r="AE44" s="362">
        <v>17758958.999999996</v>
      </c>
      <c r="AF44" s="362">
        <v>17969352.999999996</v>
      </c>
      <c r="AG44" s="362">
        <v>18209068</v>
      </c>
      <c r="AH44" s="362">
        <v>18470439</v>
      </c>
      <c r="AI44" s="362">
        <v>18729160</v>
      </c>
      <c r="AJ44" s="362">
        <v>18952038</v>
      </c>
      <c r="AK44" s="362">
        <v>19116201</v>
      </c>
      <c r="AL44" s="363">
        <v>19212361</v>
      </c>
      <c r="AM44" s="362">
        <v>19250195</v>
      </c>
      <c r="AN44" s="362">
        <v>19249347</v>
      </c>
      <c r="AO44" s="362">
        <v>19238994</v>
      </c>
      <c r="AP44" s="362">
        <v>19240993</v>
      </c>
      <c r="AQ44" s="362">
        <v>19260474</v>
      </c>
      <c r="AR44" s="362">
        <v>19292750</v>
      </c>
      <c r="AS44" s="362">
        <v>19337991</v>
      </c>
      <c r="AT44" s="362">
        <v>19393833</v>
      </c>
      <c r="AU44" s="362">
        <v>19458103</v>
      </c>
      <c r="AV44" s="362" t="s">
        <v>131</v>
      </c>
      <c r="AW44" s="362">
        <v>8.6620235776226906E-3</v>
      </c>
      <c r="AX44" s="362">
        <v>5.0302881833059754E-3</v>
      </c>
    </row>
    <row r="45" spans="1:50" x14ac:dyDescent="0.25">
      <c r="A45" s="361" t="s">
        <v>133</v>
      </c>
      <c r="B45" s="361">
        <v>156</v>
      </c>
      <c r="C45" s="361" t="s">
        <v>132</v>
      </c>
      <c r="D45" s="361">
        <v>40</v>
      </c>
      <c r="E45" s="361">
        <v>20</v>
      </c>
      <c r="F45" s="361" t="s">
        <v>2374</v>
      </c>
      <c r="G45" s="362">
        <v>1176883674.0000002</v>
      </c>
      <c r="H45" s="362">
        <v>1192897284</v>
      </c>
      <c r="I45" s="362">
        <v>1206711243.9999998</v>
      </c>
      <c r="J45" s="362">
        <v>1218817055</v>
      </c>
      <c r="K45" s="362">
        <v>1230020031</v>
      </c>
      <c r="L45" s="362">
        <v>1240920535</v>
      </c>
      <c r="M45" s="362">
        <v>1251636186</v>
      </c>
      <c r="N45" s="362">
        <v>1261996012</v>
      </c>
      <c r="O45" s="362">
        <v>1271982350</v>
      </c>
      <c r="P45" s="362">
        <v>1281514831.9999998</v>
      </c>
      <c r="Q45" s="362">
        <v>1290550765</v>
      </c>
      <c r="R45" s="362">
        <v>1299129752</v>
      </c>
      <c r="S45" s="362">
        <v>1307352257</v>
      </c>
      <c r="T45" s="362">
        <v>1315303521</v>
      </c>
      <c r="U45" s="362">
        <v>1323084641.0000002</v>
      </c>
      <c r="V45" s="362">
        <v>1330776379.9999998</v>
      </c>
      <c r="W45" s="362">
        <v>1338408647.0000002</v>
      </c>
      <c r="X45" s="362">
        <v>1345993888</v>
      </c>
      <c r="Y45" s="362">
        <v>1353569483.9999998</v>
      </c>
      <c r="Z45" s="362">
        <v>1361169419</v>
      </c>
      <c r="AA45" s="362">
        <v>1368810615</v>
      </c>
      <c r="AB45" s="362">
        <v>1376497639</v>
      </c>
      <c r="AC45" s="362">
        <v>1384206401.0000002</v>
      </c>
      <c r="AD45" s="362">
        <v>1391883330</v>
      </c>
      <c r="AE45" s="362">
        <v>1399453965.0000002</v>
      </c>
      <c r="AF45" s="362">
        <v>1406847870</v>
      </c>
      <c r="AG45" s="362">
        <v>1414049351</v>
      </c>
      <c r="AH45" s="362">
        <v>1421021791</v>
      </c>
      <c r="AI45" s="362">
        <v>1427647786</v>
      </c>
      <c r="AJ45" s="362">
        <v>1433783686</v>
      </c>
      <c r="AK45" s="362">
        <v>1439323776.0000002</v>
      </c>
      <c r="AL45" s="363">
        <v>1444216107</v>
      </c>
      <c r="AM45" s="362">
        <v>1448471400</v>
      </c>
      <c r="AN45" s="362">
        <v>1452127668</v>
      </c>
      <c r="AO45" s="362">
        <v>1455254870</v>
      </c>
      <c r="AP45" s="362">
        <v>1457908249</v>
      </c>
      <c r="AQ45" s="362">
        <v>1460092245</v>
      </c>
      <c r="AR45" s="362">
        <v>1461797638</v>
      </c>
      <c r="AS45" s="362">
        <v>1463052850</v>
      </c>
      <c r="AT45" s="362">
        <v>1463891336</v>
      </c>
      <c r="AU45" s="362">
        <v>1464340159</v>
      </c>
      <c r="AV45" s="362" t="s">
        <v>133</v>
      </c>
      <c r="AW45" s="362">
        <v>3.8639650137575199E-3</v>
      </c>
      <c r="AX45" s="362">
        <v>3.3990482764036933E-3</v>
      </c>
    </row>
    <row r="46" spans="1:50" x14ac:dyDescent="0.25">
      <c r="A46" s="361" t="s">
        <v>135</v>
      </c>
      <c r="B46" s="361">
        <v>170</v>
      </c>
      <c r="C46" s="361" t="s">
        <v>134</v>
      </c>
      <c r="D46" s="361">
        <v>42</v>
      </c>
      <c r="E46" s="361">
        <v>6</v>
      </c>
      <c r="F46" s="361" t="s">
        <v>2374</v>
      </c>
      <c r="G46" s="362">
        <v>33102574.999999996</v>
      </c>
      <c r="H46" s="362">
        <v>33758337</v>
      </c>
      <c r="I46" s="362">
        <v>34422569</v>
      </c>
      <c r="J46" s="362">
        <v>35091275</v>
      </c>
      <c r="K46" s="362">
        <v>35758979</v>
      </c>
      <c r="L46" s="362">
        <v>36421438</v>
      </c>
      <c r="M46" s="362">
        <v>37076387.000000007</v>
      </c>
      <c r="N46" s="362">
        <v>37723800.000000007</v>
      </c>
      <c r="O46" s="362">
        <v>38364309</v>
      </c>
      <c r="P46" s="362">
        <v>38999471</v>
      </c>
      <c r="Q46" s="362">
        <v>39629968</v>
      </c>
      <c r="R46" s="362">
        <v>40255967</v>
      </c>
      <c r="S46" s="362">
        <v>40875360</v>
      </c>
      <c r="T46" s="362">
        <v>41483869</v>
      </c>
      <c r="U46" s="362">
        <v>42075955</v>
      </c>
      <c r="V46" s="362">
        <v>42647723</v>
      </c>
      <c r="W46" s="362">
        <v>43200897</v>
      </c>
      <c r="X46" s="362">
        <v>43737516.000000007</v>
      </c>
      <c r="Y46" s="362">
        <v>44254975</v>
      </c>
      <c r="Z46" s="362">
        <v>44750054</v>
      </c>
      <c r="AA46" s="362">
        <v>45222699.999999993</v>
      </c>
      <c r="AB46" s="362">
        <v>45662748</v>
      </c>
      <c r="AC46" s="362">
        <v>46075718</v>
      </c>
      <c r="AD46" s="362">
        <v>46495493</v>
      </c>
      <c r="AE46" s="362">
        <v>46967696</v>
      </c>
      <c r="AF46" s="362">
        <v>47520667</v>
      </c>
      <c r="AG46" s="362">
        <v>48175052</v>
      </c>
      <c r="AH46" s="362">
        <v>48909839</v>
      </c>
      <c r="AI46" s="362">
        <v>49661048</v>
      </c>
      <c r="AJ46" s="362">
        <v>50339443</v>
      </c>
      <c r="AK46" s="362">
        <v>50882891</v>
      </c>
      <c r="AL46" s="363">
        <v>51265844</v>
      </c>
      <c r="AM46" s="362">
        <v>51512762</v>
      </c>
      <c r="AN46" s="362">
        <v>51672849</v>
      </c>
      <c r="AO46" s="362">
        <v>51819753</v>
      </c>
      <c r="AP46" s="362">
        <v>52007051</v>
      </c>
      <c r="AQ46" s="362">
        <v>52249384</v>
      </c>
      <c r="AR46" s="362">
        <v>52530213</v>
      </c>
      <c r="AS46" s="362">
        <v>52834564</v>
      </c>
      <c r="AT46" s="362">
        <v>53136450</v>
      </c>
      <c r="AU46" s="362">
        <v>53416763</v>
      </c>
      <c r="AV46" s="362" t="s">
        <v>135</v>
      </c>
      <c r="AW46" s="362">
        <v>1.0795669709734446E-2</v>
      </c>
      <c r="AX46" s="362">
        <v>7.5261643447106508E-3</v>
      </c>
    </row>
    <row r="47" spans="1:50" x14ac:dyDescent="0.25">
      <c r="A47" s="361" t="s">
        <v>137</v>
      </c>
      <c r="B47" s="361">
        <v>174</v>
      </c>
      <c r="C47" s="361" t="s">
        <v>136</v>
      </c>
      <c r="D47" s="361">
        <v>43</v>
      </c>
      <c r="E47" s="361">
        <v>9</v>
      </c>
      <c r="F47" s="361" t="s">
        <v>2374</v>
      </c>
      <c r="G47" s="362">
        <v>411594</v>
      </c>
      <c r="H47" s="362">
        <v>423872</v>
      </c>
      <c r="I47" s="362">
        <v>436448</v>
      </c>
      <c r="J47" s="362">
        <v>449274</v>
      </c>
      <c r="K47" s="362">
        <v>462277</v>
      </c>
      <c r="L47" s="362">
        <v>475394</v>
      </c>
      <c r="M47" s="362">
        <v>488627.00000000006</v>
      </c>
      <c r="N47" s="362">
        <v>501953</v>
      </c>
      <c r="O47" s="362">
        <v>515385</v>
      </c>
      <c r="P47" s="362">
        <v>528848</v>
      </c>
      <c r="Q47" s="362">
        <v>542357</v>
      </c>
      <c r="R47" s="362">
        <v>555888</v>
      </c>
      <c r="S47" s="362">
        <v>569479.00000000012</v>
      </c>
      <c r="T47" s="362">
        <v>583211</v>
      </c>
      <c r="U47" s="362">
        <v>597228</v>
      </c>
      <c r="V47" s="362">
        <v>611626.99999999988</v>
      </c>
      <c r="W47" s="362">
        <v>626425</v>
      </c>
      <c r="X47" s="362">
        <v>641620</v>
      </c>
      <c r="Y47" s="362">
        <v>657229.00000000012</v>
      </c>
      <c r="Z47" s="362">
        <v>673252</v>
      </c>
      <c r="AA47" s="362">
        <v>689692</v>
      </c>
      <c r="AB47" s="362">
        <v>706569</v>
      </c>
      <c r="AC47" s="362">
        <v>723870.99999999988</v>
      </c>
      <c r="AD47" s="362">
        <v>741505</v>
      </c>
      <c r="AE47" s="362">
        <v>759390</v>
      </c>
      <c r="AF47" s="362">
        <v>777424</v>
      </c>
      <c r="AG47" s="362">
        <v>795592</v>
      </c>
      <c r="AH47" s="362">
        <v>813892.00000000012</v>
      </c>
      <c r="AI47" s="362">
        <v>832322</v>
      </c>
      <c r="AJ47" s="362">
        <v>850885.99999999988</v>
      </c>
      <c r="AK47" s="362">
        <v>869601</v>
      </c>
      <c r="AL47" s="363">
        <v>888451</v>
      </c>
      <c r="AM47" s="362">
        <v>907419</v>
      </c>
      <c r="AN47" s="362">
        <v>926501</v>
      </c>
      <c r="AO47" s="362">
        <v>945702</v>
      </c>
      <c r="AP47" s="362">
        <v>965003</v>
      </c>
      <c r="AQ47" s="362">
        <v>984417</v>
      </c>
      <c r="AR47" s="362">
        <v>1003928</v>
      </c>
      <c r="AS47" s="362">
        <v>1023540</v>
      </c>
      <c r="AT47" s="362">
        <v>1043275.0000000001</v>
      </c>
      <c r="AU47" s="362">
        <v>1063114</v>
      </c>
      <c r="AV47" s="362" t="s">
        <v>137</v>
      </c>
      <c r="AW47" s="362">
        <v>2.1994720796910672E-2</v>
      </c>
      <c r="AX47" s="362">
        <v>2.1676608007580533E-2</v>
      </c>
    </row>
    <row r="48" spans="1:50" x14ac:dyDescent="0.25">
      <c r="A48" s="361" t="s">
        <v>139</v>
      </c>
      <c r="B48" s="361">
        <v>180</v>
      </c>
      <c r="C48" s="361" t="s">
        <v>138</v>
      </c>
      <c r="D48" s="361">
        <v>45</v>
      </c>
      <c r="E48" s="361">
        <v>8</v>
      </c>
      <c r="F48" s="361" t="s">
        <v>2374</v>
      </c>
      <c r="G48" s="362">
        <v>34612023</v>
      </c>
      <c r="H48" s="362">
        <v>35908244</v>
      </c>
      <c r="I48" s="362">
        <v>37333914</v>
      </c>
      <c r="J48" s="362">
        <v>38815834</v>
      </c>
      <c r="K48" s="362">
        <v>40252975</v>
      </c>
      <c r="L48" s="362">
        <v>41576234</v>
      </c>
      <c r="M48" s="362">
        <v>42757243</v>
      </c>
      <c r="N48" s="362">
        <v>43827180</v>
      </c>
      <c r="O48" s="362">
        <v>44849967</v>
      </c>
      <c r="P48" s="362">
        <v>45919613</v>
      </c>
      <c r="Q48" s="362">
        <v>47105826</v>
      </c>
      <c r="R48" s="362">
        <v>48428545</v>
      </c>
      <c r="S48" s="362">
        <v>49871666</v>
      </c>
      <c r="T48" s="362">
        <v>51425580</v>
      </c>
      <c r="U48" s="362">
        <v>53068880</v>
      </c>
      <c r="V48" s="362">
        <v>54785903</v>
      </c>
      <c r="W48" s="362">
        <v>56578036.999999993</v>
      </c>
      <c r="X48" s="362">
        <v>58453683</v>
      </c>
      <c r="Y48" s="362">
        <v>60411195</v>
      </c>
      <c r="Z48" s="362">
        <v>62448574</v>
      </c>
      <c r="AA48" s="362">
        <v>64563854.000000007</v>
      </c>
      <c r="AB48" s="362">
        <v>66755153.000000007</v>
      </c>
      <c r="AC48" s="362">
        <v>69020747</v>
      </c>
      <c r="AD48" s="362">
        <v>71358807</v>
      </c>
      <c r="AE48" s="362">
        <v>73767447</v>
      </c>
      <c r="AF48" s="362">
        <v>76244543.999999985</v>
      </c>
      <c r="AG48" s="362">
        <v>78789127</v>
      </c>
      <c r="AH48" s="362">
        <v>81398764</v>
      </c>
      <c r="AI48" s="362">
        <v>84068091</v>
      </c>
      <c r="AJ48" s="362">
        <v>86790567</v>
      </c>
      <c r="AK48" s="362">
        <v>89561403.000000015</v>
      </c>
      <c r="AL48" s="363">
        <v>92377993</v>
      </c>
      <c r="AM48" s="362">
        <v>95240792</v>
      </c>
      <c r="AN48" s="362">
        <v>98151954</v>
      </c>
      <c r="AO48" s="362">
        <v>101115266</v>
      </c>
      <c r="AP48" s="362">
        <v>104133564</v>
      </c>
      <c r="AQ48" s="362">
        <v>107206339</v>
      </c>
      <c r="AR48" s="362">
        <v>110332495</v>
      </c>
      <c r="AS48" s="362">
        <v>113513529</v>
      </c>
      <c r="AT48" s="362">
        <v>116751294</v>
      </c>
      <c r="AU48" s="362">
        <v>120046726</v>
      </c>
      <c r="AV48" s="362" t="s">
        <v>139</v>
      </c>
      <c r="AW48" s="362">
        <v>3.192554324480934E-2</v>
      </c>
      <c r="AX48" s="362">
        <v>3.1448703410775991E-2</v>
      </c>
    </row>
    <row r="49" spans="1:50" x14ac:dyDescent="0.25">
      <c r="A49" s="361" t="s">
        <v>141</v>
      </c>
      <c r="B49" s="361">
        <v>178</v>
      </c>
      <c r="C49" s="361" t="s">
        <v>140</v>
      </c>
      <c r="D49" s="361">
        <v>44</v>
      </c>
      <c r="E49" s="361">
        <v>8</v>
      </c>
      <c r="F49" s="361" t="s">
        <v>2374</v>
      </c>
      <c r="G49" s="362">
        <v>2356737</v>
      </c>
      <c r="H49" s="362">
        <v>2422304.9999999995</v>
      </c>
      <c r="I49" s="362">
        <v>2489952</v>
      </c>
      <c r="J49" s="362">
        <v>2559873</v>
      </c>
      <c r="K49" s="362">
        <v>2632345</v>
      </c>
      <c r="L49" s="362">
        <v>2707537</v>
      </c>
      <c r="M49" s="362">
        <v>2785810</v>
      </c>
      <c r="N49" s="362">
        <v>2867280</v>
      </c>
      <c r="O49" s="362">
        <v>2951647</v>
      </c>
      <c r="P49" s="362">
        <v>3038433</v>
      </c>
      <c r="Q49" s="362">
        <v>3127411</v>
      </c>
      <c r="R49" s="362">
        <v>3217933</v>
      </c>
      <c r="S49" s="362">
        <v>3310387</v>
      </c>
      <c r="T49" s="362">
        <v>3406922</v>
      </c>
      <c r="U49" s="362">
        <v>3510468</v>
      </c>
      <c r="V49" s="362">
        <v>3622775.0000000005</v>
      </c>
      <c r="W49" s="362">
        <v>3745141.0000000005</v>
      </c>
      <c r="X49" s="362">
        <v>3876119</v>
      </c>
      <c r="Y49" s="362">
        <v>4011485.9999999995</v>
      </c>
      <c r="Z49" s="362">
        <v>4145391</v>
      </c>
      <c r="AA49" s="362">
        <v>4273731</v>
      </c>
      <c r="AB49" s="362">
        <v>4394844</v>
      </c>
      <c r="AC49" s="362">
        <v>4510198.9999999991</v>
      </c>
      <c r="AD49" s="362">
        <v>4622762</v>
      </c>
      <c r="AE49" s="362">
        <v>4736975.9999999991</v>
      </c>
      <c r="AF49" s="362">
        <v>4856095</v>
      </c>
      <c r="AG49" s="362">
        <v>4980996</v>
      </c>
      <c r="AH49" s="362">
        <v>5110695</v>
      </c>
      <c r="AI49" s="362">
        <v>5244359</v>
      </c>
      <c r="AJ49" s="362">
        <v>5380508</v>
      </c>
      <c r="AK49" s="362">
        <v>5518087</v>
      </c>
      <c r="AL49" s="363">
        <v>5657013</v>
      </c>
      <c r="AM49" s="362">
        <v>5797805</v>
      </c>
      <c r="AN49" s="362">
        <v>5940750</v>
      </c>
      <c r="AO49" s="362">
        <v>6086284</v>
      </c>
      <c r="AP49" s="362">
        <v>6234724</v>
      </c>
      <c r="AQ49" s="362">
        <v>6386127</v>
      </c>
      <c r="AR49" s="362">
        <v>6540372</v>
      </c>
      <c r="AS49" s="362">
        <v>6697436</v>
      </c>
      <c r="AT49" s="362">
        <v>6857281</v>
      </c>
      <c r="AU49" s="362">
        <v>7019831</v>
      </c>
      <c r="AV49" s="362" t="s">
        <v>141</v>
      </c>
      <c r="AW49" s="362">
        <v>2.5569890426703212E-2</v>
      </c>
      <c r="AX49" s="362">
        <v>2.5176478732575225E-2</v>
      </c>
    </row>
    <row r="50" spans="1:50" x14ac:dyDescent="0.25">
      <c r="A50" s="361" t="s">
        <v>143</v>
      </c>
      <c r="B50" s="361">
        <v>184</v>
      </c>
      <c r="C50" s="361" t="s">
        <v>142</v>
      </c>
      <c r="D50" s="361">
        <v>46</v>
      </c>
      <c r="E50" s="361">
        <v>24</v>
      </c>
      <c r="F50" s="361" t="s">
        <v>2374</v>
      </c>
      <c r="G50" s="362">
        <v>18191</v>
      </c>
      <c r="H50" s="362">
        <v>18420.000000000004</v>
      </c>
      <c r="I50" s="362">
        <v>18681.999999999996</v>
      </c>
      <c r="J50" s="362">
        <v>18926</v>
      </c>
      <c r="K50" s="362">
        <v>19077</v>
      </c>
      <c r="L50" s="362">
        <v>19097.000000000004</v>
      </c>
      <c r="M50" s="362">
        <v>18946</v>
      </c>
      <c r="N50" s="362">
        <v>18658</v>
      </c>
      <c r="O50" s="362">
        <v>18313</v>
      </c>
      <c r="P50" s="362">
        <v>18041</v>
      </c>
      <c r="Q50" s="362">
        <v>17929.999999999996</v>
      </c>
      <c r="R50" s="362">
        <v>18025</v>
      </c>
      <c r="S50" s="362">
        <v>18278</v>
      </c>
      <c r="T50" s="362">
        <v>18608</v>
      </c>
      <c r="U50" s="362">
        <v>18904</v>
      </c>
      <c r="V50" s="362">
        <v>19074</v>
      </c>
      <c r="W50" s="362">
        <v>19091.999999999996</v>
      </c>
      <c r="X50" s="362">
        <v>19001</v>
      </c>
      <c r="Y50" s="362">
        <v>18818</v>
      </c>
      <c r="Z50" s="362">
        <v>18602</v>
      </c>
      <c r="AA50" s="362">
        <v>18390.999999999996</v>
      </c>
      <c r="AB50" s="362">
        <v>18195</v>
      </c>
      <c r="AC50" s="362">
        <v>18011</v>
      </c>
      <c r="AD50" s="362">
        <v>17832.999999999996</v>
      </c>
      <c r="AE50" s="362">
        <v>17691</v>
      </c>
      <c r="AF50" s="362">
        <v>17585.999999999996</v>
      </c>
      <c r="AG50" s="362">
        <v>17524</v>
      </c>
      <c r="AH50" s="362">
        <v>17507</v>
      </c>
      <c r="AI50" s="362">
        <v>17518.000000000004</v>
      </c>
      <c r="AJ50" s="362">
        <v>17547.999999999996</v>
      </c>
      <c r="AK50" s="362">
        <v>17564</v>
      </c>
      <c r="AL50" s="363">
        <v>17565</v>
      </c>
      <c r="AM50" s="362">
        <v>17571</v>
      </c>
      <c r="AN50" s="362">
        <v>17563</v>
      </c>
      <c r="AO50" s="362">
        <v>17553</v>
      </c>
      <c r="AP50" s="362">
        <v>17544</v>
      </c>
      <c r="AQ50" s="362">
        <v>17546</v>
      </c>
      <c r="AR50" s="362">
        <v>17530</v>
      </c>
      <c r="AS50" s="362">
        <v>17534</v>
      </c>
      <c r="AT50" s="362">
        <v>17529</v>
      </c>
      <c r="AU50" s="362">
        <v>17524</v>
      </c>
      <c r="AV50" s="362" t="s">
        <v>143</v>
      </c>
      <c r="AW50" s="362">
        <v>9.1178481878295692E-4</v>
      </c>
      <c r="AX50" s="362">
        <v>5.6934639034444956E-5</v>
      </c>
    </row>
    <row r="51" spans="1:50" x14ac:dyDescent="0.25">
      <c r="A51" s="361" t="s">
        <v>145</v>
      </c>
      <c r="B51" s="361">
        <v>188</v>
      </c>
      <c r="C51" s="361" t="s">
        <v>144</v>
      </c>
      <c r="D51" s="361">
        <v>47</v>
      </c>
      <c r="E51" s="361">
        <v>4</v>
      </c>
      <c r="F51" s="361" t="s">
        <v>2374</v>
      </c>
      <c r="G51" s="362">
        <v>3119433</v>
      </c>
      <c r="H51" s="362">
        <v>3202085</v>
      </c>
      <c r="I51" s="362">
        <v>3286520</v>
      </c>
      <c r="J51" s="362">
        <v>3372298</v>
      </c>
      <c r="K51" s="362">
        <v>3458834</v>
      </c>
      <c r="L51" s="362">
        <v>3545534</v>
      </c>
      <c r="M51" s="362">
        <v>3632362</v>
      </c>
      <c r="N51" s="362">
        <v>3718949.0000000005</v>
      </c>
      <c r="O51" s="362">
        <v>3803887</v>
      </c>
      <c r="P51" s="362">
        <v>3885430</v>
      </c>
      <c r="Q51" s="362">
        <v>3962372</v>
      </c>
      <c r="R51" s="362">
        <v>4034074.0000000005</v>
      </c>
      <c r="S51" s="362">
        <v>4100925</v>
      </c>
      <c r="T51" s="362">
        <v>4164053</v>
      </c>
      <c r="U51" s="362">
        <v>4225155</v>
      </c>
      <c r="V51" s="362">
        <v>4285502</v>
      </c>
      <c r="W51" s="362">
        <v>4345412.0000000009</v>
      </c>
      <c r="X51" s="362">
        <v>4404628</v>
      </c>
      <c r="Y51" s="362">
        <v>4463125</v>
      </c>
      <c r="Z51" s="362">
        <v>4520740</v>
      </c>
      <c r="AA51" s="362">
        <v>4577377.9999999991</v>
      </c>
      <c r="AB51" s="362">
        <v>4633086.0000000009</v>
      </c>
      <c r="AC51" s="362">
        <v>4688000</v>
      </c>
      <c r="AD51" s="362">
        <v>4742107</v>
      </c>
      <c r="AE51" s="362">
        <v>4795395.9999999991</v>
      </c>
      <c r="AF51" s="362">
        <v>4847804</v>
      </c>
      <c r="AG51" s="362">
        <v>4899345</v>
      </c>
      <c r="AH51" s="362">
        <v>4949954</v>
      </c>
      <c r="AI51" s="362">
        <v>4999441</v>
      </c>
      <c r="AJ51" s="362">
        <v>5047561</v>
      </c>
      <c r="AK51" s="362">
        <v>5094118.0000000009</v>
      </c>
      <c r="AL51" s="363">
        <v>5139052</v>
      </c>
      <c r="AM51" s="362">
        <v>5182354</v>
      </c>
      <c r="AN51" s="362">
        <v>5223980</v>
      </c>
      <c r="AO51" s="362">
        <v>5263898</v>
      </c>
      <c r="AP51" s="362">
        <v>5302111</v>
      </c>
      <c r="AQ51" s="362">
        <v>5338565</v>
      </c>
      <c r="AR51" s="362">
        <v>5373262</v>
      </c>
      <c r="AS51" s="362">
        <v>5406322</v>
      </c>
      <c r="AT51" s="362">
        <v>5437877</v>
      </c>
      <c r="AU51" s="362">
        <v>5468038</v>
      </c>
      <c r="AV51" s="362" t="s">
        <v>145</v>
      </c>
      <c r="AW51" s="362">
        <v>9.2236626758945839E-3</v>
      </c>
      <c r="AX51" s="362">
        <v>8.8207615135729167E-3</v>
      </c>
    </row>
    <row r="52" spans="1:50" x14ac:dyDescent="0.25">
      <c r="A52" s="361" t="s">
        <v>147</v>
      </c>
      <c r="B52" s="361">
        <v>384</v>
      </c>
      <c r="C52" s="361" t="s">
        <v>146</v>
      </c>
      <c r="D52" s="361">
        <v>97</v>
      </c>
      <c r="E52" s="361">
        <v>8</v>
      </c>
      <c r="F52" s="361" t="s">
        <v>2374</v>
      </c>
      <c r="G52" s="362">
        <v>11924877</v>
      </c>
      <c r="H52" s="362">
        <v>12362407</v>
      </c>
      <c r="I52" s="362">
        <v>12812421</v>
      </c>
      <c r="J52" s="362">
        <v>13271643</v>
      </c>
      <c r="K52" s="362">
        <v>13735433</v>
      </c>
      <c r="L52" s="362">
        <v>14199762</v>
      </c>
      <c r="M52" s="362">
        <v>14665127</v>
      </c>
      <c r="N52" s="362">
        <v>15130663</v>
      </c>
      <c r="O52" s="362">
        <v>15589414.000000002</v>
      </c>
      <c r="P52" s="362">
        <v>16032573</v>
      </c>
      <c r="Q52" s="362">
        <v>16454668.000000002</v>
      </c>
      <c r="R52" s="362">
        <v>16853026.000000004</v>
      </c>
      <c r="S52" s="362">
        <v>17231539</v>
      </c>
      <c r="T52" s="362">
        <v>17599610.000000004</v>
      </c>
      <c r="U52" s="362">
        <v>17970494</v>
      </c>
      <c r="V52" s="362">
        <v>18354514</v>
      </c>
      <c r="W52" s="362">
        <v>18754916</v>
      </c>
      <c r="X52" s="362">
        <v>19171237</v>
      </c>
      <c r="Y52" s="362">
        <v>19605569</v>
      </c>
      <c r="Z52" s="362">
        <v>20059147</v>
      </c>
      <c r="AA52" s="362">
        <v>20532950</v>
      </c>
      <c r="AB52" s="362">
        <v>21028655</v>
      </c>
      <c r="AC52" s="362">
        <v>21547188</v>
      </c>
      <c r="AD52" s="362">
        <v>22087504</v>
      </c>
      <c r="AE52" s="362">
        <v>22647684</v>
      </c>
      <c r="AF52" s="362">
        <v>23226143</v>
      </c>
      <c r="AG52" s="362">
        <v>23822714</v>
      </c>
      <c r="AH52" s="362">
        <v>24437470</v>
      </c>
      <c r="AI52" s="362">
        <v>25069230</v>
      </c>
      <c r="AJ52" s="362">
        <v>25716544.000000004</v>
      </c>
      <c r="AK52" s="362">
        <v>26378274</v>
      </c>
      <c r="AL52" s="363">
        <v>27053629</v>
      </c>
      <c r="AM52" s="362">
        <v>27742298</v>
      </c>
      <c r="AN52" s="362">
        <v>28444203</v>
      </c>
      <c r="AO52" s="362">
        <v>29159502</v>
      </c>
      <c r="AP52" s="362">
        <v>29888176</v>
      </c>
      <c r="AQ52" s="362">
        <v>30629936</v>
      </c>
      <c r="AR52" s="362">
        <v>31384158</v>
      </c>
      <c r="AS52" s="362">
        <v>32149991</v>
      </c>
      <c r="AT52" s="362">
        <v>32926403</v>
      </c>
      <c r="AU52" s="362">
        <v>33712599</v>
      </c>
      <c r="AV52" s="362" t="s">
        <v>147</v>
      </c>
      <c r="AW52" s="362">
        <v>2.573168463071851E-2</v>
      </c>
      <c r="AX52" s="362">
        <v>2.5602698645104782E-2</v>
      </c>
    </row>
    <row r="53" spans="1:50" x14ac:dyDescent="0.25">
      <c r="A53" s="361" t="s">
        <v>149</v>
      </c>
      <c r="B53" s="361">
        <v>191</v>
      </c>
      <c r="C53" s="361" t="s">
        <v>148</v>
      </c>
      <c r="D53" s="361">
        <v>48</v>
      </c>
      <c r="E53" s="361">
        <v>12</v>
      </c>
      <c r="F53" s="361" t="s">
        <v>2374</v>
      </c>
      <c r="G53" s="362">
        <v>4776374</v>
      </c>
      <c r="H53" s="362">
        <v>4760002.9999999991</v>
      </c>
      <c r="I53" s="362">
        <v>4732862</v>
      </c>
      <c r="J53" s="362">
        <v>4697538</v>
      </c>
      <c r="K53" s="362">
        <v>4657802.9999999991</v>
      </c>
      <c r="L53" s="362">
        <v>4616765.9999999991</v>
      </c>
      <c r="M53" s="362">
        <v>4574888</v>
      </c>
      <c r="N53" s="362">
        <v>4532401</v>
      </c>
      <c r="O53" s="362">
        <v>4491907</v>
      </c>
      <c r="P53" s="362">
        <v>4456437</v>
      </c>
      <c r="Q53" s="362">
        <v>4428075</v>
      </c>
      <c r="R53" s="362">
        <v>4408075</v>
      </c>
      <c r="S53" s="362">
        <v>4395799</v>
      </c>
      <c r="T53" s="362">
        <v>4388895.0000000009</v>
      </c>
      <c r="U53" s="362">
        <v>4383882</v>
      </c>
      <c r="V53" s="362">
        <v>4378058</v>
      </c>
      <c r="W53" s="362">
        <v>4370777</v>
      </c>
      <c r="X53" s="362">
        <v>4362426</v>
      </c>
      <c r="Y53" s="362">
        <v>4352636</v>
      </c>
      <c r="Z53" s="362">
        <v>4341264</v>
      </c>
      <c r="AA53" s="362">
        <v>4328165</v>
      </c>
      <c r="AB53" s="362">
        <v>4313099</v>
      </c>
      <c r="AC53" s="362">
        <v>4295878</v>
      </c>
      <c r="AD53" s="362">
        <v>4276598</v>
      </c>
      <c r="AE53" s="362">
        <v>4255511.9999999991</v>
      </c>
      <c r="AF53" s="362">
        <v>4232874</v>
      </c>
      <c r="AG53" s="362">
        <v>4208602</v>
      </c>
      <c r="AH53" s="362">
        <v>4182857.0000000005</v>
      </c>
      <c r="AI53" s="362">
        <v>4156404.9999999995</v>
      </c>
      <c r="AJ53" s="362">
        <v>4130303.9999999995</v>
      </c>
      <c r="AK53" s="362">
        <v>4105266.9999999995</v>
      </c>
      <c r="AL53" s="363">
        <v>4081651</v>
      </c>
      <c r="AM53" s="362">
        <v>4059286</v>
      </c>
      <c r="AN53" s="362">
        <v>4037689</v>
      </c>
      <c r="AO53" s="362">
        <v>4016136</v>
      </c>
      <c r="AP53" s="362">
        <v>3994074</v>
      </c>
      <c r="AQ53" s="362">
        <v>3971384</v>
      </c>
      <c r="AR53" s="362">
        <v>3948253</v>
      </c>
      <c r="AS53" s="362">
        <v>3924753</v>
      </c>
      <c r="AT53" s="362">
        <v>3901051</v>
      </c>
      <c r="AU53" s="362">
        <v>3877272</v>
      </c>
      <c r="AV53" s="362" t="s">
        <v>149</v>
      </c>
      <c r="AW53" s="362">
        <v>-6.0617814088260724E-3</v>
      </c>
      <c r="AX53" s="362">
        <v>-5.752610000762326E-3</v>
      </c>
    </row>
    <row r="54" spans="1:50" x14ac:dyDescent="0.25">
      <c r="A54" s="361" t="s">
        <v>151</v>
      </c>
      <c r="B54" s="361">
        <v>192</v>
      </c>
      <c r="C54" s="361" t="s">
        <v>150</v>
      </c>
      <c r="D54" s="361">
        <v>49</v>
      </c>
      <c r="E54" s="361">
        <v>4</v>
      </c>
      <c r="F54" s="361" t="s">
        <v>2374</v>
      </c>
      <c r="G54" s="362">
        <v>10596986.999999998</v>
      </c>
      <c r="H54" s="362">
        <v>10673542</v>
      </c>
      <c r="I54" s="362">
        <v>10736387</v>
      </c>
      <c r="J54" s="362">
        <v>10789306</v>
      </c>
      <c r="K54" s="362">
        <v>10838462</v>
      </c>
      <c r="L54" s="362">
        <v>10888252</v>
      </c>
      <c r="M54" s="362">
        <v>10939293</v>
      </c>
      <c r="N54" s="362">
        <v>10989732</v>
      </c>
      <c r="O54" s="362">
        <v>11038692</v>
      </c>
      <c r="P54" s="362">
        <v>11084670</v>
      </c>
      <c r="Q54" s="362">
        <v>11126430</v>
      </c>
      <c r="R54" s="362">
        <v>11164667</v>
      </c>
      <c r="S54" s="362">
        <v>11199651</v>
      </c>
      <c r="T54" s="362">
        <v>11229183</v>
      </c>
      <c r="U54" s="362">
        <v>11250365</v>
      </c>
      <c r="V54" s="362">
        <v>11261582</v>
      </c>
      <c r="W54" s="362">
        <v>11261248</v>
      </c>
      <c r="X54" s="362">
        <v>11251121.999999998</v>
      </c>
      <c r="Y54" s="362">
        <v>11236970.999999998</v>
      </c>
      <c r="Z54" s="362">
        <v>11226709.000000002</v>
      </c>
      <c r="AA54" s="362">
        <v>11225832</v>
      </c>
      <c r="AB54" s="362">
        <v>11236671</v>
      </c>
      <c r="AC54" s="362">
        <v>11257104</v>
      </c>
      <c r="AD54" s="362">
        <v>11282723</v>
      </c>
      <c r="AE54" s="362">
        <v>11306904.000000002</v>
      </c>
      <c r="AF54" s="362">
        <v>11324781.000000002</v>
      </c>
      <c r="AG54" s="362">
        <v>11335104</v>
      </c>
      <c r="AH54" s="362">
        <v>11339254</v>
      </c>
      <c r="AI54" s="362">
        <v>11338134</v>
      </c>
      <c r="AJ54" s="362">
        <v>11333483</v>
      </c>
      <c r="AK54" s="362">
        <v>11326616</v>
      </c>
      <c r="AL54" s="363">
        <v>11317505</v>
      </c>
      <c r="AM54" s="362">
        <v>11305652</v>
      </c>
      <c r="AN54" s="362">
        <v>11291392</v>
      </c>
      <c r="AO54" s="362">
        <v>11275082</v>
      </c>
      <c r="AP54" s="362">
        <v>11257035</v>
      </c>
      <c r="AQ54" s="362">
        <v>11237409</v>
      </c>
      <c r="AR54" s="362">
        <v>11216213</v>
      </c>
      <c r="AS54" s="362">
        <v>11193389</v>
      </c>
      <c r="AT54" s="362">
        <v>11168795</v>
      </c>
      <c r="AU54" s="362">
        <v>11142328</v>
      </c>
      <c r="AV54" s="362" t="s">
        <v>151</v>
      </c>
      <c r="AW54" s="362">
        <v>-6.0590376321212336E-4</v>
      </c>
      <c r="AX54" s="362">
        <v>-8.0438853051967296E-4</v>
      </c>
    </row>
    <row r="55" spans="1:50" x14ac:dyDescent="0.25">
      <c r="A55" s="361" t="s">
        <v>153</v>
      </c>
      <c r="B55" s="361">
        <v>196</v>
      </c>
      <c r="C55" s="361" t="s">
        <v>152</v>
      </c>
      <c r="D55" s="361">
        <v>50</v>
      </c>
      <c r="E55" s="361">
        <v>12</v>
      </c>
      <c r="F55" s="361" t="s">
        <v>2374</v>
      </c>
      <c r="G55" s="362">
        <v>766615</v>
      </c>
      <c r="H55" s="362">
        <v>783124</v>
      </c>
      <c r="I55" s="362">
        <v>800611</v>
      </c>
      <c r="J55" s="362">
        <v>818746</v>
      </c>
      <c r="K55" s="362">
        <v>837110</v>
      </c>
      <c r="L55" s="362">
        <v>855383</v>
      </c>
      <c r="M55" s="362">
        <v>873423</v>
      </c>
      <c r="N55" s="362">
        <v>891190</v>
      </c>
      <c r="O55" s="362">
        <v>908702</v>
      </c>
      <c r="P55" s="362">
        <v>926046</v>
      </c>
      <c r="Q55" s="362">
        <v>943290</v>
      </c>
      <c r="R55" s="362">
        <v>960275.99999999988</v>
      </c>
      <c r="S55" s="362">
        <v>976964</v>
      </c>
      <c r="T55" s="362">
        <v>993563</v>
      </c>
      <c r="U55" s="362">
        <v>1010408</v>
      </c>
      <c r="V55" s="362">
        <v>1027662.0000000001</v>
      </c>
      <c r="W55" s="362">
        <v>1045507</v>
      </c>
      <c r="X55" s="362">
        <v>1063713</v>
      </c>
      <c r="Y55" s="362">
        <v>1081563</v>
      </c>
      <c r="Z55" s="362">
        <v>1098083.0000000002</v>
      </c>
      <c r="AA55" s="362">
        <v>1112612.0000000002</v>
      </c>
      <c r="AB55" s="362">
        <v>1124833.0000000002</v>
      </c>
      <c r="AC55" s="362">
        <v>1135046</v>
      </c>
      <c r="AD55" s="362">
        <v>1143866</v>
      </c>
      <c r="AE55" s="362">
        <v>1152285</v>
      </c>
      <c r="AF55" s="362">
        <v>1160985</v>
      </c>
      <c r="AG55" s="362">
        <v>1170186.9999999998</v>
      </c>
      <c r="AH55" s="362">
        <v>1179678</v>
      </c>
      <c r="AI55" s="362">
        <v>1189265</v>
      </c>
      <c r="AJ55" s="362">
        <v>1198575</v>
      </c>
      <c r="AK55" s="362">
        <v>1207358.9999999998</v>
      </c>
      <c r="AL55" s="363">
        <v>1215584</v>
      </c>
      <c r="AM55" s="362">
        <v>1223387</v>
      </c>
      <c r="AN55" s="362">
        <v>1230792</v>
      </c>
      <c r="AO55" s="362">
        <v>1237874</v>
      </c>
      <c r="AP55" s="362">
        <v>1244676</v>
      </c>
      <c r="AQ55" s="362">
        <v>1251211</v>
      </c>
      <c r="AR55" s="362">
        <v>1257476</v>
      </c>
      <c r="AS55" s="362">
        <v>1263497</v>
      </c>
      <c r="AT55" s="362">
        <v>1269318</v>
      </c>
      <c r="AU55" s="362">
        <v>1274972</v>
      </c>
      <c r="AV55" s="362" t="s">
        <v>153</v>
      </c>
      <c r="AW55" s="362">
        <v>7.3287028346158412E-3</v>
      </c>
      <c r="AX55" s="362">
        <v>6.8123896869118905E-3</v>
      </c>
    </row>
    <row r="56" spans="1:50" x14ac:dyDescent="0.25">
      <c r="A56" s="361" t="s">
        <v>155</v>
      </c>
      <c r="B56" s="361">
        <v>203</v>
      </c>
      <c r="C56" s="361" t="s">
        <v>154</v>
      </c>
      <c r="D56" s="361">
        <v>51</v>
      </c>
      <c r="E56" s="361">
        <v>12</v>
      </c>
      <c r="F56" s="361" t="s">
        <v>2374</v>
      </c>
      <c r="G56" s="362">
        <v>10340875</v>
      </c>
      <c r="H56" s="362">
        <v>10346452</v>
      </c>
      <c r="I56" s="362">
        <v>10353028</v>
      </c>
      <c r="J56" s="362">
        <v>10358690.000000002</v>
      </c>
      <c r="K56" s="362">
        <v>10360968.999999998</v>
      </c>
      <c r="L56" s="362">
        <v>10358193</v>
      </c>
      <c r="M56" s="362">
        <v>10350309</v>
      </c>
      <c r="N56" s="362">
        <v>10338339</v>
      </c>
      <c r="O56" s="362">
        <v>10323246.999999998</v>
      </c>
      <c r="P56" s="362">
        <v>10306411</v>
      </c>
      <c r="Q56" s="362">
        <v>10289373</v>
      </c>
      <c r="R56" s="362">
        <v>10271008</v>
      </c>
      <c r="S56" s="362">
        <v>10252261</v>
      </c>
      <c r="T56" s="362">
        <v>10239136</v>
      </c>
      <c r="U56" s="362">
        <v>10239439</v>
      </c>
      <c r="V56" s="362">
        <v>10258167</v>
      </c>
      <c r="W56" s="362">
        <v>10298613.999999998</v>
      </c>
      <c r="X56" s="362">
        <v>10357538</v>
      </c>
      <c r="Y56" s="362">
        <v>10425265.999999998</v>
      </c>
      <c r="Z56" s="362">
        <v>10488155</v>
      </c>
      <c r="AA56" s="362">
        <v>10536518</v>
      </c>
      <c r="AB56" s="362">
        <v>10566517</v>
      </c>
      <c r="AC56" s="362">
        <v>10581293</v>
      </c>
      <c r="AD56" s="362">
        <v>10586533</v>
      </c>
      <c r="AE56" s="362">
        <v>10591108</v>
      </c>
      <c r="AF56" s="362">
        <v>10601397</v>
      </c>
      <c r="AG56" s="362">
        <v>10618857</v>
      </c>
      <c r="AH56" s="362">
        <v>10641034</v>
      </c>
      <c r="AI56" s="362">
        <v>10665677</v>
      </c>
      <c r="AJ56" s="362">
        <v>10689209</v>
      </c>
      <c r="AK56" s="362">
        <v>10708981</v>
      </c>
      <c r="AL56" s="363">
        <v>10724555</v>
      </c>
      <c r="AM56" s="362">
        <v>10736784</v>
      </c>
      <c r="AN56" s="362">
        <v>10745883</v>
      </c>
      <c r="AO56" s="362">
        <v>10752385</v>
      </c>
      <c r="AP56" s="362">
        <v>10756696</v>
      </c>
      <c r="AQ56" s="362">
        <v>10758834</v>
      </c>
      <c r="AR56" s="362">
        <v>10758628</v>
      </c>
      <c r="AS56" s="362">
        <v>10756158</v>
      </c>
      <c r="AT56" s="362">
        <v>10751514</v>
      </c>
      <c r="AU56" s="362">
        <v>10744834</v>
      </c>
      <c r="AV56" s="362" t="s">
        <v>155</v>
      </c>
      <c r="AW56" s="362">
        <v>1.8497159144330588E-3</v>
      </c>
      <c r="AX56" s="362">
        <v>1.454293363672976E-3</v>
      </c>
    </row>
    <row r="57" spans="1:50" x14ac:dyDescent="0.25">
      <c r="A57" s="361" t="s">
        <v>157</v>
      </c>
      <c r="B57" s="361">
        <v>208</v>
      </c>
      <c r="C57" s="361" t="s">
        <v>156</v>
      </c>
      <c r="D57" s="361">
        <v>53</v>
      </c>
      <c r="E57" s="361">
        <v>11</v>
      </c>
      <c r="F57" s="361" t="s">
        <v>2374</v>
      </c>
      <c r="G57" s="362">
        <v>5141115</v>
      </c>
      <c r="H57" s="362">
        <v>5154908.0000000009</v>
      </c>
      <c r="I57" s="362">
        <v>5171650</v>
      </c>
      <c r="J57" s="362">
        <v>5190742</v>
      </c>
      <c r="K57" s="362">
        <v>5211334</v>
      </c>
      <c r="L57" s="362">
        <v>5232704</v>
      </c>
      <c r="M57" s="362">
        <v>5254860</v>
      </c>
      <c r="N57" s="362">
        <v>5277711</v>
      </c>
      <c r="O57" s="362">
        <v>5300378.9999999991</v>
      </c>
      <c r="P57" s="362">
        <v>5321774</v>
      </c>
      <c r="Q57" s="362">
        <v>5341194.0000000009</v>
      </c>
      <c r="R57" s="362">
        <v>5358062</v>
      </c>
      <c r="S57" s="362">
        <v>5372801.0000000009</v>
      </c>
      <c r="T57" s="362">
        <v>5386968</v>
      </c>
      <c r="U57" s="362">
        <v>5402761.0000000009</v>
      </c>
      <c r="V57" s="362">
        <v>5421702</v>
      </c>
      <c r="W57" s="362">
        <v>5444286</v>
      </c>
      <c r="X57" s="362">
        <v>5469921</v>
      </c>
      <c r="Y57" s="362">
        <v>5497729.0000000009</v>
      </c>
      <c r="Z57" s="362">
        <v>5526388</v>
      </c>
      <c r="AA57" s="362">
        <v>5554844</v>
      </c>
      <c r="AB57" s="362">
        <v>5582978</v>
      </c>
      <c r="AC57" s="362">
        <v>5610903</v>
      </c>
      <c r="AD57" s="362">
        <v>5638145.0000000009</v>
      </c>
      <c r="AE57" s="362">
        <v>5664196</v>
      </c>
      <c r="AF57" s="362">
        <v>5688695</v>
      </c>
      <c r="AG57" s="362">
        <v>5711349</v>
      </c>
      <c r="AH57" s="362">
        <v>5732274</v>
      </c>
      <c r="AI57" s="362">
        <v>5752126.0000000009</v>
      </c>
      <c r="AJ57" s="362">
        <v>5771876</v>
      </c>
      <c r="AK57" s="362">
        <v>5792202.0000000009</v>
      </c>
      <c r="AL57" s="363">
        <v>5813298</v>
      </c>
      <c r="AM57" s="362">
        <v>5834950</v>
      </c>
      <c r="AN57" s="362">
        <v>5856930</v>
      </c>
      <c r="AO57" s="362">
        <v>5878876</v>
      </c>
      <c r="AP57" s="362">
        <v>5900493</v>
      </c>
      <c r="AQ57" s="362">
        <v>5921744</v>
      </c>
      <c r="AR57" s="362">
        <v>5942671</v>
      </c>
      <c r="AS57" s="362">
        <v>5963112</v>
      </c>
      <c r="AT57" s="362">
        <v>5982891</v>
      </c>
      <c r="AU57" s="362">
        <v>6001867</v>
      </c>
      <c r="AV57" s="362" t="s">
        <v>157</v>
      </c>
      <c r="AW57" s="362">
        <v>3.521558675203762E-3</v>
      </c>
      <c r="AX57" s="362">
        <v>3.6421381712858913E-3</v>
      </c>
    </row>
    <row r="58" spans="1:50" x14ac:dyDescent="0.25">
      <c r="A58" s="361" t="s">
        <v>159</v>
      </c>
      <c r="B58" s="361">
        <v>262</v>
      </c>
      <c r="C58" s="361" t="s">
        <v>158</v>
      </c>
      <c r="D58" s="361">
        <v>69</v>
      </c>
      <c r="E58" s="361">
        <v>9</v>
      </c>
      <c r="F58" s="361" t="s">
        <v>2374</v>
      </c>
      <c r="G58" s="362">
        <v>590398</v>
      </c>
      <c r="H58" s="362">
        <v>606844</v>
      </c>
      <c r="I58" s="362">
        <v>615054</v>
      </c>
      <c r="J58" s="362">
        <v>618495</v>
      </c>
      <c r="K58" s="362">
        <v>622366</v>
      </c>
      <c r="L58" s="362">
        <v>630388.00000000012</v>
      </c>
      <c r="M58" s="362">
        <v>643654</v>
      </c>
      <c r="N58" s="362">
        <v>660863.00000000012</v>
      </c>
      <c r="O58" s="362">
        <v>680462.99999999988</v>
      </c>
      <c r="P58" s="362">
        <v>699975</v>
      </c>
      <c r="Q58" s="362">
        <v>717584</v>
      </c>
      <c r="R58" s="362">
        <v>733015</v>
      </c>
      <c r="S58" s="362">
        <v>746942</v>
      </c>
      <c r="T58" s="362">
        <v>759641</v>
      </c>
      <c r="U58" s="362">
        <v>771602.99999999988</v>
      </c>
      <c r="V58" s="362">
        <v>783254</v>
      </c>
      <c r="W58" s="362">
        <v>794563</v>
      </c>
      <c r="X58" s="362">
        <v>805451</v>
      </c>
      <c r="Y58" s="362">
        <v>816357.99999999988</v>
      </c>
      <c r="Z58" s="362">
        <v>827823</v>
      </c>
      <c r="AA58" s="362">
        <v>840198</v>
      </c>
      <c r="AB58" s="362">
        <v>853673.99999999988</v>
      </c>
      <c r="AC58" s="362">
        <v>868136.99999999988</v>
      </c>
      <c r="AD58" s="362">
        <v>883293</v>
      </c>
      <c r="AE58" s="362">
        <v>898695</v>
      </c>
      <c r="AF58" s="362">
        <v>913993</v>
      </c>
      <c r="AG58" s="362">
        <v>929111.99999999988</v>
      </c>
      <c r="AH58" s="362">
        <v>944099</v>
      </c>
      <c r="AI58" s="362">
        <v>958923</v>
      </c>
      <c r="AJ58" s="362">
        <v>973560</v>
      </c>
      <c r="AK58" s="362">
        <v>988000</v>
      </c>
      <c r="AL58" s="363">
        <v>1002187</v>
      </c>
      <c r="AM58" s="362">
        <v>1016097</v>
      </c>
      <c r="AN58" s="362">
        <v>1029694.9999999999</v>
      </c>
      <c r="AO58" s="362">
        <v>1043019</v>
      </c>
      <c r="AP58" s="362">
        <v>1056061</v>
      </c>
      <c r="AQ58" s="362">
        <v>1068800</v>
      </c>
      <c r="AR58" s="362">
        <v>1081243</v>
      </c>
      <c r="AS58" s="362">
        <v>1093373</v>
      </c>
      <c r="AT58" s="362">
        <v>1105196</v>
      </c>
      <c r="AU58" s="362">
        <v>1116724</v>
      </c>
      <c r="AV58" s="362" t="s">
        <v>159</v>
      </c>
      <c r="AW58" s="362">
        <v>1.4832162373145996E-2</v>
      </c>
      <c r="AX58" s="362">
        <v>1.4359311740890668E-2</v>
      </c>
    </row>
    <row r="59" spans="1:50" x14ac:dyDescent="0.25">
      <c r="A59" s="361" t="s">
        <v>161</v>
      </c>
      <c r="B59" s="361">
        <v>212</v>
      </c>
      <c r="C59" s="361" t="s">
        <v>160</v>
      </c>
      <c r="D59" s="361">
        <v>54</v>
      </c>
      <c r="E59" s="361">
        <v>4</v>
      </c>
      <c r="F59" s="361" t="s">
        <v>2374</v>
      </c>
      <c r="G59" s="362">
        <v>70419</v>
      </c>
      <c r="H59" s="362">
        <v>70373.999999999985</v>
      </c>
      <c r="I59" s="362">
        <v>70544</v>
      </c>
      <c r="J59" s="362">
        <v>70831</v>
      </c>
      <c r="K59" s="362">
        <v>71043.000000000015</v>
      </c>
      <c r="L59" s="362">
        <v>71098</v>
      </c>
      <c r="M59" s="362">
        <v>70936.000000000015</v>
      </c>
      <c r="N59" s="362">
        <v>70599.000000000015</v>
      </c>
      <c r="O59" s="362">
        <v>70185</v>
      </c>
      <c r="P59" s="362">
        <v>69835</v>
      </c>
      <c r="Q59" s="362">
        <v>69650</v>
      </c>
      <c r="R59" s="362">
        <v>69661</v>
      </c>
      <c r="S59" s="362">
        <v>69837.000000000015</v>
      </c>
      <c r="T59" s="362">
        <v>70100</v>
      </c>
      <c r="U59" s="362">
        <v>70382</v>
      </c>
      <c r="V59" s="362">
        <v>70589</v>
      </c>
      <c r="W59" s="362">
        <v>70718</v>
      </c>
      <c r="X59" s="362">
        <v>70795</v>
      </c>
      <c r="Y59" s="362">
        <v>70827</v>
      </c>
      <c r="Z59" s="362">
        <v>70851</v>
      </c>
      <c r="AA59" s="362">
        <v>70878</v>
      </c>
      <c r="AB59" s="362">
        <v>70916</v>
      </c>
      <c r="AC59" s="362">
        <v>70965</v>
      </c>
      <c r="AD59" s="362">
        <v>71016.000000000015</v>
      </c>
      <c r="AE59" s="362">
        <v>71085</v>
      </c>
      <c r="AF59" s="362">
        <v>71183.000000000015</v>
      </c>
      <c r="AG59" s="362">
        <v>71307</v>
      </c>
      <c r="AH59" s="362">
        <v>71458</v>
      </c>
      <c r="AI59" s="362">
        <v>71625</v>
      </c>
      <c r="AJ59" s="362">
        <v>71808.000000000015</v>
      </c>
      <c r="AK59" s="362">
        <v>71986.000000000015</v>
      </c>
      <c r="AL59" s="363">
        <v>72167</v>
      </c>
      <c r="AM59" s="362">
        <v>72344</v>
      </c>
      <c r="AN59" s="362">
        <v>72519</v>
      </c>
      <c r="AO59" s="362">
        <v>72680</v>
      </c>
      <c r="AP59" s="362">
        <v>72818</v>
      </c>
      <c r="AQ59" s="362">
        <v>72948</v>
      </c>
      <c r="AR59" s="362">
        <v>73051</v>
      </c>
      <c r="AS59" s="362">
        <v>73138</v>
      </c>
      <c r="AT59" s="362">
        <v>73205</v>
      </c>
      <c r="AU59" s="362">
        <v>73241</v>
      </c>
      <c r="AV59" s="362" t="s">
        <v>161</v>
      </c>
      <c r="AW59" s="362">
        <v>2.4788324420677021E-3</v>
      </c>
      <c r="AX59" s="362">
        <v>2.5143777956821989E-3</v>
      </c>
    </row>
    <row r="60" spans="1:50" x14ac:dyDescent="0.25">
      <c r="A60" s="361" t="s">
        <v>163</v>
      </c>
      <c r="B60" s="361">
        <v>214</v>
      </c>
      <c r="C60" s="361" t="s">
        <v>162</v>
      </c>
      <c r="D60" s="361">
        <v>55</v>
      </c>
      <c r="E60" s="361">
        <v>4</v>
      </c>
      <c r="F60" s="361" t="s">
        <v>2374</v>
      </c>
      <c r="G60" s="362">
        <v>7133494</v>
      </c>
      <c r="H60" s="362">
        <v>7270409</v>
      </c>
      <c r="I60" s="362">
        <v>7408341.9999999991</v>
      </c>
      <c r="J60" s="362">
        <v>7546463</v>
      </c>
      <c r="K60" s="362">
        <v>7683707</v>
      </c>
      <c r="L60" s="362">
        <v>7819247.0000000009</v>
      </c>
      <c r="M60" s="362">
        <v>7952763</v>
      </c>
      <c r="N60" s="362">
        <v>8084407.0000000009</v>
      </c>
      <c r="O60" s="362">
        <v>8214426</v>
      </c>
      <c r="P60" s="362">
        <v>8343283</v>
      </c>
      <c r="Q60" s="362">
        <v>8471321</v>
      </c>
      <c r="R60" s="362">
        <v>8598601</v>
      </c>
      <c r="S60" s="362">
        <v>8724975</v>
      </c>
      <c r="T60" s="362">
        <v>8850316.9999999981</v>
      </c>
      <c r="U60" s="362">
        <v>8974444</v>
      </c>
      <c r="V60" s="362">
        <v>9097256.9999999981</v>
      </c>
      <c r="W60" s="362">
        <v>9218686</v>
      </c>
      <c r="X60" s="362">
        <v>9338861.0000000019</v>
      </c>
      <c r="Y60" s="362">
        <v>9458075</v>
      </c>
      <c r="Z60" s="362">
        <v>9576737</v>
      </c>
      <c r="AA60" s="362">
        <v>9695120.9999999981</v>
      </c>
      <c r="AB60" s="362">
        <v>9813210.9999999981</v>
      </c>
      <c r="AC60" s="362">
        <v>9930916</v>
      </c>
      <c r="AD60" s="362">
        <v>10048232</v>
      </c>
      <c r="AE60" s="362">
        <v>10165183</v>
      </c>
      <c r="AF60" s="362">
        <v>10281680</v>
      </c>
      <c r="AG60" s="362">
        <v>10397741</v>
      </c>
      <c r="AH60" s="362">
        <v>10513104</v>
      </c>
      <c r="AI60" s="362">
        <v>10627141</v>
      </c>
      <c r="AJ60" s="362">
        <v>10738958</v>
      </c>
      <c r="AK60" s="362">
        <v>10847910</v>
      </c>
      <c r="AL60" s="363">
        <v>10953703</v>
      </c>
      <c r="AM60" s="362">
        <v>11056370</v>
      </c>
      <c r="AN60" s="362">
        <v>11155928</v>
      </c>
      <c r="AO60" s="362">
        <v>11252481</v>
      </c>
      <c r="AP60" s="362">
        <v>11346146</v>
      </c>
      <c r="AQ60" s="362">
        <v>11436862</v>
      </c>
      <c r="AR60" s="362">
        <v>11524530</v>
      </c>
      <c r="AS60" s="362">
        <v>11609247</v>
      </c>
      <c r="AT60" s="362">
        <v>11691144</v>
      </c>
      <c r="AU60" s="362">
        <v>11770322</v>
      </c>
      <c r="AV60" s="362" t="s">
        <v>163</v>
      </c>
      <c r="AW60" s="362">
        <v>1.0145490838124216E-2</v>
      </c>
      <c r="AX60" s="362">
        <v>9.7523854825491973E-3</v>
      </c>
    </row>
    <row r="61" spans="1:50" x14ac:dyDescent="0.25">
      <c r="A61" s="361" t="s">
        <v>165</v>
      </c>
      <c r="B61" s="361">
        <v>218</v>
      </c>
      <c r="C61" s="361" t="s">
        <v>164</v>
      </c>
      <c r="D61" s="361">
        <v>56</v>
      </c>
      <c r="E61" s="361">
        <v>6</v>
      </c>
      <c r="F61" s="361" t="s">
        <v>2374</v>
      </c>
      <c r="G61" s="362">
        <v>10230934</v>
      </c>
      <c r="H61" s="362">
        <v>10472475.000000002</v>
      </c>
      <c r="I61" s="362">
        <v>10716129</v>
      </c>
      <c r="J61" s="362">
        <v>10961466</v>
      </c>
      <c r="K61" s="362">
        <v>11208001</v>
      </c>
      <c r="L61" s="362">
        <v>11455204</v>
      </c>
      <c r="M61" s="362">
        <v>11703174</v>
      </c>
      <c r="N61" s="362">
        <v>11951452</v>
      </c>
      <c r="O61" s="362">
        <v>12198449</v>
      </c>
      <c r="P61" s="362">
        <v>12442115</v>
      </c>
      <c r="Q61" s="362">
        <v>12681123</v>
      </c>
      <c r="R61" s="362">
        <v>12914667</v>
      </c>
      <c r="S61" s="362">
        <v>13143465</v>
      </c>
      <c r="T61" s="362">
        <v>13369678</v>
      </c>
      <c r="U61" s="362">
        <v>13596388.000000002</v>
      </c>
      <c r="V61" s="362">
        <v>13825847</v>
      </c>
      <c r="W61" s="362">
        <v>14059384</v>
      </c>
      <c r="X61" s="362">
        <v>14296557</v>
      </c>
      <c r="Y61" s="362">
        <v>14535739</v>
      </c>
      <c r="Z61" s="362">
        <v>14774424.000000002</v>
      </c>
      <c r="AA61" s="362">
        <v>15011117</v>
      </c>
      <c r="AB61" s="362">
        <v>15243884</v>
      </c>
      <c r="AC61" s="362">
        <v>15474101.000000002</v>
      </c>
      <c r="AD61" s="362">
        <v>15707474</v>
      </c>
      <c r="AE61" s="362">
        <v>15951840</v>
      </c>
      <c r="AF61" s="362">
        <v>16212019.999999998</v>
      </c>
      <c r="AG61" s="362">
        <v>16491116.000000002</v>
      </c>
      <c r="AH61" s="362">
        <v>16785361</v>
      </c>
      <c r="AI61" s="362">
        <v>17084358</v>
      </c>
      <c r="AJ61" s="362">
        <v>17373662</v>
      </c>
      <c r="AK61" s="362">
        <v>17643054</v>
      </c>
      <c r="AL61" s="363">
        <v>17888475</v>
      </c>
      <c r="AM61" s="362">
        <v>18113361</v>
      </c>
      <c r="AN61" s="362">
        <v>18324158</v>
      </c>
      <c r="AO61" s="362">
        <v>18530795</v>
      </c>
      <c r="AP61" s="362">
        <v>18740538</v>
      </c>
      <c r="AQ61" s="362">
        <v>18955061</v>
      </c>
      <c r="AR61" s="362">
        <v>19172030</v>
      </c>
      <c r="AS61" s="362">
        <v>19389990</v>
      </c>
      <c r="AT61" s="362">
        <v>19606240</v>
      </c>
      <c r="AU61" s="362">
        <v>19818797</v>
      </c>
      <c r="AV61" s="362" t="s">
        <v>165</v>
      </c>
      <c r="AW61" s="362">
        <v>1.5505769595379526E-2</v>
      </c>
      <c r="AX61" s="362">
        <v>1.3910346814105967E-2</v>
      </c>
    </row>
    <row r="62" spans="1:50" x14ac:dyDescent="0.25">
      <c r="A62" s="361" t="s">
        <v>167</v>
      </c>
      <c r="B62" s="361">
        <v>818</v>
      </c>
      <c r="C62" s="361" t="s">
        <v>166</v>
      </c>
      <c r="D62" s="361">
        <v>211</v>
      </c>
      <c r="E62" s="361">
        <v>7</v>
      </c>
      <c r="F62" s="361" t="s">
        <v>2374</v>
      </c>
      <c r="G62" s="362">
        <v>56134475</v>
      </c>
      <c r="H62" s="362">
        <v>57424549</v>
      </c>
      <c r="I62" s="362">
        <v>58666813.999999993</v>
      </c>
      <c r="J62" s="362">
        <v>59880658.000000007</v>
      </c>
      <c r="K62" s="362">
        <v>61095803.999999993</v>
      </c>
      <c r="L62" s="362">
        <v>62334034</v>
      </c>
      <c r="M62" s="362">
        <v>63601629</v>
      </c>
      <c r="N62" s="362">
        <v>64892270</v>
      </c>
      <c r="O62" s="362">
        <v>66200269.000000007</v>
      </c>
      <c r="P62" s="362">
        <v>67515591</v>
      </c>
      <c r="Q62" s="362">
        <v>68831561.000000015</v>
      </c>
      <c r="R62" s="362">
        <v>70152661</v>
      </c>
      <c r="S62" s="362">
        <v>71485043</v>
      </c>
      <c r="T62" s="362">
        <v>72826096.999999985</v>
      </c>
      <c r="U62" s="362">
        <v>74172073</v>
      </c>
      <c r="V62" s="362">
        <v>75523569.000000015</v>
      </c>
      <c r="W62" s="362">
        <v>76873663</v>
      </c>
      <c r="X62" s="362">
        <v>78232126.000000015</v>
      </c>
      <c r="Y62" s="362">
        <v>79636079</v>
      </c>
      <c r="Z62" s="362">
        <v>81134797.999999985</v>
      </c>
      <c r="AA62" s="362">
        <v>82761235</v>
      </c>
      <c r="AB62" s="362">
        <v>84529252</v>
      </c>
      <c r="AC62" s="362">
        <v>86422243.000000015</v>
      </c>
      <c r="AD62" s="362">
        <v>88404646</v>
      </c>
      <c r="AE62" s="362">
        <v>90424656</v>
      </c>
      <c r="AF62" s="362">
        <v>92442547</v>
      </c>
      <c r="AG62" s="362">
        <v>94447073</v>
      </c>
      <c r="AH62" s="362">
        <v>96442591</v>
      </c>
      <c r="AI62" s="362">
        <v>98423598</v>
      </c>
      <c r="AJ62" s="362">
        <v>100388073</v>
      </c>
      <c r="AK62" s="362">
        <v>102334403.99999999</v>
      </c>
      <c r="AL62" s="363">
        <v>104258327</v>
      </c>
      <c r="AM62" s="362">
        <v>106156692</v>
      </c>
      <c r="AN62" s="362">
        <v>108031548</v>
      </c>
      <c r="AO62" s="362">
        <v>109887155</v>
      </c>
      <c r="AP62" s="362">
        <v>111727822</v>
      </c>
      <c r="AQ62" s="362">
        <v>113553583</v>
      </c>
      <c r="AR62" s="362">
        <v>115366626</v>
      </c>
      <c r="AS62" s="362">
        <v>117176388</v>
      </c>
      <c r="AT62" s="362">
        <v>118994944</v>
      </c>
      <c r="AU62" s="362">
        <v>120831557</v>
      </c>
      <c r="AV62" s="362" t="s">
        <v>167</v>
      </c>
      <c r="AW62" s="362">
        <v>1.9388070134586544E-2</v>
      </c>
      <c r="AX62" s="362">
        <v>1.8800353789132584E-2</v>
      </c>
    </row>
    <row r="63" spans="1:50" x14ac:dyDescent="0.25">
      <c r="A63" s="361" t="s">
        <v>169</v>
      </c>
      <c r="B63" s="361">
        <v>222</v>
      </c>
      <c r="C63" s="361" t="s">
        <v>168</v>
      </c>
      <c r="D63" s="361">
        <v>57</v>
      </c>
      <c r="E63" s="361">
        <v>4</v>
      </c>
      <c r="F63" s="361" t="s">
        <v>2374</v>
      </c>
      <c r="G63" s="362">
        <v>5270079</v>
      </c>
      <c r="H63" s="362">
        <v>5342198.0000000009</v>
      </c>
      <c r="I63" s="362">
        <v>5416323</v>
      </c>
      <c r="J63" s="362">
        <v>5490477</v>
      </c>
      <c r="K63" s="362">
        <v>5561919</v>
      </c>
      <c r="L63" s="362">
        <v>5628600.0000000009</v>
      </c>
      <c r="M63" s="362">
        <v>5689938</v>
      </c>
      <c r="N63" s="362">
        <v>5746283.9999999991</v>
      </c>
      <c r="O63" s="362">
        <v>5797765</v>
      </c>
      <c r="P63" s="362">
        <v>5844846</v>
      </c>
      <c r="Q63" s="362">
        <v>5887936</v>
      </c>
      <c r="R63" s="362">
        <v>5927006</v>
      </c>
      <c r="S63" s="362">
        <v>5962136</v>
      </c>
      <c r="T63" s="362">
        <v>5994077</v>
      </c>
      <c r="U63" s="362">
        <v>6023796.9999999991</v>
      </c>
      <c r="V63" s="362">
        <v>6052123</v>
      </c>
      <c r="W63" s="362">
        <v>6079399</v>
      </c>
      <c r="X63" s="362">
        <v>6105810</v>
      </c>
      <c r="Y63" s="362">
        <v>6131764</v>
      </c>
      <c r="Z63" s="362">
        <v>6157686</v>
      </c>
      <c r="AA63" s="362">
        <v>6183875</v>
      </c>
      <c r="AB63" s="362">
        <v>6210568</v>
      </c>
      <c r="AC63" s="362">
        <v>6237922.9999999991</v>
      </c>
      <c r="AD63" s="362">
        <v>6266070</v>
      </c>
      <c r="AE63" s="362">
        <v>6295128</v>
      </c>
      <c r="AF63" s="362">
        <v>6325124</v>
      </c>
      <c r="AG63" s="362">
        <v>6356143</v>
      </c>
      <c r="AH63" s="362">
        <v>6388126.0000000009</v>
      </c>
      <c r="AI63" s="362">
        <v>6420746</v>
      </c>
      <c r="AJ63" s="362">
        <v>6453553</v>
      </c>
      <c r="AK63" s="362">
        <v>6486205</v>
      </c>
      <c r="AL63" s="363">
        <v>6518499</v>
      </c>
      <c r="AM63" s="362">
        <v>6550389</v>
      </c>
      <c r="AN63" s="362">
        <v>6581792</v>
      </c>
      <c r="AO63" s="362">
        <v>6612670</v>
      </c>
      <c r="AP63" s="362">
        <v>6642932</v>
      </c>
      <c r="AQ63" s="362">
        <v>6672556</v>
      </c>
      <c r="AR63" s="362">
        <v>6701347</v>
      </c>
      <c r="AS63" s="362">
        <v>6728922</v>
      </c>
      <c r="AT63" s="362">
        <v>6754787</v>
      </c>
      <c r="AU63" s="362">
        <v>6778586</v>
      </c>
      <c r="AV63" s="362" t="s">
        <v>169</v>
      </c>
      <c r="AW63" s="362">
        <v>5.0595385208735966E-3</v>
      </c>
      <c r="AX63" s="362">
        <v>4.9788743957368542E-3</v>
      </c>
    </row>
    <row r="64" spans="1:50" x14ac:dyDescent="0.25">
      <c r="A64" s="361" t="s">
        <v>171</v>
      </c>
      <c r="B64" s="361">
        <v>226</v>
      </c>
      <c r="C64" s="361" t="s">
        <v>170</v>
      </c>
      <c r="D64" s="361">
        <v>58</v>
      </c>
      <c r="E64" s="361">
        <v>8</v>
      </c>
      <c r="F64" s="361" t="s">
        <v>2374</v>
      </c>
      <c r="G64" s="362">
        <v>419188</v>
      </c>
      <c r="H64" s="362">
        <v>432853</v>
      </c>
      <c r="I64" s="362">
        <v>447266</v>
      </c>
      <c r="J64" s="362">
        <v>462637</v>
      </c>
      <c r="K64" s="362">
        <v>479098</v>
      </c>
      <c r="L64" s="362">
        <v>496768</v>
      </c>
      <c r="M64" s="362">
        <v>515853</v>
      </c>
      <c r="N64" s="362">
        <v>536460</v>
      </c>
      <c r="O64" s="362">
        <v>558492</v>
      </c>
      <c r="P64" s="362">
        <v>581770</v>
      </c>
      <c r="Q64" s="362">
        <v>606181.00000000012</v>
      </c>
      <c r="R64" s="362">
        <v>631666.00000000012</v>
      </c>
      <c r="S64" s="362">
        <v>658384</v>
      </c>
      <c r="T64" s="362">
        <v>686663.99999999988</v>
      </c>
      <c r="U64" s="362">
        <v>716949</v>
      </c>
      <c r="V64" s="362">
        <v>749535</v>
      </c>
      <c r="W64" s="362">
        <v>784496</v>
      </c>
      <c r="X64" s="362">
        <v>821687</v>
      </c>
      <c r="Y64" s="362">
        <v>860840</v>
      </c>
      <c r="Z64" s="362">
        <v>901599</v>
      </c>
      <c r="AA64" s="362">
        <v>943639</v>
      </c>
      <c r="AB64" s="362">
        <v>986853</v>
      </c>
      <c r="AC64" s="362">
        <v>1031191</v>
      </c>
      <c r="AD64" s="362">
        <v>1076413</v>
      </c>
      <c r="AE64" s="362">
        <v>1122277</v>
      </c>
      <c r="AF64" s="362">
        <v>1168568</v>
      </c>
      <c r="AG64" s="362">
        <v>1215180.0000000002</v>
      </c>
      <c r="AH64" s="362">
        <v>1262001.9999999998</v>
      </c>
      <c r="AI64" s="362">
        <v>1308975</v>
      </c>
      <c r="AJ64" s="362">
        <v>1355986.0000000002</v>
      </c>
      <c r="AK64" s="362">
        <v>1402985</v>
      </c>
      <c r="AL64" s="363">
        <v>1449896</v>
      </c>
      <c r="AM64" s="362">
        <v>1496662</v>
      </c>
      <c r="AN64" s="362">
        <v>1543391</v>
      </c>
      <c r="AO64" s="362">
        <v>1590208</v>
      </c>
      <c r="AP64" s="362">
        <v>1637212</v>
      </c>
      <c r="AQ64" s="362">
        <v>1684452</v>
      </c>
      <c r="AR64" s="362">
        <v>1731865</v>
      </c>
      <c r="AS64" s="362">
        <v>1779313</v>
      </c>
      <c r="AT64" s="362">
        <v>1826578</v>
      </c>
      <c r="AU64" s="362">
        <v>1873549</v>
      </c>
      <c r="AV64" s="362" t="s">
        <v>171</v>
      </c>
      <c r="AW64" s="362">
        <v>3.4660387349131794E-2</v>
      </c>
      <c r="AX64" s="362">
        <v>3.3436565608327973E-2</v>
      </c>
    </row>
    <row r="65" spans="1:50" x14ac:dyDescent="0.25">
      <c r="A65" s="361" t="s">
        <v>173</v>
      </c>
      <c r="B65" s="361">
        <v>232</v>
      </c>
      <c r="C65" s="361" t="s">
        <v>172</v>
      </c>
      <c r="D65" s="361">
        <v>60</v>
      </c>
      <c r="E65" s="361">
        <v>9</v>
      </c>
      <c r="F65" s="361" t="s">
        <v>2374</v>
      </c>
      <c r="G65" s="362">
        <v>2258653</v>
      </c>
      <c r="H65" s="362">
        <v>2266358.0000000005</v>
      </c>
      <c r="I65" s="362">
        <v>2257596</v>
      </c>
      <c r="J65" s="362">
        <v>2238626</v>
      </c>
      <c r="K65" s="362">
        <v>2218429.9999999995</v>
      </c>
      <c r="L65" s="362">
        <v>2204222</v>
      </c>
      <c r="M65" s="362">
        <v>2196463.9999999995</v>
      </c>
      <c r="N65" s="362">
        <v>2195179</v>
      </c>
      <c r="O65" s="362">
        <v>2206432</v>
      </c>
      <c r="P65" s="362">
        <v>2237405.0000000005</v>
      </c>
      <c r="Q65" s="362">
        <v>2292416</v>
      </c>
      <c r="R65" s="362">
        <v>2374722</v>
      </c>
      <c r="S65" s="362">
        <v>2481058</v>
      </c>
      <c r="T65" s="362">
        <v>2600972.9999999995</v>
      </c>
      <c r="U65" s="362">
        <v>2719802.9999999995</v>
      </c>
      <c r="V65" s="362">
        <v>2826659.0000000005</v>
      </c>
      <c r="W65" s="362">
        <v>2918205</v>
      </c>
      <c r="X65" s="362">
        <v>2996536</v>
      </c>
      <c r="Y65" s="362">
        <v>3062779</v>
      </c>
      <c r="Z65" s="362">
        <v>3119920</v>
      </c>
      <c r="AA65" s="362">
        <v>3170435</v>
      </c>
      <c r="AB65" s="362">
        <v>3213972</v>
      </c>
      <c r="AC65" s="362">
        <v>3250099.9999999995</v>
      </c>
      <c r="AD65" s="362">
        <v>3281449.0000000005</v>
      </c>
      <c r="AE65" s="362">
        <v>3311449</v>
      </c>
      <c r="AF65" s="362">
        <v>3342818.0000000005</v>
      </c>
      <c r="AG65" s="362">
        <v>3376556.9999999995</v>
      </c>
      <c r="AH65" s="362">
        <v>3412893</v>
      </c>
      <c r="AI65" s="362">
        <v>3452786</v>
      </c>
      <c r="AJ65" s="362">
        <v>3497117.0000000005</v>
      </c>
      <c r="AK65" s="362">
        <v>3546420.9999999995</v>
      </c>
      <c r="AL65" s="363">
        <v>3601467</v>
      </c>
      <c r="AM65" s="362">
        <v>3662244</v>
      </c>
      <c r="AN65" s="362">
        <v>3727660</v>
      </c>
      <c r="AO65" s="362">
        <v>3795986</v>
      </c>
      <c r="AP65" s="362">
        <v>3865963</v>
      </c>
      <c r="AQ65" s="362">
        <v>3937197</v>
      </c>
      <c r="AR65" s="362">
        <v>4009959</v>
      </c>
      <c r="AS65" s="362">
        <v>4084476</v>
      </c>
      <c r="AT65" s="362">
        <v>4161140.9999999995</v>
      </c>
      <c r="AU65" s="362">
        <v>4240213</v>
      </c>
      <c r="AV65" s="362" t="s">
        <v>173</v>
      </c>
      <c r="AW65" s="362">
        <v>1.4098470254211959E-2</v>
      </c>
      <c r="AX65" s="362">
        <v>1.5521563852684217E-2</v>
      </c>
    </row>
    <row r="66" spans="1:50" x14ac:dyDescent="0.25">
      <c r="A66" s="361" t="s">
        <v>175</v>
      </c>
      <c r="B66" s="361">
        <v>233</v>
      </c>
      <c r="C66" s="361" t="s">
        <v>174</v>
      </c>
      <c r="D66" s="361">
        <v>61</v>
      </c>
      <c r="E66" s="361">
        <v>12</v>
      </c>
      <c r="F66" s="361" t="s">
        <v>2374</v>
      </c>
      <c r="G66" s="362">
        <v>1565246.0000000002</v>
      </c>
      <c r="H66" s="362">
        <v>1548219</v>
      </c>
      <c r="I66" s="362">
        <v>1520813.0000000002</v>
      </c>
      <c r="J66" s="362">
        <v>1488060.9999999998</v>
      </c>
      <c r="K66" s="362">
        <v>1457093</v>
      </c>
      <c r="L66" s="362">
        <v>1433023.9999999998</v>
      </c>
      <c r="M66" s="362">
        <v>1417736</v>
      </c>
      <c r="N66" s="362">
        <v>1409673</v>
      </c>
      <c r="O66" s="362">
        <v>1406348.9999999998</v>
      </c>
      <c r="P66" s="362">
        <v>1403789</v>
      </c>
      <c r="Q66" s="362">
        <v>1399112.0000000002</v>
      </c>
      <c r="R66" s="362">
        <v>1391730</v>
      </c>
      <c r="S66" s="362">
        <v>1382732</v>
      </c>
      <c r="T66" s="362">
        <v>1372909.0000000002</v>
      </c>
      <c r="U66" s="362">
        <v>1363565.0000000002</v>
      </c>
      <c r="V66" s="362">
        <v>1355648</v>
      </c>
      <c r="W66" s="362">
        <v>1349363</v>
      </c>
      <c r="X66" s="362">
        <v>1344296.0000000002</v>
      </c>
      <c r="Y66" s="362">
        <v>1340073</v>
      </c>
      <c r="Z66" s="362">
        <v>1336135</v>
      </c>
      <c r="AA66" s="362">
        <v>1332101.0000000002</v>
      </c>
      <c r="AB66" s="362">
        <v>1327709</v>
      </c>
      <c r="AC66" s="362">
        <v>1323159.0000000002</v>
      </c>
      <c r="AD66" s="362">
        <v>1319062</v>
      </c>
      <c r="AE66" s="362">
        <v>1316277.0000000002</v>
      </c>
      <c r="AF66" s="362">
        <v>1315325</v>
      </c>
      <c r="AG66" s="362">
        <v>1316510</v>
      </c>
      <c r="AH66" s="362">
        <v>1319390</v>
      </c>
      <c r="AI66" s="362">
        <v>1322920</v>
      </c>
      <c r="AJ66" s="362">
        <v>1325648</v>
      </c>
      <c r="AK66" s="362">
        <v>1326535</v>
      </c>
      <c r="AL66" s="363">
        <v>1325185</v>
      </c>
      <c r="AM66" s="362">
        <v>1321910</v>
      </c>
      <c r="AN66" s="362">
        <v>1317211</v>
      </c>
      <c r="AO66" s="362">
        <v>1311919</v>
      </c>
      <c r="AP66" s="362">
        <v>1306651</v>
      </c>
      <c r="AQ66" s="362">
        <v>1301516</v>
      </c>
      <c r="AR66" s="362">
        <v>1296343</v>
      </c>
      <c r="AS66" s="362">
        <v>1291095</v>
      </c>
      <c r="AT66" s="362">
        <v>1285665</v>
      </c>
      <c r="AU66" s="362">
        <v>1279962</v>
      </c>
      <c r="AV66" s="362" t="s">
        <v>175</v>
      </c>
      <c r="AW66" s="362">
        <v>6.6910673119857655E-4</v>
      </c>
      <c r="AX66" s="362">
        <v>-1.0176889414904577E-3</v>
      </c>
    </row>
    <row r="67" spans="1:50" x14ac:dyDescent="0.25">
      <c r="A67" s="361" t="s">
        <v>177</v>
      </c>
      <c r="B67" s="361">
        <v>231</v>
      </c>
      <c r="C67" s="361" t="s">
        <v>176</v>
      </c>
      <c r="D67" s="361">
        <v>59</v>
      </c>
      <c r="E67" s="361">
        <v>9</v>
      </c>
      <c r="F67" s="361" t="s">
        <v>2374</v>
      </c>
      <c r="G67" s="362">
        <v>47887865</v>
      </c>
      <c r="H67" s="362">
        <v>49609969</v>
      </c>
      <c r="I67" s="362">
        <v>51423584.999999993</v>
      </c>
      <c r="J67" s="362">
        <v>53295566</v>
      </c>
      <c r="K67" s="362">
        <v>55180998</v>
      </c>
      <c r="L67" s="362">
        <v>57047908</v>
      </c>
      <c r="M67" s="362">
        <v>58883530</v>
      </c>
      <c r="N67" s="362">
        <v>60697443</v>
      </c>
      <c r="O67" s="362">
        <v>62507724</v>
      </c>
      <c r="P67" s="362">
        <v>64343013</v>
      </c>
      <c r="Q67" s="362">
        <v>66224804.000000007</v>
      </c>
      <c r="R67" s="362">
        <v>68159422.999999985</v>
      </c>
      <c r="S67" s="362">
        <v>70142091</v>
      </c>
      <c r="T67" s="362">
        <v>72170584</v>
      </c>
      <c r="U67" s="362">
        <v>74239505.000000015</v>
      </c>
      <c r="V67" s="362">
        <v>76346311</v>
      </c>
      <c r="W67" s="362">
        <v>78489206.000000015</v>
      </c>
      <c r="X67" s="362">
        <v>80674348</v>
      </c>
      <c r="Y67" s="362">
        <v>82916235</v>
      </c>
      <c r="Z67" s="362">
        <v>85233913</v>
      </c>
      <c r="AA67" s="362">
        <v>87639964</v>
      </c>
      <c r="AB67" s="362">
        <v>90139929.000000015</v>
      </c>
      <c r="AC67" s="362">
        <v>92726985</v>
      </c>
      <c r="AD67" s="362">
        <v>95385798</v>
      </c>
      <c r="AE67" s="362">
        <v>98094265</v>
      </c>
      <c r="AF67" s="362">
        <v>100835458</v>
      </c>
      <c r="AG67" s="362">
        <v>103603462</v>
      </c>
      <c r="AH67" s="362">
        <v>106399924</v>
      </c>
      <c r="AI67" s="362">
        <v>109224414.00000001</v>
      </c>
      <c r="AJ67" s="362">
        <v>112078730</v>
      </c>
      <c r="AK67" s="362">
        <v>114963588</v>
      </c>
      <c r="AL67" s="363">
        <v>117876227</v>
      </c>
      <c r="AM67" s="362">
        <v>120812698</v>
      </c>
      <c r="AN67" s="362">
        <v>123771390</v>
      </c>
      <c r="AO67" s="362">
        <v>126750872</v>
      </c>
      <c r="AP67" s="362">
        <v>129749455</v>
      </c>
      <c r="AQ67" s="362">
        <v>132765527</v>
      </c>
      <c r="AR67" s="362">
        <v>135796649</v>
      </c>
      <c r="AS67" s="362">
        <v>138839365</v>
      </c>
      <c r="AT67" s="362">
        <v>141889684</v>
      </c>
      <c r="AU67" s="362">
        <v>144944299</v>
      </c>
      <c r="AV67" s="362" t="s">
        <v>177</v>
      </c>
      <c r="AW67" s="362">
        <v>2.5739567177465394E-2</v>
      </c>
      <c r="AX67" s="362">
        <v>2.5335317474607599E-2</v>
      </c>
    </row>
    <row r="68" spans="1:50" x14ac:dyDescent="0.25">
      <c r="A68" s="361" t="s">
        <v>179</v>
      </c>
      <c r="B68" s="361">
        <v>234</v>
      </c>
      <c r="C68" s="361" t="s">
        <v>178</v>
      </c>
      <c r="D68" s="361">
        <v>62</v>
      </c>
      <c r="E68" s="361">
        <v>11</v>
      </c>
      <c r="F68" s="361" t="s">
        <v>2374</v>
      </c>
      <c r="G68" s="362">
        <v>47274</v>
      </c>
      <c r="H68" s="362">
        <v>47119.999999999993</v>
      </c>
      <c r="I68" s="362">
        <v>46738.999999999993</v>
      </c>
      <c r="J68" s="362">
        <v>46266</v>
      </c>
      <c r="K68" s="362">
        <v>45856</v>
      </c>
      <c r="L68" s="362">
        <v>45625</v>
      </c>
      <c r="M68" s="362">
        <v>45615</v>
      </c>
      <c r="N68" s="362">
        <v>45796</v>
      </c>
      <c r="O68" s="362">
        <v>46096</v>
      </c>
      <c r="P68" s="362">
        <v>46436</v>
      </c>
      <c r="Q68" s="362">
        <v>46735</v>
      </c>
      <c r="R68" s="362">
        <v>46997</v>
      </c>
      <c r="S68" s="362">
        <v>47233</v>
      </c>
      <c r="T68" s="362">
        <v>47432</v>
      </c>
      <c r="U68" s="362">
        <v>47600</v>
      </c>
      <c r="V68" s="362">
        <v>47722</v>
      </c>
      <c r="W68" s="362">
        <v>47792</v>
      </c>
      <c r="X68" s="362">
        <v>47825</v>
      </c>
      <c r="Y68" s="362">
        <v>47820</v>
      </c>
      <c r="Z68" s="362">
        <v>47808</v>
      </c>
      <c r="AA68" s="362">
        <v>47814</v>
      </c>
      <c r="AB68" s="362">
        <v>47823</v>
      </c>
      <c r="AC68" s="362">
        <v>47843</v>
      </c>
      <c r="AD68" s="362">
        <v>47892.000000000007</v>
      </c>
      <c r="AE68" s="362">
        <v>47960</v>
      </c>
      <c r="AF68" s="362">
        <v>48051</v>
      </c>
      <c r="AG68" s="362">
        <v>48173</v>
      </c>
      <c r="AH68" s="362">
        <v>48331.000000000007</v>
      </c>
      <c r="AI68" s="362">
        <v>48497</v>
      </c>
      <c r="AJ68" s="362">
        <v>48678</v>
      </c>
      <c r="AK68" s="362">
        <v>48863</v>
      </c>
      <c r="AL68" s="363">
        <v>49049</v>
      </c>
      <c r="AM68" s="362">
        <v>49233</v>
      </c>
      <c r="AN68" s="362">
        <v>49423</v>
      </c>
      <c r="AO68" s="362">
        <v>49611</v>
      </c>
      <c r="AP68" s="362">
        <v>49819</v>
      </c>
      <c r="AQ68" s="362">
        <v>50029</v>
      </c>
      <c r="AR68" s="362">
        <v>50243</v>
      </c>
      <c r="AS68" s="362">
        <v>50473</v>
      </c>
      <c r="AT68" s="362">
        <v>50691</v>
      </c>
      <c r="AU68" s="362">
        <v>50913</v>
      </c>
      <c r="AV68" s="362" t="s">
        <v>179</v>
      </c>
      <c r="AW68" s="362">
        <v>3.8004848186039553E-3</v>
      </c>
      <c r="AX68" s="362">
        <v>3.8065612017272876E-3</v>
      </c>
    </row>
    <row r="69" spans="1:50" x14ac:dyDescent="0.25">
      <c r="A69" s="361" t="s">
        <v>181</v>
      </c>
      <c r="B69" s="361">
        <v>238</v>
      </c>
      <c r="C69" s="361" t="s">
        <v>180</v>
      </c>
      <c r="D69" s="361">
        <v>63</v>
      </c>
      <c r="E69" s="361">
        <v>6</v>
      </c>
      <c r="F69" s="361" t="s">
        <v>2374</v>
      </c>
      <c r="G69" s="362">
        <v>1981.9999999999998</v>
      </c>
      <c r="H69" s="362">
        <v>2063</v>
      </c>
      <c r="I69" s="362">
        <v>2160</v>
      </c>
      <c r="J69" s="362">
        <v>2276</v>
      </c>
      <c r="K69" s="362">
        <v>2388.9999999999995</v>
      </c>
      <c r="L69" s="362">
        <v>2490</v>
      </c>
      <c r="M69" s="362">
        <v>2596</v>
      </c>
      <c r="N69" s="362">
        <v>2693</v>
      </c>
      <c r="O69" s="362">
        <v>2763</v>
      </c>
      <c r="P69" s="362">
        <v>2841</v>
      </c>
      <c r="Q69" s="362">
        <v>2892</v>
      </c>
      <c r="R69" s="362">
        <v>2931</v>
      </c>
      <c r="S69" s="362">
        <v>2947</v>
      </c>
      <c r="T69" s="362">
        <v>2957</v>
      </c>
      <c r="U69" s="362">
        <v>2949</v>
      </c>
      <c r="V69" s="362">
        <v>2935</v>
      </c>
      <c r="W69" s="362">
        <v>2934</v>
      </c>
      <c r="X69" s="362">
        <v>2937</v>
      </c>
      <c r="Y69" s="362">
        <v>2932</v>
      </c>
      <c r="Z69" s="362">
        <v>2917</v>
      </c>
      <c r="AA69" s="362">
        <v>2901</v>
      </c>
      <c r="AB69" s="362">
        <v>2873</v>
      </c>
      <c r="AC69" s="362">
        <v>2823</v>
      </c>
      <c r="AD69" s="362">
        <v>2794</v>
      </c>
      <c r="AE69" s="362">
        <v>2792</v>
      </c>
      <c r="AF69" s="362">
        <v>2834</v>
      </c>
      <c r="AG69" s="362">
        <v>2928</v>
      </c>
      <c r="AH69" s="362">
        <v>3068</v>
      </c>
      <c r="AI69" s="362">
        <v>3234</v>
      </c>
      <c r="AJ69" s="362">
        <v>3377</v>
      </c>
      <c r="AK69" s="362">
        <v>3480</v>
      </c>
      <c r="AL69" s="363">
        <v>3533</v>
      </c>
      <c r="AM69" s="362">
        <v>3539</v>
      </c>
      <c r="AN69" s="362">
        <v>3523</v>
      </c>
      <c r="AO69" s="362">
        <v>3491</v>
      </c>
      <c r="AP69" s="362">
        <v>3466</v>
      </c>
      <c r="AQ69" s="362">
        <v>3452</v>
      </c>
      <c r="AR69" s="362">
        <v>3444</v>
      </c>
      <c r="AS69" s="362">
        <v>3442</v>
      </c>
      <c r="AT69" s="362">
        <v>3438</v>
      </c>
      <c r="AU69" s="362">
        <v>3436</v>
      </c>
      <c r="AV69" s="362" t="s">
        <v>181</v>
      </c>
      <c r="AW69" s="362">
        <v>3.0500444181225994E-2</v>
      </c>
      <c r="AX69" s="362">
        <v>1.5229885057471249E-2</v>
      </c>
    </row>
    <row r="70" spans="1:50" x14ac:dyDescent="0.25">
      <c r="A70" s="361" t="s">
        <v>183</v>
      </c>
      <c r="B70" s="361">
        <v>242</v>
      </c>
      <c r="C70" s="361" t="s">
        <v>182</v>
      </c>
      <c r="D70" s="361">
        <v>64</v>
      </c>
      <c r="E70" s="361">
        <v>24</v>
      </c>
      <c r="F70" s="361" t="s">
        <v>2374</v>
      </c>
      <c r="G70" s="362">
        <v>728573</v>
      </c>
      <c r="H70" s="362">
        <v>735401</v>
      </c>
      <c r="I70" s="362">
        <v>744469</v>
      </c>
      <c r="J70" s="362">
        <v>754962.99999999988</v>
      </c>
      <c r="K70" s="362">
        <v>765609</v>
      </c>
      <c r="L70" s="362">
        <v>775424.99999999988</v>
      </c>
      <c r="M70" s="362">
        <v>784385.99999999988</v>
      </c>
      <c r="N70" s="362">
        <v>792736</v>
      </c>
      <c r="O70" s="362">
        <v>800157</v>
      </c>
      <c r="P70" s="362">
        <v>806303</v>
      </c>
      <c r="Q70" s="362">
        <v>811006</v>
      </c>
      <c r="R70" s="362">
        <v>813925</v>
      </c>
      <c r="S70" s="362">
        <v>815256.99999999988</v>
      </c>
      <c r="T70" s="362">
        <v>816076</v>
      </c>
      <c r="U70" s="362">
        <v>817860</v>
      </c>
      <c r="V70" s="362">
        <v>821604</v>
      </c>
      <c r="W70" s="362">
        <v>827870</v>
      </c>
      <c r="X70" s="362">
        <v>836190.00000000012</v>
      </c>
      <c r="Y70" s="362">
        <v>845361</v>
      </c>
      <c r="Z70" s="362">
        <v>853637</v>
      </c>
      <c r="AA70" s="362">
        <v>859818</v>
      </c>
      <c r="AB70" s="362">
        <v>863448.99999999988</v>
      </c>
      <c r="AC70" s="362">
        <v>865069</v>
      </c>
      <c r="AD70" s="362">
        <v>865607.99999999988</v>
      </c>
      <c r="AE70" s="362">
        <v>866453</v>
      </c>
      <c r="AF70" s="362">
        <v>868626.99999999988</v>
      </c>
      <c r="AG70" s="362">
        <v>872399</v>
      </c>
      <c r="AH70" s="362">
        <v>877459</v>
      </c>
      <c r="AI70" s="362">
        <v>883482.99999999988</v>
      </c>
      <c r="AJ70" s="362">
        <v>889953</v>
      </c>
      <c r="AK70" s="362">
        <v>896445</v>
      </c>
      <c r="AL70" s="363">
        <v>902906</v>
      </c>
      <c r="AM70" s="362">
        <v>909466</v>
      </c>
      <c r="AN70" s="362">
        <v>916134</v>
      </c>
      <c r="AO70" s="362">
        <v>922964</v>
      </c>
      <c r="AP70" s="362">
        <v>929986</v>
      </c>
      <c r="AQ70" s="362">
        <v>937168</v>
      </c>
      <c r="AR70" s="362">
        <v>944454</v>
      </c>
      <c r="AS70" s="362">
        <v>951757</v>
      </c>
      <c r="AT70" s="362">
        <v>958966</v>
      </c>
      <c r="AU70" s="362">
        <v>966015</v>
      </c>
      <c r="AV70" s="362" t="s">
        <v>183</v>
      </c>
      <c r="AW70" s="362">
        <v>7.2947672517538198E-3</v>
      </c>
      <c r="AX70" s="362">
        <v>7.2073579528024734E-3</v>
      </c>
    </row>
    <row r="71" spans="1:50" x14ac:dyDescent="0.25">
      <c r="A71" s="361" t="s">
        <v>185</v>
      </c>
      <c r="B71" s="361">
        <v>246</v>
      </c>
      <c r="C71" s="361" t="s">
        <v>184</v>
      </c>
      <c r="D71" s="361">
        <v>65</v>
      </c>
      <c r="E71" s="361">
        <v>11</v>
      </c>
      <c r="F71" s="361" t="s">
        <v>2374</v>
      </c>
      <c r="G71" s="362">
        <v>4996221.9999999991</v>
      </c>
      <c r="H71" s="362">
        <v>5019125</v>
      </c>
      <c r="I71" s="362">
        <v>5044925</v>
      </c>
      <c r="J71" s="362">
        <v>5071789</v>
      </c>
      <c r="K71" s="362">
        <v>5097097</v>
      </c>
      <c r="L71" s="362">
        <v>5119005.0000000009</v>
      </c>
      <c r="M71" s="362">
        <v>5136979</v>
      </c>
      <c r="N71" s="362">
        <v>5151746</v>
      </c>
      <c r="O71" s="362">
        <v>5164242</v>
      </c>
      <c r="P71" s="362">
        <v>5175926.0000000009</v>
      </c>
      <c r="Q71" s="362">
        <v>5187953.9999999991</v>
      </c>
      <c r="R71" s="362">
        <v>5200477</v>
      </c>
      <c r="S71" s="362">
        <v>5213366</v>
      </c>
      <c r="T71" s="362">
        <v>5227093</v>
      </c>
      <c r="U71" s="362">
        <v>5242170</v>
      </c>
      <c r="V71" s="362">
        <v>5258927</v>
      </c>
      <c r="W71" s="362">
        <v>5277491</v>
      </c>
      <c r="X71" s="362">
        <v>5297739</v>
      </c>
      <c r="Y71" s="362">
        <v>5319449</v>
      </c>
      <c r="Z71" s="362">
        <v>5342262</v>
      </c>
      <c r="AA71" s="362">
        <v>5365782</v>
      </c>
      <c r="AB71" s="362">
        <v>5390038</v>
      </c>
      <c r="AC71" s="362">
        <v>5414770.0000000009</v>
      </c>
      <c r="AD71" s="362">
        <v>5438982</v>
      </c>
      <c r="AE71" s="362">
        <v>5461411</v>
      </c>
      <c r="AF71" s="362">
        <v>5481122</v>
      </c>
      <c r="AG71" s="362">
        <v>5497713</v>
      </c>
      <c r="AH71" s="362">
        <v>5511371</v>
      </c>
      <c r="AI71" s="362">
        <v>5522576</v>
      </c>
      <c r="AJ71" s="362">
        <v>5532156</v>
      </c>
      <c r="AK71" s="362">
        <v>5540720</v>
      </c>
      <c r="AL71" s="363">
        <v>5548360</v>
      </c>
      <c r="AM71" s="362">
        <v>5554960</v>
      </c>
      <c r="AN71" s="362">
        <v>5560624</v>
      </c>
      <c r="AO71" s="362">
        <v>5565466</v>
      </c>
      <c r="AP71" s="362">
        <v>5569572</v>
      </c>
      <c r="AQ71" s="362">
        <v>5573028</v>
      </c>
      <c r="AR71" s="362">
        <v>5575894</v>
      </c>
      <c r="AS71" s="362">
        <v>5578139</v>
      </c>
      <c r="AT71" s="362">
        <v>5579704</v>
      </c>
      <c r="AU71" s="362">
        <v>5580537</v>
      </c>
      <c r="AV71" s="362" t="s">
        <v>185</v>
      </c>
      <c r="AW71" s="362">
        <v>1.5480402215699574E-3</v>
      </c>
      <c r="AX71" s="362">
        <v>1.3788821669384888E-3</v>
      </c>
    </row>
    <row r="72" spans="1:50" x14ac:dyDescent="0.25">
      <c r="A72" s="361" t="s">
        <v>187</v>
      </c>
      <c r="B72" s="361">
        <v>250</v>
      </c>
      <c r="C72" s="361" t="s">
        <v>186</v>
      </c>
      <c r="D72" s="361">
        <v>66</v>
      </c>
      <c r="E72" s="361">
        <v>11</v>
      </c>
      <c r="F72" s="361" t="s">
        <v>2374</v>
      </c>
      <c r="G72" s="362">
        <v>56666849</v>
      </c>
      <c r="H72" s="362">
        <v>56913587</v>
      </c>
      <c r="I72" s="362">
        <v>57147213</v>
      </c>
      <c r="J72" s="362">
        <v>57370381</v>
      </c>
      <c r="K72" s="362">
        <v>57587131</v>
      </c>
      <c r="L72" s="362">
        <v>57801892</v>
      </c>
      <c r="M72" s="362">
        <v>58012057.999999993</v>
      </c>
      <c r="N72" s="362">
        <v>58220659</v>
      </c>
      <c r="O72" s="362">
        <v>58444246</v>
      </c>
      <c r="P72" s="362">
        <v>58704381</v>
      </c>
      <c r="Q72" s="362">
        <v>59015096</v>
      </c>
      <c r="R72" s="362">
        <v>59384132</v>
      </c>
      <c r="S72" s="362">
        <v>59803441</v>
      </c>
      <c r="T72" s="362">
        <v>60251588.000000007</v>
      </c>
      <c r="U72" s="362">
        <v>60697981</v>
      </c>
      <c r="V72" s="362">
        <v>61120127</v>
      </c>
      <c r="W72" s="362">
        <v>61508926</v>
      </c>
      <c r="X72" s="362">
        <v>61869227</v>
      </c>
      <c r="Y72" s="362">
        <v>62209207</v>
      </c>
      <c r="Z72" s="362">
        <v>62542900</v>
      </c>
      <c r="AA72" s="362">
        <v>62879529.999999993</v>
      </c>
      <c r="AB72" s="362">
        <v>63222227</v>
      </c>
      <c r="AC72" s="362">
        <v>63564221</v>
      </c>
      <c r="AD72" s="362">
        <v>63893525.000000007</v>
      </c>
      <c r="AE72" s="362">
        <v>64193550</v>
      </c>
      <c r="AF72" s="362">
        <v>64453199.999999993</v>
      </c>
      <c r="AG72" s="362">
        <v>64667596</v>
      </c>
      <c r="AH72" s="362">
        <v>64842508.999999993</v>
      </c>
      <c r="AI72" s="362">
        <v>64990511</v>
      </c>
      <c r="AJ72" s="362">
        <v>65129728</v>
      </c>
      <c r="AK72" s="362">
        <v>65273511</v>
      </c>
      <c r="AL72" s="363">
        <v>65426179</v>
      </c>
      <c r="AM72" s="362">
        <v>65584518</v>
      </c>
      <c r="AN72" s="362">
        <v>65745183.999999993</v>
      </c>
      <c r="AO72" s="362">
        <v>65902034</v>
      </c>
      <c r="AP72" s="362">
        <v>66050604.999999993</v>
      </c>
      <c r="AQ72" s="362">
        <v>66190530</v>
      </c>
      <c r="AR72" s="362">
        <v>66323947</v>
      </c>
      <c r="AS72" s="362">
        <v>66451742</v>
      </c>
      <c r="AT72" s="362">
        <v>66575357</v>
      </c>
      <c r="AU72" s="362">
        <v>66695702.000000007</v>
      </c>
      <c r="AV72" s="362" t="s">
        <v>187</v>
      </c>
      <c r="AW72" s="362">
        <v>2.2076401117474553E-3</v>
      </c>
      <c r="AX72" s="362">
        <v>2.3388967080382184E-3</v>
      </c>
    </row>
    <row r="73" spans="1:50" x14ac:dyDescent="0.25">
      <c r="A73" s="361" t="s">
        <v>189</v>
      </c>
      <c r="B73" s="361">
        <v>254</v>
      </c>
      <c r="C73" s="361" t="s">
        <v>188</v>
      </c>
      <c r="D73" s="361">
        <v>67</v>
      </c>
      <c r="E73" s="361">
        <v>6</v>
      </c>
      <c r="F73" s="361" t="s">
        <v>2374</v>
      </c>
      <c r="G73" s="362">
        <v>115784.00000000001</v>
      </c>
      <c r="H73" s="362">
        <v>120678</v>
      </c>
      <c r="I73" s="362">
        <v>125078</v>
      </c>
      <c r="J73" s="362">
        <v>129151.00000000001</v>
      </c>
      <c r="K73" s="362">
        <v>133176</v>
      </c>
      <c r="L73" s="362">
        <v>137400</v>
      </c>
      <c r="M73" s="362">
        <v>141793</v>
      </c>
      <c r="N73" s="362">
        <v>146328</v>
      </c>
      <c r="O73" s="362">
        <v>151252</v>
      </c>
      <c r="P73" s="362">
        <v>156802</v>
      </c>
      <c r="Q73" s="362">
        <v>163165</v>
      </c>
      <c r="R73" s="362">
        <v>170454</v>
      </c>
      <c r="S73" s="362">
        <v>178543</v>
      </c>
      <c r="T73" s="362">
        <v>187024</v>
      </c>
      <c r="U73" s="362">
        <v>195314</v>
      </c>
      <c r="V73" s="362">
        <v>202971</v>
      </c>
      <c r="W73" s="362">
        <v>209890</v>
      </c>
      <c r="X73" s="362">
        <v>216185.00000000003</v>
      </c>
      <c r="Y73" s="362">
        <v>221996</v>
      </c>
      <c r="Z73" s="362">
        <v>227540</v>
      </c>
      <c r="AA73" s="362">
        <v>233002.00000000003</v>
      </c>
      <c r="AB73" s="362">
        <v>238383.99999999997</v>
      </c>
      <c r="AC73" s="362">
        <v>243666</v>
      </c>
      <c r="AD73" s="362">
        <v>249054</v>
      </c>
      <c r="AE73" s="362">
        <v>254772.99999999997</v>
      </c>
      <c r="AF73" s="362">
        <v>260999.00000000003</v>
      </c>
      <c r="AG73" s="362">
        <v>267821.00000000006</v>
      </c>
      <c r="AH73" s="362">
        <v>275190.99999999994</v>
      </c>
      <c r="AI73" s="362">
        <v>282937.99999999994</v>
      </c>
      <c r="AJ73" s="362">
        <v>290832</v>
      </c>
      <c r="AK73" s="362">
        <v>298682</v>
      </c>
      <c r="AL73" s="363">
        <v>306448</v>
      </c>
      <c r="AM73" s="362">
        <v>314169</v>
      </c>
      <c r="AN73" s="362">
        <v>321891</v>
      </c>
      <c r="AO73" s="362">
        <v>329640</v>
      </c>
      <c r="AP73" s="362">
        <v>337487</v>
      </c>
      <c r="AQ73" s="362">
        <v>345399</v>
      </c>
      <c r="AR73" s="362">
        <v>353368</v>
      </c>
      <c r="AS73" s="362">
        <v>361387</v>
      </c>
      <c r="AT73" s="362">
        <v>369471</v>
      </c>
      <c r="AU73" s="362">
        <v>377611</v>
      </c>
      <c r="AV73" s="362" t="s">
        <v>189</v>
      </c>
      <c r="AW73" s="362">
        <v>2.6991527754855138E-2</v>
      </c>
      <c r="AX73" s="362">
        <v>2.6000897275363144E-2</v>
      </c>
    </row>
    <row r="74" spans="1:50" x14ac:dyDescent="0.25">
      <c r="A74" s="361" t="s">
        <v>191</v>
      </c>
      <c r="B74" s="361">
        <v>258</v>
      </c>
      <c r="C74" s="361" t="s">
        <v>190</v>
      </c>
      <c r="D74" s="361">
        <v>68</v>
      </c>
      <c r="E74" s="361">
        <v>24</v>
      </c>
      <c r="F74" s="361" t="s">
        <v>2374</v>
      </c>
      <c r="G74" s="362">
        <v>199905</v>
      </c>
      <c r="H74" s="362">
        <v>203726</v>
      </c>
      <c r="I74" s="362">
        <v>207245</v>
      </c>
      <c r="J74" s="362">
        <v>210642</v>
      </c>
      <c r="K74" s="362">
        <v>214197</v>
      </c>
      <c r="L74" s="362">
        <v>218071</v>
      </c>
      <c r="M74" s="362">
        <v>222322</v>
      </c>
      <c r="N74" s="362">
        <v>226866</v>
      </c>
      <c r="O74" s="362">
        <v>231570</v>
      </c>
      <c r="P74" s="362">
        <v>236221</v>
      </c>
      <c r="Q74" s="362">
        <v>240686</v>
      </c>
      <c r="R74" s="362">
        <v>244931</v>
      </c>
      <c r="S74" s="362">
        <v>248972</v>
      </c>
      <c r="T74" s="362">
        <v>252703</v>
      </c>
      <c r="U74" s="362">
        <v>255992</v>
      </c>
      <c r="V74" s="362">
        <v>258779.99999999994</v>
      </c>
      <c r="W74" s="362">
        <v>261009.99999999997</v>
      </c>
      <c r="X74" s="362">
        <v>262721</v>
      </c>
      <c r="Y74" s="362">
        <v>264061</v>
      </c>
      <c r="Z74" s="362">
        <v>265254.00000000006</v>
      </c>
      <c r="AA74" s="362">
        <v>266455</v>
      </c>
      <c r="AB74" s="362">
        <v>267698</v>
      </c>
      <c r="AC74" s="362">
        <v>268998</v>
      </c>
      <c r="AD74" s="362">
        <v>270327.99999999994</v>
      </c>
      <c r="AE74" s="362">
        <v>271705</v>
      </c>
      <c r="AF74" s="362">
        <v>273124.00000000006</v>
      </c>
      <c r="AG74" s="362">
        <v>274575</v>
      </c>
      <c r="AH74" s="362">
        <v>276101.99999999994</v>
      </c>
      <c r="AI74" s="362">
        <v>277678.99999999994</v>
      </c>
      <c r="AJ74" s="362">
        <v>279286.99999999994</v>
      </c>
      <c r="AK74" s="362">
        <v>280908</v>
      </c>
      <c r="AL74" s="363">
        <v>282530</v>
      </c>
      <c r="AM74" s="362">
        <v>284164</v>
      </c>
      <c r="AN74" s="362">
        <v>285787</v>
      </c>
      <c r="AO74" s="362">
        <v>287416</v>
      </c>
      <c r="AP74" s="362">
        <v>289028</v>
      </c>
      <c r="AQ74" s="362">
        <v>290633</v>
      </c>
      <c r="AR74" s="362">
        <v>292208</v>
      </c>
      <c r="AS74" s="362">
        <v>293755</v>
      </c>
      <c r="AT74" s="362">
        <v>295256</v>
      </c>
      <c r="AU74" s="362">
        <v>296714</v>
      </c>
      <c r="AV74" s="362" t="s">
        <v>191</v>
      </c>
      <c r="AW74" s="362">
        <v>5.804065352128962E-3</v>
      </c>
      <c r="AX74" s="362">
        <v>5.7741324561777496E-3</v>
      </c>
    </row>
    <row r="75" spans="1:50" x14ac:dyDescent="0.25">
      <c r="A75" s="361" t="s">
        <v>193</v>
      </c>
      <c r="B75" s="361">
        <v>266</v>
      </c>
      <c r="C75" s="361" t="s">
        <v>192</v>
      </c>
      <c r="D75" s="361">
        <v>70</v>
      </c>
      <c r="E75" s="361">
        <v>8</v>
      </c>
      <c r="F75" s="361" t="s">
        <v>2374</v>
      </c>
      <c r="G75" s="362">
        <v>949488.00000000012</v>
      </c>
      <c r="H75" s="362">
        <v>975783.00000000012</v>
      </c>
      <c r="I75" s="362">
        <v>1002578.9999999999</v>
      </c>
      <c r="J75" s="362">
        <v>1029778.0000000001</v>
      </c>
      <c r="K75" s="362">
        <v>1057255</v>
      </c>
      <c r="L75" s="362">
        <v>1084946</v>
      </c>
      <c r="M75" s="362">
        <v>1112955</v>
      </c>
      <c r="N75" s="362">
        <v>1141338</v>
      </c>
      <c r="O75" s="362">
        <v>1170061</v>
      </c>
      <c r="P75" s="362">
        <v>1199052</v>
      </c>
      <c r="Q75" s="362">
        <v>1228360</v>
      </c>
      <c r="R75" s="362">
        <v>1258003</v>
      </c>
      <c r="S75" s="362">
        <v>1288315</v>
      </c>
      <c r="T75" s="362">
        <v>1319953</v>
      </c>
      <c r="U75" s="362">
        <v>1353795</v>
      </c>
      <c r="V75" s="362">
        <v>1390549</v>
      </c>
      <c r="W75" s="362">
        <v>1430152</v>
      </c>
      <c r="X75" s="362">
        <v>1472575</v>
      </c>
      <c r="Y75" s="362">
        <v>1518540</v>
      </c>
      <c r="Z75" s="362">
        <v>1568928</v>
      </c>
      <c r="AA75" s="362">
        <v>1624140.0000000002</v>
      </c>
      <c r="AB75" s="362">
        <v>1684634.9999999998</v>
      </c>
      <c r="AC75" s="362">
        <v>1749682</v>
      </c>
      <c r="AD75" s="362">
        <v>1817070.9999999998</v>
      </c>
      <c r="AE75" s="362">
        <v>1883800</v>
      </c>
      <c r="AF75" s="362">
        <v>1947686</v>
      </c>
      <c r="AG75" s="362">
        <v>2007873</v>
      </c>
      <c r="AH75" s="362">
        <v>2064823</v>
      </c>
      <c r="AI75" s="362">
        <v>2119275</v>
      </c>
      <c r="AJ75" s="362">
        <v>2172579.0000000005</v>
      </c>
      <c r="AK75" s="362">
        <v>2225734</v>
      </c>
      <c r="AL75" s="363">
        <v>2278825</v>
      </c>
      <c r="AM75" s="362">
        <v>2331533</v>
      </c>
      <c r="AN75" s="362">
        <v>2383902</v>
      </c>
      <c r="AO75" s="362">
        <v>2435944</v>
      </c>
      <c r="AP75" s="362">
        <v>2487682</v>
      </c>
      <c r="AQ75" s="362">
        <v>2539206</v>
      </c>
      <c r="AR75" s="362">
        <v>2590621</v>
      </c>
      <c r="AS75" s="362">
        <v>2641957</v>
      </c>
      <c r="AT75" s="362">
        <v>2693222</v>
      </c>
      <c r="AU75" s="362">
        <v>2744451</v>
      </c>
      <c r="AV75" s="362" t="s">
        <v>193</v>
      </c>
      <c r="AW75" s="362">
        <v>2.4466313998247946E-2</v>
      </c>
      <c r="AX75" s="362">
        <v>2.385325470159505E-2</v>
      </c>
    </row>
    <row r="76" spans="1:50" x14ac:dyDescent="0.25">
      <c r="A76" s="361" t="s">
        <v>195</v>
      </c>
      <c r="B76" s="361">
        <v>270</v>
      </c>
      <c r="C76" s="361" t="s">
        <v>194</v>
      </c>
      <c r="D76" s="361">
        <v>72</v>
      </c>
      <c r="E76" s="361">
        <v>8</v>
      </c>
      <c r="F76" s="361" t="s">
        <v>2374</v>
      </c>
      <c r="G76" s="362">
        <v>955592.99999999988</v>
      </c>
      <c r="H76" s="362">
        <v>992673</v>
      </c>
      <c r="I76" s="362">
        <v>1027474.9999999999</v>
      </c>
      <c r="J76" s="362">
        <v>1060862</v>
      </c>
      <c r="K76" s="362">
        <v>1094212</v>
      </c>
      <c r="L76" s="362">
        <v>1128575</v>
      </c>
      <c r="M76" s="362">
        <v>1164091</v>
      </c>
      <c r="N76" s="362">
        <v>1200526</v>
      </c>
      <c r="O76" s="362">
        <v>1238125</v>
      </c>
      <c r="P76" s="362">
        <v>1277133</v>
      </c>
      <c r="Q76" s="362">
        <v>1317703</v>
      </c>
      <c r="R76" s="362">
        <v>1360074</v>
      </c>
      <c r="S76" s="362">
        <v>1404261</v>
      </c>
      <c r="T76" s="362">
        <v>1449925</v>
      </c>
      <c r="U76" s="362">
        <v>1496527</v>
      </c>
      <c r="V76" s="362">
        <v>1543741</v>
      </c>
      <c r="W76" s="362">
        <v>1591445</v>
      </c>
      <c r="X76" s="362">
        <v>1639848</v>
      </c>
      <c r="Y76" s="362">
        <v>1689285.0000000002</v>
      </c>
      <c r="Z76" s="362">
        <v>1740279</v>
      </c>
      <c r="AA76" s="362">
        <v>1793196</v>
      </c>
      <c r="AB76" s="362">
        <v>1848147</v>
      </c>
      <c r="AC76" s="362">
        <v>1905012.9999999998</v>
      </c>
      <c r="AD76" s="362">
        <v>1963712</v>
      </c>
      <c r="AE76" s="362">
        <v>2024042.0000000002</v>
      </c>
      <c r="AF76" s="362">
        <v>2085860.0000000002</v>
      </c>
      <c r="AG76" s="362">
        <v>2149136</v>
      </c>
      <c r="AH76" s="362">
        <v>2213889</v>
      </c>
      <c r="AI76" s="362">
        <v>2280094</v>
      </c>
      <c r="AJ76" s="362">
        <v>2347706</v>
      </c>
      <c r="AK76" s="362">
        <v>2416668</v>
      </c>
      <c r="AL76" s="363">
        <v>2486945</v>
      </c>
      <c r="AM76" s="362">
        <v>2558482</v>
      </c>
      <c r="AN76" s="362">
        <v>2631254</v>
      </c>
      <c r="AO76" s="362">
        <v>2705192</v>
      </c>
      <c r="AP76" s="362">
        <v>2780247</v>
      </c>
      <c r="AQ76" s="362">
        <v>2856397</v>
      </c>
      <c r="AR76" s="362">
        <v>2933569</v>
      </c>
      <c r="AS76" s="362">
        <v>3011723</v>
      </c>
      <c r="AT76" s="362">
        <v>3090779</v>
      </c>
      <c r="AU76" s="362">
        <v>3170685</v>
      </c>
      <c r="AV76" s="362" t="s">
        <v>195</v>
      </c>
      <c r="AW76" s="362">
        <v>2.937420613995112E-2</v>
      </c>
      <c r="AX76" s="362">
        <v>2.9080121886829291E-2</v>
      </c>
    </row>
    <row r="77" spans="1:50" x14ac:dyDescent="0.25">
      <c r="A77" s="361" t="s">
        <v>197</v>
      </c>
      <c r="B77" s="361">
        <v>268</v>
      </c>
      <c r="C77" s="361" t="s">
        <v>196</v>
      </c>
      <c r="D77" s="361">
        <v>71</v>
      </c>
      <c r="E77" s="361">
        <v>16</v>
      </c>
      <c r="F77" s="361" t="s">
        <v>2374</v>
      </c>
      <c r="G77" s="362">
        <v>5410399</v>
      </c>
      <c r="H77" s="362">
        <v>5372988</v>
      </c>
      <c r="I77" s="362">
        <v>5303929</v>
      </c>
      <c r="J77" s="362">
        <v>5208957.0000000009</v>
      </c>
      <c r="K77" s="362">
        <v>5097128</v>
      </c>
      <c r="L77" s="362">
        <v>4976260</v>
      </c>
      <c r="M77" s="362">
        <v>4846634</v>
      </c>
      <c r="N77" s="362">
        <v>4709607</v>
      </c>
      <c r="O77" s="362">
        <v>4575398</v>
      </c>
      <c r="P77" s="362">
        <v>4456647</v>
      </c>
      <c r="Q77" s="362">
        <v>4362187</v>
      </c>
      <c r="R77" s="362">
        <v>4296979</v>
      </c>
      <c r="S77" s="362">
        <v>4258571</v>
      </c>
      <c r="T77" s="362">
        <v>4238929</v>
      </c>
      <c r="U77" s="362">
        <v>4225816</v>
      </c>
      <c r="V77" s="362">
        <v>4210167.9999999991</v>
      </c>
      <c r="W77" s="362">
        <v>4189720.0000000005</v>
      </c>
      <c r="X77" s="362">
        <v>4166867</v>
      </c>
      <c r="Y77" s="362">
        <v>4142654.9999999995</v>
      </c>
      <c r="Z77" s="362">
        <v>4119493.9999999995</v>
      </c>
      <c r="AA77" s="362">
        <v>4099099</v>
      </c>
      <c r="AB77" s="362">
        <v>4081017</v>
      </c>
      <c r="AC77" s="362">
        <v>4064106.0000000005</v>
      </c>
      <c r="AD77" s="362">
        <v>4048701.0000000005</v>
      </c>
      <c r="AE77" s="362">
        <v>4035311</v>
      </c>
      <c r="AF77" s="362">
        <v>4024183</v>
      </c>
      <c r="AG77" s="362">
        <v>4015449.9999999995</v>
      </c>
      <c r="AH77" s="362">
        <v>4008715.9999999995</v>
      </c>
      <c r="AI77" s="362">
        <v>4002942</v>
      </c>
      <c r="AJ77" s="362">
        <v>3996765</v>
      </c>
      <c r="AK77" s="362">
        <v>3989167</v>
      </c>
      <c r="AL77" s="363">
        <v>3979765</v>
      </c>
      <c r="AM77" s="362">
        <v>3968738</v>
      </c>
      <c r="AN77" s="362">
        <v>3956332</v>
      </c>
      <c r="AO77" s="362">
        <v>3943055</v>
      </c>
      <c r="AP77" s="362">
        <v>3929296</v>
      </c>
      <c r="AQ77" s="362">
        <v>3915047</v>
      </c>
      <c r="AR77" s="362">
        <v>3900213</v>
      </c>
      <c r="AS77" s="362">
        <v>3884894</v>
      </c>
      <c r="AT77" s="362">
        <v>3869221</v>
      </c>
      <c r="AU77" s="362">
        <v>3853306</v>
      </c>
      <c r="AV77" s="362" t="s">
        <v>197</v>
      </c>
      <c r="AW77" s="362">
        <v>-1.9010374640490157E-3</v>
      </c>
      <c r="AX77" s="362">
        <v>-2.3568830284618203E-3</v>
      </c>
    </row>
    <row r="78" spans="1:50" x14ac:dyDescent="0.25">
      <c r="A78" s="361" t="s">
        <v>199</v>
      </c>
      <c r="B78" s="361">
        <v>276</v>
      </c>
      <c r="C78" s="361" t="s">
        <v>198</v>
      </c>
      <c r="D78" s="361">
        <v>73</v>
      </c>
      <c r="E78" s="361">
        <v>11</v>
      </c>
      <c r="F78" s="361" t="s">
        <v>2374</v>
      </c>
      <c r="G78" s="362">
        <v>79053984</v>
      </c>
      <c r="H78" s="362">
        <v>79490835</v>
      </c>
      <c r="I78" s="362">
        <v>79963159</v>
      </c>
      <c r="J78" s="362">
        <v>80428556</v>
      </c>
      <c r="K78" s="362">
        <v>80832937</v>
      </c>
      <c r="L78" s="362">
        <v>81138659</v>
      </c>
      <c r="M78" s="362">
        <v>81323664.000000015</v>
      </c>
      <c r="N78" s="362">
        <v>81399251</v>
      </c>
      <c r="O78" s="362">
        <v>81402673</v>
      </c>
      <c r="P78" s="362">
        <v>81389927</v>
      </c>
      <c r="Q78" s="362">
        <v>81400882</v>
      </c>
      <c r="R78" s="362">
        <v>81453885</v>
      </c>
      <c r="S78" s="362">
        <v>81535122</v>
      </c>
      <c r="T78" s="362">
        <v>81614380.000000015</v>
      </c>
      <c r="U78" s="362">
        <v>81646474</v>
      </c>
      <c r="V78" s="362">
        <v>81602741</v>
      </c>
      <c r="W78" s="362">
        <v>81472225.999999985</v>
      </c>
      <c r="X78" s="362">
        <v>81277830.000000015</v>
      </c>
      <c r="Y78" s="362">
        <v>81065751.999999985</v>
      </c>
      <c r="Z78" s="362">
        <v>80899960.999999985</v>
      </c>
      <c r="AA78" s="362">
        <v>80827002</v>
      </c>
      <c r="AB78" s="362">
        <v>80855632</v>
      </c>
      <c r="AC78" s="362">
        <v>80972628</v>
      </c>
      <c r="AD78" s="362">
        <v>81174367</v>
      </c>
      <c r="AE78" s="362">
        <v>81450378</v>
      </c>
      <c r="AF78" s="362">
        <v>81787410.999999985</v>
      </c>
      <c r="AG78" s="362">
        <v>82193767.999999985</v>
      </c>
      <c r="AH78" s="362">
        <v>82658409</v>
      </c>
      <c r="AI78" s="362">
        <v>83124418</v>
      </c>
      <c r="AJ78" s="362">
        <v>83517045</v>
      </c>
      <c r="AK78" s="362">
        <v>83783942</v>
      </c>
      <c r="AL78" s="363">
        <v>83900473</v>
      </c>
      <c r="AM78" s="362">
        <v>83883596</v>
      </c>
      <c r="AN78" s="362">
        <v>83774535</v>
      </c>
      <c r="AO78" s="362">
        <v>83636173</v>
      </c>
      <c r="AP78" s="362">
        <v>83515025</v>
      </c>
      <c r="AQ78" s="362">
        <v>83422524</v>
      </c>
      <c r="AR78" s="362">
        <v>83346311</v>
      </c>
      <c r="AS78" s="362">
        <v>83280860</v>
      </c>
      <c r="AT78" s="362">
        <v>83213650</v>
      </c>
      <c r="AU78" s="362">
        <v>83135644</v>
      </c>
      <c r="AV78" s="362" t="s">
        <v>199</v>
      </c>
      <c r="AW78" s="362">
        <v>3.1957189098346106E-3</v>
      </c>
      <c r="AX78" s="362">
        <v>1.3908512445022225E-3</v>
      </c>
    </row>
    <row r="79" spans="1:50" x14ac:dyDescent="0.25">
      <c r="A79" s="361" t="s">
        <v>201</v>
      </c>
      <c r="B79" s="361">
        <v>288</v>
      </c>
      <c r="C79" s="361" t="s">
        <v>200</v>
      </c>
      <c r="D79" s="361">
        <v>74</v>
      </c>
      <c r="E79" s="361">
        <v>8</v>
      </c>
      <c r="F79" s="361" t="s">
        <v>2374</v>
      </c>
      <c r="G79" s="362">
        <v>14773277</v>
      </c>
      <c r="H79" s="362">
        <v>15207367</v>
      </c>
      <c r="I79" s="362">
        <v>15653336</v>
      </c>
      <c r="J79" s="362">
        <v>16106765</v>
      </c>
      <c r="K79" s="362">
        <v>16561674</v>
      </c>
      <c r="L79" s="362">
        <v>17014057</v>
      </c>
      <c r="M79" s="362">
        <v>17462495.999999996</v>
      </c>
      <c r="N79" s="362">
        <v>17908985</v>
      </c>
      <c r="O79" s="362">
        <v>18357156</v>
      </c>
      <c r="P79" s="362">
        <v>18812359</v>
      </c>
      <c r="Q79" s="362">
        <v>19278856</v>
      </c>
      <c r="R79" s="362">
        <v>19756928</v>
      </c>
      <c r="S79" s="362">
        <v>20246381</v>
      </c>
      <c r="T79" s="362">
        <v>20750299</v>
      </c>
      <c r="U79" s="362">
        <v>21272323</v>
      </c>
      <c r="V79" s="362">
        <v>21814642</v>
      </c>
      <c r="W79" s="362">
        <v>22379055</v>
      </c>
      <c r="X79" s="362">
        <v>22963946</v>
      </c>
      <c r="Y79" s="362">
        <v>23563825</v>
      </c>
      <c r="Z79" s="362">
        <v>24170939.999999996</v>
      </c>
      <c r="AA79" s="362">
        <v>24779619</v>
      </c>
      <c r="AB79" s="362">
        <v>25387712</v>
      </c>
      <c r="AC79" s="362">
        <v>25996450</v>
      </c>
      <c r="AD79" s="362">
        <v>26607645</v>
      </c>
      <c r="AE79" s="362">
        <v>27224473.000000004</v>
      </c>
      <c r="AF79" s="362">
        <v>27849205</v>
      </c>
      <c r="AG79" s="362">
        <v>28481945</v>
      </c>
      <c r="AH79" s="362">
        <v>29121465</v>
      </c>
      <c r="AI79" s="362">
        <v>29767101.999999996</v>
      </c>
      <c r="AJ79" s="362">
        <v>30417856</v>
      </c>
      <c r="AK79" s="362">
        <v>31072940</v>
      </c>
      <c r="AL79" s="363">
        <v>31732129</v>
      </c>
      <c r="AM79" s="362">
        <v>32395450</v>
      </c>
      <c r="AN79" s="362">
        <v>33062746</v>
      </c>
      <c r="AO79" s="362">
        <v>33733898</v>
      </c>
      <c r="AP79" s="362">
        <v>34408768</v>
      </c>
      <c r="AQ79" s="362">
        <v>35087162</v>
      </c>
      <c r="AR79" s="362">
        <v>35768890</v>
      </c>
      <c r="AS79" s="362">
        <v>36453884</v>
      </c>
      <c r="AT79" s="362">
        <v>37142079</v>
      </c>
      <c r="AU79" s="362">
        <v>37833419</v>
      </c>
      <c r="AV79" s="362" t="s">
        <v>201</v>
      </c>
      <c r="AW79" s="362">
        <v>2.1536166125581069E-2</v>
      </c>
      <c r="AX79" s="362">
        <v>2.1214246221954003E-2</v>
      </c>
    </row>
    <row r="80" spans="1:50" x14ac:dyDescent="0.25">
      <c r="A80" s="361" t="s">
        <v>203</v>
      </c>
      <c r="B80" s="361">
        <v>292</v>
      </c>
      <c r="C80" s="361" t="s">
        <v>202</v>
      </c>
      <c r="D80" s="361">
        <v>75</v>
      </c>
      <c r="E80" s="361">
        <v>11</v>
      </c>
      <c r="F80" s="361" t="s">
        <v>2374</v>
      </c>
      <c r="G80" s="362">
        <v>29147</v>
      </c>
      <c r="H80" s="362">
        <v>29022</v>
      </c>
      <c r="I80" s="362">
        <v>28840</v>
      </c>
      <c r="J80" s="362">
        <v>28675</v>
      </c>
      <c r="K80" s="362">
        <v>28602</v>
      </c>
      <c r="L80" s="362">
        <v>28692</v>
      </c>
      <c r="M80" s="362">
        <v>28971</v>
      </c>
      <c r="N80" s="362">
        <v>29408</v>
      </c>
      <c r="O80" s="362">
        <v>29946.999999999996</v>
      </c>
      <c r="P80" s="362">
        <v>30529</v>
      </c>
      <c r="Q80" s="362">
        <v>31077</v>
      </c>
      <c r="R80" s="362">
        <v>31601.999999999996</v>
      </c>
      <c r="S80" s="362">
        <v>32102</v>
      </c>
      <c r="T80" s="362">
        <v>32555</v>
      </c>
      <c r="U80" s="362">
        <v>32928</v>
      </c>
      <c r="V80" s="362">
        <v>33219</v>
      </c>
      <c r="W80" s="362">
        <v>33417</v>
      </c>
      <c r="X80" s="362">
        <v>33517.000000000007</v>
      </c>
      <c r="Y80" s="362">
        <v>33559</v>
      </c>
      <c r="Z80" s="362">
        <v>33565</v>
      </c>
      <c r="AA80" s="362">
        <v>33585.000000000007</v>
      </c>
      <c r="AB80" s="362">
        <v>33612</v>
      </c>
      <c r="AC80" s="362">
        <v>33646</v>
      </c>
      <c r="AD80" s="362">
        <v>33692</v>
      </c>
      <c r="AE80" s="362">
        <v>33725</v>
      </c>
      <c r="AF80" s="362">
        <v>33735.999999999993</v>
      </c>
      <c r="AG80" s="362">
        <v>33737</v>
      </c>
      <c r="AH80" s="362">
        <v>33728</v>
      </c>
      <c r="AI80" s="362">
        <v>33718.000000000007</v>
      </c>
      <c r="AJ80" s="362">
        <v>33701</v>
      </c>
      <c r="AK80" s="362">
        <v>33691.000000000007</v>
      </c>
      <c r="AL80" s="363">
        <v>33698</v>
      </c>
      <c r="AM80" s="362">
        <v>33704</v>
      </c>
      <c r="AN80" s="362">
        <v>33715</v>
      </c>
      <c r="AO80" s="362">
        <v>33739</v>
      </c>
      <c r="AP80" s="362">
        <v>33763</v>
      </c>
      <c r="AQ80" s="362">
        <v>33785</v>
      </c>
      <c r="AR80" s="362">
        <v>33816</v>
      </c>
      <c r="AS80" s="362">
        <v>33847</v>
      </c>
      <c r="AT80" s="362">
        <v>33887</v>
      </c>
      <c r="AU80" s="362">
        <v>33914</v>
      </c>
      <c r="AV80" s="362" t="s">
        <v>203</v>
      </c>
      <c r="AW80" s="362">
        <v>-2.9672710008588066E-4</v>
      </c>
      <c r="AX80" s="362">
        <v>2.0777062123400469E-4</v>
      </c>
    </row>
    <row r="81" spans="1:50" x14ac:dyDescent="0.25">
      <c r="A81" s="361" t="s">
        <v>205</v>
      </c>
      <c r="B81" s="361">
        <v>300</v>
      </c>
      <c r="C81" s="361" t="s">
        <v>204</v>
      </c>
      <c r="D81" s="361">
        <v>77</v>
      </c>
      <c r="E81" s="361">
        <v>11</v>
      </c>
      <c r="F81" s="361" t="s">
        <v>2374</v>
      </c>
      <c r="G81" s="362">
        <v>10225992</v>
      </c>
      <c r="H81" s="362">
        <v>10315107</v>
      </c>
      <c r="I81" s="362">
        <v>10420236.000000002</v>
      </c>
      <c r="J81" s="362">
        <v>10533815</v>
      </c>
      <c r="K81" s="362">
        <v>10644949</v>
      </c>
      <c r="L81" s="362">
        <v>10745503.000000002</v>
      </c>
      <c r="M81" s="362">
        <v>10832141</v>
      </c>
      <c r="N81" s="362">
        <v>10906257</v>
      </c>
      <c r="O81" s="362">
        <v>10970120.999999998</v>
      </c>
      <c r="P81" s="362">
        <v>11027899.999999998</v>
      </c>
      <c r="Q81" s="362">
        <v>11082104</v>
      </c>
      <c r="R81" s="362">
        <v>11134457.000000002</v>
      </c>
      <c r="S81" s="362">
        <v>11182305</v>
      </c>
      <c r="T81" s="362">
        <v>11218884</v>
      </c>
      <c r="U81" s="362">
        <v>11234992</v>
      </c>
      <c r="V81" s="362">
        <v>11224791</v>
      </c>
      <c r="W81" s="362">
        <v>11185227.999999998</v>
      </c>
      <c r="X81" s="362">
        <v>11120358</v>
      </c>
      <c r="Y81" s="362">
        <v>11040308.999999998</v>
      </c>
      <c r="Z81" s="362">
        <v>10959272</v>
      </c>
      <c r="AA81" s="362">
        <v>10887637</v>
      </c>
      <c r="AB81" s="362">
        <v>10829079</v>
      </c>
      <c r="AC81" s="362">
        <v>10781125</v>
      </c>
      <c r="AD81" s="362">
        <v>10740500</v>
      </c>
      <c r="AE81" s="362">
        <v>10701456</v>
      </c>
      <c r="AF81" s="362">
        <v>10659750</v>
      </c>
      <c r="AG81" s="362">
        <v>10615185</v>
      </c>
      <c r="AH81" s="362">
        <v>10569450.000000002</v>
      </c>
      <c r="AI81" s="362">
        <v>10522246</v>
      </c>
      <c r="AJ81" s="362">
        <v>10473455</v>
      </c>
      <c r="AK81" s="362">
        <v>10423054</v>
      </c>
      <c r="AL81" s="363">
        <v>10370744</v>
      </c>
      <c r="AM81" s="362">
        <v>10316637</v>
      </c>
      <c r="AN81" s="362">
        <v>10261732</v>
      </c>
      <c r="AO81" s="362">
        <v>10207401</v>
      </c>
      <c r="AP81" s="362">
        <v>10154685</v>
      </c>
      <c r="AQ81" s="362">
        <v>10103873</v>
      </c>
      <c r="AR81" s="362">
        <v>10054802</v>
      </c>
      <c r="AS81" s="362">
        <v>10007443</v>
      </c>
      <c r="AT81" s="362">
        <v>9961658</v>
      </c>
      <c r="AU81" s="362">
        <v>9917250</v>
      </c>
      <c r="AV81" s="362" t="s">
        <v>205</v>
      </c>
      <c r="AW81" s="362">
        <v>-4.8122610924474785E-3</v>
      </c>
      <c r="AX81" s="362">
        <v>-5.0186826241138682E-3</v>
      </c>
    </row>
    <row r="82" spans="1:50" x14ac:dyDescent="0.25">
      <c r="A82" s="361" t="s">
        <v>207</v>
      </c>
      <c r="B82" s="361">
        <v>304</v>
      </c>
      <c r="C82" s="361" t="s">
        <v>206</v>
      </c>
      <c r="D82" s="361">
        <v>78</v>
      </c>
      <c r="E82" s="361">
        <v>25</v>
      </c>
      <c r="F82" s="361" t="s">
        <v>2374</v>
      </c>
      <c r="G82" s="362">
        <v>55604</v>
      </c>
      <c r="H82" s="362">
        <v>55789</v>
      </c>
      <c r="I82" s="362">
        <v>55860.999999999993</v>
      </c>
      <c r="J82" s="362">
        <v>55848</v>
      </c>
      <c r="K82" s="362">
        <v>55815</v>
      </c>
      <c r="L82" s="362">
        <v>55811</v>
      </c>
      <c r="M82" s="362">
        <v>55837.000000000007</v>
      </c>
      <c r="N82" s="362">
        <v>55881</v>
      </c>
      <c r="O82" s="362">
        <v>55948</v>
      </c>
      <c r="P82" s="362">
        <v>56046</v>
      </c>
      <c r="Q82" s="362">
        <v>56174.999999999993</v>
      </c>
      <c r="R82" s="362">
        <v>56326.999999999993</v>
      </c>
      <c r="S82" s="362">
        <v>56518</v>
      </c>
      <c r="T82" s="362">
        <v>56708</v>
      </c>
      <c r="U82" s="362">
        <v>56860.999999999993</v>
      </c>
      <c r="V82" s="362">
        <v>56951</v>
      </c>
      <c r="W82" s="362">
        <v>56970.999999999993</v>
      </c>
      <c r="X82" s="362">
        <v>56927</v>
      </c>
      <c r="Y82" s="362">
        <v>56841</v>
      </c>
      <c r="Z82" s="362">
        <v>56728</v>
      </c>
      <c r="AA82" s="362">
        <v>56638</v>
      </c>
      <c r="AB82" s="362">
        <v>56552</v>
      </c>
      <c r="AC82" s="362">
        <v>56470</v>
      </c>
      <c r="AD82" s="362">
        <v>56414</v>
      </c>
      <c r="AE82" s="362">
        <v>56381</v>
      </c>
      <c r="AF82" s="362">
        <v>56377</v>
      </c>
      <c r="AG82" s="362">
        <v>56412</v>
      </c>
      <c r="AH82" s="362">
        <v>56481</v>
      </c>
      <c r="AI82" s="362">
        <v>56564</v>
      </c>
      <c r="AJ82" s="362">
        <v>56672</v>
      </c>
      <c r="AK82" s="362">
        <v>56770</v>
      </c>
      <c r="AL82" s="363">
        <v>56877</v>
      </c>
      <c r="AM82" s="362">
        <v>56973</v>
      </c>
      <c r="AN82" s="362">
        <v>57058</v>
      </c>
      <c r="AO82" s="362">
        <v>57134</v>
      </c>
      <c r="AP82" s="362">
        <v>57190</v>
      </c>
      <c r="AQ82" s="362">
        <v>57212</v>
      </c>
      <c r="AR82" s="362">
        <v>57219</v>
      </c>
      <c r="AS82" s="362">
        <v>57192</v>
      </c>
      <c r="AT82" s="362">
        <v>57152</v>
      </c>
      <c r="AU82" s="362">
        <v>57091</v>
      </c>
      <c r="AV82" s="362" t="s">
        <v>207</v>
      </c>
      <c r="AW82" s="362">
        <v>1.7292490118576698E-3</v>
      </c>
      <c r="AX82" s="362">
        <v>1.8847983089660403E-3</v>
      </c>
    </row>
    <row r="83" spans="1:50" x14ac:dyDescent="0.25">
      <c r="A83" s="361" t="s">
        <v>209</v>
      </c>
      <c r="B83" s="361">
        <v>308</v>
      </c>
      <c r="C83" s="361" t="s">
        <v>208</v>
      </c>
      <c r="D83" s="361">
        <v>79</v>
      </c>
      <c r="E83" s="361">
        <v>4</v>
      </c>
      <c r="F83" s="361" t="s">
        <v>2374</v>
      </c>
      <c r="G83" s="362">
        <v>96331</v>
      </c>
      <c r="H83" s="362">
        <v>96459.999999999985</v>
      </c>
      <c r="I83" s="362">
        <v>97165</v>
      </c>
      <c r="J83" s="362">
        <v>98230</v>
      </c>
      <c r="K83" s="362">
        <v>99352.000000000015</v>
      </c>
      <c r="L83" s="362">
        <v>100288</v>
      </c>
      <c r="M83" s="362">
        <v>101001.00000000001</v>
      </c>
      <c r="N83" s="362">
        <v>101566.99999999999</v>
      </c>
      <c r="O83" s="362">
        <v>102021</v>
      </c>
      <c r="P83" s="362">
        <v>102432</v>
      </c>
      <c r="Q83" s="362">
        <v>102833</v>
      </c>
      <c r="R83" s="362">
        <v>103249</v>
      </c>
      <c r="S83" s="362">
        <v>103634</v>
      </c>
      <c r="T83" s="362">
        <v>104005</v>
      </c>
      <c r="U83" s="362">
        <v>104347</v>
      </c>
      <c r="V83" s="362">
        <v>104661</v>
      </c>
      <c r="W83" s="362">
        <v>104933.00000000001</v>
      </c>
      <c r="X83" s="362">
        <v>105189.99999999999</v>
      </c>
      <c r="Y83" s="362">
        <v>105456.00000000001</v>
      </c>
      <c r="Z83" s="362">
        <v>105789.00000000001</v>
      </c>
      <c r="AA83" s="362">
        <v>106233.00000000001</v>
      </c>
      <c r="AB83" s="362">
        <v>106796</v>
      </c>
      <c r="AC83" s="362">
        <v>107446</v>
      </c>
      <c r="AD83" s="362">
        <v>108170</v>
      </c>
      <c r="AE83" s="362">
        <v>108902</v>
      </c>
      <c r="AF83" s="362">
        <v>109599</v>
      </c>
      <c r="AG83" s="362">
        <v>110261</v>
      </c>
      <c r="AH83" s="362">
        <v>110874</v>
      </c>
      <c r="AI83" s="362">
        <v>111454</v>
      </c>
      <c r="AJ83" s="362">
        <v>112003</v>
      </c>
      <c r="AK83" s="362">
        <v>112523</v>
      </c>
      <c r="AL83" s="363">
        <v>113021</v>
      </c>
      <c r="AM83" s="362">
        <v>113475</v>
      </c>
      <c r="AN83" s="362">
        <v>113901</v>
      </c>
      <c r="AO83" s="362">
        <v>114290</v>
      </c>
      <c r="AP83" s="362">
        <v>114628</v>
      </c>
      <c r="AQ83" s="362">
        <v>114936</v>
      </c>
      <c r="AR83" s="362">
        <v>115195</v>
      </c>
      <c r="AS83" s="362">
        <v>115412</v>
      </c>
      <c r="AT83" s="362">
        <v>115614</v>
      </c>
      <c r="AU83" s="362">
        <v>115779</v>
      </c>
      <c r="AV83" s="362" t="s">
        <v>209</v>
      </c>
      <c r="AW83" s="362">
        <v>4.6427327839433374E-3</v>
      </c>
      <c r="AX83" s="362">
        <v>4.4257618442451463E-3</v>
      </c>
    </row>
    <row r="84" spans="1:50" x14ac:dyDescent="0.25">
      <c r="A84" s="361" t="s">
        <v>211</v>
      </c>
      <c r="B84" s="361">
        <v>312</v>
      </c>
      <c r="C84" s="361" t="s">
        <v>210</v>
      </c>
      <c r="D84" s="361">
        <v>80</v>
      </c>
      <c r="E84" s="361">
        <v>4</v>
      </c>
      <c r="F84" s="361" t="s">
        <v>2374</v>
      </c>
      <c r="G84" s="362">
        <v>389249</v>
      </c>
      <c r="H84" s="362">
        <v>394619.00000000006</v>
      </c>
      <c r="I84" s="362">
        <v>397697</v>
      </c>
      <c r="J84" s="362">
        <v>399379.00000000006</v>
      </c>
      <c r="K84" s="362">
        <v>401071</v>
      </c>
      <c r="L84" s="362">
        <v>403738</v>
      </c>
      <c r="M84" s="362">
        <v>407783</v>
      </c>
      <c r="N84" s="362">
        <v>412737</v>
      </c>
      <c r="O84" s="362">
        <v>417622</v>
      </c>
      <c r="P84" s="362">
        <v>421041</v>
      </c>
      <c r="Q84" s="362">
        <v>422051</v>
      </c>
      <c r="R84" s="362">
        <v>420238</v>
      </c>
      <c r="S84" s="362">
        <v>416136</v>
      </c>
      <c r="T84" s="362">
        <v>410860</v>
      </c>
      <c r="U84" s="362">
        <v>406063</v>
      </c>
      <c r="V84" s="362">
        <v>402904</v>
      </c>
      <c r="W84" s="362">
        <v>401813</v>
      </c>
      <c r="X84" s="362">
        <v>402395</v>
      </c>
      <c r="Y84" s="362">
        <v>403964.99999999994</v>
      </c>
      <c r="Z84" s="362">
        <v>405448</v>
      </c>
      <c r="AA84" s="362">
        <v>406071</v>
      </c>
      <c r="AB84" s="362">
        <v>405640</v>
      </c>
      <c r="AC84" s="362">
        <v>404448</v>
      </c>
      <c r="AD84" s="362">
        <v>402829</v>
      </c>
      <c r="AE84" s="362">
        <v>401314</v>
      </c>
      <c r="AF84" s="362">
        <v>400255</v>
      </c>
      <c r="AG84" s="362">
        <v>399763</v>
      </c>
      <c r="AH84" s="362">
        <v>399672</v>
      </c>
      <c r="AI84" s="362">
        <v>399848.00000000006</v>
      </c>
      <c r="AJ84" s="362">
        <v>400055.99999999994</v>
      </c>
      <c r="AK84" s="362">
        <v>400124.00000000006</v>
      </c>
      <c r="AL84" s="362">
        <v>400020</v>
      </c>
      <c r="AM84" s="362">
        <v>399794</v>
      </c>
      <c r="AN84" s="362">
        <v>399531</v>
      </c>
      <c r="AO84" s="362">
        <v>399323</v>
      </c>
      <c r="AP84" s="362">
        <v>399248</v>
      </c>
      <c r="AQ84" s="362">
        <v>399321</v>
      </c>
      <c r="AR84" s="362">
        <v>399495</v>
      </c>
      <c r="AS84" s="362">
        <v>399730</v>
      </c>
      <c r="AT84" s="362">
        <v>400004</v>
      </c>
      <c r="AU84" s="362">
        <v>400246</v>
      </c>
      <c r="AV84" s="362" t="s">
        <v>211</v>
      </c>
      <c r="AW84" s="362">
        <v>1.6997620333181196E-4</v>
      </c>
      <c r="AX84" s="362">
        <v>-2.5991942497838316E-4</v>
      </c>
    </row>
    <row r="85" spans="1:50" x14ac:dyDescent="0.25">
      <c r="A85" s="361" t="s">
        <v>213</v>
      </c>
      <c r="B85" s="361">
        <v>320</v>
      </c>
      <c r="C85" s="361" t="s">
        <v>212</v>
      </c>
      <c r="D85" s="361">
        <v>81</v>
      </c>
      <c r="E85" s="361">
        <v>4</v>
      </c>
      <c r="F85" s="361" t="s">
        <v>2374</v>
      </c>
      <c r="G85" s="362">
        <v>9263813</v>
      </c>
      <c r="H85" s="362">
        <v>9483270.0000000019</v>
      </c>
      <c r="I85" s="362">
        <v>9708544</v>
      </c>
      <c r="J85" s="362">
        <v>9938692</v>
      </c>
      <c r="K85" s="362">
        <v>10172297</v>
      </c>
      <c r="L85" s="362">
        <v>10408489</v>
      </c>
      <c r="M85" s="362">
        <v>10646674</v>
      </c>
      <c r="N85" s="362">
        <v>10887634</v>
      </c>
      <c r="O85" s="362">
        <v>11133501</v>
      </c>
      <c r="P85" s="362">
        <v>11387203</v>
      </c>
      <c r="Q85" s="362">
        <v>11650743</v>
      </c>
      <c r="R85" s="362">
        <v>11924946</v>
      </c>
      <c r="S85" s="362">
        <v>12208848</v>
      </c>
      <c r="T85" s="362">
        <v>12500478</v>
      </c>
      <c r="U85" s="362">
        <v>12796925</v>
      </c>
      <c r="V85" s="362">
        <v>13096028</v>
      </c>
      <c r="W85" s="362">
        <v>13397021</v>
      </c>
      <c r="X85" s="362">
        <v>13700327</v>
      </c>
      <c r="Y85" s="362">
        <v>14006428</v>
      </c>
      <c r="Z85" s="362">
        <v>14316263.000000002</v>
      </c>
      <c r="AA85" s="362">
        <v>14630417</v>
      </c>
      <c r="AB85" s="362">
        <v>14948801</v>
      </c>
      <c r="AC85" s="362">
        <v>15270771</v>
      </c>
      <c r="AD85" s="362">
        <v>15595816.000000002</v>
      </c>
      <c r="AE85" s="362">
        <v>15923236.000000002</v>
      </c>
      <c r="AF85" s="362">
        <v>16252429</v>
      </c>
      <c r="AG85" s="362">
        <v>16583076.000000002</v>
      </c>
      <c r="AH85" s="362">
        <v>16914970</v>
      </c>
      <c r="AI85" s="362">
        <v>17247849</v>
      </c>
      <c r="AJ85" s="362">
        <v>17581472</v>
      </c>
      <c r="AK85" s="362">
        <v>17915568</v>
      </c>
      <c r="AL85" s="363">
        <v>18249860</v>
      </c>
      <c r="AM85" s="362">
        <v>18584039</v>
      </c>
      <c r="AN85" s="362">
        <v>18917713</v>
      </c>
      <c r="AO85" s="362">
        <v>19250482</v>
      </c>
      <c r="AP85" s="362">
        <v>19581999</v>
      </c>
      <c r="AQ85" s="362">
        <v>19911939</v>
      </c>
      <c r="AR85" s="362">
        <v>20240104</v>
      </c>
      <c r="AS85" s="362">
        <v>20566325</v>
      </c>
      <c r="AT85" s="362">
        <v>20890527</v>
      </c>
      <c r="AU85" s="362">
        <v>21212561</v>
      </c>
      <c r="AV85" s="362" t="s">
        <v>213</v>
      </c>
      <c r="AW85" s="362">
        <v>1.9002731966925257E-2</v>
      </c>
      <c r="AX85" s="362">
        <v>1.8659302345312101E-2</v>
      </c>
    </row>
    <row r="86" spans="1:50" x14ac:dyDescent="0.25">
      <c r="A86" s="361" t="s">
        <v>215</v>
      </c>
      <c r="B86" s="361">
        <v>324</v>
      </c>
      <c r="C86" s="361" t="s">
        <v>214</v>
      </c>
      <c r="D86" s="361">
        <v>82</v>
      </c>
      <c r="E86" s="361">
        <v>8</v>
      </c>
      <c r="F86" s="361" t="s">
        <v>2374</v>
      </c>
      <c r="G86" s="362">
        <v>6352283.0000000009</v>
      </c>
      <c r="H86" s="362">
        <v>6534939.0000000009</v>
      </c>
      <c r="I86" s="362">
        <v>6716037.9999999991</v>
      </c>
      <c r="J86" s="362">
        <v>6897166</v>
      </c>
      <c r="K86" s="362">
        <v>7081116</v>
      </c>
      <c r="L86" s="362">
        <v>7269625</v>
      </c>
      <c r="M86" s="362">
        <v>7463782</v>
      </c>
      <c r="N86" s="362">
        <v>7662075</v>
      </c>
      <c r="O86" s="362">
        <v>7860781</v>
      </c>
      <c r="P86" s="362">
        <v>8054743</v>
      </c>
      <c r="Q86" s="362">
        <v>8240729.9999999991</v>
      </c>
      <c r="R86" s="362">
        <v>8417081</v>
      </c>
      <c r="S86" s="362">
        <v>8586074</v>
      </c>
      <c r="T86" s="362">
        <v>8753093.0000000019</v>
      </c>
      <c r="U86" s="362">
        <v>8925743</v>
      </c>
      <c r="V86" s="362">
        <v>9109581</v>
      </c>
      <c r="W86" s="362">
        <v>9307424.9999999981</v>
      </c>
      <c r="X86" s="362">
        <v>9518162</v>
      </c>
      <c r="Y86" s="362">
        <v>9738792</v>
      </c>
      <c r="Z86" s="362">
        <v>9964469</v>
      </c>
      <c r="AA86" s="362">
        <v>10192176</v>
      </c>
      <c r="AB86" s="362">
        <v>10420472</v>
      </c>
      <c r="AC86" s="362">
        <v>10652031</v>
      </c>
      <c r="AD86" s="362">
        <v>10892817</v>
      </c>
      <c r="AE86" s="362">
        <v>11150982</v>
      </c>
      <c r="AF86" s="362">
        <v>11432088</v>
      </c>
      <c r="AG86" s="362">
        <v>11738429</v>
      </c>
      <c r="AH86" s="362">
        <v>12067519</v>
      </c>
      <c r="AI86" s="362">
        <v>12414292.999999998</v>
      </c>
      <c r="AJ86" s="362">
        <v>12771246</v>
      </c>
      <c r="AK86" s="362">
        <v>13132795</v>
      </c>
      <c r="AL86" s="363">
        <v>13497244</v>
      </c>
      <c r="AM86" s="362">
        <v>13865691</v>
      </c>
      <c r="AN86" s="362">
        <v>14238722</v>
      </c>
      <c r="AO86" s="362">
        <v>14617781</v>
      </c>
      <c r="AP86" s="362">
        <v>15003843</v>
      </c>
      <c r="AQ86" s="362">
        <v>15396572</v>
      </c>
      <c r="AR86" s="362">
        <v>15794992</v>
      </c>
      <c r="AS86" s="362">
        <v>16198770</v>
      </c>
      <c r="AT86" s="362">
        <v>16607521</v>
      </c>
      <c r="AU86" s="362">
        <v>17020915</v>
      </c>
      <c r="AV86" s="362" t="s">
        <v>215</v>
      </c>
      <c r="AW86" s="362">
        <v>2.8309610510987016E-2</v>
      </c>
      <c r="AX86" s="362">
        <v>2.7751061369647445E-2</v>
      </c>
    </row>
    <row r="87" spans="1:50" x14ac:dyDescent="0.25">
      <c r="A87" s="361" t="s">
        <v>217</v>
      </c>
      <c r="B87" s="361">
        <v>624</v>
      </c>
      <c r="C87" s="361" t="s">
        <v>216</v>
      </c>
      <c r="D87" s="361">
        <v>161</v>
      </c>
      <c r="E87" s="361">
        <v>8</v>
      </c>
      <c r="F87" s="361" t="s">
        <v>2374</v>
      </c>
      <c r="G87" s="362">
        <v>975260.99999999988</v>
      </c>
      <c r="H87" s="362">
        <v>997522</v>
      </c>
      <c r="I87" s="362">
        <v>1020350.0000000001</v>
      </c>
      <c r="J87" s="362">
        <v>1043423</v>
      </c>
      <c r="K87" s="362">
        <v>1066346</v>
      </c>
      <c r="L87" s="362">
        <v>1088854</v>
      </c>
      <c r="M87" s="362">
        <v>1110833.0000000002</v>
      </c>
      <c r="N87" s="362">
        <v>1132510</v>
      </c>
      <c r="O87" s="362">
        <v>1154371</v>
      </c>
      <c r="P87" s="362">
        <v>1177131.0000000002</v>
      </c>
      <c r="Q87" s="362">
        <v>1201301</v>
      </c>
      <c r="R87" s="362">
        <v>1227106</v>
      </c>
      <c r="S87" s="362">
        <v>1254453</v>
      </c>
      <c r="T87" s="362">
        <v>1283305.0000000002</v>
      </c>
      <c r="U87" s="362">
        <v>1313491.9999999998</v>
      </c>
      <c r="V87" s="362">
        <v>1344930</v>
      </c>
      <c r="W87" s="362">
        <v>1377581</v>
      </c>
      <c r="X87" s="362">
        <v>1411543</v>
      </c>
      <c r="Y87" s="362">
        <v>1446936</v>
      </c>
      <c r="Z87" s="362">
        <v>1483921</v>
      </c>
      <c r="AA87" s="362">
        <v>1522599</v>
      </c>
      <c r="AB87" s="362">
        <v>1562989</v>
      </c>
      <c r="AC87" s="362">
        <v>1604979</v>
      </c>
      <c r="AD87" s="362">
        <v>1648255</v>
      </c>
      <c r="AE87" s="362">
        <v>1692437</v>
      </c>
      <c r="AF87" s="362">
        <v>1737202</v>
      </c>
      <c r="AG87" s="362">
        <v>1782438.0000000002</v>
      </c>
      <c r="AH87" s="362">
        <v>1828145</v>
      </c>
      <c r="AI87" s="362">
        <v>1874303</v>
      </c>
      <c r="AJ87" s="362">
        <v>1920922</v>
      </c>
      <c r="AK87" s="362">
        <v>1968001</v>
      </c>
      <c r="AL87" s="363">
        <v>2015494</v>
      </c>
      <c r="AM87" s="362">
        <v>2063367.0000000002</v>
      </c>
      <c r="AN87" s="362">
        <v>2111616</v>
      </c>
      <c r="AO87" s="362">
        <v>2160282</v>
      </c>
      <c r="AP87" s="362">
        <v>2209377</v>
      </c>
      <c r="AQ87" s="362">
        <v>2258890</v>
      </c>
      <c r="AR87" s="362">
        <v>2308816</v>
      </c>
      <c r="AS87" s="362">
        <v>2359168</v>
      </c>
      <c r="AT87" s="362">
        <v>2409959</v>
      </c>
      <c r="AU87" s="362">
        <v>2461208</v>
      </c>
      <c r="AV87" s="362" t="s">
        <v>217</v>
      </c>
      <c r="AW87" s="362">
        <v>2.4508543293272789E-2</v>
      </c>
      <c r="AX87" s="362">
        <v>2.4132609688714668E-2</v>
      </c>
    </row>
    <row r="88" spans="1:50" x14ac:dyDescent="0.25">
      <c r="A88" s="361" t="s">
        <v>219</v>
      </c>
      <c r="B88" s="361">
        <v>328</v>
      </c>
      <c r="C88" s="361" t="s">
        <v>218</v>
      </c>
      <c r="D88" s="361">
        <v>83</v>
      </c>
      <c r="E88" s="361">
        <v>6</v>
      </c>
      <c r="F88" s="361" t="s">
        <v>2374</v>
      </c>
      <c r="G88" s="362">
        <v>743309</v>
      </c>
      <c r="H88" s="362">
        <v>744474.00000000012</v>
      </c>
      <c r="I88" s="362">
        <v>748602</v>
      </c>
      <c r="J88" s="362">
        <v>754144</v>
      </c>
      <c r="K88" s="362">
        <v>758895.99999999988</v>
      </c>
      <c r="L88" s="362">
        <v>761291</v>
      </c>
      <c r="M88" s="362">
        <v>760795</v>
      </c>
      <c r="N88" s="362">
        <v>757970</v>
      </c>
      <c r="O88" s="362">
        <v>753778.00000000012</v>
      </c>
      <c r="P88" s="362">
        <v>749674</v>
      </c>
      <c r="Q88" s="362">
        <v>746715</v>
      </c>
      <c r="R88" s="362">
        <v>745206</v>
      </c>
      <c r="S88" s="362">
        <v>744789</v>
      </c>
      <c r="T88" s="362">
        <v>745143</v>
      </c>
      <c r="U88" s="362">
        <v>745737</v>
      </c>
      <c r="V88" s="362">
        <v>746163</v>
      </c>
      <c r="W88" s="362">
        <v>746343</v>
      </c>
      <c r="X88" s="362">
        <v>746474.00000000012</v>
      </c>
      <c r="Y88" s="362">
        <v>746817</v>
      </c>
      <c r="Z88" s="362">
        <v>747718</v>
      </c>
      <c r="AA88" s="362">
        <v>749436</v>
      </c>
      <c r="AB88" s="362">
        <v>752028</v>
      </c>
      <c r="AC88" s="362">
        <v>755399</v>
      </c>
      <c r="AD88" s="362">
        <v>759285</v>
      </c>
      <c r="AE88" s="362">
        <v>763380</v>
      </c>
      <c r="AF88" s="362">
        <v>767432</v>
      </c>
      <c r="AG88" s="362">
        <v>771368</v>
      </c>
      <c r="AH88" s="362">
        <v>775222</v>
      </c>
      <c r="AI88" s="362">
        <v>779006</v>
      </c>
      <c r="AJ88" s="362">
        <v>782766</v>
      </c>
      <c r="AK88" s="362">
        <v>786552</v>
      </c>
      <c r="AL88" s="363">
        <v>790326</v>
      </c>
      <c r="AM88" s="362">
        <v>794045</v>
      </c>
      <c r="AN88" s="362">
        <v>797704</v>
      </c>
      <c r="AO88" s="362">
        <v>801346</v>
      </c>
      <c r="AP88" s="362">
        <v>804956</v>
      </c>
      <c r="AQ88" s="362">
        <v>808536</v>
      </c>
      <c r="AR88" s="362">
        <v>812066</v>
      </c>
      <c r="AS88" s="362">
        <v>815459</v>
      </c>
      <c r="AT88" s="362">
        <v>818659</v>
      </c>
      <c r="AU88" s="362">
        <v>821590</v>
      </c>
      <c r="AV88" s="362" t="s">
        <v>219</v>
      </c>
      <c r="AW88" s="362">
        <v>4.836694491074045E-3</v>
      </c>
      <c r="AX88" s="362">
        <v>4.7981570194977063E-3</v>
      </c>
    </row>
    <row r="89" spans="1:50" x14ac:dyDescent="0.25">
      <c r="A89" s="361" t="s">
        <v>221</v>
      </c>
      <c r="B89" s="361">
        <v>332</v>
      </c>
      <c r="C89" s="361" t="s">
        <v>220</v>
      </c>
      <c r="D89" s="361">
        <v>84</v>
      </c>
      <c r="E89" s="361">
        <v>4</v>
      </c>
      <c r="F89" s="361" t="s">
        <v>2374</v>
      </c>
      <c r="G89" s="362">
        <v>7037917</v>
      </c>
      <c r="H89" s="362">
        <v>7178607</v>
      </c>
      <c r="I89" s="362">
        <v>7319493.0000000009</v>
      </c>
      <c r="J89" s="362">
        <v>7460689</v>
      </c>
      <c r="K89" s="362">
        <v>7602320</v>
      </c>
      <c r="L89" s="362">
        <v>7744503</v>
      </c>
      <c r="M89" s="362">
        <v>7887304</v>
      </c>
      <c r="N89" s="362">
        <v>8030726</v>
      </c>
      <c r="O89" s="362">
        <v>8174680</v>
      </c>
      <c r="P89" s="362">
        <v>8319057.0000000009</v>
      </c>
      <c r="Q89" s="362">
        <v>8463806</v>
      </c>
      <c r="R89" s="362">
        <v>8608818.9999999981</v>
      </c>
      <c r="S89" s="362">
        <v>8754150</v>
      </c>
      <c r="T89" s="362">
        <v>8900103.9999999981</v>
      </c>
      <c r="U89" s="362">
        <v>9047077</v>
      </c>
      <c r="V89" s="362">
        <v>9195288</v>
      </c>
      <c r="W89" s="362">
        <v>9344785</v>
      </c>
      <c r="X89" s="362">
        <v>9495327.9999999981</v>
      </c>
      <c r="Y89" s="362">
        <v>9646580</v>
      </c>
      <c r="Z89" s="362">
        <v>9798046.0000000019</v>
      </c>
      <c r="AA89" s="362">
        <v>9949322</v>
      </c>
      <c r="AB89" s="362">
        <v>10100320</v>
      </c>
      <c r="AC89" s="362">
        <v>10250930</v>
      </c>
      <c r="AD89" s="362">
        <v>10400675</v>
      </c>
      <c r="AE89" s="362">
        <v>10549009</v>
      </c>
      <c r="AF89" s="362">
        <v>10695542</v>
      </c>
      <c r="AG89" s="362">
        <v>10839970</v>
      </c>
      <c r="AH89" s="362">
        <v>10982366</v>
      </c>
      <c r="AI89" s="362">
        <v>11123178</v>
      </c>
      <c r="AJ89" s="362">
        <v>11263077</v>
      </c>
      <c r="AK89" s="362">
        <v>11402528</v>
      </c>
      <c r="AL89" s="363">
        <v>11541685</v>
      </c>
      <c r="AM89" s="362">
        <v>11680283</v>
      </c>
      <c r="AN89" s="362">
        <v>11817968</v>
      </c>
      <c r="AO89" s="362">
        <v>11954197</v>
      </c>
      <c r="AP89" s="362">
        <v>12088562</v>
      </c>
      <c r="AQ89" s="362">
        <v>12220963</v>
      </c>
      <c r="AR89" s="362">
        <v>12351505</v>
      </c>
      <c r="AS89" s="362">
        <v>12480286</v>
      </c>
      <c r="AT89" s="362">
        <v>12607480</v>
      </c>
      <c r="AU89" s="362">
        <v>12733238</v>
      </c>
      <c r="AV89" s="362" t="s">
        <v>221</v>
      </c>
      <c r="AW89" s="362">
        <v>1.238125247656563E-2</v>
      </c>
      <c r="AX89" s="362">
        <v>1.2204048084775598E-2</v>
      </c>
    </row>
    <row r="90" spans="1:50" x14ac:dyDescent="0.25">
      <c r="A90" s="361" t="s">
        <v>223</v>
      </c>
      <c r="B90" s="361">
        <v>340</v>
      </c>
      <c r="C90" s="361" t="s">
        <v>222</v>
      </c>
      <c r="D90" s="361">
        <v>86</v>
      </c>
      <c r="E90" s="361">
        <v>4</v>
      </c>
      <c r="F90" s="361" t="s">
        <v>2374</v>
      </c>
      <c r="G90" s="362">
        <v>4955303</v>
      </c>
      <c r="H90" s="362">
        <v>5098591.0000000009</v>
      </c>
      <c r="I90" s="362">
        <v>5244677.9999999991</v>
      </c>
      <c r="J90" s="362">
        <v>5394412</v>
      </c>
      <c r="K90" s="362">
        <v>5548960</v>
      </c>
      <c r="L90" s="362">
        <v>5709014</v>
      </c>
      <c r="M90" s="362">
        <v>5874809</v>
      </c>
      <c r="N90" s="362">
        <v>6045699</v>
      </c>
      <c r="O90" s="362">
        <v>6220406</v>
      </c>
      <c r="P90" s="362">
        <v>6397151</v>
      </c>
      <c r="Q90" s="362">
        <v>6574509</v>
      </c>
      <c r="R90" s="362">
        <v>6751912</v>
      </c>
      <c r="S90" s="362">
        <v>6929265</v>
      </c>
      <c r="T90" s="362">
        <v>7106319</v>
      </c>
      <c r="U90" s="362">
        <v>7282953</v>
      </c>
      <c r="V90" s="362">
        <v>7458984.9999999991</v>
      </c>
      <c r="W90" s="362">
        <v>7634297.9999999991</v>
      </c>
      <c r="X90" s="362">
        <v>7808518</v>
      </c>
      <c r="Y90" s="362">
        <v>7980955</v>
      </c>
      <c r="Z90" s="362">
        <v>8150774.9999999991</v>
      </c>
      <c r="AA90" s="362">
        <v>8317470</v>
      </c>
      <c r="AB90" s="362">
        <v>8480671.0000000019</v>
      </c>
      <c r="AC90" s="362">
        <v>8640691</v>
      </c>
      <c r="AD90" s="362">
        <v>8798521</v>
      </c>
      <c r="AE90" s="362">
        <v>8955589</v>
      </c>
      <c r="AF90" s="362">
        <v>9112915.9999999981</v>
      </c>
      <c r="AG90" s="362">
        <v>9270795</v>
      </c>
      <c r="AH90" s="362">
        <v>9429013.0000000019</v>
      </c>
      <c r="AI90" s="362">
        <v>9587522.0000000019</v>
      </c>
      <c r="AJ90" s="362">
        <v>9746117</v>
      </c>
      <c r="AK90" s="362">
        <v>9904607</v>
      </c>
      <c r="AL90" s="363">
        <v>10062991</v>
      </c>
      <c r="AM90" s="362">
        <v>10221247</v>
      </c>
      <c r="AN90" s="362">
        <v>10379111</v>
      </c>
      <c r="AO90" s="362">
        <v>10536202</v>
      </c>
      <c r="AP90" s="362">
        <v>10692198</v>
      </c>
      <c r="AQ90" s="362">
        <v>10846966</v>
      </c>
      <c r="AR90" s="362">
        <v>11000353</v>
      </c>
      <c r="AS90" s="362">
        <v>11152072</v>
      </c>
      <c r="AT90" s="362">
        <v>11301790</v>
      </c>
      <c r="AU90" s="362">
        <v>11449249</v>
      </c>
      <c r="AV90" s="362" t="s">
        <v>223</v>
      </c>
      <c r="AW90" s="362">
        <v>1.626186100577276E-2</v>
      </c>
      <c r="AX90" s="362">
        <v>1.5990942396805874E-2</v>
      </c>
    </row>
    <row r="91" spans="1:50" x14ac:dyDescent="0.25">
      <c r="A91" s="361" t="s">
        <v>225</v>
      </c>
      <c r="B91" s="361">
        <v>344</v>
      </c>
      <c r="C91" s="370" t="s">
        <v>224</v>
      </c>
      <c r="D91" s="361">
        <v>87</v>
      </c>
      <c r="E91" s="361">
        <v>20</v>
      </c>
      <c r="F91" s="361" t="s">
        <v>2374</v>
      </c>
      <c r="G91" s="362">
        <v>5727938</v>
      </c>
      <c r="H91" s="362">
        <v>5800037.0000000009</v>
      </c>
      <c r="I91" s="362">
        <v>5864738.9999999991</v>
      </c>
      <c r="J91" s="362">
        <v>5928334</v>
      </c>
      <c r="K91" s="362">
        <v>5999617</v>
      </c>
      <c r="L91" s="362">
        <v>6084227</v>
      </c>
      <c r="M91" s="362">
        <v>6185585</v>
      </c>
      <c r="N91" s="362">
        <v>6299921</v>
      </c>
      <c r="O91" s="362">
        <v>6416992.0000000009</v>
      </c>
      <c r="P91" s="362">
        <v>6522466.0000000009</v>
      </c>
      <c r="Q91" s="362">
        <v>6606327</v>
      </c>
      <c r="R91" s="362">
        <v>6664772</v>
      </c>
      <c r="S91" s="362">
        <v>6701775</v>
      </c>
      <c r="T91" s="362">
        <v>6724677</v>
      </c>
      <c r="U91" s="362">
        <v>6744566</v>
      </c>
      <c r="V91" s="362">
        <v>6769574</v>
      </c>
      <c r="W91" s="362">
        <v>6802080</v>
      </c>
      <c r="X91" s="362">
        <v>6840015</v>
      </c>
      <c r="Y91" s="362">
        <v>6881863</v>
      </c>
      <c r="Z91" s="362">
        <v>6924641.9999999991</v>
      </c>
      <c r="AA91" s="362">
        <v>6966331</v>
      </c>
      <c r="AB91" s="362">
        <v>7006590</v>
      </c>
      <c r="AC91" s="362">
        <v>7046848</v>
      </c>
      <c r="AD91" s="362">
        <v>7088778.0000000009</v>
      </c>
      <c r="AE91" s="362">
        <v>7134670</v>
      </c>
      <c r="AF91" s="362">
        <v>7185996</v>
      </c>
      <c r="AG91" s="362">
        <v>7243542.0000000009</v>
      </c>
      <c r="AH91" s="362">
        <v>7306322</v>
      </c>
      <c r="AI91" s="362">
        <v>7371729.9999999991</v>
      </c>
      <c r="AJ91" s="362">
        <v>7436154</v>
      </c>
      <c r="AK91" s="362">
        <v>7496981</v>
      </c>
      <c r="AL91" s="363">
        <v>7552810</v>
      </c>
      <c r="AM91" s="362">
        <v>7604299</v>
      </c>
      <c r="AN91" s="362">
        <v>7653426</v>
      </c>
      <c r="AO91" s="362">
        <v>7703192</v>
      </c>
      <c r="AP91" s="362">
        <v>7755531</v>
      </c>
      <c r="AQ91" s="362">
        <v>7811210</v>
      </c>
      <c r="AR91" s="362">
        <v>7868726</v>
      </c>
      <c r="AS91" s="362">
        <v>7925073</v>
      </c>
      <c r="AT91" s="362">
        <v>7976055</v>
      </c>
      <c r="AU91" s="362">
        <v>8018670</v>
      </c>
      <c r="AV91" s="362" t="s">
        <v>225</v>
      </c>
      <c r="AW91" s="362">
        <v>8.1799005238460953E-3</v>
      </c>
      <c r="AX91" s="362">
        <v>7.4468642777671956E-3</v>
      </c>
    </row>
    <row r="92" spans="1:50" x14ac:dyDescent="0.25">
      <c r="A92" s="361" t="s">
        <v>227</v>
      </c>
      <c r="B92" s="361">
        <v>348</v>
      </c>
      <c r="C92" s="361" t="s">
        <v>226</v>
      </c>
      <c r="D92" s="361">
        <v>88</v>
      </c>
      <c r="E92" s="361">
        <v>12</v>
      </c>
      <c r="F92" s="361" t="s">
        <v>2374</v>
      </c>
      <c r="G92" s="362">
        <v>10377137.000000002</v>
      </c>
      <c r="H92" s="362">
        <v>10363049</v>
      </c>
      <c r="I92" s="362">
        <v>10358619</v>
      </c>
      <c r="J92" s="362">
        <v>10359066</v>
      </c>
      <c r="K92" s="362">
        <v>10357591.000000002</v>
      </c>
      <c r="L92" s="362">
        <v>10349302</v>
      </c>
      <c r="M92" s="362">
        <v>10332453</v>
      </c>
      <c r="N92" s="362">
        <v>10308480</v>
      </c>
      <c r="O92" s="362">
        <v>10279602</v>
      </c>
      <c r="P92" s="362">
        <v>10249416</v>
      </c>
      <c r="Q92" s="362">
        <v>10220507</v>
      </c>
      <c r="R92" s="362">
        <v>10193449.000000002</v>
      </c>
      <c r="S92" s="362">
        <v>10167283</v>
      </c>
      <c r="T92" s="362">
        <v>10141342</v>
      </c>
      <c r="U92" s="362">
        <v>10114480</v>
      </c>
      <c r="V92" s="362">
        <v>10085937</v>
      </c>
      <c r="W92" s="362">
        <v>10055653</v>
      </c>
      <c r="X92" s="362">
        <v>10024149</v>
      </c>
      <c r="Y92" s="362">
        <v>9991867.0000000019</v>
      </c>
      <c r="Z92" s="362">
        <v>9959439</v>
      </c>
      <c r="AA92" s="362">
        <v>9927370.0000000019</v>
      </c>
      <c r="AB92" s="362">
        <v>9895680</v>
      </c>
      <c r="AC92" s="362">
        <v>9864358</v>
      </c>
      <c r="AD92" s="362">
        <v>9833923</v>
      </c>
      <c r="AE92" s="362">
        <v>9804991</v>
      </c>
      <c r="AF92" s="362">
        <v>9777923.0000000019</v>
      </c>
      <c r="AG92" s="362">
        <v>9752975.0000000019</v>
      </c>
      <c r="AH92" s="362">
        <v>9729823</v>
      </c>
      <c r="AI92" s="362">
        <v>9707499</v>
      </c>
      <c r="AJ92" s="362">
        <v>9684679</v>
      </c>
      <c r="AK92" s="362">
        <v>9660351</v>
      </c>
      <c r="AL92" s="363">
        <v>9634164</v>
      </c>
      <c r="AM92" s="362">
        <v>9606259</v>
      </c>
      <c r="AN92" s="362">
        <v>9576767</v>
      </c>
      <c r="AO92" s="362">
        <v>9546050</v>
      </c>
      <c r="AP92" s="362">
        <v>9514334</v>
      </c>
      <c r="AQ92" s="362">
        <v>9481619</v>
      </c>
      <c r="AR92" s="362">
        <v>9447729</v>
      </c>
      <c r="AS92" s="362">
        <v>9412623</v>
      </c>
      <c r="AT92" s="362">
        <v>9376204</v>
      </c>
      <c r="AU92" s="362">
        <v>9338446</v>
      </c>
      <c r="AV92" s="362" t="s">
        <v>227</v>
      </c>
      <c r="AW92" s="362">
        <v>-2.5120089163512827E-3</v>
      </c>
      <c r="AX92" s="362">
        <v>-2.7107710682562347E-3</v>
      </c>
    </row>
    <row r="93" spans="1:50" x14ac:dyDescent="0.25">
      <c r="A93" s="361" t="s">
        <v>229</v>
      </c>
      <c r="B93" s="361">
        <v>352</v>
      </c>
      <c r="C93" s="361" t="s">
        <v>228</v>
      </c>
      <c r="D93" s="361">
        <v>89</v>
      </c>
      <c r="E93" s="361">
        <v>11</v>
      </c>
      <c r="F93" s="361" t="s">
        <v>2374</v>
      </c>
      <c r="G93" s="362">
        <v>255043.00000000003</v>
      </c>
      <c r="H93" s="362">
        <v>257624.00000000003</v>
      </c>
      <c r="I93" s="362">
        <v>260151.00000000003</v>
      </c>
      <c r="J93" s="362">
        <v>262656</v>
      </c>
      <c r="K93" s="362">
        <v>265138</v>
      </c>
      <c r="L93" s="362">
        <v>267629</v>
      </c>
      <c r="M93" s="362">
        <v>270150</v>
      </c>
      <c r="N93" s="362">
        <v>272709</v>
      </c>
      <c r="O93" s="362">
        <v>275296</v>
      </c>
      <c r="P93" s="362">
        <v>277870</v>
      </c>
      <c r="Q93" s="362">
        <v>280435</v>
      </c>
      <c r="R93" s="362">
        <v>282906.99999999994</v>
      </c>
      <c r="S93" s="362">
        <v>285329</v>
      </c>
      <c r="T93" s="362">
        <v>287952</v>
      </c>
      <c r="U93" s="362">
        <v>291104</v>
      </c>
      <c r="V93" s="362">
        <v>294979</v>
      </c>
      <c r="W93" s="362">
        <v>299720.00000000006</v>
      </c>
      <c r="X93" s="362">
        <v>305183</v>
      </c>
      <c r="Y93" s="362">
        <v>310856</v>
      </c>
      <c r="Z93" s="362">
        <v>316062</v>
      </c>
      <c r="AA93" s="362">
        <v>320328</v>
      </c>
      <c r="AB93" s="362">
        <v>323474</v>
      </c>
      <c r="AC93" s="362">
        <v>325652</v>
      </c>
      <c r="AD93" s="362">
        <v>327187</v>
      </c>
      <c r="AE93" s="362">
        <v>328594</v>
      </c>
      <c r="AF93" s="362">
        <v>330243</v>
      </c>
      <c r="AG93" s="362">
        <v>332206</v>
      </c>
      <c r="AH93" s="362">
        <v>334393</v>
      </c>
      <c r="AI93" s="362">
        <v>336713.00000000006</v>
      </c>
      <c r="AJ93" s="362">
        <v>339031</v>
      </c>
      <c r="AK93" s="362">
        <v>341243</v>
      </c>
      <c r="AL93" s="363">
        <v>343353</v>
      </c>
      <c r="AM93" s="362">
        <v>345393</v>
      </c>
      <c r="AN93" s="362">
        <v>347380</v>
      </c>
      <c r="AO93" s="362">
        <v>349308</v>
      </c>
      <c r="AP93" s="362">
        <v>351184</v>
      </c>
      <c r="AQ93" s="362">
        <v>353014</v>
      </c>
      <c r="AR93" s="362">
        <v>354784</v>
      </c>
      <c r="AS93" s="362">
        <v>356487</v>
      </c>
      <c r="AT93" s="362">
        <v>358127</v>
      </c>
      <c r="AU93" s="362">
        <v>359711</v>
      </c>
      <c r="AV93" s="362" t="s">
        <v>229</v>
      </c>
      <c r="AW93" s="362">
        <v>6.5244771127124235E-3</v>
      </c>
      <c r="AX93" s="362">
        <v>6.1832770196019737E-3</v>
      </c>
    </row>
    <row r="94" spans="1:50" x14ac:dyDescent="0.25">
      <c r="A94" s="369" t="s">
        <v>231</v>
      </c>
      <c r="B94" s="361">
        <v>356</v>
      </c>
      <c r="C94" s="361" t="s">
        <v>230</v>
      </c>
      <c r="D94" s="361">
        <v>90</v>
      </c>
      <c r="E94" s="361">
        <v>18</v>
      </c>
      <c r="F94" s="361" t="s">
        <v>2374</v>
      </c>
      <c r="G94" s="362">
        <v>873277798</v>
      </c>
      <c r="H94" s="362">
        <v>891273209.00000012</v>
      </c>
      <c r="I94" s="362">
        <v>909307016</v>
      </c>
      <c r="J94" s="362">
        <v>927403860</v>
      </c>
      <c r="K94" s="362">
        <v>945601831.00000012</v>
      </c>
      <c r="L94" s="362">
        <v>963922588</v>
      </c>
      <c r="M94" s="362">
        <v>982365243</v>
      </c>
      <c r="N94" s="362">
        <v>1000900030</v>
      </c>
      <c r="O94" s="362">
        <v>1019483581</v>
      </c>
      <c r="P94" s="362">
        <v>1038058156</v>
      </c>
      <c r="Q94" s="362">
        <v>1056575549.0000001</v>
      </c>
      <c r="R94" s="362">
        <v>1075000085</v>
      </c>
      <c r="S94" s="362">
        <v>1093317189</v>
      </c>
      <c r="T94" s="362">
        <v>1111523144</v>
      </c>
      <c r="U94" s="362">
        <v>1129623456</v>
      </c>
      <c r="V94" s="362">
        <v>1147609927</v>
      </c>
      <c r="W94" s="362">
        <v>1165486291</v>
      </c>
      <c r="X94" s="362">
        <v>1183209472</v>
      </c>
      <c r="Y94" s="362">
        <v>1200669764.9999998</v>
      </c>
      <c r="Z94" s="362">
        <v>1217726215.0000002</v>
      </c>
      <c r="AA94" s="362">
        <v>1234281170</v>
      </c>
      <c r="AB94" s="362">
        <v>1250287943</v>
      </c>
      <c r="AC94" s="362">
        <v>1265780247</v>
      </c>
      <c r="AD94" s="362">
        <v>1280842125</v>
      </c>
      <c r="AE94" s="362">
        <v>1295600772</v>
      </c>
      <c r="AF94" s="362">
        <v>1310152402.9999998</v>
      </c>
      <c r="AG94" s="362">
        <v>1324517249</v>
      </c>
      <c r="AH94" s="362">
        <v>1338676785</v>
      </c>
      <c r="AI94" s="362">
        <v>1352642280</v>
      </c>
      <c r="AJ94" s="362">
        <v>1366417754</v>
      </c>
      <c r="AK94" s="362">
        <v>1380004385</v>
      </c>
      <c r="AL94" s="363">
        <v>1393409038</v>
      </c>
      <c r="AM94" s="362">
        <v>1406631776</v>
      </c>
      <c r="AN94" s="362">
        <v>1419655806</v>
      </c>
      <c r="AO94" s="362">
        <v>1432456478</v>
      </c>
      <c r="AP94" s="362">
        <v>1445011620</v>
      </c>
      <c r="AQ94" s="362">
        <v>1457308855</v>
      </c>
      <c r="AR94" s="362">
        <v>1469338565</v>
      </c>
      <c r="AS94" s="362">
        <v>1481083338</v>
      </c>
      <c r="AT94" s="362">
        <v>1492524282</v>
      </c>
      <c r="AU94" s="362">
        <v>1503642322</v>
      </c>
      <c r="AV94" s="362" t="s">
        <v>231</v>
      </c>
      <c r="AW94" s="362">
        <v>9.9432482930106314E-3</v>
      </c>
      <c r="AX94" s="362">
        <v>9.7134858017136061E-3</v>
      </c>
    </row>
    <row r="95" spans="1:50" x14ac:dyDescent="0.25">
      <c r="A95" s="369" t="s">
        <v>233</v>
      </c>
      <c r="B95" s="361">
        <v>360</v>
      </c>
      <c r="C95" s="361" t="s">
        <v>232</v>
      </c>
      <c r="D95" s="361">
        <v>91</v>
      </c>
      <c r="E95" s="361">
        <v>22</v>
      </c>
      <c r="F95" s="361" t="s">
        <v>2374</v>
      </c>
      <c r="G95" s="362">
        <v>181413402</v>
      </c>
      <c r="H95" s="362">
        <v>184591903</v>
      </c>
      <c r="I95" s="362">
        <v>187739785.99999997</v>
      </c>
      <c r="J95" s="362">
        <v>190851174.99999997</v>
      </c>
      <c r="K95" s="362">
        <v>193917462</v>
      </c>
      <c r="L95" s="362">
        <v>196934260.00000003</v>
      </c>
      <c r="M95" s="362">
        <v>199901228</v>
      </c>
      <c r="N95" s="362">
        <v>202826446</v>
      </c>
      <c r="O95" s="362">
        <v>205724592</v>
      </c>
      <c r="P95" s="362">
        <v>208615168.99999997</v>
      </c>
      <c r="Q95" s="362">
        <v>211513823</v>
      </c>
      <c r="R95" s="362">
        <v>214427417</v>
      </c>
      <c r="S95" s="362">
        <v>217357793.00000003</v>
      </c>
      <c r="T95" s="362">
        <v>220309469</v>
      </c>
      <c r="U95" s="362">
        <v>223285676</v>
      </c>
      <c r="V95" s="362">
        <v>226289470</v>
      </c>
      <c r="W95" s="362">
        <v>229318261.99999997</v>
      </c>
      <c r="X95" s="362">
        <v>232374245</v>
      </c>
      <c r="Y95" s="362">
        <v>235469761.99999997</v>
      </c>
      <c r="Z95" s="362">
        <v>238620563</v>
      </c>
      <c r="AA95" s="362">
        <v>241834215</v>
      </c>
      <c r="AB95" s="362">
        <v>245115987</v>
      </c>
      <c r="AC95" s="362">
        <v>248451722.00000003</v>
      </c>
      <c r="AD95" s="362">
        <v>251805307</v>
      </c>
      <c r="AE95" s="362">
        <v>255128076</v>
      </c>
      <c r="AF95" s="362">
        <v>258383256.00000003</v>
      </c>
      <c r="AG95" s="362">
        <v>261556381</v>
      </c>
      <c r="AH95" s="362">
        <v>264650963</v>
      </c>
      <c r="AI95" s="362">
        <v>267670543</v>
      </c>
      <c r="AJ95" s="362">
        <v>270625568.00000006</v>
      </c>
      <c r="AK95" s="362">
        <v>273523615</v>
      </c>
      <c r="AL95" s="363">
        <v>276361783</v>
      </c>
      <c r="AM95" s="362">
        <v>279134505</v>
      </c>
      <c r="AN95" s="362">
        <v>281844346</v>
      </c>
      <c r="AO95" s="362">
        <v>284495163</v>
      </c>
      <c r="AP95" s="362">
        <v>287089635</v>
      </c>
      <c r="AQ95" s="362">
        <v>289628153</v>
      </c>
      <c r="AR95" s="362">
        <v>292109442</v>
      </c>
      <c r="AS95" s="362">
        <v>294532560</v>
      </c>
      <c r="AT95" s="362">
        <v>296896010</v>
      </c>
      <c r="AU95" s="362">
        <v>299198430</v>
      </c>
      <c r="AV95" s="362" t="s">
        <v>233</v>
      </c>
      <c r="AW95" s="362">
        <v>1.0708696230800951E-2</v>
      </c>
      <c r="AX95" s="362">
        <v>1.0376317964355675E-2</v>
      </c>
    </row>
    <row r="96" spans="1:50" x14ac:dyDescent="0.25">
      <c r="A96" s="361" t="s">
        <v>235</v>
      </c>
      <c r="B96" s="361">
        <v>364</v>
      </c>
      <c r="C96" s="361" t="s">
        <v>234</v>
      </c>
      <c r="D96" s="361">
        <v>92</v>
      </c>
      <c r="E96" s="361">
        <v>17</v>
      </c>
      <c r="F96" s="361" t="s">
        <v>2374</v>
      </c>
      <c r="G96" s="362">
        <v>56366217</v>
      </c>
      <c r="H96" s="362">
        <v>57679034</v>
      </c>
      <c r="I96" s="362">
        <v>58780370.000000007</v>
      </c>
      <c r="J96" s="362">
        <v>59723764</v>
      </c>
      <c r="K96" s="362">
        <v>60590614</v>
      </c>
      <c r="L96" s="362">
        <v>61442663.999999993</v>
      </c>
      <c r="M96" s="362">
        <v>62294920</v>
      </c>
      <c r="N96" s="362">
        <v>63136312</v>
      </c>
      <c r="O96" s="362">
        <v>63971836</v>
      </c>
      <c r="P96" s="362">
        <v>64800879.999999993</v>
      </c>
      <c r="Q96" s="362">
        <v>65623405.000000007</v>
      </c>
      <c r="R96" s="362">
        <v>66449112</v>
      </c>
      <c r="S96" s="362">
        <v>67284796</v>
      </c>
      <c r="T96" s="362">
        <v>68122937.999999985</v>
      </c>
      <c r="U96" s="362">
        <v>68951281.000000015</v>
      </c>
      <c r="V96" s="362">
        <v>69762346.999999985</v>
      </c>
      <c r="W96" s="362">
        <v>70554760</v>
      </c>
      <c r="X96" s="362">
        <v>71336475</v>
      </c>
      <c r="Y96" s="362">
        <v>72120604</v>
      </c>
      <c r="Z96" s="362">
        <v>72924837</v>
      </c>
      <c r="AA96" s="362">
        <v>73762519</v>
      </c>
      <c r="AB96" s="362">
        <v>74634957</v>
      </c>
      <c r="AC96" s="362">
        <v>75539878</v>
      </c>
      <c r="AD96" s="362">
        <v>76481961</v>
      </c>
      <c r="AE96" s="362">
        <v>77465770</v>
      </c>
      <c r="AF96" s="362">
        <v>78492215</v>
      </c>
      <c r="AG96" s="362">
        <v>79563989</v>
      </c>
      <c r="AH96" s="362">
        <v>80673883</v>
      </c>
      <c r="AI96" s="362">
        <v>81800187.999999985</v>
      </c>
      <c r="AJ96" s="362">
        <v>82913906</v>
      </c>
      <c r="AK96" s="362">
        <v>83992949</v>
      </c>
      <c r="AL96" s="363">
        <v>85028759</v>
      </c>
      <c r="AM96" s="362">
        <v>86022837</v>
      </c>
      <c r="AN96" s="362">
        <v>86975807</v>
      </c>
      <c r="AO96" s="362">
        <v>87892017</v>
      </c>
      <c r="AP96" s="362">
        <v>88774776</v>
      </c>
      <c r="AQ96" s="362">
        <v>89622541</v>
      </c>
      <c r="AR96" s="362">
        <v>90432904</v>
      </c>
      <c r="AS96" s="362">
        <v>91207892</v>
      </c>
      <c r="AT96" s="362">
        <v>91950575</v>
      </c>
      <c r="AU96" s="362">
        <v>92663708</v>
      </c>
      <c r="AV96" s="362" t="s">
        <v>235</v>
      </c>
      <c r="AW96" s="362">
        <v>1.3014017214434404E-2</v>
      </c>
      <c r="AX96" s="362">
        <v>1.2332106591471215E-2</v>
      </c>
    </row>
    <row r="97" spans="1:50" x14ac:dyDescent="0.25">
      <c r="A97" s="361" t="s">
        <v>237</v>
      </c>
      <c r="B97" s="361">
        <v>368</v>
      </c>
      <c r="C97" s="361" t="s">
        <v>236</v>
      </c>
      <c r="D97" s="361">
        <v>93</v>
      </c>
      <c r="E97" s="361">
        <v>17</v>
      </c>
      <c r="F97" s="361" t="s">
        <v>2374</v>
      </c>
      <c r="G97" s="362">
        <v>17419113.000000004</v>
      </c>
      <c r="H97" s="362">
        <v>17889459</v>
      </c>
      <c r="I97" s="362">
        <v>18402734</v>
      </c>
      <c r="J97" s="362">
        <v>18955085</v>
      </c>
      <c r="K97" s="362">
        <v>19539340</v>
      </c>
      <c r="L97" s="362">
        <v>20149338</v>
      </c>
      <c r="M97" s="362">
        <v>20783073</v>
      </c>
      <c r="N97" s="362">
        <v>21439574</v>
      </c>
      <c r="O97" s="362">
        <v>22114324</v>
      </c>
      <c r="P97" s="362">
        <v>22802063.999999996</v>
      </c>
      <c r="Q97" s="362">
        <v>23497585</v>
      </c>
      <c r="R97" s="362">
        <v>24208180</v>
      </c>
      <c r="S97" s="362">
        <v>24931919</v>
      </c>
      <c r="T97" s="362">
        <v>25644499</v>
      </c>
      <c r="U97" s="362">
        <v>26313838</v>
      </c>
      <c r="V97" s="362">
        <v>26922284</v>
      </c>
      <c r="W97" s="362">
        <v>27448124</v>
      </c>
      <c r="X97" s="362">
        <v>27911248</v>
      </c>
      <c r="Y97" s="362">
        <v>28385745.999999996</v>
      </c>
      <c r="Z97" s="362">
        <v>28973162</v>
      </c>
      <c r="AA97" s="362">
        <v>29741975.999999996</v>
      </c>
      <c r="AB97" s="362">
        <v>30725300</v>
      </c>
      <c r="AC97" s="362">
        <v>31890010.999999996</v>
      </c>
      <c r="AD97" s="362">
        <v>33157050.000000004</v>
      </c>
      <c r="AE97" s="362">
        <v>34411951</v>
      </c>
      <c r="AF97" s="362">
        <v>35572261</v>
      </c>
      <c r="AG97" s="362">
        <v>36610631.999999993</v>
      </c>
      <c r="AH97" s="362">
        <v>37552781</v>
      </c>
      <c r="AI97" s="362">
        <v>38433600</v>
      </c>
      <c r="AJ97" s="362">
        <v>39309783</v>
      </c>
      <c r="AK97" s="362">
        <v>40222493</v>
      </c>
      <c r="AL97" s="363">
        <v>41179350</v>
      </c>
      <c r="AM97" s="362">
        <v>42164965</v>
      </c>
      <c r="AN97" s="362">
        <v>43170801</v>
      </c>
      <c r="AO97" s="362">
        <v>44181832</v>
      </c>
      <c r="AP97" s="362">
        <v>45187256</v>
      </c>
      <c r="AQ97" s="362">
        <v>46185956</v>
      </c>
      <c r="AR97" s="362">
        <v>47183017</v>
      </c>
      <c r="AS97" s="362">
        <v>48180891</v>
      </c>
      <c r="AT97" s="362">
        <v>49183531</v>
      </c>
      <c r="AU97" s="362">
        <v>50193756</v>
      </c>
      <c r="AV97" s="362" t="s">
        <v>237</v>
      </c>
      <c r="AW97" s="362">
        <v>2.3218393243229052E-2</v>
      </c>
      <c r="AX97" s="362">
        <v>2.3789102281651209E-2</v>
      </c>
    </row>
    <row r="98" spans="1:50" x14ac:dyDescent="0.25">
      <c r="A98" s="361" t="s">
        <v>239</v>
      </c>
      <c r="B98" s="361">
        <v>372</v>
      </c>
      <c r="C98" s="361" t="s">
        <v>238</v>
      </c>
      <c r="D98" s="361">
        <v>94</v>
      </c>
      <c r="E98" s="361">
        <v>11</v>
      </c>
      <c r="F98" s="361" t="s">
        <v>2374</v>
      </c>
      <c r="G98" s="362">
        <v>3510885</v>
      </c>
      <c r="H98" s="362">
        <v>3517710</v>
      </c>
      <c r="I98" s="362">
        <v>3529853</v>
      </c>
      <c r="J98" s="362">
        <v>3546931</v>
      </c>
      <c r="K98" s="362">
        <v>3567911.9999999995</v>
      </c>
      <c r="L98" s="362">
        <v>3592186.0000000005</v>
      </c>
      <c r="M98" s="362">
        <v>3619641</v>
      </c>
      <c r="N98" s="362">
        <v>3651096</v>
      </c>
      <c r="O98" s="362">
        <v>3687819</v>
      </c>
      <c r="P98" s="362">
        <v>3731468</v>
      </c>
      <c r="Q98" s="362">
        <v>3783103</v>
      </c>
      <c r="R98" s="362">
        <v>3842244.9999999995</v>
      </c>
      <c r="S98" s="362">
        <v>3907998</v>
      </c>
      <c r="T98" s="362">
        <v>3980076</v>
      </c>
      <c r="U98" s="362">
        <v>4058130.0000000005</v>
      </c>
      <c r="V98" s="362">
        <v>4141223</v>
      </c>
      <c r="W98" s="362">
        <v>4230623</v>
      </c>
      <c r="X98" s="362">
        <v>4324641</v>
      </c>
      <c r="Y98" s="362">
        <v>4415872</v>
      </c>
      <c r="Z98" s="362">
        <v>4494576</v>
      </c>
      <c r="AA98" s="362">
        <v>4554321</v>
      </c>
      <c r="AB98" s="362">
        <v>4591105</v>
      </c>
      <c r="AC98" s="362">
        <v>4608198.0000000009</v>
      </c>
      <c r="AD98" s="362">
        <v>4615422</v>
      </c>
      <c r="AE98" s="362">
        <v>4626844</v>
      </c>
      <c r="AF98" s="362">
        <v>4652425</v>
      </c>
      <c r="AG98" s="362">
        <v>4695779.0000000009</v>
      </c>
      <c r="AH98" s="362">
        <v>4753279</v>
      </c>
      <c r="AI98" s="362">
        <v>4818689.9999999991</v>
      </c>
      <c r="AJ98" s="362">
        <v>4882495</v>
      </c>
      <c r="AK98" s="362">
        <v>4937786</v>
      </c>
      <c r="AL98" s="363">
        <v>4982907</v>
      </c>
      <c r="AM98" s="362">
        <v>5020199</v>
      </c>
      <c r="AN98" s="362">
        <v>5051620</v>
      </c>
      <c r="AO98" s="362">
        <v>5080499</v>
      </c>
      <c r="AP98" s="362">
        <v>5109284</v>
      </c>
      <c r="AQ98" s="362">
        <v>5138310</v>
      </c>
      <c r="AR98" s="362">
        <v>5166749</v>
      </c>
      <c r="AS98" s="362">
        <v>5194622</v>
      </c>
      <c r="AT98" s="362">
        <v>5221748</v>
      </c>
      <c r="AU98" s="362">
        <v>5248041</v>
      </c>
      <c r="AV98" s="362" t="s">
        <v>239</v>
      </c>
      <c r="AW98" s="362">
        <v>1.1324333153438948E-2</v>
      </c>
      <c r="AX98" s="362">
        <v>9.1379010755021639E-3</v>
      </c>
    </row>
    <row r="99" spans="1:50" x14ac:dyDescent="0.25">
      <c r="A99" s="361" t="s">
        <v>241</v>
      </c>
      <c r="B99" s="361">
        <v>376</v>
      </c>
      <c r="C99" s="361" t="s">
        <v>240</v>
      </c>
      <c r="D99" s="361">
        <v>95</v>
      </c>
      <c r="E99" s="361">
        <v>17</v>
      </c>
      <c r="F99" s="361" t="s">
        <v>2374</v>
      </c>
      <c r="G99" s="362">
        <v>4448353</v>
      </c>
      <c r="H99" s="362">
        <v>4589302</v>
      </c>
      <c r="I99" s="362">
        <v>4752823.9999999991</v>
      </c>
      <c r="J99" s="362">
        <v>4929415</v>
      </c>
      <c r="K99" s="362">
        <v>5105577</v>
      </c>
      <c r="L99" s="362">
        <v>5271367.0000000009</v>
      </c>
      <c r="M99" s="362">
        <v>5424249</v>
      </c>
      <c r="N99" s="362">
        <v>5566553</v>
      </c>
      <c r="O99" s="362">
        <v>5699273</v>
      </c>
      <c r="P99" s="362">
        <v>5824941</v>
      </c>
      <c r="Q99" s="362">
        <v>5945950</v>
      </c>
      <c r="R99" s="362">
        <v>6060676</v>
      </c>
      <c r="S99" s="362">
        <v>6169313</v>
      </c>
      <c r="T99" s="362">
        <v>6278373.9999999991</v>
      </c>
      <c r="U99" s="362">
        <v>6396514</v>
      </c>
      <c r="V99" s="362">
        <v>6529479</v>
      </c>
      <c r="W99" s="362">
        <v>6680637</v>
      </c>
      <c r="X99" s="362">
        <v>6847141</v>
      </c>
      <c r="Y99" s="362">
        <v>7020836</v>
      </c>
      <c r="Z99" s="362">
        <v>7190034</v>
      </c>
      <c r="AA99" s="362">
        <v>7346446</v>
      </c>
      <c r="AB99" s="362">
        <v>7487100.0000000009</v>
      </c>
      <c r="AC99" s="362">
        <v>7614952.0000000009</v>
      </c>
      <c r="AD99" s="362">
        <v>7734841</v>
      </c>
      <c r="AE99" s="362">
        <v>7854213</v>
      </c>
      <c r="AF99" s="362">
        <v>7978490</v>
      </c>
      <c r="AG99" s="362">
        <v>8108985.0000000009</v>
      </c>
      <c r="AH99" s="362">
        <v>8243848</v>
      </c>
      <c r="AI99" s="362">
        <v>8381515.9999999991</v>
      </c>
      <c r="AJ99" s="362">
        <v>8519377</v>
      </c>
      <c r="AK99" s="362">
        <v>8655535</v>
      </c>
      <c r="AL99" s="363">
        <v>8789774</v>
      </c>
      <c r="AM99" s="362">
        <v>8922892</v>
      </c>
      <c r="AN99" s="362">
        <v>9055148</v>
      </c>
      <c r="AO99" s="362">
        <v>9187042</v>
      </c>
      <c r="AP99" s="362">
        <v>9318966</v>
      </c>
      <c r="AQ99" s="362">
        <v>9450931</v>
      </c>
      <c r="AR99" s="362">
        <v>9582849</v>
      </c>
      <c r="AS99" s="362">
        <v>9714854</v>
      </c>
      <c r="AT99" s="362">
        <v>9847096</v>
      </c>
      <c r="AU99" s="362">
        <v>9979698</v>
      </c>
      <c r="AV99" s="362" t="s">
        <v>241</v>
      </c>
      <c r="AW99" s="362">
        <v>1.5982154563649376E-2</v>
      </c>
      <c r="AX99" s="362">
        <v>1.5509035547773831E-2</v>
      </c>
    </row>
    <row r="100" spans="1:50" x14ac:dyDescent="0.25">
      <c r="A100" s="361" t="s">
        <v>243</v>
      </c>
      <c r="B100" s="361">
        <v>380</v>
      </c>
      <c r="C100" s="361" t="s">
        <v>242</v>
      </c>
      <c r="D100" s="361">
        <v>96</v>
      </c>
      <c r="E100" s="361">
        <v>11</v>
      </c>
      <c r="F100" s="361" t="s">
        <v>2374</v>
      </c>
      <c r="G100" s="362">
        <v>57048235.999999993</v>
      </c>
      <c r="H100" s="362">
        <v>57088113</v>
      </c>
      <c r="I100" s="362">
        <v>57145306</v>
      </c>
      <c r="J100" s="362">
        <v>57197613</v>
      </c>
      <c r="K100" s="362">
        <v>57213544</v>
      </c>
      <c r="L100" s="362">
        <v>57174408</v>
      </c>
      <c r="M100" s="362">
        <v>57065225</v>
      </c>
      <c r="N100" s="362">
        <v>56903640</v>
      </c>
      <c r="O100" s="362">
        <v>56742760.000000007</v>
      </c>
      <c r="P100" s="362">
        <v>56655632</v>
      </c>
      <c r="Q100" s="362">
        <v>56692178</v>
      </c>
      <c r="R100" s="362">
        <v>56875147</v>
      </c>
      <c r="S100" s="362">
        <v>57182519</v>
      </c>
      <c r="T100" s="362">
        <v>57564588</v>
      </c>
      <c r="U100" s="362">
        <v>57948423.999999993</v>
      </c>
      <c r="V100" s="362">
        <v>58281212</v>
      </c>
      <c r="W100" s="362">
        <v>58542619</v>
      </c>
      <c r="X100" s="362">
        <v>58747861</v>
      </c>
      <c r="Y100" s="362">
        <v>58922109</v>
      </c>
      <c r="Z100" s="362">
        <v>59105625</v>
      </c>
      <c r="AA100" s="362">
        <v>59325229</v>
      </c>
      <c r="AB100" s="362">
        <v>59589076</v>
      </c>
      <c r="AC100" s="362">
        <v>59879470.999999993</v>
      </c>
      <c r="AD100" s="362">
        <v>60166830.000000007</v>
      </c>
      <c r="AE100" s="362">
        <v>60409620.000000007</v>
      </c>
      <c r="AF100" s="362">
        <v>60578494</v>
      </c>
      <c r="AG100" s="362">
        <v>60663059.999999993</v>
      </c>
      <c r="AH100" s="362">
        <v>60673701</v>
      </c>
      <c r="AI100" s="362">
        <v>60627291</v>
      </c>
      <c r="AJ100" s="362">
        <v>60550075</v>
      </c>
      <c r="AK100" s="362">
        <v>60461826</v>
      </c>
      <c r="AL100" s="363">
        <v>60367477</v>
      </c>
      <c r="AM100" s="362">
        <v>60262770</v>
      </c>
      <c r="AN100" s="362">
        <v>60147510</v>
      </c>
      <c r="AO100" s="362">
        <v>60019211</v>
      </c>
      <c r="AP100" s="362">
        <v>59876551</v>
      </c>
      <c r="AQ100" s="362">
        <v>59720995</v>
      </c>
      <c r="AR100" s="362">
        <v>59555929</v>
      </c>
      <c r="AS100" s="362">
        <v>59384045</v>
      </c>
      <c r="AT100" s="362">
        <v>59208468</v>
      </c>
      <c r="AU100" s="362">
        <v>59031475</v>
      </c>
      <c r="AV100" s="362" t="s">
        <v>243</v>
      </c>
      <c r="AW100" s="362">
        <v>-1.4574548421285582E-3</v>
      </c>
      <c r="AX100" s="362">
        <v>-1.5604722225888157E-3</v>
      </c>
    </row>
    <row r="101" spans="1:50" x14ac:dyDescent="0.25">
      <c r="A101" s="361" t="s">
        <v>245</v>
      </c>
      <c r="B101" s="361">
        <v>388</v>
      </c>
      <c r="C101" s="361" t="s">
        <v>244</v>
      </c>
      <c r="D101" s="361">
        <v>98</v>
      </c>
      <c r="E101" s="361">
        <v>4</v>
      </c>
      <c r="F101" s="361" t="s">
        <v>2374</v>
      </c>
      <c r="G101" s="362">
        <v>2419906</v>
      </c>
      <c r="H101" s="362">
        <v>2439333.9999999995</v>
      </c>
      <c r="I101" s="362">
        <v>2461049</v>
      </c>
      <c r="J101" s="362">
        <v>2484581</v>
      </c>
      <c r="K101" s="362">
        <v>2509043</v>
      </c>
      <c r="L101" s="362">
        <v>2533711</v>
      </c>
      <c r="M101" s="362">
        <v>2558637</v>
      </c>
      <c r="N101" s="362">
        <v>2583916.0000000005</v>
      </c>
      <c r="O101" s="362">
        <v>2608873</v>
      </c>
      <c r="P101" s="362">
        <v>2632675.0000000005</v>
      </c>
      <c r="Q101" s="362">
        <v>2654701</v>
      </c>
      <c r="R101" s="362">
        <v>2674702.0000000005</v>
      </c>
      <c r="S101" s="362">
        <v>2692844.9999999995</v>
      </c>
      <c r="T101" s="362">
        <v>2709437</v>
      </c>
      <c r="U101" s="362">
        <v>2725015</v>
      </c>
      <c r="V101" s="362">
        <v>2740003</v>
      </c>
      <c r="W101" s="362">
        <v>2754407</v>
      </c>
      <c r="X101" s="362">
        <v>2768227</v>
      </c>
      <c r="Y101" s="362">
        <v>2781876</v>
      </c>
      <c r="Z101" s="362">
        <v>2795837</v>
      </c>
      <c r="AA101" s="362">
        <v>2810460</v>
      </c>
      <c r="AB101" s="362">
        <v>2825929</v>
      </c>
      <c r="AC101" s="362">
        <v>2842132</v>
      </c>
      <c r="AD101" s="362">
        <v>2858712</v>
      </c>
      <c r="AE101" s="362">
        <v>2875139.0000000005</v>
      </c>
      <c r="AF101" s="362">
        <v>2891021.0000000005</v>
      </c>
      <c r="AG101" s="362">
        <v>2906236</v>
      </c>
      <c r="AH101" s="362">
        <v>2920848</v>
      </c>
      <c r="AI101" s="362">
        <v>2934847.0000000005</v>
      </c>
      <c r="AJ101" s="362">
        <v>2948279</v>
      </c>
      <c r="AK101" s="362">
        <v>2961167</v>
      </c>
      <c r="AL101" s="363">
        <v>2973463</v>
      </c>
      <c r="AM101" s="362">
        <v>2985094</v>
      </c>
      <c r="AN101" s="362">
        <v>2995997</v>
      </c>
      <c r="AO101" s="362">
        <v>3006096</v>
      </c>
      <c r="AP101" s="362">
        <v>3015321</v>
      </c>
      <c r="AQ101" s="362">
        <v>3023667</v>
      </c>
      <c r="AR101" s="362">
        <v>3031100</v>
      </c>
      <c r="AS101" s="362">
        <v>3037624</v>
      </c>
      <c r="AT101" s="362">
        <v>3043247</v>
      </c>
      <c r="AU101" s="362">
        <v>3047974</v>
      </c>
      <c r="AV101" s="362" t="s">
        <v>245</v>
      </c>
      <c r="AW101" s="362">
        <v>4.3713637684901219E-3</v>
      </c>
      <c r="AX101" s="362">
        <v>4.1524169356204066E-3</v>
      </c>
    </row>
    <row r="102" spans="1:50" x14ac:dyDescent="0.25">
      <c r="A102" s="369" t="s">
        <v>247</v>
      </c>
      <c r="B102" s="361">
        <v>392</v>
      </c>
      <c r="C102" s="361" t="s">
        <v>246</v>
      </c>
      <c r="D102" s="361">
        <v>99</v>
      </c>
      <c r="E102" s="361">
        <v>23</v>
      </c>
      <c r="F102" s="361" t="s">
        <v>2374</v>
      </c>
      <c r="G102" s="362">
        <v>124505240</v>
      </c>
      <c r="H102" s="362">
        <v>124929772</v>
      </c>
      <c r="I102" s="362">
        <v>125331297</v>
      </c>
      <c r="J102" s="362">
        <v>125707411</v>
      </c>
      <c r="K102" s="362">
        <v>126053129</v>
      </c>
      <c r="L102" s="362">
        <v>126365484</v>
      </c>
      <c r="M102" s="362">
        <v>126644094</v>
      </c>
      <c r="N102" s="362">
        <v>126892738</v>
      </c>
      <c r="O102" s="362">
        <v>127117433.99999999</v>
      </c>
      <c r="P102" s="362">
        <v>127326070</v>
      </c>
      <c r="Q102" s="362">
        <v>127524174</v>
      </c>
      <c r="R102" s="362">
        <v>127713827.99999999</v>
      </c>
      <c r="S102" s="362">
        <v>127893077.99999999</v>
      </c>
      <c r="T102" s="362">
        <v>128058371.99999999</v>
      </c>
      <c r="U102" s="362">
        <v>128204195</v>
      </c>
      <c r="V102" s="362">
        <v>128326115.99999999</v>
      </c>
      <c r="W102" s="362">
        <v>128422733.99999999</v>
      </c>
      <c r="X102" s="362">
        <v>128494057</v>
      </c>
      <c r="Y102" s="362">
        <v>128538646</v>
      </c>
      <c r="Z102" s="362">
        <v>128555188.99999999</v>
      </c>
      <c r="AA102" s="362">
        <v>128542352.99999999</v>
      </c>
      <c r="AB102" s="362">
        <v>128498965</v>
      </c>
      <c r="AC102" s="362">
        <v>128423571.00000001</v>
      </c>
      <c r="AD102" s="362">
        <v>128314195.00000001</v>
      </c>
      <c r="AE102" s="362">
        <v>128168638.99999999</v>
      </c>
      <c r="AF102" s="362">
        <v>127985133</v>
      </c>
      <c r="AG102" s="362">
        <v>127763265</v>
      </c>
      <c r="AH102" s="362">
        <v>127502725.00000001</v>
      </c>
      <c r="AI102" s="362">
        <v>127202192</v>
      </c>
      <c r="AJ102" s="362">
        <v>126860301</v>
      </c>
      <c r="AK102" s="362">
        <v>126476461</v>
      </c>
      <c r="AL102" s="363">
        <v>126050804</v>
      </c>
      <c r="AM102" s="362">
        <v>125584838</v>
      </c>
      <c r="AN102" s="362">
        <v>125081319</v>
      </c>
      <c r="AO102" s="362">
        <v>124543914</v>
      </c>
      <c r="AP102" s="362">
        <v>123975982</v>
      </c>
      <c r="AQ102" s="362">
        <v>123379106</v>
      </c>
      <c r="AR102" s="362">
        <v>122754992</v>
      </c>
      <c r="AS102" s="362">
        <v>122107375</v>
      </c>
      <c r="AT102" s="362">
        <v>121440550</v>
      </c>
      <c r="AU102" s="362">
        <v>120758057</v>
      </c>
      <c r="AV102" s="362" t="s">
        <v>247</v>
      </c>
      <c r="AW102" s="362">
        <v>-3.0256904403844764E-3</v>
      </c>
      <c r="AX102" s="362">
        <v>-3.3655037200953641E-3</v>
      </c>
    </row>
    <row r="103" spans="1:50" x14ac:dyDescent="0.25">
      <c r="A103" s="361" t="s">
        <v>249</v>
      </c>
      <c r="B103" s="361">
        <v>400</v>
      </c>
      <c r="C103" s="361" t="s">
        <v>248</v>
      </c>
      <c r="D103" s="361">
        <v>101</v>
      </c>
      <c r="E103" s="361">
        <v>17</v>
      </c>
      <c r="F103" s="361" t="s">
        <v>2374</v>
      </c>
      <c r="G103" s="362">
        <v>3565890</v>
      </c>
      <c r="H103" s="362">
        <v>3760496.0000000005</v>
      </c>
      <c r="I103" s="362">
        <v>3977672</v>
      </c>
      <c r="J103" s="362">
        <v>4201555</v>
      </c>
      <c r="K103" s="362">
        <v>4410359.0000000009</v>
      </c>
      <c r="L103" s="362">
        <v>4588843</v>
      </c>
      <c r="M103" s="362">
        <v>4732854.0000000009</v>
      </c>
      <c r="N103" s="362">
        <v>4848541</v>
      </c>
      <c r="O103" s="362">
        <v>4943975</v>
      </c>
      <c r="P103" s="362">
        <v>5031762</v>
      </c>
      <c r="Q103" s="362">
        <v>5122493</v>
      </c>
      <c r="R103" s="362">
        <v>5217336</v>
      </c>
      <c r="S103" s="362">
        <v>5317506.0000000009</v>
      </c>
      <c r="T103" s="362">
        <v>5434030</v>
      </c>
      <c r="U103" s="362">
        <v>5580244</v>
      </c>
      <c r="V103" s="362">
        <v>5765635.0000000009</v>
      </c>
      <c r="W103" s="362">
        <v>5991540</v>
      </c>
      <c r="X103" s="362">
        <v>6255280</v>
      </c>
      <c r="Y103" s="362">
        <v>6556478</v>
      </c>
      <c r="Z103" s="362">
        <v>6893260.0000000009</v>
      </c>
      <c r="AA103" s="362">
        <v>7261539</v>
      </c>
      <c r="AB103" s="362">
        <v>7662845.9999999991</v>
      </c>
      <c r="AC103" s="362">
        <v>8089962</v>
      </c>
      <c r="AD103" s="362">
        <v>8518983</v>
      </c>
      <c r="AE103" s="362">
        <v>8918828</v>
      </c>
      <c r="AF103" s="362">
        <v>9266575.0000000019</v>
      </c>
      <c r="AG103" s="362">
        <v>9554286</v>
      </c>
      <c r="AH103" s="362">
        <v>9785843.0000000019</v>
      </c>
      <c r="AI103" s="362">
        <v>9965318</v>
      </c>
      <c r="AJ103" s="362">
        <v>10101694</v>
      </c>
      <c r="AK103" s="362">
        <v>10203134</v>
      </c>
      <c r="AL103" s="363">
        <v>10269021</v>
      </c>
      <c r="AM103" s="362">
        <v>10300869</v>
      </c>
      <c r="AN103" s="362">
        <v>10312314</v>
      </c>
      <c r="AO103" s="362">
        <v>10320868</v>
      </c>
      <c r="AP103" s="362">
        <v>10339839</v>
      </c>
      <c r="AQ103" s="362">
        <v>10375029</v>
      </c>
      <c r="AR103" s="362">
        <v>10425958</v>
      </c>
      <c r="AS103" s="362">
        <v>10491790</v>
      </c>
      <c r="AT103" s="362">
        <v>10569087</v>
      </c>
      <c r="AU103" s="362">
        <v>10655181</v>
      </c>
      <c r="AV103" s="362" t="s">
        <v>249</v>
      </c>
      <c r="AW103" s="362">
        <v>1.0041880104465717E-2</v>
      </c>
      <c r="AX103" s="362">
        <v>6.45752569749658E-3</v>
      </c>
    </row>
    <row r="104" spans="1:50" x14ac:dyDescent="0.25">
      <c r="A104" s="361" t="s">
        <v>251</v>
      </c>
      <c r="B104" s="361">
        <v>398</v>
      </c>
      <c r="C104" s="361" t="s">
        <v>250</v>
      </c>
      <c r="D104" s="361">
        <v>100</v>
      </c>
      <c r="E104" s="361">
        <v>15</v>
      </c>
      <c r="F104" s="361" t="s">
        <v>2374</v>
      </c>
      <c r="G104" s="362">
        <v>16383887.000000002</v>
      </c>
      <c r="H104" s="362">
        <v>16373300</v>
      </c>
      <c r="I104" s="362">
        <v>16302806</v>
      </c>
      <c r="J104" s="362">
        <v>16181155</v>
      </c>
      <c r="K104" s="362">
        <v>16022222</v>
      </c>
      <c r="L104" s="362">
        <v>15839362.999999998</v>
      </c>
      <c r="M104" s="362">
        <v>15631927</v>
      </c>
      <c r="N104" s="362">
        <v>15406003</v>
      </c>
      <c r="O104" s="362">
        <v>15190157</v>
      </c>
      <c r="P104" s="362">
        <v>15020571</v>
      </c>
      <c r="Q104" s="362">
        <v>14922718.999999998</v>
      </c>
      <c r="R104" s="362">
        <v>14910205</v>
      </c>
      <c r="S104" s="362">
        <v>14976188</v>
      </c>
      <c r="T104" s="362">
        <v>15100041</v>
      </c>
      <c r="U104" s="362">
        <v>15250015</v>
      </c>
      <c r="V104" s="362">
        <v>15402807.000000002</v>
      </c>
      <c r="W104" s="362">
        <v>15551268</v>
      </c>
      <c r="X104" s="362">
        <v>15702103.999999998</v>
      </c>
      <c r="Y104" s="362">
        <v>15862123</v>
      </c>
      <c r="Z104" s="362">
        <v>16043007</v>
      </c>
      <c r="AA104" s="362">
        <v>16252279.000000002</v>
      </c>
      <c r="AB104" s="362">
        <v>16490669.999999998</v>
      </c>
      <c r="AC104" s="362">
        <v>16751525</v>
      </c>
      <c r="AD104" s="362">
        <v>17026117</v>
      </c>
      <c r="AE104" s="362">
        <v>17302615.000000004</v>
      </c>
      <c r="AF104" s="362">
        <v>17572015.999999996</v>
      </c>
      <c r="AG104" s="362">
        <v>17830901</v>
      </c>
      <c r="AH104" s="362">
        <v>18080019</v>
      </c>
      <c r="AI104" s="362">
        <v>18319618</v>
      </c>
      <c r="AJ104" s="362">
        <v>18551427</v>
      </c>
      <c r="AK104" s="362">
        <v>18776707</v>
      </c>
      <c r="AL104" s="363">
        <v>18994962</v>
      </c>
      <c r="AM104" s="362">
        <v>19205043</v>
      </c>
      <c r="AN104" s="362">
        <v>19407006</v>
      </c>
      <c r="AO104" s="362">
        <v>19601102</v>
      </c>
      <c r="AP104" s="362">
        <v>19787746</v>
      </c>
      <c r="AQ104" s="362">
        <v>19967001</v>
      </c>
      <c r="AR104" s="362">
        <v>20139594</v>
      </c>
      <c r="AS104" s="362">
        <v>20307512</v>
      </c>
      <c r="AT104" s="362">
        <v>20473311</v>
      </c>
      <c r="AU104" s="362">
        <v>20639021</v>
      </c>
      <c r="AV104" s="362" t="s">
        <v>251</v>
      </c>
      <c r="AW104" s="362">
        <v>1.2143540224695437E-2</v>
      </c>
      <c r="AX104" s="362">
        <v>1.1623710163874756E-2</v>
      </c>
    </row>
    <row r="105" spans="1:50" x14ac:dyDescent="0.25">
      <c r="A105" s="361" t="s">
        <v>253</v>
      </c>
      <c r="B105" s="361">
        <v>404</v>
      </c>
      <c r="C105" s="361" t="s">
        <v>252</v>
      </c>
      <c r="D105" s="361">
        <v>102</v>
      </c>
      <c r="E105" s="361">
        <v>9</v>
      </c>
      <c r="F105" s="361" t="s">
        <v>2374</v>
      </c>
      <c r="G105" s="362">
        <v>23724579.000000004</v>
      </c>
      <c r="H105" s="362">
        <v>24521703.000000004</v>
      </c>
      <c r="I105" s="362">
        <v>25326078.000000004</v>
      </c>
      <c r="J105" s="362">
        <v>26136216</v>
      </c>
      <c r="K105" s="362">
        <v>26950512.999999996</v>
      </c>
      <c r="L105" s="362">
        <v>27768296</v>
      </c>
      <c r="M105" s="362">
        <v>28589451</v>
      </c>
      <c r="N105" s="362">
        <v>29415658.999999996</v>
      </c>
      <c r="O105" s="362">
        <v>30250488</v>
      </c>
      <c r="P105" s="362">
        <v>31098757.000000004</v>
      </c>
      <c r="Q105" s="362">
        <v>31964557</v>
      </c>
      <c r="R105" s="362">
        <v>32848563.999999996</v>
      </c>
      <c r="S105" s="362">
        <v>33751739</v>
      </c>
      <c r="T105" s="362">
        <v>34678779.000000007</v>
      </c>
      <c r="U105" s="362">
        <v>35635271</v>
      </c>
      <c r="V105" s="362">
        <v>36624894.999999993</v>
      </c>
      <c r="W105" s="362">
        <v>37649033</v>
      </c>
      <c r="X105" s="362">
        <v>38705932.000000007</v>
      </c>
      <c r="Y105" s="362">
        <v>39791981</v>
      </c>
      <c r="Z105" s="362">
        <v>40901792</v>
      </c>
      <c r="AA105" s="362">
        <v>42030676</v>
      </c>
      <c r="AB105" s="362">
        <v>43178273.999999993</v>
      </c>
      <c r="AC105" s="362">
        <v>44343467</v>
      </c>
      <c r="AD105" s="362">
        <v>45519981</v>
      </c>
      <c r="AE105" s="362">
        <v>46700055</v>
      </c>
      <c r="AF105" s="362">
        <v>47878336.000000007</v>
      </c>
      <c r="AG105" s="362">
        <v>49051534</v>
      </c>
      <c r="AH105" s="362">
        <v>50221142</v>
      </c>
      <c r="AI105" s="362">
        <v>51392565.000000007</v>
      </c>
      <c r="AJ105" s="362">
        <v>52573972.999999993</v>
      </c>
      <c r="AK105" s="362">
        <v>53771296</v>
      </c>
      <c r="AL105" s="363">
        <v>54985698</v>
      </c>
      <c r="AM105" s="362">
        <v>56215221</v>
      </c>
      <c r="AN105" s="362">
        <v>57458897</v>
      </c>
      <c r="AO105" s="362">
        <v>58714804</v>
      </c>
      <c r="AP105" s="362">
        <v>59981310</v>
      </c>
      <c r="AQ105" s="362">
        <v>61257803</v>
      </c>
      <c r="AR105" s="362">
        <v>62544014</v>
      </c>
      <c r="AS105" s="362">
        <v>63838878</v>
      </c>
      <c r="AT105" s="362">
        <v>65141206</v>
      </c>
      <c r="AU105" s="362">
        <v>66449653.999999993</v>
      </c>
      <c r="AV105" s="362" t="s">
        <v>253</v>
      </c>
      <c r="AW105" s="362">
        <v>2.2774063508573139E-2</v>
      </c>
      <c r="AX105" s="362">
        <v>2.2584577466758571E-2</v>
      </c>
    </row>
    <row r="106" spans="1:50" x14ac:dyDescent="0.25">
      <c r="A106" s="361" t="s">
        <v>255</v>
      </c>
      <c r="B106" s="361">
        <v>296</v>
      </c>
      <c r="C106" s="361" t="s">
        <v>254</v>
      </c>
      <c r="D106" s="361">
        <v>76</v>
      </c>
      <c r="E106" s="361">
        <v>24</v>
      </c>
      <c r="F106" s="361" t="s">
        <v>2374</v>
      </c>
      <c r="G106" s="362">
        <v>72400</v>
      </c>
      <c r="H106" s="362">
        <v>73692</v>
      </c>
      <c r="I106" s="362">
        <v>74766</v>
      </c>
      <c r="J106" s="362">
        <v>75715.999999999985</v>
      </c>
      <c r="K106" s="362">
        <v>76670</v>
      </c>
      <c r="L106" s="362">
        <v>77723</v>
      </c>
      <c r="M106" s="362">
        <v>78903</v>
      </c>
      <c r="N106" s="362">
        <v>80187</v>
      </c>
      <c r="O106" s="362">
        <v>81556</v>
      </c>
      <c r="P106" s="362">
        <v>82971.999999999985</v>
      </c>
      <c r="Q106" s="362">
        <v>84396</v>
      </c>
      <c r="R106" s="362">
        <v>85849.000000000015</v>
      </c>
      <c r="S106" s="362">
        <v>87305.000000000015</v>
      </c>
      <c r="T106" s="362">
        <v>88835</v>
      </c>
      <c r="U106" s="362">
        <v>90499</v>
      </c>
      <c r="V106" s="362">
        <v>92325</v>
      </c>
      <c r="W106" s="362">
        <v>94343.000000000015</v>
      </c>
      <c r="X106" s="362">
        <v>96527</v>
      </c>
      <c r="Y106" s="362">
        <v>98761</v>
      </c>
      <c r="Z106" s="362">
        <v>100930</v>
      </c>
      <c r="AA106" s="362">
        <v>102927</v>
      </c>
      <c r="AB106" s="362">
        <v>104727.99999999999</v>
      </c>
      <c r="AC106" s="362">
        <v>106370</v>
      </c>
      <c r="AD106" s="362">
        <v>107890</v>
      </c>
      <c r="AE106" s="362">
        <v>109391</v>
      </c>
      <c r="AF106" s="362">
        <v>110930</v>
      </c>
      <c r="AG106" s="362">
        <v>112524</v>
      </c>
      <c r="AH106" s="362">
        <v>114158</v>
      </c>
      <c r="AI106" s="362">
        <v>115846.99999999999</v>
      </c>
      <c r="AJ106" s="362">
        <v>117605.99999999999</v>
      </c>
      <c r="AK106" s="362">
        <v>119449</v>
      </c>
      <c r="AL106" s="363">
        <v>121392</v>
      </c>
      <c r="AM106" s="362">
        <v>123419</v>
      </c>
      <c r="AN106" s="362">
        <v>125502</v>
      </c>
      <c r="AO106" s="362">
        <v>127578</v>
      </c>
      <c r="AP106" s="362">
        <v>129616.99999999999</v>
      </c>
      <c r="AQ106" s="362">
        <v>131600</v>
      </c>
      <c r="AR106" s="362">
        <v>133542</v>
      </c>
      <c r="AS106" s="362">
        <v>135451</v>
      </c>
      <c r="AT106" s="362">
        <v>137314</v>
      </c>
      <c r="AU106" s="362">
        <v>139179</v>
      </c>
      <c r="AV106" s="362" t="s">
        <v>255</v>
      </c>
      <c r="AW106" s="362">
        <v>1.5670969168239735E-2</v>
      </c>
      <c r="AX106" s="362">
        <v>1.6266356352920397E-2</v>
      </c>
    </row>
    <row r="107" spans="1:50" x14ac:dyDescent="0.25">
      <c r="A107" s="361" t="s">
        <v>257</v>
      </c>
      <c r="B107" s="361">
        <v>408</v>
      </c>
      <c r="C107" s="361" t="s">
        <v>256</v>
      </c>
      <c r="D107" s="361">
        <v>103</v>
      </c>
      <c r="E107" s="361">
        <v>19</v>
      </c>
      <c r="F107" s="361" t="s">
        <v>2374</v>
      </c>
      <c r="G107" s="362">
        <v>20293054</v>
      </c>
      <c r="H107" s="362">
        <v>20609150.000000004</v>
      </c>
      <c r="I107" s="362">
        <v>20937403.999999996</v>
      </c>
      <c r="J107" s="362">
        <v>21265833.999999996</v>
      </c>
      <c r="K107" s="362">
        <v>21577982</v>
      </c>
      <c r="L107" s="362">
        <v>21862299</v>
      </c>
      <c r="M107" s="362">
        <v>22113438</v>
      </c>
      <c r="N107" s="362">
        <v>22335267</v>
      </c>
      <c r="O107" s="362">
        <v>22536753</v>
      </c>
      <c r="P107" s="362">
        <v>22731482</v>
      </c>
      <c r="Q107" s="362">
        <v>22929075</v>
      </c>
      <c r="R107" s="362">
        <v>23132980</v>
      </c>
      <c r="S107" s="362">
        <v>23339453.000000004</v>
      </c>
      <c r="T107" s="362">
        <v>23542426</v>
      </c>
      <c r="U107" s="362">
        <v>23732731</v>
      </c>
      <c r="V107" s="362">
        <v>23904167</v>
      </c>
      <c r="W107" s="362">
        <v>24054864.000000004</v>
      </c>
      <c r="X107" s="362">
        <v>24188330.999999996</v>
      </c>
      <c r="Y107" s="362">
        <v>24310142</v>
      </c>
      <c r="Z107" s="362">
        <v>24428341</v>
      </c>
      <c r="AA107" s="362">
        <v>24548835.999999996</v>
      </c>
      <c r="AB107" s="362">
        <v>24673395</v>
      </c>
      <c r="AC107" s="362">
        <v>24800645</v>
      </c>
      <c r="AD107" s="362">
        <v>24929496.999999996</v>
      </c>
      <c r="AE107" s="362">
        <v>25057790</v>
      </c>
      <c r="AF107" s="362">
        <v>25183833</v>
      </c>
      <c r="AG107" s="362">
        <v>25307665</v>
      </c>
      <c r="AH107" s="362">
        <v>25429825</v>
      </c>
      <c r="AI107" s="362">
        <v>25549604</v>
      </c>
      <c r="AJ107" s="362">
        <v>25666161</v>
      </c>
      <c r="AK107" s="362">
        <v>25778816</v>
      </c>
      <c r="AL107" s="363">
        <v>25887041</v>
      </c>
      <c r="AM107" s="362">
        <v>25990679</v>
      </c>
      <c r="AN107" s="362">
        <v>26089810</v>
      </c>
      <c r="AO107" s="362">
        <v>26184724</v>
      </c>
      <c r="AP107" s="362">
        <v>26275484</v>
      </c>
      <c r="AQ107" s="362">
        <v>26362043</v>
      </c>
      <c r="AR107" s="362">
        <v>26443899</v>
      </c>
      <c r="AS107" s="362">
        <v>26520116</v>
      </c>
      <c r="AT107" s="362">
        <v>26589548</v>
      </c>
      <c r="AU107" s="362">
        <v>26651329</v>
      </c>
      <c r="AV107" s="362" t="s">
        <v>257</v>
      </c>
      <c r="AW107" s="362">
        <v>4.38924231792992E-3</v>
      </c>
      <c r="AX107" s="362">
        <v>4.1982145339800603E-3</v>
      </c>
    </row>
    <row r="108" spans="1:50" x14ac:dyDescent="0.25">
      <c r="A108" s="361" t="s">
        <v>259</v>
      </c>
      <c r="B108" s="361">
        <v>410</v>
      </c>
      <c r="C108" s="361" t="s">
        <v>258</v>
      </c>
      <c r="D108" s="361">
        <v>104</v>
      </c>
      <c r="E108" s="361">
        <v>19</v>
      </c>
      <c r="F108" s="361" t="s">
        <v>2374</v>
      </c>
      <c r="G108" s="362">
        <v>42918419</v>
      </c>
      <c r="H108" s="362">
        <v>43373151</v>
      </c>
      <c r="I108" s="362">
        <v>43848218</v>
      </c>
      <c r="J108" s="362">
        <v>44335028</v>
      </c>
      <c r="K108" s="362">
        <v>44820072.999999993</v>
      </c>
      <c r="L108" s="362">
        <v>45292522</v>
      </c>
      <c r="M108" s="362">
        <v>45751022</v>
      </c>
      <c r="N108" s="362">
        <v>46196054</v>
      </c>
      <c r="O108" s="362">
        <v>46620691</v>
      </c>
      <c r="P108" s="362">
        <v>47016957.000000007</v>
      </c>
      <c r="Q108" s="362">
        <v>47379241</v>
      </c>
      <c r="R108" s="362">
        <v>47706224</v>
      </c>
      <c r="S108" s="362">
        <v>47999547</v>
      </c>
      <c r="T108" s="362">
        <v>48260897</v>
      </c>
      <c r="U108" s="362">
        <v>48493441</v>
      </c>
      <c r="V108" s="362">
        <v>48701072.999999993</v>
      </c>
      <c r="W108" s="362">
        <v>48880451</v>
      </c>
      <c r="X108" s="362">
        <v>49034810</v>
      </c>
      <c r="Y108" s="362">
        <v>49182455.999999993</v>
      </c>
      <c r="Z108" s="362">
        <v>49347461</v>
      </c>
      <c r="AA108" s="362">
        <v>49545636</v>
      </c>
      <c r="AB108" s="362">
        <v>49786159</v>
      </c>
      <c r="AC108" s="362">
        <v>50060639</v>
      </c>
      <c r="AD108" s="362">
        <v>50345716.999999993</v>
      </c>
      <c r="AE108" s="362">
        <v>50607907</v>
      </c>
      <c r="AF108" s="362">
        <v>50823093</v>
      </c>
      <c r="AG108" s="362">
        <v>50983457</v>
      </c>
      <c r="AH108" s="362">
        <v>51096415</v>
      </c>
      <c r="AI108" s="362">
        <v>51171706</v>
      </c>
      <c r="AJ108" s="362">
        <v>51225308</v>
      </c>
      <c r="AK108" s="362">
        <v>51269185</v>
      </c>
      <c r="AL108" s="363">
        <v>51305186</v>
      </c>
      <c r="AM108" s="362">
        <v>51329899</v>
      </c>
      <c r="AN108" s="362">
        <v>51343980</v>
      </c>
      <c r="AO108" s="362">
        <v>51347175</v>
      </c>
      <c r="AP108" s="362">
        <v>51339377</v>
      </c>
      <c r="AQ108" s="362">
        <v>51321227</v>
      </c>
      <c r="AR108" s="362">
        <v>51293510</v>
      </c>
      <c r="AS108" s="362">
        <v>51256265</v>
      </c>
      <c r="AT108" s="362">
        <v>51209254</v>
      </c>
      <c r="AU108" s="362">
        <v>51152046</v>
      </c>
      <c r="AV108" s="362" t="s">
        <v>259</v>
      </c>
      <c r="AW108" s="362">
        <v>8.5654926662415143E-4</v>
      </c>
      <c r="AX108" s="362">
        <v>7.0219567562856966E-4</v>
      </c>
    </row>
    <row r="109" spans="1:50" x14ac:dyDescent="0.25">
      <c r="A109" s="361" t="s">
        <v>261</v>
      </c>
      <c r="B109" s="361">
        <v>414</v>
      </c>
      <c r="C109" s="361" t="s">
        <v>260</v>
      </c>
      <c r="D109" s="361">
        <v>105</v>
      </c>
      <c r="E109" s="361">
        <v>17</v>
      </c>
      <c r="F109" s="361" t="s">
        <v>2374</v>
      </c>
      <c r="G109" s="362">
        <v>2095343.9999999998</v>
      </c>
      <c r="H109" s="362">
        <v>2031296.0000000002</v>
      </c>
      <c r="I109" s="362">
        <v>1912433</v>
      </c>
      <c r="J109" s="362">
        <v>1772607</v>
      </c>
      <c r="K109" s="362">
        <v>1659307</v>
      </c>
      <c r="L109" s="362">
        <v>1605901</v>
      </c>
      <c r="M109" s="362">
        <v>1626857</v>
      </c>
      <c r="N109" s="362">
        <v>1710256</v>
      </c>
      <c r="O109" s="362">
        <v>1831119</v>
      </c>
      <c r="P109" s="362">
        <v>1951636</v>
      </c>
      <c r="Q109" s="362">
        <v>2045123.0000000002</v>
      </c>
      <c r="R109" s="362">
        <v>2103282</v>
      </c>
      <c r="S109" s="362">
        <v>2136997</v>
      </c>
      <c r="T109" s="362">
        <v>2161626</v>
      </c>
      <c r="U109" s="362">
        <v>2200492</v>
      </c>
      <c r="V109" s="362">
        <v>2270197.9999999995</v>
      </c>
      <c r="W109" s="362">
        <v>2373672</v>
      </c>
      <c r="X109" s="362">
        <v>2504019</v>
      </c>
      <c r="Y109" s="362">
        <v>2656009</v>
      </c>
      <c r="Z109" s="362">
        <v>2821045.0000000005</v>
      </c>
      <c r="AA109" s="362">
        <v>2991884</v>
      </c>
      <c r="AB109" s="362">
        <v>3168060</v>
      </c>
      <c r="AC109" s="362">
        <v>3348853</v>
      </c>
      <c r="AD109" s="362">
        <v>3526376.0000000005</v>
      </c>
      <c r="AE109" s="362">
        <v>3690940.9999999995</v>
      </c>
      <c r="AF109" s="362">
        <v>3835591</v>
      </c>
      <c r="AG109" s="362">
        <v>3956875</v>
      </c>
      <c r="AH109" s="362">
        <v>4056099.0000000005</v>
      </c>
      <c r="AI109" s="362">
        <v>4137311.9999999995</v>
      </c>
      <c r="AJ109" s="362">
        <v>4207083</v>
      </c>
      <c r="AK109" s="362">
        <v>4270571</v>
      </c>
      <c r="AL109" s="363">
        <v>4328550</v>
      </c>
      <c r="AM109" s="362">
        <v>4380326</v>
      </c>
      <c r="AN109" s="362">
        <v>4427843</v>
      </c>
      <c r="AO109" s="362">
        <v>4473160</v>
      </c>
      <c r="AP109" s="362">
        <v>4517860</v>
      </c>
      <c r="AQ109" s="362">
        <v>4563148</v>
      </c>
      <c r="AR109" s="362">
        <v>4609352</v>
      </c>
      <c r="AS109" s="362">
        <v>4656031</v>
      </c>
      <c r="AT109" s="362">
        <v>4702177</v>
      </c>
      <c r="AU109" s="362">
        <v>4747081</v>
      </c>
      <c r="AV109" s="362" t="s">
        <v>261</v>
      </c>
      <c r="AW109" s="362">
        <v>1.5090741019371468E-2</v>
      </c>
      <c r="AX109" s="362">
        <v>1.3576404654084939E-2</v>
      </c>
    </row>
    <row r="110" spans="1:50" x14ac:dyDescent="0.25">
      <c r="A110" s="361" t="s">
        <v>263</v>
      </c>
      <c r="B110" s="361">
        <v>417</v>
      </c>
      <c r="C110" s="361" t="s">
        <v>262</v>
      </c>
      <c r="D110" s="361">
        <v>106</v>
      </c>
      <c r="E110" s="361">
        <v>15</v>
      </c>
      <c r="F110" s="361" t="s">
        <v>2374</v>
      </c>
      <c r="G110" s="362">
        <v>4372885</v>
      </c>
      <c r="H110" s="362">
        <v>4419627</v>
      </c>
      <c r="I110" s="362">
        <v>4454193</v>
      </c>
      <c r="J110" s="362">
        <v>4483844</v>
      </c>
      <c r="K110" s="362">
        <v>4518807</v>
      </c>
      <c r="L110" s="362">
        <v>4566096</v>
      </c>
      <c r="M110" s="362">
        <v>4629402</v>
      </c>
      <c r="N110" s="362">
        <v>4705645.0000000009</v>
      </c>
      <c r="O110" s="362">
        <v>4786777</v>
      </c>
      <c r="P110" s="362">
        <v>4861125</v>
      </c>
      <c r="Q110" s="362">
        <v>4920712.0000000009</v>
      </c>
      <c r="R110" s="362">
        <v>4962836</v>
      </c>
      <c r="S110" s="362">
        <v>4991483.0000000009</v>
      </c>
      <c r="T110" s="362">
        <v>5013529.9999999991</v>
      </c>
      <c r="U110" s="362">
        <v>5039005</v>
      </c>
      <c r="V110" s="362">
        <v>5075347</v>
      </c>
      <c r="W110" s="362">
        <v>5124382</v>
      </c>
      <c r="X110" s="362">
        <v>5184392</v>
      </c>
      <c r="Y110" s="362">
        <v>5254979.0000000009</v>
      </c>
      <c r="Z110" s="362">
        <v>5334710</v>
      </c>
      <c r="AA110" s="362">
        <v>5422293</v>
      </c>
      <c r="AB110" s="362">
        <v>5517922</v>
      </c>
      <c r="AC110" s="362">
        <v>5621576</v>
      </c>
      <c r="AD110" s="362">
        <v>5731303</v>
      </c>
      <c r="AE110" s="362">
        <v>5844532</v>
      </c>
      <c r="AF110" s="362">
        <v>5959121</v>
      </c>
      <c r="AG110" s="362">
        <v>6074330</v>
      </c>
      <c r="AH110" s="362">
        <v>6189733</v>
      </c>
      <c r="AI110" s="362">
        <v>6304030</v>
      </c>
      <c r="AJ110" s="362">
        <v>6415850.0000000009</v>
      </c>
      <c r="AK110" s="362">
        <v>6524195</v>
      </c>
      <c r="AL110" s="363">
        <v>6628356</v>
      </c>
      <c r="AM110" s="362">
        <v>6728271</v>
      </c>
      <c r="AN110" s="362">
        <v>6824514</v>
      </c>
      <c r="AO110" s="362">
        <v>6918103</v>
      </c>
      <c r="AP110" s="362">
        <v>7009833</v>
      </c>
      <c r="AQ110" s="362">
        <v>7099812</v>
      </c>
      <c r="AR110" s="362">
        <v>7187968</v>
      </c>
      <c r="AS110" s="362">
        <v>7274738</v>
      </c>
      <c r="AT110" s="362">
        <v>7360651</v>
      </c>
      <c r="AU110" s="362">
        <v>7446104</v>
      </c>
      <c r="AV110" s="362" t="s">
        <v>263</v>
      </c>
      <c r="AW110" s="362">
        <v>1.6887084330213353E-2</v>
      </c>
      <c r="AX110" s="362">
        <v>1.5965341317971005E-2</v>
      </c>
    </row>
    <row r="111" spans="1:50" x14ac:dyDescent="0.25">
      <c r="A111" s="361" t="s">
        <v>265</v>
      </c>
      <c r="B111" s="361">
        <v>418</v>
      </c>
      <c r="C111" s="361" t="s">
        <v>264</v>
      </c>
      <c r="D111" s="361">
        <v>107</v>
      </c>
      <c r="E111" s="361">
        <v>21</v>
      </c>
      <c r="F111" s="361" t="s">
        <v>2374</v>
      </c>
      <c r="G111" s="362">
        <v>4258471.9999999991</v>
      </c>
      <c r="H111" s="362">
        <v>4379236</v>
      </c>
      <c r="I111" s="362">
        <v>4500350.9999999991</v>
      </c>
      <c r="J111" s="362">
        <v>4619944</v>
      </c>
      <c r="K111" s="362">
        <v>4735845</v>
      </c>
      <c r="L111" s="362">
        <v>4846483</v>
      </c>
      <c r="M111" s="362">
        <v>4951194.9999999991</v>
      </c>
      <c r="N111" s="362">
        <v>5050314.9999999991</v>
      </c>
      <c r="O111" s="362">
        <v>5144602</v>
      </c>
      <c r="P111" s="362">
        <v>5235346</v>
      </c>
      <c r="Q111" s="362">
        <v>5323700</v>
      </c>
      <c r="R111" s="362">
        <v>5409582</v>
      </c>
      <c r="S111" s="362">
        <v>5493246</v>
      </c>
      <c r="T111" s="362">
        <v>5576640</v>
      </c>
      <c r="U111" s="362">
        <v>5662208</v>
      </c>
      <c r="V111" s="362">
        <v>5751676.0000000009</v>
      </c>
      <c r="W111" s="362">
        <v>5846074</v>
      </c>
      <c r="X111" s="362">
        <v>5944948</v>
      </c>
      <c r="Y111" s="362">
        <v>6046620</v>
      </c>
      <c r="Z111" s="362">
        <v>6148623</v>
      </c>
      <c r="AA111" s="362">
        <v>6249165</v>
      </c>
      <c r="AB111" s="362">
        <v>6347567</v>
      </c>
      <c r="AC111" s="362">
        <v>6444529.9999999991</v>
      </c>
      <c r="AD111" s="362">
        <v>6541304</v>
      </c>
      <c r="AE111" s="362">
        <v>6639756</v>
      </c>
      <c r="AF111" s="362">
        <v>6741163.9999999991</v>
      </c>
      <c r="AG111" s="362">
        <v>6845846</v>
      </c>
      <c r="AH111" s="362">
        <v>6953035</v>
      </c>
      <c r="AI111" s="362">
        <v>7061507</v>
      </c>
      <c r="AJ111" s="362">
        <v>7169455</v>
      </c>
      <c r="AK111" s="362">
        <v>7275560.0000000009</v>
      </c>
      <c r="AL111" s="363">
        <v>7379358</v>
      </c>
      <c r="AM111" s="362">
        <v>7481023</v>
      </c>
      <c r="AN111" s="362">
        <v>7580613</v>
      </c>
      <c r="AO111" s="362">
        <v>7678398</v>
      </c>
      <c r="AP111" s="362">
        <v>7774533</v>
      </c>
      <c r="AQ111" s="362">
        <v>7868909</v>
      </c>
      <c r="AR111" s="362">
        <v>7961305</v>
      </c>
      <c r="AS111" s="362">
        <v>8051683</v>
      </c>
      <c r="AT111" s="362">
        <v>8140021</v>
      </c>
      <c r="AU111" s="362">
        <v>8226272.9999999991</v>
      </c>
      <c r="AV111" s="362" t="s">
        <v>265</v>
      </c>
      <c r="AW111" s="362">
        <v>1.4799590763872716E-2</v>
      </c>
      <c r="AX111" s="362">
        <v>1.4266668132762117E-2</v>
      </c>
    </row>
    <row r="112" spans="1:50" x14ac:dyDescent="0.25">
      <c r="A112" s="361" t="s">
        <v>267</v>
      </c>
      <c r="B112" s="361">
        <v>428</v>
      </c>
      <c r="C112" s="361" t="s">
        <v>266</v>
      </c>
      <c r="D112" s="361">
        <v>110</v>
      </c>
      <c r="E112" s="361">
        <v>12</v>
      </c>
      <c r="F112" s="361" t="s">
        <v>2374</v>
      </c>
      <c r="G112" s="362">
        <v>2664439</v>
      </c>
      <c r="H112" s="362">
        <v>2649162</v>
      </c>
      <c r="I112" s="362">
        <v>2620254</v>
      </c>
      <c r="J112" s="362">
        <v>2582661</v>
      </c>
      <c r="K112" s="362">
        <v>2543628</v>
      </c>
      <c r="L112" s="362">
        <v>2508480</v>
      </c>
      <c r="M112" s="362">
        <v>2478831.9999999995</v>
      </c>
      <c r="N112" s="362">
        <v>2453306.9999999995</v>
      </c>
      <c r="O112" s="362">
        <v>2430549</v>
      </c>
      <c r="P112" s="362">
        <v>2408092</v>
      </c>
      <c r="Q112" s="362">
        <v>2384164</v>
      </c>
      <c r="R112" s="362">
        <v>2358693</v>
      </c>
      <c r="S112" s="362">
        <v>2332530</v>
      </c>
      <c r="T112" s="362">
        <v>2305848</v>
      </c>
      <c r="U112" s="362">
        <v>2278921</v>
      </c>
      <c r="V112" s="362">
        <v>2251993</v>
      </c>
      <c r="W112" s="362">
        <v>2225066</v>
      </c>
      <c r="X112" s="362">
        <v>2198089</v>
      </c>
      <c r="Y112" s="362">
        <v>2171259</v>
      </c>
      <c r="Z112" s="362">
        <v>2144784.9999999995</v>
      </c>
      <c r="AA112" s="362">
        <v>2118861</v>
      </c>
      <c r="AB112" s="362">
        <v>2093610</v>
      </c>
      <c r="AC112" s="362">
        <v>2069016</v>
      </c>
      <c r="AD112" s="362">
        <v>2044957.0000000002</v>
      </c>
      <c r="AE112" s="362">
        <v>2021218.9999999998</v>
      </c>
      <c r="AF112" s="362">
        <v>1997674</v>
      </c>
      <c r="AG112" s="362">
        <v>1974266</v>
      </c>
      <c r="AH112" s="362">
        <v>1951097</v>
      </c>
      <c r="AI112" s="362">
        <v>1928459.0000000002</v>
      </c>
      <c r="AJ112" s="362">
        <v>1906742.9999999998</v>
      </c>
      <c r="AK112" s="362">
        <v>1886198</v>
      </c>
      <c r="AL112" s="363">
        <v>1866942</v>
      </c>
      <c r="AM112" s="362">
        <v>1848837</v>
      </c>
      <c r="AN112" s="362">
        <v>1831642</v>
      </c>
      <c r="AO112" s="362">
        <v>1815004</v>
      </c>
      <c r="AP112" s="362">
        <v>1798633</v>
      </c>
      <c r="AQ112" s="362">
        <v>1782475</v>
      </c>
      <c r="AR112" s="362">
        <v>1766562</v>
      </c>
      <c r="AS112" s="362">
        <v>1750870</v>
      </c>
      <c r="AT112" s="362">
        <v>1735398</v>
      </c>
      <c r="AU112" s="362">
        <v>1720146</v>
      </c>
      <c r="AV112" s="362" t="s">
        <v>267</v>
      </c>
      <c r="AW112" s="362">
        <v>-1.0774918276873047E-2</v>
      </c>
      <c r="AX112" s="362">
        <v>-1.0208896414904522E-2</v>
      </c>
    </row>
    <row r="113" spans="1:50" x14ac:dyDescent="0.25">
      <c r="A113" s="361" t="s">
        <v>269</v>
      </c>
      <c r="B113" s="361">
        <v>422</v>
      </c>
      <c r="C113" s="361" t="s">
        <v>268</v>
      </c>
      <c r="D113" s="361">
        <v>108</v>
      </c>
      <c r="E113" s="361">
        <v>17</v>
      </c>
      <c r="F113" s="361" t="s">
        <v>2374</v>
      </c>
      <c r="G113" s="362">
        <v>2803044</v>
      </c>
      <c r="H113" s="362">
        <v>2921706</v>
      </c>
      <c r="I113" s="362">
        <v>3076132</v>
      </c>
      <c r="J113" s="362">
        <v>3246126.0000000005</v>
      </c>
      <c r="K113" s="362">
        <v>3403357</v>
      </c>
      <c r="L113" s="362">
        <v>3528380.0000000005</v>
      </c>
      <c r="M113" s="362">
        <v>3610665</v>
      </c>
      <c r="N113" s="362">
        <v>3658424</v>
      </c>
      <c r="O113" s="362">
        <v>3693520</v>
      </c>
      <c r="P113" s="362">
        <v>3747766</v>
      </c>
      <c r="Q113" s="362">
        <v>3842777.9999999995</v>
      </c>
      <c r="R113" s="362">
        <v>3991001.0000000005</v>
      </c>
      <c r="S113" s="362">
        <v>4182204.9999999995</v>
      </c>
      <c r="T113" s="362">
        <v>4388375</v>
      </c>
      <c r="U113" s="362">
        <v>4569377.9999999991</v>
      </c>
      <c r="V113" s="362">
        <v>4698763</v>
      </c>
      <c r="W113" s="362">
        <v>4759753</v>
      </c>
      <c r="X113" s="362">
        <v>4767344.0000000009</v>
      </c>
      <c r="Y113" s="362">
        <v>4764741</v>
      </c>
      <c r="Z113" s="362">
        <v>4813026</v>
      </c>
      <c r="AA113" s="362">
        <v>4953061</v>
      </c>
      <c r="AB113" s="362">
        <v>5202026</v>
      </c>
      <c r="AC113" s="362">
        <v>5537612</v>
      </c>
      <c r="AD113" s="362">
        <v>5913022</v>
      </c>
      <c r="AE113" s="362">
        <v>6261044</v>
      </c>
      <c r="AF113" s="362">
        <v>6532678</v>
      </c>
      <c r="AG113" s="362">
        <v>6714281</v>
      </c>
      <c r="AH113" s="362">
        <v>6819373</v>
      </c>
      <c r="AI113" s="362">
        <v>6859408</v>
      </c>
      <c r="AJ113" s="362">
        <v>6855713</v>
      </c>
      <c r="AK113" s="362">
        <v>6825444.9999999991</v>
      </c>
      <c r="AL113" s="363">
        <v>6769146</v>
      </c>
      <c r="AM113" s="362">
        <v>6684849</v>
      </c>
      <c r="AN113" s="362">
        <v>6585111</v>
      </c>
      <c r="AO113" s="362">
        <v>6485342</v>
      </c>
      <c r="AP113" s="362">
        <v>6397248</v>
      </c>
      <c r="AQ113" s="362">
        <v>6326659</v>
      </c>
      <c r="AR113" s="362">
        <v>6273632</v>
      </c>
      <c r="AS113" s="362">
        <v>6236665</v>
      </c>
      <c r="AT113" s="362">
        <v>6211496</v>
      </c>
      <c r="AU113" s="362">
        <v>6194844</v>
      </c>
      <c r="AV113" s="362" t="s">
        <v>269</v>
      </c>
      <c r="AW113" s="362">
        <v>-4.4150039536370311E-3</v>
      </c>
      <c r="AX113" s="362">
        <v>-8.2483999211772074E-3</v>
      </c>
    </row>
    <row r="114" spans="1:50" x14ac:dyDescent="0.25">
      <c r="A114" s="361" t="s">
        <v>271</v>
      </c>
      <c r="B114" s="361">
        <v>426</v>
      </c>
      <c r="C114" s="361" t="s">
        <v>270</v>
      </c>
      <c r="D114" s="361">
        <v>109</v>
      </c>
      <c r="E114" s="361">
        <v>26</v>
      </c>
      <c r="F114" s="361" t="s">
        <v>2374</v>
      </c>
      <c r="G114" s="362">
        <v>1703747.0000000002</v>
      </c>
      <c r="H114" s="362">
        <v>1742539</v>
      </c>
      <c r="I114" s="362">
        <v>1782285.0000000002</v>
      </c>
      <c r="J114" s="362">
        <v>1822236.0000000002</v>
      </c>
      <c r="K114" s="362">
        <v>1861324</v>
      </c>
      <c r="L114" s="362">
        <v>1898598</v>
      </c>
      <c r="M114" s="362">
        <v>1934291</v>
      </c>
      <c r="N114" s="362">
        <v>1968044.0000000002</v>
      </c>
      <c r="O114" s="362">
        <v>1997516</v>
      </c>
      <c r="P114" s="362">
        <v>2019731.0000000002</v>
      </c>
      <c r="Q114" s="362">
        <v>2032804</v>
      </c>
      <c r="R114" s="362">
        <v>2035740</v>
      </c>
      <c r="S114" s="362">
        <v>2029828.9999999998</v>
      </c>
      <c r="T114" s="362">
        <v>2018348</v>
      </c>
      <c r="U114" s="362">
        <v>2005939.9999999998</v>
      </c>
      <c r="V114" s="362">
        <v>1996114</v>
      </c>
      <c r="W114" s="362">
        <v>1989939.0000000002</v>
      </c>
      <c r="X114" s="362">
        <v>1986922</v>
      </c>
      <c r="Y114" s="362">
        <v>1987129</v>
      </c>
      <c r="Z114" s="362">
        <v>1990131</v>
      </c>
      <c r="AA114" s="362">
        <v>1995580.9999999998</v>
      </c>
      <c r="AB114" s="362">
        <v>2003788.0000000002</v>
      </c>
      <c r="AC114" s="362">
        <v>2014993.9999999998</v>
      </c>
      <c r="AD114" s="362">
        <v>2028530</v>
      </c>
      <c r="AE114" s="362">
        <v>2043444.9999999998</v>
      </c>
      <c r="AF114" s="362">
        <v>2059021</v>
      </c>
      <c r="AG114" s="362">
        <v>2075030.0000000005</v>
      </c>
      <c r="AH114" s="362">
        <v>2091534.0000000002</v>
      </c>
      <c r="AI114" s="362">
        <v>2108327.9999999995</v>
      </c>
      <c r="AJ114" s="362">
        <v>2125268</v>
      </c>
      <c r="AK114" s="362">
        <v>2142248.9999999995</v>
      </c>
      <c r="AL114" s="363">
        <v>2159079</v>
      </c>
      <c r="AM114" s="362">
        <v>2175699</v>
      </c>
      <c r="AN114" s="362">
        <v>2192407</v>
      </c>
      <c r="AO114" s="362">
        <v>2209607</v>
      </c>
      <c r="AP114" s="362">
        <v>2227560</v>
      </c>
      <c r="AQ114" s="362">
        <v>2246375</v>
      </c>
      <c r="AR114" s="362">
        <v>2265860</v>
      </c>
      <c r="AS114" s="362">
        <v>2285735</v>
      </c>
      <c r="AT114" s="362">
        <v>2305610</v>
      </c>
      <c r="AU114" s="362">
        <v>2325164</v>
      </c>
      <c r="AV114" s="362" t="s">
        <v>271</v>
      </c>
      <c r="AW114" s="362">
        <v>7.9900511370798455E-3</v>
      </c>
      <c r="AX114" s="362">
        <v>7.8562295979600627E-3</v>
      </c>
    </row>
    <row r="115" spans="1:50" x14ac:dyDescent="0.25">
      <c r="A115" s="361" t="s">
        <v>273</v>
      </c>
      <c r="B115" s="361">
        <v>430</v>
      </c>
      <c r="C115" s="361" t="s">
        <v>272</v>
      </c>
      <c r="D115" s="361">
        <v>111</v>
      </c>
      <c r="E115" s="361">
        <v>8</v>
      </c>
      <c r="F115" s="361" t="s">
        <v>2374</v>
      </c>
      <c r="G115" s="362">
        <v>2075911.9999999998</v>
      </c>
      <c r="H115" s="362">
        <v>2040139</v>
      </c>
      <c r="I115" s="362">
        <v>2001624</v>
      </c>
      <c r="J115" s="362">
        <v>1976699</v>
      </c>
      <c r="K115" s="362">
        <v>1986492.9999999998</v>
      </c>
      <c r="L115" s="362">
        <v>2044661</v>
      </c>
      <c r="M115" s="362">
        <v>2160478</v>
      </c>
      <c r="N115" s="362">
        <v>2326202.0000000005</v>
      </c>
      <c r="O115" s="362">
        <v>2517481</v>
      </c>
      <c r="P115" s="362">
        <v>2699712</v>
      </c>
      <c r="Q115" s="362">
        <v>2848456</v>
      </c>
      <c r="R115" s="362">
        <v>2953927</v>
      </c>
      <c r="S115" s="362">
        <v>3024729</v>
      </c>
      <c r="T115" s="362">
        <v>3077058</v>
      </c>
      <c r="U115" s="362">
        <v>3135650.9999999995</v>
      </c>
      <c r="V115" s="362">
        <v>3218116</v>
      </c>
      <c r="W115" s="362">
        <v>3329211</v>
      </c>
      <c r="X115" s="362">
        <v>3461911</v>
      </c>
      <c r="Y115" s="362">
        <v>3607860</v>
      </c>
      <c r="Z115" s="362">
        <v>3754133</v>
      </c>
      <c r="AA115" s="362">
        <v>3891356</v>
      </c>
      <c r="AB115" s="362">
        <v>4017443</v>
      </c>
      <c r="AC115" s="362">
        <v>4135658.9999999995</v>
      </c>
      <c r="AD115" s="362">
        <v>4248334</v>
      </c>
      <c r="AE115" s="362">
        <v>4359506.0000000009</v>
      </c>
      <c r="AF115" s="362">
        <v>4472230</v>
      </c>
      <c r="AG115" s="362">
        <v>4586787</v>
      </c>
      <c r="AH115" s="362">
        <v>4702226</v>
      </c>
      <c r="AI115" s="362">
        <v>4818973</v>
      </c>
      <c r="AJ115" s="362">
        <v>4937374</v>
      </c>
      <c r="AK115" s="362">
        <v>5057681</v>
      </c>
      <c r="AL115" s="363">
        <v>5180203</v>
      </c>
      <c r="AM115" s="362">
        <v>5305117</v>
      </c>
      <c r="AN115" s="362">
        <v>5432271</v>
      </c>
      <c r="AO115" s="362">
        <v>5561375</v>
      </c>
      <c r="AP115" s="362">
        <v>5692195</v>
      </c>
      <c r="AQ115" s="362">
        <v>5824726</v>
      </c>
      <c r="AR115" s="362">
        <v>5959024</v>
      </c>
      <c r="AS115" s="362">
        <v>6094999</v>
      </c>
      <c r="AT115" s="362">
        <v>6232543</v>
      </c>
      <c r="AU115" s="362">
        <v>6371553</v>
      </c>
      <c r="AV115" s="362" t="s">
        <v>273</v>
      </c>
      <c r="AW115" s="362">
        <v>2.4366596494411752E-2</v>
      </c>
      <c r="AX115" s="362">
        <v>2.4224936289971577E-2</v>
      </c>
    </row>
    <row r="116" spans="1:50" x14ac:dyDescent="0.25">
      <c r="A116" s="361" t="s">
        <v>275</v>
      </c>
      <c r="B116" s="361">
        <v>434</v>
      </c>
      <c r="C116" s="361" t="s">
        <v>274</v>
      </c>
      <c r="D116" s="361">
        <v>112</v>
      </c>
      <c r="E116" s="361">
        <v>7</v>
      </c>
      <c r="F116" s="361" t="s">
        <v>2374</v>
      </c>
      <c r="G116" s="362">
        <v>4436661</v>
      </c>
      <c r="H116" s="362">
        <v>4544242.0000000009</v>
      </c>
      <c r="I116" s="362">
        <v>4650885.0000000009</v>
      </c>
      <c r="J116" s="362">
        <v>4755133</v>
      </c>
      <c r="K116" s="362">
        <v>4854875</v>
      </c>
      <c r="L116" s="362">
        <v>4948798</v>
      </c>
      <c r="M116" s="362">
        <v>5036171</v>
      </c>
      <c r="N116" s="362">
        <v>5118006.9999999991</v>
      </c>
      <c r="O116" s="362">
        <v>5196779.9999999991</v>
      </c>
      <c r="P116" s="362">
        <v>5275926</v>
      </c>
      <c r="Q116" s="362">
        <v>5357890.9999999991</v>
      </c>
      <c r="R116" s="362">
        <v>5443248</v>
      </c>
      <c r="S116" s="362">
        <v>5531089</v>
      </c>
      <c r="T116" s="362">
        <v>5620546.9999999991</v>
      </c>
      <c r="U116" s="362">
        <v>5710154</v>
      </c>
      <c r="V116" s="362">
        <v>5798614</v>
      </c>
      <c r="W116" s="362">
        <v>5886872</v>
      </c>
      <c r="X116" s="362">
        <v>5974787</v>
      </c>
      <c r="Y116" s="362">
        <v>6058748</v>
      </c>
      <c r="Z116" s="362">
        <v>6133984.0000000009</v>
      </c>
      <c r="AA116" s="362">
        <v>6197662.9999999991</v>
      </c>
      <c r="AB116" s="362">
        <v>6247439</v>
      </c>
      <c r="AC116" s="362">
        <v>6285748</v>
      </c>
      <c r="AD116" s="362">
        <v>6320360</v>
      </c>
      <c r="AE116" s="362">
        <v>6362037</v>
      </c>
      <c r="AF116" s="362">
        <v>6418315</v>
      </c>
      <c r="AG116" s="362">
        <v>6492162</v>
      </c>
      <c r="AH116" s="362">
        <v>6580724</v>
      </c>
      <c r="AI116" s="362">
        <v>6678559</v>
      </c>
      <c r="AJ116" s="362">
        <v>6777452</v>
      </c>
      <c r="AK116" s="362">
        <v>6871292</v>
      </c>
      <c r="AL116" s="363">
        <v>6958532</v>
      </c>
      <c r="AM116" s="362">
        <v>7040745</v>
      </c>
      <c r="AN116" s="362">
        <v>7118656</v>
      </c>
      <c r="AO116" s="362">
        <v>7193912</v>
      </c>
      <c r="AP116" s="362">
        <v>7267721</v>
      </c>
      <c r="AQ116" s="362">
        <v>7339915</v>
      </c>
      <c r="AR116" s="362">
        <v>7409789</v>
      </c>
      <c r="AS116" s="362">
        <v>7477413</v>
      </c>
      <c r="AT116" s="362">
        <v>7542922</v>
      </c>
      <c r="AU116" s="362">
        <v>7606415</v>
      </c>
      <c r="AV116" s="362" t="s">
        <v>275</v>
      </c>
      <c r="AW116" s="362">
        <v>1.3845911413315815E-2</v>
      </c>
      <c r="AX116" s="362">
        <v>1.2696302238356383E-2</v>
      </c>
    </row>
    <row r="117" spans="1:50" x14ac:dyDescent="0.25">
      <c r="A117" s="361" t="s">
        <v>277</v>
      </c>
      <c r="B117" s="361">
        <v>438</v>
      </c>
      <c r="C117" s="367" t="s">
        <v>276</v>
      </c>
      <c r="D117" s="361">
        <v>113</v>
      </c>
      <c r="E117" s="361">
        <v>11</v>
      </c>
      <c r="F117" s="361" t="s">
        <v>2374</v>
      </c>
      <c r="G117" s="368">
        <v>0</v>
      </c>
      <c r="H117" s="368">
        <v>0</v>
      </c>
      <c r="I117" s="368">
        <v>0</v>
      </c>
      <c r="J117" s="368">
        <v>0</v>
      </c>
      <c r="K117" s="368">
        <v>0</v>
      </c>
      <c r="L117" s="368">
        <v>0</v>
      </c>
      <c r="M117" s="368">
        <v>0</v>
      </c>
      <c r="N117" s="368">
        <v>0</v>
      </c>
      <c r="O117" s="368">
        <v>0</v>
      </c>
      <c r="P117" s="368">
        <v>0</v>
      </c>
      <c r="Q117" s="368">
        <v>0</v>
      </c>
      <c r="R117" s="368">
        <v>0</v>
      </c>
      <c r="S117" s="368">
        <v>0</v>
      </c>
      <c r="T117" s="368">
        <v>0</v>
      </c>
      <c r="U117" s="368">
        <v>0</v>
      </c>
      <c r="V117" s="368">
        <v>0</v>
      </c>
      <c r="W117" s="368">
        <v>0</v>
      </c>
      <c r="X117" s="368">
        <v>0</v>
      </c>
      <c r="Y117" s="368">
        <v>0</v>
      </c>
      <c r="Z117" s="368">
        <v>0</v>
      </c>
      <c r="AA117" s="368">
        <v>0</v>
      </c>
      <c r="AB117" s="368">
        <v>0</v>
      </c>
      <c r="AC117" s="368">
        <v>0</v>
      </c>
      <c r="AD117" s="368">
        <v>0</v>
      </c>
      <c r="AE117" s="368">
        <v>0</v>
      </c>
      <c r="AF117" s="368">
        <v>0</v>
      </c>
      <c r="AG117" s="368">
        <v>0</v>
      </c>
      <c r="AH117" s="368">
        <v>0</v>
      </c>
      <c r="AI117" s="368">
        <v>0</v>
      </c>
      <c r="AJ117" s="368">
        <v>0</v>
      </c>
      <c r="AK117" s="368">
        <v>0</v>
      </c>
      <c r="AL117" s="363">
        <v>38250</v>
      </c>
      <c r="AM117" s="362">
        <v>38387</v>
      </c>
      <c r="AN117" s="362">
        <v>38521</v>
      </c>
      <c r="AO117" s="362">
        <v>38667</v>
      </c>
      <c r="AP117" s="362">
        <v>38795</v>
      </c>
      <c r="AQ117" s="362">
        <v>38932</v>
      </c>
      <c r="AR117" s="362">
        <v>39047</v>
      </c>
      <c r="AS117" s="362">
        <v>39169</v>
      </c>
      <c r="AT117" s="362">
        <v>39293</v>
      </c>
      <c r="AU117" s="362">
        <v>39402</v>
      </c>
      <c r="AV117" s="362" t="s">
        <v>277</v>
      </c>
      <c r="AW117" s="362" t="e">
        <v>#DIV/0!</v>
      </c>
      <c r="AX117" s="362" t="e">
        <v>#DIV/0!</v>
      </c>
    </row>
    <row r="118" spans="1:50" x14ac:dyDescent="0.25">
      <c r="A118" s="361" t="s">
        <v>279</v>
      </c>
      <c r="B118" s="361">
        <v>440</v>
      </c>
      <c r="C118" s="361" t="s">
        <v>278</v>
      </c>
      <c r="D118" s="361">
        <v>114</v>
      </c>
      <c r="E118" s="361">
        <v>12</v>
      </c>
      <c r="F118" s="361" t="s">
        <v>2374</v>
      </c>
      <c r="G118" s="362">
        <v>3696034.9999999995</v>
      </c>
      <c r="H118" s="362">
        <v>3697457</v>
      </c>
      <c r="I118" s="362">
        <v>3688106.0000000005</v>
      </c>
      <c r="J118" s="362">
        <v>3670651</v>
      </c>
      <c r="K118" s="362">
        <v>3649143</v>
      </c>
      <c r="L118" s="362">
        <v>3626612</v>
      </c>
      <c r="M118" s="362">
        <v>3603755.9999999995</v>
      </c>
      <c r="N118" s="362">
        <v>3579910</v>
      </c>
      <c r="O118" s="362">
        <v>3555141</v>
      </c>
      <c r="P118" s="362">
        <v>3529181</v>
      </c>
      <c r="Q118" s="362">
        <v>3501839</v>
      </c>
      <c r="R118" s="362">
        <v>3473625</v>
      </c>
      <c r="S118" s="362">
        <v>3444763</v>
      </c>
      <c r="T118" s="362">
        <v>3414364.9999999995</v>
      </c>
      <c r="U118" s="362">
        <v>3381131</v>
      </c>
      <c r="V118" s="362">
        <v>3344268</v>
      </c>
      <c r="W118" s="362">
        <v>3303335</v>
      </c>
      <c r="X118" s="362">
        <v>3258980</v>
      </c>
      <c r="Y118" s="362">
        <v>3212865</v>
      </c>
      <c r="Z118" s="362">
        <v>3167265</v>
      </c>
      <c r="AA118" s="362">
        <v>3123815.9999999995</v>
      </c>
      <c r="AB118" s="362">
        <v>3083402.9999999995</v>
      </c>
      <c r="AC118" s="362">
        <v>3045561</v>
      </c>
      <c r="AD118" s="362">
        <v>3008934</v>
      </c>
      <c r="AE118" s="362">
        <v>2971497</v>
      </c>
      <c r="AF118" s="362">
        <v>2931880</v>
      </c>
      <c r="AG118" s="362">
        <v>2889557</v>
      </c>
      <c r="AH118" s="362">
        <v>2845414.0000000005</v>
      </c>
      <c r="AI118" s="362">
        <v>2801264</v>
      </c>
      <c r="AJ118" s="362">
        <v>2759627</v>
      </c>
      <c r="AK118" s="362">
        <v>2722289.0000000005</v>
      </c>
      <c r="AL118" s="363">
        <v>2689862</v>
      </c>
      <c r="AM118" s="362">
        <v>2661708</v>
      </c>
      <c r="AN118" s="362">
        <v>2636855</v>
      </c>
      <c r="AO118" s="362">
        <v>2613768</v>
      </c>
      <c r="AP118" s="362">
        <v>2591273</v>
      </c>
      <c r="AQ118" s="362">
        <v>2569130</v>
      </c>
      <c r="AR118" s="362">
        <v>2547568</v>
      </c>
      <c r="AS118" s="362">
        <v>2526392</v>
      </c>
      <c r="AT118" s="362">
        <v>2505492</v>
      </c>
      <c r="AU118" s="362">
        <v>2484803</v>
      </c>
      <c r="AV118" s="362" t="s">
        <v>279</v>
      </c>
      <c r="AW118" s="362">
        <v>-1.3530089392515543E-2</v>
      </c>
      <c r="AX118" s="362">
        <v>-1.1911666983189684E-2</v>
      </c>
    </row>
    <row r="119" spans="1:50" x14ac:dyDescent="0.25">
      <c r="A119" s="361" t="s">
        <v>281</v>
      </c>
      <c r="B119" s="361">
        <v>442</v>
      </c>
      <c r="C119" s="361" t="s">
        <v>280</v>
      </c>
      <c r="D119" s="361">
        <v>115</v>
      </c>
      <c r="E119" s="361">
        <v>11</v>
      </c>
      <c r="F119" s="361" t="s">
        <v>2374</v>
      </c>
      <c r="G119" s="362">
        <v>381791</v>
      </c>
      <c r="H119" s="362">
        <v>386352</v>
      </c>
      <c r="I119" s="362">
        <v>391394</v>
      </c>
      <c r="J119" s="362">
        <v>396810</v>
      </c>
      <c r="K119" s="362">
        <v>402433</v>
      </c>
      <c r="L119" s="362">
        <v>408149</v>
      </c>
      <c r="M119" s="362">
        <v>413999</v>
      </c>
      <c r="N119" s="362">
        <v>419974</v>
      </c>
      <c r="O119" s="362">
        <v>425833</v>
      </c>
      <c r="P119" s="362">
        <v>431262</v>
      </c>
      <c r="Q119" s="362">
        <v>436103</v>
      </c>
      <c r="R119" s="362">
        <v>440198</v>
      </c>
      <c r="S119" s="362">
        <v>443726</v>
      </c>
      <c r="T119" s="362">
        <v>447322</v>
      </c>
      <c r="U119" s="362">
        <v>451819</v>
      </c>
      <c r="V119" s="362">
        <v>457842</v>
      </c>
      <c r="W119" s="362">
        <v>465610</v>
      </c>
      <c r="X119" s="362">
        <v>474915.00000000006</v>
      </c>
      <c r="Y119" s="362">
        <v>485405</v>
      </c>
      <c r="Z119" s="362">
        <v>496527</v>
      </c>
      <c r="AA119" s="362">
        <v>507889.00000000006</v>
      </c>
      <c r="AB119" s="362">
        <v>519306.99999999994</v>
      </c>
      <c r="AC119" s="362">
        <v>530857</v>
      </c>
      <c r="AD119" s="362">
        <v>542559.99999999988</v>
      </c>
      <c r="AE119" s="362">
        <v>554516</v>
      </c>
      <c r="AF119" s="362">
        <v>566740.99999999988</v>
      </c>
      <c r="AG119" s="362">
        <v>579264</v>
      </c>
      <c r="AH119" s="362">
        <v>591909.99999999988</v>
      </c>
      <c r="AI119" s="362">
        <v>604245</v>
      </c>
      <c r="AJ119" s="362">
        <v>615729.00000000012</v>
      </c>
      <c r="AK119" s="362">
        <v>625977.99999999988</v>
      </c>
      <c r="AL119" s="362">
        <v>634814</v>
      </c>
      <c r="AM119" s="362">
        <v>642371</v>
      </c>
      <c r="AN119" s="362">
        <v>648977</v>
      </c>
      <c r="AO119" s="362">
        <v>655110</v>
      </c>
      <c r="AP119" s="362">
        <v>661131</v>
      </c>
      <c r="AQ119" s="362">
        <v>667126</v>
      </c>
      <c r="AR119" s="362">
        <v>673040</v>
      </c>
      <c r="AS119" s="362">
        <v>678887</v>
      </c>
      <c r="AT119" s="362">
        <v>684659</v>
      </c>
      <c r="AU119" s="362">
        <v>690348</v>
      </c>
      <c r="AV119" s="362" t="s">
        <v>281</v>
      </c>
      <c r="AW119" s="362">
        <v>1.6645309868464464E-2</v>
      </c>
      <c r="AX119" s="362">
        <v>1.4115512046749545E-2</v>
      </c>
    </row>
    <row r="120" spans="1:50" x14ac:dyDescent="0.25">
      <c r="A120" s="361" t="s">
        <v>283</v>
      </c>
      <c r="B120" s="361">
        <v>446</v>
      </c>
      <c r="C120" s="361" t="s">
        <v>282</v>
      </c>
      <c r="D120" s="361">
        <v>116</v>
      </c>
      <c r="E120" s="361">
        <v>20</v>
      </c>
      <c r="F120" s="361" t="s">
        <v>2374</v>
      </c>
      <c r="G120" s="362">
        <v>343808</v>
      </c>
      <c r="H120" s="362">
        <v>353626</v>
      </c>
      <c r="I120" s="362">
        <v>362311</v>
      </c>
      <c r="J120" s="362">
        <v>370199</v>
      </c>
      <c r="K120" s="362">
        <v>377798</v>
      </c>
      <c r="L120" s="362">
        <v>385513</v>
      </c>
      <c r="M120" s="362">
        <v>393373</v>
      </c>
      <c r="N120" s="362">
        <v>401352</v>
      </c>
      <c r="O120" s="362">
        <v>409616</v>
      </c>
      <c r="P120" s="362">
        <v>418383</v>
      </c>
      <c r="Q120" s="362">
        <v>427782</v>
      </c>
      <c r="R120" s="362">
        <v>437938</v>
      </c>
      <c r="S120" s="362">
        <v>448821</v>
      </c>
      <c r="T120" s="362">
        <v>460165.00000000006</v>
      </c>
      <c r="U120" s="362">
        <v>471597</v>
      </c>
      <c r="V120" s="362">
        <v>482858</v>
      </c>
      <c r="W120" s="362">
        <v>493799</v>
      </c>
      <c r="X120" s="362">
        <v>504511.00000000006</v>
      </c>
      <c r="Y120" s="362">
        <v>515239</v>
      </c>
      <c r="Z120" s="362">
        <v>526400</v>
      </c>
      <c r="AA120" s="362">
        <v>538219</v>
      </c>
      <c r="AB120" s="362">
        <v>550832</v>
      </c>
      <c r="AC120" s="362">
        <v>564039</v>
      </c>
      <c r="AD120" s="362">
        <v>577372</v>
      </c>
      <c r="AE120" s="362">
        <v>590208</v>
      </c>
      <c r="AF120" s="362">
        <v>602085</v>
      </c>
      <c r="AG120" s="362">
        <v>612836</v>
      </c>
      <c r="AH120" s="362">
        <v>622585</v>
      </c>
      <c r="AI120" s="362">
        <v>631636</v>
      </c>
      <c r="AJ120" s="362">
        <v>640686.99999999988</v>
      </c>
      <c r="AK120" s="362">
        <v>649737.99999999977</v>
      </c>
      <c r="AL120" s="363">
        <v>658394</v>
      </c>
      <c r="AM120" s="362">
        <v>667490</v>
      </c>
      <c r="AN120" s="362">
        <v>676545</v>
      </c>
      <c r="AO120" s="362">
        <v>685382</v>
      </c>
      <c r="AP120" s="362">
        <v>693893</v>
      </c>
      <c r="AQ120" s="362">
        <v>702071</v>
      </c>
      <c r="AR120" s="362">
        <v>709948</v>
      </c>
      <c r="AS120" s="362">
        <v>717535</v>
      </c>
      <c r="AT120" s="362">
        <v>724837</v>
      </c>
      <c r="AU120" s="362">
        <v>731874</v>
      </c>
      <c r="AV120" s="362" t="s">
        <v>283</v>
      </c>
      <c r="AW120" s="362">
        <v>1.4127023023722707E-2</v>
      </c>
      <c r="AX120" s="362">
        <v>1.3322292985788575E-2</v>
      </c>
    </row>
    <row r="121" spans="1:50" x14ac:dyDescent="0.25">
      <c r="A121" s="361" t="s">
        <v>285</v>
      </c>
      <c r="B121" s="361">
        <v>807</v>
      </c>
      <c r="C121" s="361" t="s">
        <v>284</v>
      </c>
      <c r="D121" s="361">
        <v>210</v>
      </c>
      <c r="E121" s="361">
        <v>12</v>
      </c>
      <c r="F121" s="361" t="s">
        <v>2374</v>
      </c>
      <c r="G121" s="362">
        <v>1996228</v>
      </c>
      <c r="H121" s="362">
        <v>1993302</v>
      </c>
      <c r="I121" s="362">
        <v>1988659.0000000002</v>
      </c>
      <c r="J121" s="362">
        <v>1984028.0000000002</v>
      </c>
      <c r="K121" s="362">
        <v>1981703</v>
      </c>
      <c r="L121" s="362">
        <v>1983252</v>
      </c>
      <c r="M121" s="362">
        <v>1989443</v>
      </c>
      <c r="N121" s="362">
        <v>1999598</v>
      </c>
      <c r="O121" s="362">
        <v>2012057</v>
      </c>
      <c r="P121" s="362">
        <v>2024394</v>
      </c>
      <c r="Q121" s="362">
        <v>2034819.0000000002</v>
      </c>
      <c r="R121" s="362">
        <v>2042842.0000000002</v>
      </c>
      <c r="S121" s="362">
        <v>2048928</v>
      </c>
      <c r="T121" s="362">
        <v>2053426</v>
      </c>
      <c r="U121" s="362">
        <v>2057048</v>
      </c>
      <c r="V121" s="362">
        <v>2060273</v>
      </c>
      <c r="W121" s="362">
        <v>2063130.9999999998</v>
      </c>
      <c r="X121" s="362">
        <v>2065426</v>
      </c>
      <c r="Y121" s="362">
        <v>2067313</v>
      </c>
      <c r="Z121" s="362">
        <v>2069039</v>
      </c>
      <c r="AA121" s="362">
        <v>2070741</v>
      </c>
      <c r="AB121" s="362">
        <v>2072487.0000000002</v>
      </c>
      <c r="AC121" s="362">
        <v>2074277.9999999995</v>
      </c>
      <c r="AD121" s="362">
        <v>2076067</v>
      </c>
      <c r="AE121" s="362">
        <v>2077775</v>
      </c>
      <c r="AF121" s="362">
        <v>2079327.9999999998</v>
      </c>
      <c r="AG121" s="362">
        <v>2080743</v>
      </c>
      <c r="AH121" s="362">
        <v>2081996.0000000002</v>
      </c>
      <c r="AI121" s="362">
        <v>2082957</v>
      </c>
      <c r="AJ121" s="362">
        <v>2083459</v>
      </c>
      <c r="AK121" s="362">
        <v>2083373.9999999995</v>
      </c>
      <c r="AL121" s="363">
        <v>2082658</v>
      </c>
      <c r="AM121" s="362">
        <v>2081304</v>
      </c>
      <c r="AN121" s="362">
        <v>2079333</v>
      </c>
      <c r="AO121" s="362">
        <v>2076827.0000000002</v>
      </c>
      <c r="AP121" s="362">
        <v>2073804.9999999998</v>
      </c>
      <c r="AQ121" s="362">
        <v>2070275</v>
      </c>
      <c r="AR121" s="362">
        <v>2066217.9999999998</v>
      </c>
      <c r="AS121" s="362">
        <v>2061612.9999999998</v>
      </c>
      <c r="AT121" s="362">
        <v>2056460</v>
      </c>
      <c r="AU121" s="362">
        <v>2050746.9999999998</v>
      </c>
      <c r="AV121" s="362" t="s">
        <v>285</v>
      </c>
      <c r="AW121" s="362">
        <v>-4.0797539092696233E-5</v>
      </c>
      <c r="AX121" s="362">
        <v>-3.4367329149709303E-4</v>
      </c>
    </row>
    <row r="122" spans="1:50" x14ac:dyDescent="0.25">
      <c r="A122" s="361" t="s">
        <v>287</v>
      </c>
      <c r="B122" s="361">
        <v>450</v>
      </c>
      <c r="C122" s="361" t="s">
        <v>286</v>
      </c>
      <c r="D122" s="361">
        <v>117</v>
      </c>
      <c r="E122" s="361">
        <v>9</v>
      </c>
      <c r="F122" s="361" t="s">
        <v>2374</v>
      </c>
      <c r="G122" s="362">
        <v>11598633</v>
      </c>
      <c r="H122" s="362">
        <v>11942819</v>
      </c>
      <c r="I122" s="362">
        <v>12301336</v>
      </c>
      <c r="J122" s="362">
        <v>12675460</v>
      </c>
      <c r="K122" s="362">
        <v>13066543</v>
      </c>
      <c r="L122" s="362">
        <v>13475400</v>
      </c>
      <c r="M122" s="362">
        <v>13902688</v>
      </c>
      <c r="N122" s="362">
        <v>14347854</v>
      </c>
      <c r="O122" s="362">
        <v>14808791</v>
      </c>
      <c r="P122" s="362">
        <v>15282521</v>
      </c>
      <c r="Q122" s="362">
        <v>15766806</v>
      </c>
      <c r="R122" s="362">
        <v>16260932</v>
      </c>
      <c r="S122" s="362">
        <v>16765117</v>
      </c>
      <c r="T122" s="362">
        <v>17279141</v>
      </c>
      <c r="U122" s="362">
        <v>17802996.999999996</v>
      </c>
      <c r="V122" s="362">
        <v>18336723.999999996</v>
      </c>
      <c r="W122" s="362">
        <v>18880269.000000004</v>
      </c>
      <c r="X122" s="362">
        <v>19433529.999999996</v>
      </c>
      <c r="Y122" s="362">
        <v>19996473</v>
      </c>
      <c r="Z122" s="362">
        <v>20569117</v>
      </c>
      <c r="AA122" s="362">
        <v>21151640</v>
      </c>
      <c r="AB122" s="362">
        <v>21743967</v>
      </c>
      <c r="AC122" s="362">
        <v>22346645</v>
      </c>
      <c r="AD122" s="362">
        <v>22961255</v>
      </c>
      <c r="AE122" s="362">
        <v>23589888</v>
      </c>
      <c r="AF122" s="362">
        <v>24234088</v>
      </c>
      <c r="AG122" s="362">
        <v>24894370</v>
      </c>
      <c r="AH122" s="362">
        <v>25570511.999999996</v>
      </c>
      <c r="AI122" s="362">
        <v>26262313</v>
      </c>
      <c r="AJ122" s="362">
        <v>26969307</v>
      </c>
      <c r="AK122" s="362">
        <v>27691018</v>
      </c>
      <c r="AL122" s="363">
        <v>28427328</v>
      </c>
      <c r="AM122" s="362">
        <v>29178077</v>
      </c>
      <c r="AN122" s="362">
        <v>29942607</v>
      </c>
      <c r="AO122" s="362">
        <v>30720110</v>
      </c>
      <c r="AP122" s="362">
        <v>31509841</v>
      </c>
      <c r="AQ122" s="362">
        <v>32311430</v>
      </c>
      <c r="AR122" s="362">
        <v>33124449.999999996</v>
      </c>
      <c r="AS122" s="362">
        <v>33947959</v>
      </c>
      <c r="AT122" s="362">
        <v>34780863</v>
      </c>
      <c r="AU122" s="362">
        <v>35622321</v>
      </c>
      <c r="AV122" s="362" t="s">
        <v>287</v>
      </c>
      <c r="AW122" s="362">
        <v>2.6760457730708564E-2</v>
      </c>
      <c r="AX122" s="362">
        <v>2.6590210587418728E-2</v>
      </c>
    </row>
    <row r="123" spans="1:50" x14ac:dyDescent="0.25">
      <c r="A123" s="361" t="s">
        <v>289</v>
      </c>
      <c r="B123" s="361">
        <v>454</v>
      </c>
      <c r="C123" s="361" t="s">
        <v>288</v>
      </c>
      <c r="D123" s="361">
        <v>118</v>
      </c>
      <c r="E123" s="361">
        <v>26</v>
      </c>
      <c r="F123" s="361" t="s">
        <v>2374</v>
      </c>
      <c r="G123" s="362">
        <v>9404500</v>
      </c>
      <c r="H123" s="362">
        <v>9600355</v>
      </c>
      <c r="I123" s="362">
        <v>9685973</v>
      </c>
      <c r="J123" s="362">
        <v>9710331</v>
      </c>
      <c r="K123" s="362">
        <v>9745690</v>
      </c>
      <c r="L123" s="362">
        <v>9844415.0000000019</v>
      </c>
      <c r="M123" s="362">
        <v>10022789.000000002</v>
      </c>
      <c r="N123" s="362">
        <v>10264906.000000002</v>
      </c>
      <c r="O123" s="362">
        <v>10552337.999999998</v>
      </c>
      <c r="P123" s="362">
        <v>10854322</v>
      </c>
      <c r="Q123" s="362">
        <v>11148757.999999998</v>
      </c>
      <c r="R123" s="362">
        <v>11432000</v>
      </c>
      <c r="S123" s="362">
        <v>11713664.000000002</v>
      </c>
      <c r="T123" s="362">
        <v>12000181.000000002</v>
      </c>
      <c r="U123" s="362">
        <v>12301838</v>
      </c>
      <c r="V123" s="362">
        <v>12625952</v>
      </c>
      <c r="W123" s="362">
        <v>12973699</v>
      </c>
      <c r="X123" s="362">
        <v>13341806</v>
      </c>
      <c r="Y123" s="362">
        <v>13727889.999999998</v>
      </c>
      <c r="Z123" s="362">
        <v>14128155.000000002</v>
      </c>
      <c r="AA123" s="362">
        <v>14539612</v>
      </c>
      <c r="AB123" s="362">
        <v>14962114.999999998</v>
      </c>
      <c r="AC123" s="362">
        <v>15396015</v>
      </c>
      <c r="AD123" s="362">
        <v>15839286</v>
      </c>
      <c r="AE123" s="362">
        <v>16289552</v>
      </c>
      <c r="AF123" s="362">
        <v>16745303</v>
      </c>
      <c r="AG123" s="362">
        <v>17205261</v>
      </c>
      <c r="AH123" s="362">
        <v>17670196</v>
      </c>
      <c r="AI123" s="362">
        <v>18143217</v>
      </c>
      <c r="AJ123" s="362">
        <v>18628747</v>
      </c>
      <c r="AK123" s="362">
        <v>19129952</v>
      </c>
      <c r="AL123" s="363">
        <v>19647684</v>
      </c>
      <c r="AM123" s="362">
        <v>20180839</v>
      </c>
      <c r="AN123" s="362">
        <v>20728156</v>
      </c>
      <c r="AO123" s="362">
        <v>21287585</v>
      </c>
      <c r="AP123" s="362">
        <v>21857472</v>
      </c>
      <c r="AQ123" s="362">
        <v>22437390</v>
      </c>
      <c r="AR123" s="362">
        <v>23027348</v>
      </c>
      <c r="AS123" s="362">
        <v>23626571</v>
      </c>
      <c r="AT123" s="362">
        <v>24234181</v>
      </c>
      <c r="AU123" s="362">
        <v>24849440</v>
      </c>
      <c r="AV123" s="362" t="s">
        <v>289</v>
      </c>
      <c r="AW123" s="362">
        <v>2.6904922805597087E-2</v>
      </c>
      <c r="AX123" s="362">
        <v>2.706394663196221E-2</v>
      </c>
    </row>
    <row r="124" spans="1:50" x14ac:dyDescent="0.25">
      <c r="A124" s="361" t="s">
        <v>291</v>
      </c>
      <c r="B124" s="361">
        <v>458</v>
      </c>
      <c r="C124" s="361" t="s">
        <v>290</v>
      </c>
      <c r="D124" s="361">
        <v>119</v>
      </c>
      <c r="E124" s="361">
        <v>21</v>
      </c>
      <c r="F124" s="361" t="s">
        <v>2374</v>
      </c>
      <c r="G124" s="362">
        <v>18029824</v>
      </c>
      <c r="H124" s="362">
        <v>18519937.000000004</v>
      </c>
      <c r="I124" s="362">
        <v>19002656</v>
      </c>
      <c r="J124" s="362">
        <v>19484898</v>
      </c>
      <c r="K124" s="362">
        <v>19977500</v>
      </c>
      <c r="L124" s="362">
        <v>20487607</v>
      </c>
      <c r="M124" s="362">
        <v>21017613</v>
      </c>
      <c r="N124" s="362">
        <v>21562793.000000004</v>
      </c>
      <c r="O124" s="362">
        <v>22114653.999999996</v>
      </c>
      <c r="P124" s="362">
        <v>22661298</v>
      </c>
      <c r="Q124" s="362">
        <v>23194257</v>
      </c>
      <c r="R124" s="362">
        <v>23709118.999999996</v>
      </c>
      <c r="S124" s="362">
        <v>24208391</v>
      </c>
      <c r="T124" s="362">
        <v>24698819</v>
      </c>
      <c r="U124" s="362">
        <v>25190651.999999996</v>
      </c>
      <c r="V124" s="362">
        <v>25690611</v>
      </c>
      <c r="W124" s="362">
        <v>26201961</v>
      </c>
      <c r="X124" s="362">
        <v>26720370</v>
      </c>
      <c r="Y124" s="362">
        <v>27236006</v>
      </c>
      <c r="Z124" s="362">
        <v>27735040</v>
      </c>
      <c r="AA124" s="362">
        <v>28208035</v>
      </c>
      <c r="AB124" s="362">
        <v>28650959</v>
      </c>
      <c r="AC124" s="362">
        <v>29068188.999999996</v>
      </c>
      <c r="AD124" s="362">
        <v>29468923</v>
      </c>
      <c r="AE124" s="362">
        <v>29866602.999999996</v>
      </c>
      <c r="AF124" s="362">
        <v>30270962</v>
      </c>
      <c r="AG124" s="362">
        <v>30684654</v>
      </c>
      <c r="AH124" s="362">
        <v>31104646</v>
      </c>
      <c r="AI124" s="362">
        <v>31528033</v>
      </c>
      <c r="AJ124" s="362">
        <v>31949776.999999996</v>
      </c>
      <c r="AK124" s="362">
        <v>32365999.000000004</v>
      </c>
      <c r="AL124" s="363">
        <v>32776194.000000004</v>
      </c>
      <c r="AM124" s="362">
        <v>33181072</v>
      </c>
      <c r="AN124" s="362">
        <v>33579265</v>
      </c>
      <c r="AO124" s="362">
        <v>33969290</v>
      </c>
      <c r="AP124" s="362">
        <v>34349936</v>
      </c>
      <c r="AQ124" s="362">
        <v>34720347</v>
      </c>
      <c r="AR124" s="362">
        <v>35080112</v>
      </c>
      <c r="AS124" s="362">
        <v>35429087</v>
      </c>
      <c r="AT124" s="362">
        <v>35767388</v>
      </c>
      <c r="AU124" s="362">
        <v>36095054</v>
      </c>
      <c r="AV124" s="362" t="s">
        <v>291</v>
      </c>
      <c r="AW124" s="362">
        <v>1.3027383571409867E-2</v>
      </c>
      <c r="AX124" s="362">
        <v>1.2673639395465619E-2</v>
      </c>
    </row>
    <row r="125" spans="1:50" x14ac:dyDescent="0.25">
      <c r="A125" s="361" t="s">
        <v>293</v>
      </c>
      <c r="B125" s="361">
        <v>462</v>
      </c>
      <c r="C125" s="361" t="s">
        <v>292</v>
      </c>
      <c r="D125" s="361">
        <v>120</v>
      </c>
      <c r="E125" s="361">
        <v>25</v>
      </c>
      <c r="F125" s="361" t="s">
        <v>2374</v>
      </c>
      <c r="G125" s="362">
        <v>223158</v>
      </c>
      <c r="H125" s="362">
        <v>229751</v>
      </c>
      <c r="I125" s="362">
        <v>236264.99999999997</v>
      </c>
      <c r="J125" s="362">
        <v>242605</v>
      </c>
      <c r="K125" s="362">
        <v>248588</v>
      </c>
      <c r="L125" s="362">
        <v>254139</v>
      </c>
      <c r="M125" s="362">
        <v>259183</v>
      </c>
      <c r="N125" s="362">
        <v>263841.99999999994</v>
      </c>
      <c r="O125" s="362">
        <v>268455</v>
      </c>
      <c r="P125" s="362">
        <v>273526.99999999994</v>
      </c>
      <c r="Q125" s="362">
        <v>279398.00000000006</v>
      </c>
      <c r="R125" s="362">
        <v>286306</v>
      </c>
      <c r="S125" s="362">
        <v>294186</v>
      </c>
      <c r="T125" s="362">
        <v>302683</v>
      </c>
      <c r="U125" s="362">
        <v>311265</v>
      </c>
      <c r="V125" s="362">
        <v>319608</v>
      </c>
      <c r="W125" s="362">
        <v>327487</v>
      </c>
      <c r="X125" s="362">
        <v>335169</v>
      </c>
      <c r="Y125" s="362">
        <v>343452</v>
      </c>
      <c r="Z125" s="362">
        <v>353398.00000000006</v>
      </c>
      <c r="AA125" s="362">
        <v>365734</v>
      </c>
      <c r="AB125" s="362">
        <v>380495</v>
      </c>
      <c r="AC125" s="362">
        <v>397237</v>
      </c>
      <c r="AD125" s="362">
        <v>415593</v>
      </c>
      <c r="AE125" s="362">
        <v>435015</v>
      </c>
      <c r="AF125" s="362">
        <v>454915</v>
      </c>
      <c r="AG125" s="362">
        <v>475512</v>
      </c>
      <c r="AH125" s="362">
        <v>496402</v>
      </c>
      <c r="AI125" s="362">
        <v>515696.00000000006</v>
      </c>
      <c r="AJ125" s="362">
        <v>530953</v>
      </c>
      <c r="AK125" s="362">
        <v>540544</v>
      </c>
      <c r="AL125" s="363">
        <v>543617</v>
      </c>
      <c r="AM125" s="362">
        <v>540985</v>
      </c>
      <c r="AN125" s="362">
        <v>534677</v>
      </c>
      <c r="AO125" s="362">
        <v>527654</v>
      </c>
      <c r="AP125" s="362">
        <v>522128.00000000006</v>
      </c>
      <c r="AQ125" s="362">
        <v>518720</v>
      </c>
      <c r="AR125" s="362">
        <v>516999</v>
      </c>
      <c r="AS125" s="362">
        <v>516816.00000000006</v>
      </c>
      <c r="AT125" s="362">
        <v>517726</v>
      </c>
      <c r="AU125" s="362">
        <v>519341</v>
      </c>
      <c r="AV125" s="362" t="s">
        <v>293</v>
      </c>
      <c r="AW125" s="362">
        <v>1.8063745755273919E-2</v>
      </c>
      <c r="AX125" s="362">
        <v>5.6850136159127818E-3</v>
      </c>
    </row>
    <row r="126" spans="1:50" x14ac:dyDescent="0.25">
      <c r="A126" s="361" t="s">
        <v>295</v>
      </c>
      <c r="B126" s="361">
        <v>466</v>
      </c>
      <c r="C126" s="361" t="s">
        <v>294</v>
      </c>
      <c r="D126" s="361">
        <v>121</v>
      </c>
      <c r="E126" s="361">
        <v>8</v>
      </c>
      <c r="F126" s="361" t="s">
        <v>2374</v>
      </c>
      <c r="G126" s="362">
        <v>8449913</v>
      </c>
      <c r="H126" s="362">
        <v>8635527</v>
      </c>
      <c r="I126" s="362">
        <v>8850334</v>
      </c>
      <c r="J126" s="362">
        <v>9087176</v>
      </c>
      <c r="K126" s="362">
        <v>9334880</v>
      </c>
      <c r="L126" s="362">
        <v>9585653</v>
      </c>
      <c r="M126" s="362">
        <v>9837571</v>
      </c>
      <c r="N126" s="362">
        <v>10094368.000000002</v>
      </c>
      <c r="O126" s="362">
        <v>10360561</v>
      </c>
      <c r="P126" s="362">
        <v>10642935.999999998</v>
      </c>
      <c r="Q126" s="362">
        <v>10946444.999999998</v>
      </c>
      <c r="R126" s="362">
        <v>11271600.000000002</v>
      </c>
      <c r="S126" s="362">
        <v>11616887</v>
      </c>
      <c r="T126" s="362">
        <v>11982695</v>
      </c>
      <c r="U126" s="362">
        <v>12369069.999999998</v>
      </c>
      <c r="V126" s="362">
        <v>12775516</v>
      </c>
      <c r="W126" s="362">
        <v>13203378</v>
      </c>
      <c r="X126" s="362">
        <v>13651464</v>
      </c>
      <c r="Y126" s="362">
        <v>14113577</v>
      </c>
      <c r="Z126" s="362">
        <v>14581429</v>
      </c>
      <c r="AA126" s="362">
        <v>15049353</v>
      </c>
      <c r="AB126" s="362">
        <v>15514590</v>
      </c>
      <c r="AC126" s="362">
        <v>15979496</v>
      </c>
      <c r="AD126" s="362">
        <v>16449853.999999998</v>
      </c>
      <c r="AE126" s="362">
        <v>16934214</v>
      </c>
      <c r="AF126" s="362">
        <v>17438778</v>
      </c>
      <c r="AG126" s="362">
        <v>17965443</v>
      </c>
      <c r="AH126" s="362">
        <v>18512430.000000004</v>
      </c>
      <c r="AI126" s="362">
        <v>19077749</v>
      </c>
      <c r="AJ126" s="362">
        <v>19658030.999999996</v>
      </c>
      <c r="AK126" s="362">
        <v>20250833</v>
      </c>
      <c r="AL126" s="363">
        <v>20855735</v>
      </c>
      <c r="AM126" s="362">
        <v>21473764</v>
      </c>
      <c r="AN126" s="362">
        <v>22105731</v>
      </c>
      <c r="AO126" s="362">
        <v>22752840</v>
      </c>
      <c r="AP126" s="362">
        <v>23415891</v>
      </c>
      <c r="AQ126" s="362">
        <v>24094926</v>
      </c>
      <c r="AR126" s="362">
        <v>24789315</v>
      </c>
      <c r="AS126" s="362">
        <v>25498423</v>
      </c>
      <c r="AT126" s="362">
        <v>26221380</v>
      </c>
      <c r="AU126" s="362">
        <v>26957396</v>
      </c>
      <c r="AV126" s="362" t="s">
        <v>295</v>
      </c>
      <c r="AW126" s="362">
        <v>3.0155716002279398E-2</v>
      </c>
      <c r="AX126" s="362">
        <v>2.9870474957746085E-2</v>
      </c>
    </row>
    <row r="127" spans="1:50" x14ac:dyDescent="0.25">
      <c r="A127" s="361" t="s">
        <v>297</v>
      </c>
      <c r="B127" s="361">
        <v>470</v>
      </c>
      <c r="C127" s="361" t="s">
        <v>296</v>
      </c>
      <c r="D127" s="361">
        <v>122</v>
      </c>
      <c r="E127" s="361">
        <v>11</v>
      </c>
      <c r="F127" s="361" t="s">
        <v>2374</v>
      </c>
      <c r="G127" s="362">
        <v>362015</v>
      </c>
      <c r="H127" s="362">
        <v>365002</v>
      </c>
      <c r="I127" s="362">
        <v>367891</v>
      </c>
      <c r="J127" s="362">
        <v>370774.99999999994</v>
      </c>
      <c r="K127" s="362">
        <v>373750</v>
      </c>
      <c r="L127" s="362">
        <v>376896</v>
      </c>
      <c r="M127" s="362">
        <v>380253</v>
      </c>
      <c r="N127" s="362">
        <v>383760</v>
      </c>
      <c r="O127" s="362">
        <v>387290</v>
      </c>
      <c r="P127" s="362">
        <v>390627</v>
      </c>
      <c r="Q127" s="362">
        <v>393644.99999999994</v>
      </c>
      <c r="R127" s="362">
        <v>396327.99999999994</v>
      </c>
      <c r="S127" s="362">
        <v>398718</v>
      </c>
      <c r="T127" s="362">
        <v>400858.99999999994</v>
      </c>
      <c r="U127" s="362">
        <v>402817</v>
      </c>
      <c r="V127" s="362">
        <v>404653.00000000006</v>
      </c>
      <c r="W127" s="362">
        <v>406327.99999999994</v>
      </c>
      <c r="X127" s="362">
        <v>407852</v>
      </c>
      <c r="Y127" s="362">
        <v>409491</v>
      </c>
      <c r="Z127" s="362">
        <v>411552</v>
      </c>
      <c r="AA127" s="362">
        <v>414253</v>
      </c>
      <c r="AB127" s="362">
        <v>417714</v>
      </c>
      <c r="AC127" s="362">
        <v>421809.00000000006</v>
      </c>
      <c r="AD127" s="362">
        <v>426151</v>
      </c>
      <c r="AE127" s="362">
        <v>430197</v>
      </c>
      <c r="AF127" s="362">
        <v>433559</v>
      </c>
      <c r="AG127" s="362">
        <v>436096.99999999994</v>
      </c>
      <c r="AH127" s="362">
        <v>437933</v>
      </c>
      <c r="AI127" s="362">
        <v>439248</v>
      </c>
      <c r="AJ127" s="362">
        <v>440372.00000000006</v>
      </c>
      <c r="AK127" s="362">
        <v>441543</v>
      </c>
      <c r="AL127" s="363">
        <v>442784</v>
      </c>
      <c r="AM127" s="362">
        <v>444033</v>
      </c>
      <c r="AN127" s="362">
        <v>445232</v>
      </c>
      <c r="AO127" s="362">
        <v>446301</v>
      </c>
      <c r="AP127" s="362">
        <v>447186</v>
      </c>
      <c r="AQ127" s="362">
        <v>447878</v>
      </c>
      <c r="AR127" s="362">
        <v>448409</v>
      </c>
      <c r="AS127" s="362">
        <v>448762</v>
      </c>
      <c r="AT127" s="362">
        <v>448923</v>
      </c>
      <c r="AU127" s="362">
        <v>448899</v>
      </c>
      <c r="AV127" s="362" t="s">
        <v>297</v>
      </c>
      <c r="AW127" s="362">
        <v>2.6591154750981172E-3</v>
      </c>
      <c r="AX127" s="362">
        <v>2.8105982882753455E-3</v>
      </c>
    </row>
    <row r="128" spans="1:50" x14ac:dyDescent="0.25">
      <c r="A128" s="361" t="s">
        <v>299</v>
      </c>
      <c r="B128" s="361">
        <v>584</v>
      </c>
      <c r="C128" s="361" t="s">
        <v>298</v>
      </c>
      <c r="D128" s="361">
        <v>150</v>
      </c>
      <c r="E128" s="361">
        <v>24</v>
      </c>
      <c r="F128" s="361" t="s">
        <v>2374</v>
      </c>
      <c r="G128" s="362">
        <v>47271</v>
      </c>
      <c r="H128" s="362">
        <v>48404</v>
      </c>
      <c r="I128" s="362">
        <v>49245</v>
      </c>
      <c r="J128" s="362">
        <v>49831</v>
      </c>
      <c r="K128" s="362">
        <v>50215</v>
      </c>
      <c r="L128" s="362">
        <v>50457</v>
      </c>
      <c r="M128" s="362">
        <v>50533</v>
      </c>
      <c r="N128" s="362">
        <v>50450</v>
      </c>
      <c r="O128" s="362">
        <v>50356.000000000007</v>
      </c>
      <c r="P128" s="362">
        <v>50423</v>
      </c>
      <c r="Q128" s="362">
        <v>50753</v>
      </c>
      <c r="R128" s="362">
        <v>51421.999999999993</v>
      </c>
      <c r="S128" s="362">
        <v>52370</v>
      </c>
      <c r="T128" s="362">
        <v>53456</v>
      </c>
      <c r="U128" s="362">
        <v>54476</v>
      </c>
      <c r="V128" s="362">
        <v>55258</v>
      </c>
      <c r="W128" s="362">
        <v>55767.000000000007</v>
      </c>
      <c r="X128" s="362">
        <v>56051</v>
      </c>
      <c r="Y128" s="362">
        <v>56174</v>
      </c>
      <c r="Z128" s="362">
        <v>56250</v>
      </c>
      <c r="AA128" s="362">
        <v>56366</v>
      </c>
      <c r="AB128" s="362">
        <v>56531</v>
      </c>
      <c r="AC128" s="362">
        <v>56717</v>
      </c>
      <c r="AD128" s="362">
        <v>56938</v>
      </c>
      <c r="AE128" s="362">
        <v>57179</v>
      </c>
      <c r="AF128" s="362">
        <v>57439</v>
      </c>
      <c r="AG128" s="362">
        <v>57735</v>
      </c>
      <c r="AH128" s="362">
        <v>58058</v>
      </c>
      <c r="AI128" s="362">
        <v>58413</v>
      </c>
      <c r="AJ128" s="362">
        <v>58790.999999999993</v>
      </c>
      <c r="AK128" s="362">
        <v>59190</v>
      </c>
      <c r="AL128" s="363">
        <v>59610</v>
      </c>
      <c r="AM128" s="362">
        <v>60057</v>
      </c>
      <c r="AN128" s="362">
        <v>60528</v>
      </c>
      <c r="AO128" s="362">
        <v>61040</v>
      </c>
      <c r="AP128" s="362">
        <v>61604</v>
      </c>
      <c r="AQ128" s="362">
        <v>62225</v>
      </c>
      <c r="AR128" s="362">
        <v>62889</v>
      </c>
      <c r="AS128" s="362">
        <v>63583</v>
      </c>
      <c r="AT128" s="362">
        <v>64290.000000000007</v>
      </c>
      <c r="AU128" s="362">
        <v>65000</v>
      </c>
      <c r="AV128" s="362" t="s">
        <v>299</v>
      </c>
      <c r="AW128" s="362">
        <v>6.7867530744503135E-3</v>
      </c>
      <c r="AX128" s="362">
        <v>7.0957932083122177E-3</v>
      </c>
    </row>
    <row r="129" spans="1:50" x14ac:dyDescent="0.25">
      <c r="A129" s="361" t="s">
        <v>301</v>
      </c>
      <c r="B129" s="361">
        <v>474</v>
      </c>
      <c r="C129" s="361" t="s">
        <v>300</v>
      </c>
      <c r="D129" s="361">
        <v>123</v>
      </c>
      <c r="E129" s="361">
        <v>4</v>
      </c>
      <c r="F129" s="361" t="s">
        <v>2374</v>
      </c>
      <c r="G129" s="362">
        <v>358449</v>
      </c>
      <c r="H129" s="362">
        <v>360901</v>
      </c>
      <c r="I129" s="362">
        <v>362757</v>
      </c>
      <c r="J129" s="362">
        <v>364377</v>
      </c>
      <c r="K129" s="362">
        <v>366250</v>
      </c>
      <c r="L129" s="362">
        <v>368732</v>
      </c>
      <c r="M129" s="362">
        <v>371911.99999999994</v>
      </c>
      <c r="N129" s="362">
        <v>375634</v>
      </c>
      <c r="O129" s="362">
        <v>379646.00000000006</v>
      </c>
      <c r="P129" s="362">
        <v>383531</v>
      </c>
      <c r="Q129" s="362">
        <v>387004</v>
      </c>
      <c r="R129" s="362">
        <v>389987</v>
      </c>
      <c r="S129" s="362">
        <v>392500</v>
      </c>
      <c r="T129" s="362">
        <v>394534</v>
      </c>
      <c r="U129" s="362">
        <v>396103</v>
      </c>
      <c r="V129" s="362">
        <v>397190</v>
      </c>
      <c r="W129" s="362">
        <v>397847</v>
      </c>
      <c r="X129" s="362">
        <v>398046</v>
      </c>
      <c r="Y129" s="362">
        <v>397668</v>
      </c>
      <c r="Z129" s="362">
        <v>396565</v>
      </c>
      <c r="AA129" s="362">
        <v>394663</v>
      </c>
      <c r="AB129" s="362">
        <v>391878</v>
      </c>
      <c r="AC129" s="362">
        <v>388357</v>
      </c>
      <c r="AD129" s="362">
        <v>384576</v>
      </c>
      <c r="AE129" s="362">
        <v>381138</v>
      </c>
      <c r="AF129" s="362">
        <v>378478</v>
      </c>
      <c r="AG129" s="362">
        <v>376791</v>
      </c>
      <c r="AH129" s="362">
        <v>375948</v>
      </c>
      <c r="AI129" s="362">
        <v>375673</v>
      </c>
      <c r="AJ129" s="362">
        <v>375554</v>
      </c>
      <c r="AK129" s="362">
        <v>375264.99999999994</v>
      </c>
      <c r="AL129" s="363">
        <v>374745</v>
      </c>
      <c r="AM129" s="362">
        <v>374087</v>
      </c>
      <c r="AN129" s="362">
        <v>373327</v>
      </c>
      <c r="AO129" s="362">
        <v>372532</v>
      </c>
      <c r="AP129" s="362">
        <v>371763</v>
      </c>
      <c r="AQ129" s="362">
        <v>370996</v>
      </c>
      <c r="AR129" s="362">
        <v>370201</v>
      </c>
      <c r="AS129" s="362">
        <v>369396</v>
      </c>
      <c r="AT129" s="362">
        <v>368562</v>
      </c>
      <c r="AU129" s="362">
        <v>367716</v>
      </c>
      <c r="AV129" s="362" t="s">
        <v>301</v>
      </c>
      <c r="AW129" s="362">
        <v>-7.6952981462063974E-4</v>
      </c>
      <c r="AX129" s="362">
        <v>-1.3856874475368652E-3</v>
      </c>
    </row>
    <row r="130" spans="1:50" x14ac:dyDescent="0.25">
      <c r="A130" s="361" t="s">
        <v>303</v>
      </c>
      <c r="B130" s="361">
        <v>478</v>
      </c>
      <c r="C130" s="361" t="s">
        <v>302</v>
      </c>
      <c r="D130" s="361">
        <v>124</v>
      </c>
      <c r="E130" s="361">
        <v>8</v>
      </c>
      <c r="F130" s="361" t="s">
        <v>2374</v>
      </c>
      <c r="G130" s="362">
        <v>2034346.0000000002</v>
      </c>
      <c r="H130" s="362">
        <v>2087911.9999999998</v>
      </c>
      <c r="I130" s="362">
        <v>2142645</v>
      </c>
      <c r="J130" s="362">
        <v>2198532</v>
      </c>
      <c r="K130" s="362">
        <v>2255516</v>
      </c>
      <c r="L130" s="362">
        <v>2313630.0000000005</v>
      </c>
      <c r="M130" s="362">
        <v>2372900.9999999995</v>
      </c>
      <c r="N130" s="362">
        <v>2433563</v>
      </c>
      <c r="O130" s="362">
        <v>2496216</v>
      </c>
      <c r="P130" s="362">
        <v>2561585</v>
      </c>
      <c r="Q130" s="362">
        <v>2630219</v>
      </c>
      <c r="R130" s="362">
        <v>2702400</v>
      </c>
      <c r="S130" s="362">
        <v>2778099</v>
      </c>
      <c r="T130" s="362">
        <v>2857148</v>
      </c>
      <c r="U130" s="362">
        <v>2939247</v>
      </c>
      <c r="V130" s="362">
        <v>3024194</v>
      </c>
      <c r="W130" s="362">
        <v>3111906</v>
      </c>
      <c r="X130" s="362">
        <v>3202517</v>
      </c>
      <c r="Y130" s="362">
        <v>3296238</v>
      </c>
      <c r="Z130" s="362">
        <v>3393409</v>
      </c>
      <c r="AA130" s="362">
        <v>3494195.0000000005</v>
      </c>
      <c r="AB130" s="362">
        <v>3598648.0000000005</v>
      </c>
      <c r="AC130" s="362">
        <v>3706555</v>
      </c>
      <c r="AD130" s="362">
        <v>3817494</v>
      </c>
      <c r="AE130" s="362">
        <v>3930896</v>
      </c>
      <c r="AF130" s="362">
        <v>4046300.9999999995</v>
      </c>
      <c r="AG130" s="362">
        <v>4163533</v>
      </c>
      <c r="AH130" s="362">
        <v>4282570</v>
      </c>
      <c r="AI130" s="362">
        <v>4403313</v>
      </c>
      <c r="AJ130" s="362">
        <v>4525696</v>
      </c>
      <c r="AK130" s="362">
        <v>4649658.0000000009</v>
      </c>
      <c r="AL130" s="363">
        <v>4775119</v>
      </c>
      <c r="AM130" s="362">
        <v>4901981</v>
      </c>
      <c r="AN130" s="362">
        <v>5030239</v>
      </c>
      <c r="AO130" s="362">
        <v>5159888</v>
      </c>
      <c r="AP130" s="362">
        <v>5290949</v>
      </c>
      <c r="AQ130" s="362">
        <v>5423379</v>
      </c>
      <c r="AR130" s="362">
        <v>5557165</v>
      </c>
      <c r="AS130" s="362">
        <v>5692346</v>
      </c>
      <c r="AT130" s="362">
        <v>5828998</v>
      </c>
      <c r="AU130" s="362">
        <v>5967168</v>
      </c>
      <c r="AV130" s="362" t="s">
        <v>303</v>
      </c>
      <c r="AW130" s="362">
        <v>2.7390704103855246E-2</v>
      </c>
      <c r="AX130" s="362">
        <v>2.6982844759764868E-2</v>
      </c>
    </row>
    <row r="131" spans="1:50" x14ac:dyDescent="0.25">
      <c r="A131" s="361" t="s">
        <v>305</v>
      </c>
      <c r="B131" s="361">
        <v>480</v>
      </c>
      <c r="C131" s="361" t="s">
        <v>304</v>
      </c>
      <c r="D131" s="361">
        <v>125</v>
      </c>
      <c r="E131" s="361">
        <v>9</v>
      </c>
      <c r="F131" s="361" t="s">
        <v>2374</v>
      </c>
      <c r="G131" s="362">
        <v>1055868</v>
      </c>
      <c r="H131" s="362">
        <v>1068439.0000000002</v>
      </c>
      <c r="I131" s="362">
        <v>1082955.9999999998</v>
      </c>
      <c r="J131" s="362">
        <v>1098592</v>
      </c>
      <c r="K131" s="362">
        <v>1114137</v>
      </c>
      <c r="L131" s="362">
        <v>1128673</v>
      </c>
      <c r="M131" s="362">
        <v>1141948.0000000002</v>
      </c>
      <c r="N131" s="362">
        <v>1154140.0000000002</v>
      </c>
      <c r="O131" s="362">
        <v>1165282.9999999998</v>
      </c>
      <c r="P131" s="362">
        <v>1175574.0000000002</v>
      </c>
      <c r="Q131" s="362">
        <v>1185145</v>
      </c>
      <c r="R131" s="362">
        <v>1193917</v>
      </c>
      <c r="S131" s="362">
        <v>1201811.9999999998</v>
      </c>
      <c r="T131" s="362">
        <v>1208994</v>
      </c>
      <c r="U131" s="362">
        <v>1215677</v>
      </c>
      <c r="V131" s="362">
        <v>1222003</v>
      </c>
      <c r="W131" s="362">
        <v>1228089</v>
      </c>
      <c r="X131" s="362">
        <v>1233888.9999999998</v>
      </c>
      <c r="Y131" s="362">
        <v>1239261.9999999998</v>
      </c>
      <c r="Z131" s="362">
        <v>1243991</v>
      </c>
      <c r="AA131" s="362">
        <v>1247955</v>
      </c>
      <c r="AB131" s="362">
        <v>1251080</v>
      </c>
      <c r="AC131" s="362">
        <v>1253488.0000000002</v>
      </c>
      <c r="AD131" s="362">
        <v>1255452</v>
      </c>
      <c r="AE131" s="362">
        <v>1257355</v>
      </c>
      <c r="AF131" s="362">
        <v>1259456</v>
      </c>
      <c r="AG131" s="362">
        <v>1261865</v>
      </c>
      <c r="AH131" s="362">
        <v>1264499</v>
      </c>
      <c r="AI131" s="362">
        <v>1267185</v>
      </c>
      <c r="AJ131" s="362">
        <v>1269667.9999999998</v>
      </c>
      <c r="AK131" s="362">
        <v>1271768</v>
      </c>
      <c r="AL131" s="363">
        <v>1273433</v>
      </c>
      <c r="AM131" s="362">
        <v>1274727</v>
      </c>
      <c r="AN131" s="362">
        <v>1275664</v>
      </c>
      <c r="AO131" s="362">
        <v>1276279</v>
      </c>
      <c r="AP131" s="362">
        <v>1276643</v>
      </c>
      <c r="AQ131" s="362">
        <v>1276714</v>
      </c>
      <c r="AR131" s="362">
        <v>1276491</v>
      </c>
      <c r="AS131" s="362">
        <v>1275971</v>
      </c>
      <c r="AT131" s="362">
        <v>1275150</v>
      </c>
      <c r="AU131" s="362">
        <v>1274041</v>
      </c>
      <c r="AV131" s="362" t="s">
        <v>305</v>
      </c>
      <c r="AW131" s="362">
        <v>1.6539756849824894E-3</v>
      </c>
      <c r="AX131" s="362">
        <v>1.3092010492479211E-3</v>
      </c>
    </row>
    <row r="132" spans="1:50" x14ac:dyDescent="0.25">
      <c r="A132" s="369" t="s">
        <v>307</v>
      </c>
      <c r="B132" s="361">
        <v>484</v>
      </c>
      <c r="C132" s="361" t="s">
        <v>306</v>
      </c>
      <c r="D132" s="361">
        <v>126</v>
      </c>
      <c r="E132" s="361">
        <v>3</v>
      </c>
      <c r="F132" s="361" t="s">
        <v>2374</v>
      </c>
      <c r="G132" s="362">
        <v>83943131.999999985</v>
      </c>
      <c r="H132" s="362">
        <v>85512623</v>
      </c>
      <c r="I132" s="362">
        <v>87075138.000000015</v>
      </c>
      <c r="J132" s="362">
        <v>88625440</v>
      </c>
      <c r="K132" s="362">
        <v>90156399.999999985</v>
      </c>
      <c r="L132" s="362">
        <v>91663285</v>
      </c>
      <c r="M132" s="362">
        <v>93147044</v>
      </c>
      <c r="N132" s="362">
        <v>94611002</v>
      </c>
      <c r="O132" s="362">
        <v>96056321</v>
      </c>
      <c r="P132" s="362">
        <v>97484832</v>
      </c>
      <c r="Q132" s="362">
        <v>98899845</v>
      </c>
      <c r="R132" s="362">
        <v>100298153</v>
      </c>
      <c r="S132" s="362">
        <v>101684758</v>
      </c>
      <c r="T132" s="362">
        <v>103081020.00000001</v>
      </c>
      <c r="U132" s="362">
        <v>104514932</v>
      </c>
      <c r="V132" s="362">
        <v>106005203</v>
      </c>
      <c r="W132" s="362">
        <v>107560153</v>
      </c>
      <c r="X132" s="362">
        <v>109170502</v>
      </c>
      <c r="Y132" s="362">
        <v>110815271</v>
      </c>
      <c r="Z132" s="362">
        <v>112463887</v>
      </c>
      <c r="AA132" s="362">
        <v>114092963</v>
      </c>
      <c r="AB132" s="362">
        <v>115695473</v>
      </c>
      <c r="AC132" s="362">
        <v>117274155</v>
      </c>
      <c r="AD132" s="362">
        <v>118827160.99999999</v>
      </c>
      <c r="AE132" s="362">
        <v>120355128</v>
      </c>
      <c r="AF132" s="362">
        <v>121858258</v>
      </c>
      <c r="AG132" s="362">
        <v>123333376</v>
      </c>
      <c r="AH132" s="362">
        <v>124777324</v>
      </c>
      <c r="AI132" s="362">
        <v>126190788</v>
      </c>
      <c r="AJ132" s="362">
        <v>127575528.99999999</v>
      </c>
      <c r="AK132" s="362">
        <v>128932752.99999999</v>
      </c>
      <c r="AL132" s="363">
        <v>130262216</v>
      </c>
      <c r="AM132" s="362">
        <v>131562772</v>
      </c>
      <c r="AN132" s="362">
        <v>132833766</v>
      </c>
      <c r="AO132" s="362">
        <v>134074375</v>
      </c>
      <c r="AP132" s="362">
        <v>135284067</v>
      </c>
      <c r="AQ132" s="362">
        <v>136462072</v>
      </c>
      <c r="AR132" s="362">
        <v>137608571</v>
      </c>
      <c r="AS132" s="362">
        <v>138725064</v>
      </c>
      <c r="AT132" s="362">
        <v>139813703</v>
      </c>
      <c r="AU132" s="362">
        <v>140875762</v>
      </c>
      <c r="AV132" s="362" t="s">
        <v>307</v>
      </c>
      <c r="AW132" s="362">
        <v>1.0638591982636392E-2</v>
      </c>
      <c r="AX132" s="362">
        <v>1.0311289948179647E-2</v>
      </c>
    </row>
    <row r="133" spans="1:50" x14ac:dyDescent="0.25">
      <c r="A133" s="361" t="s">
        <v>309</v>
      </c>
      <c r="B133" s="361">
        <v>583</v>
      </c>
      <c r="C133" s="361" t="s">
        <v>308</v>
      </c>
      <c r="D133" s="361">
        <v>149</v>
      </c>
      <c r="E133" s="361">
        <v>24</v>
      </c>
      <c r="F133" s="361" t="s">
        <v>2374</v>
      </c>
      <c r="G133" s="362">
        <v>96301</v>
      </c>
      <c r="H133" s="362">
        <v>98770</v>
      </c>
      <c r="I133" s="362">
        <v>101389</v>
      </c>
      <c r="J133" s="362">
        <v>103915.00000000001</v>
      </c>
      <c r="K133" s="362">
        <v>106030</v>
      </c>
      <c r="L133" s="362">
        <v>107529</v>
      </c>
      <c r="M133" s="362">
        <v>108321</v>
      </c>
      <c r="N133" s="362">
        <v>108480</v>
      </c>
      <c r="O133" s="362">
        <v>108208</v>
      </c>
      <c r="P133" s="362">
        <v>107781</v>
      </c>
      <c r="Q133" s="362">
        <v>107402</v>
      </c>
      <c r="R133" s="362">
        <v>107173</v>
      </c>
      <c r="S133" s="362">
        <v>107030</v>
      </c>
      <c r="T133" s="362">
        <v>106901</v>
      </c>
      <c r="U133" s="362">
        <v>106625</v>
      </c>
      <c r="V133" s="362">
        <v>106129</v>
      </c>
      <c r="W133" s="362">
        <v>105370.99999999999</v>
      </c>
      <c r="X133" s="362">
        <v>104444.00000000001</v>
      </c>
      <c r="Y133" s="362">
        <v>103543.00000000001</v>
      </c>
      <c r="Z133" s="362">
        <v>102975</v>
      </c>
      <c r="AA133" s="362">
        <v>102911</v>
      </c>
      <c r="AB133" s="362">
        <v>103450</v>
      </c>
      <c r="AC133" s="362">
        <v>104506</v>
      </c>
      <c r="AD133" s="362">
        <v>105926</v>
      </c>
      <c r="AE133" s="362">
        <v>107446</v>
      </c>
      <c r="AF133" s="362">
        <v>108894.99999999999</v>
      </c>
      <c r="AG133" s="362">
        <v>110215.00000000001</v>
      </c>
      <c r="AH133" s="362">
        <v>111459</v>
      </c>
      <c r="AI133" s="362">
        <v>112640</v>
      </c>
      <c r="AJ133" s="362">
        <v>113815</v>
      </c>
      <c r="AK133" s="362">
        <v>115023</v>
      </c>
      <c r="AL133" s="363">
        <v>116254</v>
      </c>
      <c r="AM133" s="362">
        <v>117489</v>
      </c>
      <c r="AN133" s="362">
        <v>118714</v>
      </c>
      <c r="AO133" s="362">
        <v>119925</v>
      </c>
      <c r="AP133" s="362">
        <v>121115</v>
      </c>
      <c r="AQ133" s="362">
        <v>122291</v>
      </c>
      <c r="AR133" s="362">
        <v>123437</v>
      </c>
      <c r="AS133" s="362">
        <v>124557</v>
      </c>
      <c r="AT133" s="362">
        <v>125648</v>
      </c>
      <c r="AU133" s="362">
        <v>126691</v>
      </c>
      <c r="AV133" s="362" t="s">
        <v>309</v>
      </c>
      <c r="AW133" s="362">
        <v>1.0613715239643273E-2</v>
      </c>
      <c r="AX133" s="362">
        <v>1.0702207384610141E-2</v>
      </c>
    </row>
    <row r="134" spans="1:50" x14ac:dyDescent="0.25">
      <c r="A134" s="361" t="s">
        <v>311</v>
      </c>
      <c r="B134" s="361">
        <v>498</v>
      </c>
      <c r="C134" s="361" t="s">
        <v>310</v>
      </c>
      <c r="D134" s="361">
        <v>129</v>
      </c>
      <c r="E134" s="361">
        <v>14</v>
      </c>
      <c r="F134" s="361" t="s">
        <v>2374</v>
      </c>
      <c r="G134" s="362">
        <v>4395002.0000000009</v>
      </c>
      <c r="H134" s="362">
        <v>4404672.0000000009</v>
      </c>
      <c r="I134" s="362">
        <v>4406657.9999999991</v>
      </c>
      <c r="J134" s="362">
        <v>4401292</v>
      </c>
      <c r="K134" s="362">
        <v>4389220</v>
      </c>
      <c r="L134" s="362">
        <v>4371313</v>
      </c>
      <c r="M134" s="362">
        <v>4347218</v>
      </c>
      <c r="N134" s="362">
        <v>4317752</v>
      </c>
      <c r="O134" s="362">
        <v>4286392</v>
      </c>
      <c r="P134" s="362">
        <v>4257673</v>
      </c>
      <c r="Q134" s="362">
        <v>4234805.0000000009</v>
      </c>
      <c r="R134" s="362">
        <v>4219563</v>
      </c>
      <c r="S134" s="362">
        <v>4211035.9999999991</v>
      </c>
      <c r="T134" s="362">
        <v>4206427.0000000009</v>
      </c>
      <c r="U134" s="362">
        <v>4201459</v>
      </c>
      <c r="V134" s="362">
        <v>4193135.9999999991</v>
      </c>
      <c r="W134" s="362">
        <v>4180455.0000000005</v>
      </c>
      <c r="X134" s="362">
        <v>4164660.9999999995</v>
      </c>
      <c r="Y134" s="362">
        <v>4147763.0000000005</v>
      </c>
      <c r="Z134" s="362">
        <v>4132743.9999999995</v>
      </c>
      <c r="AA134" s="362">
        <v>4121693.0000000005</v>
      </c>
      <c r="AB134" s="362">
        <v>4115188</v>
      </c>
      <c r="AC134" s="362">
        <v>4112268.0000000005</v>
      </c>
      <c r="AD134" s="362">
        <v>4111492</v>
      </c>
      <c r="AE134" s="362">
        <v>4110729</v>
      </c>
      <c r="AF134" s="362">
        <v>4108417.9999999995</v>
      </c>
      <c r="AG134" s="362">
        <v>4104078.9999999995</v>
      </c>
      <c r="AH134" s="362">
        <v>4098076</v>
      </c>
      <c r="AI134" s="362">
        <v>4090625.9999999995</v>
      </c>
      <c r="AJ134" s="362">
        <v>4082226.9999999995</v>
      </c>
      <c r="AK134" s="362">
        <v>4073205.0000000005</v>
      </c>
      <c r="AL134" s="363">
        <v>4024019</v>
      </c>
      <c r="AM134" s="362">
        <v>4013171</v>
      </c>
      <c r="AN134" s="362">
        <v>4001344</v>
      </c>
      <c r="AO134" s="362">
        <v>3988395</v>
      </c>
      <c r="AP134" s="362">
        <v>3974249</v>
      </c>
      <c r="AQ134" s="362">
        <v>3958890</v>
      </c>
      <c r="AR134" s="362">
        <v>3942343</v>
      </c>
      <c r="AS134" s="362">
        <v>3924631</v>
      </c>
      <c r="AT134" s="362">
        <v>3905800</v>
      </c>
      <c r="AU134" s="362">
        <v>3885896</v>
      </c>
      <c r="AV134" s="362" t="s">
        <v>311</v>
      </c>
      <c r="AW134" s="362">
        <v>-2.2100681809216205E-3</v>
      </c>
      <c r="AX134" s="362">
        <v>-1.2075503197113924E-2</v>
      </c>
    </row>
    <row r="135" spans="1:50" x14ac:dyDescent="0.25">
      <c r="A135" s="361" t="s">
        <v>313</v>
      </c>
      <c r="B135" s="361">
        <v>492</v>
      </c>
      <c r="C135" s="367" t="s">
        <v>312</v>
      </c>
      <c r="D135" s="361">
        <v>127</v>
      </c>
      <c r="E135" s="361">
        <v>11</v>
      </c>
      <c r="F135" s="361" t="s">
        <v>2374</v>
      </c>
      <c r="G135" s="368">
        <v>0</v>
      </c>
      <c r="H135" s="368">
        <v>0</v>
      </c>
      <c r="I135" s="368">
        <v>0</v>
      </c>
      <c r="J135" s="368">
        <v>0</v>
      </c>
      <c r="K135" s="368">
        <v>0</v>
      </c>
      <c r="L135" s="368">
        <v>0</v>
      </c>
      <c r="M135" s="368">
        <v>0</v>
      </c>
      <c r="N135" s="368">
        <v>0</v>
      </c>
      <c r="O135" s="368">
        <v>0</v>
      </c>
      <c r="P135" s="368">
        <v>0</v>
      </c>
      <c r="Q135" s="368">
        <v>0</v>
      </c>
      <c r="R135" s="368">
        <v>0</v>
      </c>
      <c r="S135" s="368">
        <v>0</v>
      </c>
      <c r="T135" s="368">
        <v>0</v>
      </c>
      <c r="U135" s="368">
        <v>0</v>
      </c>
      <c r="V135" s="368">
        <v>0</v>
      </c>
      <c r="W135" s="368">
        <v>0</v>
      </c>
      <c r="X135" s="368">
        <v>0</v>
      </c>
      <c r="Y135" s="368">
        <v>0</v>
      </c>
      <c r="Z135" s="368">
        <v>0</v>
      </c>
      <c r="AA135" s="368">
        <v>0</v>
      </c>
      <c r="AB135" s="368">
        <v>0</v>
      </c>
      <c r="AC135" s="368">
        <v>0</v>
      </c>
      <c r="AD135" s="368">
        <v>0</v>
      </c>
      <c r="AE135" s="368">
        <v>0</v>
      </c>
      <c r="AF135" s="368">
        <v>0</v>
      </c>
      <c r="AG135" s="368">
        <v>0</v>
      </c>
      <c r="AH135" s="368">
        <v>0</v>
      </c>
      <c r="AI135" s="368">
        <v>0</v>
      </c>
      <c r="AJ135" s="368">
        <v>0</v>
      </c>
      <c r="AK135" s="368">
        <v>0</v>
      </c>
      <c r="AV135" s="362" t="s">
        <v>313</v>
      </c>
      <c r="AW135" s="362" t="e">
        <v>#DIV/0!</v>
      </c>
      <c r="AX135" s="362" t="e">
        <v>#DIV/0!</v>
      </c>
    </row>
    <row r="136" spans="1:50" x14ac:dyDescent="0.25">
      <c r="A136" s="361" t="s">
        <v>315</v>
      </c>
      <c r="B136" s="361">
        <v>496</v>
      </c>
      <c r="C136" s="361" t="s">
        <v>314</v>
      </c>
      <c r="D136" s="361">
        <v>128</v>
      </c>
      <c r="E136" s="361">
        <v>20</v>
      </c>
      <c r="F136" s="361" t="s">
        <v>2374</v>
      </c>
      <c r="G136" s="362">
        <v>2184145</v>
      </c>
      <c r="H136" s="362">
        <v>2217917</v>
      </c>
      <c r="I136" s="362">
        <v>2243495</v>
      </c>
      <c r="J136" s="362">
        <v>2263186</v>
      </c>
      <c r="K136" s="362">
        <v>2280478.9999999995</v>
      </c>
      <c r="L136" s="362">
        <v>2298020</v>
      </c>
      <c r="M136" s="362">
        <v>2316568</v>
      </c>
      <c r="N136" s="362">
        <v>2335734</v>
      </c>
      <c r="O136" s="362">
        <v>2355664.0000000005</v>
      </c>
      <c r="P136" s="362">
        <v>2376225</v>
      </c>
      <c r="Q136" s="362">
        <v>2397418</v>
      </c>
      <c r="R136" s="362">
        <v>2419588</v>
      </c>
      <c r="S136" s="362">
        <v>2443271</v>
      </c>
      <c r="T136" s="362">
        <v>2468762.0000000005</v>
      </c>
      <c r="U136" s="362">
        <v>2496391</v>
      </c>
      <c r="V136" s="362">
        <v>2526424</v>
      </c>
      <c r="W136" s="362">
        <v>2558856</v>
      </c>
      <c r="X136" s="362">
        <v>2593820</v>
      </c>
      <c r="Y136" s="362">
        <v>2631898</v>
      </c>
      <c r="Z136" s="362">
        <v>2673796</v>
      </c>
      <c r="AA136" s="362">
        <v>2719896.0000000005</v>
      </c>
      <c r="AB136" s="362">
        <v>2770361</v>
      </c>
      <c r="AC136" s="362">
        <v>2824697.9999999995</v>
      </c>
      <c r="AD136" s="362">
        <v>2881791</v>
      </c>
      <c r="AE136" s="362">
        <v>2940108.0000000005</v>
      </c>
      <c r="AF136" s="362">
        <v>2998439</v>
      </c>
      <c r="AG136" s="362">
        <v>3056364</v>
      </c>
      <c r="AH136" s="362">
        <v>3113786</v>
      </c>
      <c r="AI136" s="362">
        <v>3170216</v>
      </c>
      <c r="AJ136" s="362">
        <v>3225167</v>
      </c>
      <c r="AK136" s="362">
        <v>3278290</v>
      </c>
      <c r="AL136" s="363">
        <v>3329289</v>
      </c>
      <c r="AM136" s="362">
        <v>3378078</v>
      </c>
      <c r="AN136" s="362">
        <v>3424868</v>
      </c>
      <c r="AO136" s="362">
        <v>3470045</v>
      </c>
      <c r="AP136" s="362">
        <v>3513907</v>
      </c>
      <c r="AQ136" s="362">
        <v>3556497</v>
      </c>
      <c r="AR136" s="362">
        <v>3597805</v>
      </c>
      <c r="AS136" s="362">
        <v>3638034</v>
      </c>
      <c r="AT136" s="362">
        <v>3677430</v>
      </c>
      <c r="AU136" s="362">
        <v>3716210</v>
      </c>
      <c r="AV136" s="362" t="s">
        <v>315</v>
      </c>
      <c r="AW136" s="362">
        <v>1.6471395124655563E-2</v>
      </c>
      <c r="AX136" s="362">
        <v>1.5556585903016451E-2</v>
      </c>
    </row>
    <row r="137" spans="1:50" x14ac:dyDescent="0.25">
      <c r="A137" s="361" t="s">
        <v>317</v>
      </c>
      <c r="B137" s="361">
        <v>500</v>
      </c>
      <c r="C137" s="361" t="s">
        <v>316</v>
      </c>
      <c r="D137" s="361">
        <v>130</v>
      </c>
      <c r="E137" s="361">
        <v>4</v>
      </c>
      <c r="F137" s="361" t="s">
        <v>2374</v>
      </c>
      <c r="G137" s="362">
        <v>10615</v>
      </c>
      <c r="H137" s="362">
        <v>10632</v>
      </c>
      <c r="I137" s="362">
        <v>10661</v>
      </c>
      <c r="J137" s="362">
        <v>10601.000000000002</v>
      </c>
      <c r="K137" s="362">
        <v>10362</v>
      </c>
      <c r="L137" s="362">
        <v>9848</v>
      </c>
      <c r="M137" s="362">
        <v>9015</v>
      </c>
      <c r="N137" s="362">
        <v>7930</v>
      </c>
      <c r="O137" s="362">
        <v>6741</v>
      </c>
      <c r="P137" s="362">
        <v>5692</v>
      </c>
      <c r="Q137" s="362">
        <v>4929</v>
      </c>
      <c r="R137" s="362">
        <v>4530</v>
      </c>
      <c r="S137" s="362">
        <v>4425</v>
      </c>
      <c r="T137" s="362">
        <v>4535</v>
      </c>
      <c r="U137" s="362">
        <v>4705</v>
      </c>
      <c r="V137" s="362">
        <v>4835</v>
      </c>
      <c r="W137" s="362">
        <v>4892.0000000000009</v>
      </c>
      <c r="X137" s="362">
        <v>4910</v>
      </c>
      <c r="Y137" s="362">
        <v>4901</v>
      </c>
      <c r="Z137" s="362">
        <v>4891</v>
      </c>
      <c r="AA137" s="362">
        <v>4899</v>
      </c>
      <c r="AB137" s="362">
        <v>4916.9999999999991</v>
      </c>
      <c r="AC137" s="362">
        <v>4929.9999999999991</v>
      </c>
      <c r="AD137" s="362">
        <v>4944</v>
      </c>
      <c r="AE137" s="362">
        <v>4957</v>
      </c>
      <c r="AF137" s="362">
        <v>4967</v>
      </c>
      <c r="AG137" s="362">
        <v>4981</v>
      </c>
      <c r="AH137" s="362">
        <v>4984</v>
      </c>
      <c r="AI137" s="362">
        <v>4993</v>
      </c>
      <c r="AJ137" s="362">
        <v>4988.9999999999991</v>
      </c>
      <c r="AK137" s="362">
        <v>4992</v>
      </c>
      <c r="AL137" s="362">
        <v>4977</v>
      </c>
      <c r="AM137" s="362">
        <v>4965</v>
      </c>
      <c r="AN137" s="362">
        <v>4945</v>
      </c>
      <c r="AO137" s="362">
        <v>4919</v>
      </c>
      <c r="AP137" s="362">
        <v>4895</v>
      </c>
      <c r="AQ137" s="362">
        <v>4866</v>
      </c>
      <c r="AR137" s="362">
        <v>4845</v>
      </c>
      <c r="AS137" s="362">
        <v>4818</v>
      </c>
      <c r="AT137" s="362">
        <v>4787</v>
      </c>
      <c r="AU137" s="362">
        <v>4763</v>
      </c>
      <c r="AV137" s="362" t="s">
        <v>317</v>
      </c>
      <c r="AW137" s="362">
        <v>6.01322910403157E-4</v>
      </c>
      <c r="AX137" s="362">
        <v>-3.0048076923077094E-3</v>
      </c>
    </row>
    <row r="138" spans="1:50" x14ac:dyDescent="0.25">
      <c r="A138" s="361" t="s">
        <v>319</v>
      </c>
      <c r="B138" s="361">
        <v>504</v>
      </c>
      <c r="C138" s="361" t="s">
        <v>318</v>
      </c>
      <c r="D138" s="361">
        <v>131</v>
      </c>
      <c r="E138" s="361">
        <v>7</v>
      </c>
      <c r="F138" s="361" t="s">
        <v>2374</v>
      </c>
      <c r="G138" s="362">
        <v>24807462</v>
      </c>
      <c r="H138" s="362">
        <v>25260403.999999996</v>
      </c>
      <c r="I138" s="362">
        <v>25711406</v>
      </c>
      <c r="J138" s="362">
        <v>26155203</v>
      </c>
      <c r="K138" s="362">
        <v>26584478</v>
      </c>
      <c r="L138" s="362">
        <v>26994250</v>
      </c>
      <c r="M138" s="362">
        <v>27383473.000000004</v>
      </c>
      <c r="N138" s="362">
        <v>27754571</v>
      </c>
      <c r="O138" s="362">
        <v>28110443</v>
      </c>
      <c r="P138" s="362">
        <v>28455509</v>
      </c>
      <c r="Q138" s="362">
        <v>28793679</v>
      </c>
      <c r="R138" s="362">
        <v>29126330.000000004</v>
      </c>
      <c r="S138" s="362">
        <v>29454768</v>
      </c>
      <c r="T138" s="362">
        <v>29782884</v>
      </c>
      <c r="U138" s="362">
        <v>30115214</v>
      </c>
      <c r="V138" s="362">
        <v>30455561.000000004</v>
      </c>
      <c r="W138" s="362">
        <v>30804683</v>
      </c>
      <c r="X138" s="362">
        <v>31163673</v>
      </c>
      <c r="Y138" s="362">
        <v>31536811</v>
      </c>
      <c r="Z138" s="362">
        <v>31929087</v>
      </c>
      <c r="AA138" s="362">
        <v>32343389.000000004</v>
      </c>
      <c r="AB138" s="362">
        <v>32781853.000000004</v>
      </c>
      <c r="AC138" s="362">
        <v>33241900</v>
      </c>
      <c r="AD138" s="362">
        <v>33715703.000000007</v>
      </c>
      <c r="AE138" s="362">
        <v>34192357</v>
      </c>
      <c r="AF138" s="362">
        <v>34663603</v>
      </c>
      <c r="AG138" s="362">
        <v>35126283</v>
      </c>
      <c r="AH138" s="362">
        <v>35581255</v>
      </c>
      <c r="AI138" s="362">
        <v>36029093</v>
      </c>
      <c r="AJ138" s="362">
        <v>36471769</v>
      </c>
      <c r="AK138" s="362">
        <v>36910560</v>
      </c>
      <c r="AL138" s="363">
        <v>37344795</v>
      </c>
      <c r="AM138" s="362">
        <v>37772756</v>
      </c>
      <c r="AN138" s="362">
        <v>38193553</v>
      </c>
      <c r="AO138" s="362">
        <v>38606155</v>
      </c>
      <c r="AP138" s="362">
        <v>39009798</v>
      </c>
      <c r="AQ138" s="362">
        <v>39403945</v>
      </c>
      <c r="AR138" s="362">
        <v>39788520</v>
      </c>
      <c r="AS138" s="362">
        <v>40163694</v>
      </c>
      <c r="AT138" s="362">
        <v>40529859</v>
      </c>
      <c r="AU138" s="362">
        <v>40887295</v>
      </c>
      <c r="AV138" s="362" t="s">
        <v>319</v>
      </c>
      <c r="AW138" s="362">
        <v>1.2030976616461908E-2</v>
      </c>
      <c r="AX138" s="362">
        <v>1.1764519422084119E-2</v>
      </c>
    </row>
    <row r="139" spans="1:50" x14ac:dyDescent="0.25">
      <c r="A139" s="361" t="s">
        <v>321</v>
      </c>
      <c r="B139" s="361">
        <v>508</v>
      </c>
      <c r="C139" s="361" t="s">
        <v>320</v>
      </c>
      <c r="D139" s="361">
        <v>132</v>
      </c>
      <c r="E139" s="361">
        <v>26</v>
      </c>
      <c r="F139" s="361" t="s">
        <v>2374</v>
      </c>
      <c r="G139" s="362">
        <v>12987292</v>
      </c>
      <c r="H139" s="362">
        <v>13328031.999999998</v>
      </c>
      <c r="I139" s="362">
        <v>13806001</v>
      </c>
      <c r="J139" s="362">
        <v>14370946</v>
      </c>
      <c r="K139" s="362">
        <v>14948048</v>
      </c>
      <c r="L139" s="362">
        <v>15483286</v>
      </c>
      <c r="M139" s="362">
        <v>15960441.999999998</v>
      </c>
      <c r="N139" s="362">
        <v>16397183.000000002</v>
      </c>
      <c r="O139" s="362">
        <v>16813949</v>
      </c>
      <c r="P139" s="362">
        <v>17244187.999999996</v>
      </c>
      <c r="Q139" s="362">
        <v>17711927</v>
      </c>
      <c r="R139" s="362">
        <v>18221888</v>
      </c>
      <c r="S139" s="362">
        <v>18764155</v>
      </c>
      <c r="T139" s="362">
        <v>19331100</v>
      </c>
      <c r="U139" s="362">
        <v>19910552</v>
      </c>
      <c r="V139" s="362">
        <v>20493925</v>
      </c>
      <c r="W139" s="362">
        <v>21080110</v>
      </c>
      <c r="X139" s="362">
        <v>21673316</v>
      </c>
      <c r="Y139" s="362">
        <v>22276596</v>
      </c>
      <c r="Z139" s="362">
        <v>22894710</v>
      </c>
      <c r="AA139" s="362">
        <v>23531574</v>
      </c>
      <c r="AB139" s="362">
        <v>24187493.999999996</v>
      </c>
      <c r="AC139" s="362">
        <v>24862664.000000004</v>
      </c>
      <c r="AD139" s="362">
        <v>25560755</v>
      </c>
      <c r="AE139" s="362">
        <v>26286191</v>
      </c>
      <c r="AF139" s="362">
        <v>27042002</v>
      </c>
      <c r="AG139" s="362">
        <v>27829938</v>
      </c>
      <c r="AH139" s="362">
        <v>28649018</v>
      </c>
      <c r="AI139" s="362">
        <v>29496004</v>
      </c>
      <c r="AJ139" s="362">
        <v>30366036</v>
      </c>
      <c r="AK139" s="362">
        <v>31255435.000000004</v>
      </c>
      <c r="AL139" s="363">
        <v>32163047</v>
      </c>
      <c r="AM139" s="362">
        <v>33089461.000000004</v>
      </c>
      <c r="AN139" s="362">
        <v>34034815</v>
      </c>
      <c r="AO139" s="362">
        <v>34999758</v>
      </c>
      <c r="AP139" s="362">
        <v>35984620</v>
      </c>
      <c r="AQ139" s="362">
        <v>36988946</v>
      </c>
      <c r="AR139" s="362">
        <v>38011827</v>
      </c>
      <c r="AS139" s="362">
        <v>39052607</v>
      </c>
      <c r="AT139" s="362">
        <v>40110508</v>
      </c>
      <c r="AU139" s="362">
        <v>41184834</v>
      </c>
      <c r="AV139" s="362" t="s">
        <v>321</v>
      </c>
      <c r="AW139" s="362">
        <v>2.9289269103152105E-2</v>
      </c>
      <c r="AX139" s="362">
        <v>2.9038533618233053E-2</v>
      </c>
    </row>
    <row r="140" spans="1:50" x14ac:dyDescent="0.25">
      <c r="A140" s="361" t="s">
        <v>323</v>
      </c>
      <c r="B140" s="361">
        <v>104</v>
      </c>
      <c r="C140" s="361" t="s">
        <v>322</v>
      </c>
      <c r="D140" s="361">
        <v>28</v>
      </c>
      <c r="E140" s="361">
        <v>21</v>
      </c>
      <c r="F140" s="361" t="s">
        <v>2374</v>
      </c>
      <c r="G140" s="362">
        <v>41335199</v>
      </c>
      <c r="H140" s="362">
        <v>41890197</v>
      </c>
      <c r="I140" s="362">
        <v>42401684</v>
      </c>
      <c r="J140" s="362">
        <v>42890002</v>
      </c>
      <c r="K140" s="362">
        <v>43383428</v>
      </c>
      <c r="L140" s="362">
        <v>43901598</v>
      </c>
      <c r="M140" s="362">
        <v>44452206</v>
      </c>
      <c r="N140" s="362">
        <v>45027233</v>
      </c>
      <c r="O140" s="362">
        <v>45611220</v>
      </c>
      <c r="P140" s="362">
        <v>46181076.999999993</v>
      </c>
      <c r="Q140" s="362">
        <v>46719701</v>
      </c>
      <c r="R140" s="362">
        <v>47225120.000000007</v>
      </c>
      <c r="S140" s="362">
        <v>47702171</v>
      </c>
      <c r="T140" s="362">
        <v>48148902</v>
      </c>
      <c r="U140" s="362">
        <v>48564484</v>
      </c>
      <c r="V140" s="362">
        <v>48949923.999999993</v>
      </c>
      <c r="W140" s="362">
        <v>49301050</v>
      </c>
      <c r="X140" s="362">
        <v>49621475</v>
      </c>
      <c r="Y140" s="362">
        <v>49929642</v>
      </c>
      <c r="Z140" s="362">
        <v>50250367</v>
      </c>
      <c r="AA140" s="362">
        <v>50600818</v>
      </c>
      <c r="AB140" s="362">
        <v>50990617</v>
      </c>
      <c r="AC140" s="362">
        <v>51413703.999999993</v>
      </c>
      <c r="AD140" s="362">
        <v>51852468</v>
      </c>
      <c r="AE140" s="362">
        <v>52280824</v>
      </c>
      <c r="AF140" s="362">
        <v>52680726</v>
      </c>
      <c r="AG140" s="362">
        <v>53045201</v>
      </c>
      <c r="AH140" s="362">
        <v>53382523</v>
      </c>
      <c r="AI140" s="362">
        <v>53708320</v>
      </c>
      <c r="AJ140" s="362">
        <v>54045420</v>
      </c>
      <c r="AK140" s="362">
        <v>54409800.000000007</v>
      </c>
      <c r="AL140" s="363">
        <v>54806012</v>
      </c>
      <c r="AM140" s="362">
        <v>55227143</v>
      </c>
      <c r="AN140" s="362">
        <v>55663661</v>
      </c>
      <c r="AO140" s="362">
        <v>56101111</v>
      </c>
      <c r="AP140" s="362">
        <v>56528471</v>
      </c>
      <c r="AQ140" s="362">
        <v>56942754</v>
      </c>
      <c r="AR140" s="362">
        <v>57345561</v>
      </c>
      <c r="AS140" s="362">
        <v>57735854</v>
      </c>
      <c r="AT140" s="362">
        <v>58113594</v>
      </c>
      <c r="AU140" s="362">
        <v>58478494</v>
      </c>
      <c r="AV140" s="362" t="s">
        <v>323</v>
      </c>
      <c r="AW140" s="362">
        <v>6.7421069167379333E-3</v>
      </c>
      <c r="AX140" s="362">
        <v>7.2819969931885442E-3</v>
      </c>
    </row>
    <row r="141" spans="1:50" x14ac:dyDescent="0.25">
      <c r="A141" s="361" t="s">
        <v>325</v>
      </c>
      <c r="B141" s="361">
        <v>516</v>
      </c>
      <c r="C141" s="361" t="s">
        <v>324</v>
      </c>
      <c r="D141" s="361">
        <v>134</v>
      </c>
      <c r="E141" s="361">
        <v>26</v>
      </c>
      <c r="F141" s="361" t="s">
        <v>2374</v>
      </c>
      <c r="G141" s="362">
        <v>1432904.9999999998</v>
      </c>
      <c r="H141" s="362">
        <v>1476387.9999999998</v>
      </c>
      <c r="I141" s="362">
        <v>1516958</v>
      </c>
      <c r="J141" s="362">
        <v>1555101</v>
      </c>
      <c r="K141" s="362">
        <v>1591821.9999999998</v>
      </c>
      <c r="L141" s="362">
        <v>1627865.0000000002</v>
      </c>
      <c r="M141" s="362">
        <v>1663378</v>
      </c>
      <c r="N141" s="362">
        <v>1698032</v>
      </c>
      <c r="O141" s="362">
        <v>1731639</v>
      </c>
      <c r="P141" s="362">
        <v>1763858.9999999998</v>
      </c>
      <c r="Q141" s="362">
        <v>1794571</v>
      </c>
      <c r="R141" s="362">
        <v>1823672</v>
      </c>
      <c r="S141" s="362">
        <v>1851522.9999999998</v>
      </c>
      <c r="T141" s="362">
        <v>1879117</v>
      </c>
      <c r="U141" s="362">
        <v>1907744.9999999998</v>
      </c>
      <c r="V141" s="362">
        <v>1938320</v>
      </c>
      <c r="W141" s="362">
        <v>1971317</v>
      </c>
      <c r="X141" s="362">
        <v>2006513.9999999998</v>
      </c>
      <c r="Y141" s="362">
        <v>2043394.0000000002</v>
      </c>
      <c r="Z141" s="362">
        <v>2081044</v>
      </c>
      <c r="AA141" s="362">
        <v>2118874</v>
      </c>
      <c r="AB141" s="362">
        <v>2156698</v>
      </c>
      <c r="AC141" s="362">
        <v>2194782.9999999995</v>
      </c>
      <c r="AD141" s="362">
        <v>2233507.9999999995</v>
      </c>
      <c r="AE141" s="362">
        <v>2273422.9999999995</v>
      </c>
      <c r="AF141" s="362">
        <v>2314904</v>
      </c>
      <c r="AG141" s="362">
        <v>2358044</v>
      </c>
      <c r="AH141" s="362">
        <v>2402633</v>
      </c>
      <c r="AI141" s="362">
        <v>2448301</v>
      </c>
      <c r="AJ141" s="362">
        <v>2494530</v>
      </c>
      <c r="AK141" s="362">
        <v>2540905.0000000005</v>
      </c>
      <c r="AL141" s="363">
        <v>2587344</v>
      </c>
      <c r="AM141" s="362">
        <v>2633874</v>
      </c>
      <c r="AN141" s="362">
        <v>2680490</v>
      </c>
      <c r="AO141" s="362">
        <v>2727258</v>
      </c>
      <c r="AP141" s="362">
        <v>2774200</v>
      </c>
      <c r="AQ141" s="362">
        <v>2821271</v>
      </c>
      <c r="AR141" s="362">
        <v>2868439</v>
      </c>
      <c r="AS141" s="362">
        <v>2915722</v>
      </c>
      <c r="AT141" s="362">
        <v>2963188</v>
      </c>
      <c r="AU141" s="362">
        <v>3010871</v>
      </c>
      <c r="AV141" s="362" t="s">
        <v>325</v>
      </c>
      <c r="AW141" s="362">
        <v>1.8590676399963257E-2</v>
      </c>
      <c r="AX141" s="362">
        <v>1.8276558942581289E-2</v>
      </c>
    </row>
    <row r="142" spans="1:50" x14ac:dyDescent="0.25">
      <c r="A142" s="361" t="s">
        <v>327</v>
      </c>
      <c r="B142" s="361">
        <v>520</v>
      </c>
      <c r="C142" s="361" t="s">
        <v>326</v>
      </c>
      <c r="D142" s="361">
        <v>135</v>
      </c>
      <c r="E142" s="361">
        <v>24</v>
      </c>
      <c r="F142" s="361" t="s">
        <v>2374</v>
      </c>
      <c r="G142" s="362">
        <v>9505.0000000000018</v>
      </c>
      <c r="H142" s="362">
        <v>9764</v>
      </c>
      <c r="I142" s="362">
        <v>10029.999999999998</v>
      </c>
      <c r="J142" s="362">
        <v>10287.000000000002</v>
      </c>
      <c r="K142" s="362">
        <v>10497.999999999998</v>
      </c>
      <c r="L142" s="362">
        <v>10628</v>
      </c>
      <c r="M142" s="362">
        <v>10672.000000000002</v>
      </c>
      <c r="N142" s="362">
        <v>10647</v>
      </c>
      <c r="O142" s="362">
        <v>10565</v>
      </c>
      <c r="P142" s="362">
        <v>10449</v>
      </c>
      <c r="Q142" s="362">
        <v>10336.999999999998</v>
      </c>
      <c r="R142" s="362">
        <v>10215</v>
      </c>
      <c r="S142" s="362">
        <v>10102</v>
      </c>
      <c r="T142" s="362">
        <v>9994</v>
      </c>
      <c r="U142" s="362">
        <v>9902</v>
      </c>
      <c r="V142" s="362">
        <v>9849</v>
      </c>
      <c r="W142" s="362">
        <v>9828</v>
      </c>
      <c r="X142" s="362">
        <v>9842</v>
      </c>
      <c r="Y142" s="362">
        <v>9891</v>
      </c>
      <c r="Z142" s="362">
        <v>9939</v>
      </c>
      <c r="AA142" s="362">
        <v>10005</v>
      </c>
      <c r="AB142" s="362">
        <v>10070</v>
      </c>
      <c r="AC142" s="362">
        <v>10140</v>
      </c>
      <c r="AD142" s="362">
        <v>10209</v>
      </c>
      <c r="AE142" s="362">
        <v>10289</v>
      </c>
      <c r="AF142" s="362">
        <v>10383</v>
      </c>
      <c r="AG142" s="362">
        <v>10475</v>
      </c>
      <c r="AH142" s="362">
        <v>10573</v>
      </c>
      <c r="AI142" s="362">
        <v>10670</v>
      </c>
      <c r="AJ142" s="362">
        <v>10756</v>
      </c>
      <c r="AK142" s="362">
        <v>10824</v>
      </c>
      <c r="AL142" s="363">
        <v>10876</v>
      </c>
      <c r="AM142" s="362">
        <v>10903</v>
      </c>
      <c r="AN142" s="362">
        <v>10915</v>
      </c>
      <c r="AO142" s="362">
        <v>10930</v>
      </c>
      <c r="AP142" s="362">
        <v>10943</v>
      </c>
      <c r="AQ142" s="362">
        <v>10955</v>
      </c>
      <c r="AR142" s="362">
        <v>10963</v>
      </c>
      <c r="AS142" s="362">
        <v>10972</v>
      </c>
      <c r="AT142" s="362">
        <v>10985</v>
      </c>
      <c r="AU142" s="362">
        <v>10991</v>
      </c>
      <c r="AV142" s="362" t="s">
        <v>327</v>
      </c>
      <c r="AW142" s="362">
        <v>6.3220528077352345E-3</v>
      </c>
      <c r="AX142" s="362">
        <v>4.8041389504804854E-3</v>
      </c>
    </row>
    <row r="143" spans="1:50" x14ac:dyDescent="0.25">
      <c r="A143" s="361" t="s">
        <v>329</v>
      </c>
      <c r="B143" s="361">
        <v>524</v>
      </c>
      <c r="C143" s="361" t="s">
        <v>328</v>
      </c>
      <c r="D143" s="361">
        <v>136</v>
      </c>
      <c r="E143" s="361">
        <v>25</v>
      </c>
      <c r="F143" s="361" t="s">
        <v>2374</v>
      </c>
      <c r="G143" s="362">
        <v>18905478</v>
      </c>
      <c r="H143" s="362">
        <v>19405504</v>
      </c>
      <c r="I143" s="362">
        <v>19938320</v>
      </c>
      <c r="J143" s="362">
        <v>20489974.999999996</v>
      </c>
      <c r="K143" s="362">
        <v>21040903.999999996</v>
      </c>
      <c r="L143" s="362">
        <v>21576071</v>
      </c>
      <c r="M143" s="362">
        <v>22090352</v>
      </c>
      <c r="N143" s="362">
        <v>22584775</v>
      </c>
      <c r="O143" s="362">
        <v>23057883</v>
      </c>
      <c r="P143" s="362">
        <v>23509964</v>
      </c>
      <c r="Q143" s="362">
        <v>23941110.000000004</v>
      </c>
      <c r="R143" s="362">
        <v>24347106</v>
      </c>
      <c r="S143" s="362">
        <v>24725627</v>
      </c>
      <c r="T143" s="362">
        <v>25080872</v>
      </c>
      <c r="U143" s="362">
        <v>25419344.000000004</v>
      </c>
      <c r="V143" s="362">
        <v>25744500</v>
      </c>
      <c r="W143" s="362">
        <v>26066693</v>
      </c>
      <c r="X143" s="362">
        <v>26382581</v>
      </c>
      <c r="Y143" s="362">
        <v>26666576</v>
      </c>
      <c r="Z143" s="362">
        <v>26883535</v>
      </c>
      <c r="AA143" s="362">
        <v>27013212</v>
      </c>
      <c r="AB143" s="362">
        <v>27041220.000000004</v>
      </c>
      <c r="AC143" s="362">
        <v>26989163</v>
      </c>
      <c r="AD143" s="362">
        <v>26916793.000000004</v>
      </c>
      <c r="AE143" s="362">
        <v>26905977.999999996</v>
      </c>
      <c r="AF143" s="362">
        <v>27015031</v>
      </c>
      <c r="AG143" s="362">
        <v>27263433</v>
      </c>
      <c r="AH143" s="362">
        <v>27632681</v>
      </c>
      <c r="AI143" s="362">
        <v>28095714</v>
      </c>
      <c r="AJ143" s="362">
        <v>28608710</v>
      </c>
      <c r="AK143" s="362">
        <v>29136808.000000004</v>
      </c>
      <c r="AL143" s="363">
        <v>29674920</v>
      </c>
      <c r="AM143" s="362">
        <v>30225582</v>
      </c>
      <c r="AN143" s="362">
        <v>30769713</v>
      </c>
      <c r="AO143" s="362">
        <v>31285689</v>
      </c>
      <c r="AP143" s="362">
        <v>31757446</v>
      </c>
      <c r="AQ143" s="362">
        <v>32175304</v>
      </c>
      <c r="AR143" s="362">
        <v>32539191</v>
      </c>
      <c r="AS143" s="362">
        <v>32855383</v>
      </c>
      <c r="AT143" s="362">
        <v>33135731</v>
      </c>
      <c r="AU143" s="362">
        <v>33389536</v>
      </c>
      <c r="AV143" s="362" t="s">
        <v>329</v>
      </c>
      <c r="AW143" s="362">
        <v>1.8459343325861299E-2</v>
      </c>
      <c r="AX143" s="362">
        <v>1.8468460924065511E-2</v>
      </c>
    </row>
    <row r="144" spans="1:50" x14ac:dyDescent="0.25">
      <c r="A144" s="361" t="s">
        <v>331</v>
      </c>
      <c r="B144" s="361">
        <v>528</v>
      </c>
      <c r="C144" s="361" t="s">
        <v>330</v>
      </c>
      <c r="D144" s="361">
        <v>137</v>
      </c>
      <c r="E144" s="361">
        <v>11</v>
      </c>
      <c r="F144" s="361" t="s">
        <v>2374</v>
      </c>
      <c r="G144" s="362">
        <v>14965448</v>
      </c>
      <c r="H144" s="362">
        <v>15064519</v>
      </c>
      <c r="I144" s="362">
        <v>15165861.999999998</v>
      </c>
      <c r="J144" s="362">
        <v>15268006</v>
      </c>
      <c r="K144" s="362">
        <v>15369120</v>
      </c>
      <c r="L144" s="362">
        <v>15467851.000000002</v>
      </c>
      <c r="M144" s="362">
        <v>15563255</v>
      </c>
      <c r="N144" s="362">
        <v>15655475</v>
      </c>
      <c r="O144" s="362">
        <v>15745647.000000002</v>
      </c>
      <c r="P144" s="362">
        <v>15835522.999999998</v>
      </c>
      <c r="Q144" s="362">
        <v>15926188</v>
      </c>
      <c r="R144" s="362">
        <v>16018114</v>
      </c>
      <c r="S144" s="362">
        <v>16110354.999999998</v>
      </c>
      <c r="T144" s="362">
        <v>16200951</v>
      </c>
      <c r="U144" s="362">
        <v>16287182.000000002</v>
      </c>
      <c r="V144" s="362">
        <v>16367158</v>
      </c>
      <c r="W144" s="362">
        <v>16440097.000000002</v>
      </c>
      <c r="X144" s="362">
        <v>16506654.999999998</v>
      </c>
      <c r="Y144" s="362">
        <v>16568103.999999998</v>
      </c>
      <c r="Z144" s="362">
        <v>16626373.000000002</v>
      </c>
      <c r="AA144" s="362">
        <v>16682917</v>
      </c>
      <c r="AB144" s="362">
        <v>16738192.999999998</v>
      </c>
      <c r="AC144" s="362">
        <v>16791840</v>
      </c>
      <c r="AD144" s="362">
        <v>16843502</v>
      </c>
      <c r="AE144" s="362">
        <v>16892523</v>
      </c>
      <c r="AF144" s="362">
        <v>16938499</v>
      </c>
      <c r="AG144" s="362">
        <v>16981295</v>
      </c>
      <c r="AH144" s="362">
        <v>17021347.000000004</v>
      </c>
      <c r="AI144" s="362">
        <v>17059560</v>
      </c>
      <c r="AJ144" s="362">
        <v>17097130</v>
      </c>
      <c r="AK144" s="362">
        <v>17134871.999999996</v>
      </c>
      <c r="AL144" s="362">
        <v>17173099</v>
      </c>
      <c r="AM144" s="362">
        <v>17211447</v>
      </c>
      <c r="AN144" s="362">
        <v>17249265</v>
      </c>
      <c r="AO144" s="362">
        <v>17285567</v>
      </c>
      <c r="AP144" s="362">
        <v>17319579</v>
      </c>
      <c r="AQ144" s="362">
        <v>17351066</v>
      </c>
      <c r="AR144" s="362">
        <v>17380064</v>
      </c>
      <c r="AS144" s="362">
        <v>17406366</v>
      </c>
      <c r="AT144" s="362">
        <v>17429835</v>
      </c>
      <c r="AU144" s="362">
        <v>17450322</v>
      </c>
      <c r="AV144" s="362" t="s">
        <v>331</v>
      </c>
      <c r="AW144" s="362">
        <v>2.2075050023013798E-3</v>
      </c>
      <c r="AX144" s="362">
        <v>2.2309475086830233E-3</v>
      </c>
    </row>
    <row r="145" spans="1:50" x14ac:dyDescent="0.25">
      <c r="A145" s="361" t="s">
        <v>2498</v>
      </c>
      <c r="B145" s="361">
        <v>531</v>
      </c>
      <c r="C145" s="361" t="s">
        <v>2499</v>
      </c>
      <c r="D145" s="361">
        <v>138</v>
      </c>
      <c r="E145" s="361">
        <v>4</v>
      </c>
      <c r="F145" s="361" t="s">
        <v>2374</v>
      </c>
      <c r="G145" s="362">
        <v>146670</v>
      </c>
      <c r="H145" s="362">
        <v>146240</v>
      </c>
      <c r="I145" s="362">
        <v>146024</v>
      </c>
      <c r="J145" s="362">
        <v>145768</v>
      </c>
      <c r="K145" s="362">
        <v>145127</v>
      </c>
      <c r="L145" s="362">
        <v>143882</v>
      </c>
      <c r="M145" s="362">
        <v>141968.99999999997</v>
      </c>
      <c r="N145" s="362">
        <v>139544.99999999997</v>
      </c>
      <c r="O145" s="362">
        <v>136860.99999999997</v>
      </c>
      <c r="P145" s="362">
        <v>134296</v>
      </c>
      <c r="Q145" s="362">
        <v>132139.99999999997</v>
      </c>
      <c r="R145" s="362">
        <v>130403.99999999999</v>
      </c>
      <c r="S145" s="362">
        <v>129085</v>
      </c>
      <c r="T145" s="362">
        <v>128423.00000000001</v>
      </c>
      <c r="U145" s="362">
        <v>128719</v>
      </c>
      <c r="V145" s="362">
        <v>130130</v>
      </c>
      <c r="W145" s="362">
        <v>132810</v>
      </c>
      <c r="X145" s="362">
        <v>136596</v>
      </c>
      <c r="Y145" s="362">
        <v>141002.00000000003</v>
      </c>
      <c r="Z145" s="362">
        <v>145367</v>
      </c>
      <c r="AA145" s="362">
        <v>149192.00000000003</v>
      </c>
      <c r="AB145" s="362">
        <v>152315</v>
      </c>
      <c r="AC145" s="362">
        <v>154817</v>
      </c>
      <c r="AD145" s="362">
        <v>156794.00000000003</v>
      </c>
      <c r="AE145" s="362">
        <v>158422</v>
      </c>
      <c r="AF145" s="362">
        <v>159847.00000000003</v>
      </c>
      <c r="AG145" s="362">
        <v>161052</v>
      </c>
      <c r="AH145" s="362">
        <v>161997</v>
      </c>
      <c r="AI145" s="362">
        <v>162752</v>
      </c>
      <c r="AJ145" s="362">
        <v>163424</v>
      </c>
      <c r="AK145" s="362">
        <v>164093</v>
      </c>
      <c r="AL145" s="362">
        <v>164798</v>
      </c>
      <c r="AM145" s="362">
        <v>165529</v>
      </c>
      <c r="AN145" s="362">
        <v>166275</v>
      </c>
      <c r="AO145" s="362">
        <v>167002</v>
      </c>
      <c r="AP145" s="362">
        <v>167687</v>
      </c>
      <c r="AQ145" s="362">
        <v>168334</v>
      </c>
      <c r="AR145" s="362">
        <v>168966</v>
      </c>
      <c r="AS145" s="362">
        <v>169569</v>
      </c>
      <c r="AT145" s="362">
        <v>170145</v>
      </c>
      <c r="AU145" s="362">
        <v>170704</v>
      </c>
      <c r="AV145" s="362" t="s">
        <v>2498</v>
      </c>
      <c r="AW145" s="362">
        <v>4.093645976111171E-3</v>
      </c>
      <c r="AX145" s="362">
        <v>4.2963441463073071E-3</v>
      </c>
    </row>
    <row r="146" spans="1:50" x14ac:dyDescent="0.25">
      <c r="A146" s="361" t="s">
        <v>335</v>
      </c>
      <c r="B146" s="361">
        <v>540</v>
      </c>
      <c r="C146" s="361" t="s">
        <v>334</v>
      </c>
      <c r="D146" s="361">
        <v>140</v>
      </c>
      <c r="E146" s="361">
        <v>24</v>
      </c>
      <c r="F146" s="361" t="s">
        <v>2374</v>
      </c>
      <c r="G146" s="362">
        <v>170336.00000000003</v>
      </c>
      <c r="H146" s="362">
        <v>174336.00000000003</v>
      </c>
      <c r="I146" s="362">
        <v>178758.99999999997</v>
      </c>
      <c r="J146" s="362">
        <v>183479.99999999997</v>
      </c>
      <c r="K146" s="362">
        <v>188365</v>
      </c>
      <c r="L146" s="362">
        <v>193293</v>
      </c>
      <c r="M146" s="362">
        <v>198240</v>
      </c>
      <c r="N146" s="362">
        <v>203187</v>
      </c>
      <c r="O146" s="362">
        <v>208056.00000000003</v>
      </c>
      <c r="P146" s="362">
        <v>212776.00000000003</v>
      </c>
      <c r="Q146" s="362">
        <v>217269.00000000003</v>
      </c>
      <c r="R146" s="362">
        <v>221493</v>
      </c>
      <c r="S146" s="362">
        <v>225482</v>
      </c>
      <c r="T146" s="362">
        <v>229244</v>
      </c>
      <c r="U146" s="362">
        <v>232883</v>
      </c>
      <c r="V146" s="362">
        <v>236442</v>
      </c>
      <c r="W146" s="362">
        <v>239930</v>
      </c>
      <c r="X146" s="362">
        <v>243331</v>
      </c>
      <c r="Y146" s="362">
        <v>246695</v>
      </c>
      <c r="Z146" s="362">
        <v>250085</v>
      </c>
      <c r="AA146" s="362">
        <v>253527</v>
      </c>
      <c r="AB146" s="362">
        <v>257053.99999999994</v>
      </c>
      <c r="AC146" s="362">
        <v>260653.00000000003</v>
      </c>
      <c r="AD146" s="362">
        <v>264242.00000000006</v>
      </c>
      <c r="AE146" s="362">
        <v>267738.99999999994</v>
      </c>
      <c r="AF146" s="362">
        <v>271065</v>
      </c>
      <c r="AG146" s="362">
        <v>274190.99999999994</v>
      </c>
      <c r="AH146" s="362">
        <v>277149.99999999994</v>
      </c>
      <c r="AI146" s="362">
        <v>279993</v>
      </c>
      <c r="AJ146" s="362">
        <v>282750</v>
      </c>
      <c r="AK146" s="362">
        <v>285498</v>
      </c>
      <c r="AL146" s="363">
        <v>288218</v>
      </c>
      <c r="AM146" s="362">
        <v>290915</v>
      </c>
      <c r="AN146" s="362">
        <v>293584</v>
      </c>
      <c r="AO146" s="362">
        <v>296205</v>
      </c>
      <c r="AP146" s="362">
        <v>298786</v>
      </c>
      <c r="AQ146" s="362">
        <v>301317</v>
      </c>
      <c r="AR146" s="362">
        <v>303805</v>
      </c>
      <c r="AS146" s="362">
        <v>306251</v>
      </c>
      <c r="AT146" s="362">
        <v>308660</v>
      </c>
      <c r="AU146" s="362">
        <v>311024</v>
      </c>
      <c r="AV146" s="362" t="s">
        <v>335</v>
      </c>
      <c r="AW146" s="362">
        <v>9.7188328912467536E-3</v>
      </c>
      <c r="AX146" s="362">
        <v>9.5272120995593124E-3</v>
      </c>
    </row>
    <row r="147" spans="1:50" x14ac:dyDescent="0.25">
      <c r="A147" s="361" t="s">
        <v>337</v>
      </c>
      <c r="B147" s="361">
        <v>554</v>
      </c>
      <c r="C147" s="361" t="s">
        <v>336</v>
      </c>
      <c r="D147" s="361">
        <v>142</v>
      </c>
      <c r="E147" s="361">
        <v>24</v>
      </c>
      <c r="F147" s="361" t="s">
        <v>2374</v>
      </c>
      <c r="G147" s="362">
        <v>3398172</v>
      </c>
      <c r="H147" s="362">
        <v>3446170</v>
      </c>
      <c r="I147" s="362">
        <v>3503181</v>
      </c>
      <c r="J147" s="362">
        <v>3564464</v>
      </c>
      <c r="K147" s="362">
        <v>3623279</v>
      </c>
      <c r="L147" s="362">
        <v>3674936</v>
      </c>
      <c r="M147" s="362">
        <v>3717349</v>
      </c>
      <c r="N147" s="362">
        <v>3752362</v>
      </c>
      <c r="O147" s="362">
        <v>3783974</v>
      </c>
      <c r="P147" s="362">
        <v>3818130.9999999995</v>
      </c>
      <c r="Q147" s="362">
        <v>3858999</v>
      </c>
      <c r="R147" s="362">
        <v>3907933</v>
      </c>
      <c r="S147" s="362">
        <v>3963206</v>
      </c>
      <c r="T147" s="362">
        <v>4022069</v>
      </c>
      <c r="U147" s="362">
        <v>4080438</v>
      </c>
      <c r="V147" s="362">
        <v>4135354.9999999995</v>
      </c>
      <c r="W147" s="362">
        <v>4185888.0000000005</v>
      </c>
      <c r="X147" s="362">
        <v>4233046</v>
      </c>
      <c r="Y147" s="362">
        <v>4278155</v>
      </c>
      <c r="Z147" s="362">
        <v>4323337</v>
      </c>
      <c r="AA147" s="362">
        <v>4370062</v>
      </c>
      <c r="AB147" s="362">
        <v>4418678</v>
      </c>
      <c r="AC147" s="362">
        <v>4468457</v>
      </c>
      <c r="AD147" s="362">
        <v>4518515.0000000009</v>
      </c>
      <c r="AE147" s="362">
        <v>4567527</v>
      </c>
      <c r="AF147" s="362">
        <v>4614532.0000000009</v>
      </c>
      <c r="AG147" s="362">
        <v>4659265</v>
      </c>
      <c r="AH147" s="362">
        <v>4702033.9999999991</v>
      </c>
      <c r="AI147" s="362">
        <v>4743131</v>
      </c>
      <c r="AJ147" s="362">
        <v>4783063</v>
      </c>
      <c r="AK147" s="362">
        <v>4822233</v>
      </c>
      <c r="AL147" s="363">
        <v>4860643</v>
      </c>
      <c r="AM147" s="362">
        <v>4898203</v>
      </c>
      <c r="AN147" s="362">
        <v>4934974</v>
      </c>
      <c r="AO147" s="362">
        <v>4971041</v>
      </c>
      <c r="AP147" s="362">
        <v>5006445</v>
      </c>
      <c r="AQ147" s="362">
        <v>5041241</v>
      </c>
      <c r="AR147" s="362">
        <v>5075421</v>
      </c>
      <c r="AS147" s="362">
        <v>5108858</v>
      </c>
      <c r="AT147" s="362">
        <v>5141414</v>
      </c>
      <c r="AU147" s="362">
        <v>5172962</v>
      </c>
      <c r="AV147" s="362" t="s">
        <v>337</v>
      </c>
      <c r="AW147" s="362">
        <v>8.1893129988044322E-3</v>
      </c>
      <c r="AX147" s="362">
        <v>7.9651895708896525E-3</v>
      </c>
    </row>
    <row r="148" spans="1:50" x14ac:dyDescent="0.25">
      <c r="A148" s="361" t="s">
        <v>339</v>
      </c>
      <c r="B148" s="361">
        <v>558</v>
      </c>
      <c r="C148" s="361" t="s">
        <v>338</v>
      </c>
      <c r="D148" s="361">
        <v>143</v>
      </c>
      <c r="E148" s="361">
        <v>4</v>
      </c>
      <c r="F148" s="361" t="s">
        <v>2374</v>
      </c>
      <c r="G148" s="362">
        <v>4173434.0000000005</v>
      </c>
      <c r="H148" s="362">
        <v>4267568</v>
      </c>
      <c r="I148" s="362">
        <v>4364511.9999999991</v>
      </c>
      <c r="J148" s="362">
        <v>4462497</v>
      </c>
      <c r="K148" s="362">
        <v>4559006</v>
      </c>
      <c r="L148" s="362">
        <v>4652185</v>
      </c>
      <c r="M148" s="362">
        <v>4741578.0000000009</v>
      </c>
      <c r="N148" s="362">
        <v>4827661</v>
      </c>
      <c r="O148" s="362">
        <v>4910647</v>
      </c>
      <c r="P148" s="362">
        <v>4991040</v>
      </c>
      <c r="Q148" s="362">
        <v>5069301.9999999991</v>
      </c>
      <c r="R148" s="362">
        <v>5145366</v>
      </c>
      <c r="S148" s="362">
        <v>5219328.0000000009</v>
      </c>
      <c r="T148" s="362">
        <v>5292118</v>
      </c>
      <c r="U148" s="362">
        <v>5364935</v>
      </c>
      <c r="V148" s="362">
        <v>5438689.9999999991</v>
      </c>
      <c r="W148" s="362">
        <v>5513763</v>
      </c>
      <c r="X148" s="362">
        <v>5590055</v>
      </c>
      <c r="Y148" s="362">
        <v>5667432</v>
      </c>
      <c r="Z148" s="362">
        <v>5745526</v>
      </c>
      <c r="AA148" s="362">
        <v>5824064.9999999991</v>
      </c>
      <c r="AB148" s="362">
        <v>5903039</v>
      </c>
      <c r="AC148" s="362">
        <v>5982526</v>
      </c>
      <c r="AD148" s="362">
        <v>6062457</v>
      </c>
      <c r="AE148" s="362">
        <v>6142730.9999999991</v>
      </c>
      <c r="AF148" s="362">
        <v>6223240</v>
      </c>
      <c r="AG148" s="362">
        <v>6303974</v>
      </c>
      <c r="AH148" s="362">
        <v>6384846</v>
      </c>
      <c r="AI148" s="362">
        <v>6465501.0000000009</v>
      </c>
      <c r="AJ148" s="362">
        <v>6545502.0000000009</v>
      </c>
      <c r="AK148" s="362">
        <v>6624554</v>
      </c>
      <c r="AL148" s="363">
        <v>6702385</v>
      </c>
      <c r="AM148" s="362">
        <v>6779100</v>
      </c>
      <c r="AN148" s="362">
        <v>6855178</v>
      </c>
      <c r="AO148" s="362">
        <v>6931331</v>
      </c>
      <c r="AP148" s="362">
        <v>7008003</v>
      </c>
      <c r="AQ148" s="362">
        <v>7085363</v>
      </c>
      <c r="AR148" s="362">
        <v>7163085</v>
      </c>
      <c r="AS148" s="362">
        <v>7240597</v>
      </c>
      <c r="AT148" s="362">
        <v>7317067</v>
      </c>
      <c r="AU148" s="362">
        <v>7391881</v>
      </c>
      <c r="AV148" s="362" t="s">
        <v>339</v>
      </c>
      <c r="AW148" s="362">
        <v>1.2077301328454082E-2</v>
      </c>
      <c r="AX148" s="362">
        <v>1.1748866414252213E-2</v>
      </c>
    </row>
    <row r="149" spans="1:50" x14ac:dyDescent="0.25">
      <c r="A149" s="361" t="s">
        <v>341</v>
      </c>
      <c r="B149" s="361">
        <v>562</v>
      </c>
      <c r="C149" s="361" t="s">
        <v>340</v>
      </c>
      <c r="D149" s="361">
        <v>144</v>
      </c>
      <c r="E149" s="361">
        <v>8</v>
      </c>
      <c r="F149" s="361" t="s">
        <v>2374</v>
      </c>
      <c r="G149" s="362">
        <v>8026591</v>
      </c>
      <c r="H149" s="362">
        <v>8288735.0000000009</v>
      </c>
      <c r="I149" s="362">
        <v>8566770</v>
      </c>
      <c r="J149" s="362">
        <v>8860287</v>
      </c>
      <c r="K149" s="362">
        <v>9168312</v>
      </c>
      <c r="L149" s="362">
        <v>9490288</v>
      </c>
      <c r="M149" s="362">
        <v>9826598</v>
      </c>
      <c r="N149" s="362">
        <v>10178201</v>
      </c>
      <c r="O149" s="362">
        <v>10545716</v>
      </c>
      <c r="P149" s="362">
        <v>10929917.999999998</v>
      </c>
      <c r="Q149" s="362">
        <v>11331557</v>
      </c>
      <c r="R149" s="362">
        <v>11751365</v>
      </c>
      <c r="S149" s="362">
        <v>12189983</v>
      </c>
      <c r="T149" s="362">
        <v>12647984.000000002</v>
      </c>
      <c r="U149" s="362">
        <v>13125916</v>
      </c>
      <c r="V149" s="362">
        <v>13624467.000000002</v>
      </c>
      <c r="W149" s="362">
        <v>14143970.999999998</v>
      </c>
      <c r="X149" s="362">
        <v>14685399</v>
      </c>
      <c r="Y149" s="362">
        <v>15250907.999999998</v>
      </c>
      <c r="Z149" s="362">
        <v>15843133</v>
      </c>
      <c r="AA149" s="362">
        <v>16464025.000000004</v>
      </c>
      <c r="AB149" s="362">
        <v>17114766</v>
      </c>
      <c r="AC149" s="362">
        <v>17795210</v>
      </c>
      <c r="AD149" s="362">
        <v>18504281</v>
      </c>
      <c r="AE149" s="362">
        <v>19240179</v>
      </c>
      <c r="AF149" s="362">
        <v>20001663</v>
      </c>
      <c r="AG149" s="362">
        <v>20788798</v>
      </c>
      <c r="AH149" s="362">
        <v>21602382.000000004</v>
      </c>
      <c r="AI149" s="362">
        <v>22442822</v>
      </c>
      <c r="AJ149" s="362">
        <v>23310715</v>
      </c>
      <c r="AK149" s="362">
        <v>24206644</v>
      </c>
      <c r="AL149" s="363">
        <v>25130817</v>
      </c>
      <c r="AM149" s="362">
        <v>26083660</v>
      </c>
      <c r="AN149" s="362">
        <v>27066232</v>
      </c>
      <c r="AO149" s="362">
        <v>28079839</v>
      </c>
      <c r="AP149" s="362">
        <v>29125520</v>
      </c>
      <c r="AQ149" s="362">
        <v>30203733</v>
      </c>
      <c r="AR149" s="362">
        <v>31314610</v>
      </c>
      <c r="AS149" s="362">
        <v>32458489</v>
      </c>
      <c r="AT149" s="362">
        <v>33635577</v>
      </c>
      <c r="AU149" s="362">
        <v>34846020</v>
      </c>
      <c r="AV149" s="362" t="s">
        <v>341</v>
      </c>
      <c r="AW149" s="362">
        <v>3.8434213622362101E-2</v>
      </c>
      <c r="AX149" s="362">
        <v>3.8178485212572166E-2</v>
      </c>
    </row>
    <row r="150" spans="1:50" x14ac:dyDescent="0.25">
      <c r="A150" s="361" t="s">
        <v>343</v>
      </c>
      <c r="B150" s="361">
        <v>566</v>
      </c>
      <c r="C150" s="361" t="s">
        <v>342</v>
      </c>
      <c r="D150" s="361">
        <v>145</v>
      </c>
      <c r="E150" s="361">
        <v>8</v>
      </c>
      <c r="F150" s="361" t="s">
        <v>2374</v>
      </c>
      <c r="G150" s="362">
        <v>95212450</v>
      </c>
      <c r="H150" s="362">
        <v>97667632</v>
      </c>
      <c r="I150" s="362">
        <v>100161710</v>
      </c>
      <c r="J150" s="362">
        <v>102700752.99999999</v>
      </c>
      <c r="K150" s="362">
        <v>105293700</v>
      </c>
      <c r="L150" s="362">
        <v>107948335</v>
      </c>
      <c r="M150" s="362">
        <v>110668793.99999999</v>
      </c>
      <c r="N150" s="362">
        <v>113457663</v>
      </c>
      <c r="O150" s="362">
        <v>116319759</v>
      </c>
      <c r="P150" s="362">
        <v>119260062.99999999</v>
      </c>
      <c r="Q150" s="362">
        <v>122283850</v>
      </c>
      <c r="R150" s="362">
        <v>125394046</v>
      </c>
      <c r="S150" s="362">
        <v>128596076.00000001</v>
      </c>
      <c r="T150" s="362">
        <v>131900631</v>
      </c>
      <c r="U150" s="362">
        <v>135320421.99999997</v>
      </c>
      <c r="V150" s="362">
        <v>138865016</v>
      </c>
      <c r="W150" s="362">
        <v>142538308</v>
      </c>
      <c r="X150" s="362">
        <v>146339977</v>
      </c>
      <c r="Y150" s="362">
        <v>150269623</v>
      </c>
      <c r="Z150" s="362">
        <v>154324933</v>
      </c>
      <c r="AA150" s="362">
        <v>158503196.99999997</v>
      </c>
      <c r="AB150" s="362">
        <v>162805076.99999997</v>
      </c>
      <c r="AC150" s="362">
        <v>167228794</v>
      </c>
      <c r="AD150" s="362">
        <v>171765816</v>
      </c>
      <c r="AE150" s="362">
        <v>176404934</v>
      </c>
      <c r="AF150" s="362">
        <v>181137448</v>
      </c>
      <c r="AG150" s="362">
        <v>185960241</v>
      </c>
      <c r="AH150" s="362">
        <v>190873244</v>
      </c>
      <c r="AI150" s="362">
        <v>195874682.99999997</v>
      </c>
      <c r="AJ150" s="362">
        <v>200963599</v>
      </c>
      <c r="AK150" s="362">
        <v>206139589</v>
      </c>
      <c r="AL150" s="363">
        <v>211400708</v>
      </c>
      <c r="AM150" s="362">
        <v>216746934</v>
      </c>
      <c r="AN150" s="362">
        <v>222182396</v>
      </c>
      <c r="AO150" s="362">
        <v>227713024</v>
      </c>
      <c r="AP150" s="362">
        <v>233343112</v>
      </c>
      <c r="AQ150" s="362">
        <v>239073298</v>
      </c>
      <c r="AR150" s="362">
        <v>244902212</v>
      </c>
      <c r="AS150" s="362">
        <v>250829706</v>
      </c>
      <c r="AT150" s="362">
        <v>256855082</v>
      </c>
      <c r="AU150" s="362">
        <v>262977337</v>
      </c>
      <c r="AV150" s="362" t="s">
        <v>343</v>
      </c>
      <c r="AW150" s="362">
        <v>2.575585840299377E-2</v>
      </c>
      <c r="AX150" s="362">
        <v>2.5522118412683925E-2</v>
      </c>
    </row>
    <row r="151" spans="1:50" x14ac:dyDescent="0.25">
      <c r="A151" s="361" t="s">
        <v>345</v>
      </c>
      <c r="B151" s="361">
        <v>570</v>
      </c>
      <c r="C151" s="361" t="s">
        <v>344</v>
      </c>
      <c r="D151" s="361">
        <v>146</v>
      </c>
      <c r="E151" s="361">
        <v>24</v>
      </c>
      <c r="F151" s="361" t="s">
        <v>2374</v>
      </c>
      <c r="G151" s="362">
        <v>2329.0000000000005</v>
      </c>
      <c r="H151" s="362">
        <v>2287.9999999999995</v>
      </c>
      <c r="I151" s="362">
        <v>2258</v>
      </c>
      <c r="J151" s="362">
        <v>2236</v>
      </c>
      <c r="K151" s="362">
        <v>2205</v>
      </c>
      <c r="L151" s="362">
        <v>2165</v>
      </c>
      <c r="M151" s="362">
        <v>2124</v>
      </c>
      <c r="N151" s="362">
        <v>2067.0000000000005</v>
      </c>
      <c r="O151" s="362">
        <v>2009.9999999999995</v>
      </c>
      <c r="P151" s="362">
        <v>1955.9999999999998</v>
      </c>
      <c r="Q151" s="362">
        <v>1899</v>
      </c>
      <c r="R151" s="362">
        <v>1854.0000000000002</v>
      </c>
      <c r="S151" s="362">
        <v>1790.9999999999998</v>
      </c>
      <c r="T151" s="362">
        <v>1754.9999999999998</v>
      </c>
      <c r="U151" s="362">
        <v>1715.0000000000002</v>
      </c>
      <c r="V151" s="362">
        <v>1683</v>
      </c>
      <c r="W151" s="362">
        <v>1661</v>
      </c>
      <c r="X151" s="362">
        <v>1643</v>
      </c>
      <c r="Y151" s="362">
        <v>1635</v>
      </c>
      <c r="Z151" s="362">
        <v>1628</v>
      </c>
      <c r="AA151" s="362">
        <v>1618</v>
      </c>
      <c r="AB151" s="362">
        <v>1620.0000000000002</v>
      </c>
      <c r="AC151" s="362">
        <v>1610</v>
      </c>
      <c r="AD151" s="362">
        <v>1612.0000000000002</v>
      </c>
      <c r="AE151" s="362">
        <v>1609</v>
      </c>
      <c r="AF151" s="362">
        <v>1619</v>
      </c>
      <c r="AG151" s="362">
        <v>1614.0000000000002</v>
      </c>
      <c r="AH151" s="362">
        <v>1609</v>
      </c>
      <c r="AI151" s="362">
        <v>1620.0000000000002</v>
      </c>
      <c r="AJ151" s="362">
        <v>1615</v>
      </c>
      <c r="AK151" s="362">
        <v>1625.9999999999998</v>
      </c>
      <c r="AL151" s="363">
        <v>1619</v>
      </c>
      <c r="AM151" s="362">
        <v>1622</v>
      </c>
      <c r="AN151" s="362">
        <v>1626</v>
      </c>
      <c r="AO151" s="362">
        <v>1618</v>
      </c>
      <c r="AP151" s="362">
        <v>1621</v>
      </c>
      <c r="AQ151" s="362">
        <v>1628</v>
      </c>
      <c r="AR151" s="362">
        <v>1634</v>
      </c>
      <c r="AS151" s="362">
        <v>1643</v>
      </c>
      <c r="AT151" s="362">
        <v>1651</v>
      </c>
      <c r="AU151" s="362">
        <v>1664</v>
      </c>
      <c r="AV151" s="362" t="s">
        <v>345</v>
      </c>
      <c r="AW151" s="362">
        <v>6.8111455108357255E-3</v>
      </c>
      <c r="AX151" s="362">
        <v>-4.305043050430335E-3</v>
      </c>
    </row>
    <row r="152" spans="1:50" x14ac:dyDescent="0.25">
      <c r="A152" s="361" t="s">
        <v>347</v>
      </c>
      <c r="B152" s="361">
        <v>580</v>
      </c>
      <c r="C152" s="361" t="s">
        <v>346</v>
      </c>
      <c r="D152" s="361">
        <v>148</v>
      </c>
      <c r="E152" s="361">
        <v>24</v>
      </c>
      <c r="F152" s="361" t="s">
        <v>2374</v>
      </c>
      <c r="G152" s="362">
        <v>45752</v>
      </c>
      <c r="H152" s="362">
        <v>46666</v>
      </c>
      <c r="I152" s="362">
        <v>46476</v>
      </c>
      <c r="J152" s="362">
        <v>45758</v>
      </c>
      <c r="K152" s="362">
        <v>45363.999999999993</v>
      </c>
      <c r="L152" s="362">
        <v>45869.999999999993</v>
      </c>
      <c r="M152" s="362">
        <v>47521</v>
      </c>
      <c r="N152" s="362">
        <v>50055.999999999993</v>
      </c>
      <c r="O152" s="362">
        <v>52997</v>
      </c>
      <c r="P152" s="362">
        <v>55636.000000000007</v>
      </c>
      <c r="Q152" s="362">
        <v>57453.000000000007</v>
      </c>
      <c r="R152" s="362">
        <v>58321</v>
      </c>
      <c r="S152" s="362">
        <v>58420</v>
      </c>
      <c r="T152" s="362">
        <v>57947.000000000007</v>
      </c>
      <c r="U152" s="362">
        <v>57246.000000000007</v>
      </c>
      <c r="V152" s="362">
        <v>56542</v>
      </c>
      <c r="W152" s="362">
        <v>55882</v>
      </c>
      <c r="X152" s="362">
        <v>55219.000000000007</v>
      </c>
      <c r="Y152" s="362">
        <v>54625</v>
      </c>
      <c r="Z152" s="362">
        <v>54193</v>
      </c>
      <c r="AA152" s="362">
        <v>53971</v>
      </c>
      <c r="AB152" s="362">
        <v>54012</v>
      </c>
      <c r="AC152" s="362">
        <v>54311</v>
      </c>
      <c r="AD152" s="362">
        <v>54784</v>
      </c>
      <c r="AE152" s="362">
        <v>55305</v>
      </c>
      <c r="AF152" s="362">
        <v>55780</v>
      </c>
      <c r="AG152" s="362">
        <v>56188</v>
      </c>
      <c r="AH152" s="362">
        <v>56561.999999999993</v>
      </c>
      <c r="AI152" s="362">
        <v>56881.999999999993</v>
      </c>
      <c r="AJ152" s="362">
        <v>57216</v>
      </c>
      <c r="AK152" s="362">
        <v>57559</v>
      </c>
      <c r="AL152" s="363">
        <v>57917</v>
      </c>
      <c r="AM152" s="362">
        <v>58269</v>
      </c>
      <c r="AN152" s="362">
        <v>58629</v>
      </c>
      <c r="AO152" s="362">
        <v>58981</v>
      </c>
      <c r="AP152" s="362">
        <v>59339</v>
      </c>
      <c r="AQ152" s="362">
        <v>59706</v>
      </c>
      <c r="AR152" s="362">
        <v>60056</v>
      </c>
      <c r="AS152" s="362">
        <v>60400</v>
      </c>
      <c r="AT152" s="362">
        <v>60735</v>
      </c>
      <c r="AU152" s="362">
        <v>61060</v>
      </c>
      <c r="AV152" s="362" t="s">
        <v>347</v>
      </c>
      <c r="AW152" s="362">
        <v>5.9948266219238544E-3</v>
      </c>
      <c r="AX152" s="362">
        <v>6.2197049983494512E-3</v>
      </c>
    </row>
    <row r="153" spans="1:50" x14ac:dyDescent="0.25">
      <c r="A153" s="361" t="s">
        <v>349</v>
      </c>
      <c r="B153" s="361">
        <v>578</v>
      </c>
      <c r="C153" s="361" t="s">
        <v>348</v>
      </c>
      <c r="D153" s="361">
        <v>147</v>
      </c>
      <c r="E153" s="361">
        <v>11</v>
      </c>
      <c r="F153" s="361" t="s">
        <v>2374</v>
      </c>
      <c r="G153" s="362">
        <v>4247285</v>
      </c>
      <c r="H153" s="362">
        <v>4269470.9999999991</v>
      </c>
      <c r="I153" s="362">
        <v>4292683</v>
      </c>
      <c r="J153" s="362">
        <v>4316788</v>
      </c>
      <c r="K153" s="362">
        <v>4341615</v>
      </c>
      <c r="L153" s="362">
        <v>4366995</v>
      </c>
      <c r="M153" s="362">
        <v>4393209</v>
      </c>
      <c r="N153" s="362">
        <v>4420262</v>
      </c>
      <c r="O153" s="362">
        <v>4447486</v>
      </c>
      <c r="P153" s="362">
        <v>4474004</v>
      </c>
      <c r="Q153" s="362">
        <v>4499367</v>
      </c>
      <c r="R153" s="362">
        <v>4523145</v>
      </c>
      <c r="S153" s="362">
        <v>4546019</v>
      </c>
      <c r="T153" s="362">
        <v>4570106</v>
      </c>
      <c r="U153" s="362">
        <v>4598214</v>
      </c>
      <c r="V153" s="362">
        <v>4632364</v>
      </c>
      <c r="W153" s="362">
        <v>4672994</v>
      </c>
      <c r="X153" s="362">
        <v>4719402</v>
      </c>
      <c r="Y153" s="362">
        <v>4771019</v>
      </c>
      <c r="Z153" s="362">
        <v>4826848</v>
      </c>
      <c r="AA153" s="362">
        <v>4885878</v>
      </c>
      <c r="AB153" s="362">
        <v>4948330</v>
      </c>
      <c r="AC153" s="362">
        <v>5013708.9999999991</v>
      </c>
      <c r="AD153" s="362">
        <v>5079455</v>
      </c>
      <c r="AE153" s="362">
        <v>5142265</v>
      </c>
      <c r="AF153" s="362">
        <v>5199836</v>
      </c>
      <c r="AG153" s="362">
        <v>5250948.9999999991</v>
      </c>
      <c r="AH153" s="362">
        <v>5296326</v>
      </c>
      <c r="AI153" s="362">
        <v>5337962</v>
      </c>
      <c r="AJ153" s="362">
        <v>5378857</v>
      </c>
      <c r="AK153" s="362">
        <v>5421241</v>
      </c>
      <c r="AL153" s="363">
        <v>5465630</v>
      </c>
      <c r="AM153" s="362">
        <v>5511370</v>
      </c>
      <c r="AN153" s="362">
        <v>5558028</v>
      </c>
      <c r="AO153" s="362">
        <v>5604810</v>
      </c>
      <c r="AP153" s="362">
        <v>5651101</v>
      </c>
      <c r="AQ153" s="362">
        <v>5696890</v>
      </c>
      <c r="AR153" s="362">
        <v>5742400</v>
      </c>
      <c r="AS153" s="362">
        <v>5787490</v>
      </c>
      <c r="AT153" s="362">
        <v>5832033</v>
      </c>
      <c r="AU153" s="362">
        <v>5875913</v>
      </c>
      <c r="AV153" s="362" t="s">
        <v>349</v>
      </c>
      <c r="AW153" s="362">
        <v>7.8797409933002438E-3</v>
      </c>
      <c r="AX153" s="362">
        <v>8.1879776235735946E-3</v>
      </c>
    </row>
    <row r="154" spans="1:50" x14ac:dyDescent="0.25">
      <c r="A154" s="361" t="s">
        <v>351</v>
      </c>
      <c r="B154" s="361">
        <v>512</v>
      </c>
      <c r="C154" s="361" t="s">
        <v>350</v>
      </c>
      <c r="D154" s="361">
        <v>133</v>
      </c>
      <c r="E154" s="361">
        <v>17</v>
      </c>
      <c r="F154" s="361" t="s">
        <v>2374</v>
      </c>
      <c r="G154" s="362">
        <v>1812161.0000000002</v>
      </c>
      <c r="H154" s="362">
        <v>1893768.0000000002</v>
      </c>
      <c r="I154" s="362">
        <v>1983275.0000000002</v>
      </c>
      <c r="J154" s="362">
        <v>2072104</v>
      </c>
      <c r="K154" s="362">
        <v>2148419</v>
      </c>
      <c r="L154" s="362">
        <v>2204277.0000000005</v>
      </c>
      <c r="M154" s="362">
        <v>2236654</v>
      </c>
      <c r="N154" s="362">
        <v>2249762</v>
      </c>
      <c r="O154" s="362">
        <v>2251864</v>
      </c>
      <c r="P154" s="362">
        <v>2254904</v>
      </c>
      <c r="Q154" s="362">
        <v>2267973</v>
      </c>
      <c r="R154" s="362">
        <v>2294962</v>
      </c>
      <c r="S154" s="362">
        <v>2334858</v>
      </c>
      <c r="T154" s="362">
        <v>2386166</v>
      </c>
      <c r="U154" s="362">
        <v>2445516.9999999995</v>
      </c>
      <c r="V154" s="362">
        <v>2511251</v>
      </c>
      <c r="W154" s="362">
        <v>2580758</v>
      </c>
      <c r="X154" s="362">
        <v>2657158</v>
      </c>
      <c r="Y154" s="362">
        <v>2750963</v>
      </c>
      <c r="Z154" s="362">
        <v>2876186</v>
      </c>
      <c r="AA154" s="362">
        <v>3041434</v>
      </c>
      <c r="AB154" s="362">
        <v>3251108.0000000005</v>
      </c>
      <c r="AC154" s="362">
        <v>3498029</v>
      </c>
      <c r="AD154" s="362">
        <v>3764806</v>
      </c>
      <c r="AE154" s="362">
        <v>4027260</v>
      </c>
      <c r="AF154" s="362">
        <v>4267348</v>
      </c>
      <c r="AG154" s="362">
        <v>4479219</v>
      </c>
      <c r="AH154" s="362">
        <v>4665928</v>
      </c>
      <c r="AI154" s="362">
        <v>4829473</v>
      </c>
      <c r="AJ154" s="362">
        <v>4974985.9999999991</v>
      </c>
      <c r="AK154" s="362">
        <v>5106626</v>
      </c>
      <c r="AL154" s="363">
        <v>5223375</v>
      </c>
      <c r="AM154" s="362">
        <v>5323993</v>
      </c>
      <c r="AN154" s="362">
        <v>5412491</v>
      </c>
      <c r="AO154" s="362">
        <v>5494166</v>
      </c>
      <c r="AP154" s="362">
        <v>5573005</v>
      </c>
      <c r="AQ154" s="362">
        <v>5650933</v>
      </c>
      <c r="AR154" s="362">
        <v>5727617</v>
      </c>
      <c r="AS154" s="362">
        <v>5801975</v>
      </c>
      <c r="AT154" s="362">
        <v>5871921</v>
      </c>
      <c r="AU154" s="362">
        <v>5936081</v>
      </c>
      <c r="AV154" s="362" t="s">
        <v>351</v>
      </c>
      <c r="AW154" s="362">
        <v>2.6460375968897498E-2</v>
      </c>
      <c r="AX154" s="362">
        <v>2.2862257780381867E-2</v>
      </c>
    </row>
    <row r="155" spans="1:50" x14ac:dyDescent="0.25">
      <c r="A155" s="361" t="s">
        <v>353</v>
      </c>
      <c r="B155" s="361">
        <v>586</v>
      </c>
      <c r="C155" s="361" t="s">
        <v>352</v>
      </c>
      <c r="D155" s="361">
        <v>152</v>
      </c>
      <c r="E155" s="361">
        <v>25</v>
      </c>
      <c r="F155" s="361" t="s">
        <v>2374</v>
      </c>
      <c r="G155" s="362">
        <v>107647921</v>
      </c>
      <c r="H155" s="362">
        <v>110778648</v>
      </c>
      <c r="I155" s="362">
        <v>113911126.00000001</v>
      </c>
      <c r="J155" s="362">
        <v>117086685</v>
      </c>
      <c r="K155" s="362">
        <v>120362762</v>
      </c>
      <c r="L155" s="362">
        <v>123776839.00000001</v>
      </c>
      <c r="M155" s="362">
        <v>127349290</v>
      </c>
      <c r="N155" s="362">
        <v>131057431.00000001</v>
      </c>
      <c r="O155" s="362">
        <v>134843233</v>
      </c>
      <c r="P155" s="362">
        <v>138624621.00000003</v>
      </c>
      <c r="Q155" s="362">
        <v>142343578</v>
      </c>
      <c r="R155" s="362">
        <v>145978402</v>
      </c>
      <c r="S155" s="362">
        <v>149549700</v>
      </c>
      <c r="T155" s="362">
        <v>153093373</v>
      </c>
      <c r="U155" s="362">
        <v>156664697</v>
      </c>
      <c r="V155" s="362">
        <v>160304008</v>
      </c>
      <c r="W155" s="362">
        <v>164022627</v>
      </c>
      <c r="X155" s="362">
        <v>167808105</v>
      </c>
      <c r="Y155" s="362">
        <v>171648986</v>
      </c>
      <c r="Z155" s="362">
        <v>175525609</v>
      </c>
      <c r="AA155" s="362">
        <v>179424641</v>
      </c>
      <c r="AB155" s="362">
        <v>183340174</v>
      </c>
      <c r="AC155" s="362">
        <v>187280129</v>
      </c>
      <c r="AD155" s="362">
        <v>191260806</v>
      </c>
      <c r="AE155" s="362">
        <v>195305013</v>
      </c>
      <c r="AF155" s="362">
        <v>199426964</v>
      </c>
      <c r="AG155" s="362">
        <v>203631353</v>
      </c>
      <c r="AH155" s="362">
        <v>207906209</v>
      </c>
      <c r="AI155" s="362">
        <v>212228286</v>
      </c>
      <c r="AJ155" s="362">
        <v>216565318</v>
      </c>
      <c r="AK155" s="362">
        <v>220892340</v>
      </c>
      <c r="AL155" s="363">
        <v>225199937</v>
      </c>
      <c r="AM155" s="362">
        <v>229488994</v>
      </c>
      <c r="AN155" s="362">
        <v>233757273</v>
      </c>
      <c r="AO155" s="362">
        <v>238005634</v>
      </c>
      <c r="AP155" s="362">
        <v>242234056</v>
      </c>
      <c r="AQ155" s="362">
        <v>246439296</v>
      </c>
      <c r="AR155" s="362">
        <v>250616682</v>
      </c>
      <c r="AS155" s="362">
        <v>254763732</v>
      </c>
      <c r="AT155" s="362">
        <v>258878232</v>
      </c>
      <c r="AU155" s="362">
        <v>262958794</v>
      </c>
      <c r="AV155" s="362" t="s">
        <v>353</v>
      </c>
      <c r="AW155" s="362">
        <v>1.9980216776907866E-2</v>
      </c>
      <c r="AX155" s="362">
        <v>1.9500888985104714E-2</v>
      </c>
    </row>
    <row r="156" spans="1:50" x14ac:dyDescent="0.25">
      <c r="A156" s="361" t="s">
        <v>355</v>
      </c>
      <c r="B156" s="361">
        <v>585</v>
      </c>
      <c r="C156" s="361" t="s">
        <v>354</v>
      </c>
      <c r="D156" s="361">
        <v>151</v>
      </c>
      <c r="E156" s="361">
        <v>24</v>
      </c>
      <c r="F156" s="361" t="s">
        <v>2374</v>
      </c>
      <c r="G156" s="362">
        <v>15058</v>
      </c>
      <c r="H156" s="362">
        <v>15441</v>
      </c>
      <c r="I156" s="362">
        <v>15855.999999999998</v>
      </c>
      <c r="J156" s="362">
        <v>16289.999999999998</v>
      </c>
      <c r="K156" s="362">
        <v>16717</v>
      </c>
      <c r="L156" s="362">
        <v>17164.000000000004</v>
      </c>
      <c r="M156" s="362">
        <v>17593</v>
      </c>
      <c r="N156" s="362">
        <v>18014</v>
      </c>
      <c r="O156" s="362">
        <v>18410</v>
      </c>
      <c r="P156" s="362">
        <v>18776</v>
      </c>
      <c r="Q156" s="362">
        <v>19105</v>
      </c>
      <c r="R156" s="362">
        <v>19386</v>
      </c>
      <c r="S156" s="362">
        <v>19637</v>
      </c>
      <c r="T156" s="362">
        <v>19809</v>
      </c>
      <c r="U156" s="362">
        <v>19867</v>
      </c>
      <c r="V156" s="362">
        <v>19781</v>
      </c>
      <c r="W156" s="362">
        <v>19540</v>
      </c>
      <c r="X156" s="362">
        <v>19158</v>
      </c>
      <c r="Y156" s="362">
        <v>18704.000000000004</v>
      </c>
      <c r="Z156" s="362">
        <v>18285</v>
      </c>
      <c r="AA156" s="362">
        <v>17955</v>
      </c>
      <c r="AB156" s="362">
        <v>17745</v>
      </c>
      <c r="AC156" s="362">
        <v>17640</v>
      </c>
      <c r="AD156" s="362">
        <v>17606</v>
      </c>
      <c r="AE156" s="362">
        <v>17626.000000000004</v>
      </c>
      <c r="AF156" s="362">
        <v>17665</v>
      </c>
      <c r="AG156" s="362">
        <v>17725</v>
      </c>
      <c r="AH156" s="362">
        <v>17808</v>
      </c>
      <c r="AI156" s="362">
        <v>17907</v>
      </c>
      <c r="AJ156" s="362">
        <v>18008</v>
      </c>
      <c r="AK156" s="362">
        <v>18094.000000000004</v>
      </c>
      <c r="AL156" s="363">
        <v>18169</v>
      </c>
      <c r="AM156" s="362">
        <v>18233</v>
      </c>
      <c r="AN156" s="362">
        <v>18278</v>
      </c>
      <c r="AO156" s="362">
        <v>18328</v>
      </c>
      <c r="AP156" s="362">
        <v>18360</v>
      </c>
      <c r="AQ156" s="362">
        <v>18399</v>
      </c>
      <c r="AR156" s="362">
        <v>18420</v>
      </c>
      <c r="AS156" s="362">
        <v>18444</v>
      </c>
      <c r="AT156" s="362">
        <v>18460</v>
      </c>
      <c r="AU156" s="362">
        <v>18476</v>
      </c>
      <c r="AV156" s="362" t="s">
        <v>355</v>
      </c>
      <c r="AW156" s="362">
        <v>4.7756552643272165E-3</v>
      </c>
      <c r="AX156" s="362">
        <v>4.1450204487674114E-3</v>
      </c>
    </row>
    <row r="157" spans="1:50" x14ac:dyDescent="0.25">
      <c r="A157" s="361" t="s">
        <v>357</v>
      </c>
      <c r="B157" s="361">
        <v>591</v>
      </c>
      <c r="C157" s="361" t="s">
        <v>356</v>
      </c>
      <c r="D157" s="361">
        <v>153</v>
      </c>
      <c r="E157" s="361">
        <v>4</v>
      </c>
      <c r="F157" s="361" t="s">
        <v>2374</v>
      </c>
      <c r="G157" s="362">
        <v>2470947</v>
      </c>
      <c r="H157" s="362">
        <v>2523117.9999999995</v>
      </c>
      <c r="I157" s="362">
        <v>2575954.0000000005</v>
      </c>
      <c r="J157" s="362">
        <v>2629580</v>
      </c>
      <c r="K157" s="362">
        <v>2684116</v>
      </c>
      <c r="L157" s="362">
        <v>2739668</v>
      </c>
      <c r="M157" s="362">
        <v>2796291</v>
      </c>
      <c r="N157" s="362">
        <v>2853913</v>
      </c>
      <c r="O157" s="362">
        <v>2912315.9999999995</v>
      </c>
      <c r="P157" s="362">
        <v>2971196</v>
      </c>
      <c r="Q157" s="362">
        <v>3030328</v>
      </c>
      <c r="R157" s="362">
        <v>3089648</v>
      </c>
      <c r="S157" s="362">
        <v>3149188</v>
      </c>
      <c r="T157" s="362">
        <v>3209047.9999999995</v>
      </c>
      <c r="U157" s="362">
        <v>3269356</v>
      </c>
      <c r="V157" s="362">
        <v>3330217</v>
      </c>
      <c r="W157" s="362">
        <v>3391666.0000000005</v>
      </c>
      <c r="X157" s="362">
        <v>3453675</v>
      </c>
      <c r="Y157" s="362">
        <v>3516204</v>
      </c>
      <c r="Z157" s="362">
        <v>3579215</v>
      </c>
      <c r="AA157" s="362">
        <v>3642687</v>
      </c>
      <c r="AB157" s="362">
        <v>3706483</v>
      </c>
      <c r="AC157" s="362">
        <v>3770626</v>
      </c>
      <c r="AD157" s="362">
        <v>3835435</v>
      </c>
      <c r="AE157" s="362">
        <v>3901313.9999999995</v>
      </c>
      <c r="AF157" s="362">
        <v>3968487</v>
      </c>
      <c r="AG157" s="362">
        <v>4037078</v>
      </c>
      <c r="AH157" s="362">
        <v>4106769</v>
      </c>
      <c r="AI157" s="362">
        <v>4176869</v>
      </c>
      <c r="AJ157" s="362">
        <v>4246439.0000000009</v>
      </c>
      <c r="AK157" s="362">
        <v>4314767</v>
      </c>
      <c r="AL157" s="363">
        <v>4381579</v>
      </c>
      <c r="AM157" s="362">
        <v>4446964</v>
      </c>
      <c r="AN157" s="362">
        <v>4510965</v>
      </c>
      <c r="AO157" s="362">
        <v>4573761</v>
      </c>
      <c r="AP157" s="362">
        <v>4635501</v>
      </c>
      <c r="AQ157" s="362">
        <v>4696095</v>
      </c>
      <c r="AR157" s="362">
        <v>4755486</v>
      </c>
      <c r="AS157" s="362">
        <v>4813774</v>
      </c>
      <c r="AT157" s="362">
        <v>4871112</v>
      </c>
      <c r="AU157" s="362">
        <v>4927612</v>
      </c>
      <c r="AV157" s="362" t="s">
        <v>357</v>
      </c>
      <c r="AW157" s="362">
        <v>1.6090658549433812E-2</v>
      </c>
      <c r="AX157" s="362">
        <v>1.5484497772417338E-2</v>
      </c>
    </row>
    <row r="158" spans="1:50" x14ac:dyDescent="0.25">
      <c r="A158" s="361" t="s">
        <v>359</v>
      </c>
      <c r="B158" s="361">
        <v>598</v>
      </c>
      <c r="C158" s="361" t="s">
        <v>358</v>
      </c>
      <c r="D158" s="361">
        <v>154</v>
      </c>
      <c r="E158" s="361">
        <v>22</v>
      </c>
      <c r="F158" s="361" t="s">
        <v>2374</v>
      </c>
      <c r="G158" s="362">
        <v>4615839</v>
      </c>
      <c r="H158" s="362">
        <v>4725547</v>
      </c>
      <c r="I158" s="362">
        <v>4836217</v>
      </c>
      <c r="J158" s="362">
        <v>4949051.0000000009</v>
      </c>
      <c r="K158" s="362">
        <v>5065661</v>
      </c>
      <c r="L158" s="362">
        <v>5187060.0000000009</v>
      </c>
      <c r="M158" s="362">
        <v>5314247.9999999991</v>
      </c>
      <c r="N158" s="362">
        <v>5446641</v>
      </c>
      <c r="O158" s="362">
        <v>5581761.9999999991</v>
      </c>
      <c r="P158" s="362">
        <v>5716161.0000000009</v>
      </c>
      <c r="Q158" s="362">
        <v>5847586.0000000009</v>
      </c>
      <c r="R158" s="362">
        <v>5974629</v>
      </c>
      <c r="S158" s="362">
        <v>6098621.0000000009</v>
      </c>
      <c r="T158" s="362">
        <v>6223377</v>
      </c>
      <c r="U158" s="362">
        <v>6354245</v>
      </c>
      <c r="V158" s="362">
        <v>6494903</v>
      </c>
      <c r="W158" s="362">
        <v>6646895.0000000009</v>
      </c>
      <c r="X158" s="362">
        <v>6808514</v>
      </c>
      <c r="Y158" s="362">
        <v>6976201</v>
      </c>
      <c r="Z158" s="362">
        <v>7144776</v>
      </c>
      <c r="AA158" s="362">
        <v>7310506.9999999991</v>
      </c>
      <c r="AB158" s="362">
        <v>7472199</v>
      </c>
      <c r="AC158" s="362">
        <v>7631001</v>
      </c>
      <c r="AD158" s="362">
        <v>7788380</v>
      </c>
      <c r="AE158" s="362">
        <v>7946730</v>
      </c>
      <c r="AF158" s="362">
        <v>8107775</v>
      </c>
      <c r="AG158" s="362">
        <v>8271762.0000000009</v>
      </c>
      <c r="AH158" s="362">
        <v>8438036</v>
      </c>
      <c r="AI158" s="362">
        <v>8606323</v>
      </c>
      <c r="AJ158" s="362">
        <v>8776109</v>
      </c>
      <c r="AK158" s="362">
        <v>8947023.9999999981</v>
      </c>
      <c r="AL158" s="363">
        <v>9119010</v>
      </c>
      <c r="AM158" s="362">
        <v>9292169</v>
      </c>
      <c r="AN158" s="362">
        <v>9466427</v>
      </c>
      <c r="AO158" s="362">
        <v>9641703</v>
      </c>
      <c r="AP158" s="362">
        <v>9817926</v>
      </c>
      <c r="AQ158" s="362">
        <v>9994970</v>
      </c>
      <c r="AR158" s="362">
        <v>10172756</v>
      </c>
      <c r="AS158" s="362">
        <v>10351149</v>
      </c>
      <c r="AT158" s="362">
        <v>10530053</v>
      </c>
      <c r="AU158" s="362">
        <v>10709348</v>
      </c>
      <c r="AV158" s="362" t="s">
        <v>359</v>
      </c>
      <c r="AW158" s="362">
        <v>1.9475031588600089E-2</v>
      </c>
      <c r="AX158" s="362">
        <v>1.922270466693754E-2</v>
      </c>
    </row>
    <row r="159" spans="1:50" x14ac:dyDescent="0.25">
      <c r="A159" s="361" t="s">
        <v>361</v>
      </c>
      <c r="B159" s="361">
        <v>600</v>
      </c>
      <c r="C159" s="361" t="s">
        <v>360</v>
      </c>
      <c r="D159" s="361">
        <v>155</v>
      </c>
      <c r="E159" s="361">
        <v>6</v>
      </c>
      <c r="F159" s="361" t="s">
        <v>2374</v>
      </c>
      <c r="G159" s="362">
        <v>4223415</v>
      </c>
      <c r="H159" s="362">
        <v>4334345</v>
      </c>
      <c r="I159" s="362">
        <v>4445016</v>
      </c>
      <c r="J159" s="362">
        <v>4555521</v>
      </c>
      <c r="K159" s="362">
        <v>4666094</v>
      </c>
      <c r="L159" s="362">
        <v>4776842.9999999991</v>
      </c>
      <c r="M159" s="362">
        <v>4887632</v>
      </c>
      <c r="N159" s="362">
        <v>4998100</v>
      </c>
      <c r="O159" s="362">
        <v>5107839</v>
      </c>
      <c r="P159" s="362">
        <v>5216349</v>
      </c>
      <c r="Q159" s="362">
        <v>5323201</v>
      </c>
      <c r="R159" s="362">
        <v>5428444.0000000009</v>
      </c>
      <c r="S159" s="362">
        <v>5531962</v>
      </c>
      <c r="T159" s="362">
        <v>5632983</v>
      </c>
      <c r="U159" s="362">
        <v>5730549</v>
      </c>
      <c r="V159" s="362">
        <v>5824096</v>
      </c>
      <c r="W159" s="362">
        <v>5913209</v>
      </c>
      <c r="X159" s="362">
        <v>5998426.9999999991</v>
      </c>
      <c r="Y159" s="362">
        <v>6081296</v>
      </c>
      <c r="Z159" s="362">
        <v>6163971.9999999991</v>
      </c>
      <c r="AA159" s="362">
        <v>6248020</v>
      </c>
      <c r="AB159" s="362">
        <v>6333976</v>
      </c>
      <c r="AC159" s="362">
        <v>6421513</v>
      </c>
      <c r="AD159" s="362">
        <v>6510276</v>
      </c>
      <c r="AE159" s="362">
        <v>6599526</v>
      </c>
      <c r="AF159" s="362">
        <v>6688746</v>
      </c>
      <c r="AG159" s="362">
        <v>6777872</v>
      </c>
      <c r="AH159" s="362">
        <v>6867061</v>
      </c>
      <c r="AI159" s="362">
        <v>6956066</v>
      </c>
      <c r="AJ159" s="362">
        <v>7044636.0000000009</v>
      </c>
      <c r="AK159" s="362">
        <v>7132537.9999999991</v>
      </c>
      <c r="AL159" s="363">
        <v>7219638</v>
      </c>
      <c r="AM159" s="362">
        <v>7305843</v>
      </c>
      <c r="AN159" s="362">
        <v>7391004</v>
      </c>
      <c r="AO159" s="362">
        <v>7475015</v>
      </c>
      <c r="AP159" s="362">
        <v>7557749</v>
      </c>
      <c r="AQ159" s="362">
        <v>7639097</v>
      </c>
      <c r="AR159" s="362">
        <v>7718984</v>
      </c>
      <c r="AS159" s="362">
        <v>7797414</v>
      </c>
      <c r="AT159" s="362">
        <v>7874408</v>
      </c>
      <c r="AU159" s="362">
        <v>7949971</v>
      </c>
      <c r="AV159" s="362" t="s">
        <v>361</v>
      </c>
      <c r="AW159" s="362">
        <v>1.2477862589351352E-2</v>
      </c>
      <c r="AX159" s="362">
        <v>1.2211641914841698E-2</v>
      </c>
    </row>
    <row r="160" spans="1:50" x14ac:dyDescent="0.25">
      <c r="A160" s="361" t="s">
        <v>363</v>
      </c>
      <c r="B160" s="361">
        <v>604</v>
      </c>
      <c r="C160" s="361" t="s">
        <v>362</v>
      </c>
      <c r="D160" s="361">
        <v>156</v>
      </c>
      <c r="E160" s="361">
        <v>6</v>
      </c>
      <c r="F160" s="361" t="s">
        <v>2374</v>
      </c>
      <c r="G160" s="362">
        <v>22071433.000000004</v>
      </c>
      <c r="H160" s="362">
        <v>22522378</v>
      </c>
      <c r="I160" s="362">
        <v>22966818</v>
      </c>
      <c r="J160" s="362">
        <v>23408131</v>
      </c>
      <c r="K160" s="362">
        <v>23851408</v>
      </c>
      <c r="L160" s="362">
        <v>24299160</v>
      </c>
      <c r="M160" s="362">
        <v>24753824</v>
      </c>
      <c r="N160" s="362">
        <v>25210954</v>
      </c>
      <c r="O160" s="362">
        <v>25658062</v>
      </c>
      <c r="P160" s="362">
        <v>26078293.000000004</v>
      </c>
      <c r="Q160" s="362">
        <v>26459944</v>
      </c>
      <c r="R160" s="362">
        <v>26799285</v>
      </c>
      <c r="S160" s="362">
        <v>27100968</v>
      </c>
      <c r="T160" s="362">
        <v>27372225.999999996</v>
      </c>
      <c r="U160" s="362">
        <v>27624213</v>
      </c>
      <c r="V160" s="362">
        <v>27866145</v>
      </c>
      <c r="W160" s="362">
        <v>28102056</v>
      </c>
      <c r="X160" s="362">
        <v>28333052</v>
      </c>
      <c r="Y160" s="362">
        <v>28562317</v>
      </c>
      <c r="Z160" s="362">
        <v>28792655</v>
      </c>
      <c r="AA160" s="362">
        <v>29027673.999999996</v>
      </c>
      <c r="AB160" s="362">
        <v>29264318</v>
      </c>
      <c r="AC160" s="362">
        <v>29506788</v>
      </c>
      <c r="AD160" s="362">
        <v>29773987</v>
      </c>
      <c r="AE160" s="362">
        <v>30090359</v>
      </c>
      <c r="AF160" s="362">
        <v>30470734</v>
      </c>
      <c r="AG160" s="362">
        <v>30926032</v>
      </c>
      <c r="AH160" s="362">
        <v>31444298</v>
      </c>
      <c r="AI160" s="362">
        <v>31989259.999999996</v>
      </c>
      <c r="AJ160" s="362">
        <v>32510453</v>
      </c>
      <c r="AK160" s="362">
        <v>32971854</v>
      </c>
      <c r="AL160" s="363">
        <v>33359417.999999996</v>
      </c>
      <c r="AM160" s="362">
        <v>33684208</v>
      </c>
      <c r="AN160" s="362">
        <v>33966046</v>
      </c>
      <c r="AO160" s="362">
        <v>34236198</v>
      </c>
      <c r="AP160" s="362">
        <v>34517495</v>
      </c>
      <c r="AQ160" s="362">
        <v>34814657</v>
      </c>
      <c r="AR160" s="362">
        <v>35119956</v>
      </c>
      <c r="AS160" s="362">
        <v>35429207</v>
      </c>
      <c r="AT160" s="362">
        <v>35734665</v>
      </c>
      <c r="AU160" s="362">
        <v>36030592</v>
      </c>
      <c r="AV160" s="362" t="s">
        <v>363</v>
      </c>
      <c r="AW160" s="362">
        <v>1.4192389137118511E-2</v>
      </c>
      <c r="AX160" s="362">
        <v>1.1754389061652271E-2</v>
      </c>
    </row>
    <row r="161" spans="1:50" x14ac:dyDescent="0.25">
      <c r="A161" s="361" t="s">
        <v>365</v>
      </c>
      <c r="B161" s="361">
        <v>608</v>
      </c>
      <c r="C161" s="361" t="s">
        <v>364</v>
      </c>
      <c r="D161" s="361">
        <v>157</v>
      </c>
      <c r="E161" s="361">
        <v>21</v>
      </c>
      <c r="F161" s="361" t="s">
        <v>2374</v>
      </c>
      <c r="G161" s="362">
        <v>61895160.000000007</v>
      </c>
      <c r="H161" s="362">
        <v>63454786</v>
      </c>
      <c r="I161" s="362">
        <v>65020116</v>
      </c>
      <c r="J161" s="362">
        <v>66593903.999999993</v>
      </c>
      <c r="K161" s="362">
        <v>68180859</v>
      </c>
      <c r="L161" s="362">
        <v>69784088</v>
      </c>
      <c r="M161" s="362">
        <v>71401749</v>
      </c>
      <c r="N161" s="362">
        <v>73030884</v>
      </c>
      <c r="O161" s="362">
        <v>74672013.999999985</v>
      </c>
      <c r="P161" s="362">
        <v>76325927</v>
      </c>
      <c r="Q161" s="362">
        <v>77991755</v>
      </c>
      <c r="R161" s="362">
        <v>79672873.000000015</v>
      </c>
      <c r="S161" s="362">
        <v>81365258</v>
      </c>
      <c r="T161" s="362">
        <v>83051971.000000015</v>
      </c>
      <c r="U161" s="362">
        <v>84710542</v>
      </c>
      <c r="V161" s="362">
        <v>86326250</v>
      </c>
      <c r="W161" s="362">
        <v>87888675</v>
      </c>
      <c r="X161" s="362">
        <v>89405482</v>
      </c>
      <c r="Y161" s="362">
        <v>90901964.999999985</v>
      </c>
      <c r="Z161" s="362">
        <v>92414158</v>
      </c>
      <c r="AA161" s="362">
        <v>93966780</v>
      </c>
      <c r="AB161" s="362">
        <v>95570050.000000015</v>
      </c>
      <c r="AC161" s="362">
        <v>97212643</v>
      </c>
      <c r="AD161" s="362">
        <v>98871554.999999985</v>
      </c>
      <c r="AE161" s="362">
        <v>100513142</v>
      </c>
      <c r="AF161" s="362">
        <v>102113212</v>
      </c>
      <c r="AG161" s="362">
        <v>103663816.00000001</v>
      </c>
      <c r="AH161" s="362">
        <v>105172925</v>
      </c>
      <c r="AI161" s="362">
        <v>106651394</v>
      </c>
      <c r="AJ161" s="362">
        <v>108116615.00000001</v>
      </c>
      <c r="AK161" s="362">
        <v>109581077.99999999</v>
      </c>
      <c r="AL161" s="363">
        <v>111046913</v>
      </c>
      <c r="AM161" s="362">
        <v>112508994</v>
      </c>
      <c r="AN161" s="362">
        <v>113964104</v>
      </c>
      <c r="AO161" s="362">
        <v>115406856</v>
      </c>
      <c r="AP161" s="362">
        <v>116833059</v>
      </c>
      <c r="AQ161" s="362">
        <v>118241480</v>
      </c>
      <c r="AR161" s="362">
        <v>119632651</v>
      </c>
      <c r="AS161" s="362">
        <v>121006008</v>
      </c>
      <c r="AT161" s="362">
        <v>122361319</v>
      </c>
      <c r="AU161" s="362">
        <v>123697925</v>
      </c>
      <c r="AV161" s="362" t="s">
        <v>365</v>
      </c>
      <c r="AW161" s="362">
        <v>1.3545216893813938E-2</v>
      </c>
      <c r="AX161" s="362">
        <v>1.3376716370685937E-2</v>
      </c>
    </row>
    <row r="162" spans="1:50" x14ac:dyDescent="0.25">
      <c r="A162" s="361" t="s">
        <v>367</v>
      </c>
      <c r="B162" s="361">
        <v>612</v>
      </c>
      <c r="C162" s="361" t="s">
        <v>366</v>
      </c>
      <c r="D162" s="361">
        <v>158</v>
      </c>
      <c r="E162" s="361">
        <v>24</v>
      </c>
      <c r="F162" s="361" t="s">
        <v>2374</v>
      </c>
      <c r="G162" s="362">
        <v>0</v>
      </c>
      <c r="H162" s="362">
        <v>0</v>
      </c>
      <c r="I162" s="362">
        <v>0</v>
      </c>
      <c r="J162" s="362">
        <v>0</v>
      </c>
      <c r="K162" s="362">
        <v>0</v>
      </c>
      <c r="L162" s="362">
        <v>0</v>
      </c>
      <c r="M162" s="362">
        <v>0</v>
      </c>
      <c r="N162" s="362">
        <v>0</v>
      </c>
      <c r="O162" s="362">
        <v>0</v>
      </c>
      <c r="P162" s="362">
        <v>0</v>
      </c>
      <c r="Q162" s="362">
        <v>0</v>
      </c>
      <c r="R162" s="362">
        <v>0</v>
      </c>
      <c r="S162" s="362">
        <v>0</v>
      </c>
      <c r="T162" s="362">
        <v>0</v>
      </c>
      <c r="U162" s="362">
        <v>0</v>
      </c>
      <c r="V162" s="362">
        <v>0</v>
      </c>
      <c r="W162" s="362">
        <v>0</v>
      </c>
      <c r="X162" s="362">
        <v>0</v>
      </c>
      <c r="Y162" s="362">
        <v>0</v>
      </c>
      <c r="Z162" s="362">
        <v>0</v>
      </c>
      <c r="AA162" s="362">
        <v>0</v>
      </c>
      <c r="AB162" s="362">
        <v>0</v>
      </c>
      <c r="AC162" s="362">
        <v>0</v>
      </c>
      <c r="AD162" s="362">
        <v>0</v>
      </c>
      <c r="AE162" s="362">
        <v>0</v>
      </c>
      <c r="AF162" s="362">
        <v>0</v>
      </c>
      <c r="AG162" s="362">
        <v>0</v>
      </c>
      <c r="AH162" s="362">
        <v>0</v>
      </c>
      <c r="AI162" s="362">
        <v>0</v>
      </c>
      <c r="AJ162" s="362">
        <v>0</v>
      </c>
      <c r="AK162" s="362">
        <v>0</v>
      </c>
      <c r="AL162" s="363">
        <v>0</v>
      </c>
      <c r="AM162" s="362">
        <v>0</v>
      </c>
      <c r="AN162" s="362">
        <v>0</v>
      </c>
      <c r="AO162" s="362">
        <v>0</v>
      </c>
      <c r="AP162" s="362">
        <v>0</v>
      </c>
      <c r="AQ162" s="362">
        <v>0</v>
      </c>
      <c r="AR162" s="362">
        <v>0</v>
      </c>
      <c r="AS162" s="362">
        <v>0</v>
      </c>
      <c r="AT162" s="362">
        <v>0</v>
      </c>
      <c r="AU162" s="362">
        <v>0</v>
      </c>
      <c r="AV162" s="362" t="s">
        <v>367</v>
      </c>
      <c r="AW162" s="362" t="e">
        <v>#DIV/0!</v>
      </c>
      <c r="AX162" s="362" t="e">
        <v>#DIV/0!</v>
      </c>
    </row>
    <row r="163" spans="1:50" x14ac:dyDescent="0.25">
      <c r="A163" s="361" t="s">
        <v>369</v>
      </c>
      <c r="B163" s="361">
        <v>616</v>
      </c>
      <c r="C163" s="361" t="s">
        <v>368</v>
      </c>
      <c r="D163" s="361">
        <v>159</v>
      </c>
      <c r="E163" s="361">
        <v>12</v>
      </c>
      <c r="F163" s="361" t="s">
        <v>2374</v>
      </c>
      <c r="G163" s="362">
        <v>37960193</v>
      </c>
      <c r="H163" s="362">
        <v>38082947.999999993</v>
      </c>
      <c r="I163" s="362">
        <v>38197587</v>
      </c>
      <c r="J163" s="362">
        <v>38301350</v>
      </c>
      <c r="K163" s="362">
        <v>38389466.999999993</v>
      </c>
      <c r="L163" s="362">
        <v>38458638</v>
      </c>
      <c r="M163" s="362">
        <v>38509665.999999993</v>
      </c>
      <c r="N163" s="362">
        <v>38544841</v>
      </c>
      <c r="O163" s="362">
        <v>38564195</v>
      </c>
      <c r="P163" s="362">
        <v>38567854</v>
      </c>
      <c r="Q163" s="362">
        <v>38556693</v>
      </c>
      <c r="R163" s="362">
        <v>38529582.000000007</v>
      </c>
      <c r="S163" s="362">
        <v>38488647</v>
      </c>
      <c r="T163" s="362">
        <v>38441824.000000007</v>
      </c>
      <c r="U163" s="362">
        <v>38399558</v>
      </c>
      <c r="V163" s="362">
        <v>38368949</v>
      </c>
      <c r="W163" s="362">
        <v>38354450</v>
      </c>
      <c r="X163" s="362">
        <v>38353338</v>
      </c>
      <c r="Y163" s="362">
        <v>38356786</v>
      </c>
      <c r="Z163" s="362">
        <v>38351915.999999993</v>
      </c>
      <c r="AA163" s="362">
        <v>38329781.000000007</v>
      </c>
      <c r="AB163" s="362">
        <v>38286831</v>
      </c>
      <c r="AC163" s="362">
        <v>38227044</v>
      </c>
      <c r="AD163" s="362">
        <v>38158041</v>
      </c>
      <c r="AE163" s="362">
        <v>38091089</v>
      </c>
      <c r="AF163" s="362">
        <v>38034079</v>
      </c>
      <c r="AG163" s="362">
        <v>37989220</v>
      </c>
      <c r="AH163" s="362">
        <v>37953180</v>
      </c>
      <c r="AI163" s="362">
        <v>37921592</v>
      </c>
      <c r="AJ163" s="362">
        <v>37887767.999999993</v>
      </c>
      <c r="AK163" s="362">
        <v>37846610.999999993</v>
      </c>
      <c r="AL163" s="363">
        <v>37797005</v>
      </c>
      <c r="AM163" s="362">
        <v>37739785</v>
      </c>
      <c r="AN163" s="362">
        <v>37674029</v>
      </c>
      <c r="AO163" s="362">
        <v>37599145</v>
      </c>
      <c r="AP163" s="362">
        <v>37514692</v>
      </c>
      <c r="AQ163" s="362">
        <v>37420050</v>
      </c>
      <c r="AR163" s="362">
        <v>37314992</v>
      </c>
      <c r="AS163" s="362">
        <v>37200090</v>
      </c>
      <c r="AT163" s="362">
        <v>37076331</v>
      </c>
      <c r="AU163" s="362">
        <v>36944563</v>
      </c>
      <c r="AV163" s="362" t="s">
        <v>369</v>
      </c>
      <c r="AW163" s="362">
        <v>-1.0862872682286806E-3</v>
      </c>
      <c r="AX163" s="362">
        <v>-1.3107118098366621E-3</v>
      </c>
    </row>
    <row r="164" spans="1:50" x14ac:dyDescent="0.25">
      <c r="A164" s="361" t="s">
        <v>371</v>
      </c>
      <c r="B164" s="361">
        <v>620</v>
      </c>
      <c r="C164" s="361" t="s">
        <v>370</v>
      </c>
      <c r="D164" s="361">
        <v>160</v>
      </c>
      <c r="E164" s="361">
        <v>11</v>
      </c>
      <c r="F164" s="361" t="s">
        <v>2374</v>
      </c>
      <c r="G164" s="362">
        <v>9895363.9999999981</v>
      </c>
      <c r="H164" s="362">
        <v>9916049.0000000019</v>
      </c>
      <c r="I164" s="362">
        <v>9951303</v>
      </c>
      <c r="J164" s="362">
        <v>9996640</v>
      </c>
      <c r="K164" s="362">
        <v>10045044</v>
      </c>
      <c r="L164" s="362">
        <v>10091325.000000002</v>
      </c>
      <c r="M164" s="362">
        <v>10134020</v>
      </c>
      <c r="N164" s="362">
        <v>10174563</v>
      </c>
      <c r="O164" s="362">
        <v>10214051.999999998</v>
      </c>
      <c r="P164" s="362">
        <v>10254490</v>
      </c>
      <c r="Q164" s="362">
        <v>10297111.999999998</v>
      </c>
      <c r="R164" s="362">
        <v>10341454</v>
      </c>
      <c r="S164" s="362">
        <v>10385986.999999998</v>
      </c>
      <c r="T164" s="362">
        <v>10429611.999999998</v>
      </c>
      <c r="U164" s="362">
        <v>10470921</v>
      </c>
      <c r="V164" s="362">
        <v>10508495</v>
      </c>
      <c r="W164" s="362">
        <v>10542830</v>
      </c>
      <c r="X164" s="362">
        <v>10573143</v>
      </c>
      <c r="Y164" s="362">
        <v>10595314</v>
      </c>
      <c r="Z164" s="362">
        <v>10604056</v>
      </c>
      <c r="AA164" s="362">
        <v>10596058.000000002</v>
      </c>
      <c r="AB164" s="362">
        <v>10569379.999999998</v>
      </c>
      <c r="AC164" s="362">
        <v>10526308</v>
      </c>
      <c r="AD164" s="362">
        <v>10473021.000000002</v>
      </c>
      <c r="AE164" s="362">
        <v>10418218.000000002</v>
      </c>
      <c r="AF164" s="362">
        <v>10368351</v>
      </c>
      <c r="AG164" s="362">
        <v>10325538</v>
      </c>
      <c r="AH164" s="362">
        <v>10288527</v>
      </c>
      <c r="AI164" s="362">
        <v>10256193</v>
      </c>
      <c r="AJ164" s="362">
        <v>10226187</v>
      </c>
      <c r="AK164" s="362">
        <v>10196709</v>
      </c>
      <c r="AL164" s="363">
        <v>10167925</v>
      </c>
      <c r="AM164" s="362">
        <v>10140570</v>
      </c>
      <c r="AN164" s="362">
        <v>10114023</v>
      </c>
      <c r="AO164" s="362">
        <v>10087500</v>
      </c>
      <c r="AP164" s="362">
        <v>10060418</v>
      </c>
      <c r="AQ164" s="362">
        <v>10032453</v>
      </c>
      <c r="AR164" s="362">
        <v>10003588</v>
      </c>
      <c r="AS164" s="362">
        <v>9973883</v>
      </c>
      <c r="AT164" s="362">
        <v>9943534</v>
      </c>
      <c r="AU164" s="362">
        <v>9912679</v>
      </c>
      <c r="AV164" s="362" t="s">
        <v>371</v>
      </c>
      <c r="AW164" s="362">
        <v>-2.8825993500802838E-3</v>
      </c>
      <c r="AX164" s="362">
        <v>-2.8228715755249656E-3</v>
      </c>
    </row>
    <row r="165" spans="1:50" x14ac:dyDescent="0.25">
      <c r="A165" s="361" t="s">
        <v>373</v>
      </c>
      <c r="B165" s="361">
        <v>630</v>
      </c>
      <c r="C165" s="361" t="s">
        <v>372</v>
      </c>
      <c r="D165" s="361">
        <v>163</v>
      </c>
      <c r="E165" s="361">
        <v>4</v>
      </c>
      <c r="F165" s="361" t="s">
        <v>2374</v>
      </c>
      <c r="G165" s="362">
        <v>3403154</v>
      </c>
      <c r="H165" s="362">
        <v>3435253.0000000005</v>
      </c>
      <c r="I165" s="362">
        <v>3469068</v>
      </c>
      <c r="J165" s="362">
        <v>3503472.0000000005</v>
      </c>
      <c r="K165" s="362">
        <v>3536795</v>
      </c>
      <c r="L165" s="362">
        <v>3567695.9999999995</v>
      </c>
      <c r="M165" s="362">
        <v>3596088.0000000005</v>
      </c>
      <c r="N165" s="362">
        <v>3621899</v>
      </c>
      <c r="O165" s="362">
        <v>3643679</v>
      </c>
      <c r="P165" s="362">
        <v>3659723</v>
      </c>
      <c r="Q165" s="362">
        <v>3668960</v>
      </c>
      <c r="R165" s="362">
        <v>3670296</v>
      </c>
      <c r="S165" s="362">
        <v>3664328</v>
      </c>
      <c r="T165" s="362">
        <v>3653658</v>
      </c>
      <c r="U165" s="362">
        <v>3642006</v>
      </c>
      <c r="V165" s="362">
        <v>3631889</v>
      </c>
      <c r="W165" s="362">
        <v>3623780</v>
      </c>
      <c r="X165" s="362">
        <v>3616340</v>
      </c>
      <c r="Y165" s="362">
        <v>3608032</v>
      </c>
      <c r="Z165" s="362">
        <v>3596540</v>
      </c>
      <c r="AA165" s="362">
        <v>3579841</v>
      </c>
      <c r="AB165" s="362">
        <v>3559860.9999999995</v>
      </c>
      <c r="AC165" s="362">
        <v>3536572</v>
      </c>
      <c r="AD165" s="362">
        <v>3503858</v>
      </c>
      <c r="AE165" s="362">
        <v>3453672</v>
      </c>
      <c r="AF165" s="362">
        <v>3381518.0000000005</v>
      </c>
      <c r="AG165" s="362">
        <v>3283125</v>
      </c>
      <c r="AH165" s="362">
        <v>3163667</v>
      </c>
      <c r="AI165" s="362">
        <v>3039596</v>
      </c>
      <c r="AJ165" s="362">
        <v>2933408</v>
      </c>
      <c r="AK165" s="362">
        <v>2860853</v>
      </c>
      <c r="AL165" s="363">
        <v>2828255</v>
      </c>
      <c r="AM165" s="362">
        <v>2829812</v>
      </c>
      <c r="AN165" s="362">
        <v>2854172</v>
      </c>
      <c r="AO165" s="362">
        <v>2884069</v>
      </c>
      <c r="AP165" s="362">
        <v>2906644</v>
      </c>
      <c r="AQ165" s="362">
        <v>2918922</v>
      </c>
      <c r="AR165" s="362">
        <v>2923968</v>
      </c>
      <c r="AS165" s="362">
        <v>2922174</v>
      </c>
      <c r="AT165" s="362">
        <v>2915467</v>
      </c>
      <c r="AU165" s="362">
        <v>2905352</v>
      </c>
      <c r="AV165" s="362" t="s">
        <v>373</v>
      </c>
      <c r="AW165" s="362">
        <v>-2.4734029497430976E-2</v>
      </c>
      <c r="AX165" s="362">
        <v>-1.1394503667262912E-2</v>
      </c>
    </row>
    <row r="166" spans="1:50" x14ac:dyDescent="0.25">
      <c r="A166" s="361" t="s">
        <v>375</v>
      </c>
      <c r="B166" s="361">
        <v>634</v>
      </c>
      <c r="C166" s="361" t="s">
        <v>374</v>
      </c>
      <c r="D166" s="361">
        <v>164</v>
      </c>
      <c r="E166" s="361">
        <v>17</v>
      </c>
      <c r="F166" s="361" t="s">
        <v>2374</v>
      </c>
      <c r="G166" s="362">
        <v>476278.00000000006</v>
      </c>
      <c r="H166" s="362">
        <v>487353.00000000006</v>
      </c>
      <c r="I166" s="362">
        <v>495395</v>
      </c>
      <c r="J166" s="362">
        <v>501479</v>
      </c>
      <c r="K166" s="362">
        <v>507040.99999999994</v>
      </c>
      <c r="L166" s="362">
        <v>513441.99999999994</v>
      </c>
      <c r="M166" s="362">
        <v>522530.99999999994</v>
      </c>
      <c r="N166" s="362">
        <v>535321</v>
      </c>
      <c r="O166" s="362">
        <v>551562</v>
      </c>
      <c r="P166" s="362">
        <v>570489</v>
      </c>
      <c r="Q166" s="362">
        <v>592468</v>
      </c>
      <c r="R166" s="362">
        <v>615011.99999999988</v>
      </c>
      <c r="S166" s="362">
        <v>640868.00000000012</v>
      </c>
      <c r="T166" s="362">
        <v>681788.00000000012</v>
      </c>
      <c r="U166" s="362">
        <v>753334</v>
      </c>
      <c r="V166" s="362">
        <v>865416.00000000012</v>
      </c>
      <c r="W166" s="362">
        <v>1022710.9999999999</v>
      </c>
      <c r="X166" s="362">
        <v>1218434</v>
      </c>
      <c r="Y166" s="362">
        <v>1436664.9999999998</v>
      </c>
      <c r="Z166" s="362">
        <v>1654950.0000000002</v>
      </c>
      <c r="AA166" s="362">
        <v>1856327</v>
      </c>
      <c r="AB166" s="362">
        <v>2035871.0000000002</v>
      </c>
      <c r="AC166" s="362">
        <v>2196072.9999999995</v>
      </c>
      <c r="AD166" s="362">
        <v>2336574</v>
      </c>
      <c r="AE166" s="362">
        <v>2459198</v>
      </c>
      <c r="AF166" s="362">
        <v>2565710</v>
      </c>
      <c r="AG166" s="362">
        <v>2654374</v>
      </c>
      <c r="AH166" s="362">
        <v>2724728.0000000005</v>
      </c>
      <c r="AI166" s="362">
        <v>2781682</v>
      </c>
      <c r="AJ166" s="362">
        <v>2832067</v>
      </c>
      <c r="AK166" s="362">
        <v>2881053</v>
      </c>
      <c r="AL166" s="363">
        <v>2930528</v>
      </c>
      <c r="AM166" s="362">
        <v>2979915</v>
      </c>
      <c r="AN166" s="362">
        <v>3028939</v>
      </c>
      <c r="AO166" s="362">
        <v>3076465</v>
      </c>
      <c r="AP166" s="362">
        <v>3121705</v>
      </c>
      <c r="AQ166" s="362">
        <v>3165096</v>
      </c>
      <c r="AR166" s="362">
        <v>3207418</v>
      </c>
      <c r="AS166" s="362">
        <v>3248612</v>
      </c>
      <c r="AT166" s="362">
        <v>3288484</v>
      </c>
      <c r="AU166" s="362">
        <v>3326890</v>
      </c>
      <c r="AV166" s="362" t="s">
        <v>375</v>
      </c>
      <c r="AW166" s="362">
        <v>1.7296907170628373E-2</v>
      </c>
      <c r="AX166" s="362">
        <v>1.7172540734238462E-2</v>
      </c>
    </row>
    <row r="167" spans="1:50" x14ac:dyDescent="0.25">
      <c r="A167" s="361" t="s">
        <v>377</v>
      </c>
      <c r="B167" s="361">
        <v>638</v>
      </c>
      <c r="C167" s="361" t="s">
        <v>376</v>
      </c>
      <c r="D167" s="361">
        <v>165</v>
      </c>
      <c r="E167" s="361">
        <v>9</v>
      </c>
      <c r="F167" s="361" t="s">
        <v>2374</v>
      </c>
      <c r="G167" s="362">
        <v>610582</v>
      </c>
      <c r="H167" s="362">
        <v>622418</v>
      </c>
      <c r="I167" s="362">
        <v>634793</v>
      </c>
      <c r="J167" s="362">
        <v>647587.99999999988</v>
      </c>
      <c r="K167" s="362">
        <v>660563</v>
      </c>
      <c r="L167" s="362">
        <v>673541</v>
      </c>
      <c r="M167" s="362">
        <v>686462.99999999988</v>
      </c>
      <c r="N167" s="362">
        <v>699299</v>
      </c>
      <c r="O167" s="362">
        <v>711992</v>
      </c>
      <c r="P167" s="362">
        <v>724484</v>
      </c>
      <c r="Q167" s="362">
        <v>736710.00000000012</v>
      </c>
      <c r="R167" s="362">
        <v>748658</v>
      </c>
      <c r="S167" s="362">
        <v>760258</v>
      </c>
      <c r="T167" s="362">
        <v>771384.00000000012</v>
      </c>
      <c r="U167" s="362">
        <v>781864</v>
      </c>
      <c r="V167" s="362">
        <v>791597.99999999988</v>
      </c>
      <c r="W167" s="362">
        <v>800539.99999999988</v>
      </c>
      <c r="X167" s="362">
        <v>808730.00000000012</v>
      </c>
      <c r="Y167" s="362">
        <v>816318</v>
      </c>
      <c r="Z167" s="362">
        <v>823522.00000000012</v>
      </c>
      <c r="AA167" s="362">
        <v>830519</v>
      </c>
      <c r="AB167" s="362">
        <v>837335</v>
      </c>
      <c r="AC167" s="362">
        <v>843984.00000000012</v>
      </c>
      <c r="AD167" s="362">
        <v>850514</v>
      </c>
      <c r="AE167" s="362">
        <v>856961</v>
      </c>
      <c r="AF167" s="362">
        <v>863363.00000000012</v>
      </c>
      <c r="AG167" s="362">
        <v>869743</v>
      </c>
      <c r="AH167" s="362">
        <v>876134</v>
      </c>
      <c r="AI167" s="362">
        <v>882525.99999999988</v>
      </c>
      <c r="AJ167" s="362">
        <v>888927</v>
      </c>
      <c r="AK167" s="362">
        <v>895312</v>
      </c>
      <c r="AL167" s="363">
        <v>901686</v>
      </c>
      <c r="AM167" s="362">
        <v>908061</v>
      </c>
      <c r="AN167" s="362">
        <v>914385</v>
      </c>
      <c r="AO167" s="362">
        <v>920609</v>
      </c>
      <c r="AP167" s="362">
        <v>926699</v>
      </c>
      <c r="AQ167" s="362">
        <v>932639</v>
      </c>
      <c r="AR167" s="362">
        <v>938413</v>
      </c>
      <c r="AS167" s="362">
        <v>944041</v>
      </c>
      <c r="AT167" s="362">
        <v>949499</v>
      </c>
      <c r="AU167" s="362">
        <v>954806</v>
      </c>
      <c r="AV167" s="362" t="s">
        <v>377</v>
      </c>
      <c r="AW167" s="362">
        <v>7.1828170367196353E-3</v>
      </c>
      <c r="AX167" s="362">
        <v>7.1193058955985045E-3</v>
      </c>
    </row>
    <row r="168" spans="1:50" x14ac:dyDescent="0.25">
      <c r="A168" s="361" t="s">
        <v>379</v>
      </c>
      <c r="B168" s="361">
        <v>642</v>
      </c>
      <c r="C168" s="361" t="s">
        <v>378</v>
      </c>
      <c r="D168" s="361">
        <v>166</v>
      </c>
      <c r="E168" s="361">
        <v>12</v>
      </c>
      <c r="F168" s="361" t="s">
        <v>2374</v>
      </c>
      <c r="G168" s="362">
        <v>23489160</v>
      </c>
      <c r="H168" s="362">
        <v>23456644</v>
      </c>
      <c r="I168" s="362">
        <v>23375822</v>
      </c>
      <c r="J168" s="362">
        <v>23256956</v>
      </c>
      <c r="K168" s="362">
        <v>23115811</v>
      </c>
      <c r="L168" s="362">
        <v>22964754</v>
      </c>
      <c r="M168" s="362">
        <v>22805703</v>
      </c>
      <c r="N168" s="362">
        <v>22637604</v>
      </c>
      <c r="O168" s="362">
        <v>22466286</v>
      </c>
      <c r="P168" s="362">
        <v>22298125</v>
      </c>
      <c r="Q168" s="362">
        <v>22137419</v>
      </c>
      <c r="R168" s="362">
        <v>21989350</v>
      </c>
      <c r="S168" s="362">
        <v>21853273</v>
      </c>
      <c r="T168" s="362">
        <v>21720406.999999996</v>
      </c>
      <c r="U168" s="362">
        <v>21577885</v>
      </c>
      <c r="V168" s="362">
        <v>21417291.000000004</v>
      </c>
      <c r="W168" s="362">
        <v>21234305</v>
      </c>
      <c r="X168" s="362">
        <v>21034188.999999996</v>
      </c>
      <c r="Y168" s="362">
        <v>20829517</v>
      </c>
      <c r="Z168" s="362">
        <v>20637991.000000004</v>
      </c>
      <c r="AA168" s="362">
        <v>20471864</v>
      </c>
      <c r="AB168" s="362">
        <v>20336718</v>
      </c>
      <c r="AC168" s="362">
        <v>20227469</v>
      </c>
      <c r="AD168" s="362">
        <v>20132776.000000004</v>
      </c>
      <c r="AE168" s="362">
        <v>20035930</v>
      </c>
      <c r="AF168" s="362">
        <v>19925175</v>
      </c>
      <c r="AG168" s="362">
        <v>19796285</v>
      </c>
      <c r="AH168" s="362">
        <v>19653969</v>
      </c>
      <c r="AI168" s="362">
        <v>19506114</v>
      </c>
      <c r="AJ168" s="362">
        <v>19364557</v>
      </c>
      <c r="AK168" s="362">
        <v>19237690.999999996</v>
      </c>
      <c r="AL168" s="363">
        <v>19127774</v>
      </c>
      <c r="AM168" s="362">
        <v>19031335</v>
      </c>
      <c r="AN168" s="362">
        <v>18944134</v>
      </c>
      <c r="AO168" s="362">
        <v>18859613</v>
      </c>
      <c r="AP168" s="362">
        <v>18772912</v>
      </c>
      <c r="AQ168" s="362">
        <v>18682879</v>
      </c>
      <c r="AR168" s="362">
        <v>18590736</v>
      </c>
      <c r="AS168" s="362">
        <v>18496696</v>
      </c>
      <c r="AT168" s="362">
        <v>18401609</v>
      </c>
      <c r="AU168" s="362">
        <v>18306101</v>
      </c>
      <c r="AV168" s="362" t="s">
        <v>379</v>
      </c>
      <c r="AW168" s="362">
        <v>-6.55145377196098E-3</v>
      </c>
      <c r="AX168" s="362">
        <v>-5.7136274826327105E-3</v>
      </c>
    </row>
    <row r="169" spans="1:50" x14ac:dyDescent="0.25">
      <c r="A169" s="369" t="s">
        <v>381</v>
      </c>
      <c r="B169" s="361">
        <v>643</v>
      </c>
      <c r="C169" s="361" t="s">
        <v>380</v>
      </c>
      <c r="D169" s="361">
        <v>167</v>
      </c>
      <c r="E169" s="361">
        <v>16</v>
      </c>
      <c r="F169" s="361" t="s">
        <v>2374</v>
      </c>
      <c r="G169" s="362">
        <v>147531560.99999997</v>
      </c>
      <c r="H169" s="362">
        <v>147995593</v>
      </c>
      <c r="I169" s="362">
        <v>148268581</v>
      </c>
      <c r="J169" s="362">
        <v>148373579.99999997</v>
      </c>
      <c r="K169" s="362">
        <v>148349440.99999997</v>
      </c>
      <c r="L169" s="362">
        <v>148227466</v>
      </c>
      <c r="M169" s="362">
        <v>148020847</v>
      </c>
      <c r="N169" s="362">
        <v>147730019</v>
      </c>
      <c r="O169" s="362">
        <v>147360604</v>
      </c>
      <c r="P169" s="362">
        <v>146915915</v>
      </c>
      <c r="Q169" s="362">
        <v>146404903</v>
      </c>
      <c r="R169" s="362">
        <v>145830720.99999997</v>
      </c>
      <c r="S169" s="362">
        <v>145215700</v>
      </c>
      <c r="T169" s="362">
        <v>144610882</v>
      </c>
      <c r="U169" s="362">
        <v>144080643</v>
      </c>
      <c r="V169" s="362">
        <v>143672116.00000003</v>
      </c>
      <c r="W169" s="362">
        <v>143403256</v>
      </c>
      <c r="X169" s="362">
        <v>143266212</v>
      </c>
      <c r="Y169" s="362">
        <v>143248764</v>
      </c>
      <c r="Z169" s="362">
        <v>143326913</v>
      </c>
      <c r="AA169" s="362">
        <v>143479274</v>
      </c>
      <c r="AB169" s="362">
        <v>143703025</v>
      </c>
      <c r="AC169" s="362">
        <v>143993892</v>
      </c>
      <c r="AD169" s="362">
        <v>144325449</v>
      </c>
      <c r="AE169" s="362">
        <v>144664841</v>
      </c>
      <c r="AF169" s="362">
        <v>144985057</v>
      </c>
      <c r="AG169" s="362">
        <v>145275383</v>
      </c>
      <c r="AH169" s="362">
        <v>145530082</v>
      </c>
      <c r="AI169" s="362">
        <v>145734038</v>
      </c>
      <c r="AJ169" s="362">
        <v>145872256</v>
      </c>
      <c r="AK169" s="362">
        <v>145934462</v>
      </c>
      <c r="AL169" s="363">
        <v>145912025</v>
      </c>
      <c r="AM169" s="362">
        <v>145805947</v>
      </c>
      <c r="AN169" s="362">
        <v>145628586</v>
      </c>
      <c r="AO169" s="362">
        <v>145399121</v>
      </c>
      <c r="AP169" s="362">
        <v>145132729</v>
      </c>
      <c r="AQ169" s="362">
        <v>144834097</v>
      </c>
      <c r="AR169" s="362">
        <v>144502581</v>
      </c>
      <c r="AS169" s="362">
        <v>144142096</v>
      </c>
      <c r="AT169" s="362">
        <v>143755890</v>
      </c>
      <c r="AU169" s="362">
        <v>143347515</v>
      </c>
      <c r="AV169" s="362" t="s">
        <v>381</v>
      </c>
      <c r="AW169" s="362">
        <v>4.2644161203631015E-4</v>
      </c>
      <c r="AX169" s="362">
        <v>-1.5374709778970264E-4</v>
      </c>
    </row>
    <row r="170" spans="1:50" x14ac:dyDescent="0.25">
      <c r="A170" s="361" t="s">
        <v>383</v>
      </c>
      <c r="B170" s="361">
        <v>646</v>
      </c>
      <c r="C170" s="361" t="s">
        <v>382</v>
      </c>
      <c r="D170" s="361">
        <v>168</v>
      </c>
      <c r="E170" s="361">
        <v>9</v>
      </c>
      <c r="F170" s="361" t="s">
        <v>2374</v>
      </c>
      <c r="G170" s="362">
        <v>7288881.9999999991</v>
      </c>
      <c r="H170" s="362">
        <v>7083935</v>
      </c>
      <c r="I170" s="362">
        <v>6702243.9999999991</v>
      </c>
      <c r="J170" s="362">
        <v>6263757</v>
      </c>
      <c r="K170" s="362">
        <v>5936261</v>
      </c>
      <c r="L170" s="362">
        <v>5836495</v>
      </c>
      <c r="M170" s="362">
        <v>6013107</v>
      </c>
      <c r="N170" s="362">
        <v>6419900.9999999991</v>
      </c>
      <c r="O170" s="362">
        <v>6962802</v>
      </c>
      <c r="P170" s="362">
        <v>7501234</v>
      </c>
      <c r="Q170" s="362">
        <v>7933681</v>
      </c>
      <c r="R170" s="362">
        <v>8231156</v>
      </c>
      <c r="S170" s="362">
        <v>8427060</v>
      </c>
      <c r="T170" s="362">
        <v>8557161</v>
      </c>
      <c r="U170" s="362">
        <v>8680524</v>
      </c>
      <c r="V170" s="362">
        <v>8840215</v>
      </c>
      <c r="W170" s="362">
        <v>9043337</v>
      </c>
      <c r="X170" s="362">
        <v>9273757</v>
      </c>
      <c r="Y170" s="362">
        <v>9524534</v>
      </c>
      <c r="Z170" s="362">
        <v>9782770.0000000019</v>
      </c>
      <c r="AA170" s="362">
        <v>10039337.999999998</v>
      </c>
      <c r="AB170" s="362">
        <v>10293331</v>
      </c>
      <c r="AC170" s="362">
        <v>10549673</v>
      </c>
      <c r="AD170" s="362">
        <v>10811538</v>
      </c>
      <c r="AE170" s="362">
        <v>11083630</v>
      </c>
      <c r="AF170" s="362">
        <v>11369071</v>
      </c>
      <c r="AG170" s="362">
        <v>11668826.999999998</v>
      </c>
      <c r="AH170" s="362">
        <v>11980960.999999998</v>
      </c>
      <c r="AI170" s="362">
        <v>12301969.999999998</v>
      </c>
      <c r="AJ170" s="362">
        <v>12626950</v>
      </c>
      <c r="AK170" s="362">
        <v>12952218</v>
      </c>
      <c r="AL170" s="363">
        <v>13276513</v>
      </c>
      <c r="AM170" s="362">
        <v>13600464</v>
      </c>
      <c r="AN170" s="362">
        <v>13924508</v>
      </c>
      <c r="AO170" s="362">
        <v>14249755</v>
      </c>
      <c r="AP170" s="362">
        <v>14576985</v>
      </c>
      <c r="AQ170" s="362">
        <v>14906019</v>
      </c>
      <c r="AR170" s="362">
        <v>15236265</v>
      </c>
      <c r="AS170" s="362">
        <v>15567734</v>
      </c>
      <c r="AT170" s="362">
        <v>15900444</v>
      </c>
      <c r="AU170" s="362">
        <v>16234387</v>
      </c>
      <c r="AV170" s="362" t="s">
        <v>383</v>
      </c>
      <c r="AW170" s="362">
        <v>2.5759823235222967E-2</v>
      </c>
      <c r="AX170" s="362">
        <v>2.5037796615220653E-2</v>
      </c>
    </row>
    <row r="171" spans="1:50" x14ac:dyDescent="0.25">
      <c r="A171" s="361" t="s">
        <v>385</v>
      </c>
      <c r="B171" s="361">
        <v>882</v>
      </c>
      <c r="C171" s="361" t="s">
        <v>384</v>
      </c>
      <c r="D171" s="361">
        <v>221</v>
      </c>
      <c r="E171" s="361">
        <v>24</v>
      </c>
      <c r="F171" s="361" t="s">
        <v>2374</v>
      </c>
      <c r="G171" s="362">
        <v>162803</v>
      </c>
      <c r="H171" s="362">
        <v>163997</v>
      </c>
      <c r="I171" s="362">
        <v>165490</v>
      </c>
      <c r="J171" s="362">
        <v>167119</v>
      </c>
      <c r="K171" s="362">
        <v>168693.99999999997</v>
      </c>
      <c r="L171" s="362">
        <v>170054</v>
      </c>
      <c r="M171" s="362">
        <v>171164.99999999997</v>
      </c>
      <c r="N171" s="362">
        <v>172068</v>
      </c>
      <c r="O171" s="362">
        <v>172839</v>
      </c>
      <c r="P171" s="362">
        <v>173609</v>
      </c>
      <c r="Q171" s="362">
        <v>174454</v>
      </c>
      <c r="R171" s="362">
        <v>175392</v>
      </c>
      <c r="S171" s="362">
        <v>176407</v>
      </c>
      <c r="T171" s="362">
        <v>177484</v>
      </c>
      <c r="U171" s="362">
        <v>178590</v>
      </c>
      <c r="V171" s="362">
        <v>179727</v>
      </c>
      <c r="W171" s="362">
        <v>180876</v>
      </c>
      <c r="X171" s="362">
        <v>182046</v>
      </c>
      <c r="Y171" s="362">
        <v>183263</v>
      </c>
      <c r="Z171" s="362">
        <v>184556</v>
      </c>
      <c r="AA171" s="362">
        <v>185949</v>
      </c>
      <c r="AB171" s="362">
        <v>187469</v>
      </c>
      <c r="AC171" s="362">
        <v>189089</v>
      </c>
      <c r="AD171" s="362">
        <v>190718</v>
      </c>
      <c r="AE171" s="362">
        <v>192221</v>
      </c>
      <c r="AF171" s="362">
        <v>193513.00000000003</v>
      </c>
      <c r="AG171" s="362">
        <v>194535</v>
      </c>
      <c r="AH171" s="362">
        <v>195352</v>
      </c>
      <c r="AI171" s="362">
        <v>196129</v>
      </c>
      <c r="AJ171" s="362">
        <v>197097.00000000003</v>
      </c>
      <c r="AK171" s="362">
        <v>198413.99999999997</v>
      </c>
      <c r="AL171" s="363">
        <v>200149</v>
      </c>
      <c r="AM171" s="362">
        <v>202239</v>
      </c>
      <c r="AN171" s="362">
        <v>204569</v>
      </c>
      <c r="AO171" s="362">
        <v>206969</v>
      </c>
      <c r="AP171" s="362">
        <v>209319</v>
      </c>
      <c r="AQ171" s="362">
        <v>211578</v>
      </c>
      <c r="AR171" s="362">
        <v>213783</v>
      </c>
      <c r="AS171" s="362">
        <v>215967</v>
      </c>
      <c r="AT171" s="362">
        <v>218147</v>
      </c>
      <c r="AU171" s="362">
        <v>220371</v>
      </c>
      <c r="AV171" s="362" t="s">
        <v>385</v>
      </c>
      <c r="AW171" s="362">
        <v>6.6819890713707419E-3</v>
      </c>
      <c r="AX171" s="362">
        <v>8.7443426371125454E-3</v>
      </c>
    </row>
    <row r="172" spans="1:50" x14ac:dyDescent="0.25">
      <c r="A172" s="361" t="s">
        <v>387</v>
      </c>
      <c r="B172" s="361">
        <v>674</v>
      </c>
      <c r="C172" s="361" t="s">
        <v>386</v>
      </c>
      <c r="D172" s="361">
        <v>175</v>
      </c>
      <c r="E172" s="361">
        <v>11</v>
      </c>
      <c r="F172" s="361" t="s">
        <v>2374</v>
      </c>
      <c r="G172" s="362">
        <v>0</v>
      </c>
      <c r="H172" s="362">
        <v>0</v>
      </c>
      <c r="I172" s="362">
        <v>0</v>
      </c>
      <c r="J172" s="362">
        <v>0</v>
      </c>
      <c r="K172" s="362">
        <v>0</v>
      </c>
      <c r="L172" s="362">
        <v>0</v>
      </c>
      <c r="M172" s="362">
        <v>0</v>
      </c>
      <c r="N172" s="362">
        <v>0</v>
      </c>
      <c r="O172" s="362">
        <v>0</v>
      </c>
      <c r="P172" s="362">
        <v>0</v>
      </c>
      <c r="Q172" s="362">
        <v>0</v>
      </c>
      <c r="R172" s="362">
        <v>0</v>
      </c>
      <c r="S172" s="362">
        <v>0</v>
      </c>
      <c r="T172" s="362">
        <v>0</v>
      </c>
      <c r="U172" s="362">
        <v>0</v>
      </c>
      <c r="V172" s="362">
        <v>0</v>
      </c>
      <c r="W172" s="362">
        <v>0</v>
      </c>
      <c r="X172" s="362">
        <v>0</v>
      </c>
      <c r="Y172" s="362">
        <v>0</v>
      </c>
      <c r="Z172" s="362">
        <v>0</v>
      </c>
      <c r="AA172" s="362">
        <v>0</v>
      </c>
      <c r="AB172" s="362">
        <v>0</v>
      </c>
      <c r="AC172" s="362">
        <v>0</v>
      </c>
      <c r="AD172" s="362">
        <v>0</v>
      </c>
      <c r="AE172" s="362">
        <v>0</v>
      </c>
      <c r="AF172" s="362">
        <v>0</v>
      </c>
      <c r="AG172" s="362">
        <v>0</v>
      </c>
      <c r="AH172" s="362">
        <v>0</v>
      </c>
      <c r="AI172" s="362">
        <v>0</v>
      </c>
      <c r="AJ172" s="362">
        <v>0</v>
      </c>
      <c r="AK172" s="362">
        <v>0</v>
      </c>
      <c r="AV172" s="362" t="s">
        <v>387</v>
      </c>
      <c r="AW172" s="362" t="e">
        <v>#DIV/0!</v>
      </c>
      <c r="AX172" s="362" t="e">
        <v>#DIV/0!</v>
      </c>
    </row>
    <row r="173" spans="1:50" x14ac:dyDescent="0.25">
      <c r="A173" s="361" t="s">
        <v>389</v>
      </c>
      <c r="B173" s="361">
        <v>678</v>
      </c>
      <c r="C173" s="361" t="s">
        <v>388</v>
      </c>
      <c r="D173" s="361">
        <v>176</v>
      </c>
      <c r="E173" s="361">
        <v>8</v>
      </c>
      <c r="F173" s="361" t="s">
        <v>2374</v>
      </c>
      <c r="G173" s="362">
        <v>119209.00000000001</v>
      </c>
      <c r="H173" s="362">
        <v>121956.00000000001</v>
      </c>
      <c r="I173" s="362">
        <v>124575.99999999999</v>
      </c>
      <c r="J173" s="362">
        <v>127062.00000000001</v>
      </c>
      <c r="K173" s="362">
        <v>129426.99999999999</v>
      </c>
      <c r="L173" s="362">
        <v>131678</v>
      </c>
      <c r="M173" s="362">
        <v>133806</v>
      </c>
      <c r="N173" s="362">
        <v>135831.99999999997</v>
      </c>
      <c r="O173" s="362">
        <v>137848.00000000003</v>
      </c>
      <c r="P173" s="362">
        <v>139959</v>
      </c>
      <c r="Q173" s="362">
        <v>142262</v>
      </c>
      <c r="R173" s="362">
        <v>144755</v>
      </c>
      <c r="S173" s="362">
        <v>147447</v>
      </c>
      <c r="T173" s="362">
        <v>150415</v>
      </c>
      <c r="U173" s="362">
        <v>153736.99999999997</v>
      </c>
      <c r="V173" s="362">
        <v>157472</v>
      </c>
      <c r="W173" s="362">
        <v>161681.00000000003</v>
      </c>
      <c r="X173" s="362">
        <v>166300</v>
      </c>
      <c r="Y173" s="362">
        <v>171120</v>
      </c>
      <c r="Z173" s="362">
        <v>175876</v>
      </c>
      <c r="AA173" s="362">
        <v>180371</v>
      </c>
      <c r="AB173" s="362">
        <v>184524</v>
      </c>
      <c r="AC173" s="362">
        <v>188404</v>
      </c>
      <c r="AD173" s="362">
        <v>192086.99999999997</v>
      </c>
      <c r="AE173" s="362">
        <v>195727</v>
      </c>
      <c r="AF173" s="362">
        <v>199432</v>
      </c>
      <c r="AG173" s="362">
        <v>203227</v>
      </c>
      <c r="AH173" s="362">
        <v>207089</v>
      </c>
      <c r="AI173" s="362">
        <v>211028</v>
      </c>
      <c r="AJ173" s="362">
        <v>215056.00000000003</v>
      </c>
      <c r="AK173" s="362">
        <v>219159</v>
      </c>
      <c r="AL173" s="363">
        <v>223368</v>
      </c>
      <c r="AM173" s="362">
        <v>227679</v>
      </c>
      <c r="AN173" s="362">
        <v>232137</v>
      </c>
      <c r="AO173" s="362">
        <v>236760</v>
      </c>
      <c r="AP173" s="362">
        <v>241571</v>
      </c>
      <c r="AQ173" s="362">
        <v>246584</v>
      </c>
      <c r="AR173" s="362">
        <v>251791</v>
      </c>
      <c r="AS173" s="362">
        <v>257163</v>
      </c>
      <c r="AT173" s="362">
        <v>262656</v>
      </c>
      <c r="AU173" s="362">
        <v>268244</v>
      </c>
      <c r="AV173" s="362" t="s">
        <v>389</v>
      </c>
      <c r="AW173" s="362">
        <v>1.9078751580983377E-2</v>
      </c>
      <c r="AX173" s="362">
        <v>1.9205234555733419E-2</v>
      </c>
    </row>
    <row r="174" spans="1:50" x14ac:dyDescent="0.25">
      <c r="A174" s="361" t="s">
        <v>391</v>
      </c>
      <c r="B174" s="361">
        <v>682</v>
      </c>
      <c r="C174" s="361" t="s">
        <v>390</v>
      </c>
      <c r="D174" s="361">
        <v>177</v>
      </c>
      <c r="E174" s="361">
        <v>17</v>
      </c>
      <c r="F174" s="361" t="s">
        <v>2374</v>
      </c>
      <c r="G174" s="362">
        <v>16233785.000000002</v>
      </c>
      <c r="H174" s="362">
        <v>16772693.999999998</v>
      </c>
      <c r="I174" s="362">
        <v>17282691</v>
      </c>
      <c r="J174" s="362">
        <v>17763298</v>
      </c>
      <c r="K174" s="362">
        <v>18214470.000000004</v>
      </c>
      <c r="L174" s="362">
        <v>18638787</v>
      </c>
      <c r="M174" s="362">
        <v>19033845</v>
      </c>
      <c r="N174" s="362">
        <v>19407142</v>
      </c>
      <c r="O174" s="362">
        <v>19783304</v>
      </c>
      <c r="P174" s="362">
        <v>20194526.999999996</v>
      </c>
      <c r="Q174" s="362">
        <v>20663843</v>
      </c>
      <c r="R174" s="362">
        <v>21202642</v>
      </c>
      <c r="S174" s="362">
        <v>21805313</v>
      </c>
      <c r="T174" s="362">
        <v>22456649.000000004</v>
      </c>
      <c r="U174" s="362">
        <v>23132682</v>
      </c>
      <c r="V174" s="362">
        <v>23816183.000000004</v>
      </c>
      <c r="W174" s="362">
        <v>24498310</v>
      </c>
      <c r="X174" s="362">
        <v>25184597</v>
      </c>
      <c r="Y174" s="362">
        <v>25888541</v>
      </c>
      <c r="Z174" s="362">
        <v>26630303</v>
      </c>
      <c r="AA174" s="362">
        <v>27421461</v>
      </c>
      <c r="AB174" s="362">
        <v>28267589</v>
      </c>
      <c r="AC174" s="362">
        <v>29154900</v>
      </c>
      <c r="AD174" s="362">
        <v>30052059</v>
      </c>
      <c r="AE174" s="362">
        <v>30916597.000000004</v>
      </c>
      <c r="AF174" s="362">
        <v>31717667.000000004</v>
      </c>
      <c r="AG174" s="362">
        <v>32443447</v>
      </c>
      <c r="AH174" s="362">
        <v>33101178.999999996</v>
      </c>
      <c r="AI174" s="362">
        <v>33702756</v>
      </c>
      <c r="AJ174" s="362">
        <v>34268528</v>
      </c>
      <c r="AK174" s="362">
        <v>34813871</v>
      </c>
      <c r="AL174" s="363">
        <v>35340683</v>
      </c>
      <c r="AM174" s="362">
        <v>35844909</v>
      </c>
      <c r="AN174" s="362">
        <v>36329422</v>
      </c>
      <c r="AO174" s="362">
        <v>36796736</v>
      </c>
      <c r="AP174" s="362">
        <v>37248919</v>
      </c>
      <c r="AQ174" s="362">
        <v>37688051</v>
      </c>
      <c r="AR174" s="362">
        <v>38115326</v>
      </c>
      <c r="AS174" s="362">
        <v>38530657</v>
      </c>
      <c r="AT174" s="362">
        <v>38933202</v>
      </c>
      <c r="AU174" s="362">
        <v>39322338</v>
      </c>
      <c r="AV174" s="362" t="s">
        <v>391</v>
      </c>
      <c r="AW174" s="362">
        <v>1.5913814564780804E-2</v>
      </c>
      <c r="AX174" s="362">
        <v>1.5132244271256035E-2</v>
      </c>
    </row>
    <row r="175" spans="1:50" x14ac:dyDescent="0.25">
      <c r="A175" s="361" t="s">
        <v>393</v>
      </c>
      <c r="B175" s="361">
        <v>686</v>
      </c>
      <c r="C175" s="361" t="s">
        <v>392</v>
      </c>
      <c r="D175" s="361">
        <v>178</v>
      </c>
      <c r="E175" s="361">
        <v>8</v>
      </c>
      <c r="F175" s="361" t="s">
        <v>2374</v>
      </c>
      <c r="G175" s="362">
        <v>7526307</v>
      </c>
      <c r="H175" s="362">
        <v>7755496</v>
      </c>
      <c r="I175" s="362">
        <v>7990095.9999999991</v>
      </c>
      <c r="J175" s="362">
        <v>8226760.0000000009</v>
      </c>
      <c r="K175" s="362">
        <v>8461068</v>
      </c>
      <c r="L175" s="362">
        <v>8690164.0000000019</v>
      </c>
      <c r="M175" s="362">
        <v>8912861.0000000019</v>
      </c>
      <c r="N175" s="362">
        <v>9130877</v>
      </c>
      <c r="O175" s="362">
        <v>9347774</v>
      </c>
      <c r="P175" s="362">
        <v>9568722</v>
      </c>
      <c r="Q175" s="362">
        <v>9797734</v>
      </c>
      <c r="R175" s="362">
        <v>10036104</v>
      </c>
      <c r="S175" s="362">
        <v>10283699</v>
      </c>
      <c r="T175" s="362">
        <v>10541467</v>
      </c>
      <c r="U175" s="362">
        <v>10810083</v>
      </c>
      <c r="V175" s="362">
        <v>11090116</v>
      </c>
      <c r="W175" s="362">
        <v>11382268</v>
      </c>
      <c r="X175" s="362">
        <v>11687080</v>
      </c>
      <c r="Y175" s="362">
        <v>12004700.999999998</v>
      </c>
      <c r="Z175" s="362">
        <v>12335084</v>
      </c>
      <c r="AA175" s="362">
        <v>12678147.999999998</v>
      </c>
      <c r="AB175" s="362">
        <v>13033809</v>
      </c>
      <c r="AC175" s="362">
        <v>13401992</v>
      </c>
      <c r="AD175" s="362">
        <v>13782424</v>
      </c>
      <c r="AE175" s="362">
        <v>14174738.999999998</v>
      </c>
      <c r="AF175" s="362">
        <v>14578459</v>
      </c>
      <c r="AG175" s="362">
        <v>14993519</v>
      </c>
      <c r="AH175" s="362">
        <v>15419355</v>
      </c>
      <c r="AI175" s="362">
        <v>15854323</v>
      </c>
      <c r="AJ175" s="362">
        <v>16296364</v>
      </c>
      <c r="AK175" s="362">
        <v>16743927</v>
      </c>
      <c r="AL175" s="363">
        <v>17196301</v>
      </c>
      <c r="AM175" s="362">
        <v>17653671</v>
      </c>
      <c r="AN175" s="362">
        <v>18116524</v>
      </c>
      <c r="AO175" s="362">
        <v>18585814</v>
      </c>
      <c r="AP175" s="362">
        <v>19062240</v>
      </c>
      <c r="AQ175" s="362">
        <v>19545820</v>
      </c>
      <c r="AR175" s="362">
        <v>20036315</v>
      </c>
      <c r="AS175" s="362">
        <v>20533941</v>
      </c>
      <c r="AT175" s="362">
        <v>21038927</v>
      </c>
      <c r="AU175" s="362">
        <v>21551460</v>
      </c>
      <c r="AV175" s="362" t="s">
        <v>393</v>
      </c>
      <c r="AW175" s="362">
        <v>2.7463979081468803E-2</v>
      </c>
      <c r="AX175" s="362">
        <v>2.7017198534131204E-2</v>
      </c>
    </row>
    <row r="176" spans="1:50" x14ac:dyDescent="0.25">
      <c r="A176" s="361" t="s">
        <v>395</v>
      </c>
      <c r="B176" s="361">
        <v>891</v>
      </c>
      <c r="C176" s="370" t="s">
        <v>2500</v>
      </c>
      <c r="D176" s="361">
        <v>223</v>
      </c>
      <c r="E176" s="361">
        <v>12</v>
      </c>
      <c r="F176" s="361" t="s">
        <v>2374</v>
      </c>
      <c r="G176" s="362">
        <v>10132677</v>
      </c>
      <c r="H176" s="362">
        <v>10218631.000000002</v>
      </c>
      <c r="I176" s="362">
        <v>10318324</v>
      </c>
      <c r="J176" s="362">
        <v>10414108.999999998</v>
      </c>
      <c r="K176" s="362">
        <v>10481714</v>
      </c>
      <c r="L176" s="362">
        <v>10504565.000000002</v>
      </c>
      <c r="M176" s="362">
        <v>10475772.000000002</v>
      </c>
      <c r="N176" s="362">
        <v>10402915</v>
      </c>
      <c r="O176" s="362">
        <v>10301753.000000002</v>
      </c>
      <c r="P176" s="362">
        <v>10195459.999999998</v>
      </c>
      <c r="Q176" s="362">
        <v>10101175</v>
      </c>
      <c r="R176" s="362">
        <v>10023939</v>
      </c>
      <c r="S176" s="362">
        <v>9959836</v>
      </c>
      <c r="T176" s="362">
        <v>9906313</v>
      </c>
      <c r="U176" s="362">
        <v>9857775</v>
      </c>
      <c r="V176" s="362">
        <v>9810216</v>
      </c>
      <c r="W176" s="362">
        <v>9763774.0000000019</v>
      </c>
      <c r="X176" s="362">
        <v>9720740</v>
      </c>
      <c r="Y176" s="362">
        <v>9681422.9999999981</v>
      </c>
      <c r="Z176" s="362">
        <v>9646296</v>
      </c>
      <c r="AA176" s="362">
        <v>9615529</v>
      </c>
      <c r="AB176" s="362">
        <v>9589039.0000000019</v>
      </c>
      <c r="AC176" s="362">
        <v>9566037.9999999981</v>
      </c>
      <c r="AD176" s="362">
        <v>9545249</v>
      </c>
      <c r="AE176" s="362">
        <v>9524934.0000000019</v>
      </c>
      <c r="AF176" s="362">
        <v>9503733</v>
      </c>
      <c r="AG176" s="362">
        <v>9481226.9999999981</v>
      </c>
      <c r="AH176" s="362">
        <v>9457191</v>
      </c>
      <c r="AI176" s="362">
        <v>9430563</v>
      </c>
      <c r="AJ176" s="362">
        <v>9400222</v>
      </c>
      <c r="AK176" s="362">
        <v>9365437</v>
      </c>
      <c r="AL176" s="363">
        <v>9325603</v>
      </c>
      <c r="AM176" s="362">
        <v>9280966</v>
      </c>
      <c r="AN176" s="362">
        <v>9232760</v>
      </c>
      <c r="AO176" s="362">
        <v>9182792.0000000019</v>
      </c>
      <c r="AP176" s="362">
        <v>9132404</v>
      </c>
      <c r="AQ176" s="362">
        <v>9081998.0000000019</v>
      </c>
      <c r="AR176" s="362">
        <v>9031293</v>
      </c>
      <c r="AS176" s="362">
        <v>8980084</v>
      </c>
      <c r="AT176" s="362">
        <v>8927913</v>
      </c>
      <c r="AU176" s="362">
        <v>8874490</v>
      </c>
      <c r="AV176" s="362" t="s">
        <v>395</v>
      </c>
      <c r="AW176" s="362">
        <v>-3.7004445214166015E-3</v>
      </c>
      <c r="AX176" s="362">
        <v>-4.2532985914057742E-3</v>
      </c>
    </row>
    <row r="177" spans="1:50" x14ac:dyDescent="0.25">
      <c r="A177" s="361" t="s">
        <v>397</v>
      </c>
      <c r="B177" s="361">
        <v>690</v>
      </c>
      <c r="C177" s="361" t="s">
        <v>396</v>
      </c>
      <c r="D177" s="361">
        <v>179</v>
      </c>
      <c r="E177" s="361">
        <v>9</v>
      </c>
      <c r="F177" s="361" t="s">
        <v>2374</v>
      </c>
      <c r="G177" s="362">
        <v>70570</v>
      </c>
      <c r="H177" s="362">
        <v>71436.000000000015</v>
      </c>
      <c r="I177" s="362">
        <v>72655</v>
      </c>
      <c r="J177" s="362">
        <v>74064.999999999985</v>
      </c>
      <c r="K177" s="362">
        <v>75440</v>
      </c>
      <c r="L177" s="362">
        <v>76649</v>
      </c>
      <c r="M177" s="362">
        <v>77594</v>
      </c>
      <c r="N177" s="362">
        <v>78355.000000000015</v>
      </c>
      <c r="O177" s="362">
        <v>79064</v>
      </c>
      <c r="P177" s="362">
        <v>79897.000000000015</v>
      </c>
      <c r="Q177" s="362">
        <v>80996</v>
      </c>
      <c r="R177" s="362">
        <v>82414</v>
      </c>
      <c r="S177" s="362">
        <v>84077</v>
      </c>
      <c r="T177" s="362">
        <v>85810</v>
      </c>
      <c r="U177" s="362">
        <v>87393</v>
      </c>
      <c r="V177" s="362">
        <v>88647.999999999985</v>
      </c>
      <c r="W177" s="362">
        <v>89526</v>
      </c>
      <c r="X177" s="362">
        <v>90087.999999999985</v>
      </c>
      <c r="Y177" s="362">
        <v>90449</v>
      </c>
      <c r="Z177" s="362">
        <v>90802.000000000015</v>
      </c>
      <c r="AA177" s="362">
        <v>91264</v>
      </c>
      <c r="AB177" s="362">
        <v>91882.999999999985</v>
      </c>
      <c r="AC177" s="362">
        <v>92602.999999999985</v>
      </c>
      <c r="AD177" s="362">
        <v>93394.999999999985</v>
      </c>
      <c r="AE177" s="362">
        <v>94215</v>
      </c>
      <c r="AF177" s="362">
        <v>94978</v>
      </c>
      <c r="AG177" s="362">
        <v>95709.999999999985</v>
      </c>
      <c r="AH177" s="362">
        <v>96418</v>
      </c>
      <c r="AI177" s="362">
        <v>97096</v>
      </c>
      <c r="AJ177" s="362">
        <v>97739</v>
      </c>
      <c r="AK177" s="362">
        <v>98346.999999999985</v>
      </c>
      <c r="AL177" s="363">
        <v>98908</v>
      </c>
      <c r="AM177" s="362">
        <v>99426</v>
      </c>
      <c r="AN177" s="362">
        <v>99912</v>
      </c>
      <c r="AO177" s="362">
        <v>100361</v>
      </c>
      <c r="AP177" s="362">
        <v>100781</v>
      </c>
      <c r="AQ177" s="362">
        <v>101176</v>
      </c>
      <c r="AR177" s="362">
        <v>101551</v>
      </c>
      <c r="AS177" s="362">
        <v>101894</v>
      </c>
      <c r="AT177" s="362">
        <v>102213</v>
      </c>
      <c r="AU177" s="362">
        <v>102534</v>
      </c>
      <c r="AV177" s="362" t="s">
        <v>397</v>
      </c>
      <c r="AW177" s="362">
        <v>6.2206488709726226E-3</v>
      </c>
      <c r="AX177" s="362">
        <v>5.7042919458651919E-3</v>
      </c>
    </row>
    <row r="178" spans="1:50" x14ac:dyDescent="0.25">
      <c r="A178" s="361" t="s">
        <v>399</v>
      </c>
      <c r="B178" s="361">
        <v>694</v>
      </c>
      <c r="C178" s="361" t="s">
        <v>398</v>
      </c>
      <c r="D178" s="361">
        <v>180</v>
      </c>
      <c r="E178" s="361">
        <v>8</v>
      </c>
      <c r="F178" s="361" t="s">
        <v>2374</v>
      </c>
      <c r="G178" s="362">
        <v>4319762</v>
      </c>
      <c r="H178" s="362">
        <v>4348660</v>
      </c>
      <c r="I178" s="362">
        <v>4347724</v>
      </c>
      <c r="J178" s="362">
        <v>4328957</v>
      </c>
      <c r="K178" s="362">
        <v>4309774.9999999991</v>
      </c>
      <c r="L178" s="362">
        <v>4303957.0000000009</v>
      </c>
      <c r="M178" s="362">
        <v>4312666</v>
      </c>
      <c r="N178" s="362">
        <v>4335301</v>
      </c>
      <c r="O178" s="362">
        <v>4381483</v>
      </c>
      <c r="P178" s="362">
        <v>4462377.9999999991</v>
      </c>
      <c r="Q178" s="362">
        <v>4584570.9999999991</v>
      </c>
      <c r="R178" s="362">
        <v>4754072</v>
      </c>
      <c r="S178" s="362">
        <v>4965765.9999999991</v>
      </c>
      <c r="T178" s="362">
        <v>5201070</v>
      </c>
      <c r="U178" s="362">
        <v>5433991</v>
      </c>
      <c r="V178" s="362">
        <v>5645624</v>
      </c>
      <c r="W178" s="362">
        <v>5829237</v>
      </c>
      <c r="X178" s="362">
        <v>5989633</v>
      </c>
      <c r="Y178" s="362">
        <v>6133603</v>
      </c>
      <c r="Z178" s="362">
        <v>6272734.0000000009</v>
      </c>
      <c r="AA178" s="362">
        <v>6415634</v>
      </c>
      <c r="AB178" s="362">
        <v>6563239.9999999991</v>
      </c>
      <c r="AC178" s="362">
        <v>6712584</v>
      </c>
      <c r="AD178" s="362">
        <v>6863981</v>
      </c>
      <c r="AE178" s="362">
        <v>7017148</v>
      </c>
      <c r="AF178" s="362">
        <v>7171914</v>
      </c>
      <c r="AG178" s="362">
        <v>7328834</v>
      </c>
      <c r="AH178" s="362">
        <v>7488423</v>
      </c>
      <c r="AI178" s="362">
        <v>7650150</v>
      </c>
      <c r="AJ178" s="362">
        <v>7813215</v>
      </c>
      <c r="AK178" s="362">
        <v>7976983.0000000009</v>
      </c>
      <c r="AL178" s="363">
        <v>8141343</v>
      </c>
      <c r="AM178" s="362">
        <v>8306436</v>
      </c>
      <c r="AN178" s="362">
        <v>8472215</v>
      </c>
      <c r="AO178" s="362">
        <v>8638684</v>
      </c>
      <c r="AP178" s="362">
        <v>8805821</v>
      </c>
      <c r="AQ178" s="362">
        <v>8973533</v>
      </c>
      <c r="AR178" s="362">
        <v>9141703</v>
      </c>
      <c r="AS178" s="362">
        <v>9310305</v>
      </c>
      <c r="AT178" s="362">
        <v>9479314</v>
      </c>
      <c r="AU178" s="362">
        <v>9648691</v>
      </c>
      <c r="AV178" s="362" t="s">
        <v>399</v>
      </c>
      <c r="AW178" s="362">
        <v>2.0960385705500295E-2</v>
      </c>
      <c r="AX178" s="362">
        <v>2.0604281092237331E-2</v>
      </c>
    </row>
    <row r="179" spans="1:50" x14ac:dyDescent="0.25">
      <c r="A179" s="361" t="s">
        <v>401</v>
      </c>
      <c r="B179" s="361">
        <v>702</v>
      </c>
      <c r="C179" s="361" t="s">
        <v>400</v>
      </c>
      <c r="D179" s="361">
        <v>181</v>
      </c>
      <c r="E179" s="361">
        <v>21</v>
      </c>
      <c r="F179" s="361" t="s">
        <v>2374</v>
      </c>
      <c r="G179" s="362">
        <v>3041778</v>
      </c>
      <c r="H179" s="362">
        <v>3130994.0000000005</v>
      </c>
      <c r="I179" s="362">
        <v>3230098.9999999995</v>
      </c>
      <c r="J179" s="362">
        <v>3336569</v>
      </c>
      <c r="K179" s="362">
        <v>3446653</v>
      </c>
      <c r="L179" s="362">
        <v>3557128.9999999995</v>
      </c>
      <c r="M179" s="362">
        <v>3669623</v>
      </c>
      <c r="N179" s="362">
        <v>3783868.9999999995</v>
      </c>
      <c r="O179" s="362">
        <v>3892755</v>
      </c>
      <c r="P179" s="362">
        <v>3987067</v>
      </c>
      <c r="Q179" s="362">
        <v>4061435.0000000005</v>
      </c>
      <c r="R179" s="362">
        <v>4109935.9999999995</v>
      </c>
      <c r="S179" s="362">
        <v>4137412.9999999995</v>
      </c>
      <c r="T179" s="362">
        <v>4162416.0000000005</v>
      </c>
      <c r="U179" s="362">
        <v>4210554</v>
      </c>
      <c r="V179" s="362">
        <v>4299121</v>
      </c>
      <c r="W179" s="362">
        <v>4435774</v>
      </c>
      <c r="X179" s="362">
        <v>4612033</v>
      </c>
      <c r="Y179" s="362">
        <v>4809228</v>
      </c>
      <c r="Z179" s="362">
        <v>5000260.9999999991</v>
      </c>
      <c r="AA179" s="362">
        <v>5165340</v>
      </c>
      <c r="AB179" s="362">
        <v>5298694</v>
      </c>
      <c r="AC179" s="362">
        <v>5405716.9999999991</v>
      </c>
      <c r="AD179" s="362">
        <v>5491320</v>
      </c>
      <c r="AE179" s="362">
        <v>5564502</v>
      </c>
      <c r="AF179" s="362">
        <v>5632120</v>
      </c>
      <c r="AG179" s="362">
        <v>5694442</v>
      </c>
      <c r="AH179" s="362">
        <v>5749485.0000000009</v>
      </c>
      <c r="AI179" s="362">
        <v>5799439</v>
      </c>
      <c r="AJ179" s="362">
        <v>5846725</v>
      </c>
      <c r="AK179" s="362">
        <v>5893218</v>
      </c>
      <c r="AL179" s="363">
        <v>5896686</v>
      </c>
      <c r="AM179" s="362">
        <v>5943546</v>
      </c>
      <c r="AN179" s="362">
        <v>5990291</v>
      </c>
      <c r="AO179" s="362">
        <v>6035674</v>
      </c>
      <c r="AP179" s="362">
        <v>6078764</v>
      </c>
      <c r="AQ179" s="362">
        <v>6119592</v>
      </c>
      <c r="AR179" s="362">
        <v>6158536</v>
      </c>
      <c r="AS179" s="362">
        <v>6195445</v>
      </c>
      <c r="AT179" s="362">
        <v>6230139</v>
      </c>
      <c r="AU179" s="362">
        <v>6262466</v>
      </c>
      <c r="AV179" s="362" t="s">
        <v>401</v>
      </c>
      <c r="AW179" s="362">
        <v>7.951973113152988E-3</v>
      </c>
      <c r="AX179" s="362">
        <v>5.8847305495901558E-4</v>
      </c>
    </row>
    <row r="180" spans="1:50" x14ac:dyDescent="0.25">
      <c r="A180" s="361" t="s">
        <v>403</v>
      </c>
      <c r="B180" s="361">
        <v>703</v>
      </c>
      <c r="C180" s="361" t="s">
        <v>402</v>
      </c>
      <c r="D180" s="361">
        <v>182</v>
      </c>
      <c r="E180" s="361">
        <v>12</v>
      </c>
      <c r="F180" s="361" t="s">
        <v>2374</v>
      </c>
      <c r="G180" s="362">
        <v>5288454</v>
      </c>
      <c r="H180" s="362">
        <v>5309234.9999999991</v>
      </c>
      <c r="I180" s="362">
        <v>5329033.0000000009</v>
      </c>
      <c r="J180" s="362">
        <v>5347214</v>
      </c>
      <c r="K180" s="362">
        <v>5362896</v>
      </c>
      <c r="L180" s="362">
        <v>5375470</v>
      </c>
      <c r="M180" s="362">
        <v>5384787.9999999991</v>
      </c>
      <c r="N180" s="362">
        <v>5391204</v>
      </c>
      <c r="O180" s="362">
        <v>5395254</v>
      </c>
      <c r="P180" s="362">
        <v>5397708</v>
      </c>
      <c r="Q180" s="362">
        <v>5399211</v>
      </c>
      <c r="R180" s="362">
        <v>5399992</v>
      </c>
      <c r="S180" s="362">
        <v>5400122.0000000009</v>
      </c>
      <c r="T180" s="362">
        <v>5399834</v>
      </c>
      <c r="U180" s="362">
        <v>5399380</v>
      </c>
      <c r="V180" s="362">
        <v>5398963</v>
      </c>
      <c r="W180" s="362">
        <v>5398673</v>
      </c>
      <c r="X180" s="362">
        <v>5398692</v>
      </c>
      <c r="Y180" s="362">
        <v>5399371</v>
      </c>
      <c r="Z180" s="362">
        <v>5401153</v>
      </c>
      <c r="AA180" s="362">
        <v>5404294</v>
      </c>
      <c r="AB180" s="362">
        <v>5408937</v>
      </c>
      <c r="AC180" s="362">
        <v>5414889.0000000009</v>
      </c>
      <c r="AD180" s="362">
        <v>5421725</v>
      </c>
      <c r="AE180" s="362">
        <v>5428803</v>
      </c>
      <c r="AF180" s="362">
        <v>5435611</v>
      </c>
      <c r="AG180" s="362">
        <v>5442003</v>
      </c>
      <c r="AH180" s="362">
        <v>5447900</v>
      </c>
      <c r="AI180" s="362">
        <v>5453014.0000000009</v>
      </c>
      <c r="AJ180" s="362">
        <v>5457013</v>
      </c>
      <c r="AK180" s="362">
        <v>5459642</v>
      </c>
      <c r="AL180" s="363">
        <v>5460721</v>
      </c>
      <c r="AM180" s="362">
        <v>5460193</v>
      </c>
      <c r="AN180" s="362">
        <v>5458093</v>
      </c>
      <c r="AO180" s="362">
        <v>5454536</v>
      </c>
      <c r="AP180" s="362">
        <v>5449599</v>
      </c>
      <c r="AQ180" s="362">
        <v>5443290</v>
      </c>
      <c r="AR180" s="362">
        <v>5435536</v>
      </c>
      <c r="AS180" s="362">
        <v>5426321</v>
      </c>
      <c r="AT180" s="362">
        <v>5415616</v>
      </c>
      <c r="AU180" s="362">
        <v>5403400</v>
      </c>
      <c r="AV180" s="362" t="s">
        <v>403</v>
      </c>
      <c r="AW180" s="362">
        <v>4.8176539070010627E-4</v>
      </c>
      <c r="AX180" s="362">
        <v>1.9763200590805496E-4</v>
      </c>
    </row>
    <row r="181" spans="1:50" x14ac:dyDescent="0.25">
      <c r="A181" s="361" t="s">
        <v>405</v>
      </c>
      <c r="B181" s="361">
        <v>705</v>
      </c>
      <c r="C181" s="361" t="s">
        <v>404</v>
      </c>
      <c r="D181" s="361">
        <v>184</v>
      </c>
      <c r="E181" s="361">
        <v>12</v>
      </c>
      <c r="F181" s="361" t="s">
        <v>2374</v>
      </c>
      <c r="G181" s="362">
        <v>2006405</v>
      </c>
      <c r="H181" s="362">
        <v>2007769.9999999998</v>
      </c>
      <c r="I181" s="362">
        <v>2005354</v>
      </c>
      <c r="J181" s="362">
        <v>2000556</v>
      </c>
      <c r="K181" s="362">
        <v>1995335</v>
      </c>
      <c r="L181" s="362">
        <v>1991131</v>
      </c>
      <c r="M181" s="362">
        <v>1988565.0000000002</v>
      </c>
      <c r="N181" s="362">
        <v>1987455</v>
      </c>
      <c r="O181" s="362">
        <v>1987385</v>
      </c>
      <c r="P181" s="362">
        <v>1987632</v>
      </c>
      <c r="Q181" s="362">
        <v>1987717.0000000002</v>
      </c>
      <c r="R181" s="362">
        <v>1987461</v>
      </c>
      <c r="S181" s="362">
        <v>1987267.0000000002</v>
      </c>
      <c r="T181" s="362">
        <v>1987862</v>
      </c>
      <c r="U181" s="362">
        <v>1990222</v>
      </c>
      <c r="V181" s="362">
        <v>1994976</v>
      </c>
      <c r="W181" s="362">
        <v>2002430</v>
      </c>
      <c r="X181" s="362">
        <v>2012118</v>
      </c>
      <c r="Y181" s="362">
        <v>2023051.9999999998</v>
      </c>
      <c r="Z181" s="362">
        <v>2033804</v>
      </c>
      <c r="AA181" s="362">
        <v>2043337.0000000002</v>
      </c>
      <c r="AB181" s="362">
        <v>2051286.9999999998</v>
      </c>
      <c r="AC181" s="362">
        <v>2057823</v>
      </c>
      <c r="AD181" s="362">
        <v>2063110</v>
      </c>
      <c r="AE181" s="362">
        <v>2067488</v>
      </c>
      <c r="AF181" s="362">
        <v>2071199</v>
      </c>
      <c r="AG181" s="362">
        <v>2074210</v>
      </c>
      <c r="AH181" s="362">
        <v>2076393.9999999995</v>
      </c>
      <c r="AI181" s="362">
        <v>2077837.0000000002</v>
      </c>
      <c r="AJ181" s="362">
        <v>2078653.9999999998</v>
      </c>
      <c r="AK181" s="362">
        <v>2078938</v>
      </c>
      <c r="AL181" s="363">
        <v>2078724.0000000002</v>
      </c>
      <c r="AM181" s="362">
        <v>2078034</v>
      </c>
      <c r="AN181" s="362">
        <v>2076870</v>
      </c>
      <c r="AO181" s="362">
        <v>2075210.9999999998</v>
      </c>
      <c r="AP181" s="362">
        <v>2073062</v>
      </c>
      <c r="AQ181" s="362">
        <v>2070451</v>
      </c>
      <c r="AR181" s="362">
        <v>2067400.9999999998</v>
      </c>
      <c r="AS181" s="362">
        <v>2063973</v>
      </c>
      <c r="AT181" s="362">
        <v>2060215.0000000002</v>
      </c>
      <c r="AU181" s="362">
        <v>2056193.0000000002</v>
      </c>
      <c r="AV181" s="362" t="s">
        <v>405</v>
      </c>
      <c r="AW181" s="362">
        <v>1.3662687489124359E-4</v>
      </c>
      <c r="AX181" s="362">
        <v>-1.0293717272946701E-4</v>
      </c>
    </row>
    <row r="182" spans="1:50" x14ac:dyDescent="0.25">
      <c r="A182" s="361" t="s">
        <v>407</v>
      </c>
      <c r="B182" s="361">
        <v>90</v>
      </c>
      <c r="C182" s="361" t="s">
        <v>406</v>
      </c>
      <c r="D182" s="361">
        <v>24</v>
      </c>
      <c r="E182" s="361">
        <v>24</v>
      </c>
      <c r="F182" s="361" t="s">
        <v>2374</v>
      </c>
      <c r="G182" s="362">
        <v>311866</v>
      </c>
      <c r="H182" s="362">
        <v>320779.99999999994</v>
      </c>
      <c r="I182" s="362">
        <v>329995</v>
      </c>
      <c r="J182" s="362">
        <v>339504</v>
      </c>
      <c r="K182" s="362">
        <v>349281</v>
      </c>
      <c r="L182" s="362">
        <v>359281</v>
      </c>
      <c r="M182" s="362">
        <v>369523.00000000006</v>
      </c>
      <c r="N182" s="362">
        <v>379999.00000000006</v>
      </c>
      <c r="O182" s="362">
        <v>390692.99999999994</v>
      </c>
      <c r="P182" s="362">
        <v>401586</v>
      </c>
      <c r="Q182" s="362">
        <v>412660</v>
      </c>
      <c r="R182" s="362">
        <v>423944.00000000006</v>
      </c>
      <c r="S182" s="362">
        <v>435432.00000000006</v>
      </c>
      <c r="T182" s="362">
        <v>447017</v>
      </c>
      <c r="U182" s="362">
        <v>458539</v>
      </c>
      <c r="V182" s="362">
        <v>469918</v>
      </c>
      <c r="W182" s="362">
        <v>481077.99999999994</v>
      </c>
      <c r="X182" s="362">
        <v>492132</v>
      </c>
      <c r="Y182" s="362">
        <v>503360.00000000006</v>
      </c>
      <c r="Z182" s="362">
        <v>515181</v>
      </c>
      <c r="AA182" s="362">
        <v>527861</v>
      </c>
      <c r="AB182" s="362">
        <v>541520.99999999988</v>
      </c>
      <c r="AC182" s="362">
        <v>556063</v>
      </c>
      <c r="AD182" s="362">
        <v>571336.00000000012</v>
      </c>
      <c r="AE182" s="362">
        <v>587078.99999999988</v>
      </c>
      <c r="AF182" s="362">
        <v>603118</v>
      </c>
      <c r="AG182" s="362">
        <v>619437.99999999988</v>
      </c>
      <c r="AH182" s="362">
        <v>636039</v>
      </c>
      <c r="AI182" s="362">
        <v>652857</v>
      </c>
      <c r="AJ182" s="362">
        <v>669823</v>
      </c>
      <c r="AK182" s="362">
        <v>686884</v>
      </c>
      <c r="AL182" s="363">
        <v>703996</v>
      </c>
      <c r="AM182" s="362">
        <v>721159</v>
      </c>
      <c r="AN182" s="362">
        <v>738422</v>
      </c>
      <c r="AO182" s="362">
        <v>755819</v>
      </c>
      <c r="AP182" s="362">
        <v>773420</v>
      </c>
      <c r="AQ182" s="362">
        <v>791212</v>
      </c>
      <c r="AR182" s="362">
        <v>809195</v>
      </c>
      <c r="AS182" s="362">
        <v>827412</v>
      </c>
      <c r="AT182" s="362">
        <v>845867</v>
      </c>
      <c r="AU182" s="362">
        <v>864605</v>
      </c>
      <c r="AV182" s="362" t="s">
        <v>407</v>
      </c>
      <c r="AW182" s="362">
        <v>2.5470907986139713E-2</v>
      </c>
      <c r="AX182" s="362">
        <v>2.4912503421247179E-2</v>
      </c>
    </row>
    <row r="183" spans="1:50" x14ac:dyDescent="0.25">
      <c r="A183" s="361" t="s">
        <v>409</v>
      </c>
      <c r="B183" s="361">
        <v>706</v>
      </c>
      <c r="C183" s="361" t="s">
        <v>408</v>
      </c>
      <c r="D183" s="361">
        <v>185</v>
      </c>
      <c r="E183" s="361">
        <v>9</v>
      </c>
      <c r="F183" s="361" t="s">
        <v>2374</v>
      </c>
      <c r="G183" s="362">
        <v>7225092</v>
      </c>
      <c r="H183" s="362">
        <v>7274030</v>
      </c>
      <c r="I183" s="362">
        <v>7295384</v>
      </c>
      <c r="J183" s="362">
        <v>7315865</v>
      </c>
      <c r="K183" s="362">
        <v>7372598</v>
      </c>
      <c r="L183" s="362">
        <v>7491637</v>
      </c>
      <c r="M183" s="362">
        <v>7682685.9999999991</v>
      </c>
      <c r="N183" s="362">
        <v>7936127.0000000009</v>
      </c>
      <c r="O183" s="362">
        <v>8235063.9999999991</v>
      </c>
      <c r="P183" s="362">
        <v>8553601</v>
      </c>
      <c r="Q183" s="362">
        <v>8872254.0000000019</v>
      </c>
      <c r="R183" s="362">
        <v>9186725</v>
      </c>
      <c r="S183" s="362">
        <v>9501342.0000000019</v>
      </c>
      <c r="T183" s="362">
        <v>9815412</v>
      </c>
      <c r="U183" s="362">
        <v>10130243</v>
      </c>
      <c r="V183" s="362">
        <v>10446862.999999998</v>
      </c>
      <c r="W183" s="362">
        <v>10763905.000000002</v>
      </c>
      <c r="X183" s="362">
        <v>11080120.999999998</v>
      </c>
      <c r="Y183" s="362">
        <v>11397188</v>
      </c>
      <c r="Z183" s="362">
        <v>11717692</v>
      </c>
      <c r="AA183" s="362">
        <v>12043883</v>
      </c>
      <c r="AB183" s="362">
        <v>12376301</v>
      </c>
      <c r="AC183" s="362">
        <v>12715503</v>
      </c>
      <c r="AD183" s="362">
        <v>13063700.999999998</v>
      </c>
      <c r="AE183" s="362">
        <v>13423568</v>
      </c>
      <c r="AF183" s="362">
        <v>13797201</v>
      </c>
      <c r="AG183" s="362">
        <v>14185636</v>
      </c>
      <c r="AH183" s="362">
        <v>14589179</v>
      </c>
      <c r="AI183" s="362">
        <v>15008226</v>
      </c>
      <c r="AJ183" s="362">
        <v>15442905.000000002</v>
      </c>
      <c r="AK183" s="362">
        <v>15893222</v>
      </c>
      <c r="AL183" s="363">
        <v>16359504</v>
      </c>
      <c r="AM183" s="362">
        <v>16841795</v>
      </c>
      <c r="AN183" s="362">
        <v>17339396</v>
      </c>
      <c r="AO183" s="362">
        <v>17851263</v>
      </c>
      <c r="AP183" s="362">
        <v>18376514</v>
      </c>
      <c r="AQ183" s="362">
        <v>18914827</v>
      </c>
      <c r="AR183" s="362">
        <v>19465987</v>
      </c>
      <c r="AS183" s="362">
        <v>20029453</v>
      </c>
      <c r="AT183" s="362">
        <v>20604650</v>
      </c>
      <c r="AU183" s="362">
        <v>21191037</v>
      </c>
      <c r="AV183" s="362" t="s">
        <v>409</v>
      </c>
      <c r="AW183" s="362">
        <v>2.9160122399250588E-2</v>
      </c>
      <c r="AX183" s="362">
        <v>2.9338418603855221E-2</v>
      </c>
    </row>
    <row r="184" spans="1:50" x14ac:dyDescent="0.25">
      <c r="A184" s="369" t="s">
        <v>411</v>
      </c>
      <c r="B184" s="361">
        <v>710</v>
      </c>
      <c r="C184" s="361" t="s">
        <v>410</v>
      </c>
      <c r="D184" s="361">
        <v>186</v>
      </c>
      <c r="E184" s="361">
        <v>10</v>
      </c>
      <c r="F184" s="361" t="s">
        <v>2374</v>
      </c>
      <c r="G184" s="362">
        <v>36800509</v>
      </c>
      <c r="H184" s="362">
        <v>37718950</v>
      </c>
      <c r="I184" s="362">
        <v>38672607.000000007</v>
      </c>
      <c r="J184" s="362">
        <v>39633750</v>
      </c>
      <c r="K184" s="362">
        <v>40564059</v>
      </c>
      <c r="L184" s="362">
        <v>41435758</v>
      </c>
      <c r="M184" s="362">
        <v>42241011</v>
      </c>
      <c r="N184" s="362">
        <v>42987461</v>
      </c>
      <c r="O184" s="362">
        <v>43682260</v>
      </c>
      <c r="P184" s="362">
        <v>44338543</v>
      </c>
      <c r="Q184" s="362">
        <v>44967708</v>
      </c>
      <c r="R184" s="362">
        <v>45571273.999999993</v>
      </c>
      <c r="S184" s="362">
        <v>46150913</v>
      </c>
      <c r="T184" s="362">
        <v>46719196</v>
      </c>
      <c r="U184" s="362">
        <v>47291610</v>
      </c>
      <c r="V184" s="362">
        <v>47880601.000000007</v>
      </c>
      <c r="W184" s="362">
        <v>48489459</v>
      </c>
      <c r="X184" s="362">
        <v>49119758.999999993</v>
      </c>
      <c r="Y184" s="362">
        <v>49779471</v>
      </c>
      <c r="Z184" s="362">
        <v>50477011</v>
      </c>
      <c r="AA184" s="362">
        <v>51216964</v>
      </c>
      <c r="AB184" s="362">
        <v>52003755</v>
      </c>
      <c r="AC184" s="362">
        <v>52832658</v>
      </c>
      <c r="AD184" s="362">
        <v>53687121</v>
      </c>
      <c r="AE184" s="362">
        <v>54544186</v>
      </c>
      <c r="AF184" s="362">
        <v>55386367</v>
      </c>
      <c r="AG184" s="362">
        <v>56207646.000000007</v>
      </c>
      <c r="AH184" s="362">
        <v>57009756</v>
      </c>
      <c r="AI184" s="362">
        <v>57792517.999999993</v>
      </c>
      <c r="AJ184" s="362">
        <v>58558270</v>
      </c>
      <c r="AK184" s="362">
        <v>59308690.000000007</v>
      </c>
      <c r="AL184" s="363">
        <v>60041994</v>
      </c>
      <c r="AM184" s="362">
        <v>60756135</v>
      </c>
      <c r="AN184" s="362">
        <v>61452691</v>
      </c>
      <c r="AO184" s="362">
        <v>62134220</v>
      </c>
      <c r="AP184" s="362">
        <v>62802683</v>
      </c>
      <c r="AQ184" s="362">
        <v>63458384</v>
      </c>
      <c r="AR184" s="362">
        <v>64101018</v>
      </c>
      <c r="AS184" s="362">
        <v>64731152</v>
      </c>
      <c r="AT184" s="362">
        <v>65349369</v>
      </c>
      <c r="AU184" s="362">
        <v>65956081.000000007</v>
      </c>
      <c r="AV184" s="362" t="s">
        <v>411</v>
      </c>
      <c r="AW184" s="362">
        <v>1.2814927763405759E-2</v>
      </c>
      <c r="AX184" s="362">
        <v>1.2364191486947229E-2</v>
      </c>
    </row>
    <row r="185" spans="1:50" x14ac:dyDescent="0.25">
      <c r="A185" s="361" t="s">
        <v>413</v>
      </c>
      <c r="B185" s="361">
        <v>724</v>
      </c>
      <c r="C185" s="361" t="s">
        <v>412</v>
      </c>
      <c r="D185" s="361">
        <v>188</v>
      </c>
      <c r="E185" s="361">
        <v>11</v>
      </c>
      <c r="F185" s="361" t="s">
        <v>2374</v>
      </c>
      <c r="G185" s="362">
        <v>39202525</v>
      </c>
      <c r="H185" s="362">
        <v>39299081</v>
      </c>
      <c r="I185" s="362">
        <v>39410857.000000007</v>
      </c>
      <c r="J185" s="362">
        <v>39533725</v>
      </c>
      <c r="K185" s="362">
        <v>39660069</v>
      </c>
      <c r="L185" s="362">
        <v>39787419</v>
      </c>
      <c r="M185" s="362">
        <v>39908959</v>
      </c>
      <c r="N185" s="362">
        <v>40035292.999999993</v>
      </c>
      <c r="O185" s="362">
        <v>40201560</v>
      </c>
      <c r="P185" s="362">
        <v>40454470</v>
      </c>
      <c r="Q185" s="362">
        <v>40824754</v>
      </c>
      <c r="R185" s="362">
        <v>41319427.000000007</v>
      </c>
      <c r="S185" s="362">
        <v>41919585</v>
      </c>
      <c r="T185" s="362">
        <v>42596453.000000007</v>
      </c>
      <c r="U185" s="362">
        <v>43308345</v>
      </c>
      <c r="V185" s="362">
        <v>44019123</v>
      </c>
      <c r="W185" s="362">
        <v>44728565</v>
      </c>
      <c r="X185" s="362">
        <v>45429076</v>
      </c>
      <c r="Y185" s="362">
        <v>46068811.000000007</v>
      </c>
      <c r="Z185" s="362">
        <v>46583565</v>
      </c>
      <c r="AA185" s="362">
        <v>46931015</v>
      </c>
      <c r="AB185" s="362">
        <v>47084240</v>
      </c>
      <c r="AC185" s="362">
        <v>47063060</v>
      </c>
      <c r="AD185" s="362">
        <v>46930555</v>
      </c>
      <c r="AE185" s="362">
        <v>46777925</v>
      </c>
      <c r="AF185" s="362">
        <v>46671926</v>
      </c>
      <c r="AG185" s="362">
        <v>46634140</v>
      </c>
      <c r="AH185" s="362">
        <v>46647428</v>
      </c>
      <c r="AI185" s="362">
        <v>46692858</v>
      </c>
      <c r="AJ185" s="362">
        <v>46736776</v>
      </c>
      <c r="AK185" s="362">
        <v>46754778</v>
      </c>
      <c r="AL185" s="363">
        <v>46745216</v>
      </c>
      <c r="AM185" s="362">
        <v>46719142</v>
      </c>
      <c r="AN185" s="362">
        <v>46679287</v>
      </c>
      <c r="AO185" s="362">
        <v>46630675</v>
      </c>
      <c r="AP185" s="362">
        <v>46577094</v>
      </c>
      <c r="AQ185" s="362">
        <v>46518646</v>
      </c>
      <c r="AR185" s="362">
        <v>46453975</v>
      </c>
      <c r="AS185" s="362">
        <v>46383828</v>
      </c>
      <c r="AT185" s="362">
        <v>46309024</v>
      </c>
      <c r="AU185" s="362">
        <v>46230140</v>
      </c>
      <c r="AV185" s="362" t="s">
        <v>413</v>
      </c>
      <c r="AW185" s="362">
        <v>3.8517847273000783E-4</v>
      </c>
      <c r="AX185" s="362">
        <v>-2.0451385738584626E-4</v>
      </c>
    </row>
    <row r="186" spans="1:50" x14ac:dyDescent="0.25">
      <c r="A186" s="361" t="s">
        <v>415</v>
      </c>
      <c r="B186" s="361">
        <v>144</v>
      </c>
      <c r="C186" s="361" t="s">
        <v>414</v>
      </c>
      <c r="D186" s="361">
        <v>37</v>
      </c>
      <c r="E186" s="361">
        <v>25</v>
      </c>
      <c r="F186" s="361" t="s">
        <v>2374</v>
      </c>
      <c r="G186" s="362">
        <v>17325773</v>
      </c>
      <c r="H186" s="362">
        <v>17535729</v>
      </c>
      <c r="I186" s="362">
        <v>17736821</v>
      </c>
      <c r="J186" s="362">
        <v>17924823</v>
      </c>
      <c r="K186" s="362">
        <v>18094476.999999996</v>
      </c>
      <c r="L186" s="362">
        <v>18242912</v>
      </c>
      <c r="M186" s="362">
        <v>18367288.000000004</v>
      </c>
      <c r="N186" s="362">
        <v>18470900</v>
      </c>
      <c r="O186" s="362">
        <v>18564598.999999996</v>
      </c>
      <c r="P186" s="362">
        <v>18663284</v>
      </c>
      <c r="Q186" s="362">
        <v>18777600.999999996</v>
      </c>
      <c r="R186" s="362">
        <v>18911730</v>
      </c>
      <c r="S186" s="362">
        <v>19062482</v>
      </c>
      <c r="T186" s="362">
        <v>19224037</v>
      </c>
      <c r="U186" s="362">
        <v>19387152.999999996</v>
      </c>
      <c r="V186" s="362">
        <v>19544988</v>
      </c>
      <c r="W186" s="362">
        <v>19695972</v>
      </c>
      <c r="X186" s="362">
        <v>19842044</v>
      </c>
      <c r="Y186" s="362">
        <v>19983984</v>
      </c>
      <c r="Z186" s="362">
        <v>20123508</v>
      </c>
      <c r="AA186" s="362">
        <v>20261737</v>
      </c>
      <c r="AB186" s="362">
        <v>20398497</v>
      </c>
      <c r="AC186" s="362">
        <v>20532600</v>
      </c>
      <c r="AD186" s="362">
        <v>20663045.999999996</v>
      </c>
      <c r="AE186" s="362">
        <v>20788511</v>
      </c>
      <c r="AF186" s="362">
        <v>20908026.999999996</v>
      </c>
      <c r="AG186" s="362">
        <v>21021171</v>
      </c>
      <c r="AH186" s="362">
        <v>21128031.999999996</v>
      </c>
      <c r="AI186" s="362">
        <v>21228763</v>
      </c>
      <c r="AJ186" s="362">
        <v>21323733</v>
      </c>
      <c r="AK186" s="362">
        <v>21413249</v>
      </c>
      <c r="AL186" s="363">
        <v>21497310</v>
      </c>
      <c r="AM186" s="362">
        <v>21575842</v>
      </c>
      <c r="AN186" s="362">
        <v>21648976</v>
      </c>
      <c r="AO186" s="362">
        <v>21716870</v>
      </c>
      <c r="AP186" s="362">
        <v>21779681</v>
      </c>
      <c r="AQ186" s="362">
        <v>21837419</v>
      </c>
      <c r="AR186" s="362">
        <v>21890196</v>
      </c>
      <c r="AS186" s="362">
        <v>21938411</v>
      </c>
      <c r="AT186" s="362">
        <v>21982564</v>
      </c>
      <c r="AU186" s="362">
        <v>22023016</v>
      </c>
      <c r="AV186" s="362" t="s">
        <v>415</v>
      </c>
      <c r="AW186" s="362">
        <v>4.1979516438326314E-3</v>
      </c>
      <c r="AX186" s="362">
        <v>3.9256536922538388E-3</v>
      </c>
    </row>
    <row r="187" spans="1:50" x14ac:dyDescent="0.25">
      <c r="A187" s="361" t="s">
        <v>417</v>
      </c>
      <c r="B187" s="361">
        <v>654</v>
      </c>
      <c r="C187" s="361" t="s">
        <v>416</v>
      </c>
      <c r="D187" s="361">
        <v>169</v>
      </c>
      <c r="E187" s="361">
        <v>8</v>
      </c>
      <c r="F187" s="361" t="s">
        <v>2374</v>
      </c>
      <c r="G187" s="362">
        <v>6647</v>
      </c>
      <c r="H187" s="362">
        <v>6572</v>
      </c>
      <c r="I187" s="362">
        <v>6486</v>
      </c>
      <c r="J187" s="362">
        <v>6395</v>
      </c>
      <c r="K187" s="362">
        <v>6314</v>
      </c>
      <c r="L187" s="362">
        <v>6247</v>
      </c>
      <c r="M187" s="362">
        <v>6206.0000000000009</v>
      </c>
      <c r="N187" s="362">
        <v>6179.0000000000009</v>
      </c>
      <c r="O187" s="362">
        <v>6157</v>
      </c>
      <c r="P187" s="362">
        <v>6125</v>
      </c>
      <c r="Q187" s="362">
        <v>6049.0000000000009</v>
      </c>
      <c r="R187" s="362">
        <v>5939</v>
      </c>
      <c r="S187" s="362">
        <v>5801</v>
      </c>
      <c r="T187" s="362">
        <v>5644</v>
      </c>
      <c r="U187" s="362">
        <v>5490</v>
      </c>
      <c r="V187" s="362">
        <v>5364</v>
      </c>
      <c r="W187" s="362">
        <v>5263</v>
      </c>
      <c r="X187" s="362">
        <v>5186</v>
      </c>
      <c r="Y187" s="362">
        <v>5143</v>
      </c>
      <c r="Z187" s="362">
        <v>5142.0000000000009</v>
      </c>
      <c r="AA187" s="362">
        <v>5183</v>
      </c>
      <c r="AB187" s="362">
        <v>5280</v>
      </c>
      <c r="AC187" s="362">
        <v>5413.9999999999991</v>
      </c>
      <c r="AD187" s="362">
        <v>5584</v>
      </c>
      <c r="AE187" s="362">
        <v>5739</v>
      </c>
      <c r="AF187" s="362">
        <v>5865</v>
      </c>
      <c r="AG187" s="362">
        <v>5956</v>
      </c>
      <c r="AH187" s="362">
        <v>6008</v>
      </c>
      <c r="AI187" s="362">
        <v>6035</v>
      </c>
      <c r="AJ187" s="362">
        <v>6059</v>
      </c>
      <c r="AK187" s="362">
        <v>6077</v>
      </c>
      <c r="AL187" s="363">
        <v>6096</v>
      </c>
      <c r="AM187" s="362">
        <v>6115</v>
      </c>
      <c r="AN187" s="362">
        <v>6127</v>
      </c>
      <c r="AO187" s="362">
        <v>6142</v>
      </c>
      <c r="AP187" s="362">
        <v>6146</v>
      </c>
      <c r="AQ187" s="362">
        <v>6159</v>
      </c>
      <c r="AR187" s="362">
        <v>6164</v>
      </c>
      <c r="AS187" s="362">
        <v>6170</v>
      </c>
      <c r="AT187" s="362">
        <v>6175</v>
      </c>
      <c r="AU187" s="362">
        <v>6175</v>
      </c>
      <c r="AV187" s="362" t="s">
        <v>417</v>
      </c>
      <c r="AW187" s="362">
        <v>2.9707872586235418E-3</v>
      </c>
      <c r="AX187" s="362">
        <v>3.1265427019910863E-3</v>
      </c>
    </row>
    <row r="188" spans="1:50" x14ac:dyDescent="0.25">
      <c r="A188" s="361" t="s">
        <v>419</v>
      </c>
      <c r="B188" s="361">
        <v>659</v>
      </c>
      <c r="C188" s="361" t="s">
        <v>418</v>
      </c>
      <c r="D188" s="361">
        <v>170</v>
      </c>
      <c r="E188" s="361">
        <v>4</v>
      </c>
      <c r="F188" s="361" t="s">
        <v>2374</v>
      </c>
      <c r="G188" s="362">
        <v>40259</v>
      </c>
      <c r="H188" s="362">
        <v>40379</v>
      </c>
      <c r="I188" s="362">
        <v>40697.000000000007</v>
      </c>
      <c r="J188" s="362">
        <v>41135</v>
      </c>
      <c r="K188" s="362">
        <v>41616.999999999993</v>
      </c>
      <c r="L188" s="362">
        <v>42074</v>
      </c>
      <c r="M188" s="362">
        <v>42475</v>
      </c>
      <c r="N188" s="362">
        <v>42853.999999999993</v>
      </c>
      <c r="O188" s="362">
        <v>43220.999999999993</v>
      </c>
      <c r="P188" s="362">
        <v>43614</v>
      </c>
      <c r="Q188" s="362">
        <v>44073.999999999993</v>
      </c>
      <c r="R188" s="362">
        <v>44599</v>
      </c>
      <c r="S188" s="362">
        <v>45165</v>
      </c>
      <c r="T188" s="362">
        <v>45746</v>
      </c>
      <c r="U188" s="362">
        <v>46324</v>
      </c>
      <c r="V188" s="362">
        <v>46856.999999999993</v>
      </c>
      <c r="W188" s="362">
        <v>47339</v>
      </c>
      <c r="X188" s="362">
        <v>47778</v>
      </c>
      <c r="Y188" s="362">
        <v>48185.000000000007</v>
      </c>
      <c r="Z188" s="362">
        <v>48599</v>
      </c>
      <c r="AA188" s="362">
        <v>49016</v>
      </c>
      <c r="AB188" s="362">
        <v>49447.000000000007</v>
      </c>
      <c r="AC188" s="362">
        <v>49887</v>
      </c>
      <c r="AD188" s="362">
        <v>50331</v>
      </c>
      <c r="AE188" s="362">
        <v>50774</v>
      </c>
      <c r="AF188" s="362">
        <v>51203.000000000007</v>
      </c>
      <c r="AG188" s="362">
        <v>51625</v>
      </c>
      <c r="AH188" s="362">
        <v>52045</v>
      </c>
      <c r="AI188" s="362">
        <v>52441</v>
      </c>
      <c r="AJ188" s="362">
        <v>52823</v>
      </c>
      <c r="AK188" s="362">
        <v>53198.999999999993</v>
      </c>
      <c r="AL188" s="363">
        <v>53544</v>
      </c>
      <c r="AM188" s="362">
        <v>53871</v>
      </c>
      <c r="AN188" s="362">
        <v>54176</v>
      </c>
      <c r="AO188" s="362">
        <v>54463</v>
      </c>
      <c r="AP188" s="362">
        <v>54741</v>
      </c>
      <c r="AQ188" s="362">
        <v>54988</v>
      </c>
      <c r="AR188" s="362">
        <v>55229</v>
      </c>
      <c r="AS188" s="362">
        <v>55444</v>
      </c>
      <c r="AT188" s="362">
        <v>55642</v>
      </c>
      <c r="AU188" s="362">
        <v>55832</v>
      </c>
      <c r="AV188" s="362" t="s">
        <v>419</v>
      </c>
      <c r="AW188" s="362">
        <v>7.1181114287335312E-3</v>
      </c>
      <c r="AX188" s="362">
        <v>6.4850843060961783E-3</v>
      </c>
    </row>
    <row r="189" spans="1:50" x14ac:dyDescent="0.25">
      <c r="A189" s="361" t="s">
        <v>421</v>
      </c>
      <c r="B189" s="361">
        <v>662</v>
      </c>
      <c r="C189" s="361" t="s">
        <v>420</v>
      </c>
      <c r="D189" s="361">
        <v>172</v>
      </c>
      <c r="E189" s="361">
        <v>4</v>
      </c>
      <c r="F189" s="361" t="s">
        <v>2374</v>
      </c>
      <c r="G189" s="362">
        <v>138020</v>
      </c>
      <c r="H189" s="362">
        <v>139995</v>
      </c>
      <c r="I189" s="362">
        <v>141760</v>
      </c>
      <c r="J189" s="362">
        <v>143408.99999999997</v>
      </c>
      <c r="K189" s="362">
        <v>145083</v>
      </c>
      <c r="L189" s="362">
        <v>146870</v>
      </c>
      <c r="M189" s="362">
        <v>148834</v>
      </c>
      <c r="N189" s="362">
        <v>150913.00000000003</v>
      </c>
      <c r="O189" s="362">
        <v>153021</v>
      </c>
      <c r="P189" s="362">
        <v>154995</v>
      </c>
      <c r="Q189" s="362">
        <v>156729</v>
      </c>
      <c r="R189" s="362">
        <v>158179</v>
      </c>
      <c r="S189" s="362">
        <v>159392</v>
      </c>
      <c r="T189" s="362">
        <v>160530</v>
      </c>
      <c r="U189" s="362">
        <v>161816.00000000003</v>
      </c>
      <c r="V189" s="362">
        <v>163417</v>
      </c>
      <c r="W189" s="362">
        <v>165381</v>
      </c>
      <c r="X189" s="362">
        <v>167639</v>
      </c>
      <c r="Y189" s="362">
        <v>170011</v>
      </c>
      <c r="Z189" s="362">
        <v>172221</v>
      </c>
      <c r="AA189" s="362">
        <v>174085.00000000003</v>
      </c>
      <c r="AB189" s="362">
        <v>175544</v>
      </c>
      <c r="AC189" s="362">
        <v>176646</v>
      </c>
      <c r="AD189" s="362">
        <v>177513</v>
      </c>
      <c r="AE189" s="362">
        <v>178295.99999999997</v>
      </c>
      <c r="AF189" s="362">
        <v>179126</v>
      </c>
      <c r="AG189" s="362">
        <v>180024</v>
      </c>
      <c r="AH189" s="362">
        <v>180954</v>
      </c>
      <c r="AI189" s="362">
        <v>181889.00000000003</v>
      </c>
      <c r="AJ189" s="362">
        <v>182789.99999999997</v>
      </c>
      <c r="AK189" s="362">
        <v>183627</v>
      </c>
      <c r="AL189" s="363">
        <v>184400</v>
      </c>
      <c r="AM189" s="362">
        <v>185113</v>
      </c>
      <c r="AN189" s="362">
        <v>185771</v>
      </c>
      <c r="AO189" s="362">
        <v>186372</v>
      </c>
      <c r="AP189" s="362">
        <v>186920</v>
      </c>
      <c r="AQ189" s="362">
        <v>187406</v>
      </c>
      <c r="AR189" s="362">
        <v>187826</v>
      </c>
      <c r="AS189" s="362">
        <v>188192</v>
      </c>
      <c r="AT189" s="362">
        <v>188494</v>
      </c>
      <c r="AU189" s="362">
        <v>188738</v>
      </c>
      <c r="AV189" s="362" t="s">
        <v>421</v>
      </c>
      <c r="AW189" s="362">
        <v>4.5790251107831192E-3</v>
      </c>
      <c r="AX189" s="362">
        <v>4.2096205895647554E-3</v>
      </c>
    </row>
    <row r="190" spans="1:50" x14ac:dyDescent="0.25">
      <c r="A190" s="361" t="s">
        <v>423</v>
      </c>
      <c r="B190" s="361">
        <v>666</v>
      </c>
      <c r="C190" s="361" t="s">
        <v>422</v>
      </c>
      <c r="D190" s="361">
        <v>173</v>
      </c>
      <c r="E190" s="361">
        <v>2</v>
      </c>
      <c r="F190" s="361" t="s">
        <v>2374</v>
      </c>
      <c r="G190" s="362">
        <v>6392.9999999999991</v>
      </c>
      <c r="H190" s="362">
        <v>6429.0000000000009</v>
      </c>
      <c r="I190" s="362">
        <v>6432</v>
      </c>
      <c r="J190" s="362">
        <v>6428</v>
      </c>
      <c r="K190" s="362">
        <v>6412</v>
      </c>
      <c r="L190" s="362">
        <v>6392</v>
      </c>
      <c r="M190" s="362">
        <v>6376.0000000000009</v>
      </c>
      <c r="N190" s="362">
        <v>6369</v>
      </c>
      <c r="O190" s="362">
        <v>6347</v>
      </c>
      <c r="P190" s="362">
        <v>6329</v>
      </c>
      <c r="Q190" s="362">
        <v>6293.9999999999991</v>
      </c>
      <c r="R190" s="362">
        <v>6251.0000000000009</v>
      </c>
      <c r="S190" s="362">
        <v>6200</v>
      </c>
      <c r="T190" s="362">
        <v>6148</v>
      </c>
      <c r="U190" s="362">
        <v>6116</v>
      </c>
      <c r="V190" s="362">
        <v>6123</v>
      </c>
      <c r="W190" s="362">
        <v>6156</v>
      </c>
      <c r="X190" s="362">
        <v>6221</v>
      </c>
      <c r="Y190" s="362">
        <v>6293.9999999999991</v>
      </c>
      <c r="Z190" s="362">
        <v>6340</v>
      </c>
      <c r="AA190" s="362">
        <v>6353</v>
      </c>
      <c r="AB190" s="362">
        <v>6328</v>
      </c>
      <c r="AC190" s="362">
        <v>6258</v>
      </c>
      <c r="AD190" s="362">
        <v>6173</v>
      </c>
      <c r="AE190" s="362">
        <v>6075.0000000000009</v>
      </c>
      <c r="AF190" s="362">
        <v>5993</v>
      </c>
      <c r="AG190" s="362">
        <v>5934</v>
      </c>
      <c r="AH190" s="362">
        <v>5887</v>
      </c>
      <c r="AI190" s="362">
        <v>5849</v>
      </c>
      <c r="AJ190" s="362">
        <v>5822</v>
      </c>
      <c r="AK190" s="362">
        <v>5794</v>
      </c>
      <c r="AL190" s="363">
        <v>5766</v>
      </c>
      <c r="AM190" s="362">
        <v>5759</v>
      </c>
      <c r="AN190" s="362">
        <v>5740</v>
      </c>
      <c r="AO190" s="362">
        <v>5736</v>
      </c>
      <c r="AP190" s="362">
        <v>5725</v>
      </c>
      <c r="AQ190" s="362">
        <v>5717</v>
      </c>
      <c r="AR190" s="362">
        <v>5707</v>
      </c>
      <c r="AS190" s="362">
        <v>5693</v>
      </c>
      <c r="AT190" s="362">
        <v>5689</v>
      </c>
      <c r="AU190" s="362">
        <v>5677</v>
      </c>
      <c r="AV190" s="362" t="s">
        <v>423</v>
      </c>
      <c r="AW190" s="362">
        <v>-4.809343868086513E-3</v>
      </c>
      <c r="AX190" s="362">
        <v>-4.8325854332067486E-3</v>
      </c>
    </row>
    <row r="191" spans="1:50" x14ac:dyDescent="0.25">
      <c r="A191" s="361" t="s">
        <v>425</v>
      </c>
      <c r="B191" s="361">
        <v>670</v>
      </c>
      <c r="C191" s="361" t="s">
        <v>424</v>
      </c>
      <c r="D191" s="361">
        <v>174</v>
      </c>
      <c r="E191" s="361">
        <v>4</v>
      </c>
      <c r="F191" s="361" t="s">
        <v>2374</v>
      </c>
      <c r="G191" s="362">
        <v>107484</v>
      </c>
      <c r="H191" s="362">
        <v>107776</v>
      </c>
      <c r="I191" s="362">
        <v>107950</v>
      </c>
      <c r="J191" s="362">
        <v>108033</v>
      </c>
      <c r="K191" s="362">
        <v>108053</v>
      </c>
      <c r="L191" s="362">
        <v>108034.99999999999</v>
      </c>
      <c r="M191" s="362">
        <v>107976</v>
      </c>
      <c r="N191" s="362">
        <v>107894.99999999999</v>
      </c>
      <c r="O191" s="362">
        <v>107801.00000000001</v>
      </c>
      <c r="P191" s="362">
        <v>107757.99999999999</v>
      </c>
      <c r="Q191" s="362">
        <v>107784</v>
      </c>
      <c r="R191" s="362">
        <v>107896</v>
      </c>
      <c r="S191" s="362">
        <v>108097</v>
      </c>
      <c r="T191" s="362">
        <v>108325.99999999999</v>
      </c>
      <c r="U191" s="362">
        <v>108512</v>
      </c>
      <c r="V191" s="362">
        <v>108614</v>
      </c>
      <c r="W191" s="362">
        <v>108602.99999999999</v>
      </c>
      <c r="X191" s="362">
        <v>108518</v>
      </c>
      <c r="Y191" s="362">
        <v>108393</v>
      </c>
      <c r="Z191" s="362">
        <v>108287.00000000001</v>
      </c>
      <c r="AA191" s="362">
        <v>108254.99999999999</v>
      </c>
      <c r="AB191" s="362">
        <v>108316</v>
      </c>
      <c r="AC191" s="362">
        <v>108435</v>
      </c>
      <c r="AD191" s="362">
        <v>108622</v>
      </c>
      <c r="AE191" s="362">
        <v>108861</v>
      </c>
      <c r="AF191" s="362">
        <v>109148</v>
      </c>
      <c r="AG191" s="362">
        <v>109459</v>
      </c>
      <c r="AH191" s="362">
        <v>109827</v>
      </c>
      <c r="AI191" s="362">
        <v>110211</v>
      </c>
      <c r="AJ191" s="362">
        <v>110589</v>
      </c>
      <c r="AK191" s="362">
        <v>110940</v>
      </c>
      <c r="AL191" s="363">
        <v>111263</v>
      </c>
      <c r="AM191" s="362">
        <v>111551</v>
      </c>
      <c r="AN191" s="362">
        <v>111809</v>
      </c>
      <c r="AO191" s="362">
        <v>112046</v>
      </c>
      <c r="AP191" s="362">
        <v>112261</v>
      </c>
      <c r="AQ191" s="362">
        <v>112461</v>
      </c>
      <c r="AR191" s="362">
        <v>112643</v>
      </c>
      <c r="AS191" s="362">
        <v>112806</v>
      </c>
      <c r="AT191" s="362">
        <v>112936</v>
      </c>
      <c r="AU191" s="362">
        <v>113038</v>
      </c>
      <c r="AV191" s="362" t="s">
        <v>425</v>
      </c>
      <c r="AW191" s="362">
        <v>3.1739142229336714E-3</v>
      </c>
      <c r="AX191" s="362">
        <v>2.911483684874705E-3</v>
      </c>
    </row>
    <row r="192" spans="1:50" x14ac:dyDescent="0.25">
      <c r="A192" s="361" t="s">
        <v>427</v>
      </c>
      <c r="B192" s="361">
        <v>736</v>
      </c>
      <c r="C192" s="361" t="s">
        <v>426</v>
      </c>
      <c r="D192" s="361">
        <v>190</v>
      </c>
      <c r="E192" s="361">
        <v>9</v>
      </c>
      <c r="F192" s="361" t="s">
        <v>2374</v>
      </c>
      <c r="G192" s="362">
        <v>25640213</v>
      </c>
      <c r="H192" s="362">
        <v>26311612</v>
      </c>
      <c r="I192" s="362">
        <v>27001701</v>
      </c>
      <c r="J192" s="362">
        <v>27713533</v>
      </c>
      <c r="K192" s="362">
        <v>28449828.999999996</v>
      </c>
      <c r="L192" s="362">
        <v>29212829.999999996</v>
      </c>
      <c r="M192" s="362">
        <v>30004309.000000004</v>
      </c>
      <c r="N192" s="362">
        <v>30825572</v>
      </c>
      <c r="O192" s="362">
        <v>31677463</v>
      </c>
      <c r="P192" s="362">
        <v>32560402.000000004</v>
      </c>
      <c r="Q192" s="362">
        <v>33474409</v>
      </c>
      <c r="R192" s="362">
        <v>34418875</v>
      </c>
      <c r="S192" s="362">
        <v>35393004</v>
      </c>
      <c r="T192" s="362">
        <v>36396195</v>
      </c>
      <c r="U192" s="362">
        <v>37427544.000000007</v>
      </c>
      <c r="V192" s="362">
        <v>38485448</v>
      </c>
      <c r="W192" s="362">
        <v>39569229</v>
      </c>
      <c r="X192" s="362">
        <v>40675760</v>
      </c>
      <c r="Y192" s="362">
        <v>41797776</v>
      </c>
      <c r="Z192" s="362">
        <v>42926047</v>
      </c>
      <c r="AA192" s="362">
        <v>44053377</v>
      </c>
      <c r="AB192" s="362">
        <v>45180380</v>
      </c>
      <c r="AC192" s="362">
        <v>46307432</v>
      </c>
      <c r="AD192" s="362">
        <v>47427585.000000007</v>
      </c>
      <c r="AE192" s="362">
        <v>48532534.999999993</v>
      </c>
      <c r="AF192" s="362">
        <v>49618607.999999993</v>
      </c>
      <c r="AG192" s="362">
        <v>50679956.999999993</v>
      </c>
      <c r="AH192" s="362">
        <v>51724160</v>
      </c>
      <c r="AI192" s="362">
        <v>52777460.000000007</v>
      </c>
      <c r="AJ192" s="362">
        <v>53875350.999999993</v>
      </c>
      <c r="AK192" s="362">
        <v>55042985</v>
      </c>
      <c r="AL192" s="363">
        <v>56290731</v>
      </c>
      <c r="AM192" s="362">
        <v>57610530.999999993</v>
      </c>
      <c r="AN192" s="362">
        <v>58986270.000000007</v>
      </c>
      <c r="AO192" s="362">
        <v>60392902</v>
      </c>
      <c r="AP192" s="362">
        <v>61811784</v>
      </c>
      <c r="AQ192" s="362">
        <v>63238258</v>
      </c>
      <c r="AR192" s="362">
        <v>64677039.000000007</v>
      </c>
      <c r="AS192" s="362">
        <v>66129793.999999993</v>
      </c>
      <c r="AT192" s="362">
        <v>67600802</v>
      </c>
      <c r="AU192" s="362">
        <v>69092801</v>
      </c>
      <c r="AV192" s="362" t="s">
        <v>427</v>
      </c>
      <c r="AW192" s="362">
        <v>2.1672879681099655E-2</v>
      </c>
      <c r="AX192" s="362">
        <v>2.2668574387816998E-2</v>
      </c>
    </row>
    <row r="193" spans="1:50" x14ac:dyDescent="0.25">
      <c r="A193" s="361" t="s">
        <v>429</v>
      </c>
      <c r="B193" s="361">
        <v>740</v>
      </c>
      <c r="C193" s="361" t="s">
        <v>428</v>
      </c>
      <c r="D193" s="361">
        <v>191</v>
      </c>
      <c r="E193" s="361">
        <v>6</v>
      </c>
      <c r="F193" s="361" t="s">
        <v>2374</v>
      </c>
      <c r="G193" s="362">
        <v>405168</v>
      </c>
      <c r="H193" s="362">
        <v>413005</v>
      </c>
      <c r="I193" s="362">
        <v>420654.99999999994</v>
      </c>
      <c r="J193" s="362">
        <v>428029.99999999994</v>
      </c>
      <c r="K193" s="362">
        <v>435105</v>
      </c>
      <c r="L193" s="362">
        <v>441851</v>
      </c>
      <c r="M193" s="362">
        <v>448213</v>
      </c>
      <c r="N193" s="362">
        <v>454161</v>
      </c>
      <c r="O193" s="362">
        <v>459831</v>
      </c>
      <c r="P193" s="362">
        <v>465385</v>
      </c>
      <c r="Q193" s="362">
        <v>470949</v>
      </c>
      <c r="R193" s="362">
        <v>476579.00000000006</v>
      </c>
      <c r="S193" s="362">
        <v>482235</v>
      </c>
      <c r="T193" s="362">
        <v>487942</v>
      </c>
      <c r="U193" s="362">
        <v>493679</v>
      </c>
      <c r="V193" s="362">
        <v>499464</v>
      </c>
      <c r="W193" s="362">
        <v>505295.00000000006</v>
      </c>
      <c r="X193" s="362">
        <v>511181</v>
      </c>
      <c r="Y193" s="362">
        <v>517123</v>
      </c>
      <c r="Z193" s="362">
        <v>523111</v>
      </c>
      <c r="AA193" s="362">
        <v>529131</v>
      </c>
      <c r="AB193" s="362">
        <v>535179</v>
      </c>
      <c r="AC193" s="362">
        <v>541245</v>
      </c>
      <c r="AD193" s="362">
        <v>547291.00000000012</v>
      </c>
      <c r="AE193" s="362">
        <v>553273</v>
      </c>
      <c r="AF193" s="362">
        <v>559143</v>
      </c>
      <c r="AG193" s="362">
        <v>564888</v>
      </c>
      <c r="AH193" s="362">
        <v>570496</v>
      </c>
      <c r="AI193" s="362">
        <v>575990</v>
      </c>
      <c r="AJ193" s="362">
        <v>581372</v>
      </c>
      <c r="AK193" s="362">
        <v>586631.99999999988</v>
      </c>
      <c r="AL193" s="363">
        <v>591800</v>
      </c>
      <c r="AM193" s="362">
        <v>596831</v>
      </c>
      <c r="AN193" s="362">
        <v>601752</v>
      </c>
      <c r="AO193" s="362">
        <v>606532</v>
      </c>
      <c r="AP193" s="362">
        <v>611191</v>
      </c>
      <c r="AQ193" s="362">
        <v>615709</v>
      </c>
      <c r="AR193" s="362">
        <v>620089</v>
      </c>
      <c r="AS193" s="362">
        <v>624336</v>
      </c>
      <c r="AT193" s="362">
        <v>628435</v>
      </c>
      <c r="AU193" s="362">
        <v>632401</v>
      </c>
      <c r="AV193" s="362" t="s">
        <v>429</v>
      </c>
      <c r="AW193" s="362">
        <v>9.0475633501438946E-3</v>
      </c>
      <c r="AX193" s="362">
        <v>8.8096114770419565E-3</v>
      </c>
    </row>
    <row r="194" spans="1:50" x14ac:dyDescent="0.25">
      <c r="A194" s="361" t="s">
        <v>431</v>
      </c>
      <c r="B194" s="361">
        <v>748</v>
      </c>
      <c r="C194" s="361" t="s">
        <v>430</v>
      </c>
      <c r="D194" s="361">
        <v>192</v>
      </c>
      <c r="E194" s="361">
        <v>26</v>
      </c>
      <c r="F194" s="361" t="s">
        <v>2374</v>
      </c>
      <c r="G194" s="362">
        <v>822419.99999999988</v>
      </c>
      <c r="H194" s="362">
        <v>845266</v>
      </c>
      <c r="I194" s="362">
        <v>866993</v>
      </c>
      <c r="J194" s="362">
        <v>887706</v>
      </c>
      <c r="K194" s="362">
        <v>907620</v>
      </c>
      <c r="L194" s="362">
        <v>926841</v>
      </c>
      <c r="M194" s="362">
        <v>945508</v>
      </c>
      <c r="N194" s="362">
        <v>963426</v>
      </c>
      <c r="O194" s="362">
        <v>979918</v>
      </c>
      <c r="P194" s="362">
        <v>994108</v>
      </c>
      <c r="Q194" s="362">
        <v>1005434.9999999999</v>
      </c>
      <c r="R194" s="362">
        <v>1013609</v>
      </c>
      <c r="S194" s="362">
        <v>1019058.9999999999</v>
      </c>
      <c r="T194" s="362">
        <v>1022802</v>
      </c>
      <c r="U194" s="362">
        <v>1026286</v>
      </c>
      <c r="V194" s="362">
        <v>1030578.9999999999</v>
      </c>
      <c r="W194" s="362">
        <v>1036092</v>
      </c>
      <c r="X194" s="362">
        <v>1042652.0000000001</v>
      </c>
      <c r="Y194" s="362">
        <v>1049945</v>
      </c>
      <c r="Z194" s="362">
        <v>1057467.0000000002</v>
      </c>
      <c r="AA194" s="362">
        <v>1064837</v>
      </c>
      <c r="AB194" s="362">
        <v>1072032.9999999998</v>
      </c>
      <c r="AC194" s="362">
        <v>1079288</v>
      </c>
      <c r="AD194" s="362">
        <v>1086843</v>
      </c>
      <c r="AE194" s="362">
        <v>1095019</v>
      </c>
      <c r="AF194" s="362">
        <v>1104044</v>
      </c>
      <c r="AG194" s="362">
        <v>1113997.0000000002</v>
      </c>
      <c r="AH194" s="362">
        <v>1124805</v>
      </c>
      <c r="AI194" s="362">
        <v>1136280.9999999998</v>
      </c>
      <c r="AJ194" s="362">
        <v>1148130</v>
      </c>
      <c r="AK194" s="362">
        <v>1160164</v>
      </c>
      <c r="AL194" s="363">
        <v>1172362</v>
      </c>
      <c r="AM194" s="362">
        <v>1184817</v>
      </c>
      <c r="AN194" s="362">
        <v>1197507</v>
      </c>
      <c r="AO194" s="362">
        <v>1210453</v>
      </c>
      <c r="AP194" s="362">
        <v>1223693</v>
      </c>
      <c r="AQ194" s="362">
        <v>1237128</v>
      </c>
      <c r="AR194" s="362">
        <v>1250837</v>
      </c>
      <c r="AS194" s="362">
        <v>1265209</v>
      </c>
      <c r="AT194" s="362">
        <v>1280769</v>
      </c>
      <c r="AU194" s="362">
        <v>1297835</v>
      </c>
      <c r="AV194" s="362" t="s">
        <v>431</v>
      </c>
      <c r="AW194" s="362">
        <v>1.0481391480058777E-2</v>
      </c>
      <c r="AX194" s="362">
        <v>1.0514030774959382E-2</v>
      </c>
    </row>
    <row r="195" spans="1:50" x14ac:dyDescent="0.25">
      <c r="A195" s="361" t="s">
        <v>433</v>
      </c>
      <c r="B195" s="361">
        <v>752</v>
      </c>
      <c r="C195" s="361" t="s">
        <v>432</v>
      </c>
      <c r="D195" s="361">
        <v>193</v>
      </c>
      <c r="E195" s="361">
        <v>11</v>
      </c>
      <c r="F195" s="361" t="s">
        <v>2374</v>
      </c>
      <c r="G195" s="362">
        <v>8567384</v>
      </c>
      <c r="H195" s="362">
        <v>8625137</v>
      </c>
      <c r="I195" s="362">
        <v>8686738</v>
      </c>
      <c r="J195" s="362">
        <v>8746776</v>
      </c>
      <c r="K195" s="362">
        <v>8798234</v>
      </c>
      <c r="L195" s="362">
        <v>8836420</v>
      </c>
      <c r="M195" s="362">
        <v>8859191</v>
      </c>
      <c r="N195" s="362">
        <v>8868853</v>
      </c>
      <c r="O195" s="362">
        <v>8870848</v>
      </c>
      <c r="P195" s="362">
        <v>8873100</v>
      </c>
      <c r="Q195" s="362">
        <v>8881640</v>
      </c>
      <c r="R195" s="362">
        <v>8897793</v>
      </c>
      <c r="S195" s="362">
        <v>8920710</v>
      </c>
      <c r="T195" s="362">
        <v>8951436</v>
      </c>
      <c r="U195" s="362">
        <v>8990654.0000000019</v>
      </c>
      <c r="V195" s="362">
        <v>9038623</v>
      </c>
      <c r="W195" s="362">
        <v>9096165.0000000019</v>
      </c>
      <c r="X195" s="362">
        <v>9162939</v>
      </c>
      <c r="Y195" s="362">
        <v>9236428</v>
      </c>
      <c r="Z195" s="362">
        <v>9313087</v>
      </c>
      <c r="AA195" s="362">
        <v>9390168</v>
      </c>
      <c r="AB195" s="362">
        <v>9466710</v>
      </c>
      <c r="AC195" s="362">
        <v>9542812</v>
      </c>
      <c r="AD195" s="362">
        <v>9618015.9999999981</v>
      </c>
      <c r="AE195" s="362">
        <v>9692131</v>
      </c>
      <c r="AF195" s="362">
        <v>9764950</v>
      </c>
      <c r="AG195" s="362">
        <v>9836007</v>
      </c>
      <c r="AH195" s="362">
        <v>9904896</v>
      </c>
      <c r="AI195" s="362">
        <v>9971638</v>
      </c>
      <c r="AJ195" s="362">
        <v>10036379</v>
      </c>
      <c r="AK195" s="362">
        <v>10099264.999999998</v>
      </c>
      <c r="AL195" s="363">
        <v>10160169</v>
      </c>
      <c r="AM195" s="362">
        <v>10218971</v>
      </c>
      <c r="AN195" s="362">
        <v>10275858</v>
      </c>
      <c r="AO195" s="362">
        <v>10331083</v>
      </c>
      <c r="AP195" s="362">
        <v>10384831</v>
      </c>
      <c r="AQ195" s="362">
        <v>10437231</v>
      </c>
      <c r="AR195" s="362">
        <v>10488225</v>
      </c>
      <c r="AS195" s="362">
        <v>10537568</v>
      </c>
      <c r="AT195" s="362">
        <v>10584894</v>
      </c>
      <c r="AU195" s="362">
        <v>10629981</v>
      </c>
      <c r="AV195" s="362" t="s">
        <v>433</v>
      </c>
      <c r="AW195" s="362">
        <v>6.2658056257141048E-3</v>
      </c>
      <c r="AX195" s="362">
        <v>6.0305378658744857E-3</v>
      </c>
    </row>
    <row r="196" spans="1:50" x14ac:dyDescent="0.25">
      <c r="A196" s="361" t="s">
        <v>435</v>
      </c>
      <c r="B196" s="361">
        <v>756</v>
      </c>
      <c r="C196" s="361" t="s">
        <v>434</v>
      </c>
      <c r="D196" s="361">
        <v>194</v>
      </c>
      <c r="E196" s="361">
        <v>11</v>
      </c>
      <c r="F196" s="361" t="s">
        <v>2374</v>
      </c>
      <c r="G196" s="362">
        <v>6652868.0000000009</v>
      </c>
      <c r="H196" s="362">
        <v>6718828</v>
      </c>
      <c r="I196" s="362">
        <v>6792906</v>
      </c>
      <c r="J196" s="362">
        <v>6868931</v>
      </c>
      <c r="K196" s="362">
        <v>6938415</v>
      </c>
      <c r="L196" s="362">
        <v>6995521</v>
      </c>
      <c r="M196" s="362">
        <v>7038033</v>
      </c>
      <c r="N196" s="362">
        <v>7068508</v>
      </c>
      <c r="O196" s="362">
        <v>7091770</v>
      </c>
      <c r="P196" s="362">
        <v>7115027</v>
      </c>
      <c r="Q196" s="362">
        <v>7143761.0000000009</v>
      </c>
      <c r="R196" s="362">
        <v>7179169</v>
      </c>
      <c r="S196" s="362">
        <v>7220377</v>
      </c>
      <c r="T196" s="362">
        <v>7268359</v>
      </c>
      <c r="U196" s="362">
        <v>7323737</v>
      </c>
      <c r="V196" s="362">
        <v>7386816</v>
      </c>
      <c r="W196" s="362">
        <v>7457958</v>
      </c>
      <c r="X196" s="362">
        <v>7536982</v>
      </c>
      <c r="Y196" s="362">
        <v>7622821</v>
      </c>
      <c r="Z196" s="362">
        <v>7713898</v>
      </c>
      <c r="AA196" s="362">
        <v>7808675</v>
      </c>
      <c r="AB196" s="362">
        <v>7906992</v>
      </c>
      <c r="AC196" s="362">
        <v>8008011.9999999991</v>
      </c>
      <c r="AD196" s="362">
        <v>8108877.9999999991</v>
      </c>
      <c r="AE196" s="362">
        <v>8206002</v>
      </c>
      <c r="AF196" s="362">
        <v>8296775</v>
      </c>
      <c r="AG196" s="362">
        <v>8379916.9999999991</v>
      </c>
      <c r="AH196" s="362">
        <v>8455804</v>
      </c>
      <c r="AI196" s="362">
        <v>8525611.0000000019</v>
      </c>
      <c r="AJ196" s="362">
        <v>8591365</v>
      </c>
      <c r="AK196" s="362">
        <v>8654622</v>
      </c>
      <c r="AL196" s="363">
        <v>8715494</v>
      </c>
      <c r="AM196" s="362">
        <v>8773637</v>
      </c>
      <c r="AN196" s="362">
        <v>8829564</v>
      </c>
      <c r="AO196" s="362">
        <v>8883856</v>
      </c>
      <c r="AP196" s="362">
        <v>8936931</v>
      </c>
      <c r="AQ196" s="362">
        <v>8989143</v>
      </c>
      <c r="AR196" s="362">
        <v>9040485</v>
      </c>
      <c r="AS196" s="362">
        <v>9090620</v>
      </c>
      <c r="AT196" s="362">
        <v>9138956</v>
      </c>
      <c r="AU196" s="362">
        <v>9185115</v>
      </c>
      <c r="AV196" s="362" t="s">
        <v>435</v>
      </c>
      <c r="AW196" s="362">
        <v>7.3628579393378857E-3</v>
      </c>
      <c r="AX196" s="362">
        <v>7.0334672039980006E-3</v>
      </c>
    </row>
    <row r="197" spans="1:50" x14ac:dyDescent="0.25">
      <c r="A197" s="361" t="s">
        <v>437</v>
      </c>
      <c r="B197" s="361">
        <v>760</v>
      </c>
      <c r="C197" s="361" t="s">
        <v>436</v>
      </c>
      <c r="D197" s="361">
        <v>195</v>
      </c>
      <c r="E197" s="361">
        <v>17</v>
      </c>
      <c r="F197" s="361" t="s">
        <v>2374</v>
      </c>
      <c r="G197" s="362">
        <v>12446171</v>
      </c>
      <c r="H197" s="362">
        <v>12815401</v>
      </c>
      <c r="I197" s="362">
        <v>13187663</v>
      </c>
      <c r="J197" s="362">
        <v>13565072</v>
      </c>
      <c r="K197" s="362">
        <v>13950476</v>
      </c>
      <c r="L197" s="362">
        <v>14345492</v>
      </c>
      <c r="M197" s="362">
        <v>14754142</v>
      </c>
      <c r="N197" s="362">
        <v>15175316</v>
      </c>
      <c r="O197" s="362">
        <v>15599591</v>
      </c>
      <c r="P197" s="362">
        <v>16013985.000000002</v>
      </c>
      <c r="Q197" s="362">
        <v>16410848.000000002</v>
      </c>
      <c r="R197" s="362">
        <v>16766561.000000004</v>
      </c>
      <c r="S197" s="362">
        <v>17084632.000000004</v>
      </c>
      <c r="T197" s="362">
        <v>17415214</v>
      </c>
      <c r="U197" s="362">
        <v>17827825</v>
      </c>
      <c r="V197" s="362">
        <v>18361176</v>
      </c>
      <c r="W197" s="362">
        <v>19059258.000000004</v>
      </c>
      <c r="X197" s="362">
        <v>19878254.000000004</v>
      </c>
      <c r="Y197" s="362">
        <v>20664038</v>
      </c>
      <c r="Z197" s="362">
        <v>21205873</v>
      </c>
      <c r="AA197" s="362">
        <v>21362529</v>
      </c>
      <c r="AB197" s="362">
        <v>21081815</v>
      </c>
      <c r="AC197" s="362">
        <v>20438856</v>
      </c>
      <c r="AD197" s="362">
        <v>19578461</v>
      </c>
      <c r="AE197" s="362">
        <v>18710711</v>
      </c>
      <c r="AF197" s="362">
        <v>17997408</v>
      </c>
      <c r="AG197" s="362">
        <v>17465575</v>
      </c>
      <c r="AH197" s="362">
        <v>17095678</v>
      </c>
      <c r="AI197" s="362">
        <v>16945057.000000004</v>
      </c>
      <c r="AJ197" s="362">
        <v>17070134.999999996</v>
      </c>
      <c r="AK197" s="362">
        <v>17500657.999999996</v>
      </c>
      <c r="AL197" s="363">
        <v>18275702</v>
      </c>
      <c r="AM197" s="362">
        <v>19364809</v>
      </c>
      <c r="AN197" s="362">
        <v>20638285</v>
      </c>
      <c r="AO197" s="362">
        <v>21915480</v>
      </c>
      <c r="AP197" s="362">
        <v>23061973</v>
      </c>
      <c r="AQ197" s="362">
        <v>24032614</v>
      </c>
      <c r="AR197" s="362">
        <v>24851115</v>
      </c>
      <c r="AS197" s="362">
        <v>25536694</v>
      </c>
      <c r="AT197" s="362">
        <v>26133767</v>
      </c>
      <c r="AU197" s="362">
        <v>26676565</v>
      </c>
      <c r="AV197" s="362" t="s">
        <v>437</v>
      </c>
      <c r="AW197" s="362">
        <v>2.5220831586862058E-2</v>
      </c>
      <c r="AX197" s="362">
        <v>4.4286563396645162E-2</v>
      </c>
    </row>
    <row r="198" spans="1:50" x14ac:dyDescent="0.25">
      <c r="A198" s="361" t="s">
        <v>439</v>
      </c>
      <c r="B198" s="361">
        <v>158</v>
      </c>
      <c r="C198" s="361" t="s">
        <v>438</v>
      </c>
      <c r="D198" s="361">
        <v>41</v>
      </c>
      <c r="E198" s="361">
        <v>20</v>
      </c>
      <c r="F198" s="361" t="s">
        <v>2374</v>
      </c>
      <c r="G198" s="362">
        <v>20478520</v>
      </c>
      <c r="H198" s="362">
        <v>20679064.999999996</v>
      </c>
      <c r="I198" s="362">
        <v>20868148</v>
      </c>
      <c r="J198" s="362">
        <v>21044700.000000004</v>
      </c>
      <c r="K198" s="362">
        <v>21207423</v>
      </c>
      <c r="L198" s="362">
        <v>21356033</v>
      </c>
      <c r="M198" s="362">
        <v>21488990</v>
      </c>
      <c r="N198" s="362">
        <v>21608306</v>
      </c>
      <c r="O198" s="362">
        <v>21721516</v>
      </c>
      <c r="P198" s="362">
        <v>21838633</v>
      </c>
      <c r="Q198" s="362">
        <v>21966527</v>
      </c>
      <c r="R198" s="362">
        <v>22108712.999999996</v>
      </c>
      <c r="S198" s="362">
        <v>22262299</v>
      </c>
      <c r="T198" s="362">
        <v>22419792</v>
      </c>
      <c r="U198" s="362">
        <v>22570224</v>
      </c>
      <c r="V198" s="362">
        <v>22705713</v>
      </c>
      <c r="W198" s="362">
        <v>22823848</v>
      </c>
      <c r="X198" s="362">
        <v>22927215</v>
      </c>
      <c r="Y198" s="362">
        <v>23019045</v>
      </c>
      <c r="Z198" s="362">
        <v>23104546</v>
      </c>
      <c r="AA198" s="362">
        <v>23187551</v>
      </c>
      <c r="AB198" s="362">
        <v>23268765</v>
      </c>
      <c r="AC198" s="362">
        <v>23346896</v>
      </c>
      <c r="AD198" s="362">
        <v>23421581.999999996</v>
      </c>
      <c r="AE198" s="362">
        <v>23491975.999999996</v>
      </c>
      <c r="AF198" s="362">
        <v>23557477</v>
      </c>
      <c r="AG198" s="362">
        <v>23618200</v>
      </c>
      <c r="AH198" s="362">
        <v>23674546</v>
      </c>
      <c r="AI198" s="362">
        <v>23726460</v>
      </c>
      <c r="AJ198" s="362">
        <v>23773876</v>
      </c>
      <c r="AK198" s="362">
        <v>23816775</v>
      </c>
      <c r="AL198" s="363">
        <v>23855010</v>
      </c>
      <c r="AM198" s="362">
        <v>23888595</v>
      </c>
      <c r="AN198" s="362">
        <v>23917878</v>
      </c>
      <c r="AO198" s="362">
        <v>23943317</v>
      </c>
      <c r="AP198" s="362">
        <v>23965153</v>
      </c>
      <c r="AQ198" s="362">
        <v>23983359</v>
      </c>
      <c r="AR198" s="362">
        <v>23997579</v>
      </c>
      <c r="AS198" s="362">
        <v>24007367</v>
      </c>
      <c r="AT198" s="362">
        <v>24012117</v>
      </c>
      <c r="AU198" s="362">
        <v>24011258</v>
      </c>
      <c r="AV198" s="362" t="s">
        <v>439</v>
      </c>
      <c r="AW198" s="362">
        <v>1.8044596514257272E-3</v>
      </c>
      <c r="AX198" s="362">
        <v>1.6053810811917923E-3</v>
      </c>
    </row>
    <row r="199" spans="1:50" x14ac:dyDescent="0.25">
      <c r="A199" s="361" t="s">
        <v>441</v>
      </c>
      <c r="B199" s="361">
        <v>762</v>
      </c>
      <c r="C199" s="361" t="s">
        <v>440</v>
      </c>
      <c r="D199" s="361">
        <v>196</v>
      </c>
      <c r="E199" s="361">
        <v>15</v>
      </c>
      <c r="F199" s="361" t="s">
        <v>2374</v>
      </c>
      <c r="G199" s="362">
        <v>5283814</v>
      </c>
      <c r="H199" s="362">
        <v>5400630.0000000009</v>
      </c>
      <c r="I199" s="362">
        <v>5502494</v>
      </c>
      <c r="J199" s="362">
        <v>5593315</v>
      </c>
      <c r="K199" s="362">
        <v>5679167.0000000009</v>
      </c>
      <c r="L199" s="362">
        <v>5764810.0000000009</v>
      </c>
      <c r="M199" s="362">
        <v>5851355</v>
      </c>
      <c r="N199" s="362">
        <v>5938404.9999999991</v>
      </c>
      <c r="O199" s="362">
        <v>6027388</v>
      </c>
      <c r="P199" s="362">
        <v>6119661</v>
      </c>
      <c r="Q199" s="362">
        <v>6216341.0000000009</v>
      </c>
      <c r="R199" s="362">
        <v>6318513</v>
      </c>
      <c r="S199" s="362">
        <v>6426867.0000000009</v>
      </c>
      <c r="T199" s="362">
        <v>6541547</v>
      </c>
      <c r="U199" s="362">
        <v>6662389</v>
      </c>
      <c r="V199" s="362">
        <v>6789321</v>
      </c>
      <c r="W199" s="362">
        <v>6922587</v>
      </c>
      <c r="X199" s="362">
        <v>7062671.9999999991</v>
      </c>
      <c r="Y199" s="362">
        <v>7209930</v>
      </c>
      <c r="Z199" s="362">
        <v>7364752.9999999991</v>
      </c>
      <c r="AA199" s="362">
        <v>7527394</v>
      </c>
      <c r="AB199" s="362">
        <v>7697510</v>
      </c>
      <c r="AC199" s="362">
        <v>7874835</v>
      </c>
      <c r="AD199" s="362">
        <v>8059769.0000000009</v>
      </c>
      <c r="AE199" s="362">
        <v>8252833.0000000009</v>
      </c>
      <c r="AF199" s="362">
        <v>8454028.0000000019</v>
      </c>
      <c r="AG199" s="362">
        <v>8663579</v>
      </c>
      <c r="AH199" s="362">
        <v>8880268</v>
      </c>
      <c r="AI199" s="362">
        <v>9100835</v>
      </c>
      <c r="AJ199" s="362">
        <v>9321018</v>
      </c>
      <c r="AK199" s="362">
        <v>9537645.0000000019</v>
      </c>
      <c r="AL199" s="363">
        <v>9749627</v>
      </c>
      <c r="AM199" s="362">
        <v>9957464</v>
      </c>
      <c r="AN199" s="362">
        <v>10161628</v>
      </c>
      <c r="AO199" s="362">
        <v>10363189</v>
      </c>
      <c r="AP199" s="362">
        <v>10563159</v>
      </c>
      <c r="AQ199" s="362">
        <v>10761452</v>
      </c>
      <c r="AR199" s="362">
        <v>10958225</v>
      </c>
      <c r="AS199" s="362">
        <v>11155131</v>
      </c>
      <c r="AT199" s="362">
        <v>11354293</v>
      </c>
      <c r="AU199" s="362">
        <v>11557369</v>
      </c>
      <c r="AV199" s="362" t="s">
        <v>441</v>
      </c>
      <c r="AW199" s="362">
        <v>2.3240701820337772E-2</v>
      </c>
      <c r="AX199" s="362">
        <v>2.2225821992745365E-2</v>
      </c>
    </row>
    <row r="200" spans="1:50" x14ac:dyDescent="0.25">
      <c r="A200" s="361" t="s">
        <v>443</v>
      </c>
      <c r="B200" s="361">
        <v>834</v>
      </c>
      <c r="C200" s="361" t="s">
        <v>442</v>
      </c>
      <c r="D200" s="361">
        <v>213</v>
      </c>
      <c r="E200" s="361">
        <v>26</v>
      </c>
      <c r="F200" s="361" t="s">
        <v>2374</v>
      </c>
      <c r="G200" s="362">
        <v>25203845</v>
      </c>
      <c r="H200" s="362">
        <v>26056594</v>
      </c>
      <c r="I200" s="362">
        <v>26961197</v>
      </c>
      <c r="J200" s="362">
        <v>27887203.000000004</v>
      </c>
      <c r="K200" s="362">
        <v>28792638.999999996</v>
      </c>
      <c r="L200" s="362">
        <v>29649134.999999996</v>
      </c>
      <c r="M200" s="362">
        <v>30444526.000000004</v>
      </c>
      <c r="N200" s="362">
        <v>31192857</v>
      </c>
      <c r="O200" s="362">
        <v>31924196</v>
      </c>
      <c r="P200" s="362">
        <v>32682239.000000004</v>
      </c>
      <c r="Q200" s="362">
        <v>33499180.000000004</v>
      </c>
      <c r="R200" s="362">
        <v>34385856</v>
      </c>
      <c r="S200" s="362">
        <v>35334788</v>
      </c>
      <c r="T200" s="362">
        <v>36337782</v>
      </c>
      <c r="U200" s="362">
        <v>37379767</v>
      </c>
      <c r="V200" s="362">
        <v>38450320</v>
      </c>
      <c r="W200" s="362">
        <v>39548663</v>
      </c>
      <c r="X200" s="362">
        <v>40681414</v>
      </c>
      <c r="Y200" s="362">
        <v>41853944.000000007</v>
      </c>
      <c r="Z200" s="362">
        <v>43073834.000000007</v>
      </c>
      <c r="AA200" s="362">
        <v>44346525</v>
      </c>
      <c r="AB200" s="362">
        <v>45673512</v>
      </c>
      <c r="AC200" s="362">
        <v>47053030</v>
      </c>
      <c r="AD200" s="362">
        <v>48483129</v>
      </c>
      <c r="AE200" s="362">
        <v>49960561</v>
      </c>
      <c r="AF200" s="362">
        <v>51482633</v>
      </c>
      <c r="AG200" s="362">
        <v>53049230</v>
      </c>
      <c r="AH200" s="362">
        <v>54660339</v>
      </c>
      <c r="AI200" s="362">
        <v>56313438.000000007</v>
      </c>
      <c r="AJ200" s="362">
        <v>58005463.000000007</v>
      </c>
      <c r="AK200" s="362">
        <v>59734218</v>
      </c>
      <c r="AL200" s="363">
        <v>61498437</v>
      </c>
      <c r="AM200" s="362">
        <v>63298550</v>
      </c>
      <c r="AN200" s="362">
        <v>65136238</v>
      </c>
      <c r="AO200" s="362">
        <v>67014128</v>
      </c>
      <c r="AP200" s="362">
        <v>68934163</v>
      </c>
      <c r="AQ200" s="362">
        <v>70896459</v>
      </c>
      <c r="AR200" s="362">
        <v>72900348</v>
      </c>
      <c r="AS200" s="362">
        <v>74946012</v>
      </c>
      <c r="AT200" s="362">
        <v>77033509</v>
      </c>
      <c r="AU200" s="362">
        <v>79162725</v>
      </c>
      <c r="AV200" s="362" t="s">
        <v>443</v>
      </c>
      <c r="AW200" s="362">
        <v>2.9803313525831099E-2</v>
      </c>
      <c r="AX200" s="362">
        <v>2.9534478881099613E-2</v>
      </c>
    </row>
    <row r="201" spans="1:50" x14ac:dyDescent="0.25">
      <c r="A201" s="361" t="s">
        <v>445</v>
      </c>
      <c r="B201" s="361">
        <v>764</v>
      </c>
      <c r="C201" s="361" t="s">
        <v>444</v>
      </c>
      <c r="D201" s="361">
        <v>197</v>
      </c>
      <c r="E201" s="361">
        <v>21</v>
      </c>
      <c r="F201" s="361" t="s">
        <v>2374</v>
      </c>
      <c r="G201" s="362">
        <v>56558186</v>
      </c>
      <c r="H201" s="362">
        <v>57232465</v>
      </c>
      <c r="I201" s="362">
        <v>57811021.000000007</v>
      </c>
      <c r="J201" s="362">
        <v>58337773</v>
      </c>
      <c r="K201" s="362">
        <v>58875269</v>
      </c>
      <c r="L201" s="362">
        <v>59467273.999999993</v>
      </c>
      <c r="M201" s="362">
        <v>60130186</v>
      </c>
      <c r="N201" s="362">
        <v>60846582.000000007</v>
      </c>
      <c r="O201" s="362">
        <v>61585103</v>
      </c>
      <c r="P201" s="362">
        <v>62298571</v>
      </c>
      <c r="Q201" s="362">
        <v>62952642</v>
      </c>
      <c r="R201" s="362">
        <v>63539196.000000007</v>
      </c>
      <c r="S201" s="362">
        <v>64069086.999999993</v>
      </c>
      <c r="T201" s="362">
        <v>64549866.000000007</v>
      </c>
      <c r="U201" s="362">
        <v>64995299</v>
      </c>
      <c r="V201" s="362">
        <v>65416189</v>
      </c>
      <c r="W201" s="362">
        <v>65812535.999999993</v>
      </c>
      <c r="X201" s="362">
        <v>66182066.999999993</v>
      </c>
      <c r="Y201" s="362">
        <v>66530984</v>
      </c>
      <c r="Z201" s="362">
        <v>66866839.000000015</v>
      </c>
      <c r="AA201" s="362">
        <v>67195028.000000015</v>
      </c>
      <c r="AB201" s="362">
        <v>67518388</v>
      </c>
      <c r="AC201" s="362">
        <v>67835962</v>
      </c>
      <c r="AD201" s="362">
        <v>68144517.999999985</v>
      </c>
      <c r="AE201" s="362">
        <v>68438746</v>
      </c>
      <c r="AF201" s="362">
        <v>68714511</v>
      </c>
      <c r="AG201" s="362">
        <v>68971308.000000015</v>
      </c>
      <c r="AH201" s="362">
        <v>69209810</v>
      </c>
      <c r="AI201" s="362">
        <v>69428452.999999985</v>
      </c>
      <c r="AJ201" s="362">
        <v>69625582</v>
      </c>
      <c r="AK201" s="362">
        <v>69799978</v>
      </c>
      <c r="AL201" s="363">
        <v>69950850</v>
      </c>
      <c r="AM201" s="362">
        <v>70078203</v>
      </c>
      <c r="AN201" s="362">
        <v>70182833</v>
      </c>
      <c r="AO201" s="362">
        <v>70266057</v>
      </c>
      <c r="AP201" s="362">
        <v>70328940</v>
      </c>
      <c r="AQ201" s="362">
        <v>70371648</v>
      </c>
      <c r="AR201" s="362">
        <v>70394105</v>
      </c>
      <c r="AS201" s="362">
        <v>70396848</v>
      </c>
      <c r="AT201" s="362">
        <v>70380491</v>
      </c>
      <c r="AU201" s="362">
        <v>70345536</v>
      </c>
      <c r="AV201" s="362" t="s">
        <v>445</v>
      </c>
      <c r="AW201" s="362">
        <v>2.5047690086095198E-3</v>
      </c>
      <c r="AX201" s="362">
        <v>2.161490652618836E-3</v>
      </c>
    </row>
    <row r="202" spans="1:50" x14ac:dyDescent="0.25">
      <c r="A202" s="361" t="s">
        <v>447</v>
      </c>
      <c r="B202" s="361">
        <v>626</v>
      </c>
      <c r="C202" s="361" t="s">
        <v>446</v>
      </c>
      <c r="D202" s="361">
        <v>162</v>
      </c>
      <c r="E202" s="361">
        <v>22</v>
      </c>
      <c r="F202" s="361" t="s">
        <v>2374</v>
      </c>
      <c r="G202" s="362">
        <v>737814</v>
      </c>
      <c r="H202" s="362">
        <v>759527.00000000012</v>
      </c>
      <c r="I202" s="362">
        <v>783198</v>
      </c>
      <c r="J202" s="362">
        <v>806860</v>
      </c>
      <c r="K202" s="362">
        <v>827825</v>
      </c>
      <c r="L202" s="362">
        <v>844333.99999999988</v>
      </c>
      <c r="M202" s="362">
        <v>855362</v>
      </c>
      <c r="N202" s="362">
        <v>861866</v>
      </c>
      <c r="O202" s="362">
        <v>866530</v>
      </c>
      <c r="P202" s="362">
        <v>873135.99999999988</v>
      </c>
      <c r="Q202" s="362">
        <v>884366</v>
      </c>
      <c r="R202" s="362">
        <v>901214.00000000012</v>
      </c>
      <c r="S202" s="362">
        <v>922694</v>
      </c>
      <c r="T202" s="362">
        <v>947108</v>
      </c>
      <c r="U202" s="362">
        <v>971893</v>
      </c>
      <c r="V202" s="362">
        <v>995135</v>
      </c>
      <c r="W202" s="362">
        <v>1016432</v>
      </c>
      <c r="X202" s="362">
        <v>1036392</v>
      </c>
      <c r="Y202" s="362">
        <v>1055431</v>
      </c>
      <c r="Z202" s="362">
        <v>1074277.0000000002</v>
      </c>
      <c r="AA202" s="362">
        <v>1093522.9999999998</v>
      </c>
      <c r="AB202" s="362">
        <v>1113151</v>
      </c>
      <c r="AC202" s="362">
        <v>1132993.9999999998</v>
      </c>
      <c r="AD202" s="362">
        <v>1153294</v>
      </c>
      <c r="AE202" s="362">
        <v>1174331</v>
      </c>
      <c r="AF202" s="362">
        <v>1196302</v>
      </c>
      <c r="AG202" s="362">
        <v>1219288</v>
      </c>
      <c r="AH202" s="362">
        <v>1243258</v>
      </c>
      <c r="AI202" s="362">
        <v>1267974</v>
      </c>
      <c r="AJ202" s="362">
        <v>1293119</v>
      </c>
      <c r="AK202" s="362">
        <v>1318444.9999999998</v>
      </c>
      <c r="AL202" s="363">
        <v>1343873</v>
      </c>
      <c r="AM202" s="362">
        <v>1369429</v>
      </c>
      <c r="AN202" s="362">
        <v>1395062</v>
      </c>
      <c r="AO202" s="362">
        <v>1420759</v>
      </c>
      <c r="AP202" s="362">
        <v>1446506</v>
      </c>
      <c r="AQ202" s="362">
        <v>1472253</v>
      </c>
      <c r="AR202" s="362">
        <v>1497926</v>
      </c>
      <c r="AS202" s="362">
        <v>1523491</v>
      </c>
      <c r="AT202" s="362">
        <v>1548885</v>
      </c>
      <c r="AU202" s="362">
        <v>1574057</v>
      </c>
      <c r="AV202" s="362" t="s">
        <v>447</v>
      </c>
      <c r="AW202" s="362">
        <v>1.958520445527423E-2</v>
      </c>
      <c r="AX202" s="362">
        <v>1.928635627576436E-2</v>
      </c>
    </row>
    <row r="203" spans="1:50" x14ac:dyDescent="0.25">
      <c r="A203" s="361" t="s">
        <v>449</v>
      </c>
      <c r="B203" s="361">
        <v>768</v>
      </c>
      <c r="C203" s="361" t="s">
        <v>448</v>
      </c>
      <c r="D203" s="361">
        <v>198</v>
      </c>
      <c r="E203" s="361">
        <v>8</v>
      </c>
      <c r="F203" s="361" t="s">
        <v>2374</v>
      </c>
      <c r="G203" s="362">
        <v>3774312</v>
      </c>
      <c r="H203" s="362">
        <v>3862992</v>
      </c>
      <c r="I203" s="362">
        <v>3945905</v>
      </c>
      <c r="J203" s="362">
        <v>4029053</v>
      </c>
      <c r="K203" s="362">
        <v>4120616</v>
      </c>
      <c r="L203" s="362">
        <v>4226291</v>
      </c>
      <c r="M203" s="362">
        <v>4348805.0000000009</v>
      </c>
      <c r="N203" s="362">
        <v>4485951</v>
      </c>
      <c r="O203" s="362">
        <v>4632446</v>
      </c>
      <c r="P203" s="362">
        <v>4780448.0000000009</v>
      </c>
      <c r="Q203" s="362">
        <v>4924402</v>
      </c>
      <c r="R203" s="362">
        <v>5062567</v>
      </c>
      <c r="S203" s="362">
        <v>5197031</v>
      </c>
      <c r="T203" s="362">
        <v>5330639</v>
      </c>
      <c r="U203" s="362">
        <v>5467765.9999999991</v>
      </c>
      <c r="V203" s="362">
        <v>5611640</v>
      </c>
      <c r="W203" s="362">
        <v>5762880</v>
      </c>
      <c r="X203" s="362">
        <v>5920359</v>
      </c>
      <c r="Y203" s="362">
        <v>6083420</v>
      </c>
      <c r="Z203" s="362">
        <v>6250835</v>
      </c>
      <c r="AA203" s="362">
        <v>6421679</v>
      </c>
      <c r="AB203" s="362">
        <v>6595943</v>
      </c>
      <c r="AC203" s="362">
        <v>6773809</v>
      </c>
      <c r="AD203" s="362">
        <v>6954721.9999999991</v>
      </c>
      <c r="AE203" s="362">
        <v>7138000</v>
      </c>
      <c r="AF203" s="362">
        <v>7323158</v>
      </c>
      <c r="AG203" s="362">
        <v>7509951</v>
      </c>
      <c r="AH203" s="362">
        <v>7698474</v>
      </c>
      <c r="AI203" s="362">
        <v>7889093</v>
      </c>
      <c r="AJ203" s="362">
        <v>8082366</v>
      </c>
      <c r="AK203" s="362">
        <v>8278724</v>
      </c>
      <c r="AL203" s="363">
        <v>8478250</v>
      </c>
      <c r="AM203" s="362">
        <v>8680837</v>
      </c>
      <c r="AN203" s="362">
        <v>8886639</v>
      </c>
      <c r="AO203" s="362">
        <v>9095793</v>
      </c>
      <c r="AP203" s="362">
        <v>9308383</v>
      </c>
      <c r="AQ203" s="362">
        <v>9524451</v>
      </c>
      <c r="AR203" s="362">
        <v>9743958</v>
      </c>
      <c r="AS203" s="362">
        <v>9966798</v>
      </c>
      <c r="AT203" s="362">
        <v>10192837</v>
      </c>
      <c r="AU203" s="362">
        <v>10421916</v>
      </c>
      <c r="AV203" s="362" t="s">
        <v>449</v>
      </c>
      <c r="AW203" s="362">
        <v>2.4294618679728153E-2</v>
      </c>
      <c r="AX203" s="362">
        <v>2.4101057119430447E-2</v>
      </c>
    </row>
    <row r="204" spans="1:50" x14ac:dyDescent="0.25">
      <c r="A204" s="361" t="s">
        <v>451</v>
      </c>
      <c r="B204" s="361">
        <v>772</v>
      </c>
      <c r="C204" s="361" t="s">
        <v>450</v>
      </c>
      <c r="D204" s="361">
        <v>199</v>
      </c>
      <c r="E204" s="361">
        <v>24</v>
      </c>
      <c r="F204" s="361" t="s">
        <v>2374</v>
      </c>
      <c r="G204" s="362">
        <v>1608</v>
      </c>
      <c r="H204" s="362">
        <v>1578</v>
      </c>
      <c r="I204" s="362">
        <v>1558.0000000000002</v>
      </c>
      <c r="J204" s="362">
        <v>1535</v>
      </c>
      <c r="K204" s="362">
        <v>1529</v>
      </c>
      <c r="L204" s="362">
        <v>1517</v>
      </c>
      <c r="M204" s="362">
        <v>1529</v>
      </c>
      <c r="N204" s="362">
        <v>1547</v>
      </c>
      <c r="O204" s="362">
        <v>1575</v>
      </c>
      <c r="P204" s="362">
        <v>1574</v>
      </c>
      <c r="Q204" s="362">
        <v>1554</v>
      </c>
      <c r="R204" s="362">
        <v>1503</v>
      </c>
      <c r="S204" s="362">
        <v>1435</v>
      </c>
      <c r="T204" s="362">
        <v>1351</v>
      </c>
      <c r="U204" s="362">
        <v>1272.9999999999998</v>
      </c>
      <c r="V204" s="362">
        <v>1207.9999999999998</v>
      </c>
      <c r="W204" s="362">
        <v>1167</v>
      </c>
      <c r="X204" s="362">
        <v>1141</v>
      </c>
      <c r="Y204" s="362">
        <v>1125.9999999999998</v>
      </c>
      <c r="Z204" s="362">
        <v>1125.9999999999998</v>
      </c>
      <c r="AA204" s="362">
        <v>1140</v>
      </c>
      <c r="AB204" s="362">
        <v>1151</v>
      </c>
      <c r="AC204" s="362">
        <v>1167</v>
      </c>
      <c r="AD204" s="362">
        <v>1187.0000000000002</v>
      </c>
      <c r="AE204" s="362">
        <v>1219</v>
      </c>
      <c r="AF204" s="362">
        <v>1252</v>
      </c>
      <c r="AG204" s="362">
        <v>1282</v>
      </c>
      <c r="AH204" s="362">
        <v>1300</v>
      </c>
      <c r="AI204" s="362">
        <v>1318.9999999999998</v>
      </c>
      <c r="AJ204" s="362">
        <v>1340</v>
      </c>
      <c r="AK204" s="362">
        <v>1357</v>
      </c>
      <c r="AL204" s="363">
        <v>1373</v>
      </c>
      <c r="AM204" s="362">
        <v>1378</v>
      </c>
      <c r="AN204" s="362">
        <v>1386</v>
      </c>
      <c r="AO204" s="362">
        <v>1395</v>
      </c>
      <c r="AP204" s="362">
        <v>1402</v>
      </c>
      <c r="AQ204" s="362">
        <v>1415</v>
      </c>
      <c r="AR204" s="362">
        <v>1428</v>
      </c>
      <c r="AS204" s="362">
        <v>1439</v>
      </c>
      <c r="AT204" s="362">
        <v>1444</v>
      </c>
      <c r="AU204" s="362">
        <v>1448</v>
      </c>
      <c r="AV204" s="362" t="s">
        <v>451</v>
      </c>
      <c r="AW204" s="362">
        <v>1.2686567164179152E-2</v>
      </c>
      <c r="AX204" s="362">
        <v>1.179071481208549E-2</v>
      </c>
    </row>
    <row r="205" spans="1:50" x14ac:dyDescent="0.25">
      <c r="A205" s="361" t="s">
        <v>453</v>
      </c>
      <c r="B205" s="361">
        <v>776</v>
      </c>
      <c r="C205" s="361" t="s">
        <v>452</v>
      </c>
      <c r="D205" s="361">
        <v>200</v>
      </c>
      <c r="E205" s="361">
        <v>24</v>
      </c>
      <c r="F205" s="361" t="s">
        <v>2374</v>
      </c>
      <c r="G205" s="362">
        <v>95069</v>
      </c>
      <c r="H205" s="362">
        <v>95246</v>
      </c>
      <c r="I205" s="362">
        <v>95399</v>
      </c>
      <c r="J205" s="362">
        <v>95557</v>
      </c>
      <c r="K205" s="362">
        <v>95739</v>
      </c>
      <c r="L205" s="362">
        <v>95976</v>
      </c>
      <c r="M205" s="362">
        <v>96273</v>
      </c>
      <c r="N205" s="362">
        <v>96619</v>
      </c>
      <c r="O205" s="362">
        <v>97032</v>
      </c>
      <c r="P205" s="362">
        <v>97482</v>
      </c>
      <c r="Q205" s="362">
        <v>97973</v>
      </c>
      <c r="R205" s="362">
        <v>98486.999999999985</v>
      </c>
      <c r="S205" s="362">
        <v>99022</v>
      </c>
      <c r="T205" s="362">
        <v>99589</v>
      </c>
      <c r="U205" s="362">
        <v>100218</v>
      </c>
      <c r="V205" s="362">
        <v>100905</v>
      </c>
      <c r="W205" s="362">
        <v>101706</v>
      </c>
      <c r="X205" s="362">
        <v>102581</v>
      </c>
      <c r="Y205" s="362">
        <v>103379</v>
      </c>
      <c r="Z205" s="362">
        <v>103890</v>
      </c>
      <c r="AA205" s="362">
        <v>103986.00000000001</v>
      </c>
      <c r="AB205" s="362">
        <v>103562</v>
      </c>
      <c r="AC205" s="362">
        <v>102737</v>
      </c>
      <c r="AD205" s="362">
        <v>101768</v>
      </c>
      <c r="AE205" s="362">
        <v>101028</v>
      </c>
      <c r="AF205" s="362">
        <v>100781.00000000001</v>
      </c>
      <c r="AG205" s="362">
        <v>101133</v>
      </c>
      <c r="AH205" s="362">
        <v>101998</v>
      </c>
      <c r="AI205" s="362">
        <v>103197</v>
      </c>
      <c r="AJ205" s="362">
        <v>104494</v>
      </c>
      <c r="AK205" s="362">
        <v>105695</v>
      </c>
      <c r="AL205" s="363">
        <v>106760</v>
      </c>
      <c r="AM205" s="362">
        <v>107749</v>
      </c>
      <c r="AN205" s="362">
        <v>108667</v>
      </c>
      <c r="AO205" s="362">
        <v>109594</v>
      </c>
      <c r="AP205" s="362">
        <v>110558</v>
      </c>
      <c r="AQ205" s="362">
        <v>111549</v>
      </c>
      <c r="AR205" s="362">
        <v>112553</v>
      </c>
      <c r="AS205" s="362">
        <v>113569</v>
      </c>
      <c r="AT205" s="362">
        <v>114597</v>
      </c>
      <c r="AU205" s="362">
        <v>115621</v>
      </c>
      <c r="AV205" s="362" t="s">
        <v>453</v>
      </c>
      <c r="AW205" s="362">
        <v>1.1493482879399775E-2</v>
      </c>
      <c r="AX205" s="362">
        <v>1.0076162543166678E-2</v>
      </c>
    </row>
    <row r="206" spans="1:50" x14ac:dyDescent="0.25">
      <c r="A206" s="361" t="s">
        <v>455</v>
      </c>
      <c r="B206" s="361">
        <v>780</v>
      </c>
      <c r="C206" s="361" t="s">
        <v>454</v>
      </c>
      <c r="D206" s="361">
        <v>201</v>
      </c>
      <c r="E206" s="361">
        <v>4</v>
      </c>
      <c r="F206" s="361" t="s">
        <v>2374</v>
      </c>
      <c r="G206" s="362">
        <v>1221116</v>
      </c>
      <c r="H206" s="362">
        <v>1229103</v>
      </c>
      <c r="I206" s="362">
        <v>1236683</v>
      </c>
      <c r="J206" s="362">
        <v>1243616</v>
      </c>
      <c r="K206" s="362">
        <v>1249520</v>
      </c>
      <c r="L206" s="362">
        <v>1254200</v>
      </c>
      <c r="M206" s="362">
        <v>1257549</v>
      </c>
      <c r="N206" s="362">
        <v>1259847.9999999998</v>
      </c>
      <c r="O206" s="362">
        <v>1261695</v>
      </c>
      <c r="P206" s="362">
        <v>1263933</v>
      </c>
      <c r="Q206" s="362">
        <v>1267153</v>
      </c>
      <c r="R206" s="362">
        <v>1271632</v>
      </c>
      <c r="S206" s="362">
        <v>1277213</v>
      </c>
      <c r="T206" s="362">
        <v>1283559</v>
      </c>
      <c r="U206" s="362">
        <v>1290123.0000000002</v>
      </c>
      <c r="V206" s="362">
        <v>1296502</v>
      </c>
      <c r="W206" s="362">
        <v>1302560.9999999998</v>
      </c>
      <c r="X206" s="362">
        <v>1308451</v>
      </c>
      <c r="Y206" s="362">
        <v>1314443</v>
      </c>
      <c r="Z206" s="362">
        <v>1320930.0000000002</v>
      </c>
      <c r="AA206" s="362">
        <v>1328147</v>
      </c>
      <c r="AB206" s="362">
        <v>1336178</v>
      </c>
      <c r="AC206" s="362">
        <v>1344819</v>
      </c>
      <c r="AD206" s="362">
        <v>1353702.9999999998</v>
      </c>
      <c r="AE206" s="362">
        <v>1362345</v>
      </c>
      <c r="AF206" s="362">
        <v>1370328</v>
      </c>
      <c r="AG206" s="362">
        <v>1377560</v>
      </c>
      <c r="AH206" s="362">
        <v>1384059</v>
      </c>
      <c r="AI206" s="362">
        <v>1389843.0000000002</v>
      </c>
      <c r="AJ206" s="362">
        <v>1394973</v>
      </c>
      <c r="AK206" s="362">
        <v>1399488</v>
      </c>
      <c r="AL206" s="363">
        <v>1403375</v>
      </c>
      <c r="AM206" s="362">
        <v>1406585</v>
      </c>
      <c r="AN206" s="362">
        <v>1409169</v>
      </c>
      <c r="AO206" s="362">
        <v>1411197</v>
      </c>
      <c r="AP206" s="362">
        <v>1412697</v>
      </c>
      <c r="AQ206" s="362">
        <v>1413706</v>
      </c>
      <c r="AR206" s="362">
        <v>1414237</v>
      </c>
      <c r="AS206" s="362">
        <v>1414330</v>
      </c>
      <c r="AT206" s="362">
        <v>1414044</v>
      </c>
      <c r="AU206" s="362">
        <v>1413415</v>
      </c>
      <c r="AV206" s="362" t="s">
        <v>455</v>
      </c>
      <c r="AW206" s="362">
        <v>3.2366217840775757E-3</v>
      </c>
      <c r="AX206" s="362">
        <v>2.7774443224950485E-3</v>
      </c>
    </row>
    <row r="207" spans="1:50" x14ac:dyDescent="0.25">
      <c r="A207" s="361" t="s">
        <v>457</v>
      </c>
      <c r="B207" s="361">
        <v>788</v>
      </c>
      <c r="C207" s="361" t="s">
        <v>456</v>
      </c>
      <c r="D207" s="361">
        <v>203</v>
      </c>
      <c r="E207" s="361">
        <v>7</v>
      </c>
      <c r="F207" s="361" t="s">
        <v>2374</v>
      </c>
      <c r="G207" s="362">
        <v>8242495.9999999991</v>
      </c>
      <c r="H207" s="362">
        <v>8427857</v>
      </c>
      <c r="I207" s="362">
        <v>8613861</v>
      </c>
      <c r="J207" s="362">
        <v>8795932</v>
      </c>
      <c r="K207" s="362">
        <v>8967915.9999999981</v>
      </c>
      <c r="L207" s="362">
        <v>9125397.9999999981</v>
      </c>
      <c r="M207" s="362">
        <v>9267340</v>
      </c>
      <c r="N207" s="362">
        <v>9395123</v>
      </c>
      <c r="O207" s="362">
        <v>9509857</v>
      </c>
      <c r="P207" s="362">
        <v>9613588</v>
      </c>
      <c r="Q207" s="362">
        <v>9708350.0000000019</v>
      </c>
      <c r="R207" s="362">
        <v>9793903</v>
      </c>
      <c r="S207" s="362">
        <v>9871251</v>
      </c>
      <c r="T207" s="362">
        <v>9945277</v>
      </c>
      <c r="U207" s="362">
        <v>10022277</v>
      </c>
      <c r="V207" s="362">
        <v>10106771</v>
      </c>
      <c r="W207" s="362">
        <v>10201214</v>
      </c>
      <c r="X207" s="362">
        <v>10304726</v>
      </c>
      <c r="Y207" s="362">
        <v>10414433</v>
      </c>
      <c r="Z207" s="362">
        <v>10525694</v>
      </c>
      <c r="AA207" s="362">
        <v>10635244</v>
      </c>
      <c r="AB207" s="362">
        <v>10741879.999999998</v>
      </c>
      <c r="AC207" s="362">
        <v>10847002</v>
      </c>
      <c r="AD207" s="362">
        <v>10952950.999999998</v>
      </c>
      <c r="AE207" s="362">
        <v>11063201</v>
      </c>
      <c r="AF207" s="362">
        <v>11179949</v>
      </c>
      <c r="AG207" s="362">
        <v>11303945</v>
      </c>
      <c r="AH207" s="362">
        <v>11433442.999999998</v>
      </c>
      <c r="AI207" s="362">
        <v>11565200.999999998</v>
      </c>
      <c r="AJ207" s="362">
        <v>11694719</v>
      </c>
      <c r="AK207" s="362">
        <v>11818619</v>
      </c>
      <c r="AL207" s="363">
        <v>11935766</v>
      </c>
      <c r="AM207" s="362">
        <v>12046656</v>
      </c>
      <c r="AN207" s="362">
        <v>12151567</v>
      </c>
      <c r="AO207" s="362">
        <v>12251381</v>
      </c>
      <c r="AP207" s="362">
        <v>12346742</v>
      </c>
      <c r="AQ207" s="362">
        <v>12437545</v>
      </c>
      <c r="AR207" s="362">
        <v>12523469</v>
      </c>
      <c r="AS207" s="362">
        <v>12604853</v>
      </c>
      <c r="AT207" s="362">
        <v>12682149</v>
      </c>
      <c r="AU207" s="362">
        <v>12755757</v>
      </c>
      <c r="AV207" s="362" t="s">
        <v>457</v>
      </c>
      <c r="AW207" s="362">
        <v>1.0594525614510353E-2</v>
      </c>
      <c r="AX207" s="362">
        <v>9.9120717911289624E-3</v>
      </c>
    </row>
    <row r="208" spans="1:50" x14ac:dyDescent="0.25">
      <c r="A208" s="369" t="s">
        <v>459</v>
      </c>
      <c r="B208" s="361">
        <v>792</v>
      </c>
      <c r="C208" s="361" t="s">
        <v>458</v>
      </c>
      <c r="D208" s="361">
        <v>204</v>
      </c>
      <c r="E208" s="361">
        <v>13</v>
      </c>
      <c r="F208" s="361" t="s">
        <v>2374</v>
      </c>
      <c r="G208" s="362">
        <v>53921760</v>
      </c>
      <c r="H208" s="362">
        <v>54840590</v>
      </c>
      <c r="I208" s="362">
        <v>55748948</v>
      </c>
      <c r="J208" s="362">
        <v>56653803.999999993</v>
      </c>
      <c r="K208" s="362">
        <v>57564204</v>
      </c>
      <c r="L208" s="362">
        <v>58486456</v>
      </c>
      <c r="M208" s="362">
        <v>59423282</v>
      </c>
      <c r="N208" s="362">
        <v>60372568</v>
      </c>
      <c r="O208" s="362">
        <v>61329676</v>
      </c>
      <c r="P208" s="362">
        <v>62287397</v>
      </c>
      <c r="Q208" s="362">
        <v>63240194</v>
      </c>
      <c r="R208" s="362">
        <v>64192243.000000007</v>
      </c>
      <c r="S208" s="362">
        <v>65145366.999999993</v>
      </c>
      <c r="T208" s="362">
        <v>66089402.000000007</v>
      </c>
      <c r="U208" s="362">
        <v>67010929.999999985</v>
      </c>
      <c r="V208" s="362">
        <v>67903469</v>
      </c>
      <c r="W208" s="362">
        <v>68756810</v>
      </c>
      <c r="X208" s="362">
        <v>69581848</v>
      </c>
      <c r="Y208" s="362">
        <v>70418604</v>
      </c>
      <c r="Z208" s="362">
        <v>71321399</v>
      </c>
      <c r="AA208" s="362">
        <v>72326988</v>
      </c>
      <c r="AB208" s="362">
        <v>73443250</v>
      </c>
      <c r="AC208" s="362">
        <v>74651050</v>
      </c>
      <c r="AD208" s="362">
        <v>75925462</v>
      </c>
      <c r="AE208" s="362">
        <v>77229255.999999985</v>
      </c>
      <c r="AF208" s="362">
        <v>78529409</v>
      </c>
      <c r="AG208" s="362">
        <v>79827871</v>
      </c>
      <c r="AH208" s="362">
        <v>81116450</v>
      </c>
      <c r="AI208" s="362">
        <v>82340088.000000015</v>
      </c>
      <c r="AJ208" s="362">
        <v>83429615</v>
      </c>
      <c r="AK208" s="362">
        <v>84339067</v>
      </c>
      <c r="AL208" s="363">
        <v>85042738</v>
      </c>
      <c r="AM208" s="362">
        <v>85561976</v>
      </c>
      <c r="AN208" s="362">
        <v>85957253</v>
      </c>
      <c r="AO208" s="362">
        <v>86316463</v>
      </c>
      <c r="AP208" s="362">
        <v>86705224</v>
      </c>
      <c r="AQ208" s="362">
        <v>87141804</v>
      </c>
      <c r="AR208" s="362">
        <v>87612950</v>
      </c>
      <c r="AS208" s="362">
        <v>88114632</v>
      </c>
      <c r="AT208" s="362">
        <v>88633175</v>
      </c>
      <c r="AU208" s="362">
        <v>89157785</v>
      </c>
      <c r="AV208" s="362" t="s">
        <v>459</v>
      </c>
      <c r="AW208" s="362">
        <v>1.090082939972814E-2</v>
      </c>
      <c r="AX208" s="362">
        <v>8.3433576517986108E-3</v>
      </c>
    </row>
    <row r="209" spans="1:50" x14ac:dyDescent="0.25">
      <c r="A209" s="361" t="s">
        <v>461</v>
      </c>
      <c r="B209" s="361">
        <v>795</v>
      </c>
      <c r="C209" s="361" t="s">
        <v>460</v>
      </c>
      <c r="D209" s="361">
        <v>205</v>
      </c>
      <c r="E209" s="361">
        <v>15</v>
      </c>
      <c r="F209" s="361" t="s">
        <v>2374</v>
      </c>
      <c r="G209" s="362">
        <v>3683967</v>
      </c>
      <c r="H209" s="362">
        <v>3789185</v>
      </c>
      <c r="I209" s="362">
        <v>3899842.9999999995</v>
      </c>
      <c r="J209" s="362">
        <v>4010789</v>
      </c>
      <c r="K209" s="362">
        <v>4115102.0000000005</v>
      </c>
      <c r="L209" s="362">
        <v>4207841</v>
      </c>
      <c r="M209" s="362">
        <v>4287345.9999999991</v>
      </c>
      <c r="N209" s="362">
        <v>4355116</v>
      </c>
      <c r="O209" s="362">
        <v>4413479.0000000009</v>
      </c>
      <c r="P209" s="362">
        <v>4466135</v>
      </c>
      <c r="Q209" s="362">
        <v>4516133</v>
      </c>
      <c r="R209" s="362">
        <v>4564082.9999999991</v>
      </c>
      <c r="S209" s="362">
        <v>4610005</v>
      </c>
      <c r="T209" s="362">
        <v>4655743</v>
      </c>
      <c r="U209" s="362">
        <v>4703400.9999999991</v>
      </c>
      <c r="V209" s="362">
        <v>4754646</v>
      </c>
      <c r="W209" s="362">
        <v>4810109.0000000009</v>
      </c>
      <c r="X209" s="362">
        <v>4870140.9999999991</v>
      </c>
      <c r="Y209" s="362">
        <v>4935767</v>
      </c>
      <c r="Z209" s="362">
        <v>5007954</v>
      </c>
      <c r="AA209" s="362">
        <v>5087212.9999999991</v>
      </c>
      <c r="AB209" s="362">
        <v>5174085</v>
      </c>
      <c r="AC209" s="362">
        <v>5267900</v>
      </c>
      <c r="AD209" s="362">
        <v>5366378</v>
      </c>
      <c r="AE209" s="362">
        <v>5466328.0000000009</v>
      </c>
      <c r="AF209" s="362">
        <v>5565287.0000000009</v>
      </c>
      <c r="AG209" s="362">
        <v>5662368.0000000009</v>
      </c>
      <c r="AH209" s="362">
        <v>5757667.0000000009</v>
      </c>
      <c r="AI209" s="362">
        <v>5850900.9999999991</v>
      </c>
      <c r="AJ209" s="362">
        <v>5942089</v>
      </c>
      <c r="AK209" s="362">
        <v>6031200</v>
      </c>
      <c r="AL209" s="363">
        <v>6117924</v>
      </c>
      <c r="AM209" s="362">
        <v>6201943</v>
      </c>
      <c r="AN209" s="362">
        <v>6283195</v>
      </c>
      <c r="AO209" s="362">
        <v>6361714</v>
      </c>
      <c r="AP209" s="362">
        <v>6437589</v>
      </c>
      <c r="AQ209" s="362">
        <v>6510792</v>
      </c>
      <c r="AR209" s="362">
        <v>6581396</v>
      </c>
      <c r="AS209" s="362">
        <v>6649846</v>
      </c>
      <c r="AT209" s="362">
        <v>6716675</v>
      </c>
      <c r="AU209" s="362">
        <v>6782355</v>
      </c>
      <c r="AV209" s="362" t="s">
        <v>461</v>
      </c>
      <c r="AW209" s="362">
        <v>1.4996577802856903E-2</v>
      </c>
      <c r="AX209" s="362">
        <v>1.4379228014325562E-2</v>
      </c>
    </row>
    <row r="210" spans="1:50" x14ac:dyDescent="0.25">
      <c r="A210" s="361" t="s">
        <v>463</v>
      </c>
      <c r="B210" s="361">
        <v>796</v>
      </c>
      <c r="C210" s="361" t="s">
        <v>462</v>
      </c>
      <c r="D210" s="361">
        <v>206</v>
      </c>
      <c r="E210" s="361">
        <v>4</v>
      </c>
      <c r="F210" s="361" t="s">
        <v>2374</v>
      </c>
      <c r="G210" s="362">
        <v>12111</v>
      </c>
      <c r="H210" s="362">
        <v>12811</v>
      </c>
      <c r="I210" s="362">
        <v>13632</v>
      </c>
      <c r="J210" s="362">
        <v>14525.999999999998</v>
      </c>
      <c r="K210" s="362">
        <v>15407</v>
      </c>
      <c r="L210" s="362">
        <v>16216.000000000002</v>
      </c>
      <c r="M210" s="362">
        <v>16926</v>
      </c>
      <c r="N210" s="362">
        <v>17567</v>
      </c>
      <c r="O210" s="362">
        <v>18232</v>
      </c>
      <c r="P210" s="362">
        <v>19065.000000000004</v>
      </c>
      <c r="Q210" s="362">
        <v>20164</v>
      </c>
      <c r="R210" s="362">
        <v>21573.000000000004</v>
      </c>
      <c r="S210" s="362">
        <v>23232</v>
      </c>
      <c r="T210" s="362">
        <v>25011</v>
      </c>
      <c r="U210" s="362">
        <v>26699.999999999996</v>
      </c>
      <c r="V210" s="362">
        <v>28180</v>
      </c>
      <c r="W210" s="362">
        <v>29390.999999999996</v>
      </c>
      <c r="X210" s="362">
        <v>30385.000000000004</v>
      </c>
      <c r="Y210" s="362">
        <v>31202</v>
      </c>
      <c r="Z210" s="362">
        <v>31934.000000000004</v>
      </c>
      <c r="AA210" s="362">
        <v>32659.999999999996</v>
      </c>
      <c r="AB210" s="362">
        <v>33377.000000000007</v>
      </c>
      <c r="AC210" s="362">
        <v>34066</v>
      </c>
      <c r="AD210" s="362">
        <v>34731.000000000007</v>
      </c>
      <c r="AE210" s="362">
        <v>35369</v>
      </c>
      <c r="AF210" s="362">
        <v>35981</v>
      </c>
      <c r="AG210" s="362">
        <v>36558.999999999993</v>
      </c>
      <c r="AH210" s="362">
        <v>37115</v>
      </c>
      <c r="AI210" s="362">
        <v>37665</v>
      </c>
      <c r="AJ210" s="362">
        <v>38191</v>
      </c>
      <c r="AK210" s="362">
        <v>38717</v>
      </c>
      <c r="AL210" s="363">
        <v>39231</v>
      </c>
      <c r="AM210" s="362">
        <v>39741</v>
      </c>
      <c r="AN210" s="362">
        <v>40246</v>
      </c>
      <c r="AO210" s="362">
        <v>40743</v>
      </c>
      <c r="AP210" s="362">
        <v>41232</v>
      </c>
      <c r="AQ210" s="362">
        <v>41718</v>
      </c>
      <c r="AR210" s="362">
        <v>42205</v>
      </c>
      <c r="AS210" s="362">
        <v>42676</v>
      </c>
      <c r="AT210" s="362">
        <v>43145</v>
      </c>
      <c r="AU210" s="362">
        <v>43606</v>
      </c>
      <c r="AV210" s="362" t="s">
        <v>463</v>
      </c>
      <c r="AW210" s="362">
        <v>1.3772878426854485E-2</v>
      </c>
      <c r="AX210" s="362">
        <v>1.3275821990340164E-2</v>
      </c>
    </row>
    <row r="211" spans="1:50" x14ac:dyDescent="0.25">
      <c r="A211" s="361" t="s">
        <v>465</v>
      </c>
      <c r="B211" s="361">
        <v>798</v>
      </c>
      <c r="C211" s="361" t="s">
        <v>464</v>
      </c>
      <c r="D211" s="361">
        <v>207</v>
      </c>
      <c r="E211" s="361">
        <v>24</v>
      </c>
      <c r="F211" s="361" t="s">
        <v>2374</v>
      </c>
      <c r="G211" s="362">
        <v>8913</v>
      </c>
      <c r="H211" s="362">
        <v>9026</v>
      </c>
      <c r="I211" s="362">
        <v>9112</v>
      </c>
      <c r="J211" s="362">
        <v>9194</v>
      </c>
      <c r="K211" s="362">
        <v>9252</v>
      </c>
      <c r="L211" s="362">
        <v>9298</v>
      </c>
      <c r="M211" s="362">
        <v>9323</v>
      </c>
      <c r="N211" s="362">
        <v>9323</v>
      </c>
      <c r="O211" s="362">
        <v>9332</v>
      </c>
      <c r="P211" s="362">
        <v>9346</v>
      </c>
      <c r="Q211" s="362">
        <v>9394</v>
      </c>
      <c r="R211" s="362">
        <v>9484</v>
      </c>
      <c r="S211" s="362">
        <v>9596</v>
      </c>
      <c r="T211" s="362">
        <v>9726</v>
      </c>
      <c r="U211" s="362">
        <v>9869</v>
      </c>
      <c r="V211" s="362">
        <v>10000</v>
      </c>
      <c r="W211" s="362">
        <v>10119.999999999998</v>
      </c>
      <c r="X211" s="362">
        <v>10221.000000000002</v>
      </c>
      <c r="Y211" s="362">
        <v>10314</v>
      </c>
      <c r="Z211" s="362">
        <v>10424</v>
      </c>
      <c r="AA211" s="362">
        <v>10530</v>
      </c>
      <c r="AB211" s="362">
        <v>10632.999999999998</v>
      </c>
      <c r="AC211" s="362">
        <v>10739</v>
      </c>
      <c r="AD211" s="362">
        <v>10856.999999999998</v>
      </c>
      <c r="AE211" s="362">
        <v>10972</v>
      </c>
      <c r="AF211" s="362">
        <v>11099</v>
      </c>
      <c r="AG211" s="362">
        <v>11224.999999999998</v>
      </c>
      <c r="AH211" s="362">
        <v>11370</v>
      </c>
      <c r="AI211" s="362">
        <v>11508</v>
      </c>
      <c r="AJ211" s="362">
        <v>11646</v>
      </c>
      <c r="AK211" s="362">
        <v>11792</v>
      </c>
      <c r="AL211" s="363">
        <v>11931</v>
      </c>
      <c r="AM211" s="362">
        <v>12066</v>
      </c>
      <c r="AN211" s="362">
        <v>12208</v>
      </c>
      <c r="AO211" s="362">
        <v>12344</v>
      </c>
      <c r="AP211" s="362">
        <v>12481</v>
      </c>
      <c r="AQ211" s="362">
        <v>12616</v>
      </c>
      <c r="AR211" s="362">
        <v>12750</v>
      </c>
      <c r="AS211" s="362">
        <v>12888</v>
      </c>
      <c r="AT211" s="362">
        <v>13022</v>
      </c>
      <c r="AU211" s="362">
        <v>13164</v>
      </c>
      <c r="AV211" s="362" t="s">
        <v>465</v>
      </c>
      <c r="AW211" s="362">
        <v>1.2536493216555034E-2</v>
      </c>
      <c r="AX211" s="362">
        <v>1.1787652645861568E-2</v>
      </c>
    </row>
    <row r="212" spans="1:50" x14ac:dyDescent="0.25">
      <c r="A212" s="361" t="s">
        <v>467</v>
      </c>
      <c r="B212" s="361">
        <v>800</v>
      </c>
      <c r="C212" s="361" t="s">
        <v>466</v>
      </c>
      <c r="D212" s="361">
        <v>208</v>
      </c>
      <c r="E212" s="361">
        <v>9</v>
      </c>
      <c r="F212" s="361" t="s">
        <v>2374</v>
      </c>
      <c r="G212" s="362">
        <v>17354392</v>
      </c>
      <c r="H212" s="362">
        <v>17953530.999999996</v>
      </c>
      <c r="I212" s="362">
        <v>18561674</v>
      </c>
      <c r="J212" s="362">
        <v>19175988</v>
      </c>
      <c r="K212" s="362">
        <v>19793541</v>
      </c>
      <c r="L212" s="362">
        <v>20413151.999999996</v>
      </c>
      <c r="M212" s="362">
        <v>21032821</v>
      </c>
      <c r="N212" s="362">
        <v>21655398</v>
      </c>
      <c r="O212" s="362">
        <v>22290779.999999996</v>
      </c>
      <c r="P212" s="362">
        <v>22952410</v>
      </c>
      <c r="Q212" s="362">
        <v>23650171.999999996</v>
      </c>
      <c r="R212" s="362">
        <v>24388968.000000004</v>
      </c>
      <c r="S212" s="362">
        <v>25167257.000000004</v>
      </c>
      <c r="T212" s="362">
        <v>25980552</v>
      </c>
      <c r="U212" s="362">
        <v>26821296.999999996</v>
      </c>
      <c r="V212" s="362">
        <v>27684585</v>
      </c>
      <c r="W212" s="362">
        <v>28571475</v>
      </c>
      <c r="X212" s="362">
        <v>29486338</v>
      </c>
      <c r="Y212" s="362">
        <v>30431736</v>
      </c>
      <c r="Z212" s="362">
        <v>31411096</v>
      </c>
      <c r="AA212" s="362">
        <v>32428167.000000004</v>
      </c>
      <c r="AB212" s="362">
        <v>33476771.999999996</v>
      </c>
      <c r="AC212" s="362">
        <v>34558704</v>
      </c>
      <c r="AD212" s="362">
        <v>35694519</v>
      </c>
      <c r="AE212" s="362">
        <v>36911523</v>
      </c>
      <c r="AF212" s="362">
        <v>38225453</v>
      </c>
      <c r="AG212" s="362">
        <v>39649165.999999993</v>
      </c>
      <c r="AH212" s="362">
        <v>41166588.000000007</v>
      </c>
      <c r="AI212" s="362">
        <v>42729036</v>
      </c>
      <c r="AJ212" s="362">
        <v>44269594</v>
      </c>
      <c r="AK212" s="362">
        <v>45741006.999999993</v>
      </c>
      <c r="AL212" s="363">
        <v>47123531</v>
      </c>
      <c r="AM212" s="362">
        <v>48432863</v>
      </c>
      <c r="AN212" s="362">
        <v>49700760</v>
      </c>
      <c r="AO212" s="362">
        <v>50976035</v>
      </c>
      <c r="AP212" s="362">
        <v>52294282</v>
      </c>
      <c r="AQ212" s="362">
        <v>53663604</v>
      </c>
      <c r="AR212" s="362">
        <v>55072380</v>
      </c>
      <c r="AS212" s="362">
        <v>56513004</v>
      </c>
      <c r="AT212" s="362">
        <v>57971653</v>
      </c>
      <c r="AU212" s="362">
        <v>59437928</v>
      </c>
      <c r="AV212" s="362" t="s">
        <v>467</v>
      </c>
      <c r="AW212" s="362">
        <v>3.3237553522627472E-2</v>
      </c>
      <c r="AX212" s="362">
        <v>3.0225045111053284E-2</v>
      </c>
    </row>
    <row r="213" spans="1:50" x14ac:dyDescent="0.25">
      <c r="A213" s="369" t="s">
        <v>469</v>
      </c>
      <c r="B213" s="361">
        <v>804</v>
      </c>
      <c r="C213" s="361" t="s">
        <v>468</v>
      </c>
      <c r="D213" s="361">
        <v>209</v>
      </c>
      <c r="E213" s="361">
        <v>14</v>
      </c>
      <c r="F213" s="361" t="s">
        <v>2374</v>
      </c>
      <c r="G213" s="362">
        <v>51463105.000000007</v>
      </c>
      <c r="H213" s="362">
        <v>51461273</v>
      </c>
      <c r="I213" s="362">
        <v>51415965</v>
      </c>
      <c r="J213" s="362">
        <v>51316010</v>
      </c>
      <c r="K213" s="362">
        <v>51147773</v>
      </c>
      <c r="L213" s="362">
        <v>50903785.000000007</v>
      </c>
      <c r="M213" s="362">
        <v>50580475</v>
      </c>
      <c r="N213" s="362">
        <v>50187276</v>
      </c>
      <c r="O213" s="362">
        <v>49746523</v>
      </c>
      <c r="P213" s="362">
        <v>49288734</v>
      </c>
      <c r="Q213" s="362">
        <v>48838065</v>
      </c>
      <c r="R213" s="362">
        <v>48401656</v>
      </c>
      <c r="S213" s="362">
        <v>47980039</v>
      </c>
      <c r="T213" s="362">
        <v>47582461</v>
      </c>
      <c r="U213" s="362">
        <v>47217493.000000007</v>
      </c>
      <c r="V213" s="362">
        <v>46890772</v>
      </c>
      <c r="W213" s="362">
        <v>46607395</v>
      </c>
      <c r="X213" s="362">
        <v>46366353</v>
      </c>
      <c r="Y213" s="362">
        <v>46158711.000000007</v>
      </c>
      <c r="Z213" s="362">
        <v>45970941</v>
      </c>
      <c r="AA213" s="362">
        <v>45792089.999999993</v>
      </c>
      <c r="AB213" s="362">
        <v>45619844</v>
      </c>
      <c r="AC213" s="362">
        <v>45453806</v>
      </c>
      <c r="AD213" s="362">
        <v>45286983</v>
      </c>
      <c r="AE213" s="362">
        <v>45111532</v>
      </c>
      <c r="AF213" s="362">
        <v>44921639.000000007</v>
      </c>
      <c r="AG213" s="362">
        <v>44713702</v>
      </c>
      <c r="AH213" s="362">
        <v>44487709</v>
      </c>
      <c r="AI213" s="362">
        <v>44246156</v>
      </c>
      <c r="AJ213" s="362">
        <v>43993638</v>
      </c>
      <c r="AK213" s="362">
        <v>43733762.000000007</v>
      </c>
      <c r="AL213" s="363">
        <v>43466819</v>
      </c>
      <c r="AM213" s="362">
        <v>43192122</v>
      </c>
      <c r="AN213" s="362">
        <v>42911306</v>
      </c>
      <c r="AO213" s="362">
        <v>42626273</v>
      </c>
      <c r="AP213" s="362">
        <v>42338579</v>
      </c>
      <c r="AQ213" s="362">
        <v>42049220</v>
      </c>
      <c r="AR213" s="362">
        <v>41758652</v>
      </c>
      <c r="AS213" s="362">
        <v>41467220</v>
      </c>
      <c r="AT213" s="362">
        <v>41175055</v>
      </c>
      <c r="AU213" s="362">
        <v>40882329</v>
      </c>
      <c r="AV213" s="362" t="s">
        <v>469</v>
      </c>
      <c r="AW213" s="362">
        <v>-5.9071268441130975E-3</v>
      </c>
      <c r="AX213" s="362">
        <v>-6.1038197445718589E-3</v>
      </c>
    </row>
    <row r="214" spans="1:50" x14ac:dyDescent="0.25">
      <c r="A214" s="361" t="s">
        <v>471</v>
      </c>
      <c r="B214" s="361">
        <v>784</v>
      </c>
      <c r="C214" s="361" t="s">
        <v>470</v>
      </c>
      <c r="D214" s="361">
        <v>202</v>
      </c>
      <c r="E214" s="361">
        <v>17</v>
      </c>
      <c r="F214" s="361" t="s">
        <v>2374</v>
      </c>
      <c r="G214" s="362">
        <v>1828432</v>
      </c>
      <c r="H214" s="362">
        <v>1937153.0000000002</v>
      </c>
      <c r="I214" s="362">
        <v>2052891.0000000002</v>
      </c>
      <c r="J214" s="362">
        <v>2173139</v>
      </c>
      <c r="K214" s="362">
        <v>2294385</v>
      </c>
      <c r="L214" s="362">
        <v>2415090</v>
      </c>
      <c r="M214" s="362">
        <v>2539126</v>
      </c>
      <c r="N214" s="362">
        <v>2671362.0000000005</v>
      </c>
      <c r="O214" s="362">
        <v>2813214</v>
      </c>
      <c r="P214" s="362">
        <v>2966034</v>
      </c>
      <c r="Q214" s="362">
        <v>3134061.9999999995</v>
      </c>
      <c r="R214" s="362">
        <v>3302719</v>
      </c>
      <c r="S214" s="362">
        <v>3478777</v>
      </c>
      <c r="T214" s="362">
        <v>3711932</v>
      </c>
      <c r="U214" s="362">
        <v>4068570.0000000005</v>
      </c>
      <c r="V214" s="362">
        <v>4588225</v>
      </c>
      <c r="W214" s="362">
        <v>5300174</v>
      </c>
      <c r="X214" s="362">
        <v>6168838</v>
      </c>
      <c r="Y214" s="362">
        <v>7089487</v>
      </c>
      <c r="Z214" s="362">
        <v>7917372</v>
      </c>
      <c r="AA214" s="362">
        <v>8549987.9999999981</v>
      </c>
      <c r="AB214" s="362">
        <v>8946777</v>
      </c>
      <c r="AC214" s="362">
        <v>9141596</v>
      </c>
      <c r="AD214" s="362">
        <v>9197910</v>
      </c>
      <c r="AE214" s="362">
        <v>9214175</v>
      </c>
      <c r="AF214" s="362">
        <v>9262900</v>
      </c>
      <c r="AG214" s="362">
        <v>9360980</v>
      </c>
      <c r="AH214" s="362">
        <v>9487203</v>
      </c>
      <c r="AI214" s="362">
        <v>9630959</v>
      </c>
      <c r="AJ214" s="362">
        <v>9770529</v>
      </c>
      <c r="AK214" s="362">
        <v>9890402</v>
      </c>
      <c r="AL214" s="363">
        <v>9991089</v>
      </c>
      <c r="AM214" s="362">
        <v>10081785</v>
      </c>
      <c r="AN214" s="362">
        <v>10165148</v>
      </c>
      <c r="AO214" s="362">
        <v>10245011</v>
      </c>
      <c r="AP214" s="362">
        <v>10323859</v>
      </c>
      <c r="AQ214" s="362">
        <v>10403144</v>
      </c>
      <c r="AR214" s="362">
        <v>10481261</v>
      </c>
      <c r="AS214" s="362">
        <v>10553956</v>
      </c>
      <c r="AT214" s="362">
        <v>10615253</v>
      </c>
      <c r="AU214" s="362">
        <v>10661076</v>
      </c>
      <c r="AV214" s="362" t="s">
        <v>471</v>
      </c>
      <c r="AW214" s="362">
        <v>1.2268834164455233E-2</v>
      </c>
      <c r="AX214" s="362">
        <v>1.0180273764403003E-2</v>
      </c>
    </row>
    <row r="215" spans="1:50" x14ac:dyDescent="0.25">
      <c r="A215" s="361" t="s">
        <v>473</v>
      </c>
      <c r="B215" s="361">
        <v>826</v>
      </c>
      <c r="C215" s="361" t="s">
        <v>472</v>
      </c>
      <c r="D215" s="361">
        <v>212</v>
      </c>
      <c r="E215" s="361">
        <v>11</v>
      </c>
      <c r="F215" s="361" t="s">
        <v>2374</v>
      </c>
      <c r="G215" s="362">
        <v>57134391</v>
      </c>
      <c r="H215" s="362">
        <v>57290785.000000007</v>
      </c>
      <c r="I215" s="362">
        <v>57446037</v>
      </c>
      <c r="J215" s="362">
        <v>57602284</v>
      </c>
      <c r="K215" s="362">
        <v>57763377.999999993</v>
      </c>
      <c r="L215" s="362">
        <v>57932453</v>
      </c>
      <c r="M215" s="362">
        <v>58113557</v>
      </c>
      <c r="N215" s="362">
        <v>58307313</v>
      </c>
      <c r="O215" s="362">
        <v>58509974</v>
      </c>
      <c r="P215" s="362">
        <v>58715854</v>
      </c>
      <c r="Q215" s="362">
        <v>58923309</v>
      </c>
      <c r="R215" s="362">
        <v>59124288</v>
      </c>
      <c r="S215" s="362">
        <v>59326294.000000007</v>
      </c>
      <c r="T215" s="362">
        <v>59561432</v>
      </c>
      <c r="U215" s="362">
        <v>59872752.999999993</v>
      </c>
      <c r="V215" s="362">
        <v>60287954</v>
      </c>
      <c r="W215" s="362">
        <v>60821356</v>
      </c>
      <c r="X215" s="362">
        <v>61455161.999999993</v>
      </c>
      <c r="Y215" s="362">
        <v>62145097</v>
      </c>
      <c r="Z215" s="362">
        <v>62828616.000000007</v>
      </c>
      <c r="AA215" s="362">
        <v>63459807.999999993</v>
      </c>
      <c r="AB215" s="362">
        <v>64021919</v>
      </c>
      <c r="AC215" s="362">
        <v>64525312</v>
      </c>
      <c r="AD215" s="362">
        <v>64984017.999999993</v>
      </c>
      <c r="AE215" s="362">
        <v>65423047</v>
      </c>
      <c r="AF215" s="362">
        <v>65860146</v>
      </c>
      <c r="AG215" s="362">
        <v>66297944</v>
      </c>
      <c r="AH215" s="362">
        <v>66727460.999999993</v>
      </c>
      <c r="AI215" s="362">
        <v>67141684</v>
      </c>
      <c r="AJ215" s="362">
        <v>67530172</v>
      </c>
      <c r="AK215" s="362">
        <v>67886011</v>
      </c>
      <c r="AL215" s="363">
        <v>68207116</v>
      </c>
      <c r="AM215" s="362">
        <v>68497907</v>
      </c>
      <c r="AN215" s="362">
        <v>68765936</v>
      </c>
      <c r="AO215" s="362">
        <v>69021845</v>
      </c>
      <c r="AP215" s="362">
        <v>69273640</v>
      </c>
      <c r="AQ215" s="362">
        <v>69524101</v>
      </c>
      <c r="AR215" s="362">
        <v>69771947</v>
      </c>
      <c r="AS215" s="362">
        <v>70016260</v>
      </c>
      <c r="AT215" s="362">
        <v>70254656</v>
      </c>
      <c r="AU215" s="362">
        <v>70485490</v>
      </c>
      <c r="AV215" s="362" t="s">
        <v>473</v>
      </c>
      <c r="AW215" s="362">
        <v>5.2693335358304783E-3</v>
      </c>
      <c r="AX215" s="362">
        <v>4.7300613965961524E-3</v>
      </c>
    </row>
    <row r="216" spans="1:50" x14ac:dyDescent="0.25">
      <c r="A216" s="369" t="s">
        <v>475</v>
      </c>
      <c r="B216" s="361">
        <v>840</v>
      </c>
      <c r="C216" s="361" t="s">
        <v>474</v>
      </c>
      <c r="D216" s="361">
        <v>214</v>
      </c>
      <c r="E216" s="361">
        <v>2</v>
      </c>
      <c r="F216" s="361" t="s">
        <v>2374</v>
      </c>
      <c r="G216" s="362">
        <v>252120309.00000003</v>
      </c>
      <c r="H216" s="362">
        <v>254539370</v>
      </c>
      <c r="I216" s="362">
        <v>256990613</v>
      </c>
      <c r="J216" s="362">
        <v>259532129</v>
      </c>
      <c r="K216" s="362">
        <v>262241196</v>
      </c>
      <c r="L216" s="362">
        <v>265163745</v>
      </c>
      <c r="M216" s="362">
        <v>268335003.00000003</v>
      </c>
      <c r="N216" s="362">
        <v>271713635</v>
      </c>
      <c r="O216" s="362">
        <v>275175301</v>
      </c>
      <c r="P216" s="362">
        <v>278548150</v>
      </c>
      <c r="Q216" s="362">
        <v>281710908.99999994</v>
      </c>
      <c r="R216" s="362">
        <v>284607993</v>
      </c>
      <c r="S216" s="362">
        <v>287279318.00000006</v>
      </c>
      <c r="T216" s="362">
        <v>289815562</v>
      </c>
      <c r="U216" s="362">
        <v>292354658</v>
      </c>
      <c r="V216" s="362">
        <v>294993511</v>
      </c>
      <c r="W216" s="362">
        <v>297758969</v>
      </c>
      <c r="X216" s="362">
        <v>300608429</v>
      </c>
      <c r="Y216" s="362">
        <v>303486011.99999994</v>
      </c>
      <c r="Z216" s="362">
        <v>306307567</v>
      </c>
      <c r="AA216" s="362">
        <v>309011474.99999994</v>
      </c>
      <c r="AB216" s="362">
        <v>311584047</v>
      </c>
      <c r="AC216" s="362">
        <v>314043885</v>
      </c>
      <c r="AD216" s="362">
        <v>316400538</v>
      </c>
      <c r="AE216" s="362">
        <v>318673411.00000006</v>
      </c>
      <c r="AF216" s="362">
        <v>320878310</v>
      </c>
      <c r="AG216" s="362">
        <v>323015995</v>
      </c>
      <c r="AH216" s="362">
        <v>325084756</v>
      </c>
      <c r="AI216" s="362">
        <v>327096265</v>
      </c>
      <c r="AJ216" s="362">
        <v>329064917.00000006</v>
      </c>
      <c r="AK216" s="362">
        <v>331002651</v>
      </c>
      <c r="AL216" s="363">
        <v>332915073</v>
      </c>
      <c r="AM216" s="362">
        <v>334805269</v>
      </c>
      <c r="AN216" s="362">
        <v>336679228</v>
      </c>
      <c r="AO216" s="362">
        <v>338542561</v>
      </c>
      <c r="AP216" s="362">
        <v>340399601</v>
      </c>
      <c r="AQ216" s="362">
        <v>342251981</v>
      </c>
      <c r="AR216" s="362">
        <v>344100706</v>
      </c>
      <c r="AS216" s="362">
        <v>345947845</v>
      </c>
      <c r="AT216" s="362">
        <v>347795038</v>
      </c>
      <c r="AU216" s="362">
        <v>349641876</v>
      </c>
      <c r="AV216" s="362" t="s">
        <v>475</v>
      </c>
      <c r="AW216" s="362">
        <v>5.8886070799213375E-3</v>
      </c>
      <c r="AX216" s="362">
        <v>5.7776636961133221E-3</v>
      </c>
    </row>
    <row r="217" spans="1:50" x14ac:dyDescent="0.25">
      <c r="A217" s="361" t="s">
        <v>477</v>
      </c>
      <c r="B217" s="361">
        <v>858</v>
      </c>
      <c r="C217" s="361" t="s">
        <v>476</v>
      </c>
      <c r="D217" s="361">
        <v>217</v>
      </c>
      <c r="E217" s="361">
        <v>6</v>
      </c>
      <c r="F217" s="361" t="s">
        <v>2374</v>
      </c>
      <c r="G217" s="362">
        <v>3109601</v>
      </c>
      <c r="H217" s="362">
        <v>3131659.9999999995</v>
      </c>
      <c r="I217" s="362">
        <v>3154464</v>
      </c>
      <c r="J217" s="362">
        <v>3177745</v>
      </c>
      <c r="K217" s="362">
        <v>3201151</v>
      </c>
      <c r="L217" s="362">
        <v>3224281</v>
      </c>
      <c r="M217" s="362">
        <v>3247381</v>
      </c>
      <c r="N217" s="362">
        <v>3270164.0000000005</v>
      </c>
      <c r="O217" s="362">
        <v>3291053</v>
      </c>
      <c r="P217" s="362">
        <v>3308012</v>
      </c>
      <c r="Q217" s="362">
        <v>3319736</v>
      </c>
      <c r="R217" s="362">
        <v>3325473</v>
      </c>
      <c r="S217" s="362">
        <v>3326040</v>
      </c>
      <c r="T217" s="362">
        <v>3323668</v>
      </c>
      <c r="U217" s="362">
        <v>3321476</v>
      </c>
      <c r="V217" s="362">
        <v>3321803</v>
      </c>
      <c r="W217" s="362">
        <v>3325401</v>
      </c>
      <c r="X217" s="362">
        <v>3331749</v>
      </c>
      <c r="Y217" s="362">
        <v>3340221</v>
      </c>
      <c r="Z217" s="362">
        <v>3349676</v>
      </c>
      <c r="AA217" s="362">
        <v>3359275.0000000005</v>
      </c>
      <c r="AB217" s="362">
        <v>3368934.0000000005</v>
      </c>
      <c r="AC217" s="362">
        <v>3378975</v>
      </c>
      <c r="AD217" s="362">
        <v>3389443.0000000005</v>
      </c>
      <c r="AE217" s="362">
        <v>3400436</v>
      </c>
      <c r="AF217" s="362">
        <v>3412009</v>
      </c>
      <c r="AG217" s="362">
        <v>3424128.9999999995</v>
      </c>
      <c r="AH217" s="362">
        <v>3436641.0000000005</v>
      </c>
      <c r="AI217" s="362">
        <v>3449284.9999999995</v>
      </c>
      <c r="AJ217" s="362">
        <v>3461734</v>
      </c>
      <c r="AK217" s="362">
        <v>3473730</v>
      </c>
      <c r="AL217" s="363">
        <v>3485151</v>
      </c>
      <c r="AM217" s="362">
        <v>3496016</v>
      </c>
      <c r="AN217" s="362">
        <v>3506375</v>
      </c>
      <c r="AO217" s="362">
        <v>3516377</v>
      </c>
      <c r="AP217" s="362">
        <v>3526076</v>
      </c>
      <c r="AQ217" s="362">
        <v>3535499</v>
      </c>
      <c r="AR217" s="362">
        <v>3544568</v>
      </c>
      <c r="AS217" s="362">
        <v>3553270</v>
      </c>
      <c r="AT217" s="362">
        <v>3561580</v>
      </c>
      <c r="AU217" s="362">
        <v>3569471</v>
      </c>
      <c r="AV217" s="362" t="s">
        <v>477</v>
      </c>
      <c r="AW217" s="362">
        <v>3.4653153592967278E-3</v>
      </c>
      <c r="AX217" s="362">
        <v>3.2878202969142123E-3</v>
      </c>
    </row>
    <row r="218" spans="1:50" x14ac:dyDescent="0.25">
      <c r="A218" s="361" t="s">
        <v>479</v>
      </c>
      <c r="B218" s="361">
        <v>860</v>
      </c>
      <c r="C218" s="361" t="s">
        <v>478</v>
      </c>
      <c r="D218" s="361">
        <v>218</v>
      </c>
      <c r="E218" s="361">
        <v>15</v>
      </c>
      <c r="F218" s="361" t="s">
        <v>2374</v>
      </c>
      <c r="G218" s="362">
        <v>20398348.000000004</v>
      </c>
      <c r="H218" s="362">
        <v>20884870</v>
      </c>
      <c r="I218" s="362">
        <v>21375118.999999996</v>
      </c>
      <c r="J218" s="362">
        <v>21861974.999999996</v>
      </c>
      <c r="K218" s="362">
        <v>22336202</v>
      </c>
      <c r="L218" s="362">
        <v>22791026.000000004</v>
      </c>
      <c r="M218" s="362">
        <v>23225298</v>
      </c>
      <c r="N218" s="362">
        <v>23640489.000000004</v>
      </c>
      <c r="O218" s="362">
        <v>24036013.999999996</v>
      </c>
      <c r="P218" s="362">
        <v>24412045</v>
      </c>
      <c r="Q218" s="362">
        <v>24769955.000000004</v>
      </c>
      <c r="R218" s="362">
        <v>25108562.999999996</v>
      </c>
      <c r="S218" s="362">
        <v>25431122</v>
      </c>
      <c r="T218" s="362">
        <v>25749101</v>
      </c>
      <c r="U218" s="362">
        <v>26077607</v>
      </c>
      <c r="V218" s="362">
        <v>26427789</v>
      </c>
      <c r="W218" s="362">
        <v>26804072</v>
      </c>
      <c r="X218" s="362">
        <v>27204711</v>
      </c>
      <c r="Y218" s="362">
        <v>27626982</v>
      </c>
      <c r="Z218" s="362">
        <v>28065466</v>
      </c>
      <c r="AA218" s="362">
        <v>28515909</v>
      </c>
      <c r="AB218" s="362">
        <v>28977010</v>
      </c>
      <c r="AC218" s="362">
        <v>29449413</v>
      </c>
      <c r="AD218" s="362">
        <v>29932631</v>
      </c>
      <c r="AE218" s="362">
        <v>30426388</v>
      </c>
      <c r="AF218" s="362">
        <v>30929557</v>
      </c>
      <c r="AG218" s="362">
        <v>31441751</v>
      </c>
      <c r="AH218" s="362">
        <v>31959785</v>
      </c>
      <c r="AI218" s="362">
        <v>32476244</v>
      </c>
      <c r="AJ218" s="362">
        <v>32981716</v>
      </c>
      <c r="AK218" s="362">
        <v>33469203</v>
      </c>
      <c r="AL218" s="363">
        <v>33935763</v>
      </c>
      <c r="AM218" s="362">
        <v>34382084</v>
      </c>
      <c r="AN218" s="362">
        <v>34809377</v>
      </c>
      <c r="AO218" s="362">
        <v>35220459</v>
      </c>
      <c r="AP218" s="362">
        <v>35617696</v>
      </c>
      <c r="AQ218" s="362">
        <v>36000879</v>
      </c>
      <c r="AR218" s="362">
        <v>36369779</v>
      </c>
      <c r="AS218" s="362">
        <v>36726950</v>
      </c>
      <c r="AT218" s="362">
        <v>37075658</v>
      </c>
      <c r="AU218" s="362">
        <v>37418456</v>
      </c>
      <c r="AV218" s="362" t="s">
        <v>479</v>
      </c>
      <c r="AW218" s="362">
        <v>1.4780522638664362E-2</v>
      </c>
      <c r="AX218" s="362">
        <v>1.3939979389410606E-2</v>
      </c>
    </row>
    <row r="219" spans="1:50" x14ac:dyDescent="0.25">
      <c r="A219" s="361" t="s">
        <v>481</v>
      </c>
      <c r="B219" s="361">
        <v>548</v>
      </c>
      <c r="C219" s="361" t="s">
        <v>480</v>
      </c>
      <c r="D219" s="361">
        <v>141</v>
      </c>
      <c r="E219" s="361">
        <v>24</v>
      </c>
      <c r="F219" s="361" t="s">
        <v>2374</v>
      </c>
      <c r="G219" s="362">
        <v>146573</v>
      </c>
      <c r="H219" s="362">
        <v>150716.00000000003</v>
      </c>
      <c r="I219" s="362">
        <v>155169.99999999997</v>
      </c>
      <c r="J219" s="362">
        <v>159744</v>
      </c>
      <c r="K219" s="362">
        <v>164129</v>
      </c>
      <c r="L219" s="362">
        <v>168157.99999999997</v>
      </c>
      <c r="M219" s="362">
        <v>171722</v>
      </c>
      <c r="N219" s="362">
        <v>174921</v>
      </c>
      <c r="O219" s="362">
        <v>177987</v>
      </c>
      <c r="P219" s="362">
        <v>181264.99999999997</v>
      </c>
      <c r="Q219" s="362">
        <v>184972</v>
      </c>
      <c r="R219" s="362">
        <v>189219</v>
      </c>
      <c r="S219" s="362">
        <v>193919.99999999997</v>
      </c>
      <c r="T219" s="362">
        <v>198959</v>
      </c>
      <c r="U219" s="362">
        <v>204127</v>
      </c>
      <c r="V219" s="362">
        <v>209282.00000000003</v>
      </c>
      <c r="W219" s="362">
        <v>214370</v>
      </c>
      <c r="X219" s="362">
        <v>219472</v>
      </c>
      <c r="Y219" s="362">
        <v>224704.00000000003</v>
      </c>
      <c r="Z219" s="362">
        <v>230247</v>
      </c>
      <c r="AA219" s="362">
        <v>236211</v>
      </c>
      <c r="AB219" s="362">
        <v>242652.99999999997</v>
      </c>
      <c r="AC219" s="362">
        <v>249499</v>
      </c>
      <c r="AD219" s="362">
        <v>256635</v>
      </c>
      <c r="AE219" s="362">
        <v>263887.99999999994</v>
      </c>
      <c r="AF219" s="362">
        <v>271130</v>
      </c>
      <c r="AG219" s="362">
        <v>278329.99999999994</v>
      </c>
      <c r="AH219" s="362">
        <v>285510</v>
      </c>
      <c r="AI219" s="362">
        <v>292680</v>
      </c>
      <c r="AJ219" s="362">
        <v>299882</v>
      </c>
      <c r="AK219" s="362">
        <v>307145</v>
      </c>
      <c r="AL219" s="363">
        <v>314464</v>
      </c>
      <c r="AM219" s="362">
        <v>321832</v>
      </c>
      <c r="AN219" s="362">
        <v>329248</v>
      </c>
      <c r="AO219" s="362">
        <v>336741</v>
      </c>
      <c r="AP219" s="362">
        <v>344305</v>
      </c>
      <c r="AQ219" s="362">
        <v>351951</v>
      </c>
      <c r="AR219" s="362">
        <v>359681</v>
      </c>
      <c r="AS219" s="362">
        <v>367490</v>
      </c>
      <c r="AT219" s="362">
        <v>375396</v>
      </c>
      <c r="AU219" s="362">
        <v>383373</v>
      </c>
      <c r="AV219" s="362" t="s">
        <v>481</v>
      </c>
      <c r="AW219" s="362">
        <v>2.421952634702973E-2</v>
      </c>
      <c r="AX219" s="362">
        <v>2.3829136075794732E-2</v>
      </c>
    </row>
    <row r="220" spans="1:50" x14ac:dyDescent="0.25">
      <c r="A220" s="361" t="s">
        <v>483</v>
      </c>
      <c r="B220" s="361">
        <v>336</v>
      </c>
      <c r="C220" s="361" t="s">
        <v>482</v>
      </c>
      <c r="D220" s="361">
        <v>85</v>
      </c>
      <c r="E220" s="361">
        <v>11</v>
      </c>
      <c r="F220" s="361" t="s">
        <v>2374</v>
      </c>
      <c r="G220" s="362">
        <v>0</v>
      </c>
      <c r="H220" s="362">
        <v>0</v>
      </c>
      <c r="I220" s="362">
        <v>0</v>
      </c>
      <c r="J220" s="362">
        <v>0</v>
      </c>
      <c r="K220" s="362">
        <v>0</v>
      </c>
      <c r="L220" s="362">
        <v>0</v>
      </c>
      <c r="M220" s="362">
        <v>0</v>
      </c>
      <c r="N220" s="362">
        <v>0</v>
      </c>
      <c r="O220" s="362">
        <v>0</v>
      </c>
      <c r="P220" s="362">
        <v>0</v>
      </c>
      <c r="Q220" s="362">
        <v>0</v>
      </c>
      <c r="R220" s="362">
        <v>0</v>
      </c>
      <c r="S220" s="362">
        <v>0</v>
      </c>
      <c r="T220" s="362">
        <v>0</v>
      </c>
      <c r="U220" s="362">
        <v>0</v>
      </c>
      <c r="V220" s="362">
        <v>0</v>
      </c>
      <c r="W220" s="362">
        <v>0</v>
      </c>
      <c r="X220" s="362">
        <v>0</v>
      </c>
      <c r="Y220" s="362">
        <v>0</v>
      </c>
      <c r="Z220" s="362">
        <v>0</v>
      </c>
      <c r="AA220" s="362">
        <v>0</v>
      </c>
      <c r="AB220" s="362">
        <v>0</v>
      </c>
      <c r="AC220" s="362">
        <v>0</v>
      </c>
      <c r="AD220" s="362">
        <v>0</v>
      </c>
      <c r="AE220" s="362">
        <v>0</v>
      </c>
      <c r="AF220" s="362">
        <v>0</v>
      </c>
      <c r="AG220" s="362">
        <v>0</v>
      </c>
      <c r="AH220" s="362">
        <v>0</v>
      </c>
      <c r="AI220" s="362">
        <v>0</v>
      </c>
      <c r="AJ220" s="362">
        <v>0</v>
      </c>
      <c r="AK220" s="362">
        <v>0</v>
      </c>
      <c r="AV220" s="362" t="s">
        <v>483</v>
      </c>
      <c r="AW220" s="362" t="e">
        <v>#DIV/0!</v>
      </c>
      <c r="AX220" s="362" t="e">
        <v>#DIV/0!</v>
      </c>
    </row>
    <row r="221" spans="1:50" x14ac:dyDescent="0.25">
      <c r="A221" s="361" t="s">
        <v>485</v>
      </c>
      <c r="B221" s="361">
        <v>862</v>
      </c>
      <c r="C221" s="361" t="s">
        <v>484</v>
      </c>
      <c r="D221" s="361">
        <v>219</v>
      </c>
      <c r="E221" s="361">
        <v>6</v>
      </c>
      <c r="F221" s="361" t="s">
        <v>2374</v>
      </c>
      <c r="G221" s="362">
        <v>19632665</v>
      </c>
      <c r="H221" s="362">
        <v>20096317</v>
      </c>
      <c r="I221" s="362">
        <v>20557683</v>
      </c>
      <c r="J221" s="362">
        <v>21016901</v>
      </c>
      <c r="K221" s="362">
        <v>21474549</v>
      </c>
      <c r="L221" s="362">
        <v>21931084</v>
      </c>
      <c r="M221" s="362">
        <v>22385650</v>
      </c>
      <c r="N221" s="362">
        <v>22837743</v>
      </c>
      <c r="O221" s="362">
        <v>23288563.999999996</v>
      </c>
      <c r="P221" s="362">
        <v>23739841.000000004</v>
      </c>
      <c r="Q221" s="362">
        <v>24192446</v>
      </c>
      <c r="R221" s="362">
        <v>24646472.000000004</v>
      </c>
      <c r="S221" s="362">
        <v>25100407.999999996</v>
      </c>
      <c r="T221" s="362">
        <v>25551624</v>
      </c>
      <c r="U221" s="362">
        <v>25996594</v>
      </c>
      <c r="V221" s="362">
        <v>26432447</v>
      </c>
      <c r="W221" s="362">
        <v>26850194</v>
      </c>
      <c r="X221" s="362">
        <v>27247610</v>
      </c>
      <c r="Y221" s="362">
        <v>27635831.999999996</v>
      </c>
      <c r="Z221" s="362">
        <v>28031008.999999996</v>
      </c>
      <c r="AA221" s="362">
        <v>28439940</v>
      </c>
      <c r="AB221" s="362">
        <v>28887874</v>
      </c>
      <c r="AC221" s="362">
        <v>29360837</v>
      </c>
      <c r="AD221" s="362">
        <v>29781040</v>
      </c>
      <c r="AE221" s="362">
        <v>30042968.000000004</v>
      </c>
      <c r="AF221" s="362">
        <v>30081829.000000004</v>
      </c>
      <c r="AG221" s="362">
        <v>29851255.000000004</v>
      </c>
      <c r="AH221" s="362">
        <v>29402484</v>
      </c>
      <c r="AI221" s="362">
        <v>28887117.999999996</v>
      </c>
      <c r="AJ221" s="362">
        <v>28515829</v>
      </c>
      <c r="AK221" s="362">
        <v>28435940</v>
      </c>
      <c r="AL221" s="363">
        <v>28704954</v>
      </c>
      <c r="AM221" s="362">
        <v>29266991</v>
      </c>
      <c r="AN221" s="362">
        <v>30016615</v>
      </c>
      <c r="AO221" s="362">
        <v>30794027</v>
      </c>
      <c r="AP221" s="362">
        <v>31481063</v>
      </c>
      <c r="AQ221" s="362">
        <v>32048783</v>
      </c>
      <c r="AR221" s="362">
        <v>32528078</v>
      </c>
      <c r="AS221" s="362">
        <v>32931815.000000004</v>
      </c>
      <c r="AT221" s="362">
        <v>33290379.999999996</v>
      </c>
      <c r="AU221" s="362">
        <v>33626469</v>
      </c>
      <c r="AV221" s="362" t="s">
        <v>485</v>
      </c>
      <c r="AW221" s="362">
        <v>-2.801566806982847E-3</v>
      </c>
      <c r="AX221" s="362">
        <v>9.4603519349105714E-3</v>
      </c>
    </row>
    <row r="222" spans="1:50" x14ac:dyDescent="0.25">
      <c r="A222" s="361" t="s">
        <v>487</v>
      </c>
      <c r="B222" s="361">
        <v>704</v>
      </c>
      <c r="C222" s="361" t="s">
        <v>486</v>
      </c>
      <c r="D222" s="361">
        <v>183</v>
      </c>
      <c r="E222" s="361">
        <v>21</v>
      </c>
      <c r="F222" s="361" t="s">
        <v>2374</v>
      </c>
      <c r="G222" s="362">
        <v>67988862</v>
      </c>
      <c r="H222" s="362">
        <v>69436954</v>
      </c>
      <c r="I222" s="362">
        <v>70883481</v>
      </c>
      <c r="J222" s="362">
        <v>72300308</v>
      </c>
      <c r="K222" s="362">
        <v>73651218</v>
      </c>
      <c r="L222" s="362">
        <v>74910461</v>
      </c>
      <c r="M222" s="362">
        <v>76068743</v>
      </c>
      <c r="N222" s="362">
        <v>77133214.000000015</v>
      </c>
      <c r="O222" s="362">
        <v>78115710</v>
      </c>
      <c r="P222" s="362">
        <v>79035871</v>
      </c>
      <c r="Q222" s="362">
        <v>79910412</v>
      </c>
      <c r="R222" s="362">
        <v>80742499</v>
      </c>
      <c r="S222" s="362">
        <v>81534407</v>
      </c>
      <c r="T222" s="362">
        <v>82301656.000000015</v>
      </c>
      <c r="U222" s="362">
        <v>83062821</v>
      </c>
      <c r="V222" s="362">
        <v>83832660.999999985</v>
      </c>
      <c r="W222" s="362">
        <v>84617539.999999985</v>
      </c>
      <c r="X222" s="362">
        <v>85419591</v>
      </c>
      <c r="Y222" s="362">
        <v>86243413</v>
      </c>
      <c r="Z222" s="362">
        <v>87092251.999999985</v>
      </c>
      <c r="AA222" s="362">
        <v>87967651</v>
      </c>
      <c r="AB222" s="362">
        <v>88871380</v>
      </c>
      <c r="AC222" s="362">
        <v>89801926.000000015</v>
      </c>
      <c r="AD222" s="362">
        <v>90752592</v>
      </c>
      <c r="AE222" s="362">
        <v>91713848</v>
      </c>
      <c r="AF222" s="362">
        <v>92677076</v>
      </c>
      <c r="AG222" s="362">
        <v>93640422</v>
      </c>
      <c r="AH222" s="362">
        <v>94600648</v>
      </c>
      <c r="AI222" s="362">
        <v>95545962</v>
      </c>
      <c r="AJ222" s="362">
        <v>96462106</v>
      </c>
      <c r="AK222" s="362">
        <v>97338579</v>
      </c>
      <c r="AL222" s="363">
        <v>98168833</v>
      </c>
      <c r="AM222" s="362">
        <v>98953541</v>
      </c>
      <c r="AN222" s="362">
        <v>99698631</v>
      </c>
      <c r="AO222" s="362">
        <v>100414087</v>
      </c>
      <c r="AP222" s="362">
        <v>101106835</v>
      </c>
      <c r="AQ222" s="362">
        <v>101778645</v>
      </c>
      <c r="AR222" s="362">
        <v>102425775</v>
      </c>
      <c r="AS222" s="362">
        <v>103043296</v>
      </c>
      <c r="AT222" s="362">
        <v>103624131</v>
      </c>
      <c r="AU222" s="362">
        <v>104163519</v>
      </c>
      <c r="AV222" s="362" t="s">
        <v>487</v>
      </c>
      <c r="AW222" s="362">
        <v>9.086189762433694E-3</v>
      </c>
      <c r="AX222" s="362">
        <v>8.5295471593025418E-3</v>
      </c>
    </row>
    <row r="223" spans="1:50" x14ac:dyDescent="0.25">
      <c r="A223" s="361" t="s">
        <v>489</v>
      </c>
      <c r="B223" s="361">
        <v>92</v>
      </c>
      <c r="C223" s="361" t="s">
        <v>488</v>
      </c>
      <c r="D223" s="361">
        <v>25</v>
      </c>
      <c r="E223" s="361">
        <v>4</v>
      </c>
      <c r="F223" s="361" t="s">
        <v>2374</v>
      </c>
      <c r="G223" s="362">
        <v>17489</v>
      </c>
      <c r="H223" s="362">
        <v>18006</v>
      </c>
      <c r="I223" s="362">
        <v>18438</v>
      </c>
      <c r="J223" s="362">
        <v>18786</v>
      </c>
      <c r="K223" s="362">
        <v>19074</v>
      </c>
      <c r="L223" s="362">
        <v>19313</v>
      </c>
      <c r="M223" s="362">
        <v>19502</v>
      </c>
      <c r="N223" s="362">
        <v>19665</v>
      </c>
      <c r="O223" s="362">
        <v>19821</v>
      </c>
      <c r="P223" s="362">
        <v>20026</v>
      </c>
      <c r="Q223" s="362">
        <v>20311</v>
      </c>
      <c r="R223" s="362">
        <v>20675.000000000004</v>
      </c>
      <c r="S223" s="362">
        <v>21129.000000000004</v>
      </c>
      <c r="T223" s="362">
        <v>21672</v>
      </c>
      <c r="U223" s="362">
        <v>22334</v>
      </c>
      <c r="V223" s="362">
        <v>23107</v>
      </c>
      <c r="W223" s="362">
        <v>24023</v>
      </c>
      <c r="X223" s="362">
        <v>25047</v>
      </c>
      <c r="Y223" s="362">
        <v>26097.000000000004</v>
      </c>
      <c r="Z223" s="362">
        <v>27039</v>
      </c>
      <c r="AA223" s="362">
        <v>27794</v>
      </c>
      <c r="AB223" s="362">
        <v>28319</v>
      </c>
      <c r="AC223" s="362">
        <v>28650</v>
      </c>
      <c r="AD223" s="362">
        <v>28847</v>
      </c>
      <c r="AE223" s="362">
        <v>28989</v>
      </c>
      <c r="AF223" s="362">
        <v>29152</v>
      </c>
      <c r="AG223" s="362">
        <v>29355</v>
      </c>
      <c r="AH223" s="362">
        <v>29577.000000000004</v>
      </c>
      <c r="AI223" s="362">
        <v>29802</v>
      </c>
      <c r="AJ223" s="362">
        <v>30030</v>
      </c>
      <c r="AK223" s="362">
        <v>30231</v>
      </c>
      <c r="AL223" s="363">
        <v>30421</v>
      </c>
      <c r="AM223" s="362">
        <v>30596</v>
      </c>
      <c r="AN223" s="362">
        <v>30766</v>
      </c>
      <c r="AO223" s="362">
        <v>30933</v>
      </c>
      <c r="AP223" s="362">
        <v>31096</v>
      </c>
      <c r="AQ223" s="362">
        <v>31247</v>
      </c>
      <c r="AR223" s="362">
        <v>31385</v>
      </c>
      <c r="AS223" s="362">
        <v>31525</v>
      </c>
      <c r="AT223" s="362">
        <v>31652</v>
      </c>
      <c r="AU223" s="362">
        <v>31764</v>
      </c>
      <c r="AV223" s="362" t="s">
        <v>489</v>
      </c>
      <c r="AW223" s="362">
        <v>6.6933066933065888E-3</v>
      </c>
      <c r="AX223" s="362">
        <v>6.2849393007178289E-3</v>
      </c>
    </row>
    <row r="224" spans="1:50" x14ac:dyDescent="0.25">
      <c r="A224" s="361" t="s">
        <v>491</v>
      </c>
      <c r="B224" s="361">
        <v>850</v>
      </c>
      <c r="C224" s="361" t="s">
        <v>490</v>
      </c>
      <c r="D224" s="361">
        <v>215</v>
      </c>
      <c r="E224" s="361">
        <v>4</v>
      </c>
      <c r="F224" s="361" t="s">
        <v>2374</v>
      </c>
      <c r="G224" s="362">
        <v>103756</v>
      </c>
      <c r="H224" s="362">
        <v>104089</v>
      </c>
      <c r="I224" s="362">
        <v>104794</v>
      </c>
      <c r="J224" s="362">
        <v>105723</v>
      </c>
      <c r="K224" s="362">
        <v>106646</v>
      </c>
      <c r="L224" s="362">
        <v>107392</v>
      </c>
      <c r="M224" s="362">
        <v>107931</v>
      </c>
      <c r="N224" s="362">
        <v>108309</v>
      </c>
      <c r="O224" s="362">
        <v>108556</v>
      </c>
      <c r="P224" s="362">
        <v>108680.00000000001</v>
      </c>
      <c r="Q224" s="362">
        <v>108722</v>
      </c>
      <c r="R224" s="362">
        <v>108691</v>
      </c>
      <c r="S224" s="362">
        <v>108561</v>
      </c>
      <c r="T224" s="362">
        <v>108360</v>
      </c>
      <c r="U224" s="362">
        <v>108092</v>
      </c>
      <c r="V224" s="362">
        <v>107794</v>
      </c>
      <c r="W224" s="362">
        <v>107462</v>
      </c>
      <c r="X224" s="362">
        <v>107114.99999999999</v>
      </c>
      <c r="Y224" s="362">
        <v>106756</v>
      </c>
      <c r="Z224" s="362">
        <v>106412</v>
      </c>
      <c r="AA224" s="362">
        <v>106087</v>
      </c>
      <c r="AB224" s="362">
        <v>105793.00000000001</v>
      </c>
      <c r="AC224" s="362">
        <v>105534</v>
      </c>
      <c r="AD224" s="362">
        <v>105303</v>
      </c>
      <c r="AE224" s="362">
        <v>105114</v>
      </c>
      <c r="AF224" s="362">
        <v>104958</v>
      </c>
      <c r="AG224" s="362">
        <v>104835</v>
      </c>
      <c r="AH224" s="362">
        <v>104751.00000000001</v>
      </c>
      <c r="AI224" s="362">
        <v>104680.00000000001</v>
      </c>
      <c r="AJ224" s="362">
        <v>104578</v>
      </c>
      <c r="AK224" s="362">
        <v>104425</v>
      </c>
      <c r="AL224" s="363">
        <v>104226</v>
      </c>
      <c r="AM224" s="362">
        <v>103971</v>
      </c>
      <c r="AN224" s="362">
        <v>103668</v>
      </c>
      <c r="AO224" s="362">
        <v>103326</v>
      </c>
      <c r="AP224" s="362">
        <v>102955</v>
      </c>
      <c r="AQ224" s="362">
        <v>102565</v>
      </c>
      <c r="AR224" s="362">
        <v>102134</v>
      </c>
      <c r="AS224" s="362">
        <v>101676</v>
      </c>
      <c r="AT224" s="362">
        <v>101192</v>
      </c>
      <c r="AU224" s="362">
        <v>100692</v>
      </c>
      <c r="AV224" s="362" t="s">
        <v>491</v>
      </c>
      <c r="AW224" s="362">
        <v>-1.4630228155061431E-3</v>
      </c>
      <c r="AX224" s="362">
        <v>-1.9056739286569258E-3</v>
      </c>
    </row>
    <row r="225" spans="1:50" x14ac:dyDescent="0.25">
      <c r="A225" s="361" t="s">
        <v>493</v>
      </c>
      <c r="B225" s="361">
        <v>876</v>
      </c>
      <c r="C225" s="361" t="s">
        <v>492</v>
      </c>
      <c r="D225" s="361">
        <v>220</v>
      </c>
      <c r="E225" s="361">
        <v>24</v>
      </c>
      <c r="F225" s="361" t="s">
        <v>2374</v>
      </c>
      <c r="G225" s="362">
        <v>13800.000000000002</v>
      </c>
      <c r="H225" s="362">
        <v>13824.999999999998</v>
      </c>
      <c r="I225" s="362">
        <v>13880</v>
      </c>
      <c r="J225" s="362">
        <v>13961</v>
      </c>
      <c r="K225" s="362">
        <v>14048.999999999998</v>
      </c>
      <c r="L225" s="362">
        <v>14148.999999999998</v>
      </c>
      <c r="M225" s="362">
        <v>14252</v>
      </c>
      <c r="N225" s="362">
        <v>14356</v>
      </c>
      <c r="O225" s="362">
        <v>14464.000000000002</v>
      </c>
      <c r="P225" s="362">
        <v>14574</v>
      </c>
      <c r="Q225" s="362">
        <v>14694</v>
      </c>
      <c r="R225" s="362">
        <v>14843</v>
      </c>
      <c r="S225" s="362">
        <v>14988</v>
      </c>
      <c r="T225" s="362">
        <v>15096</v>
      </c>
      <c r="U225" s="362">
        <v>15093</v>
      </c>
      <c r="V225" s="362">
        <v>14939</v>
      </c>
      <c r="W225" s="362">
        <v>14609</v>
      </c>
      <c r="X225" s="362">
        <v>14132</v>
      </c>
      <c r="Y225" s="362">
        <v>13578</v>
      </c>
      <c r="Z225" s="362">
        <v>13070</v>
      </c>
      <c r="AA225" s="362">
        <v>12689</v>
      </c>
      <c r="AB225" s="362">
        <v>12462</v>
      </c>
      <c r="AC225" s="362">
        <v>12375</v>
      </c>
      <c r="AD225" s="362">
        <v>12356</v>
      </c>
      <c r="AE225" s="362">
        <v>12340</v>
      </c>
      <c r="AF225" s="362">
        <v>12266</v>
      </c>
      <c r="AG225" s="362">
        <v>12107</v>
      </c>
      <c r="AH225" s="362">
        <v>11900</v>
      </c>
      <c r="AI225" s="362">
        <v>11661</v>
      </c>
      <c r="AJ225" s="362">
        <v>11432.000000000002</v>
      </c>
      <c r="AK225" s="362">
        <v>11239</v>
      </c>
      <c r="AL225" s="363">
        <v>11094</v>
      </c>
      <c r="AM225" s="362">
        <v>10982</v>
      </c>
      <c r="AN225" s="362">
        <v>10892</v>
      </c>
      <c r="AO225" s="362">
        <v>10815</v>
      </c>
      <c r="AP225" s="362">
        <v>10743</v>
      </c>
      <c r="AQ225" s="362">
        <v>10665</v>
      </c>
      <c r="AR225" s="362">
        <v>10586</v>
      </c>
      <c r="AS225" s="362">
        <v>10520</v>
      </c>
      <c r="AT225" s="362">
        <v>10451</v>
      </c>
      <c r="AU225" s="362">
        <v>10389</v>
      </c>
      <c r="AV225" s="362" t="s">
        <v>493</v>
      </c>
      <c r="AW225" s="362">
        <v>-1.6882435269419349E-2</v>
      </c>
      <c r="AX225" s="362">
        <v>-1.2901503692499317E-2</v>
      </c>
    </row>
    <row r="226" spans="1:50" x14ac:dyDescent="0.25">
      <c r="A226" s="361" t="s">
        <v>495</v>
      </c>
      <c r="B226" s="361">
        <v>732</v>
      </c>
      <c r="C226" s="361" t="s">
        <v>494</v>
      </c>
      <c r="D226" s="361">
        <v>189</v>
      </c>
      <c r="E226" s="361">
        <v>7</v>
      </c>
      <c r="F226" s="361" t="s">
        <v>2374</v>
      </c>
      <c r="G226" s="362">
        <v>217258</v>
      </c>
      <c r="H226" s="362">
        <v>224383</v>
      </c>
      <c r="I226" s="362">
        <v>231727.00000000003</v>
      </c>
      <c r="J226" s="362">
        <v>239329</v>
      </c>
      <c r="K226" s="362">
        <v>247257</v>
      </c>
      <c r="L226" s="362">
        <v>255633.99999999997</v>
      </c>
      <c r="M226" s="362">
        <v>264108</v>
      </c>
      <c r="N226" s="362">
        <v>272840</v>
      </c>
      <c r="O226" s="362">
        <v>283083</v>
      </c>
      <c r="P226" s="362">
        <v>296512</v>
      </c>
      <c r="Q226" s="362">
        <v>314118</v>
      </c>
      <c r="R226" s="362">
        <v>336651.00000000006</v>
      </c>
      <c r="S226" s="362">
        <v>363226.99999999994</v>
      </c>
      <c r="T226" s="362">
        <v>391167</v>
      </c>
      <c r="U226" s="362">
        <v>416797</v>
      </c>
      <c r="V226" s="362">
        <v>437515</v>
      </c>
      <c r="W226" s="362">
        <v>452350.00000000006</v>
      </c>
      <c r="X226" s="362">
        <v>462207</v>
      </c>
      <c r="Y226" s="362">
        <v>468632.99999999994</v>
      </c>
      <c r="Z226" s="362">
        <v>474043.99999999994</v>
      </c>
      <c r="AA226" s="362">
        <v>480274</v>
      </c>
      <c r="AB226" s="362">
        <v>487650</v>
      </c>
      <c r="AC226" s="362">
        <v>495773</v>
      </c>
      <c r="AD226" s="362">
        <v>504858</v>
      </c>
      <c r="AE226" s="362">
        <v>514995</v>
      </c>
      <c r="AF226" s="362">
        <v>526216</v>
      </c>
      <c r="AG226" s="362">
        <v>538749</v>
      </c>
      <c r="AH226" s="362">
        <v>552615</v>
      </c>
      <c r="AI226" s="362">
        <v>567402.00000000012</v>
      </c>
      <c r="AJ226" s="362">
        <v>582463</v>
      </c>
      <c r="AK226" s="362">
        <v>597339.00000000012</v>
      </c>
      <c r="AL226" s="363">
        <v>611875</v>
      </c>
      <c r="AM226" s="362">
        <v>626161</v>
      </c>
      <c r="AN226" s="362">
        <v>640254</v>
      </c>
      <c r="AO226" s="362">
        <v>654267</v>
      </c>
      <c r="AP226" s="362">
        <v>668290</v>
      </c>
      <c r="AQ226" s="362">
        <v>682297</v>
      </c>
      <c r="AR226" s="362">
        <v>696213</v>
      </c>
      <c r="AS226" s="362">
        <v>710031</v>
      </c>
      <c r="AT226" s="362">
        <v>723753</v>
      </c>
      <c r="AU226" s="362">
        <v>737345</v>
      </c>
      <c r="AV226" s="362" t="s">
        <v>495</v>
      </c>
      <c r="AW226" s="362">
        <v>2.5539819696702049E-2</v>
      </c>
      <c r="AX226" s="362">
        <v>2.4334590575870507E-2</v>
      </c>
    </row>
    <row r="227" spans="1:50" x14ac:dyDescent="0.25">
      <c r="A227" s="361" t="s">
        <v>497</v>
      </c>
      <c r="B227" s="361">
        <v>887</v>
      </c>
      <c r="C227" s="361" t="s">
        <v>496</v>
      </c>
      <c r="D227" s="361">
        <v>222</v>
      </c>
      <c r="E227" s="361">
        <v>17</v>
      </c>
      <c r="F227" s="361" t="s">
        <v>2374</v>
      </c>
      <c r="G227" s="362">
        <v>11709993</v>
      </c>
      <c r="H227" s="362">
        <v>12302124</v>
      </c>
      <c r="I227" s="362">
        <v>12954155</v>
      </c>
      <c r="J227" s="362">
        <v>13634075.999999998</v>
      </c>
      <c r="K227" s="362">
        <v>14297613</v>
      </c>
      <c r="L227" s="362">
        <v>14913315</v>
      </c>
      <c r="M227" s="362">
        <v>15469273.999999998</v>
      </c>
      <c r="N227" s="362">
        <v>15975667.999999998</v>
      </c>
      <c r="O227" s="362">
        <v>16450310.000000002</v>
      </c>
      <c r="P227" s="362">
        <v>16921149</v>
      </c>
      <c r="Q227" s="362">
        <v>17409072.000000004</v>
      </c>
      <c r="R227" s="362">
        <v>17918373</v>
      </c>
      <c r="S227" s="362">
        <v>18443690.999999996</v>
      </c>
      <c r="T227" s="362">
        <v>18985000</v>
      </c>
      <c r="U227" s="362">
        <v>19540098</v>
      </c>
      <c r="V227" s="362">
        <v>20107409</v>
      </c>
      <c r="W227" s="362">
        <v>20687646</v>
      </c>
      <c r="X227" s="362">
        <v>21282515</v>
      </c>
      <c r="Y227" s="362">
        <v>21892146</v>
      </c>
      <c r="Z227" s="362">
        <v>22516460</v>
      </c>
      <c r="AA227" s="362">
        <v>23154855</v>
      </c>
      <c r="AB227" s="362">
        <v>23807588</v>
      </c>
      <c r="AC227" s="362">
        <v>24473178</v>
      </c>
      <c r="AD227" s="362">
        <v>25147109</v>
      </c>
      <c r="AE227" s="362">
        <v>25823485</v>
      </c>
      <c r="AF227" s="362">
        <v>26497889</v>
      </c>
      <c r="AG227" s="362">
        <v>27168208</v>
      </c>
      <c r="AH227" s="362">
        <v>27834819</v>
      </c>
      <c r="AI227" s="362">
        <v>28498683</v>
      </c>
      <c r="AJ227" s="362">
        <v>29161921.999999996</v>
      </c>
      <c r="AK227" s="362">
        <v>29825964</v>
      </c>
      <c r="AL227" s="363">
        <v>30490640</v>
      </c>
      <c r="AM227" s="362">
        <v>31154867</v>
      </c>
      <c r="AN227" s="362">
        <v>31818237</v>
      </c>
      <c r="AO227" s="362">
        <v>32480193</v>
      </c>
      <c r="AP227" s="362">
        <v>33140296.000000004</v>
      </c>
      <c r="AQ227" s="362">
        <v>33798205</v>
      </c>
      <c r="AR227" s="362">
        <v>34453804</v>
      </c>
      <c r="AS227" s="362">
        <v>35107082</v>
      </c>
      <c r="AT227" s="362">
        <v>35758123</v>
      </c>
      <c r="AU227" s="362">
        <v>36406888</v>
      </c>
      <c r="AV227" s="362" t="s">
        <v>497</v>
      </c>
      <c r="AW227" s="362">
        <v>2.2770858518859072E-2</v>
      </c>
      <c r="AX227" s="362">
        <v>2.2285147262968596E-2</v>
      </c>
    </row>
    <row r="228" spans="1:50" x14ac:dyDescent="0.25">
      <c r="A228" s="361" t="s">
        <v>499</v>
      </c>
      <c r="B228" s="361">
        <v>894</v>
      </c>
      <c r="C228" s="361" t="s">
        <v>498</v>
      </c>
      <c r="D228" s="361">
        <v>224</v>
      </c>
      <c r="E228" s="361">
        <v>26</v>
      </c>
      <c r="F228" s="361" t="s">
        <v>2374</v>
      </c>
      <c r="G228" s="362">
        <v>8036845</v>
      </c>
      <c r="H228" s="362">
        <v>8246656.0000000019</v>
      </c>
      <c r="I228" s="362">
        <v>8451347</v>
      </c>
      <c r="J228" s="362">
        <v>8656486.0000000019</v>
      </c>
      <c r="K228" s="362">
        <v>8869740</v>
      </c>
      <c r="L228" s="362">
        <v>9096607</v>
      </c>
      <c r="M228" s="362">
        <v>9339733</v>
      </c>
      <c r="N228" s="362">
        <v>9597609</v>
      </c>
      <c r="O228" s="362">
        <v>9866476</v>
      </c>
      <c r="P228" s="362">
        <v>10140561</v>
      </c>
      <c r="Q228" s="362">
        <v>10415944</v>
      </c>
      <c r="R228" s="362">
        <v>10692193</v>
      </c>
      <c r="S228" s="362">
        <v>10971698</v>
      </c>
      <c r="T228" s="362">
        <v>11256743</v>
      </c>
      <c r="U228" s="362">
        <v>11550642</v>
      </c>
      <c r="V228" s="362">
        <v>11856247</v>
      </c>
      <c r="W228" s="362">
        <v>12173513.999999998</v>
      </c>
      <c r="X228" s="362">
        <v>12502958.000000002</v>
      </c>
      <c r="Y228" s="362">
        <v>12848530</v>
      </c>
      <c r="Z228" s="362">
        <v>13215138.999999998</v>
      </c>
      <c r="AA228" s="362">
        <v>13605984.000000002</v>
      </c>
      <c r="AB228" s="362">
        <v>14023202.999999998</v>
      </c>
      <c r="AC228" s="362">
        <v>14465150</v>
      </c>
      <c r="AD228" s="362">
        <v>14926544</v>
      </c>
      <c r="AE228" s="362">
        <v>15399788</v>
      </c>
      <c r="AF228" s="362">
        <v>15879361.000000002</v>
      </c>
      <c r="AG228" s="362">
        <v>16363458.000000002</v>
      </c>
      <c r="AH228" s="362">
        <v>16853599</v>
      </c>
      <c r="AI228" s="362">
        <v>17351708</v>
      </c>
      <c r="AJ228" s="362">
        <v>17861030</v>
      </c>
      <c r="AK228" s="362">
        <v>18383955</v>
      </c>
      <c r="AL228" s="363">
        <v>18920651</v>
      </c>
      <c r="AM228" s="362">
        <v>19470234</v>
      </c>
      <c r="AN228" s="362">
        <v>20032812</v>
      </c>
      <c r="AO228" s="362">
        <v>20608359</v>
      </c>
      <c r="AP228" s="362">
        <v>21196801</v>
      </c>
      <c r="AQ228" s="362">
        <v>21798153</v>
      </c>
      <c r="AR228" s="362">
        <v>22412316</v>
      </c>
      <c r="AS228" s="362">
        <v>23038730</v>
      </c>
      <c r="AT228" s="362">
        <v>23676661</v>
      </c>
      <c r="AU228" s="362">
        <v>24325505</v>
      </c>
      <c r="AV228" s="362" t="s">
        <v>499</v>
      </c>
      <c r="AW228" s="362">
        <v>2.9277426889714686E-2</v>
      </c>
      <c r="AX228" s="362">
        <v>2.9193718109079336E-2</v>
      </c>
    </row>
    <row r="229" spans="1:50" x14ac:dyDescent="0.25">
      <c r="A229" s="361" t="s">
        <v>501</v>
      </c>
      <c r="B229" s="361">
        <v>716</v>
      </c>
      <c r="C229" s="361" t="s">
        <v>500</v>
      </c>
      <c r="D229" s="361">
        <v>187</v>
      </c>
      <c r="E229" s="361">
        <v>26</v>
      </c>
      <c r="F229" s="361" t="s">
        <v>2374</v>
      </c>
      <c r="G229" s="362">
        <v>10432421</v>
      </c>
      <c r="H229" s="362">
        <v>10680995.000000002</v>
      </c>
      <c r="I229" s="362">
        <v>10900502.000000002</v>
      </c>
      <c r="J229" s="362">
        <v>11092766</v>
      </c>
      <c r="K229" s="362">
        <v>11261744</v>
      </c>
      <c r="L229" s="362">
        <v>11410714</v>
      </c>
      <c r="M229" s="362">
        <v>11541217.000000002</v>
      </c>
      <c r="N229" s="362">
        <v>11653242</v>
      </c>
      <c r="O229" s="362">
        <v>11747072</v>
      </c>
      <c r="P229" s="362">
        <v>11822719</v>
      </c>
      <c r="Q229" s="362">
        <v>11881477</v>
      </c>
      <c r="R229" s="362">
        <v>11923914</v>
      </c>
      <c r="S229" s="362">
        <v>11954290</v>
      </c>
      <c r="T229" s="362">
        <v>11982224</v>
      </c>
      <c r="U229" s="362">
        <v>12019912</v>
      </c>
      <c r="V229" s="362">
        <v>12076699.000000002</v>
      </c>
      <c r="W229" s="362">
        <v>12155491</v>
      </c>
      <c r="X229" s="362">
        <v>12255922</v>
      </c>
      <c r="Y229" s="362">
        <v>12379549</v>
      </c>
      <c r="Z229" s="362">
        <v>12526968</v>
      </c>
      <c r="AA229" s="362">
        <v>12697723</v>
      </c>
      <c r="AB229" s="362">
        <v>12894322</v>
      </c>
      <c r="AC229" s="362">
        <v>13115150</v>
      </c>
      <c r="AD229" s="362">
        <v>13350373</v>
      </c>
      <c r="AE229" s="362">
        <v>13586707</v>
      </c>
      <c r="AF229" s="362">
        <v>13814629</v>
      </c>
      <c r="AG229" s="362">
        <v>14030331</v>
      </c>
      <c r="AH229" s="362">
        <v>14236595</v>
      </c>
      <c r="AI229" s="362">
        <v>14438801.999999998</v>
      </c>
      <c r="AJ229" s="362">
        <v>14645468.000000002</v>
      </c>
      <c r="AK229" s="362">
        <v>14862924.000000002</v>
      </c>
      <c r="AL229" s="363">
        <v>15092171</v>
      </c>
      <c r="AM229" s="362">
        <v>15331428</v>
      </c>
      <c r="AN229" s="362">
        <v>15581031</v>
      </c>
      <c r="AO229" s="362">
        <v>15840804</v>
      </c>
      <c r="AP229" s="362">
        <v>16110482</v>
      </c>
      <c r="AQ229" s="362">
        <v>16390393</v>
      </c>
      <c r="AR229" s="362">
        <v>16680450</v>
      </c>
      <c r="AS229" s="362">
        <v>16979324</v>
      </c>
      <c r="AT229" s="362">
        <v>17285172</v>
      </c>
      <c r="AU229" s="362">
        <v>17596447</v>
      </c>
      <c r="AV229" s="362" t="s">
        <v>501</v>
      </c>
      <c r="AW229" s="362">
        <v>1.484800622281246E-2</v>
      </c>
      <c r="AX229" s="362">
        <v>1.5424084789776193E-2</v>
      </c>
    </row>
    <row r="230" spans="1:50" x14ac:dyDescent="0.25">
      <c r="D230" s="361">
        <v>227</v>
      </c>
    </row>
    <row r="231" spans="1:50" x14ac:dyDescent="0.25">
      <c r="A231" s="369" t="s">
        <v>22</v>
      </c>
      <c r="B231" s="361">
        <v>9000</v>
      </c>
      <c r="C231" s="361" t="s">
        <v>2501</v>
      </c>
      <c r="D231" s="361">
        <v>228</v>
      </c>
      <c r="G231" s="371">
        <v>476683.87400000013</v>
      </c>
      <c r="H231" s="371">
        <v>478058.67699999997</v>
      </c>
      <c r="I231" s="371">
        <v>479439.47700000013</v>
      </c>
      <c r="J231" s="371">
        <v>480753.10499999998</v>
      </c>
      <c r="K231" s="371">
        <v>481902.158</v>
      </c>
      <c r="L231" s="371">
        <v>482829.23699999996</v>
      </c>
      <c r="M231" s="371">
        <v>483487.37699999998</v>
      </c>
      <c r="N231" s="371">
        <v>483930.30400000012</v>
      </c>
      <c r="O231" s="371">
        <v>484324.391</v>
      </c>
      <c r="P231" s="371">
        <v>484899.06499999977</v>
      </c>
      <c r="Q231" s="371">
        <v>485815.11200000014</v>
      </c>
      <c r="R231" s="371">
        <v>487130.27000000014</v>
      </c>
      <c r="S231" s="371">
        <v>488783.98300000007</v>
      </c>
      <c r="T231" s="371">
        <v>490670.99800000014</v>
      </c>
      <c r="U231" s="371">
        <v>492630.29999999993</v>
      </c>
      <c r="V231" s="371">
        <v>494538.69400000008</v>
      </c>
      <c r="W231" s="371">
        <v>496371.32300000003</v>
      </c>
      <c r="X231" s="371">
        <v>498148.04499999993</v>
      </c>
      <c r="Y231" s="371">
        <v>499843.18000000005</v>
      </c>
      <c r="Z231" s="371">
        <v>501436.59300000005</v>
      </c>
      <c r="AA231" s="371">
        <v>502914.86200000002</v>
      </c>
      <c r="AB231" s="371">
        <v>504248.51899999997</v>
      </c>
      <c r="AC231" s="371">
        <v>505433.05299999996</v>
      </c>
      <c r="AD231" s="371">
        <v>506512.33899999998</v>
      </c>
      <c r="AE231" s="371">
        <v>507551.52499999991</v>
      </c>
      <c r="AF231" s="371">
        <v>508593.20200000005</v>
      </c>
      <c r="AG231" s="371">
        <v>509658.739</v>
      </c>
      <c r="AH231" s="371">
        <v>510721.12399999995</v>
      </c>
      <c r="AI231" s="371">
        <v>511716.41400000011</v>
      </c>
      <c r="AJ231" s="371">
        <v>512554.91999999993</v>
      </c>
      <c r="AK231" s="371">
        <v>513174.65300000005</v>
      </c>
      <c r="AL231" s="371">
        <v>513553.03700000001</v>
      </c>
      <c r="AM231" s="371">
        <v>513717.56100000016</v>
      </c>
      <c r="AN231" s="371">
        <v>513718.01700000005</v>
      </c>
      <c r="AO231" s="371">
        <v>513628.35600000003</v>
      </c>
      <c r="AP231" s="371">
        <v>513503.90999999992</v>
      </c>
      <c r="AQ231" s="371">
        <v>513360.24499999994</v>
      </c>
      <c r="AR231" s="371">
        <v>513186.25700000004</v>
      </c>
      <c r="AS231" s="371">
        <v>512978.91899999999</v>
      </c>
      <c r="AT231" s="371">
        <v>512727.565</v>
      </c>
      <c r="AU231" s="371">
        <v>512424.65700000001</v>
      </c>
    </row>
    <row r="232" spans="1:50" x14ac:dyDescent="0.25">
      <c r="A232" s="369" t="s">
        <v>133</v>
      </c>
      <c r="D232" s="361">
        <v>229</v>
      </c>
    </row>
    <row r="233" spans="1:50" x14ac:dyDescent="0.25">
      <c r="A233" s="361" t="s">
        <v>2502</v>
      </c>
      <c r="C233" s="361">
        <v>9003</v>
      </c>
      <c r="D233" s="361">
        <v>230</v>
      </c>
    </row>
    <row r="234" spans="1:50" x14ac:dyDescent="0.25">
      <c r="A234" s="361" t="s">
        <v>504</v>
      </c>
    </row>
    <row r="235" spans="1:50" x14ac:dyDescent="0.25">
      <c r="A235" s="361" t="s">
        <v>505</v>
      </c>
    </row>
    <row r="236" spans="1:50" x14ac:dyDescent="0.25">
      <c r="A236" s="361" t="s">
        <v>2503</v>
      </c>
      <c r="B236" s="361">
        <v>9003</v>
      </c>
      <c r="C236" s="365"/>
    </row>
    <row r="238" spans="1:50" x14ac:dyDescent="0.25">
      <c r="C238" s="365"/>
    </row>
    <row r="239" spans="1:50" x14ac:dyDescent="0.25">
      <c r="B239" s="365"/>
      <c r="E239" s="361" t="s">
        <v>2504</v>
      </c>
      <c r="F239" s="361" t="s">
        <v>2505</v>
      </c>
    </row>
    <row r="240" spans="1:50" x14ac:dyDescent="0.25">
      <c r="F240" s="361" t="s">
        <v>2506</v>
      </c>
    </row>
    <row r="241" spans="2:6" x14ac:dyDescent="0.25">
      <c r="B241" s="365"/>
      <c r="C241" s="365"/>
      <c r="E241" s="361" t="s">
        <v>2507</v>
      </c>
      <c r="F241" s="361" t="s">
        <v>2505</v>
      </c>
    </row>
    <row r="242" spans="2:6" x14ac:dyDescent="0.25">
      <c r="F242" s="361" t="s">
        <v>2506</v>
      </c>
    </row>
    <row r="244" spans="2:6" x14ac:dyDescent="0.25">
      <c r="B244" s="36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BFBA8-6CED-4577-AD8D-E744B4339486}">
  <sheetPr>
    <tabColor theme="7" tint="0.59999389629810485"/>
  </sheetPr>
  <dimension ref="A1:AU244"/>
  <sheetViews>
    <sheetView workbookViewId="0"/>
  </sheetViews>
  <sheetFormatPr defaultColWidth="9.140625" defaultRowHeight="15" x14ac:dyDescent="0.25"/>
  <cols>
    <col min="1" max="1" width="25.140625" style="361" bestFit="1" customWidth="1"/>
    <col min="2" max="3" width="6.42578125" style="361" bestFit="1" customWidth="1"/>
    <col min="4" max="4" width="7.140625" style="361" bestFit="1" customWidth="1"/>
    <col min="5" max="5" width="11.5703125" style="361" bestFit="1" customWidth="1"/>
    <col min="6" max="6" width="12.5703125" style="361" bestFit="1" customWidth="1"/>
    <col min="7" max="37" width="9.140625" style="372"/>
    <col min="38" max="38" width="9.140625" style="373"/>
    <col min="39" max="16384" width="9.140625" style="372"/>
  </cols>
  <sheetData>
    <row r="1" spans="1:37" x14ac:dyDescent="0.25">
      <c r="A1" s="361" t="s">
        <v>2508</v>
      </c>
    </row>
    <row r="2" spans="1:37" x14ac:dyDescent="0.25">
      <c r="C2" s="372"/>
      <c r="D2" s="372"/>
      <c r="E2" s="372"/>
      <c r="F2" s="372"/>
    </row>
    <row r="3" spans="1:37" x14ac:dyDescent="0.25">
      <c r="A3" s="364" t="s">
        <v>2509</v>
      </c>
      <c r="C3" s="372"/>
      <c r="D3" s="372"/>
      <c r="E3" s="372"/>
      <c r="F3" s="372"/>
    </row>
    <row r="4" spans="1:37" x14ac:dyDescent="0.25">
      <c r="A4" s="364" t="s">
        <v>2510</v>
      </c>
    </row>
    <row r="5" spans="1:37" x14ac:dyDescent="0.25">
      <c r="A5" s="365" t="s">
        <v>2492</v>
      </c>
      <c r="B5" s="365" t="s">
        <v>24</v>
      </c>
      <c r="C5" s="365" t="s">
        <v>2493</v>
      </c>
      <c r="D5" s="365" t="s">
        <v>25</v>
      </c>
      <c r="E5" s="365" t="s">
        <v>2494</v>
      </c>
      <c r="F5" s="365" t="s">
        <v>2495</v>
      </c>
      <c r="G5" s="374">
        <v>1990</v>
      </c>
      <c r="H5" s="374">
        <v>1991</v>
      </c>
      <c r="I5" s="374">
        <v>1992</v>
      </c>
      <c r="J5" s="374">
        <v>1993</v>
      </c>
      <c r="K5" s="374">
        <v>1994</v>
      </c>
      <c r="L5" s="374">
        <v>1995</v>
      </c>
      <c r="M5" s="374">
        <v>1996</v>
      </c>
      <c r="N5" s="374">
        <v>1997</v>
      </c>
      <c r="O5" s="374">
        <v>1998</v>
      </c>
      <c r="P5" s="374">
        <v>1999</v>
      </c>
      <c r="Q5" s="374">
        <v>2000</v>
      </c>
      <c r="R5" s="374">
        <v>2001</v>
      </c>
      <c r="S5" s="374">
        <v>2002</v>
      </c>
      <c r="T5" s="374">
        <v>2003</v>
      </c>
      <c r="U5" s="374">
        <v>2004</v>
      </c>
      <c r="V5" s="374">
        <v>2005</v>
      </c>
      <c r="W5" s="374">
        <v>2006</v>
      </c>
      <c r="X5" s="374">
        <v>2007</v>
      </c>
      <c r="Y5" s="374">
        <v>2008</v>
      </c>
      <c r="Z5" s="374">
        <v>2009</v>
      </c>
      <c r="AA5" s="374">
        <v>2010</v>
      </c>
      <c r="AB5" s="374">
        <v>2011</v>
      </c>
      <c r="AC5" s="374">
        <v>2012</v>
      </c>
      <c r="AD5" s="374">
        <v>2013</v>
      </c>
      <c r="AE5" s="374">
        <v>2014</v>
      </c>
      <c r="AF5" s="374">
        <v>2015</v>
      </c>
      <c r="AG5" s="374">
        <v>2016</v>
      </c>
      <c r="AH5" s="374">
        <v>2017</v>
      </c>
      <c r="AI5" s="374">
        <v>2018</v>
      </c>
      <c r="AJ5" s="374">
        <v>2019</v>
      </c>
      <c r="AK5" s="374">
        <v>2020</v>
      </c>
    </row>
    <row r="6" spans="1:37" x14ac:dyDescent="0.25">
      <c r="A6" s="361" t="s">
        <v>55</v>
      </c>
      <c r="B6" s="361">
        <v>4</v>
      </c>
      <c r="C6" s="361" t="s">
        <v>54</v>
      </c>
      <c r="D6" s="361">
        <v>1</v>
      </c>
      <c r="E6" s="361">
        <v>25</v>
      </c>
      <c r="F6" s="361" t="s">
        <v>2374</v>
      </c>
      <c r="G6" s="372">
        <v>12613951.015384499</v>
      </c>
      <c r="H6" s="372">
        <v>13515064.965417042</v>
      </c>
      <c r="I6" s="372">
        <v>14720869.613862211</v>
      </c>
      <c r="J6" s="372">
        <v>16073550.178724492</v>
      </c>
      <c r="K6" s="372">
        <v>17353129.162608471</v>
      </c>
      <c r="L6" s="372">
        <v>18404872.023352165</v>
      </c>
      <c r="M6" s="372">
        <v>19159718.787967362</v>
      </c>
      <c r="N6" s="372">
        <v>19671590.421590049</v>
      </c>
      <c r="O6" s="372">
        <v>20058413.057681981</v>
      </c>
      <c r="P6" s="372">
        <v>20498527.603001975</v>
      </c>
      <c r="Q6" s="372">
        <v>21117531.827601448</v>
      </c>
      <c r="R6" s="372">
        <v>21958002.349119969</v>
      </c>
      <c r="S6" s="372">
        <v>22967928.743789744</v>
      </c>
      <c r="T6" s="372">
        <v>24996520.016197648</v>
      </c>
      <c r="U6" s="372">
        <v>25350000.300175779</v>
      </c>
      <c r="V6" s="372">
        <v>28196733.045535538</v>
      </c>
      <c r="W6" s="372">
        <v>29707345.737418938</v>
      </c>
      <c r="X6" s="372">
        <v>33814778.285647646</v>
      </c>
      <c r="Y6" s="372">
        <v>35142002.863090307</v>
      </c>
      <c r="Z6" s="372">
        <v>42659062.967715181</v>
      </c>
      <c r="AA6" s="372">
        <v>48785945.913701974</v>
      </c>
      <c r="AB6" s="372">
        <v>48993947.132345445</v>
      </c>
      <c r="AC6" s="372">
        <v>55241795.923749037</v>
      </c>
      <c r="AD6" s="372">
        <v>58335747.859765172</v>
      </c>
      <c r="AE6" s="372">
        <v>59925130.607472539</v>
      </c>
      <c r="AF6" s="372">
        <v>60794832.80975499</v>
      </c>
      <c r="AG6" s="372">
        <v>62168987.051384129</v>
      </c>
      <c r="AH6" s="372">
        <v>63825972.118572436</v>
      </c>
      <c r="AI6" s="372">
        <v>64483800.919856407</v>
      </c>
    </row>
    <row r="7" spans="1:37" x14ac:dyDescent="0.25">
      <c r="A7" s="361" t="s">
        <v>57</v>
      </c>
      <c r="B7" s="361">
        <v>8</v>
      </c>
      <c r="C7" s="361" t="s">
        <v>56</v>
      </c>
      <c r="D7" s="361">
        <v>2</v>
      </c>
      <c r="E7" s="361">
        <v>12</v>
      </c>
      <c r="F7" s="361" t="s">
        <v>2374</v>
      </c>
      <c r="G7" s="372">
        <v>14652218.186959367</v>
      </c>
      <c r="H7" s="372">
        <v>10549283.294494074</v>
      </c>
      <c r="I7" s="372">
        <v>9791094.603236746</v>
      </c>
      <c r="J7" s="372">
        <v>10727065.645743188</v>
      </c>
      <c r="K7" s="372">
        <v>11617719.595452031</v>
      </c>
      <c r="L7" s="372">
        <v>13165470.924150439</v>
      </c>
      <c r="M7" s="372">
        <v>14363528.70499575</v>
      </c>
      <c r="N7" s="372">
        <v>12795033.656350937</v>
      </c>
      <c r="O7" s="372">
        <v>13924846.350564113</v>
      </c>
      <c r="P7" s="372">
        <v>15719744.665407052</v>
      </c>
      <c r="Q7" s="372">
        <v>16812272.59986141</v>
      </c>
      <c r="R7" s="372">
        <v>18206021.771563187</v>
      </c>
      <c r="S7" s="372">
        <v>19032567.994183403</v>
      </c>
      <c r="T7" s="372">
        <v>20085078.668606412</v>
      </c>
      <c r="U7" s="372">
        <v>21191766.240774494</v>
      </c>
      <c r="V7" s="372">
        <v>22363652.860467885</v>
      </c>
      <c r="W7" s="372">
        <v>23683127.155172646</v>
      </c>
      <c r="X7" s="372">
        <v>25099373.904675256</v>
      </c>
      <c r="Y7" s="372">
        <v>26981819.307349689</v>
      </c>
      <c r="Z7" s="372">
        <v>27885708.608416948</v>
      </c>
      <c r="AA7" s="372">
        <v>28919398.554419752</v>
      </c>
      <c r="AB7" s="372">
        <v>29655514.485002209</v>
      </c>
      <c r="AC7" s="372">
        <v>30075889.110936724</v>
      </c>
      <c r="AD7" s="372">
        <v>30377245.888409406</v>
      </c>
      <c r="AE7" s="372">
        <v>30914923.230730012</v>
      </c>
      <c r="AF7" s="372">
        <v>31604326.074181151</v>
      </c>
      <c r="AG7" s="372">
        <v>32663070.89910211</v>
      </c>
      <c r="AH7" s="372">
        <v>33916228.697608694</v>
      </c>
      <c r="AI7" s="372">
        <v>35274374.648180902</v>
      </c>
    </row>
    <row r="8" spans="1:37" x14ac:dyDescent="0.25">
      <c r="A8" s="361" t="s">
        <v>59</v>
      </c>
      <c r="B8" s="361">
        <v>12</v>
      </c>
      <c r="C8" s="361" t="s">
        <v>58</v>
      </c>
      <c r="D8" s="361">
        <v>3</v>
      </c>
      <c r="E8" s="361">
        <v>7</v>
      </c>
      <c r="F8" s="361" t="s">
        <v>2374</v>
      </c>
      <c r="G8" s="372">
        <v>265260772.0596343</v>
      </c>
      <c r="H8" s="372">
        <v>262077641.24475983</v>
      </c>
      <c r="I8" s="372">
        <v>266795044.81761926</v>
      </c>
      <c r="J8" s="372">
        <v>261192346.8509039</v>
      </c>
      <c r="K8" s="372">
        <v>258841624.74338678</v>
      </c>
      <c r="L8" s="372">
        <v>268677592.99766684</v>
      </c>
      <c r="M8" s="372">
        <v>279693370.19914794</v>
      </c>
      <c r="N8" s="372">
        <v>282769997.09751064</v>
      </c>
      <c r="O8" s="372">
        <v>297191277.15890104</v>
      </c>
      <c r="P8" s="372">
        <v>306701402.63622004</v>
      </c>
      <c r="Q8" s="372">
        <v>318416410.1584155</v>
      </c>
      <c r="R8" s="372">
        <v>327995635.00505799</v>
      </c>
      <c r="S8" s="372">
        <v>346393970.2210359</v>
      </c>
      <c r="T8" s="372">
        <v>371340821.41732991</v>
      </c>
      <c r="U8" s="372">
        <v>387314508.29490733</v>
      </c>
      <c r="V8" s="372">
        <v>410196240.99596602</v>
      </c>
      <c r="W8" s="372">
        <v>417105948.75925386</v>
      </c>
      <c r="X8" s="372">
        <v>431174411.67236078</v>
      </c>
      <c r="Y8" s="372">
        <v>441350709.27418137</v>
      </c>
      <c r="Z8" s="372">
        <v>448554629.02817035</v>
      </c>
      <c r="AA8" s="372">
        <v>464855756.23619998</v>
      </c>
      <c r="AB8" s="372">
        <v>478298761.7749607</v>
      </c>
      <c r="AC8" s="372">
        <v>494440238.4439702</v>
      </c>
      <c r="AD8" s="372">
        <v>508124558.65610129</v>
      </c>
      <c r="AE8" s="372">
        <v>527378014.08983523</v>
      </c>
      <c r="AF8" s="372">
        <v>547225711.39297271</v>
      </c>
      <c r="AG8" s="372">
        <v>565284159.86760545</v>
      </c>
      <c r="AH8" s="372">
        <v>574328706.42844212</v>
      </c>
      <c r="AI8" s="372">
        <v>586389609.26343942</v>
      </c>
    </row>
    <row r="9" spans="1:37" x14ac:dyDescent="0.25">
      <c r="A9" s="361" t="s">
        <v>61</v>
      </c>
      <c r="B9" s="361">
        <v>16</v>
      </c>
      <c r="C9" s="361" t="s">
        <v>60</v>
      </c>
      <c r="D9" s="361">
        <v>4</v>
      </c>
      <c r="E9" s="361">
        <v>24</v>
      </c>
      <c r="F9" s="361" t="s">
        <v>2374</v>
      </c>
      <c r="G9" s="372">
        <v>509019.5501012149</v>
      </c>
      <c r="H9" s="372">
        <v>523404.16070031136</v>
      </c>
      <c r="I9" s="372">
        <v>536423.41588379873</v>
      </c>
      <c r="J9" s="372">
        <v>548507.3488534434</v>
      </c>
      <c r="K9" s="372">
        <v>560064.49115092377</v>
      </c>
      <c r="L9" s="372">
        <v>571524.87597800686</v>
      </c>
      <c r="M9" s="372">
        <v>582813.24752438301</v>
      </c>
      <c r="N9" s="372">
        <v>593671.58586899249</v>
      </c>
      <c r="O9" s="372">
        <v>603884.87441095198</v>
      </c>
      <c r="P9" s="372">
        <v>613367.10650990799</v>
      </c>
      <c r="Q9" s="372">
        <v>621623.74398382893</v>
      </c>
      <c r="R9" s="372">
        <v>628859.05260355386</v>
      </c>
      <c r="S9" s="372">
        <v>635159.03900943627</v>
      </c>
      <c r="T9" s="372">
        <v>640329.94027681288</v>
      </c>
      <c r="U9" s="372">
        <v>643777.20778839744</v>
      </c>
      <c r="V9" s="372">
        <v>641191.75715470884</v>
      </c>
      <c r="W9" s="372">
        <v>614475.43393992947</v>
      </c>
      <c r="X9" s="372">
        <v>626540.87023047486</v>
      </c>
      <c r="Y9" s="372">
        <v>610166.34955044871</v>
      </c>
      <c r="Z9" s="372">
        <v>584311.8432135653</v>
      </c>
      <c r="AA9" s="372">
        <v>586897.29384725366</v>
      </c>
      <c r="AB9" s="372">
        <v>588620.92760304583</v>
      </c>
      <c r="AC9" s="372">
        <v>562766.42126616242</v>
      </c>
      <c r="AD9" s="372">
        <v>547253.71746403235</v>
      </c>
      <c r="AE9" s="372">
        <v>552424.61873140908</v>
      </c>
      <c r="AF9" s="372">
        <v>559319.15375457809</v>
      </c>
      <c r="AG9" s="372">
        <v>544668.2668303441</v>
      </c>
      <c r="AH9" s="372">
        <v>515366.4929818763</v>
      </c>
      <c r="AI9" s="372">
        <v>486064.71913340845</v>
      </c>
    </row>
    <row r="10" spans="1:37" x14ac:dyDescent="0.25">
      <c r="A10" s="361" t="s">
        <v>63</v>
      </c>
      <c r="B10" s="361">
        <v>20</v>
      </c>
      <c r="C10" s="367" t="s">
        <v>62</v>
      </c>
      <c r="D10" s="361">
        <v>5</v>
      </c>
      <c r="E10" s="361">
        <v>11</v>
      </c>
      <c r="F10" s="361" t="s">
        <v>2374</v>
      </c>
      <c r="G10" s="375">
        <v>0</v>
      </c>
      <c r="H10" s="372">
        <v>0</v>
      </c>
      <c r="I10" s="372">
        <v>0</v>
      </c>
      <c r="J10" s="372">
        <v>0</v>
      </c>
      <c r="K10" s="372">
        <v>0</v>
      </c>
      <c r="L10" s="372">
        <v>0</v>
      </c>
      <c r="M10" s="372">
        <v>0</v>
      </c>
      <c r="N10" s="372">
        <v>0</v>
      </c>
      <c r="O10" s="372">
        <v>0</v>
      </c>
      <c r="P10" s="372">
        <v>0</v>
      </c>
      <c r="Q10" s="372">
        <v>0</v>
      </c>
      <c r="R10" s="372">
        <v>0</v>
      </c>
      <c r="S10" s="372">
        <v>0</v>
      </c>
      <c r="T10" s="372">
        <v>0</v>
      </c>
      <c r="U10" s="372">
        <v>0</v>
      </c>
      <c r="V10" s="372">
        <v>0</v>
      </c>
      <c r="W10" s="372">
        <v>0</v>
      </c>
      <c r="X10" s="372">
        <v>0</v>
      </c>
      <c r="Y10" s="372">
        <v>0</v>
      </c>
      <c r="Z10" s="372">
        <v>0</v>
      </c>
      <c r="AA10" s="372">
        <v>0</v>
      </c>
      <c r="AB10" s="372">
        <v>0</v>
      </c>
      <c r="AC10" s="372">
        <v>0</v>
      </c>
      <c r="AD10" s="372">
        <v>0</v>
      </c>
      <c r="AE10" s="372">
        <v>0</v>
      </c>
      <c r="AF10" s="372">
        <v>0</v>
      </c>
      <c r="AG10" s="372">
        <v>0</v>
      </c>
      <c r="AH10" s="372">
        <v>0</v>
      </c>
      <c r="AI10" s="372">
        <v>0</v>
      </c>
    </row>
    <row r="11" spans="1:37" x14ac:dyDescent="0.25">
      <c r="A11" s="361" t="s">
        <v>65</v>
      </c>
      <c r="B11" s="361">
        <v>24</v>
      </c>
      <c r="C11" s="361" t="s">
        <v>64</v>
      </c>
      <c r="D11" s="361">
        <v>6</v>
      </c>
      <c r="E11" s="361">
        <v>26</v>
      </c>
      <c r="F11" s="361" t="s">
        <v>2374</v>
      </c>
      <c r="G11" s="372">
        <v>56412886.585588828</v>
      </c>
      <c r="H11" s="372">
        <v>56972140.983977631</v>
      </c>
      <c r="I11" s="372">
        <v>53645947.453657612</v>
      </c>
      <c r="J11" s="372">
        <v>40779815.935099922</v>
      </c>
      <c r="K11" s="372">
        <v>41326005.879198462</v>
      </c>
      <c r="L11" s="372">
        <v>47524906.773006305</v>
      </c>
      <c r="M11" s="372">
        <v>53961855.872110069</v>
      </c>
      <c r="N11" s="372">
        <v>57887190.933938883</v>
      </c>
      <c r="O11" s="372">
        <v>60602763.836982608</v>
      </c>
      <c r="P11" s="372">
        <v>61924806.899155393</v>
      </c>
      <c r="Q11" s="372">
        <v>63816377.05774533</v>
      </c>
      <c r="R11" s="372">
        <v>66500492.955410108</v>
      </c>
      <c r="S11" s="372">
        <v>75588241.858961537</v>
      </c>
      <c r="T11" s="372">
        <v>77848216.916039512</v>
      </c>
      <c r="U11" s="372">
        <v>86374824.50425905</v>
      </c>
      <c r="V11" s="372">
        <v>99356023.734669462</v>
      </c>
      <c r="W11" s="372">
        <v>110829342.57396975</v>
      </c>
      <c r="X11" s="372">
        <v>126356553.68677293</v>
      </c>
      <c r="Y11" s="372">
        <v>140465701.26091531</v>
      </c>
      <c r="Z11" s="372">
        <v>141671897.9575291</v>
      </c>
      <c r="AA11" s="372">
        <v>148556046.56862915</v>
      </c>
      <c r="AB11" s="372">
        <v>153713884.83292055</v>
      </c>
      <c r="AC11" s="372">
        <v>166844351.3528907</v>
      </c>
      <c r="AD11" s="372">
        <v>175110805.69736564</v>
      </c>
      <c r="AE11" s="372">
        <v>183555744.15246314</v>
      </c>
      <c r="AF11" s="372">
        <v>185287731.39065501</v>
      </c>
      <c r="AG11" s="372">
        <v>180507127.74635655</v>
      </c>
      <c r="AH11" s="372">
        <v>180241407.84940869</v>
      </c>
      <c r="AI11" s="372">
        <v>176395969.56704584</v>
      </c>
    </row>
    <row r="12" spans="1:37" x14ac:dyDescent="0.25">
      <c r="A12" s="361" t="s">
        <v>67</v>
      </c>
      <c r="B12" s="361">
        <v>660</v>
      </c>
      <c r="C12" s="361" t="s">
        <v>66</v>
      </c>
      <c r="D12" s="361">
        <v>171</v>
      </c>
      <c r="E12" s="361">
        <v>4</v>
      </c>
      <c r="F12" s="361" t="s">
        <v>2374</v>
      </c>
      <c r="G12" s="372">
        <v>190152.16064453125</v>
      </c>
      <c r="H12" s="372">
        <v>145224.92980957031</v>
      </c>
      <c r="I12" s="372">
        <v>191754.5166015625</v>
      </c>
      <c r="J12" s="372">
        <v>199210.87646484375</v>
      </c>
      <c r="K12" s="372">
        <v>204358.38317871094</v>
      </c>
      <c r="L12" s="372">
        <v>204493.896484375</v>
      </c>
      <c r="M12" s="372">
        <v>196984.9853515625</v>
      </c>
      <c r="N12" s="372">
        <v>195566.48254394531</v>
      </c>
      <c r="O12" s="372">
        <v>225986.26708984375</v>
      </c>
      <c r="P12" s="372">
        <v>245141.00646972656</v>
      </c>
      <c r="Q12" s="372">
        <v>231877.91442871094</v>
      </c>
      <c r="R12" s="372">
        <v>229641.29638671875</v>
      </c>
      <c r="S12" s="372">
        <v>202028.71704101563</v>
      </c>
      <c r="T12" s="372">
        <v>239764.93835449219</v>
      </c>
      <c r="U12" s="372">
        <v>273644.37866210938</v>
      </c>
      <c r="V12" s="372">
        <v>331180.5419921875</v>
      </c>
      <c r="W12" s="372">
        <v>348768.798828125</v>
      </c>
      <c r="X12" s="372">
        <v>417664.52026367188</v>
      </c>
      <c r="Y12" s="372">
        <v>424521.45385742188</v>
      </c>
      <c r="Z12" s="372">
        <v>302758.94165039063</v>
      </c>
      <c r="AA12" s="372">
        <v>294215.05737304688</v>
      </c>
      <c r="AB12" s="372">
        <v>301952.63671875</v>
      </c>
      <c r="AC12" s="372">
        <v>284968.93310546875</v>
      </c>
      <c r="AD12" s="372">
        <v>265037.41455078125</v>
      </c>
      <c r="AE12" s="372">
        <v>296433.10546875</v>
      </c>
      <c r="AF12" s="372">
        <v>306364.30186060182</v>
      </c>
      <c r="AG12" s="372">
        <v>315069.06258502835</v>
      </c>
      <c r="AH12" s="372">
        <v>326669.0971095704</v>
      </c>
      <c r="AI12" s="372">
        <v>338269.13163411251</v>
      </c>
    </row>
    <row r="13" spans="1:37" x14ac:dyDescent="0.25">
      <c r="A13" s="361" t="s">
        <v>69</v>
      </c>
      <c r="B13" s="361">
        <v>32</v>
      </c>
      <c r="C13" s="361" t="s">
        <v>68</v>
      </c>
      <c r="D13" s="361">
        <v>8</v>
      </c>
      <c r="E13" s="361">
        <v>6</v>
      </c>
      <c r="F13" s="361" t="s">
        <v>2353</v>
      </c>
      <c r="G13" s="372">
        <v>370966147.83291924</v>
      </c>
      <c r="H13" s="372">
        <v>404846896.27767652</v>
      </c>
      <c r="I13" s="372">
        <v>436980774.79239649</v>
      </c>
      <c r="J13" s="372">
        <v>472843695.52919966</v>
      </c>
      <c r="K13" s="372">
        <v>500439802.61500621</v>
      </c>
      <c r="L13" s="372">
        <v>486201241.2558825</v>
      </c>
      <c r="M13" s="372">
        <v>513072075.79585975</v>
      </c>
      <c r="N13" s="372">
        <v>554687591.83129787</v>
      </c>
      <c r="O13" s="372">
        <v>576044056.18422651</v>
      </c>
      <c r="P13" s="372">
        <v>556542332.12699163</v>
      </c>
      <c r="Q13" s="372">
        <v>552151219.03110707</v>
      </c>
      <c r="R13" s="372">
        <v>527807756.97858357</v>
      </c>
      <c r="S13" s="372">
        <v>470305820.97042918</v>
      </c>
      <c r="T13" s="372">
        <v>511866938.23446345</v>
      </c>
      <c r="U13" s="372">
        <v>558086338.62429857</v>
      </c>
      <c r="V13" s="372">
        <v>607486243.3800509</v>
      </c>
      <c r="W13" s="372">
        <v>656371581.72911644</v>
      </c>
      <c r="X13" s="372">
        <v>715495242.25430262</v>
      </c>
      <c r="Y13" s="372">
        <v>744524552.07675445</v>
      </c>
      <c r="Z13" s="372">
        <v>700459679.76251316</v>
      </c>
      <c r="AA13" s="372">
        <v>771384011.26141238</v>
      </c>
      <c r="AB13" s="372">
        <v>817697534.66357493</v>
      </c>
      <c r="AC13" s="372">
        <v>809304519.91240108</v>
      </c>
      <c r="AD13" s="372">
        <v>828770913.9888978</v>
      </c>
      <c r="AE13" s="372">
        <v>807947089.02956295</v>
      </c>
      <c r="AF13" s="372">
        <v>830013415.35897219</v>
      </c>
      <c r="AG13" s="372">
        <v>812746415.17216599</v>
      </c>
      <c r="AH13" s="372">
        <v>834435287.81598711</v>
      </c>
      <c r="AI13" s="372">
        <v>813452664.82909727</v>
      </c>
    </row>
    <row r="14" spans="1:37" x14ac:dyDescent="0.25">
      <c r="A14" s="361" t="s">
        <v>71</v>
      </c>
      <c r="B14" s="361">
        <v>51</v>
      </c>
      <c r="C14" s="361" t="s">
        <v>70</v>
      </c>
      <c r="D14" s="361">
        <v>14</v>
      </c>
      <c r="E14" s="361">
        <v>16</v>
      </c>
      <c r="F14" s="361" t="s">
        <v>2374</v>
      </c>
      <c r="G14" s="372">
        <v>13241360.9196878</v>
      </c>
      <c r="H14" s="372">
        <v>11692121.892701441</v>
      </c>
      <c r="I14" s="372">
        <v>6804814.620636194</v>
      </c>
      <c r="J14" s="372">
        <v>6205991.0160752246</v>
      </c>
      <c r="K14" s="372">
        <v>6541114.703641979</v>
      </c>
      <c r="L14" s="372">
        <v>6992451.5145519394</v>
      </c>
      <c r="M14" s="372">
        <v>7402586.8181931591</v>
      </c>
      <c r="N14" s="372">
        <v>7648432.6261588614</v>
      </c>
      <c r="O14" s="372">
        <v>8206768.2070510928</v>
      </c>
      <c r="P14" s="372">
        <v>8477591.5580471493</v>
      </c>
      <c r="Q14" s="372">
        <v>8977769.4600597061</v>
      </c>
      <c r="R14" s="372">
        <v>9835742.7020367365</v>
      </c>
      <c r="S14" s="372">
        <v>11132713.294129716</v>
      </c>
      <c r="T14" s="372">
        <v>12695834.751843056</v>
      </c>
      <c r="U14" s="372">
        <v>14024814.655965421</v>
      </c>
      <c r="V14" s="372">
        <v>15969454.960032916</v>
      </c>
      <c r="W14" s="372">
        <v>18077104.187474392</v>
      </c>
      <c r="X14" s="372">
        <v>20562561.750298496</v>
      </c>
      <c r="Y14" s="372">
        <v>21981378.511490196</v>
      </c>
      <c r="Z14" s="372">
        <v>18871015.949343976</v>
      </c>
      <c r="AA14" s="372">
        <v>19286178.299762767</v>
      </c>
      <c r="AB14" s="372">
        <v>20192628.679619748</v>
      </c>
      <c r="AC14" s="372">
        <v>21646497.945291094</v>
      </c>
      <c r="AD14" s="372">
        <v>22360832.377485704</v>
      </c>
      <c r="AE14" s="372">
        <v>23165822.343207102</v>
      </c>
      <c r="AF14" s="372">
        <v>23907128.657950252</v>
      </c>
      <c r="AG14" s="372">
        <v>23954942.915224545</v>
      </c>
      <c r="AH14" s="372">
        <v>25751563.634022411</v>
      </c>
      <c r="AI14" s="372">
        <v>27090644.942991573</v>
      </c>
    </row>
    <row r="15" spans="1:37" x14ac:dyDescent="0.25">
      <c r="A15" s="361" t="s">
        <v>73</v>
      </c>
      <c r="B15" s="361">
        <v>533</v>
      </c>
      <c r="C15" s="361" t="s">
        <v>72</v>
      </c>
      <c r="D15" s="361">
        <v>139</v>
      </c>
      <c r="E15" s="361">
        <v>4</v>
      </c>
      <c r="F15" s="361" t="s">
        <v>2374</v>
      </c>
      <c r="G15" s="372">
        <v>2308215.3923987923</v>
      </c>
      <c r="H15" s="372">
        <v>2492015.6410363121</v>
      </c>
      <c r="I15" s="372">
        <v>2638604.7963913893</v>
      </c>
      <c r="J15" s="372">
        <v>2831425.9161276831</v>
      </c>
      <c r="K15" s="372">
        <v>3063713.3469211129</v>
      </c>
      <c r="L15" s="372">
        <v>3141750.496632427</v>
      </c>
      <c r="M15" s="372">
        <v>3179005.0594573948</v>
      </c>
      <c r="N15" s="372">
        <v>3403025.4834378897</v>
      </c>
      <c r="O15" s="372">
        <v>3470813.3550193114</v>
      </c>
      <c r="P15" s="372">
        <v>3513783.3877971196</v>
      </c>
      <c r="Q15" s="372">
        <v>3781413.8515395704</v>
      </c>
      <c r="R15" s="372">
        <v>3669058.3282524245</v>
      </c>
      <c r="S15" s="372">
        <v>3548946.3144977381</v>
      </c>
      <c r="T15" s="372">
        <v>3619057.4271167396</v>
      </c>
      <c r="U15" s="372">
        <v>3905381.4959791428</v>
      </c>
      <c r="V15" s="372">
        <v>3952806.4505529972</v>
      </c>
      <c r="W15" s="372">
        <v>3994334.8974430216</v>
      </c>
      <c r="X15" s="372">
        <v>4066241.9469496724</v>
      </c>
      <c r="Y15" s="372">
        <v>4062553.5502270013</v>
      </c>
      <c r="Z15" s="372">
        <v>3635183.1703587505</v>
      </c>
      <c r="AA15" s="372">
        <v>3501225.5952116507</v>
      </c>
      <c r="AB15" s="372">
        <v>3621879.7461577528</v>
      </c>
      <c r="AC15" s="372">
        <v>3572264.9551144959</v>
      </c>
      <c r="AD15" s="372">
        <v>3722236.937131614</v>
      </c>
      <c r="AE15" s="372">
        <v>3753809.9859773223</v>
      </c>
      <c r="AF15" s="372">
        <v>3736895.8526671212</v>
      </c>
      <c r="AG15" s="372">
        <v>3729002.5904556941</v>
      </c>
      <c r="AH15" s="372">
        <v>3778617.381498951</v>
      </c>
      <c r="AI15" s="372">
        <v>3823960.7900769389</v>
      </c>
    </row>
    <row r="16" spans="1:37" x14ac:dyDescent="0.25">
      <c r="A16" s="361" t="s">
        <v>75</v>
      </c>
      <c r="B16" s="361">
        <v>36</v>
      </c>
      <c r="C16" s="361" t="s">
        <v>74</v>
      </c>
      <c r="D16" s="361">
        <v>9</v>
      </c>
      <c r="E16" s="361">
        <v>24</v>
      </c>
      <c r="F16" s="361" t="s">
        <v>2353</v>
      </c>
      <c r="G16" s="372">
        <v>489247807.28779155</v>
      </c>
      <c r="H16" s="372">
        <v>487310159.98718286</v>
      </c>
      <c r="I16" s="372">
        <v>489324161.60648477</v>
      </c>
      <c r="J16" s="372">
        <v>509041099.77133596</v>
      </c>
      <c r="K16" s="372">
        <v>529305035.26846498</v>
      </c>
      <c r="L16" s="372">
        <v>549600263.51915669</v>
      </c>
      <c r="M16" s="372">
        <v>570917513.10120952</v>
      </c>
      <c r="N16" s="372">
        <v>593562827.14446783</v>
      </c>
      <c r="O16" s="372">
        <v>620728066.51233733</v>
      </c>
      <c r="P16" s="372">
        <v>652221719.55301392</v>
      </c>
      <c r="Q16" s="372">
        <v>677874267.21365774</v>
      </c>
      <c r="R16" s="372">
        <v>690962774.31883585</v>
      </c>
      <c r="S16" s="372">
        <v>718611173.80171514</v>
      </c>
      <c r="T16" s="372">
        <v>740068614.91972935</v>
      </c>
      <c r="U16" s="372">
        <v>770082120.71688545</v>
      </c>
      <c r="V16" s="372">
        <v>794757082.75622702</v>
      </c>
      <c r="W16" s="372">
        <v>816966801.66989112</v>
      </c>
      <c r="X16" s="372">
        <v>848373460.85566306</v>
      </c>
      <c r="Y16" s="372">
        <v>879406484.56389499</v>
      </c>
      <c r="Z16" s="372">
        <v>896439756.18320024</v>
      </c>
      <c r="AA16" s="372">
        <v>914973828.26337743</v>
      </c>
      <c r="AB16" s="372">
        <v>937507114.24888086</v>
      </c>
      <c r="AC16" s="372">
        <v>974078329.48265791</v>
      </c>
      <c r="AD16" s="372">
        <v>999557515.28856349</v>
      </c>
      <c r="AE16" s="372">
        <v>1025233219.5868437</v>
      </c>
      <c r="AF16" s="372">
        <v>1049183441.4536709</v>
      </c>
      <c r="AG16" s="372">
        <v>1079051123.0192242</v>
      </c>
      <c r="AH16" s="372">
        <v>1104328783.4921856</v>
      </c>
      <c r="AI16" s="372">
        <v>1135635931.721628</v>
      </c>
    </row>
    <row r="17" spans="1:35" x14ac:dyDescent="0.25">
      <c r="A17" s="361" t="s">
        <v>77</v>
      </c>
      <c r="B17" s="361">
        <v>40</v>
      </c>
      <c r="C17" s="361" t="s">
        <v>76</v>
      </c>
      <c r="D17" s="361">
        <v>10</v>
      </c>
      <c r="E17" s="361">
        <v>11</v>
      </c>
      <c r="F17" s="361" t="s">
        <v>2374</v>
      </c>
      <c r="G17" s="372">
        <v>240638425.19717434</v>
      </c>
      <c r="H17" s="372">
        <v>248920303.15522397</v>
      </c>
      <c r="I17" s="372">
        <v>254131511.24285451</v>
      </c>
      <c r="J17" s="372">
        <v>255470300.14190036</v>
      </c>
      <c r="K17" s="372">
        <v>261607000.15653414</v>
      </c>
      <c r="L17" s="372">
        <v>268586632.18858594</v>
      </c>
      <c r="M17" s="372">
        <v>274897169.37697279</v>
      </c>
      <c r="N17" s="372">
        <v>280652406.82810336</v>
      </c>
      <c r="O17" s="372">
        <v>290703779.15395659</v>
      </c>
      <c r="P17" s="372">
        <v>301042165.56260204</v>
      </c>
      <c r="Q17" s="372">
        <v>311204512.09424645</v>
      </c>
      <c r="R17" s="372">
        <v>315148003.76977175</v>
      </c>
      <c r="S17" s="372">
        <v>320352828.75827193</v>
      </c>
      <c r="T17" s="372">
        <v>323368865.14526576</v>
      </c>
      <c r="U17" s="372">
        <v>332213386.85873568</v>
      </c>
      <c r="V17" s="372">
        <v>339668477.21903634</v>
      </c>
      <c r="W17" s="372">
        <v>351400765.79598522</v>
      </c>
      <c r="X17" s="372">
        <v>364498931.2671923</v>
      </c>
      <c r="Y17" s="372">
        <v>369822165.48829544</v>
      </c>
      <c r="Z17" s="372">
        <v>355899912.42421591</v>
      </c>
      <c r="AA17" s="372">
        <v>362438130.46660352</v>
      </c>
      <c r="AB17" s="372">
        <v>373031463.57716262</v>
      </c>
      <c r="AC17" s="372">
        <v>375569735.185251</v>
      </c>
      <c r="AD17" s="372">
        <v>375665520.86839527</v>
      </c>
      <c r="AE17" s="372">
        <v>378149701.7377668</v>
      </c>
      <c r="AF17" s="372">
        <v>382471877.57954365</v>
      </c>
      <c r="AG17" s="372">
        <v>390272678.31338179</v>
      </c>
      <c r="AH17" s="372">
        <v>400228068.97515339</v>
      </c>
      <c r="AI17" s="372">
        <v>411150625.56289297</v>
      </c>
    </row>
    <row r="18" spans="1:35" x14ac:dyDescent="0.25">
      <c r="A18" s="361" t="s">
        <v>79</v>
      </c>
      <c r="B18" s="361">
        <v>31</v>
      </c>
      <c r="C18" s="361" t="s">
        <v>78</v>
      </c>
      <c r="D18" s="361">
        <v>7</v>
      </c>
      <c r="E18" s="361">
        <v>16</v>
      </c>
      <c r="F18" s="361" t="s">
        <v>2374</v>
      </c>
      <c r="G18" s="372">
        <v>62925566.32283707</v>
      </c>
      <c r="H18" s="372">
        <v>62485087.383708194</v>
      </c>
      <c r="I18" s="372">
        <v>48363457.388388403</v>
      </c>
      <c r="J18" s="372">
        <v>37191498.949999757</v>
      </c>
      <c r="K18" s="372">
        <v>29864773.649781585</v>
      </c>
      <c r="L18" s="372">
        <v>26340730.090515442</v>
      </c>
      <c r="M18" s="372">
        <v>26683159.63431105</v>
      </c>
      <c r="N18" s="372">
        <v>28230783.032894522</v>
      </c>
      <c r="O18" s="372">
        <v>31053861.414719608</v>
      </c>
      <c r="P18" s="372">
        <v>33351847.34004084</v>
      </c>
      <c r="Q18" s="372">
        <v>37053902.145827398</v>
      </c>
      <c r="R18" s="372">
        <v>40722238.458264306</v>
      </c>
      <c r="S18" s="372">
        <v>44565976.479086921</v>
      </c>
      <c r="T18" s="372">
        <v>49115405.060936444</v>
      </c>
      <c r="U18" s="372">
        <v>53660447.065872058</v>
      </c>
      <c r="V18" s="372">
        <v>68664733.399936244</v>
      </c>
      <c r="W18" s="372">
        <v>92330864.172650173</v>
      </c>
      <c r="X18" s="372">
        <v>115841271.46491992</v>
      </c>
      <c r="Y18" s="372">
        <v>128110527.09315485</v>
      </c>
      <c r="Z18" s="372">
        <v>140113846.49598336</v>
      </c>
      <c r="AA18" s="372">
        <v>146823664.20793861</v>
      </c>
      <c r="AB18" s="372">
        <v>144514131.46275955</v>
      </c>
      <c r="AC18" s="372">
        <v>147697689.65803719</v>
      </c>
      <c r="AD18" s="372">
        <v>156327183.09194678</v>
      </c>
      <c r="AE18" s="372">
        <v>160700106.7852225</v>
      </c>
      <c r="AF18" s="372">
        <v>162388664.73602462</v>
      </c>
      <c r="AG18" s="372">
        <v>157412751.21371919</v>
      </c>
      <c r="AH18" s="372">
        <v>156968829.63003045</v>
      </c>
      <c r="AI18" s="372">
        <v>159186600.66939139</v>
      </c>
    </row>
    <row r="19" spans="1:35" x14ac:dyDescent="0.25">
      <c r="A19" s="361" t="s">
        <v>81</v>
      </c>
      <c r="B19" s="361">
        <v>44</v>
      </c>
      <c r="C19" s="361" t="s">
        <v>80</v>
      </c>
      <c r="D19" s="361">
        <v>11</v>
      </c>
      <c r="E19" s="361">
        <v>4</v>
      </c>
      <c r="F19" s="361" t="s">
        <v>2374</v>
      </c>
      <c r="G19" s="372">
        <v>7944357.1972219609</v>
      </c>
      <c r="H19" s="372">
        <v>7612141.2769684419</v>
      </c>
      <c r="I19" s="372">
        <v>7320932.5727776308</v>
      </c>
      <c r="J19" s="372">
        <v>7343466.8638289561</v>
      </c>
      <c r="K19" s="372">
        <v>7574706.4389519747</v>
      </c>
      <c r="L19" s="372">
        <v>7906384.0554949073</v>
      </c>
      <c r="M19" s="372">
        <v>8240312.5916201212</v>
      </c>
      <c r="N19" s="372">
        <v>8410247.5838683397</v>
      </c>
      <c r="O19" s="372">
        <v>8806915.415445067</v>
      </c>
      <c r="P19" s="372">
        <v>9436091.5593686868</v>
      </c>
      <c r="Q19" s="372">
        <v>9827617.9294930249</v>
      </c>
      <c r="R19" s="372">
        <v>10085660.126790969</v>
      </c>
      <c r="S19" s="372">
        <v>10358433.019202502</v>
      </c>
      <c r="T19" s="372">
        <v>10227427.765290655</v>
      </c>
      <c r="U19" s="372">
        <v>10317719.581392022</v>
      </c>
      <c r="V19" s="372">
        <v>10668042.850710416</v>
      </c>
      <c r="W19" s="372">
        <v>10936541.393224029</v>
      </c>
      <c r="X19" s="372">
        <v>11094743.346009027</v>
      </c>
      <c r="Y19" s="372">
        <v>10836905.174959192</v>
      </c>
      <c r="Z19" s="372">
        <v>10384436.164524205</v>
      </c>
      <c r="AA19" s="372">
        <v>10544229.522044467</v>
      </c>
      <c r="AB19" s="372">
        <v>10608854.836133514</v>
      </c>
      <c r="AC19" s="372">
        <v>10936316.964351108</v>
      </c>
      <c r="AD19" s="372">
        <v>10891431.189766765</v>
      </c>
      <c r="AE19" s="372">
        <v>10875313.116166024</v>
      </c>
      <c r="AF19" s="372">
        <v>10988955.736363655</v>
      </c>
      <c r="AG19" s="372">
        <v>10803291.850582965</v>
      </c>
      <c r="AH19" s="372">
        <v>10958555.825395169</v>
      </c>
      <c r="AI19" s="372">
        <v>11210602.609379254</v>
      </c>
    </row>
    <row r="20" spans="1:35" x14ac:dyDescent="0.25">
      <c r="A20" s="361" t="s">
        <v>83</v>
      </c>
      <c r="B20" s="361">
        <v>48</v>
      </c>
      <c r="C20" s="361" t="s">
        <v>82</v>
      </c>
      <c r="D20" s="361">
        <v>12</v>
      </c>
      <c r="E20" s="361">
        <v>17</v>
      </c>
      <c r="F20" s="361" t="s">
        <v>2374</v>
      </c>
      <c r="G20" s="372">
        <v>17413790.317602839</v>
      </c>
      <c r="H20" s="372">
        <v>19369358.757823534</v>
      </c>
      <c r="I20" s="372">
        <v>20665168.542343862</v>
      </c>
      <c r="J20" s="372">
        <v>23324777.11203967</v>
      </c>
      <c r="K20" s="372">
        <v>23266464.822993249</v>
      </c>
      <c r="L20" s="372">
        <v>24180834.923431788</v>
      </c>
      <c r="M20" s="372">
        <v>25174668.717472184</v>
      </c>
      <c r="N20" s="372">
        <v>25953321.167214092</v>
      </c>
      <c r="O20" s="372">
        <v>27196485.974846281</v>
      </c>
      <c r="P20" s="372">
        <v>28365934.589023907</v>
      </c>
      <c r="Q20" s="372">
        <v>29869327.645533495</v>
      </c>
      <c r="R20" s="372">
        <v>30613382.622926582</v>
      </c>
      <c r="S20" s="372">
        <v>31719795.667224664</v>
      </c>
      <c r="T20" s="372">
        <v>33630580.677687474</v>
      </c>
      <c r="U20" s="372">
        <v>35978313.685169309</v>
      </c>
      <c r="V20" s="372">
        <v>38413664.046771787</v>
      </c>
      <c r="W20" s="372">
        <v>40898477.900763407</v>
      </c>
      <c r="X20" s="372">
        <v>44289961.204742558</v>
      </c>
      <c r="Y20" s="372">
        <v>47055926.124328226</v>
      </c>
      <c r="Z20" s="372">
        <v>48251039.581299789</v>
      </c>
      <c r="AA20" s="372">
        <v>50342436.060877308</v>
      </c>
      <c r="AB20" s="372">
        <v>51341141.014899395</v>
      </c>
      <c r="AC20" s="372">
        <v>53257321.531479821</v>
      </c>
      <c r="AD20" s="372">
        <v>56142006.330897085</v>
      </c>
      <c r="AE20" s="372">
        <v>58584095.087082461</v>
      </c>
      <c r="AF20" s="372">
        <v>60260753.039090335</v>
      </c>
      <c r="AG20" s="372">
        <v>62352357.799158782</v>
      </c>
      <c r="AH20" s="372">
        <v>64723943.609163456</v>
      </c>
      <c r="AI20" s="372">
        <v>65874537.111198179</v>
      </c>
    </row>
    <row r="21" spans="1:35" x14ac:dyDescent="0.25">
      <c r="A21" s="361" t="s">
        <v>85</v>
      </c>
      <c r="B21" s="361">
        <v>50</v>
      </c>
      <c r="C21" s="361" t="s">
        <v>84</v>
      </c>
      <c r="D21" s="361">
        <v>13</v>
      </c>
      <c r="E21" s="361">
        <v>25</v>
      </c>
      <c r="F21" s="361" t="s">
        <v>2374</v>
      </c>
      <c r="G21" s="372">
        <v>136763926.7861411</v>
      </c>
      <c r="H21" s="372">
        <v>141530461.20386368</v>
      </c>
      <c r="I21" s="372">
        <v>149233519.16567561</v>
      </c>
      <c r="J21" s="372">
        <v>156264748.53480169</v>
      </c>
      <c r="K21" s="372">
        <v>162343644.8349793</v>
      </c>
      <c r="L21" s="372">
        <v>170657714.03535962</v>
      </c>
      <c r="M21" s="372">
        <v>178376424.5798218</v>
      </c>
      <c r="N21" s="372">
        <v>186385341.41914064</v>
      </c>
      <c r="O21" s="372">
        <v>196034560.63258585</v>
      </c>
      <c r="P21" s="372">
        <v>205189681.1499956</v>
      </c>
      <c r="Q21" s="372">
        <v>216050975.70513409</v>
      </c>
      <c r="R21" s="372">
        <v>227020505.48448154</v>
      </c>
      <c r="S21" s="372">
        <v>235722482.82904351</v>
      </c>
      <c r="T21" s="372">
        <v>246894708.77770996</v>
      </c>
      <c r="U21" s="372">
        <v>259830838.29828432</v>
      </c>
      <c r="V21" s="372">
        <v>276813238.82796091</v>
      </c>
      <c r="W21" s="372">
        <v>295281955.09872389</v>
      </c>
      <c r="X21" s="372">
        <v>316124725.28139764</v>
      </c>
      <c r="Y21" s="372">
        <v>335135801.636774</v>
      </c>
      <c r="Z21" s="372">
        <v>352043821.05931604</v>
      </c>
      <c r="AA21" s="372">
        <v>371659006.68646508</v>
      </c>
      <c r="AB21" s="372">
        <v>395684471.60503918</v>
      </c>
      <c r="AC21" s="372">
        <v>421488777.53596628</v>
      </c>
      <c r="AD21" s="372">
        <v>446835470.35069913</v>
      </c>
      <c r="AE21" s="372">
        <v>473918433.44589871</v>
      </c>
      <c r="AF21" s="372">
        <v>504972662.92736542</v>
      </c>
      <c r="AG21" s="372">
        <v>540893840.15190315</v>
      </c>
      <c r="AH21" s="372">
        <v>580293543.21059179</v>
      </c>
      <c r="AI21" s="372">
        <v>625926138.17108393</v>
      </c>
    </row>
    <row r="22" spans="1:35" x14ac:dyDescent="0.25">
      <c r="A22" s="361" t="s">
        <v>87</v>
      </c>
      <c r="B22" s="361">
        <v>52</v>
      </c>
      <c r="C22" s="361" t="s">
        <v>86</v>
      </c>
      <c r="D22" s="361">
        <v>15</v>
      </c>
      <c r="E22" s="361">
        <v>4</v>
      </c>
      <c r="F22" s="361" t="s">
        <v>2374</v>
      </c>
      <c r="G22" s="372">
        <v>3685174.2983295731</v>
      </c>
      <c r="H22" s="372">
        <v>3540970.0031839274</v>
      </c>
      <c r="I22" s="372">
        <v>3293642.8690678487</v>
      </c>
      <c r="J22" s="372">
        <v>3333885.9281782615</v>
      </c>
      <c r="K22" s="372">
        <v>3460064.6864307011</v>
      </c>
      <c r="L22" s="372">
        <v>3530070.8413415244</v>
      </c>
      <c r="M22" s="372">
        <v>3670083.1511631687</v>
      </c>
      <c r="N22" s="372">
        <v>3844050.542109224</v>
      </c>
      <c r="O22" s="372">
        <v>3987835.63872247</v>
      </c>
      <c r="P22" s="372">
        <v>4000830.793226874</v>
      </c>
      <c r="Q22" s="372">
        <v>4178990.1694969302</v>
      </c>
      <c r="R22" s="372">
        <v>4079640.1173180989</v>
      </c>
      <c r="S22" s="372">
        <v>4112337.6028453098</v>
      </c>
      <c r="T22" s="372">
        <v>4201207.6917141378</v>
      </c>
      <c r="U22" s="372">
        <v>4260314.6847825563</v>
      </c>
      <c r="V22" s="372">
        <v>4429670.8918722104</v>
      </c>
      <c r="W22" s="372">
        <v>4680770.8127798913</v>
      </c>
      <c r="X22" s="372">
        <v>4763352.9236627165</v>
      </c>
      <c r="Y22" s="372">
        <v>4769221.7031163191</v>
      </c>
      <c r="Z22" s="372">
        <v>4579743.9664714579</v>
      </c>
      <c r="AA22" s="372">
        <v>4591900.7239110628</v>
      </c>
      <c r="AB22" s="372">
        <v>4622083.0182438716</v>
      </c>
      <c r="AC22" s="372">
        <v>4635078.172748276</v>
      </c>
      <c r="AD22" s="372">
        <v>4635497.3712806758</v>
      </c>
      <c r="AE22" s="372">
        <v>4636335.7683454761</v>
      </c>
      <c r="AF22" s="372">
        <v>4678255.6215854902</v>
      </c>
      <c r="AG22" s="372">
        <v>4772156.09284312</v>
      </c>
      <c r="AH22" s="372">
        <v>4819877.6537715504</v>
      </c>
      <c r="AI22" s="372">
        <v>4795778.2655026922</v>
      </c>
    </row>
    <row r="23" spans="1:35" x14ac:dyDescent="0.25">
      <c r="A23" s="361" t="s">
        <v>89</v>
      </c>
      <c r="B23" s="361">
        <v>112</v>
      </c>
      <c r="C23" s="361" t="s">
        <v>88</v>
      </c>
      <c r="D23" s="361">
        <v>30</v>
      </c>
      <c r="E23" s="361">
        <v>14</v>
      </c>
      <c r="F23" s="361" t="s">
        <v>2374</v>
      </c>
      <c r="G23" s="372">
        <v>85247615.337107241</v>
      </c>
      <c r="H23" s="372">
        <v>84224647.729698271</v>
      </c>
      <c r="I23" s="372">
        <v>76139080.371890515</v>
      </c>
      <c r="J23" s="372">
        <v>70352508.860984415</v>
      </c>
      <c r="K23" s="372">
        <v>62121262.582222492</v>
      </c>
      <c r="L23" s="372">
        <v>55660650.968345709</v>
      </c>
      <c r="M23" s="372">
        <v>57219151.783979863</v>
      </c>
      <c r="N23" s="372">
        <v>63742138.180251747</v>
      </c>
      <c r="O23" s="372">
        <v>69096472.318521366</v>
      </c>
      <c r="P23" s="372">
        <v>71445751.799172282</v>
      </c>
      <c r="Q23" s="372">
        <v>75589607.861311406</v>
      </c>
      <c r="R23" s="372">
        <v>79161448.132328615</v>
      </c>
      <c r="S23" s="372">
        <v>83155354.931663349</v>
      </c>
      <c r="T23" s="372">
        <v>89012146.702409863</v>
      </c>
      <c r="U23" s="372">
        <v>99203808.832434058</v>
      </c>
      <c r="V23" s="372">
        <v>108528968.37412918</v>
      </c>
      <c r="W23" s="372">
        <v>119381859.58157329</v>
      </c>
      <c r="X23" s="372">
        <v>129648707.30868316</v>
      </c>
      <c r="Y23" s="372">
        <v>142872874.7275444</v>
      </c>
      <c r="Z23" s="372">
        <v>143158613.77628234</v>
      </c>
      <c r="AA23" s="372">
        <v>154322504.45823154</v>
      </c>
      <c r="AB23" s="372">
        <v>162623060.50226009</v>
      </c>
      <c r="AC23" s="372">
        <v>165366731.94642118</v>
      </c>
      <c r="AD23" s="372">
        <v>167026138.88198075</v>
      </c>
      <c r="AE23" s="372">
        <v>169909652.84614429</v>
      </c>
      <c r="AF23" s="372">
        <v>163402842.80506608</v>
      </c>
      <c r="AG23" s="372">
        <v>159274557.50747329</v>
      </c>
      <c r="AH23" s="372">
        <v>163307681.5727424</v>
      </c>
      <c r="AI23" s="372">
        <v>168288411.61643577</v>
      </c>
    </row>
    <row r="24" spans="1:35" x14ac:dyDescent="0.25">
      <c r="A24" s="361" t="s">
        <v>91</v>
      </c>
      <c r="B24" s="361">
        <v>56</v>
      </c>
      <c r="C24" s="361" t="s">
        <v>90</v>
      </c>
      <c r="D24" s="361">
        <v>16</v>
      </c>
      <c r="E24" s="361">
        <v>11</v>
      </c>
      <c r="F24" s="361" t="s">
        <v>2374</v>
      </c>
      <c r="G24" s="372">
        <v>305478494.89833063</v>
      </c>
      <c r="H24" s="372">
        <v>311078142.69313443</v>
      </c>
      <c r="I24" s="372">
        <v>315839675.14044553</v>
      </c>
      <c r="J24" s="372">
        <v>312801698.35633391</v>
      </c>
      <c r="K24" s="372">
        <v>322895719.9416948</v>
      </c>
      <c r="L24" s="372">
        <v>330595998.83941686</v>
      </c>
      <c r="M24" s="372">
        <v>335863705.70852268</v>
      </c>
      <c r="N24" s="372">
        <v>348325658.5472104</v>
      </c>
      <c r="O24" s="372">
        <v>355206043.51294887</v>
      </c>
      <c r="P24" s="372">
        <v>367863230.12995595</v>
      </c>
      <c r="Q24" s="372">
        <v>381230040.16184556</v>
      </c>
      <c r="R24" s="372">
        <v>384323926.55734593</v>
      </c>
      <c r="S24" s="372">
        <v>391166796.94506896</v>
      </c>
      <c r="T24" s="372">
        <v>394196018.41081733</v>
      </c>
      <c r="U24" s="372">
        <v>408524464.68534321</v>
      </c>
      <c r="V24" s="372">
        <v>417080052.24875933</v>
      </c>
      <c r="W24" s="372">
        <v>427532663.26274323</v>
      </c>
      <c r="X24" s="372">
        <v>442278163.92325562</v>
      </c>
      <c r="Y24" s="372">
        <v>445741901.61234552</v>
      </c>
      <c r="Z24" s="372">
        <v>435698571.90659726</v>
      </c>
      <c r="AA24" s="372">
        <v>447655147.54337037</v>
      </c>
      <c r="AB24" s="372">
        <v>455705357.904872</v>
      </c>
      <c r="AC24" s="372">
        <v>456775257.02414143</v>
      </c>
      <c r="AD24" s="372">
        <v>457691830.60308748</v>
      </c>
      <c r="AE24" s="372">
        <v>463434384.65937835</v>
      </c>
      <c r="AF24" s="372">
        <v>471496198.60405731</v>
      </c>
      <c r="AG24" s="372">
        <v>478344927.12334651</v>
      </c>
      <c r="AH24" s="372">
        <v>486641292.05842394</v>
      </c>
      <c r="AI24" s="372">
        <v>493638389.30350173</v>
      </c>
    </row>
    <row r="25" spans="1:35" x14ac:dyDescent="0.25">
      <c r="A25" s="361" t="s">
        <v>93</v>
      </c>
      <c r="B25" s="361">
        <v>84</v>
      </c>
      <c r="C25" s="361" t="s">
        <v>92</v>
      </c>
      <c r="D25" s="361">
        <v>23</v>
      </c>
      <c r="E25" s="361">
        <v>4</v>
      </c>
      <c r="F25" s="361" t="s">
        <v>2374</v>
      </c>
      <c r="G25" s="372">
        <v>959486.67618087784</v>
      </c>
      <c r="H25" s="372">
        <v>1069482.578188169</v>
      </c>
      <c r="I25" s="372">
        <v>1198456.2453078264</v>
      </c>
      <c r="J25" s="372">
        <v>1273667.6670403494</v>
      </c>
      <c r="K25" s="372">
        <v>1275684.6890677027</v>
      </c>
      <c r="L25" s="372">
        <v>1283903.1392556983</v>
      </c>
      <c r="M25" s="372">
        <v>1302239.9755868544</v>
      </c>
      <c r="N25" s="372">
        <v>1348400.1002957346</v>
      </c>
      <c r="O25" s="372">
        <v>1398838.9820504454</v>
      </c>
      <c r="P25" s="372">
        <v>1521643.0502329676</v>
      </c>
      <c r="Q25" s="372">
        <v>1719754.5445267104</v>
      </c>
      <c r="R25" s="372">
        <v>1806010.2934498917</v>
      </c>
      <c r="S25" s="372">
        <v>1898475.9445477671</v>
      </c>
      <c r="T25" s="372">
        <v>2075564.8567644337</v>
      </c>
      <c r="U25" s="372">
        <v>2172038.9231915926</v>
      </c>
      <c r="V25" s="372">
        <v>2228034.2779643754</v>
      </c>
      <c r="W25" s="372">
        <v>2330113.9046861199</v>
      </c>
      <c r="X25" s="372">
        <v>2355875.3207670031</v>
      </c>
      <c r="Y25" s="372">
        <v>2431943.1346268277</v>
      </c>
      <c r="Z25" s="372">
        <v>2448256.6450909092</v>
      </c>
      <c r="AA25" s="372">
        <v>2531092.715978066</v>
      </c>
      <c r="AB25" s="372">
        <v>2585830.2997141178</v>
      </c>
      <c r="AC25" s="372">
        <v>2661797.1487967763</v>
      </c>
      <c r="AD25" s="372">
        <v>2684473.9204215445</v>
      </c>
      <c r="AE25" s="372">
        <v>2783594.6694566826</v>
      </c>
      <c r="AF25" s="372">
        <v>2879126.2601747806</v>
      </c>
      <c r="AG25" s="372">
        <v>2862196.3168593226</v>
      </c>
      <c r="AH25" s="372">
        <v>2903334.3481435035</v>
      </c>
      <c r="AI25" s="372">
        <v>2991875.7040027943</v>
      </c>
    </row>
    <row r="26" spans="1:35" x14ac:dyDescent="0.25">
      <c r="A26" s="361" t="s">
        <v>95</v>
      </c>
      <c r="B26" s="361">
        <v>204</v>
      </c>
      <c r="C26" s="361" t="s">
        <v>94</v>
      </c>
      <c r="D26" s="361">
        <v>52</v>
      </c>
      <c r="E26" s="361">
        <v>8</v>
      </c>
      <c r="F26" s="361" t="s">
        <v>2374</v>
      </c>
      <c r="G26" s="372">
        <v>7281933.6901334627</v>
      </c>
      <c r="H26" s="372">
        <v>7589653.601681442</v>
      </c>
      <c r="I26" s="372">
        <v>7814133.6079452727</v>
      </c>
      <c r="J26" s="372">
        <v>8270179.8924755482</v>
      </c>
      <c r="K26" s="372">
        <v>8437270.6440460123</v>
      </c>
      <c r="L26" s="372">
        <v>8947320.4149264656</v>
      </c>
      <c r="M26" s="372">
        <v>9334227.9628701396</v>
      </c>
      <c r="N26" s="372">
        <v>9869516.8489140235</v>
      </c>
      <c r="O26" s="372">
        <v>10260449.609263035</v>
      </c>
      <c r="P26" s="372">
        <v>10808506.330484075</v>
      </c>
      <c r="Q26" s="372">
        <v>11441883.947697969</v>
      </c>
      <c r="R26" s="372">
        <v>12051783.371855911</v>
      </c>
      <c r="S26" s="372">
        <v>12611524.8381216</v>
      </c>
      <c r="T26" s="372">
        <v>13045871.409656655</v>
      </c>
      <c r="U26" s="372">
        <v>13623755.116011029</v>
      </c>
      <c r="V26" s="372">
        <v>13856936.26068034</v>
      </c>
      <c r="W26" s="372">
        <v>14403871.439824602</v>
      </c>
      <c r="X26" s="372">
        <v>15266161.439333996</v>
      </c>
      <c r="Y26" s="372">
        <v>16012661.259453826</v>
      </c>
      <c r="Z26" s="372">
        <v>16385644.371865371</v>
      </c>
      <c r="AA26" s="372">
        <v>16731414.124143897</v>
      </c>
      <c r="AB26" s="372">
        <v>17227124.154802449</v>
      </c>
      <c r="AC26" s="372">
        <v>18056864.841211546</v>
      </c>
      <c r="AD26" s="372">
        <v>19355102.198146172</v>
      </c>
      <c r="AE26" s="372">
        <v>20584505.761803132</v>
      </c>
      <c r="AF26" s="372">
        <v>21015917.559206188</v>
      </c>
      <c r="AG26" s="372">
        <v>21849169.249308217</v>
      </c>
      <c r="AH26" s="372">
        <v>23124685.14362964</v>
      </c>
      <c r="AI26" s="372">
        <v>24710576.57591952</v>
      </c>
    </row>
    <row r="27" spans="1:35" x14ac:dyDescent="0.25">
      <c r="A27" s="361" t="s">
        <v>97</v>
      </c>
      <c r="B27" s="361">
        <v>60</v>
      </c>
      <c r="C27" s="361" t="s">
        <v>96</v>
      </c>
      <c r="D27" s="361">
        <v>17</v>
      </c>
      <c r="E27" s="361">
        <v>4</v>
      </c>
      <c r="F27" s="361" t="s">
        <v>2374</v>
      </c>
      <c r="G27" s="372">
        <v>2405862.6150460774</v>
      </c>
      <c r="H27" s="372">
        <v>2320830.2060624803</v>
      </c>
      <c r="I27" s="372">
        <v>2319443.8080899464</v>
      </c>
      <c r="J27" s="372">
        <v>2389225.8393753818</v>
      </c>
      <c r="K27" s="372">
        <v>2403551.9517584499</v>
      </c>
      <c r="L27" s="372">
        <v>2509287.7559164576</v>
      </c>
      <c r="M27" s="372">
        <v>2574541.1829230571</v>
      </c>
      <c r="N27" s="372">
        <v>2692970.0773375686</v>
      </c>
      <c r="O27" s="372">
        <v>2797995.9103537356</v>
      </c>
      <c r="P27" s="372">
        <v>2892642.2830334152</v>
      </c>
      <c r="Q27" s="372">
        <v>3162154.2648162972</v>
      </c>
      <c r="R27" s="372">
        <v>3390538.8330868846</v>
      </c>
      <c r="S27" s="372">
        <v>3340433.7765658665</v>
      </c>
      <c r="T27" s="372">
        <v>3454366.1586281308</v>
      </c>
      <c r="U27" s="372">
        <v>3534551.2022428042</v>
      </c>
      <c r="V27" s="372">
        <v>3593726.9111670242</v>
      </c>
      <c r="W27" s="372">
        <v>3792958.3129440052</v>
      </c>
      <c r="X27" s="372">
        <v>3900901.7386118486</v>
      </c>
      <c r="Y27" s="372">
        <v>3960503.3786961813</v>
      </c>
      <c r="Z27" s="372">
        <v>3751223.3641549493</v>
      </c>
      <c r="AA27" s="372">
        <v>3672668.4879902485</v>
      </c>
      <c r="AB27" s="372">
        <v>3550019.9291284299</v>
      </c>
      <c r="AC27" s="372">
        <v>3378392.7895769454</v>
      </c>
      <c r="AD27" s="372">
        <v>3293556.1293452452</v>
      </c>
      <c r="AE27" s="372">
        <v>3302741.4039280028</v>
      </c>
      <c r="AF27" s="372">
        <v>3312632.6211799351</v>
      </c>
      <c r="AG27" s="372">
        <v>3320267.7111729095</v>
      </c>
      <c r="AH27" s="372">
        <v>3325701.6660776972</v>
      </c>
      <c r="AI27" s="372">
        <v>3331135.6209824849</v>
      </c>
    </row>
    <row r="28" spans="1:35" x14ac:dyDescent="0.25">
      <c r="A28" s="361" t="s">
        <v>99</v>
      </c>
      <c r="B28" s="361">
        <v>64</v>
      </c>
      <c r="C28" s="367" t="s">
        <v>98</v>
      </c>
      <c r="D28" s="361">
        <v>18</v>
      </c>
      <c r="E28" s="361">
        <v>25</v>
      </c>
      <c r="F28" s="361" t="s">
        <v>2374</v>
      </c>
      <c r="G28" s="375">
        <v>1249305.9595790051</v>
      </c>
      <c r="H28" s="372">
        <v>1244210.3392931253</v>
      </c>
      <c r="I28" s="372">
        <v>1301455.1061878088</v>
      </c>
      <c r="J28" s="372">
        <v>1327306.7756005649</v>
      </c>
      <c r="K28" s="372">
        <v>1393028.4193093039</v>
      </c>
      <c r="L28" s="372">
        <v>1491572.8834063492</v>
      </c>
      <c r="M28" s="372">
        <v>1574581.4927324273</v>
      </c>
      <c r="N28" s="372">
        <v>1659196.9595042076</v>
      </c>
      <c r="O28" s="372">
        <v>1757322.3792963615</v>
      </c>
      <c r="P28" s="372">
        <v>1897626.5063927961</v>
      </c>
      <c r="Q28" s="372">
        <v>2029189.4120614056</v>
      </c>
      <c r="R28" s="372">
        <v>2195659.5226446106</v>
      </c>
      <c r="S28" s="372">
        <v>2431206.3766114661</v>
      </c>
      <c r="T28" s="372">
        <v>2617542.1545687988</v>
      </c>
      <c r="U28" s="372">
        <v>2771883.1246013045</v>
      </c>
      <c r="V28" s="372">
        <v>2969312.1535785245</v>
      </c>
      <c r="W28" s="372">
        <v>3172691.2086393517</v>
      </c>
      <c r="X28" s="372">
        <v>3741422.2807399202</v>
      </c>
      <c r="Y28" s="372">
        <v>3919826.548161047</v>
      </c>
      <c r="Z28" s="372">
        <v>4180778.1738884822</v>
      </c>
      <c r="AA28" s="372">
        <v>4671219.1725960728</v>
      </c>
      <c r="AB28" s="372">
        <v>5039821.0552725336</v>
      </c>
      <c r="AC28" s="372">
        <v>5295426.1543893209</v>
      </c>
      <c r="AD28" s="372">
        <v>5408880.4772454808</v>
      </c>
      <c r="AE28" s="372">
        <v>5719645.2801330537</v>
      </c>
      <c r="AF28" s="372">
        <v>6099690.7861126913</v>
      </c>
      <c r="AG28" s="372">
        <v>6589014.1551230177</v>
      </c>
      <c r="AH28" s="372">
        <v>6894026.3010131698</v>
      </c>
      <c r="AI28" s="372">
        <v>7051944.1898842352</v>
      </c>
    </row>
    <row r="29" spans="1:35" x14ac:dyDescent="0.25">
      <c r="A29" s="361" t="s">
        <v>101</v>
      </c>
      <c r="B29" s="361">
        <v>68</v>
      </c>
      <c r="C29" s="361" t="s">
        <v>100</v>
      </c>
      <c r="D29" s="361">
        <v>19</v>
      </c>
      <c r="E29" s="361">
        <v>6</v>
      </c>
      <c r="F29" s="361" t="s">
        <v>2374</v>
      </c>
      <c r="G29" s="372">
        <v>25417775.962414864</v>
      </c>
      <c r="H29" s="372">
        <v>26756410.11628253</v>
      </c>
      <c r="I29" s="372">
        <v>27196953.588129956</v>
      </c>
      <c r="J29" s="372">
        <v>28358071.413147684</v>
      </c>
      <c r="K29" s="372">
        <v>29681619.296035718</v>
      </c>
      <c r="L29" s="372">
        <v>31070206.354576327</v>
      </c>
      <c r="M29" s="372">
        <v>32425284.642565493</v>
      </c>
      <c r="N29" s="372">
        <v>34031700.92926921</v>
      </c>
      <c r="O29" s="372">
        <v>35743275.075362012</v>
      </c>
      <c r="P29" s="372">
        <v>35895859.391032837</v>
      </c>
      <c r="Q29" s="372">
        <v>36796058.464186072</v>
      </c>
      <c r="R29" s="372">
        <v>37415630.842128731</v>
      </c>
      <c r="S29" s="372">
        <v>38345620.609666809</v>
      </c>
      <c r="T29" s="372">
        <v>39385301.030645691</v>
      </c>
      <c r="U29" s="372">
        <v>41028965.560698777</v>
      </c>
      <c r="V29" s="372">
        <v>42843034.508527927</v>
      </c>
      <c r="W29" s="372">
        <v>44898218.802981876</v>
      </c>
      <c r="X29" s="372">
        <v>46947545.358136609</v>
      </c>
      <c r="Y29" s="372">
        <v>49834113.867609516</v>
      </c>
      <c r="Z29" s="372">
        <v>51507045.697527312</v>
      </c>
      <c r="AA29" s="372">
        <v>53632596.928834066</v>
      </c>
      <c r="AB29" s="372">
        <v>56423688.731645577</v>
      </c>
      <c r="AC29" s="372">
        <v>59313865.042339005</v>
      </c>
      <c r="AD29" s="372">
        <v>63344842.253658637</v>
      </c>
      <c r="AE29" s="372">
        <v>66803829.903315529</v>
      </c>
      <c r="AF29" s="372">
        <v>70048617.522661164</v>
      </c>
      <c r="AG29" s="372">
        <v>73035434.187581182</v>
      </c>
      <c r="AH29" s="372">
        <v>76099423.564010397</v>
      </c>
      <c r="AI29" s="372">
        <v>79313577.790875897</v>
      </c>
    </row>
    <row r="30" spans="1:35" x14ac:dyDescent="0.25">
      <c r="A30" s="361" t="s">
        <v>103</v>
      </c>
      <c r="B30" s="361">
        <v>70</v>
      </c>
      <c r="C30" s="361" t="s">
        <v>102</v>
      </c>
      <c r="D30" s="361">
        <v>20</v>
      </c>
      <c r="E30" s="361">
        <v>12</v>
      </c>
      <c r="F30" s="361" t="s">
        <v>2374</v>
      </c>
      <c r="G30" s="372">
        <v>976098.3540916919</v>
      </c>
      <c r="H30" s="372">
        <v>2184601.2683820133</v>
      </c>
      <c r="I30" s="372">
        <v>3393104.1826723344</v>
      </c>
      <c r="J30" s="372">
        <v>4601607.0969626559</v>
      </c>
      <c r="K30" s="372">
        <v>5810110.011252977</v>
      </c>
      <c r="L30" s="372">
        <v>7018612.9255432989</v>
      </c>
      <c r="M30" s="372">
        <v>13262207.085556358</v>
      </c>
      <c r="N30" s="372">
        <v>17823023.68364042</v>
      </c>
      <c r="O30" s="372">
        <v>20603414.730165794</v>
      </c>
      <c r="P30" s="372">
        <v>22581342.502042461</v>
      </c>
      <c r="Q30" s="372">
        <v>23823316.438071284</v>
      </c>
      <c r="R30" s="372">
        <v>24871542.243817162</v>
      </c>
      <c r="S30" s="372">
        <v>26189734.049206264</v>
      </c>
      <c r="T30" s="372">
        <v>27237323.428290427</v>
      </c>
      <c r="U30" s="372">
        <v>28898791.109231886</v>
      </c>
      <c r="V30" s="372">
        <v>31430110.405704822</v>
      </c>
      <c r="W30" s="372">
        <v>33132764.248357594</v>
      </c>
      <c r="X30" s="372">
        <v>35072881.401637278</v>
      </c>
      <c r="Y30" s="372">
        <v>36976190.786131337</v>
      </c>
      <c r="Z30" s="372">
        <v>35865887.279102772</v>
      </c>
      <c r="AA30" s="372">
        <v>36178691.981762245</v>
      </c>
      <c r="AB30" s="372">
        <v>36525628.665629141</v>
      </c>
      <c r="AC30" s="372">
        <v>36225486.885207854</v>
      </c>
      <c r="AD30" s="372">
        <v>37077160.403752513</v>
      </c>
      <c r="AE30" s="372">
        <v>37502820.298600718</v>
      </c>
      <c r="AF30" s="372">
        <v>38660991.306227773</v>
      </c>
      <c r="AG30" s="372">
        <v>39877133.907845423</v>
      </c>
      <c r="AH30" s="372">
        <v>41138670.760775588</v>
      </c>
      <c r="AI30" s="372">
        <v>42400037.880911618</v>
      </c>
    </row>
    <row r="31" spans="1:35" x14ac:dyDescent="0.25">
      <c r="A31" s="361" t="s">
        <v>105</v>
      </c>
      <c r="B31" s="361">
        <v>72</v>
      </c>
      <c r="C31" s="361" t="s">
        <v>104</v>
      </c>
      <c r="D31" s="361">
        <v>21</v>
      </c>
      <c r="E31" s="361">
        <v>26</v>
      </c>
      <c r="F31" s="361" t="s">
        <v>2374</v>
      </c>
      <c r="G31" s="372">
        <v>10939638.755176695</v>
      </c>
      <c r="H31" s="372">
        <v>11755594.587863818</v>
      </c>
      <c r="I31" s="372">
        <v>12098513.546988925</v>
      </c>
      <c r="J31" s="372">
        <v>12330334.029102499</v>
      </c>
      <c r="K31" s="372">
        <v>12777668.192779548</v>
      </c>
      <c r="L31" s="372">
        <v>13675990.688488755</v>
      </c>
      <c r="M31" s="372">
        <v>14473273.604371358</v>
      </c>
      <c r="N31" s="372">
        <v>15678302.574102392</v>
      </c>
      <c r="O31" s="372">
        <v>15747861.476960614</v>
      </c>
      <c r="P31" s="372">
        <v>17270245.157578215</v>
      </c>
      <c r="Q31" s="372">
        <v>17613525.104617968</v>
      </c>
      <c r="R31" s="372">
        <v>17657659.995538786</v>
      </c>
      <c r="S31" s="372">
        <v>18729397.11947272</v>
      </c>
      <c r="T31" s="372">
        <v>19595799.325379599</v>
      </c>
      <c r="U31" s="372">
        <v>20126026.722993225</v>
      </c>
      <c r="V31" s="372">
        <v>21043098.445659257</v>
      </c>
      <c r="W31" s="372">
        <v>22803116.068567947</v>
      </c>
      <c r="X31" s="372">
        <v>24690476.123114049</v>
      </c>
      <c r="Y31" s="372">
        <v>26232504.343987081</v>
      </c>
      <c r="Z31" s="372">
        <v>24225111.737691782</v>
      </c>
      <c r="AA31" s="372">
        <v>26299661.097384471</v>
      </c>
      <c r="AB31" s="372">
        <v>27890347.804021016</v>
      </c>
      <c r="AC31" s="372">
        <v>29133188.33848276</v>
      </c>
      <c r="AD31" s="372">
        <v>32437889.490076907</v>
      </c>
      <c r="AE31" s="372">
        <v>33783831.560235046</v>
      </c>
      <c r="AF31" s="372">
        <v>33210193.716614675</v>
      </c>
      <c r="AG31" s="372">
        <v>34639485.184127435</v>
      </c>
      <c r="AH31" s="372">
        <v>35646640.308584578</v>
      </c>
      <c r="AI31" s="372">
        <v>37234184.680430576</v>
      </c>
    </row>
    <row r="32" spans="1:35" x14ac:dyDescent="0.25">
      <c r="A32" s="369" t="s">
        <v>107</v>
      </c>
      <c r="B32" s="361">
        <v>76</v>
      </c>
      <c r="C32" s="361" t="s">
        <v>106</v>
      </c>
      <c r="D32" s="361">
        <v>22</v>
      </c>
      <c r="E32" s="361">
        <v>5</v>
      </c>
      <c r="F32" s="361" t="s">
        <v>2353</v>
      </c>
      <c r="G32" s="372">
        <v>1540940492.8080277</v>
      </c>
      <c r="H32" s="372">
        <v>1564238545.93659</v>
      </c>
      <c r="I32" s="372">
        <v>1556934909.5025179</v>
      </c>
      <c r="J32" s="372">
        <v>1629568554.1022747</v>
      </c>
      <c r="K32" s="372">
        <v>1716498731.1352077</v>
      </c>
      <c r="L32" s="372">
        <v>1792311868.8089402</v>
      </c>
      <c r="M32" s="372">
        <v>1831877790.0634947</v>
      </c>
      <c r="N32" s="372">
        <v>1894067219.6667175</v>
      </c>
      <c r="O32" s="372">
        <v>1900471021.2169206</v>
      </c>
      <c r="P32" s="372">
        <v>1909364039.0823319</v>
      </c>
      <c r="Q32" s="372">
        <v>1993145967.7938592</v>
      </c>
      <c r="R32" s="372">
        <v>2020848631.9119272</v>
      </c>
      <c r="S32" s="372">
        <v>2082554474.0943136</v>
      </c>
      <c r="T32" s="372">
        <v>2106312859.4360123</v>
      </c>
      <c r="U32" s="372">
        <v>2227635735.3202915</v>
      </c>
      <c r="V32" s="372">
        <v>2298967558.2309003</v>
      </c>
      <c r="W32" s="372">
        <v>2390052393.6069965</v>
      </c>
      <c r="X32" s="372">
        <v>2535125481.355618</v>
      </c>
      <c r="Y32" s="372">
        <v>2664269728.210866</v>
      </c>
      <c r="Z32" s="372">
        <v>2660917757.1959991</v>
      </c>
      <c r="AA32" s="372">
        <v>2861237655.1097651</v>
      </c>
      <c r="AB32" s="372">
        <v>2974955344.8322763</v>
      </c>
      <c r="AC32" s="372">
        <v>3032109472.5044374</v>
      </c>
      <c r="AD32" s="372">
        <v>3123218985.2966194</v>
      </c>
      <c r="AE32" s="372">
        <v>3138958626.653358</v>
      </c>
      <c r="AF32" s="372">
        <v>3027658580.7576637</v>
      </c>
      <c r="AG32" s="372">
        <v>2927580709.6271319</v>
      </c>
      <c r="AH32" s="372">
        <v>2958726106.6299877</v>
      </c>
      <c r="AI32" s="372">
        <v>2991792213.5994296</v>
      </c>
    </row>
    <row r="33" spans="1:35" x14ac:dyDescent="0.25">
      <c r="A33" s="361" t="s">
        <v>109</v>
      </c>
      <c r="B33" s="361">
        <v>96</v>
      </c>
      <c r="C33" s="361" t="s">
        <v>108</v>
      </c>
      <c r="D33" s="361">
        <v>26</v>
      </c>
      <c r="E33" s="361">
        <v>21</v>
      </c>
      <c r="F33" s="361" t="s">
        <v>2374</v>
      </c>
      <c r="G33" s="372">
        <v>21911944.834189486</v>
      </c>
      <c r="H33" s="372">
        <v>22601281.76987296</v>
      </c>
      <c r="I33" s="372">
        <v>23676782.035016496</v>
      </c>
      <c r="J33" s="372">
        <v>23748895.090564851</v>
      </c>
      <c r="K33" s="372">
        <v>24495892.218169969</v>
      </c>
      <c r="L33" s="372">
        <v>25592991.540903818</v>
      </c>
      <c r="M33" s="372">
        <v>26329639.158468213</v>
      </c>
      <c r="N33" s="372">
        <v>25942284.992110576</v>
      </c>
      <c r="O33" s="372">
        <v>25797395.034252711</v>
      </c>
      <c r="P33" s="372">
        <v>26584772.069137953</v>
      </c>
      <c r="Q33" s="372">
        <v>27342284.375329528</v>
      </c>
      <c r="R33" s="372">
        <v>28092567.737040211</v>
      </c>
      <c r="S33" s="372">
        <v>29180339.200350635</v>
      </c>
      <c r="T33" s="372">
        <v>30027723.258629583</v>
      </c>
      <c r="U33" s="372">
        <v>30179158.547889289</v>
      </c>
      <c r="V33" s="372">
        <v>30296104.962646153</v>
      </c>
      <c r="W33" s="372">
        <v>31628442.732111096</v>
      </c>
      <c r="X33" s="372">
        <v>31677334.551912416</v>
      </c>
      <c r="Y33" s="372">
        <v>31062884.656729296</v>
      </c>
      <c r="Z33" s="372">
        <v>30514769.01680021</v>
      </c>
      <c r="AA33" s="372">
        <v>31307837.41114977</v>
      </c>
      <c r="AB33" s="372">
        <v>32480415.591342643</v>
      </c>
      <c r="AC33" s="372">
        <v>32776910.359762844</v>
      </c>
      <c r="AD33" s="372">
        <v>32080063.898391075</v>
      </c>
      <c r="AE33" s="372">
        <v>31326263.639695656</v>
      </c>
      <c r="AF33" s="372">
        <v>31148701.800980736</v>
      </c>
      <c r="AG33" s="372">
        <v>30380725.909642626</v>
      </c>
      <c r="AH33" s="372">
        <v>30784410.237293463</v>
      </c>
      <c r="AI33" s="372">
        <v>30800524.851760764</v>
      </c>
    </row>
    <row r="34" spans="1:35" x14ac:dyDescent="0.25">
      <c r="A34" s="361" t="s">
        <v>111</v>
      </c>
      <c r="B34" s="361">
        <v>100</v>
      </c>
      <c r="C34" s="361" t="s">
        <v>110</v>
      </c>
      <c r="D34" s="361">
        <v>27</v>
      </c>
      <c r="E34" s="361">
        <v>12</v>
      </c>
      <c r="F34" s="361" t="s">
        <v>2374</v>
      </c>
      <c r="G34" s="372">
        <v>81053453.806488916</v>
      </c>
      <c r="H34" s="372">
        <v>74208201.699797004</v>
      </c>
      <c r="I34" s="372">
        <v>68811493.413735464</v>
      </c>
      <c r="J34" s="372">
        <v>67792935.484175026</v>
      </c>
      <c r="K34" s="372">
        <v>69025418.671688437</v>
      </c>
      <c r="L34" s="372">
        <v>70999676.408479184</v>
      </c>
      <c r="M34" s="372">
        <v>71499997.409445256</v>
      </c>
      <c r="N34" s="372">
        <v>70721490.960756928</v>
      </c>
      <c r="O34" s="372">
        <v>75211583.590929642</v>
      </c>
      <c r="P34" s="372">
        <v>68887692.566768944</v>
      </c>
      <c r="Q34" s="372">
        <v>72170722.285722926</v>
      </c>
      <c r="R34" s="372">
        <v>74891715.69861418</v>
      </c>
      <c r="S34" s="372">
        <v>79338423.600481331</v>
      </c>
      <c r="T34" s="372">
        <v>83429286.030462578</v>
      </c>
      <c r="U34" s="372">
        <v>88798259.532999158</v>
      </c>
      <c r="V34" s="372">
        <v>95123813.386467695</v>
      </c>
      <c r="W34" s="372">
        <v>101662965.22284821</v>
      </c>
      <c r="X34" s="372">
        <v>109129522.3141225</v>
      </c>
      <c r="Y34" s="372">
        <v>115701174.90515698</v>
      </c>
      <c r="Z34" s="372">
        <v>111551962.28309928</v>
      </c>
      <c r="AA34" s="372">
        <v>113029008.20739709</v>
      </c>
      <c r="AB34" s="372">
        <v>115193407.30105135</v>
      </c>
      <c r="AC34" s="372">
        <v>115229082.54802035</v>
      </c>
      <c r="AD34" s="372">
        <v>115798223.6702168</v>
      </c>
      <c r="AE34" s="372">
        <v>117926040.51909775</v>
      </c>
      <c r="AF34" s="372">
        <v>122019472.77619117</v>
      </c>
      <c r="AG34" s="372">
        <v>126823084.31404921</v>
      </c>
      <c r="AH34" s="372">
        <v>131656626.77944909</v>
      </c>
      <c r="AI34" s="372">
        <v>135713174.45916775</v>
      </c>
    </row>
    <row r="35" spans="1:35" x14ac:dyDescent="0.25">
      <c r="A35" s="361" t="s">
        <v>113</v>
      </c>
      <c r="B35" s="361">
        <v>854</v>
      </c>
      <c r="C35" s="361" t="s">
        <v>112</v>
      </c>
      <c r="D35" s="361">
        <v>216</v>
      </c>
      <c r="E35" s="361">
        <v>8</v>
      </c>
      <c r="F35" s="361" t="s">
        <v>2374</v>
      </c>
      <c r="G35" s="372">
        <v>7439527.5461526802</v>
      </c>
      <c r="H35" s="372">
        <v>8114291.538548233</v>
      </c>
      <c r="I35" s="372">
        <v>8133174.3682625322</v>
      </c>
      <c r="J35" s="372">
        <v>8414694.8405942749</v>
      </c>
      <c r="K35" s="372">
        <v>8525348.6896765474</v>
      </c>
      <c r="L35" s="372">
        <v>9012689.4942262396</v>
      </c>
      <c r="M35" s="372">
        <v>10005414.157742633</v>
      </c>
      <c r="N35" s="372">
        <v>10637439.634637928</v>
      </c>
      <c r="O35" s="372">
        <v>11414793.899282306</v>
      </c>
      <c r="P35" s="372">
        <v>12259965.668222312</v>
      </c>
      <c r="Q35" s="372">
        <v>12483126.699353477</v>
      </c>
      <c r="R35" s="372">
        <v>13308685.744954597</v>
      </c>
      <c r="S35" s="372">
        <v>13888013.410750158</v>
      </c>
      <c r="T35" s="372">
        <v>14971617.310179982</v>
      </c>
      <c r="U35" s="372">
        <v>15642117.350997102</v>
      </c>
      <c r="V35" s="372">
        <v>16997015.908058345</v>
      </c>
      <c r="W35" s="372">
        <v>18059866.270665221</v>
      </c>
      <c r="X35" s="372">
        <v>19081152.632626362</v>
      </c>
      <c r="Y35" s="372">
        <v>20473026.958425894</v>
      </c>
      <c r="Z35" s="372">
        <v>21079440.95919222</v>
      </c>
      <c r="AA35" s="372">
        <v>22212117.974810943</v>
      </c>
      <c r="AB35" s="372">
        <v>23684085.089357462</v>
      </c>
      <c r="AC35" s="372">
        <v>25212347.753045477</v>
      </c>
      <c r="AD35" s="372">
        <v>26672795.515520804</v>
      </c>
      <c r="AE35" s="372">
        <v>27826883.996020216</v>
      </c>
      <c r="AF35" s="372">
        <v>28910615.365931585</v>
      </c>
      <c r="AG35" s="372">
        <v>30626210.341402654</v>
      </c>
      <c r="AH35" s="372">
        <v>32556303.53632614</v>
      </c>
      <c r="AI35" s="372">
        <v>34675654.773541838</v>
      </c>
    </row>
    <row r="36" spans="1:35" x14ac:dyDescent="0.25">
      <c r="A36" s="361" t="s">
        <v>115</v>
      </c>
      <c r="B36" s="361">
        <v>108</v>
      </c>
      <c r="C36" s="361" t="s">
        <v>114</v>
      </c>
      <c r="D36" s="361">
        <v>29</v>
      </c>
      <c r="E36" s="361">
        <v>9</v>
      </c>
      <c r="F36" s="361" t="s">
        <v>2374</v>
      </c>
      <c r="G36" s="372">
        <v>5587966.2555985209</v>
      </c>
      <c r="H36" s="372">
        <v>5867187.7901615221</v>
      </c>
      <c r="I36" s="372">
        <v>5926446.2912654504</v>
      </c>
      <c r="J36" s="372">
        <v>5556636.0426080804</v>
      </c>
      <c r="K36" s="372">
        <v>5343816.8823874369</v>
      </c>
      <c r="L36" s="372">
        <v>4920586.5851020813</v>
      </c>
      <c r="M36" s="372">
        <v>4526939.6583952317</v>
      </c>
      <c r="N36" s="372">
        <v>4454961.317968973</v>
      </c>
      <c r="O36" s="372">
        <v>4666571.9803540315</v>
      </c>
      <c r="P36" s="372">
        <v>4619439.6035158746</v>
      </c>
      <c r="Q36" s="372">
        <v>4579857.2858527359</v>
      </c>
      <c r="R36" s="372">
        <v>4674010.3174876925</v>
      </c>
      <c r="S36" s="372">
        <v>4881841.0935852556</v>
      </c>
      <c r="T36" s="372">
        <v>4822100.639148837</v>
      </c>
      <c r="U36" s="372">
        <v>5055184.4812783906</v>
      </c>
      <c r="V36" s="372">
        <v>5100681.1416554889</v>
      </c>
      <c r="W36" s="372">
        <v>5376822.1817417368</v>
      </c>
      <c r="X36" s="372">
        <v>5562427.5289017698</v>
      </c>
      <c r="Y36" s="372">
        <v>5832856.7909161532</v>
      </c>
      <c r="Z36" s="372">
        <v>6055248.8595234975</v>
      </c>
      <c r="AA36" s="372">
        <v>6365529.6995115606</v>
      </c>
      <c r="AB36" s="372">
        <v>6622226.2090737876</v>
      </c>
      <c r="AC36" s="372">
        <v>6916697.2864017412</v>
      </c>
      <c r="AD36" s="372">
        <v>7257288.9664163943</v>
      </c>
      <c r="AE36" s="372">
        <v>7565045.3102573957</v>
      </c>
      <c r="AF36" s="372">
        <v>7270008.3097047862</v>
      </c>
      <c r="AG36" s="372">
        <v>7226386.8058051663</v>
      </c>
      <c r="AH36" s="372">
        <v>7262519.4623846728</v>
      </c>
      <c r="AI36" s="372">
        <v>7378718.0754031362</v>
      </c>
    </row>
    <row r="37" spans="1:35" x14ac:dyDescent="0.25">
      <c r="A37" s="361" t="s">
        <v>117</v>
      </c>
      <c r="B37" s="361">
        <v>116</v>
      </c>
      <c r="C37" s="361" t="s">
        <v>116</v>
      </c>
      <c r="D37" s="361">
        <v>31</v>
      </c>
      <c r="E37" s="361">
        <v>21</v>
      </c>
      <c r="F37" s="361" t="s">
        <v>2374</v>
      </c>
      <c r="G37" s="372">
        <v>33379080.422018468</v>
      </c>
      <c r="H37" s="372">
        <v>27695454.911629062</v>
      </c>
      <c r="I37" s="372">
        <v>22011829.401239663</v>
      </c>
      <c r="J37" s="372">
        <v>16328203.890850261</v>
      </c>
      <c r="K37" s="372">
        <v>10644578.380460862</v>
      </c>
      <c r="L37" s="372">
        <v>11698760.89002238</v>
      </c>
      <c r="M37" s="372">
        <v>12388695.969785538</v>
      </c>
      <c r="N37" s="372">
        <v>12885064.073195156</v>
      </c>
      <c r="O37" s="372">
        <v>13488295.369989732</v>
      </c>
      <c r="P37" s="372">
        <v>15202034.705274366</v>
      </c>
      <c r="Q37" s="372">
        <v>16830475.872696988</v>
      </c>
      <c r="R37" s="372">
        <v>18083775.263067864</v>
      </c>
      <c r="S37" s="372">
        <v>19273495.897446841</v>
      </c>
      <c r="T37" s="372">
        <v>20912879.328681059</v>
      </c>
      <c r="U37" s="372">
        <v>23075381.633730602</v>
      </c>
      <c r="V37" s="372">
        <v>26132889.755854864</v>
      </c>
      <c r="W37" s="372">
        <v>28947685.17689313</v>
      </c>
      <c r="X37" s="372">
        <v>31903988.921579048</v>
      </c>
      <c r="Y37" s="372">
        <v>34038869.057789654</v>
      </c>
      <c r="Z37" s="372">
        <v>34068379.722232856</v>
      </c>
      <c r="AA37" s="372">
        <v>36099903.974430799</v>
      </c>
      <c r="AB37" s="372">
        <v>38652011.936302967</v>
      </c>
      <c r="AC37" s="372">
        <v>41478767.113954626</v>
      </c>
      <c r="AD37" s="372">
        <v>44530221.118411906</v>
      </c>
      <c r="AE37" s="372">
        <v>47710823.823112532</v>
      </c>
      <c r="AF37" s="372">
        <v>51067798.981267206</v>
      </c>
      <c r="AG37" s="372">
        <v>54658358.960824095</v>
      </c>
      <c r="AH37" s="372">
        <v>58492659.299547762</v>
      </c>
      <c r="AI37" s="372">
        <v>62891567.235522054</v>
      </c>
    </row>
    <row r="38" spans="1:35" x14ac:dyDescent="0.25">
      <c r="A38" s="361" t="s">
        <v>119</v>
      </c>
      <c r="B38" s="361">
        <v>120</v>
      </c>
      <c r="C38" s="361" t="s">
        <v>118</v>
      </c>
      <c r="D38" s="361">
        <v>32</v>
      </c>
      <c r="E38" s="361">
        <v>8</v>
      </c>
      <c r="F38" s="361" t="s">
        <v>2374</v>
      </c>
      <c r="G38" s="372">
        <v>35385721.209032953</v>
      </c>
      <c r="H38" s="372">
        <v>34038020.853128299</v>
      </c>
      <c r="I38" s="372">
        <v>32982841.113791708</v>
      </c>
      <c r="J38" s="372">
        <v>30366620.198462501</v>
      </c>
      <c r="K38" s="372">
        <v>31011587.607883286</v>
      </c>
      <c r="L38" s="372">
        <v>32087625.239773139</v>
      </c>
      <c r="M38" s="372">
        <v>33486994.338014364</v>
      </c>
      <c r="N38" s="372">
        <v>35238806.407535568</v>
      </c>
      <c r="O38" s="372">
        <v>36825360.101861469</v>
      </c>
      <c r="P38" s="372">
        <v>38405910.797582723</v>
      </c>
      <c r="Q38" s="372">
        <v>39770616.58618667</v>
      </c>
      <c r="R38" s="372">
        <v>41507830.62230175</v>
      </c>
      <c r="S38" s="372">
        <v>43266601.947749697</v>
      </c>
      <c r="T38" s="372">
        <v>45242672.139501482</v>
      </c>
      <c r="U38" s="372">
        <v>48310557.79601828</v>
      </c>
      <c r="V38" s="372">
        <v>49286751.027774781</v>
      </c>
      <c r="W38" s="372">
        <v>50990923.636923559</v>
      </c>
      <c r="X38" s="372">
        <v>53490601.578840233</v>
      </c>
      <c r="Y38" s="372">
        <v>55356782.17832119</v>
      </c>
      <c r="Z38" s="372">
        <v>56573891.876061924</v>
      </c>
      <c r="AA38" s="372">
        <v>58510137.648418553</v>
      </c>
      <c r="AB38" s="372">
        <v>60926183.398952581</v>
      </c>
      <c r="AC38" s="372">
        <v>63694221.37469852</v>
      </c>
      <c r="AD38" s="372">
        <v>67136426.339522809</v>
      </c>
      <c r="AE38" s="372">
        <v>71086773.495153457</v>
      </c>
      <c r="AF38" s="372">
        <v>75104216.725747228</v>
      </c>
      <c r="AG38" s="372">
        <v>78595422.38424018</v>
      </c>
      <c r="AH38" s="372">
        <v>81384842.552777246</v>
      </c>
      <c r="AI38" s="372">
        <v>84526213.645338118</v>
      </c>
    </row>
    <row r="39" spans="1:35" x14ac:dyDescent="0.25">
      <c r="A39" s="369" t="s">
        <v>121</v>
      </c>
      <c r="B39" s="361">
        <v>124</v>
      </c>
      <c r="C39" s="361" t="s">
        <v>120</v>
      </c>
      <c r="D39" s="361">
        <v>33</v>
      </c>
      <c r="E39" s="361">
        <v>1</v>
      </c>
      <c r="F39" s="361" t="s">
        <v>2374</v>
      </c>
      <c r="G39" s="372">
        <v>869105610.4483521</v>
      </c>
      <c r="H39" s="372">
        <v>850977840.53142452</v>
      </c>
      <c r="I39" s="372">
        <v>858641160.28785634</v>
      </c>
      <c r="J39" s="372">
        <v>881487879.98758399</v>
      </c>
      <c r="K39" s="372">
        <v>921107959.47624493</v>
      </c>
      <c r="L39" s="372">
        <v>945904329.58863163</v>
      </c>
      <c r="M39" s="372">
        <v>961217440.90374815</v>
      </c>
      <c r="N39" s="372">
        <v>1002353473.009304</v>
      </c>
      <c r="O39" s="372">
        <v>1041258840.3208699</v>
      </c>
      <c r="P39" s="372">
        <v>1095013493.3395085</v>
      </c>
      <c r="Q39" s="372">
        <v>1151763502.5321646</v>
      </c>
      <c r="R39" s="372">
        <v>1172164436.8074651</v>
      </c>
      <c r="S39" s="372">
        <v>1207446530.684674</v>
      </c>
      <c r="T39" s="372">
        <v>1229202108.654562</v>
      </c>
      <c r="U39" s="372">
        <v>1267137710.4800866</v>
      </c>
      <c r="V39" s="372">
        <v>1307701321.0880988</v>
      </c>
      <c r="W39" s="372">
        <v>1342009665.221595</v>
      </c>
      <c r="X39" s="372">
        <v>1369687426.7239077</v>
      </c>
      <c r="Y39" s="372">
        <v>1383398811.6042941</v>
      </c>
      <c r="Z39" s="372">
        <v>1342596146.2021587</v>
      </c>
      <c r="AA39" s="372">
        <v>1383982902.1135209</v>
      </c>
      <c r="AB39" s="372">
        <v>1427466965.1844018</v>
      </c>
      <c r="AC39" s="372">
        <v>1452503171.5114112</v>
      </c>
      <c r="AD39" s="372">
        <v>1486199535.3319855</v>
      </c>
      <c r="AE39" s="372">
        <v>1528689927.4540656</v>
      </c>
      <c r="AF39" s="372">
        <v>1538997969.2573974</v>
      </c>
      <c r="AG39" s="372">
        <v>1555934202.9707794</v>
      </c>
      <c r="AH39" s="372">
        <v>1602379357.8495054</v>
      </c>
      <c r="AI39" s="372">
        <v>1632481479.0513875</v>
      </c>
    </row>
    <row r="40" spans="1:35" x14ac:dyDescent="0.25">
      <c r="A40" s="361" t="s">
        <v>123</v>
      </c>
      <c r="B40" s="361">
        <v>132</v>
      </c>
      <c r="C40" s="361" t="s">
        <v>122</v>
      </c>
      <c r="D40" s="361">
        <v>34</v>
      </c>
      <c r="E40" s="361">
        <v>8</v>
      </c>
      <c r="F40" s="361" t="s">
        <v>2374</v>
      </c>
      <c r="G40" s="372">
        <v>566468.50793739664</v>
      </c>
      <c r="H40" s="372">
        <v>574422.55766183848</v>
      </c>
      <c r="I40" s="372">
        <v>637250.87070239021</v>
      </c>
      <c r="J40" s="372">
        <v>692744.66077145771</v>
      </c>
      <c r="K40" s="372">
        <v>825631.38775535591</v>
      </c>
      <c r="L40" s="372">
        <v>942967.11742026918</v>
      </c>
      <c r="M40" s="372">
        <v>1049961.1145803102</v>
      </c>
      <c r="N40" s="372">
        <v>1166700.264508673</v>
      </c>
      <c r="O40" s="372">
        <v>1312739.4695031578</v>
      </c>
      <c r="P40" s="372">
        <v>1460063.6063084661</v>
      </c>
      <c r="Q40" s="372">
        <v>1668631.7773351877</v>
      </c>
      <c r="R40" s="372">
        <v>1705869.8733632048</v>
      </c>
      <c r="S40" s="372">
        <v>1795443.2452140958</v>
      </c>
      <c r="T40" s="372">
        <v>1870425.6107500298</v>
      </c>
      <c r="U40" s="372">
        <v>2061154.2683782221</v>
      </c>
      <c r="V40" s="372">
        <v>2203630.6912501724</v>
      </c>
      <c r="W40" s="372">
        <v>2379563.0664140885</v>
      </c>
      <c r="X40" s="372">
        <v>2740559.1542343935</v>
      </c>
      <c r="Y40" s="372">
        <v>2922820.6032206626</v>
      </c>
      <c r="Z40" s="372">
        <v>2885688.3312919079</v>
      </c>
      <c r="AA40" s="372">
        <v>2928015.3219675841</v>
      </c>
      <c r="AB40" s="372">
        <v>3044224.9222524608</v>
      </c>
      <c r="AC40" s="372">
        <v>3077160.9481332204</v>
      </c>
      <c r="AD40" s="372">
        <v>3101864.3223906416</v>
      </c>
      <c r="AE40" s="372">
        <v>3120823.3100176756</v>
      </c>
      <c r="AF40" s="372">
        <v>3152245.7472810214</v>
      </c>
      <c r="AG40" s="372">
        <v>3300583.8600079333</v>
      </c>
      <c r="AH40" s="372">
        <v>3433044.7808701866</v>
      </c>
      <c r="AI40" s="372">
        <v>3622568.2314484655</v>
      </c>
    </row>
    <row r="41" spans="1:35" x14ac:dyDescent="0.25">
      <c r="A41" s="361" t="s">
        <v>125</v>
      </c>
      <c r="B41" s="361">
        <v>136</v>
      </c>
      <c r="C41" s="361" t="s">
        <v>124</v>
      </c>
      <c r="D41" s="361">
        <v>35</v>
      </c>
      <c r="E41" s="361">
        <v>4</v>
      </c>
      <c r="F41" s="361" t="s">
        <v>2374</v>
      </c>
      <c r="G41" s="372">
        <v>2089092.3786505032</v>
      </c>
      <c r="H41" s="372">
        <v>2190773.8661069437</v>
      </c>
      <c r="I41" s="372">
        <v>2292785.4882629174</v>
      </c>
      <c r="J41" s="372">
        <v>2399171.395187716</v>
      </c>
      <c r="K41" s="372">
        <v>2518432.5553943366</v>
      </c>
      <c r="L41" s="372">
        <v>2654778.1863018358</v>
      </c>
      <c r="M41" s="372">
        <v>2811509.6349055534</v>
      </c>
      <c r="N41" s="372">
        <v>2984087.5490868981</v>
      </c>
      <c r="O41" s="372">
        <v>3163433.2246086886</v>
      </c>
      <c r="P41" s="372">
        <v>3270989.8868672671</v>
      </c>
      <c r="Q41" s="372">
        <v>3303699.7141466965</v>
      </c>
      <c r="R41" s="372">
        <v>3323521.9334872346</v>
      </c>
      <c r="S41" s="372">
        <v>3380021.8490293226</v>
      </c>
      <c r="T41" s="372">
        <v>3447622.3084692787</v>
      </c>
      <c r="U41" s="372">
        <v>3478650.9114914481</v>
      </c>
      <c r="V41" s="372">
        <v>3704763.1512547061</v>
      </c>
      <c r="W41" s="372">
        <v>3875182.3283631545</v>
      </c>
      <c r="X41" s="372">
        <v>3997739.8265894591</v>
      </c>
      <c r="Y41" s="372">
        <v>3983451.8495632228</v>
      </c>
      <c r="Z41" s="372">
        <v>3696624.0849909713</v>
      </c>
      <c r="AA41" s="372">
        <v>3596237.2001147065</v>
      </c>
      <c r="AB41" s="372">
        <v>3638279.4676544326</v>
      </c>
      <c r="AC41" s="372">
        <v>3683021.3434085562</v>
      </c>
      <c r="AD41" s="372">
        <v>3730139.3621947803</v>
      </c>
      <c r="AE41" s="372">
        <v>3829157.0052975658</v>
      </c>
      <c r="AF41" s="372">
        <v>3937641.711168224</v>
      </c>
      <c r="AG41" s="372">
        <v>4059562.2187296259</v>
      </c>
      <c r="AH41" s="372">
        <v>4182946.420207445</v>
      </c>
      <c r="AI41" s="372">
        <v>4294631.0896269828</v>
      </c>
    </row>
    <row r="42" spans="1:35" x14ac:dyDescent="0.25">
      <c r="A42" s="361" t="s">
        <v>127</v>
      </c>
      <c r="B42" s="361">
        <v>140</v>
      </c>
      <c r="C42" s="361" t="s">
        <v>126</v>
      </c>
      <c r="D42" s="361">
        <v>36</v>
      </c>
      <c r="E42" s="361">
        <v>8</v>
      </c>
      <c r="F42" s="361" t="s">
        <v>2374</v>
      </c>
      <c r="G42" s="372">
        <v>2758064.6515702815</v>
      </c>
      <c r="H42" s="372">
        <v>2742825.1582618421</v>
      </c>
      <c r="I42" s="372">
        <v>2566623.9252205486</v>
      </c>
      <c r="J42" s="372">
        <v>2575229.191158121</v>
      </c>
      <c r="K42" s="372">
        <v>2701414.1187164509</v>
      </c>
      <c r="L42" s="372">
        <v>2895917.165961287</v>
      </c>
      <c r="M42" s="372">
        <v>2780077.7871725974</v>
      </c>
      <c r="N42" s="372">
        <v>2927420.1311506242</v>
      </c>
      <c r="O42" s="372">
        <v>3065013.0453401594</v>
      </c>
      <c r="P42" s="372">
        <v>3175352.7457866236</v>
      </c>
      <c r="Q42" s="372">
        <v>3096304.4844394121</v>
      </c>
      <c r="R42" s="372">
        <v>3234546.3991326201</v>
      </c>
      <c r="S42" s="372">
        <v>3351525.1343610883</v>
      </c>
      <c r="T42" s="372">
        <v>3170627.0606376659</v>
      </c>
      <c r="U42" s="372">
        <v>3360702.4822241198</v>
      </c>
      <c r="V42" s="372">
        <v>3391224.7355412426</v>
      </c>
      <c r="W42" s="372">
        <v>3553022.9648121633</v>
      </c>
      <c r="X42" s="372">
        <v>3716729.7363049923</v>
      </c>
      <c r="Y42" s="372">
        <v>3793076.2325924747</v>
      </c>
      <c r="Z42" s="372">
        <v>4118797.5668574497</v>
      </c>
      <c r="AA42" s="372">
        <v>4309531.6037698518</v>
      </c>
      <c r="AB42" s="372">
        <v>4490299.8773925398</v>
      </c>
      <c r="AC42" s="372">
        <v>4717228.9127652673</v>
      </c>
      <c r="AD42" s="372">
        <v>3017261.0305033387</v>
      </c>
      <c r="AE42" s="372">
        <v>3020799.2851011343</v>
      </c>
      <c r="AF42" s="372">
        <v>3158632.5698475861</v>
      </c>
      <c r="AG42" s="372">
        <v>3316762.7444199771</v>
      </c>
      <c r="AH42" s="372">
        <v>3464600.2517452501</v>
      </c>
      <c r="AI42" s="372">
        <v>3614985.0361591056</v>
      </c>
    </row>
    <row r="43" spans="1:35" x14ac:dyDescent="0.25">
      <c r="A43" s="361" t="s">
        <v>129</v>
      </c>
      <c r="B43" s="361">
        <v>148</v>
      </c>
      <c r="C43" s="361" t="s">
        <v>128</v>
      </c>
      <c r="D43" s="361">
        <v>38</v>
      </c>
      <c r="E43" s="361">
        <v>8</v>
      </c>
      <c r="F43" s="361" t="s">
        <v>2374</v>
      </c>
      <c r="G43" s="372">
        <v>6614722.4722743174</v>
      </c>
      <c r="H43" s="372">
        <v>7179298.1084643612</v>
      </c>
      <c r="I43" s="372">
        <v>7753745.5792765096</v>
      </c>
      <c r="J43" s="372">
        <v>6535644.7838721694</v>
      </c>
      <c r="K43" s="372">
        <v>7198155.7517389581</v>
      </c>
      <c r="L43" s="372">
        <v>7287164.4975139601</v>
      </c>
      <c r="M43" s="372">
        <v>7448536.790303776</v>
      </c>
      <c r="N43" s="372">
        <v>7869631.7977463929</v>
      </c>
      <c r="O43" s="372">
        <v>8416695.541068092</v>
      </c>
      <c r="P43" s="372">
        <v>8359222.1172766192</v>
      </c>
      <c r="Q43" s="372">
        <v>8285687.6264361488</v>
      </c>
      <c r="R43" s="372">
        <v>9251644.2469602562</v>
      </c>
      <c r="S43" s="372">
        <v>10037220.771675294</v>
      </c>
      <c r="T43" s="372">
        <v>11514866.990951</v>
      </c>
      <c r="U43" s="372">
        <v>15387244.429654753</v>
      </c>
      <c r="V43" s="372">
        <v>18054243.76132445</v>
      </c>
      <c r="W43" s="372">
        <v>18171282.565561149</v>
      </c>
      <c r="X43" s="372">
        <v>18765755.998171747</v>
      </c>
      <c r="Y43" s="372">
        <v>19338616.642437764</v>
      </c>
      <c r="Z43" s="372">
        <v>20154260.616364144</v>
      </c>
      <c r="AA43" s="372">
        <v>22885183.257377841</v>
      </c>
      <c r="AB43" s="372">
        <v>22904148.162615437</v>
      </c>
      <c r="AC43" s="372">
        <v>24938626.546735354</v>
      </c>
      <c r="AD43" s="372">
        <v>26360128.599777497</v>
      </c>
      <c r="AE43" s="372">
        <v>28178973.531089708</v>
      </c>
      <c r="AF43" s="372">
        <v>28958876.129748501</v>
      </c>
      <c r="AG43" s="372">
        <v>27147345.78980935</v>
      </c>
      <c r="AH43" s="372">
        <v>26335994.156008843</v>
      </c>
      <c r="AI43" s="372">
        <v>27031614.679402102</v>
      </c>
    </row>
    <row r="44" spans="1:35" x14ac:dyDescent="0.25">
      <c r="A44" s="361" t="s">
        <v>131</v>
      </c>
      <c r="B44" s="361">
        <v>152</v>
      </c>
      <c r="C44" s="361" t="s">
        <v>130</v>
      </c>
      <c r="D44" s="361">
        <v>39</v>
      </c>
      <c r="E44" s="361">
        <v>6</v>
      </c>
      <c r="F44" s="361" t="s">
        <v>2353</v>
      </c>
      <c r="G44" s="372">
        <v>119071217.97442593</v>
      </c>
      <c r="H44" s="372">
        <v>128364002.80628538</v>
      </c>
      <c r="I44" s="372">
        <v>142698035.83518386</v>
      </c>
      <c r="J44" s="372">
        <v>152100100.94108963</v>
      </c>
      <c r="K44" s="372">
        <v>159751037.14228681</v>
      </c>
      <c r="L44" s="372">
        <v>174022069.94472653</v>
      </c>
      <c r="M44" s="372">
        <v>185860646.22131085</v>
      </c>
      <c r="N44" s="372">
        <v>199666170.2188623</v>
      </c>
      <c r="O44" s="372">
        <v>208300892.47830555</v>
      </c>
      <c r="P44" s="372">
        <v>207442492.48450673</v>
      </c>
      <c r="Q44" s="372">
        <v>218492826.31425148</v>
      </c>
      <c r="R44" s="372">
        <v>225709747.74184868</v>
      </c>
      <c r="S44" s="372">
        <v>232722483.09265023</v>
      </c>
      <c r="T44" s="372">
        <v>242243270.84899822</v>
      </c>
      <c r="U44" s="372">
        <v>259707895.65432814</v>
      </c>
      <c r="V44" s="372">
        <v>274622479.86947685</v>
      </c>
      <c r="W44" s="372">
        <v>291970866.20075536</v>
      </c>
      <c r="X44" s="372">
        <v>306292984.64376205</v>
      </c>
      <c r="Y44" s="372">
        <v>317103689.11927146</v>
      </c>
      <c r="Z44" s="372">
        <v>312143428.13888919</v>
      </c>
      <c r="AA44" s="372">
        <v>330385643.49648273</v>
      </c>
      <c r="AB44" s="372">
        <v>350575241.99367285</v>
      </c>
      <c r="AC44" s="372">
        <v>369221034.97686791</v>
      </c>
      <c r="AD44" s="372">
        <v>384156041.71143585</v>
      </c>
      <c r="AE44" s="372">
        <v>390943079.33146268</v>
      </c>
      <c r="AF44" s="372">
        <v>399949497.12319344</v>
      </c>
      <c r="AG44" s="372">
        <v>406630814.14538723</v>
      </c>
      <c r="AH44" s="372">
        <v>411832367.7811721</v>
      </c>
      <c r="AI44" s="372">
        <v>428407191.3830052</v>
      </c>
    </row>
    <row r="45" spans="1:35" x14ac:dyDescent="0.25">
      <c r="A45" s="361" t="s">
        <v>133</v>
      </c>
      <c r="B45" s="361">
        <v>156</v>
      </c>
      <c r="C45" s="361" t="s">
        <v>132</v>
      </c>
      <c r="D45" s="361">
        <v>40</v>
      </c>
      <c r="E45" s="361">
        <v>20</v>
      </c>
      <c r="F45" s="361" t="s">
        <v>2353</v>
      </c>
      <c r="G45" s="372">
        <v>1727710553.6005151</v>
      </c>
      <c r="H45" s="372">
        <v>1888285284.0167401</v>
      </c>
      <c r="I45" s="372">
        <v>2156727008.9110389</v>
      </c>
      <c r="J45" s="372">
        <v>2455812766.3275166</v>
      </c>
      <c r="K45" s="372">
        <v>2776349346.50951</v>
      </c>
      <c r="L45" s="372">
        <v>3080338149.1295409</v>
      </c>
      <c r="M45" s="372">
        <v>3386165593.7009187</v>
      </c>
      <c r="N45" s="372">
        <v>3698734725.4271374</v>
      </c>
      <c r="O45" s="372">
        <v>3988627273.0869646</v>
      </c>
      <c r="P45" s="372">
        <v>4294454717.6583157</v>
      </c>
      <c r="Q45" s="372">
        <v>4659118704.6722651</v>
      </c>
      <c r="R45" s="372">
        <v>5047685037.0535107</v>
      </c>
      <c r="S45" s="372">
        <v>5508571286.1870909</v>
      </c>
      <c r="T45" s="372">
        <v>6061389632.8872213</v>
      </c>
      <c r="U45" s="372">
        <v>6674270283.3308306</v>
      </c>
      <c r="V45" s="372">
        <v>7434855170.5313368</v>
      </c>
      <c r="W45" s="372">
        <v>8380530014.1658211</v>
      </c>
      <c r="X45" s="372">
        <v>9573195759.9290829</v>
      </c>
      <c r="Y45" s="372">
        <v>10497419780.798031</v>
      </c>
      <c r="Z45" s="372">
        <v>11484157628.012218</v>
      </c>
      <c r="AA45" s="372">
        <v>12705628764.346327</v>
      </c>
      <c r="AB45" s="372">
        <v>13919132452.224665</v>
      </c>
      <c r="AC45" s="372">
        <v>15013124413.266481</v>
      </c>
      <c r="AD45" s="372">
        <v>16179436291.060663</v>
      </c>
      <c r="AE45" s="372">
        <v>17360457304.465481</v>
      </c>
      <c r="AF45" s="372">
        <v>18559251856.733177</v>
      </c>
      <c r="AG45" s="372">
        <v>19809528383.63813</v>
      </c>
      <c r="AH45" s="372">
        <v>21148059724.206944</v>
      </c>
      <c r="AI45" s="372">
        <v>22543831666.004604</v>
      </c>
    </row>
    <row r="46" spans="1:35" x14ac:dyDescent="0.25">
      <c r="A46" s="361" t="s">
        <v>135</v>
      </c>
      <c r="B46" s="361">
        <v>170</v>
      </c>
      <c r="C46" s="361" t="s">
        <v>134</v>
      </c>
      <c r="D46" s="361">
        <v>42</v>
      </c>
      <c r="E46" s="361">
        <v>6</v>
      </c>
      <c r="F46" s="361" t="s">
        <v>2353</v>
      </c>
      <c r="G46" s="372">
        <v>255849862.56624517</v>
      </c>
      <c r="H46" s="372">
        <v>260970972.85175511</v>
      </c>
      <c r="I46" s="372">
        <v>271527064.55659431</v>
      </c>
      <c r="J46" s="372">
        <v>286149910.07712626</v>
      </c>
      <c r="K46" s="372">
        <v>302788559.89780849</v>
      </c>
      <c r="L46" s="372">
        <v>318540945.76374924</v>
      </c>
      <c r="M46" s="372">
        <v>325089684.80743659</v>
      </c>
      <c r="N46" s="372">
        <v>336241215.71411419</v>
      </c>
      <c r="O46" s="372">
        <v>338157064.6648261</v>
      </c>
      <c r="P46" s="372">
        <v>323940890.11867076</v>
      </c>
      <c r="Q46" s="372">
        <v>333415712.44191182</v>
      </c>
      <c r="R46" s="372">
        <v>339010089.03857911</v>
      </c>
      <c r="S46" s="372">
        <v>347498835.44420248</v>
      </c>
      <c r="T46" s="372">
        <v>361114784.67874402</v>
      </c>
      <c r="U46" s="372">
        <v>380373115.83449453</v>
      </c>
      <c r="V46" s="372">
        <v>398275589.21194279</v>
      </c>
      <c r="W46" s="372">
        <v>425276306.17047894</v>
      </c>
      <c r="X46" s="372">
        <v>454402012.26066405</v>
      </c>
      <c r="Y46" s="372">
        <v>469202106.02771503</v>
      </c>
      <c r="Z46" s="372">
        <v>474857971.88629162</v>
      </c>
      <c r="AA46" s="372">
        <v>495502675.16368461</v>
      </c>
      <c r="AB46" s="372">
        <v>531984212.80464506</v>
      </c>
      <c r="AC46" s="372">
        <v>552747845.06839871</v>
      </c>
      <c r="AD46" s="372">
        <v>577991119.32461274</v>
      </c>
      <c r="AE46" s="372">
        <v>605320344.20029247</v>
      </c>
      <c r="AF46" s="372">
        <v>623213286.13666379</v>
      </c>
      <c r="AG46" s="372">
        <v>636222131.21930087</v>
      </c>
      <c r="AH46" s="372">
        <v>644819570.59909225</v>
      </c>
      <c r="AI46" s="372">
        <v>661959655.01729667</v>
      </c>
    </row>
    <row r="47" spans="1:35" x14ac:dyDescent="0.25">
      <c r="A47" s="361" t="s">
        <v>137</v>
      </c>
      <c r="B47" s="361">
        <v>174</v>
      </c>
      <c r="C47" s="361" t="s">
        <v>136</v>
      </c>
      <c r="D47" s="361">
        <v>43</v>
      </c>
      <c r="E47" s="361">
        <v>9</v>
      </c>
      <c r="F47" s="361" t="s">
        <v>2374</v>
      </c>
      <c r="G47" s="372">
        <v>1062118.5452899004</v>
      </c>
      <c r="H47" s="372">
        <v>1004810.4824980652</v>
      </c>
      <c r="I47" s="372">
        <v>1090530.6817612059</v>
      </c>
      <c r="J47" s="372">
        <v>1123312.7026314854</v>
      </c>
      <c r="K47" s="372">
        <v>1064037.9289308458</v>
      </c>
      <c r="L47" s="372">
        <v>1102451.8946763363</v>
      </c>
      <c r="M47" s="372">
        <v>1088211.6456361187</v>
      </c>
      <c r="N47" s="372">
        <v>1132068.2471853856</v>
      </c>
      <c r="O47" s="372">
        <v>1146587.201247439</v>
      </c>
      <c r="P47" s="372">
        <v>1168652.2252403316</v>
      </c>
      <c r="Q47" s="372">
        <v>1295426.2000784273</v>
      </c>
      <c r="R47" s="372">
        <v>1325647.289899007</v>
      </c>
      <c r="S47" s="372">
        <v>1356467.8584457997</v>
      </c>
      <c r="T47" s="372">
        <v>1385006.2009647288</v>
      </c>
      <c r="U47" s="372">
        <v>1411593.608330807</v>
      </c>
      <c r="V47" s="372">
        <v>1451648.252695407</v>
      </c>
      <c r="W47" s="372">
        <v>1490072.735611533</v>
      </c>
      <c r="X47" s="372">
        <v>1501993.9485266635</v>
      </c>
      <c r="Y47" s="372">
        <v>1562073.2857809048</v>
      </c>
      <c r="Z47" s="372">
        <v>1612061.3978105602</v>
      </c>
      <c r="AA47" s="372">
        <v>1673318.6581759567</v>
      </c>
      <c r="AB47" s="372">
        <v>1741922.1622301212</v>
      </c>
      <c r="AC47" s="372">
        <v>1797668.4251826124</v>
      </c>
      <c r="AD47" s="372">
        <v>1878561.2431241437</v>
      </c>
      <c r="AE47" s="372">
        <v>1918011.1501772129</v>
      </c>
      <c r="AF47" s="372">
        <v>1939108.5944716563</v>
      </c>
      <c r="AG47" s="372">
        <v>1981540.1193998372</v>
      </c>
      <c r="AH47" s="372">
        <v>2035193.4653959009</v>
      </c>
      <c r="AI47" s="372">
        <v>2092178.8824269853</v>
      </c>
    </row>
    <row r="48" spans="1:35" x14ac:dyDescent="0.25">
      <c r="A48" s="361" t="s">
        <v>139</v>
      </c>
      <c r="B48" s="361">
        <v>180</v>
      </c>
      <c r="C48" s="361" t="s">
        <v>138</v>
      </c>
      <c r="D48" s="361">
        <v>45</v>
      </c>
      <c r="E48" s="361">
        <v>8</v>
      </c>
      <c r="F48" s="361" t="s">
        <v>2353</v>
      </c>
      <c r="G48" s="372">
        <v>48004565.259075172</v>
      </c>
      <c r="H48" s="372">
        <v>43962076.096673168</v>
      </c>
      <c r="I48" s="372">
        <v>39346054.341325536</v>
      </c>
      <c r="J48" s="372">
        <v>34046514.397333108</v>
      </c>
      <c r="K48" s="372">
        <v>32718701.424262013</v>
      </c>
      <c r="L48" s="372">
        <v>32947731.95135577</v>
      </c>
      <c r="M48" s="372">
        <v>32610619.771870255</v>
      </c>
      <c r="N48" s="372">
        <v>30778866.063159142</v>
      </c>
      <c r="O48" s="372">
        <v>30278969.865053874</v>
      </c>
      <c r="P48" s="372">
        <v>28986015.209599603</v>
      </c>
      <c r="Q48" s="372">
        <v>26982812.766508456</v>
      </c>
      <c r="R48" s="372">
        <v>26416127.011430074</v>
      </c>
      <c r="S48" s="372">
        <v>27194812.406327963</v>
      </c>
      <c r="T48" s="372">
        <v>28711690.720283531</v>
      </c>
      <c r="U48" s="372">
        <v>30646391.803572442</v>
      </c>
      <c r="V48" s="372">
        <v>32526594.264425229</v>
      </c>
      <c r="W48" s="372">
        <v>34257327.69858513</v>
      </c>
      <c r="X48" s="372">
        <v>36401657.508602612</v>
      </c>
      <c r="Y48" s="372">
        <v>38667986.217293791</v>
      </c>
      <c r="Z48" s="372">
        <v>39771981.97505831</v>
      </c>
      <c r="AA48" s="372">
        <v>42598965.137743764</v>
      </c>
      <c r="AB48" s="372">
        <v>45527503.793384381</v>
      </c>
      <c r="AC48" s="372">
        <v>48753991.980186701</v>
      </c>
      <c r="AD48" s="372">
        <v>52889284.438032508</v>
      </c>
      <c r="AE48" s="372">
        <v>57898052.047071226</v>
      </c>
      <c r="AF48" s="372">
        <v>61902390.065200262</v>
      </c>
      <c r="AG48" s="372">
        <v>63387663.073593296</v>
      </c>
      <c r="AH48" s="372">
        <v>65750088.094971307</v>
      </c>
      <c r="AI48" s="372">
        <v>69535933.942655712</v>
      </c>
    </row>
    <row r="49" spans="1:35" x14ac:dyDescent="0.25">
      <c r="A49" s="361" t="s">
        <v>141</v>
      </c>
      <c r="B49" s="361">
        <v>178</v>
      </c>
      <c r="C49" s="361" t="s">
        <v>140</v>
      </c>
      <c r="D49" s="361">
        <v>44</v>
      </c>
      <c r="E49" s="361">
        <v>8</v>
      </c>
      <c r="F49" s="361" t="s">
        <v>2374</v>
      </c>
      <c r="G49" s="372">
        <v>12544964.565971438</v>
      </c>
      <c r="H49" s="372">
        <v>12845462.564309109</v>
      </c>
      <c r="I49" s="372">
        <v>13180979.373555508</v>
      </c>
      <c r="J49" s="372">
        <v>13051847.532201236</v>
      </c>
      <c r="K49" s="372">
        <v>12334899.661136903</v>
      </c>
      <c r="L49" s="372">
        <v>12826485.424341662</v>
      </c>
      <c r="M49" s="372">
        <v>13376803.415710038</v>
      </c>
      <c r="N49" s="372">
        <v>13293223.522753153</v>
      </c>
      <c r="O49" s="372">
        <v>13790064.766731588</v>
      </c>
      <c r="P49" s="372">
        <v>13433977.802930044</v>
      </c>
      <c r="Q49" s="372">
        <v>14451733.327166727</v>
      </c>
      <c r="R49" s="372">
        <v>15001275.213271882</v>
      </c>
      <c r="S49" s="372">
        <v>15688614.151105618</v>
      </c>
      <c r="T49" s="372">
        <v>15816204.013817266</v>
      </c>
      <c r="U49" s="372">
        <v>16366075.164084258</v>
      </c>
      <c r="V49" s="372">
        <v>17635388.507964045</v>
      </c>
      <c r="W49" s="372">
        <v>18735130.808498025</v>
      </c>
      <c r="X49" s="372">
        <v>18438699.306521397</v>
      </c>
      <c r="Y49" s="372">
        <v>19466146.637399375</v>
      </c>
      <c r="Z49" s="372">
        <v>20920061.933612809</v>
      </c>
      <c r="AA49" s="372">
        <v>22750902.379088588</v>
      </c>
      <c r="AB49" s="372">
        <v>23529134.688797306</v>
      </c>
      <c r="AC49" s="372">
        <v>24423235.057056285</v>
      </c>
      <c r="AD49" s="372">
        <v>25263566.587687362</v>
      </c>
      <c r="AE49" s="372">
        <v>26976415.220769033</v>
      </c>
      <c r="AF49" s="372">
        <v>27690342.23967107</v>
      </c>
      <c r="AG49" s="372">
        <v>26915007.454586521</v>
      </c>
      <c r="AH49" s="372">
        <v>26080642.22349434</v>
      </c>
      <c r="AI49" s="372">
        <v>26348113.347152583</v>
      </c>
    </row>
    <row r="50" spans="1:35" x14ac:dyDescent="0.25">
      <c r="A50" s="361" t="s">
        <v>143</v>
      </c>
      <c r="B50" s="361">
        <v>184</v>
      </c>
      <c r="C50" s="361" t="s">
        <v>142</v>
      </c>
      <c r="D50" s="361">
        <v>46</v>
      </c>
      <c r="E50" s="361">
        <v>24</v>
      </c>
      <c r="F50" s="361" t="s">
        <v>2374</v>
      </c>
      <c r="G50" s="372">
        <v>0</v>
      </c>
      <c r="H50" s="372">
        <v>0</v>
      </c>
      <c r="I50" s="372">
        <v>0</v>
      </c>
      <c r="J50" s="372">
        <v>0</v>
      </c>
      <c r="K50" s="372">
        <v>0</v>
      </c>
      <c r="L50" s="372">
        <v>0</v>
      </c>
      <c r="M50" s="372">
        <v>0</v>
      </c>
      <c r="N50" s="372">
        <v>0</v>
      </c>
      <c r="O50" s="372">
        <v>0</v>
      </c>
      <c r="P50" s="372">
        <v>0</v>
      </c>
      <c r="Q50" s="372">
        <v>0</v>
      </c>
      <c r="R50" s="372">
        <v>0</v>
      </c>
      <c r="S50" s="372">
        <v>0</v>
      </c>
      <c r="T50" s="372">
        <v>0</v>
      </c>
      <c r="U50" s="372">
        <v>0</v>
      </c>
      <c r="V50" s="372">
        <v>0</v>
      </c>
      <c r="W50" s="372">
        <v>0</v>
      </c>
      <c r="X50" s="372">
        <v>0</v>
      </c>
      <c r="Y50" s="372">
        <v>0</v>
      </c>
      <c r="Z50" s="372">
        <v>0</v>
      </c>
      <c r="AA50" s="372">
        <v>0</v>
      </c>
      <c r="AB50" s="372">
        <v>0</v>
      </c>
      <c r="AC50" s="372">
        <v>0</v>
      </c>
      <c r="AD50" s="372">
        <v>0</v>
      </c>
      <c r="AE50" s="372">
        <v>0</v>
      </c>
      <c r="AF50" s="372">
        <v>0</v>
      </c>
      <c r="AG50" s="372">
        <v>0</v>
      </c>
      <c r="AH50" s="372">
        <v>0</v>
      </c>
      <c r="AI50" s="372">
        <v>0</v>
      </c>
    </row>
    <row r="51" spans="1:35" x14ac:dyDescent="0.25">
      <c r="A51" s="361" t="s">
        <v>145</v>
      </c>
      <c r="B51" s="361">
        <v>188</v>
      </c>
      <c r="C51" s="361" t="s">
        <v>144</v>
      </c>
      <c r="D51" s="361">
        <v>47</v>
      </c>
      <c r="E51" s="361">
        <v>4</v>
      </c>
      <c r="F51" s="361" t="s">
        <v>2353</v>
      </c>
      <c r="G51" s="372">
        <v>24158245.127818558</v>
      </c>
      <c r="H51" s="372">
        <v>24705587.614032451</v>
      </c>
      <c r="I51" s="372">
        <v>26977652.044488855</v>
      </c>
      <c r="J51" s="372">
        <v>28889697.786533214</v>
      </c>
      <c r="K51" s="372">
        <v>30186055.66017434</v>
      </c>
      <c r="L51" s="372">
        <v>31430172.856286302</v>
      </c>
      <c r="M51" s="372">
        <v>31819220.677182287</v>
      </c>
      <c r="N51" s="372">
        <v>33589942.981318362</v>
      </c>
      <c r="O51" s="372">
        <v>35928374.127247423</v>
      </c>
      <c r="P51" s="372">
        <v>37345156.957320608</v>
      </c>
      <c r="Q51" s="372">
        <v>38776659.0634913</v>
      </c>
      <c r="R51" s="372">
        <v>40130146.529761434</v>
      </c>
      <c r="S51" s="372">
        <v>41451131.897133134</v>
      </c>
      <c r="T51" s="372">
        <v>43215075.214693256</v>
      </c>
      <c r="U51" s="372">
        <v>45089129.280731149</v>
      </c>
      <c r="V51" s="372">
        <v>46834472.358812511</v>
      </c>
      <c r="W51" s="372">
        <v>50224226.300932877</v>
      </c>
      <c r="X51" s="372">
        <v>54326488.947514556</v>
      </c>
      <c r="Y51" s="372">
        <v>56852452.417560555</v>
      </c>
      <c r="Z51" s="372">
        <v>56300671.899919257</v>
      </c>
      <c r="AA51" s="372">
        <v>59088604.515738145</v>
      </c>
      <c r="AB51" s="372">
        <v>61633610.78162735</v>
      </c>
      <c r="AC51" s="372">
        <v>64590125.733515695</v>
      </c>
      <c r="AD51" s="372">
        <v>66055693.384605676</v>
      </c>
      <c r="AE51" s="372">
        <v>68377774.647774652</v>
      </c>
      <c r="AF51" s="372">
        <v>70861071.788647726</v>
      </c>
      <c r="AG51" s="372">
        <v>73869825.724415839</v>
      </c>
      <c r="AH51" s="372">
        <v>76379317.926655889</v>
      </c>
      <c r="AI51" s="372">
        <v>78414101.026612803</v>
      </c>
    </row>
    <row r="52" spans="1:35" x14ac:dyDescent="0.25">
      <c r="A52" s="361" t="s">
        <v>147</v>
      </c>
      <c r="B52" s="361">
        <v>384</v>
      </c>
      <c r="C52" s="361" t="s">
        <v>146</v>
      </c>
      <c r="D52" s="361">
        <v>97</v>
      </c>
      <c r="E52" s="361">
        <v>8</v>
      </c>
      <c r="F52" s="361" t="s">
        <v>2374</v>
      </c>
      <c r="G52" s="372">
        <v>39180243.995935842</v>
      </c>
      <c r="H52" s="372">
        <v>39196278.576902203</v>
      </c>
      <c r="I52" s="372">
        <v>39100419.918063022</v>
      </c>
      <c r="J52" s="372">
        <v>39025157.435665578</v>
      </c>
      <c r="K52" s="372">
        <v>39341732.12148279</v>
      </c>
      <c r="L52" s="372">
        <v>42145123.522527613</v>
      </c>
      <c r="M52" s="372">
        <v>45402658.112032227</v>
      </c>
      <c r="N52" s="372">
        <v>47102330.747258447</v>
      </c>
      <c r="O52" s="372">
        <v>49424795.773577504</v>
      </c>
      <c r="P52" s="372">
        <v>50224255.408917405</v>
      </c>
      <c r="Q52" s="372">
        <v>49185416.881520867</v>
      </c>
      <c r="R52" s="372">
        <v>49245114.163951524</v>
      </c>
      <c r="S52" s="372">
        <v>48423881.889281161</v>
      </c>
      <c r="T52" s="372">
        <v>47765541.810013756</v>
      </c>
      <c r="U52" s="372">
        <v>48353904.780894868</v>
      </c>
      <c r="V52" s="372">
        <v>49186195.093931153</v>
      </c>
      <c r="W52" s="372">
        <v>49931780.276224665</v>
      </c>
      <c r="X52" s="372">
        <v>50813094.56485641</v>
      </c>
      <c r="Y52" s="372">
        <v>52105191.008813828</v>
      </c>
      <c r="Z52" s="372">
        <v>53799367.179493152</v>
      </c>
      <c r="AA52" s="372">
        <v>54884843.973986894</v>
      </c>
      <c r="AB52" s="372">
        <v>52476906.028695278</v>
      </c>
      <c r="AC52" s="372">
        <v>58095348.125828639</v>
      </c>
      <c r="AD52" s="372">
        <v>63259688.377439804</v>
      </c>
      <c r="AE52" s="372">
        <v>68822794.330241844</v>
      </c>
      <c r="AF52" s="372">
        <v>74908697.646247104</v>
      </c>
      <c r="AG52" s="372">
        <v>80880232.639465347</v>
      </c>
      <c r="AH52" s="372">
        <v>87109700.482178494</v>
      </c>
      <c r="AI52" s="372">
        <v>93584626.91103217</v>
      </c>
    </row>
    <row r="53" spans="1:35" x14ac:dyDescent="0.25">
      <c r="A53" s="361" t="s">
        <v>149</v>
      </c>
      <c r="B53" s="361">
        <v>191</v>
      </c>
      <c r="C53" s="361" t="s">
        <v>148</v>
      </c>
      <c r="D53" s="361">
        <v>48</v>
      </c>
      <c r="E53" s="361">
        <v>12</v>
      </c>
      <c r="F53" s="361" t="s">
        <v>2374</v>
      </c>
      <c r="G53" s="372">
        <v>60958912.467305079</v>
      </c>
      <c r="H53" s="372">
        <v>60749976.074132703</v>
      </c>
      <c r="I53" s="372">
        <v>60403586.565422729</v>
      </c>
      <c r="J53" s="372">
        <v>59952760.766606487</v>
      </c>
      <c r="K53" s="372">
        <v>59445639.174602099</v>
      </c>
      <c r="L53" s="372">
        <v>58921900.687850252</v>
      </c>
      <c r="M53" s="372">
        <v>62382795.338021167</v>
      </c>
      <c r="N53" s="372">
        <v>66528427.876316644</v>
      </c>
      <c r="O53" s="372">
        <v>67767107.954757586</v>
      </c>
      <c r="P53" s="372">
        <v>67133146.678101256</v>
      </c>
      <c r="Q53" s="372">
        <v>69665815.500323609</v>
      </c>
      <c r="R53" s="372">
        <v>72070963.108156309</v>
      </c>
      <c r="S53" s="372">
        <v>75857112.781145141</v>
      </c>
      <c r="T53" s="372">
        <v>80090839.967739552</v>
      </c>
      <c r="U53" s="372">
        <v>83226041.343045041</v>
      </c>
      <c r="V53" s="372">
        <v>86646269.600217715</v>
      </c>
      <c r="W53" s="372">
        <v>90864051.840192512</v>
      </c>
      <c r="X53" s="372">
        <v>95664992.577010944</v>
      </c>
      <c r="Y53" s="372">
        <v>97613172.461494163</v>
      </c>
      <c r="Z53" s="372">
        <v>90495775.435904622</v>
      </c>
      <c r="AA53" s="372">
        <v>89162848.412171438</v>
      </c>
      <c r="AB53" s="372">
        <v>88859524.981385812</v>
      </c>
      <c r="AC53" s="372">
        <v>86815184.665912151</v>
      </c>
      <c r="AD53" s="372">
        <v>86388272.044762909</v>
      </c>
      <c r="AE53" s="372">
        <v>86312670.776364639</v>
      </c>
      <c r="AF53" s="372">
        <v>88384685.741546184</v>
      </c>
      <c r="AG53" s="372">
        <v>91510082.737522289</v>
      </c>
      <c r="AH53" s="372">
        <v>94183424.778217837</v>
      </c>
      <c r="AI53" s="372">
        <v>96660285.054704666</v>
      </c>
    </row>
    <row r="54" spans="1:35" x14ac:dyDescent="0.25">
      <c r="A54" s="361" t="s">
        <v>151</v>
      </c>
      <c r="B54" s="361">
        <v>192</v>
      </c>
      <c r="C54" s="361" t="s">
        <v>150</v>
      </c>
      <c r="D54" s="361">
        <v>49</v>
      </c>
      <c r="E54" s="361">
        <v>4</v>
      </c>
      <c r="F54" s="361" t="s">
        <v>2374</v>
      </c>
      <c r="G54" s="372">
        <v>155903477.97403437</v>
      </c>
      <c r="H54" s="372">
        <v>139232964.40119854</v>
      </c>
      <c r="I54" s="372">
        <v>123109043.44332071</v>
      </c>
      <c r="J54" s="372">
        <v>104793140.19178177</v>
      </c>
      <c r="K54" s="372">
        <v>105544003.55812038</v>
      </c>
      <c r="L54" s="372">
        <v>108137793.15394771</v>
      </c>
      <c r="M54" s="372">
        <v>116613906.96947698</v>
      </c>
      <c r="N54" s="372">
        <v>119859791.6562501</v>
      </c>
      <c r="O54" s="372">
        <v>120050594.00644077</v>
      </c>
      <c r="P54" s="372">
        <v>127480661.9962188</v>
      </c>
      <c r="Q54" s="372">
        <v>135020721.92904794</v>
      </c>
      <c r="R54" s="372">
        <v>139321631.37569889</v>
      </c>
      <c r="S54" s="372">
        <v>141305975.81768194</v>
      </c>
      <c r="T54" s="372">
        <v>146665277.12450823</v>
      </c>
      <c r="U54" s="372">
        <v>155129044.90561339</v>
      </c>
      <c r="V54" s="372">
        <v>172505527.1741547</v>
      </c>
      <c r="W54" s="372">
        <v>193319818.84642562</v>
      </c>
      <c r="X54" s="372">
        <v>207359504.72016183</v>
      </c>
      <c r="Y54" s="372">
        <v>215896226.34104574</v>
      </c>
      <c r="Z54" s="372">
        <v>219029874.3512361</v>
      </c>
      <c r="AA54" s="372">
        <v>224264592.94705555</v>
      </c>
      <c r="AB54" s="372">
        <v>230549846.83568951</v>
      </c>
      <c r="AC54" s="372">
        <v>237500664.21645921</v>
      </c>
      <c r="AD54" s="372">
        <v>244026104.5929803</v>
      </c>
      <c r="AE54" s="372">
        <v>246582856.08553535</v>
      </c>
      <c r="AF54" s="372">
        <v>257527054.41911927</v>
      </c>
      <c r="AG54" s="372">
        <v>268674401.13731802</v>
      </c>
      <c r="AH54" s="372">
        <v>279821747.85551673</v>
      </c>
      <c r="AI54" s="372">
        <v>290969094.57371551</v>
      </c>
    </row>
    <row r="55" spans="1:35" x14ac:dyDescent="0.25">
      <c r="A55" s="361" t="s">
        <v>153</v>
      </c>
      <c r="B55" s="361">
        <v>196</v>
      </c>
      <c r="C55" s="361" t="s">
        <v>152</v>
      </c>
      <c r="D55" s="361">
        <v>50</v>
      </c>
      <c r="E55" s="361">
        <v>12</v>
      </c>
      <c r="F55" s="361" t="s">
        <v>2374</v>
      </c>
      <c r="G55" s="372">
        <v>13031385.56395003</v>
      </c>
      <c r="H55" s="372">
        <v>13127752.816910818</v>
      </c>
      <c r="I55" s="372">
        <v>14361761.452564968</v>
      </c>
      <c r="J55" s="372">
        <v>14462293.852839204</v>
      </c>
      <c r="K55" s="372">
        <v>15315569.002283549</v>
      </c>
      <c r="L55" s="372">
        <v>16612520.247996397</v>
      </c>
      <c r="M55" s="372">
        <v>16819924.055136666</v>
      </c>
      <c r="N55" s="372">
        <v>17264129.66513063</v>
      </c>
      <c r="O55" s="372">
        <v>18319119.810754966</v>
      </c>
      <c r="P55" s="372">
        <v>19234699.034714032</v>
      </c>
      <c r="Q55" s="372">
        <v>20382109.949212328</v>
      </c>
      <c r="R55" s="372">
        <v>21187719.972547837</v>
      </c>
      <c r="S55" s="372">
        <v>21976524.894714493</v>
      </c>
      <c r="T55" s="372">
        <v>22553028.772973545</v>
      </c>
      <c r="U55" s="372">
        <v>23686622.483735435</v>
      </c>
      <c r="V55" s="372">
        <v>24836132.213991158</v>
      </c>
      <c r="W55" s="372">
        <v>26006863.303571988</v>
      </c>
      <c r="X55" s="372">
        <v>27332702.707670506</v>
      </c>
      <c r="Y55" s="372">
        <v>28329465.291135643</v>
      </c>
      <c r="Z55" s="372">
        <v>27758558.254896399</v>
      </c>
      <c r="AA55" s="372">
        <v>28129247.012942676</v>
      </c>
      <c r="AB55" s="372">
        <v>28242728.81493805</v>
      </c>
      <c r="AC55" s="372">
        <v>27429874.962217525</v>
      </c>
      <c r="AD55" s="372">
        <v>25839132.944290865</v>
      </c>
      <c r="AE55" s="372">
        <v>25500261.650122825</v>
      </c>
      <c r="AF55" s="372">
        <v>26000654.306956261</v>
      </c>
      <c r="AG55" s="372">
        <v>27251854.575681258</v>
      </c>
      <c r="AH55" s="372">
        <v>28469706.99403822</v>
      </c>
      <c r="AI55" s="372">
        <v>29573188.528724793</v>
      </c>
    </row>
    <row r="56" spans="1:35" x14ac:dyDescent="0.25">
      <c r="A56" s="361" t="s">
        <v>155</v>
      </c>
      <c r="B56" s="361">
        <v>203</v>
      </c>
      <c r="C56" s="361" t="s">
        <v>154</v>
      </c>
      <c r="D56" s="361">
        <v>51</v>
      </c>
      <c r="E56" s="361">
        <v>12</v>
      </c>
      <c r="F56" s="361" t="s">
        <v>2374</v>
      </c>
      <c r="G56" s="372">
        <v>206906172.36399791</v>
      </c>
      <c r="H56" s="372">
        <v>182874139.70882484</v>
      </c>
      <c r="I56" s="372">
        <v>181947804.74188378</v>
      </c>
      <c r="J56" s="372">
        <v>182060438.16453522</v>
      </c>
      <c r="K56" s="372">
        <v>187357139.72223821</v>
      </c>
      <c r="L56" s="372">
        <v>199013388.05509219</v>
      </c>
      <c r="M56" s="372">
        <v>207417354.40612453</v>
      </c>
      <c r="N56" s="372">
        <v>206183928.2557728</v>
      </c>
      <c r="O56" s="372">
        <v>205506169.69238758</v>
      </c>
      <c r="P56" s="372">
        <v>208450743.22310513</v>
      </c>
      <c r="Q56" s="372">
        <v>217344797.29347575</v>
      </c>
      <c r="R56" s="372">
        <v>223666846.42967725</v>
      </c>
      <c r="S56" s="372">
        <v>227362927.76920423</v>
      </c>
      <c r="T56" s="372">
        <v>235554790.09122184</v>
      </c>
      <c r="U56" s="372">
        <v>247112436.06518063</v>
      </c>
      <c r="V56" s="372">
        <v>263257449.99104899</v>
      </c>
      <c r="W56" s="372">
        <v>281299858.12134749</v>
      </c>
      <c r="X56" s="372">
        <v>297060086.85818356</v>
      </c>
      <c r="Y56" s="372">
        <v>305028078.24922347</v>
      </c>
      <c r="Z56" s="372">
        <v>290378884.89263976</v>
      </c>
      <c r="AA56" s="372">
        <v>296980416.68756777</v>
      </c>
      <c r="AB56" s="372">
        <v>302260233.09321141</v>
      </c>
      <c r="AC56" s="372">
        <v>299842621.90454423</v>
      </c>
      <c r="AD56" s="372">
        <v>298392369.9747085</v>
      </c>
      <c r="AE56" s="372">
        <v>306494069.34728986</v>
      </c>
      <c r="AF56" s="372">
        <v>322766570.5358277</v>
      </c>
      <c r="AG56" s="372">
        <v>330676102.15915322</v>
      </c>
      <c r="AH56" s="372">
        <v>345069121.81567591</v>
      </c>
      <c r="AI56" s="372">
        <v>355051876.63709527</v>
      </c>
    </row>
    <row r="57" spans="1:35" x14ac:dyDescent="0.25">
      <c r="A57" s="361" t="s">
        <v>157</v>
      </c>
      <c r="B57" s="361">
        <v>208</v>
      </c>
      <c r="C57" s="361" t="s">
        <v>156</v>
      </c>
      <c r="D57" s="361">
        <v>53</v>
      </c>
      <c r="E57" s="361">
        <v>11</v>
      </c>
      <c r="F57" s="361" t="s">
        <v>2374</v>
      </c>
      <c r="G57" s="372">
        <v>173689966.46294358</v>
      </c>
      <c r="H57" s="372">
        <v>176110607.15182358</v>
      </c>
      <c r="I57" s="372">
        <v>179557112.10280427</v>
      </c>
      <c r="J57" s="372">
        <v>179576251.8643623</v>
      </c>
      <c r="K57" s="372">
        <v>189152063.27372763</v>
      </c>
      <c r="L57" s="372">
        <v>194878895.59118035</v>
      </c>
      <c r="M57" s="372">
        <v>200530516.73293319</v>
      </c>
      <c r="N57" s="372">
        <v>207069575.83312389</v>
      </c>
      <c r="O57" s="372">
        <v>211662714.24589542</v>
      </c>
      <c r="P57" s="372">
        <v>217902546.08792511</v>
      </c>
      <c r="Q57" s="372">
        <v>226067137.05001754</v>
      </c>
      <c r="R57" s="372">
        <v>227928007.10685128</v>
      </c>
      <c r="S57" s="372">
        <v>228990937.80858898</v>
      </c>
      <c r="T57" s="372">
        <v>229884171.61031562</v>
      </c>
      <c r="U57" s="372">
        <v>236017926.0414567</v>
      </c>
      <c r="V57" s="372">
        <v>241532873.11123866</v>
      </c>
      <c r="W57" s="372">
        <v>250984006.4963702</v>
      </c>
      <c r="X57" s="372">
        <v>253266086.09453416</v>
      </c>
      <c r="Y57" s="372">
        <v>251969299.85544997</v>
      </c>
      <c r="Z57" s="372">
        <v>239606361.75948399</v>
      </c>
      <c r="AA57" s="372">
        <v>244089379.14977017</v>
      </c>
      <c r="AB57" s="372">
        <v>247352304.13425747</v>
      </c>
      <c r="AC57" s="372">
        <v>247912479.12746337</v>
      </c>
      <c r="AD57" s="372">
        <v>250226368.47018868</v>
      </c>
      <c r="AE57" s="372">
        <v>254278471.65131229</v>
      </c>
      <c r="AF57" s="372">
        <v>260235250.68156806</v>
      </c>
      <c r="AG57" s="372">
        <v>266480069.6445671</v>
      </c>
      <c r="AH57" s="372">
        <v>272508824.96124536</v>
      </c>
      <c r="AI57" s="372">
        <v>276381391.78747249</v>
      </c>
    </row>
    <row r="58" spans="1:35" x14ac:dyDescent="0.25">
      <c r="A58" s="361" t="s">
        <v>159</v>
      </c>
      <c r="B58" s="361">
        <v>262</v>
      </c>
      <c r="C58" s="361" t="s">
        <v>158</v>
      </c>
      <c r="D58" s="361">
        <v>69</v>
      </c>
      <c r="E58" s="361">
        <v>9</v>
      </c>
      <c r="F58" s="361" t="s">
        <v>2374</v>
      </c>
      <c r="G58" s="372">
        <v>1323590.8203125</v>
      </c>
      <c r="H58" s="372">
        <v>1254156.8603515625</v>
      </c>
      <c r="I58" s="372">
        <v>1605665.1611328125</v>
      </c>
      <c r="J58" s="372">
        <v>1967662.59765625</v>
      </c>
      <c r="K58" s="372">
        <v>1441744.9951171875</v>
      </c>
      <c r="L58" s="372">
        <v>1716586.669921875</v>
      </c>
      <c r="M58" s="372">
        <v>1495769.4091796875</v>
      </c>
      <c r="N58" s="372">
        <v>1600806.5185546875</v>
      </c>
      <c r="O58" s="372">
        <v>1591815.0634765625</v>
      </c>
      <c r="P58" s="372">
        <v>1685010.1318359375</v>
      </c>
      <c r="Q58" s="372">
        <v>1726447.75390625</v>
      </c>
      <c r="R58" s="372">
        <v>1693320.80078125</v>
      </c>
      <c r="S58" s="372">
        <v>1676437.3779296875</v>
      </c>
      <c r="T58" s="372">
        <v>1818651.2451171875</v>
      </c>
      <c r="U58" s="372">
        <v>1874645.263671875</v>
      </c>
      <c r="V58" s="372">
        <v>1973574.951171875</v>
      </c>
      <c r="W58" s="372">
        <v>2286453.857421875</v>
      </c>
      <c r="X58" s="372">
        <v>2395887.939453125</v>
      </c>
      <c r="Y58" s="372">
        <v>2678134.765625</v>
      </c>
      <c r="Z58" s="372">
        <v>1992581.9091796875</v>
      </c>
      <c r="AA58" s="372">
        <v>1808210.3271484375</v>
      </c>
      <c r="AB58" s="372">
        <v>2022119.7509765627</v>
      </c>
      <c r="AC58" s="372">
        <v>2154030.517578125</v>
      </c>
      <c r="AD58" s="372">
        <v>2357796.38671875</v>
      </c>
      <c r="AE58" s="372">
        <v>2646695.3125</v>
      </c>
      <c r="AF58" s="372">
        <v>2594439.208984375</v>
      </c>
      <c r="AG58" s="372">
        <v>3626835.693359375</v>
      </c>
      <c r="AH58" s="372">
        <v>3873897.4609375</v>
      </c>
      <c r="AI58" s="372">
        <v>3530053.8582881228</v>
      </c>
    </row>
    <row r="59" spans="1:35" x14ac:dyDescent="0.25">
      <c r="A59" s="361" t="s">
        <v>161</v>
      </c>
      <c r="B59" s="361">
        <v>212</v>
      </c>
      <c r="C59" s="361" t="s">
        <v>160</v>
      </c>
      <c r="D59" s="361">
        <v>54</v>
      </c>
      <c r="E59" s="361">
        <v>4</v>
      </c>
      <c r="F59" s="361" t="s">
        <v>2374</v>
      </c>
      <c r="G59" s="372">
        <v>468867.75749136793</v>
      </c>
      <c r="H59" s="372">
        <v>475180.93075778359</v>
      </c>
      <c r="I59" s="372">
        <v>484827.03625148139</v>
      </c>
      <c r="J59" s="372">
        <v>495309.64219566114</v>
      </c>
      <c r="K59" s="372">
        <v>495478.05241469137</v>
      </c>
      <c r="L59" s="372">
        <v>510491.87528791837</v>
      </c>
      <c r="M59" s="372">
        <v>526342.25960772263</v>
      </c>
      <c r="N59" s="372">
        <v>537844.41528427845</v>
      </c>
      <c r="O59" s="372">
        <v>558141.84192166245</v>
      </c>
      <c r="P59" s="372">
        <v>560122.01915838756</v>
      </c>
      <c r="Q59" s="372">
        <v>573226.11528492195</v>
      </c>
      <c r="R59" s="372">
        <v>572866.1163306603</v>
      </c>
      <c r="S59" s="372">
        <v>556660.42975592986</v>
      </c>
      <c r="T59" s="372">
        <v>592027.24670932873</v>
      </c>
      <c r="U59" s="372">
        <v>610088.19051767874</v>
      </c>
      <c r="V59" s="372">
        <v>614091.79122267244</v>
      </c>
      <c r="W59" s="372">
        <v>642700.85078151815</v>
      </c>
      <c r="X59" s="372">
        <v>683536.51664039737</v>
      </c>
      <c r="Y59" s="372">
        <v>732209.38779175736</v>
      </c>
      <c r="Z59" s="372">
        <v>723644.31609446416</v>
      </c>
      <c r="AA59" s="372">
        <v>728511.13744123303</v>
      </c>
      <c r="AB59" s="372">
        <v>726881.59307852364</v>
      </c>
      <c r="AC59" s="372">
        <v>719185.49479209469</v>
      </c>
      <c r="AD59" s="372">
        <v>714815.06013302121</v>
      </c>
      <c r="AE59" s="372">
        <v>746187.55044349341</v>
      </c>
      <c r="AF59" s="372">
        <v>727156.01443608943</v>
      </c>
      <c r="AG59" s="372">
        <v>745495.25905032456</v>
      </c>
      <c r="AH59" s="372">
        <v>674446.50787877233</v>
      </c>
      <c r="AI59" s="372">
        <v>678039.55846471817</v>
      </c>
    </row>
    <row r="60" spans="1:35" x14ac:dyDescent="0.25">
      <c r="A60" s="361" t="s">
        <v>163</v>
      </c>
      <c r="B60" s="361">
        <v>214</v>
      </c>
      <c r="C60" s="361" t="s">
        <v>162</v>
      </c>
      <c r="D60" s="361">
        <v>55</v>
      </c>
      <c r="E60" s="361">
        <v>4</v>
      </c>
      <c r="F60" s="361" t="s">
        <v>2374</v>
      </c>
      <c r="G60" s="372">
        <v>39345276.161662407</v>
      </c>
      <c r="H60" s="372">
        <v>39716750.214946561</v>
      </c>
      <c r="I60" s="372">
        <v>44173340.042920731</v>
      </c>
      <c r="J60" s="372">
        <v>47426491.431341857</v>
      </c>
      <c r="K60" s="372">
        <v>48659748.225570925</v>
      </c>
      <c r="L60" s="372">
        <v>51426264.50772775</v>
      </c>
      <c r="M60" s="372">
        <v>54500436.662838981</v>
      </c>
      <c r="N60" s="372">
        <v>59342947.102424763</v>
      </c>
      <c r="O60" s="372">
        <v>63327516.059125587</v>
      </c>
      <c r="P60" s="372">
        <v>67089201.629826762</v>
      </c>
      <c r="Q60" s="372">
        <v>70216740.725368977</v>
      </c>
      <c r="R60" s="372">
        <v>71943732.956395373</v>
      </c>
      <c r="S60" s="372">
        <v>75177678.144706681</v>
      </c>
      <c r="T60" s="372">
        <v>74166007.480125561</v>
      </c>
      <c r="U60" s="372">
        <v>76072173.461961925</v>
      </c>
      <c r="V60" s="372">
        <v>83244438.226533964</v>
      </c>
      <c r="W60" s="372">
        <v>90881578.845031768</v>
      </c>
      <c r="X60" s="372">
        <v>97621312.849840447</v>
      </c>
      <c r="Y60" s="372">
        <v>100754473.045966</v>
      </c>
      <c r="Z60" s="372">
        <v>101707766.69947062</v>
      </c>
      <c r="AA60" s="372">
        <v>110189839.54274108</v>
      </c>
      <c r="AB60" s="372">
        <v>113642553.32223693</v>
      </c>
      <c r="AC60" s="372">
        <v>116730639.58321196</v>
      </c>
      <c r="AD60" s="372">
        <v>122421497.66964088</v>
      </c>
      <c r="AE60" s="372">
        <v>131769642.19140176</v>
      </c>
      <c r="AF60" s="372">
        <v>141037490.08325532</v>
      </c>
      <c r="AG60" s="372">
        <v>150363182.59995404</v>
      </c>
      <c r="AH60" s="372">
        <v>157207436.70779395</v>
      </c>
      <c r="AI60" s="372">
        <v>168134521.74593768</v>
      </c>
    </row>
    <row r="61" spans="1:35" x14ac:dyDescent="0.25">
      <c r="A61" s="361" t="s">
        <v>165</v>
      </c>
      <c r="B61" s="361">
        <v>218</v>
      </c>
      <c r="C61" s="361" t="s">
        <v>164</v>
      </c>
      <c r="D61" s="361">
        <v>56</v>
      </c>
      <c r="E61" s="361">
        <v>6</v>
      </c>
      <c r="F61" s="361" t="s">
        <v>2374</v>
      </c>
      <c r="G61" s="372">
        <v>76349832.716292039</v>
      </c>
      <c r="H61" s="372">
        <v>79626265.458464384</v>
      </c>
      <c r="I61" s="372">
        <v>81309812.089258462</v>
      </c>
      <c r="J61" s="372">
        <v>82914232.001202852</v>
      </c>
      <c r="K61" s="372">
        <v>86444927.673608825</v>
      </c>
      <c r="L61" s="372">
        <v>88392141.8323109</v>
      </c>
      <c r="M61" s="372">
        <v>89922870.551487148</v>
      </c>
      <c r="N61" s="372">
        <v>93814610.781152159</v>
      </c>
      <c r="O61" s="372">
        <v>96879092.627328962</v>
      </c>
      <c r="P61" s="372">
        <v>92287618.677039251</v>
      </c>
      <c r="Q61" s="372">
        <v>93295213.868521705</v>
      </c>
      <c r="R61" s="372">
        <v>97041589.633161142</v>
      </c>
      <c r="S61" s="372">
        <v>101017192.26522727</v>
      </c>
      <c r="T61" s="372">
        <v>103767756.40607242</v>
      </c>
      <c r="U61" s="372">
        <v>112288161.15779264</v>
      </c>
      <c r="V61" s="372">
        <v>118229661.02387758</v>
      </c>
      <c r="W61" s="372">
        <v>123435935.50859046</v>
      </c>
      <c r="X61" s="372">
        <v>126139263.98806901</v>
      </c>
      <c r="Y61" s="372">
        <v>134158101.73755369</v>
      </c>
      <c r="Z61" s="372">
        <v>134918096.10401803</v>
      </c>
      <c r="AA61" s="372">
        <v>139674361.95013249</v>
      </c>
      <c r="AB61" s="372">
        <v>150664137.57623661</v>
      </c>
      <c r="AC61" s="372">
        <v>159164551.06642666</v>
      </c>
      <c r="AD61" s="372">
        <v>167037643.51784822</v>
      </c>
      <c r="AE61" s="372">
        <v>173366480.25843468</v>
      </c>
      <c r="AF61" s="372">
        <v>173537892.21946433</v>
      </c>
      <c r="AG61" s="372">
        <v>171409651.30200517</v>
      </c>
      <c r="AH61" s="372">
        <v>175469294.38828227</v>
      </c>
      <c r="AI61" s="372">
        <v>177885729.47044516</v>
      </c>
    </row>
    <row r="62" spans="1:35" x14ac:dyDescent="0.25">
      <c r="A62" s="361" t="s">
        <v>167</v>
      </c>
      <c r="B62" s="361">
        <v>818</v>
      </c>
      <c r="C62" s="361" t="s">
        <v>166</v>
      </c>
      <c r="D62" s="361">
        <v>211</v>
      </c>
      <c r="E62" s="361">
        <v>7</v>
      </c>
      <c r="F62" s="361" t="s">
        <v>2374</v>
      </c>
      <c r="G62" s="372">
        <v>331073774.18499547</v>
      </c>
      <c r="H62" s="372">
        <v>334799693.66209006</v>
      </c>
      <c r="I62" s="372">
        <v>349774812.50438374</v>
      </c>
      <c r="J62" s="372">
        <v>359921048.07918799</v>
      </c>
      <c r="K62" s="372">
        <v>374221331.03183168</v>
      </c>
      <c r="L62" s="372">
        <v>391594402.05694038</v>
      </c>
      <c r="M62" s="372">
        <v>411129991.69278967</v>
      </c>
      <c r="N62" s="372">
        <v>433710709.27933997</v>
      </c>
      <c r="O62" s="372">
        <v>457892238.87591594</v>
      </c>
      <c r="P62" s="372">
        <v>485610465.2434358</v>
      </c>
      <c r="Q62" s="372">
        <v>516543870.49363506</v>
      </c>
      <c r="R62" s="372">
        <v>534804997.85120535</v>
      </c>
      <c r="S62" s="372">
        <v>547587928.45043135</v>
      </c>
      <c r="T62" s="372">
        <v>565074901.09294891</v>
      </c>
      <c r="U62" s="372">
        <v>588198170.70289099</v>
      </c>
      <c r="V62" s="372">
        <v>614500889.88419902</v>
      </c>
      <c r="W62" s="372">
        <v>656556336.48727906</v>
      </c>
      <c r="X62" s="372">
        <v>703091916.57728839</v>
      </c>
      <c r="Y62" s="372">
        <v>753407167.8575896</v>
      </c>
      <c r="Z62" s="372">
        <v>788618403.74418008</v>
      </c>
      <c r="AA62" s="372">
        <v>829210445.11478198</v>
      </c>
      <c r="AB62" s="372">
        <v>843842460.02743936</v>
      </c>
      <c r="AC62" s="372">
        <v>862628079.17336798</v>
      </c>
      <c r="AD62" s="372">
        <v>881480523.01271152</v>
      </c>
      <c r="AE62" s="372">
        <v>907183718.30186689</v>
      </c>
      <c r="AF62" s="372">
        <v>946845963.53763974</v>
      </c>
      <c r="AG62" s="372">
        <v>988001981.64593136</v>
      </c>
      <c r="AH62" s="372">
        <v>1029312527.9824108</v>
      </c>
      <c r="AI62" s="372">
        <v>1084011441.5731764</v>
      </c>
    </row>
    <row r="63" spans="1:35" x14ac:dyDescent="0.25">
      <c r="A63" s="361" t="s">
        <v>169</v>
      </c>
      <c r="B63" s="361">
        <v>222</v>
      </c>
      <c r="C63" s="361" t="s">
        <v>168</v>
      </c>
      <c r="D63" s="361">
        <v>57</v>
      </c>
      <c r="E63" s="361">
        <v>4</v>
      </c>
      <c r="F63" s="361" t="s">
        <v>2374</v>
      </c>
      <c r="G63" s="372">
        <v>23778566.152087718</v>
      </c>
      <c r="H63" s="372">
        <v>24133903.235594533</v>
      </c>
      <c r="I63" s="372">
        <v>25827631.731933109</v>
      </c>
      <c r="J63" s="372">
        <v>27330602.266093295</v>
      </c>
      <c r="K63" s="372">
        <v>28612348.577105414</v>
      </c>
      <c r="L63" s="372">
        <v>29967131.715529308</v>
      </c>
      <c r="M63" s="372">
        <v>30212167.102220055</v>
      </c>
      <c r="N63" s="372">
        <v>31159300.289242771</v>
      </c>
      <c r="O63" s="372">
        <v>31986322.314537928</v>
      </c>
      <c r="P63" s="372">
        <v>32677392.141992606</v>
      </c>
      <c r="Q63" s="372">
        <v>33045358.220061366</v>
      </c>
      <c r="R63" s="372">
        <v>33335271.390662804</v>
      </c>
      <c r="S63" s="372">
        <v>33862256.117099531</v>
      </c>
      <c r="T63" s="372">
        <v>34391262.807108425</v>
      </c>
      <c r="U63" s="372">
        <v>34697615.379186802</v>
      </c>
      <c r="V63" s="372">
        <v>35637042.131679326</v>
      </c>
      <c r="W63" s="372">
        <v>37184721.587075733</v>
      </c>
      <c r="X63" s="372">
        <v>37876572.762159742</v>
      </c>
      <c r="Y63" s="372">
        <v>38682292.713369042</v>
      </c>
      <c r="Z63" s="372">
        <v>37876388.062646881</v>
      </c>
      <c r="AA63" s="372">
        <v>38840628.469633132</v>
      </c>
      <c r="AB63" s="372">
        <v>40322498.610890403</v>
      </c>
      <c r="AC63" s="372">
        <v>41457370.266505644</v>
      </c>
      <c r="AD63" s="372">
        <v>42384206.923278041</v>
      </c>
      <c r="AE63" s="372">
        <v>43109515.041320033</v>
      </c>
      <c r="AF63" s="372">
        <v>44142000.582674004</v>
      </c>
      <c r="AG63" s="372">
        <v>45248842.942379832</v>
      </c>
      <c r="AH63" s="372">
        <v>46293158.411210865</v>
      </c>
      <c r="AI63" s="372">
        <v>47467908.370740741</v>
      </c>
    </row>
    <row r="64" spans="1:35" x14ac:dyDescent="0.25">
      <c r="A64" s="361" t="s">
        <v>171</v>
      </c>
      <c r="B64" s="361">
        <v>226</v>
      </c>
      <c r="C64" s="361" t="s">
        <v>170</v>
      </c>
      <c r="D64" s="361">
        <v>58</v>
      </c>
      <c r="E64" s="361">
        <v>8</v>
      </c>
      <c r="F64" s="361" t="s">
        <v>2374</v>
      </c>
      <c r="G64" s="372">
        <v>426634.51256731304</v>
      </c>
      <c r="H64" s="372">
        <v>422273.2887146658</v>
      </c>
      <c r="I64" s="372">
        <v>568993.49427583499</v>
      </c>
      <c r="J64" s="372">
        <v>631771.75866896077</v>
      </c>
      <c r="K64" s="372">
        <v>737080.7541212904</v>
      </c>
      <c r="L64" s="372">
        <v>865968.63870765665</v>
      </c>
      <c r="M64" s="372">
        <v>1442530.5342990521</v>
      </c>
      <c r="N64" s="372">
        <v>3605936.3258061176</v>
      </c>
      <c r="O64" s="372">
        <v>4463229.0204145256</v>
      </c>
      <c r="P64" s="372">
        <v>5608672.8053827686</v>
      </c>
      <c r="Q64" s="372">
        <v>6630224.1286614593</v>
      </c>
      <c r="R64" s="372">
        <v>10832451.921809375</v>
      </c>
      <c r="S64" s="372">
        <v>12940754.061372513</v>
      </c>
      <c r="T64" s="372">
        <v>14746668.683464479</v>
      </c>
      <c r="U64" s="372">
        <v>20350215.036800679</v>
      </c>
      <c r="V64" s="372">
        <v>23758611.625860184</v>
      </c>
      <c r="W64" s="372">
        <v>25589193.076101869</v>
      </c>
      <c r="X64" s="372">
        <v>29499762.713068914</v>
      </c>
      <c r="Y64" s="372">
        <v>34750457.672456525</v>
      </c>
      <c r="Z64" s="372">
        <v>35217280.130729437</v>
      </c>
      <c r="AA64" s="372">
        <v>32074428.108711012</v>
      </c>
      <c r="AB64" s="372">
        <v>34166939.303250097</v>
      </c>
      <c r="AC64" s="372">
        <v>37007193.180702478</v>
      </c>
      <c r="AD64" s="372">
        <v>35477612.426778637</v>
      </c>
      <c r="AE64" s="372">
        <v>35624868.040573336</v>
      </c>
      <c r="AF64" s="372">
        <v>32379427.902865935</v>
      </c>
      <c r="AG64" s="372">
        <v>29524722.441550672</v>
      </c>
      <c r="AH64" s="372">
        <v>28141287.285181355</v>
      </c>
      <c r="AI64" s="372">
        <v>27311195.23860874</v>
      </c>
    </row>
    <row r="65" spans="1:35" x14ac:dyDescent="0.25">
      <c r="A65" s="361" t="s">
        <v>173</v>
      </c>
      <c r="B65" s="361">
        <v>232</v>
      </c>
      <c r="C65" s="361" t="s">
        <v>172</v>
      </c>
      <c r="D65" s="361">
        <v>60</v>
      </c>
      <c r="E65" s="361">
        <v>9</v>
      </c>
      <c r="F65" s="361" t="s">
        <v>2374</v>
      </c>
      <c r="G65" s="372">
        <v>2532376.691434152</v>
      </c>
      <c r="H65" s="372">
        <v>2998545.8744693142</v>
      </c>
      <c r="I65" s="372">
        <v>3464715.0575044765</v>
      </c>
      <c r="J65" s="372">
        <v>3930884.2405396393</v>
      </c>
      <c r="K65" s="372">
        <v>4765073.3553772541</v>
      </c>
      <c r="L65" s="372">
        <v>4901277.2132754941</v>
      </c>
      <c r="M65" s="372">
        <v>5355078.5485913903</v>
      </c>
      <c r="N65" s="372">
        <v>5778594.8376438348</v>
      </c>
      <c r="O65" s="372">
        <v>5881025.2153675891</v>
      </c>
      <c r="P65" s="372">
        <v>5881817.9917417401</v>
      </c>
      <c r="Q65" s="372">
        <v>5697012.1071860511</v>
      </c>
      <c r="R65" s="372">
        <v>6195810.3100090437</v>
      </c>
      <c r="S65" s="372">
        <v>6382021.0033494961</v>
      </c>
      <c r="T65" s="372">
        <v>6212545.4245969709</v>
      </c>
      <c r="U65" s="372">
        <v>6302735.1541084824</v>
      </c>
      <c r="V65" s="372">
        <v>6464995.8896766538</v>
      </c>
      <c r="W65" s="372">
        <v>6402336.0550511386</v>
      </c>
      <c r="X65" s="372">
        <v>6493685.9982479382</v>
      </c>
      <c r="Y65" s="372">
        <v>5858406.7465061266</v>
      </c>
      <c r="Z65" s="372">
        <v>6085507.9754421152</v>
      </c>
      <c r="AA65" s="372">
        <v>6219035.6160443351</v>
      </c>
      <c r="AB65" s="372">
        <v>6758835.4654946895</v>
      </c>
      <c r="AC65" s="372">
        <v>6769515.295786283</v>
      </c>
      <c r="AD65" s="372">
        <v>6772891.1686578337</v>
      </c>
      <c r="AE65" s="372">
        <v>6770673.131846793</v>
      </c>
      <c r="AF65" s="372">
        <v>6766516.6627401356</v>
      </c>
      <c r="AG65" s="372">
        <v>6762042.9035353884</v>
      </c>
      <c r="AH65" s="372">
        <v>6755842.5524488883</v>
      </c>
      <c r="AI65" s="372">
        <v>6748169.9062726721</v>
      </c>
    </row>
    <row r="66" spans="1:35" x14ac:dyDescent="0.25">
      <c r="A66" s="361" t="s">
        <v>175</v>
      </c>
      <c r="B66" s="361">
        <v>233</v>
      </c>
      <c r="C66" s="361" t="s">
        <v>174</v>
      </c>
      <c r="D66" s="361">
        <v>61</v>
      </c>
      <c r="E66" s="361">
        <v>12</v>
      </c>
      <c r="F66" s="361" t="s">
        <v>2374</v>
      </c>
      <c r="G66" s="372">
        <v>16658981.83025125</v>
      </c>
      <c r="H66" s="372">
        <v>16398219.151450032</v>
      </c>
      <c r="I66" s="372">
        <v>16137456.472648818</v>
      </c>
      <c r="J66" s="372">
        <v>15876693.7938476</v>
      </c>
      <c r="K66" s="372">
        <v>15615931.115046384</v>
      </c>
      <c r="L66" s="372">
        <v>16322814.615348814</v>
      </c>
      <c r="M66" s="372">
        <v>17191815.944521043</v>
      </c>
      <c r="N66" s="372">
        <v>19220212.758955888</v>
      </c>
      <c r="O66" s="372">
        <v>20011558.458462067</v>
      </c>
      <c r="P66" s="372">
        <v>19840169.811116986</v>
      </c>
      <c r="Q66" s="372">
        <v>21936893.827182408</v>
      </c>
      <c r="R66" s="372">
        <v>23325216.331034116</v>
      </c>
      <c r="S66" s="372">
        <v>24742548.540421665</v>
      </c>
      <c r="T66" s="372">
        <v>26577496.360923201</v>
      </c>
      <c r="U66" s="372">
        <v>28250482.309864331</v>
      </c>
      <c r="V66" s="372">
        <v>30898601.006005593</v>
      </c>
      <c r="W66" s="372">
        <v>34072469.486499429</v>
      </c>
      <c r="X66" s="372">
        <v>36712469.966866277</v>
      </c>
      <c r="Y66" s="372">
        <v>34722853.850874156</v>
      </c>
      <c r="Z66" s="372">
        <v>29610120.602195319</v>
      </c>
      <c r="AA66" s="372">
        <v>30279035.698853854</v>
      </c>
      <c r="AB66" s="372">
        <v>32579424.941360436</v>
      </c>
      <c r="AC66" s="372">
        <v>33982705.150272921</v>
      </c>
      <c r="AD66" s="372">
        <v>34640794.999072924</v>
      </c>
      <c r="AE66" s="372">
        <v>35641416.478938513</v>
      </c>
      <c r="AF66" s="372">
        <v>36318705.536669053</v>
      </c>
      <c r="AG66" s="372">
        <v>37585900.442475796</v>
      </c>
      <c r="AH66" s="372">
        <v>39411329.929141618</v>
      </c>
      <c r="AI66" s="372">
        <v>40934874.827186637</v>
      </c>
    </row>
    <row r="67" spans="1:35" x14ac:dyDescent="0.25">
      <c r="A67" s="361" t="s">
        <v>177</v>
      </c>
      <c r="B67" s="361">
        <v>231</v>
      </c>
      <c r="C67" s="361" t="s">
        <v>176</v>
      </c>
      <c r="D67" s="361">
        <v>59</v>
      </c>
      <c r="E67" s="361">
        <v>9</v>
      </c>
      <c r="F67" s="361" t="s">
        <v>2353</v>
      </c>
      <c r="G67" s="372">
        <v>31350152.72121406</v>
      </c>
      <c r="H67" s="372">
        <v>29112541.934662756</v>
      </c>
      <c r="I67" s="372">
        <v>26587762.514833435</v>
      </c>
      <c r="J67" s="372">
        <v>30082148.000228185</v>
      </c>
      <c r="K67" s="372">
        <v>31041757.866994318</v>
      </c>
      <c r="L67" s="372">
        <v>32943845.123327825</v>
      </c>
      <c r="M67" s="372">
        <v>37037504.567331314</v>
      </c>
      <c r="N67" s="372">
        <v>38198225.460360408</v>
      </c>
      <c r="O67" s="372">
        <v>36877277.677330069</v>
      </c>
      <c r="P67" s="372">
        <v>38780936.52586934</v>
      </c>
      <c r="Q67" s="372">
        <v>41136187.141703092</v>
      </c>
      <c r="R67" s="372">
        <v>44551028.044919573</v>
      </c>
      <c r="S67" s="372">
        <v>45225853.919141814</v>
      </c>
      <c r="T67" s="372">
        <v>44248360.528576694</v>
      </c>
      <c r="U67" s="372">
        <v>50254014.897691615</v>
      </c>
      <c r="V67" s="372">
        <v>56193419.297244102</v>
      </c>
      <c r="W67" s="372">
        <v>62281822.907084368</v>
      </c>
      <c r="X67" s="372">
        <v>69416932.549978897</v>
      </c>
      <c r="Y67" s="372">
        <v>76905993.371453807</v>
      </c>
      <c r="Z67" s="372">
        <v>83675684.350292295</v>
      </c>
      <c r="AA67" s="372">
        <v>94177433.200895712</v>
      </c>
      <c r="AB67" s="372">
        <v>104704865.66323149</v>
      </c>
      <c r="AC67" s="372">
        <v>113759545.2167652</v>
      </c>
      <c r="AD67" s="372">
        <v>125797887.49728392</v>
      </c>
      <c r="AE67" s="372">
        <v>138701596.95241097</v>
      </c>
      <c r="AF67" s="372">
        <v>153116109.12416345</v>
      </c>
      <c r="AG67" s="372">
        <v>167560290.72475699</v>
      </c>
      <c r="AH67" s="372">
        <v>183484983.77655503</v>
      </c>
      <c r="AI67" s="372">
        <v>195980621.97873801</v>
      </c>
    </row>
    <row r="68" spans="1:35" x14ac:dyDescent="0.25">
      <c r="A68" s="361" t="s">
        <v>179</v>
      </c>
      <c r="B68" s="361">
        <v>234</v>
      </c>
      <c r="C68" s="361" t="s">
        <v>178</v>
      </c>
      <c r="D68" s="361">
        <v>62</v>
      </c>
      <c r="E68" s="361">
        <v>11</v>
      </c>
      <c r="F68" s="361" t="s">
        <v>2374</v>
      </c>
      <c r="G68" s="372">
        <v>1476383.1600603156</v>
      </c>
      <c r="H68" s="372">
        <v>1471573.687482381</v>
      </c>
      <c r="I68" s="372">
        <v>1459674.9274032048</v>
      </c>
      <c r="J68" s="372">
        <v>1444902.9759138336</v>
      </c>
      <c r="K68" s="372">
        <v>1432098.535933618</v>
      </c>
      <c r="L68" s="372">
        <v>1424884.3270667158</v>
      </c>
      <c r="M68" s="372">
        <v>1424572.0236525643</v>
      </c>
      <c r="N68" s="372">
        <v>1430224.7154487083</v>
      </c>
      <c r="O68" s="372">
        <v>1439593.8178732563</v>
      </c>
      <c r="P68" s="372">
        <v>1433036.3283635499</v>
      </c>
      <c r="Q68" s="372">
        <v>1329576.1430833302</v>
      </c>
      <c r="R68" s="372">
        <v>1403501.5244854118</v>
      </c>
      <c r="S68" s="372">
        <v>1497510.5661874011</v>
      </c>
      <c r="T68" s="372">
        <v>1719833.2019115782</v>
      </c>
      <c r="U68" s="372">
        <v>1892576.7870224577</v>
      </c>
      <c r="V68" s="372">
        <v>1899962.7843814939</v>
      </c>
      <c r="W68" s="372">
        <v>2165680.2273735553</v>
      </c>
      <c r="X68" s="372">
        <v>2470498.6515614414</v>
      </c>
      <c r="Y68" s="372">
        <v>2570295.8971385295</v>
      </c>
      <c r="Z68" s="372">
        <v>2351864.6253187084</v>
      </c>
      <c r="AA68" s="372">
        <v>2364324.512259867</v>
      </c>
      <c r="AB68" s="372">
        <v>2490807.8305735099</v>
      </c>
      <c r="AC68" s="372">
        <v>2341265.1282442729</v>
      </c>
      <c r="AD68" s="372">
        <v>2571138.8642154373</v>
      </c>
      <c r="AE68" s="372">
        <v>2738028.2414337555</v>
      </c>
      <c r="AF68" s="372">
        <v>2365191.009267142</v>
      </c>
      <c r="AG68" s="372">
        <v>2525864.7319352734</v>
      </c>
      <c r="AH68" s="372">
        <v>2686538.4546034052</v>
      </c>
      <c r="AI68" s="372">
        <v>2847212.177271537</v>
      </c>
    </row>
    <row r="69" spans="1:35" x14ac:dyDescent="0.25">
      <c r="A69" s="361" t="s">
        <v>181</v>
      </c>
      <c r="B69" s="361">
        <v>238</v>
      </c>
      <c r="C69" s="361" t="s">
        <v>180</v>
      </c>
      <c r="D69" s="361">
        <v>63</v>
      </c>
      <c r="E69" s="361">
        <v>6</v>
      </c>
      <c r="F69" s="361" t="s">
        <v>2374</v>
      </c>
      <c r="G69" s="372">
        <v>0</v>
      </c>
      <c r="H69" s="372">
        <v>0</v>
      </c>
      <c r="I69" s="372">
        <v>0</v>
      </c>
      <c r="J69" s="372">
        <v>0</v>
      </c>
      <c r="K69" s="372">
        <v>0</v>
      </c>
      <c r="L69" s="372">
        <v>0</v>
      </c>
      <c r="M69" s="372">
        <v>0</v>
      </c>
      <c r="N69" s="372">
        <v>0</v>
      </c>
      <c r="O69" s="372">
        <v>0</v>
      </c>
      <c r="P69" s="372">
        <v>0</v>
      </c>
      <c r="Q69" s="372">
        <v>0</v>
      </c>
      <c r="R69" s="372">
        <v>0</v>
      </c>
      <c r="S69" s="372">
        <v>0</v>
      </c>
      <c r="T69" s="372">
        <v>0</v>
      </c>
      <c r="U69" s="372">
        <v>0</v>
      </c>
      <c r="V69" s="372">
        <v>0</v>
      </c>
      <c r="W69" s="372">
        <v>0</v>
      </c>
      <c r="X69" s="372">
        <v>0</v>
      </c>
      <c r="Y69" s="372">
        <v>0</v>
      </c>
      <c r="Z69" s="372">
        <v>0</v>
      </c>
      <c r="AA69" s="372">
        <v>0</v>
      </c>
      <c r="AB69" s="372">
        <v>0</v>
      </c>
      <c r="AC69" s="372">
        <v>0</v>
      </c>
      <c r="AD69" s="372">
        <v>0</v>
      </c>
      <c r="AE69" s="372">
        <v>0</v>
      </c>
      <c r="AF69" s="372">
        <v>0</v>
      </c>
      <c r="AG69" s="372">
        <v>0</v>
      </c>
      <c r="AH69" s="372">
        <v>0</v>
      </c>
      <c r="AI69" s="372">
        <v>0</v>
      </c>
    </row>
    <row r="70" spans="1:35" x14ac:dyDescent="0.25">
      <c r="A70" s="361" t="s">
        <v>183</v>
      </c>
      <c r="B70" s="361">
        <v>242</v>
      </c>
      <c r="C70" s="361" t="s">
        <v>182</v>
      </c>
      <c r="D70" s="361">
        <v>64</v>
      </c>
      <c r="E70" s="361">
        <v>24</v>
      </c>
      <c r="F70" s="361" t="s">
        <v>2374</v>
      </c>
      <c r="G70" s="372">
        <v>4292558.9089314239</v>
      </c>
      <c r="H70" s="372">
        <v>4176659.6973182536</v>
      </c>
      <c r="I70" s="372">
        <v>4431435.9970881986</v>
      </c>
      <c r="J70" s="372">
        <v>4525826.9852875555</v>
      </c>
      <c r="K70" s="372">
        <v>4756644.1687324671</v>
      </c>
      <c r="L70" s="372">
        <v>4875560.2033967283</v>
      </c>
      <c r="M70" s="372">
        <v>5109587.1384418542</v>
      </c>
      <c r="N70" s="372">
        <v>4997176.182445867</v>
      </c>
      <c r="O70" s="372">
        <v>5062139.5708648907</v>
      </c>
      <c r="P70" s="372">
        <v>5507607.7533269152</v>
      </c>
      <c r="Q70" s="372">
        <v>5413978.5019152462</v>
      </c>
      <c r="R70" s="372">
        <v>5522258.0431725644</v>
      </c>
      <c r="S70" s="372">
        <v>5698970.3289513262</v>
      </c>
      <c r="T70" s="372">
        <v>5755959.9449385144</v>
      </c>
      <c r="U70" s="372">
        <v>6061025.8388091614</v>
      </c>
      <c r="V70" s="372">
        <v>6103453.0428974917</v>
      </c>
      <c r="W70" s="372">
        <v>6216518.478536509</v>
      </c>
      <c r="X70" s="372">
        <v>6163637.4443716826</v>
      </c>
      <c r="Y70" s="372">
        <v>6227295.1353498492</v>
      </c>
      <c r="Z70" s="372">
        <v>6140982.4905015482</v>
      </c>
      <c r="AA70" s="372">
        <v>6322428.3852023948</v>
      </c>
      <c r="AB70" s="372">
        <v>6493459.1122858813</v>
      </c>
      <c r="AC70" s="372">
        <v>6585102.1877887882</v>
      </c>
      <c r="AD70" s="372">
        <v>6896855.4399116607</v>
      </c>
      <c r="AE70" s="372">
        <v>7283321.7357162517</v>
      </c>
      <c r="AF70" s="372">
        <v>7623001.8656945005</v>
      </c>
      <c r="AG70" s="372">
        <v>7824652.3400255432</v>
      </c>
      <c r="AH70" s="372">
        <v>8229949.2630711449</v>
      </c>
      <c r="AI70" s="372">
        <v>8641446.7262246683</v>
      </c>
    </row>
    <row r="71" spans="1:35" x14ac:dyDescent="0.25">
      <c r="A71" s="361" t="s">
        <v>185</v>
      </c>
      <c r="B71" s="361">
        <v>246</v>
      </c>
      <c r="C71" s="361" t="s">
        <v>184</v>
      </c>
      <c r="D71" s="361">
        <v>65</v>
      </c>
      <c r="E71" s="361">
        <v>11</v>
      </c>
      <c r="F71" s="361" t="s">
        <v>2374</v>
      </c>
      <c r="G71" s="372">
        <v>144135631.9371326</v>
      </c>
      <c r="H71" s="372">
        <v>135610836.8288627</v>
      </c>
      <c r="I71" s="372">
        <v>131102279.10511339</v>
      </c>
      <c r="J71" s="372">
        <v>130139341.6434664</v>
      </c>
      <c r="K71" s="372">
        <v>135265869.9090319</v>
      </c>
      <c r="L71" s="372">
        <v>140956681.81167167</v>
      </c>
      <c r="M71" s="372">
        <v>146114051.49059948</v>
      </c>
      <c r="N71" s="372">
        <v>155248821.21870273</v>
      </c>
      <c r="O71" s="372">
        <v>163676522.98860967</v>
      </c>
      <c r="P71" s="372">
        <v>170950527.44385052</v>
      </c>
      <c r="Q71" s="372">
        <v>180583328.88402739</v>
      </c>
      <c r="R71" s="372">
        <v>185243809.12545058</v>
      </c>
      <c r="S71" s="372">
        <v>188356507.32591093</v>
      </c>
      <c r="T71" s="372">
        <v>192112306.10870486</v>
      </c>
      <c r="U71" s="372">
        <v>199654745.08765522</v>
      </c>
      <c r="V71" s="372">
        <v>205205057.21831089</v>
      </c>
      <c r="W71" s="372">
        <v>213526527.45330304</v>
      </c>
      <c r="X71" s="372">
        <v>224597452.57582104</v>
      </c>
      <c r="Y71" s="372">
        <v>226216055.6400604</v>
      </c>
      <c r="Z71" s="372">
        <v>207510167.29850504</v>
      </c>
      <c r="AA71" s="372">
        <v>213719571.85546002</v>
      </c>
      <c r="AB71" s="372">
        <v>219213912.53223586</v>
      </c>
      <c r="AC71" s="372">
        <v>216087507.03694782</v>
      </c>
      <c r="AD71" s="372">
        <v>214449485.30503586</v>
      </c>
      <c r="AE71" s="372">
        <v>213094747.66622999</v>
      </c>
      <c r="AF71" s="372">
        <v>214161632.11365384</v>
      </c>
      <c r="AG71" s="372">
        <v>220098033.0486235</v>
      </c>
      <c r="AH71" s="372">
        <v>225936198.37066123</v>
      </c>
      <c r="AI71" s="372">
        <v>231198657.30993488</v>
      </c>
    </row>
    <row r="72" spans="1:35" x14ac:dyDescent="0.25">
      <c r="A72" s="361" t="s">
        <v>187</v>
      </c>
      <c r="B72" s="361">
        <v>250</v>
      </c>
      <c r="C72" s="361" t="s">
        <v>186</v>
      </c>
      <c r="D72" s="361">
        <v>66</v>
      </c>
      <c r="E72" s="361">
        <v>11</v>
      </c>
      <c r="F72" s="361" t="s">
        <v>2374</v>
      </c>
      <c r="G72" s="372">
        <v>1715860567.7196939</v>
      </c>
      <c r="H72" s="372">
        <v>1733845803.4461355</v>
      </c>
      <c r="I72" s="372">
        <v>1761575939.5118387</v>
      </c>
      <c r="J72" s="372">
        <v>1750501504.0687308</v>
      </c>
      <c r="K72" s="372">
        <v>1791784319.7389214</v>
      </c>
      <c r="L72" s="372">
        <v>1829531754.6569378</v>
      </c>
      <c r="M72" s="372">
        <v>1855382922.8580427</v>
      </c>
      <c r="N72" s="372">
        <v>1898730169.1336443</v>
      </c>
      <c r="O72" s="372">
        <v>1966869128.4923339</v>
      </c>
      <c r="P72" s="372">
        <v>2034163073.8246038</v>
      </c>
      <c r="Q72" s="372">
        <v>2113976903.9468305</v>
      </c>
      <c r="R72" s="372">
        <v>2155912316.16083</v>
      </c>
      <c r="S72" s="372">
        <v>2180393379.3510256</v>
      </c>
      <c r="T72" s="372">
        <v>2198341522.6012936</v>
      </c>
      <c r="U72" s="372">
        <v>2260549156.1241684</v>
      </c>
      <c r="V72" s="372">
        <v>2298147061.7538981</v>
      </c>
      <c r="W72" s="372">
        <v>2354436120.1408701</v>
      </c>
      <c r="X72" s="372">
        <v>2411524985.9526973</v>
      </c>
      <c r="Y72" s="372">
        <v>2417673071.1673675</v>
      </c>
      <c r="Z72" s="372">
        <v>2348205735.9684434</v>
      </c>
      <c r="AA72" s="372">
        <v>2393982542.2529879</v>
      </c>
      <c r="AB72" s="372">
        <v>2446475413.0509968</v>
      </c>
      <c r="AC72" s="372">
        <v>2454136177.5831032</v>
      </c>
      <c r="AD72" s="372">
        <v>2468280019.1190166</v>
      </c>
      <c r="AE72" s="372">
        <v>2491881294.0938787</v>
      </c>
      <c r="AF72" s="372">
        <v>2519613748.566823</v>
      </c>
      <c r="AG72" s="372">
        <v>2547215220.0495582</v>
      </c>
      <c r="AH72" s="372">
        <v>2604787447.7951808</v>
      </c>
      <c r="AI72" s="372">
        <v>2649716921.8860278</v>
      </c>
    </row>
    <row r="73" spans="1:35" x14ac:dyDescent="0.25">
      <c r="A73" s="361" t="s">
        <v>189</v>
      </c>
      <c r="B73" s="361">
        <v>254</v>
      </c>
      <c r="C73" s="361" t="s">
        <v>188</v>
      </c>
      <c r="D73" s="361">
        <v>67</v>
      </c>
      <c r="E73" s="361">
        <v>6</v>
      </c>
      <c r="F73" s="361" t="s">
        <v>2374</v>
      </c>
      <c r="G73" s="372">
        <v>0</v>
      </c>
      <c r="H73" s="372">
        <v>0</v>
      </c>
      <c r="I73" s="372">
        <v>0</v>
      </c>
      <c r="J73" s="372">
        <v>0</v>
      </c>
      <c r="K73" s="372">
        <v>0</v>
      </c>
      <c r="L73" s="372">
        <v>0</v>
      </c>
      <c r="M73" s="372">
        <v>0</v>
      </c>
      <c r="N73" s="372">
        <v>0</v>
      </c>
      <c r="O73" s="372">
        <v>0</v>
      </c>
      <c r="P73" s="372">
        <v>0</v>
      </c>
      <c r="Q73" s="372">
        <v>0</v>
      </c>
      <c r="R73" s="372">
        <v>0</v>
      </c>
      <c r="S73" s="372">
        <v>0</v>
      </c>
      <c r="T73" s="372">
        <v>0</v>
      </c>
      <c r="U73" s="372">
        <v>0</v>
      </c>
      <c r="V73" s="372">
        <v>0</v>
      </c>
      <c r="W73" s="372">
        <v>0</v>
      </c>
      <c r="X73" s="372">
        <v>0</v>
      </c>
      <c r="Y73" s="372">
        <v>0</v>
      </c>
      <c r="Z73" s="372">
        <v>0</v>
      </c>
      <c r="AA73" s="372">
        <v>0</v>
      </c>
      <c r="AB73" s="372">
        <v>0</v>
      </c>
      <c r="AC73" s="372">
        <v>0</v>
      </c>
      <c r="AD73" s="372">
        <v>0</v>
      </c>
      <c r="AE73" s="372">
        <v>0</v>
      </c>
      <c r="AF73" s="372">
        <v>0</v>
      </c>
      <c r="AG73" s="372">
        <v>0</v>
      </c>
      <c r="AH73" s="372">
        <v>0</v>
      </c>
      <c r="AI73" s="372">
        <v>0</v>
      </c>
    </row>
    <row r="74" spans="1:35" x14ac:dyDescent="0.25">
      <c r="A74" s="361" t="s">
        <v>191</v>
      </c>
      <c r="B74" s="361">
        <v>258</v>
      </c>
      <c r="C74" s="361" t="s">
        <v>190</v>
      </c>
      <c r="D74" s="361">
        <v>68</v>
      </c>
      <c r="E74" s="361">
        <v>24</v>
      </c>
      <c r="F74" s="361" t="s">
        <v>2374</v>
      </c>
      <c r="G74" s="372">
        <v>4785668.6114743082</v>
      </c>
      <c r="H74" s="372">
        <v>4812520.3995573446</v>
      </c>
      <c r="I74" s="372">
        <v>5133274.8739597145</v>
      </c>
      <c r="J74" s="372">
        <v>5234192.0483354824</v>
      </c>
      <c r="K74" s="372">
        <v>4905463.0826944234</v>
      </c>
      <c r="L74" s="372">
        <v>5484517.7716679005</v>
      </c>
      <c r="M74" s="372">
        <v>5368883.6049851356</v>
      </c>
      <c r="N74" s="372">
        <v>4736743.7622060664</v>
      </c>
      <c r="O74" s="372">
        <v>4905481.8126662076</v>
      </c>
      <c r="P74" s="372">
        <v>4857053.6928809984</v>
      </c>
      <c r="Q74" s="372">
        <v>4329611.1347543821</v>
      </c>
      <c r="R74" s="372">
        <v>4405972.8644230468</v>
      </c>
      <c r="S74" s="372">
        <v>4478664.913796681</v>
      </c>
      <c r="T74" s="372">
        <v>4545780.4882121794</v>
      </c>
      <c r="U74" s="372">
        <v>4604945.0886551095</v>
      </c>
      <c r="V74" s="372">
        <v>4655097.3860205356</v>
      </c>
      <c r="W74" s="372">
        <v>4695212.0284613194</v>
      </c>
      <c r="X74" s="372">
        <v>4725990.5725044496</v>
      </c>
      <c r="Y74" s="372">
        <v>4750095.3352267127</v>
      </c>
      <c r="Z74" s="372">
        <v>4771555.7695010882</v>
      </c>
      <c r="AA74" s="372">
        <v>4793160.1128066387</v>
      </c>
      <c r="AB74" s="372">
        <v>4815519.9785258733</v>
      </c>
      <c r="AC74" s="372">
        <v>4838905.1960922489</v>
      </c>
      <c r="AD74" s="372">
        <v>4862830.0725255413</v>
      </c>
      <c r="AE74" s="372">
        <v>4887600.4145170031</v>
      </c>
      <c r="AF74" s="372">
        <v>4913126.278922148</v>
      </c>
      <c r="AG74" s="372">
        <v>4939227.7794520017</v>
      </c>
      <c r="AH74" s="372">
        <v>4966696.4157780437</v>
      </c>
      <c r="AI74" s="372">
        <v>4995064.4835489467</v>
      </c>
    </row>
    <row r="75" spans="1:35" x14ac:dyDescent="0.25">
      <c r="A75" s="361" t="s">
        <v>193</v>
      </c>
      <c r="B75" s="361">
        <v>266</v>
      </c>
      <c r="C75" s="361" t="s">
        <v>192</v>
      </c>
      <c r="D75" s="361">
        <v>70</v>
      </c>
      <c r="E75" s="361">
        <v>8</v>
      </c>
      <c r="F75" s="361" t="s">
        <v>2374</v>
      </c>
      <c r="G75" s="372">
        <v>18568819.534895103</v>
      </c>
      <c r="H75" s="372">
        <v>19703839.275719732</v>
      </c>
      <c r="I75" s="372">
        <v>19094961.943153873</v>
      </c>
      <c r="J75" s="372">
        <v>19848555.119978473</v>
      </c>
      <c r="K75" s="372">
        <v>20585483.311081823</v>
      </c>
      <c r="L75" s="372">
        <v>21609373.912325073</v>
      </c>
      <c r="M75" s="372">
        <v>22392724.309622422</v>
      </c>
      <c r="N75" s="372">
        <v>23677701.10022185</v>
      </c>
      <c r="O75" s="372">
        <v>24501172.141759586</v>
      </c>
      <c r="P75" s="372">
        <v>22312574.852193739</v>
      </c>
      <c r="Q75" s="372">
        <v>21892436.565285586</v>
      </c>
      <c r="R75" s="372">
        <v>22359891.18771207</v>
      </c>
      <c r="S75" s="372">
        <v>22304207.642204449</v>
      </c>
      <c r="T75" s="372">
        <v>22805456.794375986</v>
      </c>
      <c r="U75" s="372">
        <v>22962710.23865281</v>
      </c>
      <c r="V75" s="372">
        <v>23577239.055431858</v>
      </c>
      <c r="W75" s="372">
        <v>22915525.367232691</v>
      </c>
      <c r="X75" s="372">
        <v>24292314.885764051</v>
      </c>
      <c r="Y75" s="372">
        <v>23488620.494783457</v>
      </c>
      <c r="Z75" s="372">
        <v>23519233.476903781</v>
      </c>
      <c r="AA75" s="372">
        <v>25186720.62766248</v>
      </c>
      <c r="AB75" s="372">
        <v>26972900.729662664</v>
      </c>
      <c r="AC75" s="372">
        <v>28389268.493859269</v>
      </c>
      <c r="AD75" s="372">
        <v>29990053.893491354</v>
      </c>
      <c r="AE75" s="372">
        <v>31284114.05485465</v>
      </c>
      <c r="AF75" s="372">
        <v>32497593.365684196</v>
      </c>
      <c r="AG75" s="372">
        <v>33177261.750014395</v>
      </c>
      <c r="AH75" s="372">
        <v>33336433.734324936</v>
      </c>
      <c r="AI75" s="372">
        <v>33743506.119275786</v>
      </c>
    </row>
    <row r="76" spans="1:35" x14ac:dyDescent="0.25">
      <c r="A76" s="361" t="s">
        <v>195</v>
      </c>
      <c r="B76" s="361">
        <v>270</v>
      </c>
      <c r="C76" s="361" t="s">
        <v>194</v>
      </c>
      <c r="D76" s="361">
        <v>72</v>
      </c>
      <c r="E76" s="361">
        <v>8</v>
      </c>
      <c r="F76" s="361" t="s">
        <v>2374</v>
      </c>
      <c r="G76" s="372">
        <v>1381083.8684696492</v>
      </c>
      <c r="H76" s="372">
        <v>1423994.689359098</v>
      </c>
      <c r="I76" s="372">
        <v>1472107.0358725032</v>
      </c>
      <c r="J76" s="372">
        <v>1516448.3887645588</v>
      </c>
      <c r="K76" s="372">
        <v>1518788.9730427093</v>
      </c>
      <c r="L76" s="372">
        <v>1532182.3820173049</v>
      </c>
      <c r="M76" s="372">
        <v>1566251.156923607</v>
      </c>
      <c r="N76" s="372">
        <v>1642997.4481593485</v>
      </c>
      <c r="O76" s="372">
        <v>1700502.3374749538</v>
      </c>
      <c r="P76" s="372">
        <v>1809334.4741254866</v>
      </c>
      <c r="Q76" s="372">
        <v>1908847.8708018267</v>
      </c>
      <c r="R76" s="372">
        <v>2019561.0564317815</v>
      </c>
      <c r="S76" s="372">
        <v>1953925.3157886621</v>
      </c>
      <c r="T76" s="372">
        <v>2088159.9758239272</v>
      </c>
      <c r="U76" s="372">
        <v>2235375.2537238854</v>
      </c>
      <c r="V76" s="372">
        <v>2214325.2629108261</v>
      </c>
      <c r="W76" s="372">
        <v>2239216.4895104887</v>
      </c>
      <c r="X76" s="372">
        <v>2320523.0126508842</v>
      </c>
      <c r="Y76" s="372">
        <v>2453596.6988134934</v>
      </c>
      <c r="Z76" s="372">
        <v>2611846.2248208765</v>
      </c>
      <c r="AA76" s="372">
        <v>2782303.0754650817</v>
      </c>
      <c r="AB76" s="372">
        <v>2662799.7704092399</v>
      </c>
      <c r="AC76" s="372">
        <v>2811910.2020688583</v>
      </c>
      <c r="AD76" s="372">
        <v>2946570.3852808485</v>
      </c>
      <c r="AE76" s="372">
        <v>2918865.6836217851</v>
      </c>
      <c r="AF76" s="372">
        <v>3090151.9468957307</v>
      </c>
      <c r="AG76" s="372">
        <v>3102685.4977757186</v>
      </c>
      <c r="AH76" s="372">
        <v>3244097.5847392776</v>
      </c>
      <c r="AI76" s="372">
        <v>3458207.8670324357</v>
      </c>
    </row>
    <row r="77" spans="1:35" x14ac:dyDescent="0.25">
      <c r="A77" s="361" t="s">
        <v>197</v>
      </c>
      <c r="B77" s="361">
        <v>268</v>
      </c>
      <c r="C77" s="361" t="s">
        <v>196</v>
      </c>
      <c r="D77" s="361">
        <v>71</v>
      </c>
      <c r="E77" s="361">
        <v>16</v>
      </c>
      <c r="F77" s="361" t="s">
        <v>2374</v>
      </c>
      <c r="G77" s="372">
        <v>38341089.855714686</v>
      </c>
      <c r="H77" s="372">
        <v>30251119.647623777</v>
      </c>
      <c r="I77" s="372">
        <v>16668366.9838291</v>
      </c>
      <c r="J77" s="372">
        <v>11784535.218603989</v>
      </c>
      <c r="K77" s="372">
        <v>10558944.290983647</v>
      </c>
      <c r="L77" s="372">
        <v>10833476.409994002</v>
      </c>
      <c r="M77" s="372">
        <v>12046826.050335947</v>
      </c>
      <c r="N77" s="372">
        <v>13314036.590020653</v>
      </c>
      <c r="O77" s="372">
        <v>13727424.542794494</v>
      </c>
      <c r="P77" s="372">
        <v>14121299.590518398</v>
      </c>
      <c r="Q77" s="372">
        <v>14380897.339049114</v>
      </c>
      <c r="R77" s="372">
        <v>15071964.460357152</v>
      </c>
      <c r="S77" s="372">
        <v>15896979.302837543</v>
      </c>
      <c r="T77" s="372">
        <v>17654982.239475004</v>
      </c>
      <c r="U77" s="372">
        <v>18677999.553204112</v>
      </c>
      <c r="V77" s="372">
        <v>20469140.119685851</v>
      </c>
      <c r="W77" s="372">
        <v>22397286.243942436</v>
      </c>
      <c r="X77" s="372">
        <v>25214630.299915489</v>
      </c>
      <c r="Y77" s="372">
        <v>25824464.34080172</v>
      </c>
      <c r="Z77" s="372">
        <v>24881738.656280205</v>
      </c>
      <c r="AA77" s="372">
        <v>26436719.875267223</v>
      </c>
      <c r="AB77" s="372">
        <v>28345876.391981069</v>
      </c>
      <c r="AC77" s="372">
        <v>30146065.69762747</v>
      </c>
      <c r="AD77" s="372">
        <v>31167043.85886877</v>
      </c>
      <c r="AE77" s="372">
        <v>32608087.432599306</v>
      </c>
      <c r="AF77" s="372">
        <v>33547372.047297642</v>
      </c>
      <c r="AG77" s="372">
        <v>34502332.646746024</v>
      </c>
      <c r="AH77" s="372">
        <v>36169722.146623686</v>
      </c>
      <c r="AI77" s="372">
        <v>37875982.990800247</v>
      </c>
    </row>
    <row r="78" spans="1:35" x14ac:dyDescent="0.25">
      <c r="A78" s="361" t="s">
        <v>199</v>
      </c>
      <c r="B78" s="361">
        <v>276</v>
      </c>
      <c r="C78" s="361" t="s">
        <v>198</v>
      </c>
      <c r="D78" s="361">
        <v>73</v>
      </c>
      <c r="E78" s="361">
        <v>11</v>
      </c>
      <c r="F78" s="361" t="s">
        <v>2374</v>
      </c>
      <c r="G78" s="372">
        <v>2485226723.5698333</v>
      </c>
      <c r="H78" s="372">
        <v>2612178603.6751275</v>
      </c>
      <c r="I78" s="372">
        <v>2662431878.7960668</v>
      </c>
      <c r="J78" s="372">
        <v>2636974628.848043</v>
      </c>
      <c r="K78" s="372">
        <v>2701774900.2780857</v>
      </c>
      <c r="L78" s="372">
        <v>2748722038.7093034</v>
      </c>
      <c r="M78" s="372">
        <v>2771203770.7622504</v>
      </c>
      <c r="N78" s="372">
        <v>2822448889.4529438</v>
      </c>
      <c r="O78" s="372">
        <v>2878322607.1977587</v>
      </c>
      <c r="P78" s="372">
        <v>2935518761.6786027</v>
      </c>
      <c r="Q78" s="372">
        <v>3022470159.1811323</v>
      </c>
      <c r="R78" s="372">
        <v>3073715277.8718257</v>
      </c>
      <c r="S78" s="372">
        <v>3073715277.8718257</v>
      </c>
      <c r="T78" s="372">
        <v>3051894783.4081707</v>
      </c>
      <c r="U78" s="372">
        <v>3087601049.4058208</v>
      </c>
      <c r="V78" s="372">
        <v>3109421556.683661</v>
      </c>
      <c r="W78" s="372">
        <v>3224475116.0488286</v>
      </c>
      <c r="X78" s="372">
        <v>3329610265.3448291</v>
      </c>
      <c r="Y78" s="372">
        <v>3365647150.1371264</v>
      </c>
      <c r="Z78" s="372">
        <v>3176536134.0478578</v>
      </c>
      <c r="AA78" s="372">
        <v>3306136689.7221279</v>
      </c>
      <c r="AB78" s="372">
        <v>3427141297.6916323</v>
      </c>
      <c r="AC78" s="372">
        <v>3444002587.1207037</v>
      </c>
      <c r="AD78" s="372">
        <v>3460863889.3639607</v>
      </c>
      <c r="AE78" s="372">
        <v>3536243808.4524622</v>
      </c>
      <c r="AF78" s="372">
        <v>3597737943.1927829</v>
      </c>
      <c r="AG78" s="372">
        <v>3678407686.1105137</v>
      </c>
      <c r="AH78" s="372">
        <v>3757754966.6638446</v>
      </c>
      <c r="AI78" s="372">
        <v>3811314378.4745064</v>
      </c>
    </row>
    <row r="79" spans="1:35" x14ac:dyDescent="0.25">
      <c r="A79" s="361" t="s">
        <v>201</v>
      </c>
      <c r="B79" s="361">
        <v>288</v>
      </c>
      <c r="C79" s="361" t="s">
        <v>200</v>
      </c>
      <c r="D79" s="361">
        <v>74</v>
      </c>
      <c r="E79" s="361">
        <v>8</v>
      </c>
      <c r="F79" s="361" t="s">
        <v>2374</v>
      </c>
      <c r="G79" s="372">
        <v>28080429.990401253</v>
      </c>
      <c r="H79" s="372">
        <v>29563589.542940978</v>
      </c>
      <c r="I79" s="372">
        <v>30710485.074167479</v>
      </c>
      <c r="J79" s="372">
        <v>32199943.775004625</v>
      </c>
      <c r="K79" s="372">
        <v>33262541.858007062</v>
      </c>
      <c r="L79" s="372">
        <v>34630436.925536059</v>
      </c>
      <c r="M79" s="372">
        <v>36224289.310434081</v>
      </c>
      <c r="N79" s="372">
        <v>37744389.976523884</v>
      </c>
      <c r="O79" s="372">
        <v>39518523.82694871</v>
      </c>
      <c r="P79" s="372">
        <v>41257337.644853324</v>
      </c>
      <c r="Q79" s="372">
        <v>42783859.154180914</v>
      </c>
      <c r="R79" s="372">
        <v>44495213.562532373</v>
      </c>
      <c r="S79" s="372">
        <v>46497497.985045448</v>
      </c>
      <c r="T79" s="372">
        <v>48915367.914664231</v>
      </c>
      <c r="U79" s="372">
        <v>51654628.512693487</v>
      </c>
      <c r="V79" s="372">
        <v>54702253.617837802</v>
      </c>
      <c r="W79" s="372">
        <v>58203149.985870391</v>
      </c>
      <c r="X79" s="372">
        <v>60733135.6635933</v>
      </c>
      <c r="Y79" s="372">
        <v>66290095.488188103</v>
      </c>
      <c r="Z79" s="372">
        <v>69501510.545372322</v>
      </c>
      <c r="AA79" s="372">
        <v>74991929.637205064</v>
      </c>
      <c r="AB79" s="372">
        <v>85526138.706105083</v>
      </c>
      <c r="AC79" s="372">
        <v>93473902.661946848</v>
      </c>
      <c r="AD79" s="372">
        <v>100309205.16943011</v>
      </c>
      <c r="AE79" s="372">
        <v>103215603.03028558</v>
      </c>
      <c r="AF79" s="372">
        <v>105463852.31416625</v>
      </c>
      <c r="AG79" s="372">
        <v>109100027.60424075</v>
      </c>
      <c r="AH79" s="372">
        <v>117984529.98091199</v>
      </c>
      <c r="AI79" s="372">
        <v>125374468.32991338</v>
      </c>
    </row>
    <row r="80" spans="1:35" x14ac:dyDescent="0.25">
      <c r="A80" s="361" t="s">
        <v>203</v>
      </c>
      <c r="B80" s="361">
        <v>292</v>
      </c>
      <c r="C80" s="361" t="s">
        <v>202</v>
      </c>
      <c r="D80" s="361">
        <v>75</v>
      </c>
      <c r="E80" s="361">
        <v>11</v>
      </c>
      <c r="F80" s="361" t="s">
        <v>2374</v>
      </c>
      <c r="G80" s="372">
        <v>652095.09094577585</v>
      </c>
      <c r="H80" s="372">
        <v>643116.15681915591</v>
      </c>
      <c r="I80" s="372">
        <v>644238.52358498343</v>
      </c>
      <c r="J80" s="372">
        <v>657706.92477491347</v>
      </c>
      <c r="K80" s="372">
        <v>685766.09392060083</v>
      </c>
      <c r="L80" s="372">
        <v>707091.06247132341</v>
      </c>
      <c r="M80" s="372">
        <v>727293.66425621836</v>
      </c>
      <c r="N80" s="372">
        <v>773310.70165514562</v>
      </c>
      <c r="O80" s="372">
        <v>802492.23756666062</v>
      </c>
      <c r="P80" s="372">
        <v>831673.77347817551</v>
      </c>
      <c r="Q80" s="372">
        <v>868711.87675048306</v>
      </c>
      <c r="R80" s="372">
        <v>896771.04589617054</v>
      </c>
      <c r="S80" s="372">
        <v>920340.74797854782</v>
      </c>
      <c r="T80" s="372">
        <v>952889.38418754516</v>
      </c>
      <c r="U80" s="372">
        <v>980948.55333323276</v>
      </c>
      <c r="V80" s="372">
        <v>1001151.1551181278</v>
      </c>
      <c r="W80" s="372">
        <v>1026965.5907321603</v>
      </c>
      <c r="X80" s="372">
        <v>1062881.3272386398</v>
      </c>
      <c r="Y80" s="372">
        <v>1051657.6595803651</v>
      </c>
      <c r="Z80" s="372">
        <v>1005640.6221814378</v>
      </c>
      <c r="AA80" s="372">
        <v>1025843.2239663326</v>
      </c>
      <c r="AB80" s="372">
        <v>1032577.4245612978</v>
      </c>
      <c r="AC80" s="372">
        <v>1041556.3586879177</v>
      </c>
      <c r="AD80" s="372">
        <v>1078594.4619602249</v>
      </c>
      <c r="AE80" s="372">
        <v>1101041.7972767749</v>
      </c>
      <c r="AF80" s="372">
        <v>1122366.7658274975</v>
      </c>
      <c r="AG80" s="372">
        <v>1212156.1070936972</v>
      </c>
      <c r="AH80" s="372">
        <v>1301945.4483598971</v>
      </c>
      <c r="AI80" s="372">
        <v>1391734.7896260973</v>
      </c>
    </row>
    <row r="81" spans="1:35" x14ac:dyDescent="0.25">
      <c r="A81" s="361" t="s">
        <v>205</v>
      </c>
      <c r="B81" s="361">
        <v>300</v>
      </c>
      <c r="C81" s="361" t="s">
        <v>204</v>
      </c>
      <c r="D81" s="361">
        <v>77</v>
      </c>
      <c r="E81" s="361">
        <v>11</v>
      </c>
      <c r="F81" s="361" t="s">
        <v>2374</v>
      </c>
      <c r="G81" s="372">
        <v>210932233.83698258</v>
      </c>
      <c r="H81" s="372">
        <v>217471133.04776728</v>
      </c>
      <c r="I81" s="372">
        <v>218993431.00496688</v>
      </c>
      <c r="J81" s="372">
        <v>215489536.10323378</v>
      </c>
      <c r="K81" s="372">
        <v>219799326.83943248</v>
      </c>
      <c r="L81" s="372">
        <v>224414496.75244597</v>
      </c>
      <c r="M81" s="372">
        <v>230837528.79961991</v>
      </c>
      <c r="N81" s="372">
        <v>241188743.2986466</v>
      </c>
      <c r="O81" s="372">
        <v>250582815.17205632</v>
      </c>
      <c r="P81" s="372">
        <v>258282214.39133331</v>
      </c>
      <c r="Q81" s="372">
        <v>268406285.14034045</v>
      </c>
      <c r="R81" s="372">
        <v>279495791.63104975</v>
      </c>
      <c r="S81" s="372">
        <v>290460053.34134358</v>
      </c>
      <c r="T81" s="372">
        <v>307290851.9429214</v>
      </c>
      <c r="U81" s="372">
        <v>322842819.11199659</v>
      </c>
      <c r="V81" s="372">
        <v>324777106.21437496</v>
      </c>
      <c r="W81" s="372">
        <v>343134916.88138896</v>
      </c>
      <c r="X81" s="372">
        <v>354368285.43842286</v>
      </c>
      <c r="Y81" s="372">
        <v>353180540.19381607</v>
      </c>
      <c r="Z81" s="372">
        <v>337991185.79772127</v>
      </c>
      <c r="AA81" s="372">
        <v>319472523.30692184</v>
      </c>
      <c r="AB81" s="372">
        <v>290296713.79474252</v>
      </c>
      <c r="AC81" s="372">
        <v>269103619.80972201</v>
      </c>
      <c r="AD81" s="372">
        <v>260380827.73385143</v>
      </c>
      <c r="AE81" s="372">
        <v>262307065.53139731</v>
      </c>
      <c r="AF81" s="372">
        <v>261158596.23015758</v>
      </c>
      <c r="AG81" s="372">
        <v>260659907.94489154</v>
      </c>
      <c r="AH81" s="372">
        <v>264583098.41434959</v>
      </c>
      <c r="AI81" s="372">
        <v>269701116.66862792</v>
      </c>
    </row>
    <row r="82" spans="1:35" x14ac:dyDescent="0.25">
      <c r="A82" s="361" t="s">
        <v>207</v>
      </c>
      <c r="B82" s="361">
        <v>304</v>
      </c>
      <c r="C82" s="361" t="s">
        <v>206</v>
      </c>
      <c r="D82" s="361">
        <v>78</v>
      </c>
      <c r="E82" s="361">
        <v>25</v>
      </c>
      <c r="F82" s="361" t="s">
        <v>2374</v>
      </c>
      <c r="G82" s="372">
        <v>640983.54126749618</v>
      </c>
      <c r="H82" s="372">
        <v>643408.15582038718</v>
      </c>
      <c r="I82" s="372">
        <v>657860.02228999138</v>
      </c>
      <c r="J82" s="372">
        <v>686171.54552141391</v>
      </c>
      <c r="K82" s="372">
        <v>707141.74001248705</v>
      </c>
      <c r="L82" s="372">
        <v>726955.00646173325</v>
      </c>
      <c r="M82" s="372">
        <v>772701.80648732791</v>
      </c>
      <c r="N82" s="372">
        <v>801531.22055234422</v>
      </c>
      <c r="O82" s="372">
        <v>830219.53892440069</v>
      </c>
      <c r="P82" s="372">
        <v>866716.97097209748</v>
      </c>
      <c r="Q82" s="372">
        <v>894351.08390678314</v>
      </c>
      <c r="R82" s="372">
        <v>917230.49844983302</v>
      </c>
      <c r="S82" s="372">
        <v>1546367.3322123825</v>
      </c>
      <c r="T82" s="372">
        <v>1544612.7527457532</v>
      </c>
      <c r="U82" s="372">
        <v>1465656.7821644342</v>
      </c>
      <c r="V82" s="372">
        <v>1391964.5465786057</v>
      </c>
      <c r="W82" s="372">
        <v>1474429.673823585</v>
      </c>
      <c r="X82" s="372">
        <v>1529406.4011642211</v>
      </c>
      <c r="Y82" s="372">
        <v>1552800.7728829524</v>
      </c>
      <c r="Z82" s="372">
        <v>1575610.2730797315</v>
      </c>
      <c r="AA82" s="372">
        <v>1697845.8304348525</v>
      </c>
      <c r="AB82" s="372">
        <v>1721240.1840365711</v>
      </c>
      <c r="AC82" s="372">
        <v>1843475.7232746794</v>
      </c>
      <c r="AD82" s="372">
        <v>1866870.0768763982</v>
      </c>
      <c r="AE82" s="372">
        <v>1848739.45827017</v>
      </c>
      <c r="AF82" s="372">
        <v>1930639.4615370729</v>
      </c>
      <c r="AG82" s="372">
        <v>2063980.67522743</v>
      </c>
      <c r="AH82" s="372">
        <v>2166921.5415574042</v>
      </c>
      <c r="AI82" s="372">
        <v>2269862.4078873778</v>
      </c>
    </row>
    <row r="83" spans="1:35" x14ac:dyDescent="0.25">
      <c r="A83" s="361" t="s">
        <v>209</v>
      </c>
      <c r="B83" s="361">
        <v>308</v>
      </c>
      <c r="C83" s="361" t="s">
        <v>208</v>
      </c>
      <c r="D83" s="361">
        <v>79</v>
      </c>
      <c r="E83" s="361">
        <v>4</v>
      </c>
      <c r="F83" s="361" t="s">
        <v>2374</v>
      </c>
      <c r="G83" s="372">
        <v>697246.66206780169</v>
      </c>
      <c r="H83" s="372">
        <v>706907.33399099752</v>
      </c>
      <c r="I83" s="372">
        <v>700890.50100889336</v>
      </c>
      <c r="J83" s="372">
        <v>687161.34866631601</v>
      </c>
      <c r="K83" s="372">
        <v>698798.81121999491</v>
      </c>
      <c r="L83" s="372">
        <v>713679.55825061514</v>
      </c>
      <c r="M83" s="372">
        <v>745354.33216612891</v>
      </c>
      <c r="N83" s="372">
        <v>782737.53851660795</v>
      </c>
      <c r="O83" s="372">
        <v>874736.6185250316</v>
      </c>
      <c r="P83" s="372">
        <v>935079.12081106473</v>
      </c>
      <c r="Q83" s="372">
        <v>980785.34067476704</v>
      </c>
      <c r="R83" s="372">
        <v>960935.22576546913</v>
      </c>
      <c r="S83" s="372">
        <v>993965.67838435795</v>
      </c>
      <c r="T83" s="372">
        <v>1088034.3260975752</v>
      </c>
      <c r="U83" s="372">
        <v>1080989.8444141452</v>
      </c>
      <c r="V83" s="372">
        <v>1224470.3168679301</v>
      </c>
      <c r="W83" s="372">
        <v>1175581.1341538031</v>
      </c>
      <c r="X83" s="372">
        <v>1247567.268250772</v>
      </c>
      <c r="Y83" s="372">
        <v>1259388.499891845</v>
      </c>
      <c r="Z83" s="372">
        <v>1176101.5951296976</v>
      </c>
      <c r="AA83" s="372">
        <v>1170088.6257228458</v>
      </c>
      <c r="AB83" s="372">
        <v>1179039.5325302638</v>
      </c>
      <c r="AC83" s="372">
        <v>1165419.9312408022</v>
      </c>
      <c r="AD83" s="372">
        <v>1192823.8342937788</v>
      </c>
      <c r="AE83" s="372">
        <v>1280425.7294552131</v>
      </c>
      <c r="AF83" s="372">
        <v>1362925.3996018816</v>
      </c>
      <c r="AG83" s="372">
        <v>1413839.0334323749</v>
      </c>
      <c r="AH83" s="372">
        <v>1485368.2062821891</v>
      </c>
      <c r="AI83" s="372">
        <v>1557066.6909700672</v>
      </c>
    </row>
    <row r="84" spans="1:35" x14ac:dyDescent="0.25">
      <c r="A84" s="361" t="s">
        <v>211</v>
      </c>
      <c r="B84" s="361">
        <v>312</v>
      </c>
      <c r="C84" s="367" t="s">
        <v>210</v>
      </c>
      <c r="D84" s="361">
        <v>80</v>
      </c>
      <c r="E84" s="361">
        <v>4</v>
      </c>
      <c r="F84" s="361" t="s">
        <v>2374</v>
      </c>
      <c r="G84" s="375">
        <v>0</v>
      </c>
      <c r="H84" s="372">
        <v>0</v>
      </c>
      <c r="I84" s="372">
        <v>0</v>
      </c>
      <c r="J84" s="372">
        <v>0</v>
      </c>
      <c r="K84" s="372">
        <v>0</v>
      </c>
      <c r="L84" s="372">
        <v>0</v>
      </c>
      <c r="M84" s="372">
        <v>0</v>
      </c>
      <c r="N84" s="372">
        <v>0</v>
      </c>
      <c r="O84" s="372">
        <v>0</v>
      </c>
      <c r="P84" s="372">
        <v>0</v>
      </c>
      <c r="Q84" s="372">
        <v>0</v>
      </c>
      <c r="R84" s="372">
        <v>0</v>
      </c>
      <c r="S84" s="372">
        <v>0</v>
      </c>
      <c r="T84" s="372">
        <v>0</v>
      </c>
      <c r="U84" s="372">
        <v>0</v>
      </c>
      <c r="V84" s="372">
        <v>0</v>
      </c>
      <c r="W84" s="372">
        <v>0</v>
      </c>
      <c r="X84" s="372">
        <v>0</v>
      </c>
      <c r="Y84" s="372">
        <v>0</v>
      </c>
      <c r="Z84" s="372">
        <v>0</v>
      </c>
      <c r="AA84" s="372">
        <v>0</v>
      </c>
      <c r="AB84" s="372">
        <v>0</v>
      </c>
      <c r="AC84" s="372">
        <v>0</v>
      </c>
      <c r="AD84" s="372">
        <v>0</v>
      </c>
      <c r="AE84" s="372">
        <v>0</v>
      </c>
      <c r="AF84" s="372">
        <v>0</v>
      </c>
      <c r="AG84" s="372">
        <v>0</v>
      </c>
      <c r="AH84" s="372">
        <v>0</v>
      </c>
      <c r="AI84" s="372">
        <v>0</v>
      </c>
    </row>
    <row r="85" spans="1:35" x14ac:dyDescent="0.25">
      <c r="A85" s="361" t="s">
        <v>213</v>
      </c>
      <c r="B85" s="361">
        <v>320</v>
      </c>
      <c r="C85" s="361" t="s">
        <v>212</v>
      </c>
      <c r="D85" s="361">
        <v>81</v>
      </c>
      <c r="E85" s="361">
        <v>4</v>
      </c>
      <c r="F85" s="361" t="s">
        <v>2374</v>
      </c>
      <c r="G85" s="372">
        <v>47252611.750983447</v>
      </c>
      <c r="H85" s="372">
        <v>48981229.828065015</v>
      </c>
      <c r="I85" s="372">
        <v>51351107.679460786</v>
      </c>
      <c r="J85" s="372">
        <v>53367733.457177304</v>
      </c>
      <c r="K85" s="372">
        <v>55520449.857137747</v>
      </c>
      <c r="L85" s="372">
        <v>58267905.694399022</v>
      </c>
      <c r="M85" s="372">
        <v>59991342.09636113</v>
      </c>
      <c r="N85" s="372">
        <v>62609418.216893636</v>
      </c>
      <c r="O85" s="372">
        <v>65735836.935570747</v>
      </c>
      <c r="P85" s="372">
        <v>68264735.444382533</v>
      </c>
      <c r="Q85" s="372">
        <v>70728320.145782232</v>
      </c>
      <c r="R85" s="372">
        <v>72378112.192010418</v>
      </c>
      <c r="S85" s="372">
        <v>75176701.910694316</v>
      </c>
      <c r="T85" s="372">
        <v>77079266.325838253</v>
      </c>
      <c r="U85" s="372">
        <v>79508867.877862453</v>
      </c>
      <c r="V85" s="372">
        <v>82100945.259631082</v>
      </c>
      <c r="W85" s="372">
        <v>86517792.840093628</v>
      </c>
      <c r="X85" s="372">
        <v>91971923.395922482</v>
      </c>
      <c r="Y85" s="372">
        <v>94989595.632795364</v>
      </c>
      <c r="Z85" s="372">
        <v>95489281.735043347</v>
      </c>
      <c r="AA85" s="372">
        <v>98229334.982299924</v>
      </c>
      <c r="AB85" s="372">
        <v>102317687.97772297</v>
      </c>
      <c r="AC85" s="372">
        <v>105356377.4068011</v>
      </c>
      <c r="AD85" s="372">
        <v>109252019.64786018</v>
      </c>
      <c r="AE85" s="372">
        <v>113812383.7330934</v>
      </c>
      <c r="AF85" s="372">
        <v>118524266.90483059</v>
      </c>
      <c r="AG85" s="372">
        <v>122189609.1854935</v>
      </c>
      <c r="AH85" s="372">
        <v>125562455.99088202</v>
      </c>
      <c r="AI85" s="372">
        <v>129511395.80645081</v>
      </c>
    </row>
    <row r="86" spans="1:35" x14ac:dyDescent="0.25">
      <c r="A86" s="361" t="s">
        <v>215</v>
      </c>
      <c r="B86" s="361">
        <v>324</v>
      </c>
      <c r="C86" s="361" t="s">
        <v>214</v>
      </c>
      <c r="D86" s="361">
        <v>82</v>
      </c>
      <c r="E86" s="361">
        <v>8</v>
      </c>
      <c r="F86" s="361" t="s">
        <v>2374</v>
      </c>
      <c r="G86" s="372">
        <v>8529716.1573066786</v>
      </c>
      <c r="H86" s="372">
        <v>8752633.7215913944</v>
      </c>
      <c r="I86" s="372">
        <v>9038927.7580318712</v>
      </c>
      <c r="J86" s="372">
        <v>9494864.3391976524</v>
      </c>
      <c r="K86" s="372">
        <v>9871819.8634393625</v>
      </c>
      <c r="L86" s="372">
        <v>10326681.061838944</v>
      </c>
      <c r="M86" s="372">
        <v>10787413.691196254</v>
      </c>
      <c r="N86" s="372">
        <v>11346374.692139737</v>
      </c>
      <c r="O86" s="372">
        <v>11759850.342547385</v>
      </c>
      <c r="P86" s="372">
        <v>12208136.3120609</v>
      </c>
      <c r="Q86" s="372">
        <v>12513713.357376926</v>
      </c>
      <c r="R86" s="372">
        <v>12971508.348349355</v>
      </c>
      <c r="S86" s="372">
        <v>13641436.096359955</v>
      </c>
      <c r="T86" s="372">
        <v>13811763.239341499</v>
      </c>
      <c r="U86" s="372">
        <v>14134974.702083044</v>
      </c>
      <c r="V86" s="372">
        <v>14558638.420414167</v>
      </c>
      <c r="W86" s="372">
        <v>14730450.800846031</v>
      </c>
      <c r="X86" s="372">
        <v>15736168.562201448</v>
      </c>
      <c r="Y86" s="372">
        <v>16387113.452821381</v>
      </c>
      <c r="Z86" s="372">
        <v>16203964.748331405</v>
      </c>
      <c r="AA86" s="372">
        <v>16985111.774620771</v>
      </c>
      <c r="AB86" s="372">
        <v>17938333.959338415</v>
      </c>
      <c r="AC86" s="372">
        <v>18999729.345822733</v>
      </c>
      <c r="AD86" s="372">
        <v>19747327.660918806</v>
      </c>
      <c r="AE86" s="372">
        <v>20479450.278810188</v>
      </c>
      <c r="AF86" s="372">
        <v>21260731.044624005</v>
      </c>
      <c r="AG86" s="372">
        <v>23563014.542266969</v>
      </c>
      <c r="AH86" s="372">
        <v>26711058.136254676</v>
      </c>
      <c r="AI86" s="372">
        <v>29024073.6897173</v>
      </c>
    </row>
    <row r="87" spans="1:35" x14ac:dyDescent="0.25">
      <c r="A87" s="361" t="s">
        <v>217</v>
      </c>
      <c r="B87" s="361">
        <v>624</v>
      </c>
      <c r="C87" s="361" t="s">
        <v>216</v>
      </c>
      <c r="D87" s="361">
        <v>161</v>
      </c>
      <c r="E87" s="361">
        <v>8</v>
      </c>
      <c r="F87" s="361" t="s">
        <v>2374</v>
      </c>
      <c r="G87" s="372">
        <v>1593199.0371741822</v>
      </c>
      <c r="H87" s="372">
        <v>1674452.188433073</v>
      </c>
      <c r="I87" s="372">
        <v>1692871.162023419</v>
      </c>
      <c r="J87" s="372">
        <v>1728421.4564205376</v>
      </c>
      <c r="K87" s="372">
        <v>1783730.9433794492</v>
      </c>
      <c r="L87" s="372">
        <v>1862215.105031437</v>
      </c>
      <c r="M87" s="372">
        <v>2078232.0571458258</v>
      </c>
      <c r="N87" s="372">
        <v>2213317.1408603042</v>
      </c>
      <c r="O87" s="372">
        <v>1591375.4729321639</v>
      </c>
      <c r="P87" s="372">
        <v>1607695.6237182564</v>
      </c>
      <c r="Q87" s="372">
        <v>1694945.0621151309</v>
      </c>
      <c r="R87" s="372">
        <v>1732045.8300853141</v>
      </c>
      <c r="S87" s="372">
        <v>1714982.103844763</v>
      </c>
      <c r="T87" s="372">
        <v>1724731.9516232165</v>
      </c>
      <c r="U87" s="372">
        <v>1772358.7340657897</v>
      </c>
      <c r="V87" s="372">
        <v>1847969.3110813031</v>
      </c>
      <c r="W87" s="372">
        <v>1890645.5381608391</v>
      </c>
      <c r="X87" s="372">
        <v>1952336.459903446</v>
      </c>
      <c r="Y87" s="372">
        <v>2014880.8724542451</v>
      </c>
      <c r="Z87" s="372">
        <v>2082761.7044753572</v>
      </c>
      <c r="AA87" s="372">
        <v>2178797.2405872094</v>
      </c>
      <c r="AB87" s="372">
        <v>2354948.198338876</v>
      </c>
      <c r="AC87" s="372">
        <v>2314615.4006089834</v>
      </c>
      <c r="AD87" s="372">
        <v>2389977.0621598531</v>
      </c>
      <c r="AE87" s="372">
        <v>2413029.8428589031</v>
      </c>
      <c r="AF87" s="372">
        <v>2561047.0948141571</v>
      </c>
      <c r="AG87" s="372">
        <v>2721440.4966550097</v>
      </c>
      <c r="AH87" s="372">
        <v>2882527.3664197149</v>
      </c>
      <c r="AI87" s="372">
        <v>2992063.4062959002</v>
      </c>
    </row>
    <row r="88" spans="1:35" x14ac:dyDescent="0.25">
      <c r="A88" s="361" t="s">
        <v>219</v>
      </c>
      <c r="B88" s="361">
        <v>328</v>
      </c>
      <c r="C88" s="361" t="s">
        <v>218</v>
      </c>
      <c r="D88" s="361">
        <v>83</v>
      </c>
      <c r="E88" s="361">
        <v>6</v>
      </c>
      <c r="F88" s="361" t="s">
        <v>2374</v>
      </c>
      <c r="G88" s="372">
        <v>2137243.4982901625</v>
      </c>
      <c r="H88" s="372">
        <v>2266714.8494524024</v>
      </c>
      <c r="I88" s="372">
        <v>2442563.9980459004</v>
      </c>
      <c r="J88" s="372">
        <v>2642246.1814304558</v>
      </c>
      <c r="K88" s="372">
        <v>2867693.8078323682</v>
      </c>
      <c r="L88" s="372">
        <v>3011980.2887295992</v>
      </c>
      <c r="M88" s="372">
        <v>3251598.9087910601</v>
      </c>
      <c r="N88" s="372">
        <v>3452569.3643264864</v>
      </c>
      <c r="O88" s="372">
        <v>3394597.1175374202</v>
      </c>
      <c r="P88" s="372">
        <v>3495082.3453051336</v>
      </c>
      <c r="Q88" s="372">
        <v>3447416.2757230042</v>
      </c>
      <c r="R88" s="372">
        <v>3526000.8769259602</v>
      </c>
      <c r="S88" s="372">
        <v>3565937.3136028773</v>
      </c>
      <c r="T88" s="372">
        <v>3543392.5509626777</v>
      </c>
      <c r="U88" s="372">
        <v>3598788.253450016</v>
      </c>
      <c r="V88" s="372">
        <v>3528577.4212276996</v>
      </c>
      <c r="W88" s="372">
        <v>3709579.6584246666</v>
      </c>
      <c r="X88" s="372">
        <v>3969978.8138531861</v>
      </c>
      <c r="Y88" s="372">
        <v>4048451.2831039573</v>
      </c>
      <c r="Z88" s="372">
        <v>4192258.6799069243</v>
      </c>
      <c r="AA88" s="372">
        <v>4365752.9208613839</v>
      </c>
      <c r="AB88" s="372">
        <v>4592610.4581914404</v>
      </c>
      <c r="AC88" s="372">
        <v>4834930.6459236601</v>
      </c>
      <c r="AD88" s="372">
        <v>5076704.4951453703</v>
      </c>
      <c r="AE88" s="372">
        <v>5272001.4543332867</v>
      </c>
      <c r="AF88" s="372">
        <v>5438723.6388667505</v>
      </c>
      <c r="AG88" s="372">
        <v>5619078.8750695009</v>
      </c>
      <c r="AH88" s="372">
        <v>5735965.6835765149</v>
      </c>
      <c r="AI88" s="372">
        <v>5933435.139240982</v>
      </c>
    </row>
    <row r="89" spans="1:35" x14ac:dyDescent="0.25">
      <c r="A89" s="361" t="s">
        <v>221</v>
      </c>
      <c r="B89" s="361">
        <v>332</v>
      </c>
      <c r="C89" s="361" t="s">
        <v>220</v>
      </c>
      <c r="D89" s="361">
        <v>84</v>
      </c>
      <c r="E89" s="361">
        <v>4</v>
      </c>
      <c r="F89" s="361" t="s">
        <v>2374</v>
      </c>
      <c r="G89" s="372">
        <v>14875828.158958405</v>
      </c>
      <c r="H89" s="372">
        <v>15155574.762062365</v>
      </c>
      <c r="I89" s="372">
        <v>14350823.908803677</v>
      </c>
      <c r="J89" s="372">
        <v>13572105.725145448</v>
      </c>
      <c r="K89" s="372">
        <v>11950153.682055295</v>
      </c>
      <c r="L89" s="372">
        <v>13132944.938932832</v>
      </c>
      <c r="M89" s="372">
        <v>13676750.419977697</v>
      </c>
      <c r="N89" s="372">
        <v>14046667.391472293</v>
      </c>
      <c r="O89" s="372">
        <v>14353143.24840362</v>
      </c>
      <c r="P89" s="372">
        <v>14742149.026456069</v>
      </c>
      <c r="Q89" s="372">
        <v>14870414.458712876</v>
      </c>
      <c r="R89" s="372">
        <v>14715111.646184947</v>
      </c>
      <c r="S89" s="372">
        <v>14678108.380765032</v>
      </c>
      <c r="T89" s="372">
        <v>14731507.377945922</v>
      </c>
      <c r="U89" s="372">
        <v>14212532.835537655</v>
      </c>
      <c r="V89" s="372">
        <v>14469070.661899086</v>
      </c>
      <c r="W89" s="372">
        <v>14794512.10068192</v>
      </c>
      <c r="X89" s="372">
        <v>15289133.867367761</v>
      </c>
      <c r="Y89" s="372">
        <v>15418165.683038328</v>
      </c>
      <c r="Z89" s="372">
        <v>15893545.946637556</v>
      </c>
      <c r="AA89" s="372">
        <v>15019751.779877959</v>
      </c>
      <c r="AB89" s="372">
        <v>15849403.538343791</v>
      </c>
      <c r="AC89" s="372">
        <v>16306673.947218915</v>
      </c>
      <c r="AD89" s="372">
        <v>16997107.198258821</v>
      </c>
      <c r="AE89" s="372">
        <v>17474751.106675461</v>
      </c>
      <c r="AF89" s="372">
        <v>17686408.568874624</v>
      </c>
      <c r="AG89" s="372">
        <v>17943340.203760851</v>
      </c>
      <c r="AH89" s="372">
        <v>18153865.736965872</v>
      </c>
      <c r="AI89" s="372">
        <v>18423247.870851867</v>
      </c>
    </row>
    <row r="90" spans="1:35" x14ac:dyDescent="0.25">
      <c r="A90" s="361" t="s">
        <v>223</v>
      </c>
      <c r="B90" s="361">
        <v>340</v>
      </c>
      <c r="C90" s="361" t="s">
        <v>222</v>
      </c>
      <c r="D90" s="361">
        <v>86</v>
      </c>
      <c r="E90" s="361">
        <v>4</v>
      </c>
      <c r="F90" s="361" t="s">
        <v>2374</v>
      </c>
      <c r="G90" s="372">
        <v>15894730.6656537</v>
      </c>
      <c r="H90" s="372">
        <v>15367135.53185104</v>
      </c>
      <c r="I90" s="372">
        <v>16300487.379700491</v>
      </c>
      <c r="J90" s="372">
        <v>17359321.106447183</v>
      </c>
      <c r="K90" s="372">
        <v>17396106.11521234</v>
      </c>
      <c r="L90" s="372">
        <v>18472804.103844777</v>
      </c>
      <c r="M90" s="372">
        <v>18818388.943834696</v>
      </c>
      <c r="N90" s="372">
        <v>19683674.098493781</v>
      </c>
      <c r="O90" s="372">
        <v>20390363.868199959</v>
      </c>
      <c r="P90" s="372">
        <v>20240361.935076814</v>
      </c>
      <c r="Q90" s="372">
        <v>21716145.048126318</v>
      </c>
      <c r="R90" s="372">
        <v>22307517.64927825</v>
      </c>
      <c r="S90" s="372">
        <v>23145017.230278838</v>
      </c>
      <c r="T90" s="372">
        <v>24197429.970801484</v>
      </c>
      <c r="U90" s="372">
        <v>25705487.115282871</v>
      </c>
      <c r="V90" s="372">
        <v>27260823.118732553</v>
      </c>
      <c r="W90" s="372">
        <v>29051107.767158549</v>
      </c>
      <c r="X90" s="372">
        <v>30848885.361364175</v>
      </c>
      <c r="Y90" s="372">
        <v>32154286.828278251</v>
      </c>
      <c r="Z90" s="372">
        <v>31372414.225185215</v>
      </c>
      <c r="AA90" s="372">
        <v>32542963.029331453</v>
      </c>
      <c r="AB90" s="372">
        <v>33791210.423410065</v>
      </c>
      <c r="AC90" s="372">
        <v>35186343.988288492</v>
      </c>
      <c r="AD90" s="372">
        <v>36168591.807189815</v>
      </c>
      <c r="AE90" s="372">
        <v>37274656.482846588</v>
      </c>
      <c r="AF90" s="372">
        <v>38706033.100680888</v>
      </c>
      <c r="AG90" s="372">
        <v>40212848.207954243</v>
      </c>
      <c r="AH90" s="372">
        <v>42138250.215602264</v>
      </c>
      <c r="AI90" s="372">
        <v>43716574.088033497</v>
      </c>
    </row>
    <row r="91" spans="1:35" x14ac:dyDescent="0.25">
      <c r="A91" s="361" t="s">
        <v>225</v>
      </c>
      <c r="B91" s="361">
        <v>344</v>
      </c>
      <c r="C91" s="370" t="s">
        <v>224</v>
      </c>
      <c r="D91" s="361">
        <v>87</v>
      </c>
      <c r="E91" s="361">
        <v>20</v>
      </c>
      <c r="F91" s="361" t="s">
        <v>2374</v>
      </c>
      <c r="G91" s="372">
        <v>153875124.64548597</v>
      </c>
      <c r="H91" s="372">
        <v>162649095.82678941</v>
      </c>
      <c r="I91" s="372">
        <v>172790307.98164338</v>
      </c>
      <c r="J91" s="372">
        <v>183505251.57562694</v>
      </c>
      <c r="K91" s="372">
        <v>194581682.84640229</v>
      </c>
      <c r="L91" s="372">
        <v>199200549.55655697</v>
      </c>
      <c r="M91" s="372">
        <v>207683406.9369497</v>
      </c>
      <c r="N91" s="372">
        <v>218274595.10455495</v>
      </c>
      <c r="O91" s="372">
        <v>205434328.39797527</v>
      </c>
      <c r="P91" s="372">
        <v>210583804.51397496</v>
      </c>
      <c r="Q91" s="372">
        <v>226721864.78461608</v>
      </c>
      <c r="R91" s="372">
        <v>227993403.69916672</v>
      </c>
      <c r="S91" s="372">
        <v>231770348.7780531</v>
      </c>
      <c r="T91" s="372">
        <v>238853904.19360569</v>
      </c>
      <c r="U91" s="372">
        <v>259634396.00299948</v>
      </c>
      <c r="V91" s="372">
        <v>278816647.39660025</v>
      </c>
      <c r="W91" s="372">
        <v>298424668.7545287</v>
      </c>
      <c r="X91" s="372">
        <v>317717209.95816618</v>
      </c>
      <c r="Y91" s="372">
        <v>324477911.19143116</v>
      </c>
      <c r="Z91" s="372">
        <v>316498571.67924362</v>
      </c>
      <c r="AA91" s="372">
        <v>337918199.34999806</v>
      </c>
      <c r="AB91" s="372">
        <v>354187869.9898836</v>
      </c>
      <c r="AC91" s="372">
        <v>360210046.28878975</v>
      </c>
      <c r="AD91" s="372">
        <v>371382019.31360841</v>
      </c>
      <c r="AE91" s="372">
        <v>381641055.61145204</v>
      </c>
      <c r="AF91" s="372">
        <v>390753911.47068805</v>
      </c>
      <c r="AG91" s="372">
        <v>399258249.71524483</v>
      </c>
      <c r="AH91" s="372">
        <v>414583403.55173492</v>
      </c>
      <c r="AI91" s="372">
        <v>427109632.84863168</v>
      </c>
    </row>
    <row r="92" spans="1:35" x14ac:dyDescent="0.25">
      <c r="A92" s="361" t="s">
        <v>227</v>
      </c>
      <c r="B92" s="361">
        <v>348</v>
      </c>
      <c r="C92" s="361" t="s">
        <v>226</v>
      </c>
      <c r="D92" s="361">
        <v>88</v>
      </c>
      <c r="E92" s="361">
        <v>12</v>
      </c>
      <c r="F92" s="361" t="s">
        <v>2374</v>
      </c>
      <c r="G92" s="372">
        <v>162033079.05721018</v>
      </c>
      <c r="H92" s="372">
        <v>157215706.28569523</v>
      </c>
      <c r="I92" s="372">
        <v>152398333.51418027</v>
      </c>
      <c r="J92" s="372">
        <v>151520353.73447707</v>
      </c>
      <c r="K92" s="372">
        <v>155985892.7441684</v>
      </c>
      <c r="L92" s="372">
        <v>158309342.35429382</v>
      </c>
      <c r="M92" s="372">
        <v>158331750.69705281</v>
      </c>
      <c r="N92" s="372">
        <v>163620290.18068227</v>
      </c>
      <c r="O92" s="372">
        <v>170550996.53993589</v>
      </c>
      <c r="P92" s="372">
        <v>175986280.03075194</v>
      </c>
      <c r="Q92" s="372">
        <v>183393859.21174043</v>
      </c>
      <c r="R92" s="372">
        <v>190437119.52978292</v>
      </c>
      <c r="S92" s="372">
        <v>199060504.4421975</v>
      </c>
      <c r="T92" s="372">
        <v>206721586.1552211</v>
      </c>
      <c r="U92" s="372">
        <v>217067832.08038932</v>
      </c>
      <c r="V92" s="372">
        <v>226593235.62605286</v>
      </c>
      <c r="W92" s="372">
        <v>235319733.06197193</v>
      </c>
      <c r="X92" s="372">
        <v>236313715.28970322</v>
      </c>
      <c r="Y92" s="372">
        <v>238325504.3028059</v>
      </c>
      <c r="Z92" s="372">
        <v>222593652.90636754</v>
      </c>
      <c r="AA92" s="372">
        <v>224052294.35495237</v>
      </c>
      <c r="AB92" s="372">
        <v>227766313.84121498</v>
      </c>
      <c r="AC92" s="372">
        <v>224050526.59704921</v>
      </c>
      <c r="AD92" s="372">
        <v>228741342.89059621</v>
      </c>
      <c r="AE92" s="372">
        <v>238404872.62171379</v>
      </c>
      <c r="AF92" s="372">
        <v>246835883.27313402</v>
      </c>
      <c r="AG92" s="372">
        <v>252465710.54559585</v>
      </c>
      <c r="AH92" s="372">
        <v>262910378.40912065</v>
      </c>
      <c r="AI92" s="372">
        <v>275899251.86957359</v>
      </c>
    </row>
    <row r="93" spans="1:35" x14ac:dyDescent="0.25">
      <c r="A93" s="361" t="s">
        <v>229</v>
      </c>
      <c r="B93" s="361">
        <v>352</v>
      </c>
      <c r="C93" s="361" t="s">
        <v>228</v>
      </c>
      <c r="D93" s="361">
        <v>89</v>
      </c>
      <c r="E93" s="361">
        <v>11</v>
      </c>
      <c r="F93" s="361" t="s">
        <v>2374</v>
      </c>
      <c r="G93" s="372">
        <v>7661687.536087798</v>
      </c>
      <c r="H93" s="372">
        <v>7644561.7095548557</v>
      </c>
      <c r="I93" s="372">
        <v>7386642.290145006</v>
      </c>
      <c r="J93" s="372">
        <v>7483662.1031942721</v>
      </c>
      <c r="K93" s="372">
        <v>7753736.837303522</v>
      </c>
      <c r="L93" s="372">
        <v>7762776.4309832612</v>
      </c>
      <c r="M93" s="372">
        <v>8117780.9089025687</v>
      </c>
      <c r="N93" s="372">
        <v>8409123.1146107689</v>
      </c>
      <c r="O93" s="372">
        <v>9005797.4992496558</v>
      </c>
      <c r="P93" s="372">
        <v>9369906.5693378542</v>
      </c>
      <c r="Q93" s="372">
        <v>9828244.3105740827</v>
      </c>
      <c r="R93" s="372">
        <v>10211428.955249291</v>
      </c>
      <c r="S93" s="372">
        <v>10280986.431116205</v>
      </c>
      <c r="T93" s="372">
        <v>10514173.31569897</v>
      </c>
      <c r="U93" s="372">
        <v>11359744.719518237</v>
      </c>
      <c r="V93" s="372">
        <v>12078817.050553018</v>
      </c>
      <c r="W93" s="372">
        <v>12712812.429309789</v>
      </c>
      <c r="X93" s="372">
        <v>13903408.390013404</v>
      </c>
      <c r="Y93" s="372">
        <v>14180361.616623962</v>
      </c>
      <c r="Z93" s="372">
        <v>13219328.014937319</v>
      </c>
      <c r="AA93" s="372">
        <v>12765128.021480018</v>
      </c>
      <c r="AB93" s="372">
        <v>13005319.157531694</v>
      </c>
      <c r="AC93" s="372">
        <v>13173924.809400503</v>
      </c>
      <c r="AD93" s="372">
        <v>13718515.245060036</v>
      </c>
      <c r="AE93" s="372">
        <v>14003899.76152779</v>
      </c>
      <c r="AF93" s="372">
        <v>14629574.468577148</v>
      </c>
      <c r="AG93" s="372">
        <v>15705064.022399565</v>
      </c>
      <c r="AH93" s="372">
        <v>16428090.835500762</v>
      </c>
      <c r="AI93" s="372">
        <v>17185668.306380466</v>
      </c>
    </row>
    <row r="94" spans="1:35" x14ac:dyDescent="0.25">
      <c r="A94" s="369" t="s">
        <v>231</v>
      </c>
      <c r="B94" s="361">
        <v>356</v>
      </c>
      <c r="C94" s="361" t="s">
        <v>230</v>
      </c>
      <c r="D94" s="361">
        <v>90</v>
      </c>
      <c r="E94" s="361">
        <v>18</v>
      </c>
      <c r="F94" s="361" t="s">
        <v>2353</v>
      </c>
      <c r="G94" s="372">
        <v>1664224090.420845</v>
      </c>
      <c r="H94" s="372">
        <v>1681812133.7259314</v>
      </c>
      <c r="I94" s="372">
        <v>1774015735.2373879</v>
      </c>
      <c r="J94" s="372">
        <v>1858295252.9180372</v>
      </c>
      <c r="K94" s="372">
        <v>1982037722.7572124</v>
      </c>
      <c r="L94" s="372">
        <v>2132167008.3364489</v>
      </c>
      <c r="M94" s="372">
        <v>2293135431.0172863</v>
      </c>
      <c r="N94" s="372">
        <v>2386003307.8004866</v>
      </c>
      <c r="O94" s="372">
        <v>2533563673.8507409</v>
      </c>
      <c r="P94" s="372">
        <v>2757676523.4248772</v>
      </c>
      <c r="Q94" s="372">
        <v>2863598634.8211708</v>
      </c>
      <c r="R94" s="372">
        <v>3001737666.9040847</v>
      </c>
      <c r="S94" s="372">
        <v>3115923026.9624138</v>
      </c>
      <c r="T94" s="372">
        <v>3360846463.3587527</v>
      </c>
      <c r="U94" s="372">
        <v>3627124427.0366888</v>
      </c>
      <c r="V94" s="372">
        <v>3914517043.6891556</v>
      </c>
      <c r="W94" s="372">
        <v>4230055650.3110399</v>
      </c>
      <c r="X94" s="372">
        <v>4554112775.4481344</v>
      </c>
      <c r="Y94" s="372">
        <v>4694684545.9831839</v>
      </c>
      <c r="Z94" s="372">
        <v>5063775122.7037201</v>
      </c>
      <c r="AA94" s="372">
        <v>5494073812.9603977</v>
      </c>
      <c r="AB94" s="372">
        <v>5782035485.2407131</v>
      </c>
      <c r="AC94" s="372">
        <v>6097525749.6902914</v>
      </c>
      <c r="AD94" s="372">
        <v>6486920231.8907309</v>
      </c>
      <c r="AE94" s="372">
        <v>6967615785.6343708</v>
      </c>
      <c r="AF94" s="372">
        <v>7524764026.6672153</v>
      </c>
      <c r="AG94" s="372">
        <v>8139501618.2999687</v>
      </c>
      <c r="AH94" s="372">
        <v>8722932048.128046</v>
      </c>
      <c r="AI94" s="372">
        <v>9331996259.5788116</v>
      </c>
    </row>
    <row r="95" spans="1:35" x14ac:dyDescent="0.25">
      <c r="A95" s="369" t="s">
        <v>233</v>
      </c>
      <c r="B95" s="361">
        <v>360</v>
      </c>
      <c r="C95" s="361" t="s">
        <v>232</v>
      </c>
      <c r="D95" s="361">
        <v>91</v>
      </c>
      <c r="E95" s="361">
        <v>22</v>
      </c>
      <c r="F95" s="361" t="s">
        <v>2353</v>
      </c>
      <c r="G95" s="372">
        <v>839213745.92589915</v>
      </c>
      <c r="H95" s="372">
        <v>897220056.00092089</v>
      </c>
      <c r="I95" s="372">
        <v>955516987.60986102</v>
      </c>
      <c r="J95" s="372">
        <v>1017591270.785256</v>
      </c>
      <c r="K95" s="372">
        <v>1094317358.4729419</v>
      </c>
      <c r="L95" s="372">
        <v>1184270326.3083413</v>
      </c>
      <c r="M95" s="372">
        <v>1276858795.9130757</v>
      </c>
      <c r="N95" s="372">
        <v>1336869612.4564071</v>
      </c>
      <c r="O95" s="372">
        <v>1161382408.2381856</v>
      </c>
      <c r="P95" s="372">
        <v>1170570407.3815005</v>
      </c>
      <c r="Q95" s="372">
        <v>1228163264.4512019</v>
      </c>
      <c r="R95" s="372">
        <v>1272910980.9085009</v>
      </c>
      <c r="S95" s="372">
        <v>1330185297.2420037</v>
      </c>
      <c r="T95" s="372">
        <v>1393773064.4524412</v>
      </c>
      <c r="U95" s="372">
        <v>1463892030.4046421</v>
      </c>
      <c r="V95" s="372">
        <v>1547225128.0465674</v>
      </c>
      <c r="W95" s="372">
        <v>1632337236.3489625</v>
      </c>
      <c r="X95" s="372">
        <v>1735909396.8095496</v>
      </c>
      <c r="Y95" s="372">
        <v>1840301842.6998076</v>
      </c>
      <c r="Z95" s="372">
        <v>1925487044.3686881</v>
      </c>
      <c r="AA95" s="372">
        <v>2045326550.2769954</v>
      </c>
      <c r="AB95" s="372">
        <v>2171518784.7720809</v>
      </c>
      <c r="AC95" s="372">
        <v>2302462467.4344668</v>
      </c>
      <c r="AD95" s="372">
        <v>2430416378.0879927</v>
      </c>
      <c r="AE95" s="372">
        <v>2552099267.5041108</v>
      </c>
      <c r="AF95" s="372">
        <v>2676547853.209178</v>
      </c>
      <c r="AG95" s="372">
        <v>2811260358.3720074</v>
      </c>
      <c r="AH95" s="372">
        <v>2953718344.7253304</v>
      </c>
      <c r="AI95" s="372">
        <v>3106463105.0679264</v>
      </c>
    </row>
    <row r="96" spans="1:35" x14ac:dyDescent="0.25">
      <c r="A96" s="361" t="s">
        <v>235</v>
      </c>
      <c r="B96" s="361">
        <v>364</v>
      </c>
      <c r="C96" s="361" t="s">
        <v>234</v>
      </c>
      <c r="D96" s="361">
        <v>92</v>
      </c>
      <c r="E96" s="361">
        <v>17</v>
      </c>
      <c r="F96" s="361" t="s">
        <v>2374</v>
      </c>
      <c r="G96" s="372">
        <v>640560390.11716235</v>
      </c>
      <c r="H96" s="372">
        <v>719883431.5968883</v>
      </c>
      <c r="I96" s="372">
        <v>740290166.81974733</v>
      </c>
      <c r="J96" s="372">
        <v>747989168.89007902</v>
      </c>
      <c r="K96" s="372">
        <v>736682656.24506736</v>
      </c>
      <c r="L96" s="372">
        <v>753498624.47225726</v>
      </c>
      <c r="M96" s="372">
        <v>792479244.38110518</v>
      </c>
      <c r="N96" s="372">
        <v>796299365.77804029</v>
      </c>
      <c r="O96" s="372">
        <v>813641357.57343161</v>
      </c>
      <c r="P96" s="372">
        <v>820601722.59930837</v>
      </c>
      <c r="Q96" s="372">
        <v>868673118.02959538</v>
      </c>
      <c r="R96" s="372">
        <v>875436943.39097929</v>
      </c>
      <c r="S96" s="372">
        <v>939042262.12650537</v>
      </c>
      <c r="T96" s="372">
        <v>1021063701.3915138</v>
      </c>
      <c r="U96" s="372">
        <v>1065730227.7285589</v>
      </c>
      <c r="V96" s="372">
        <v>1099724934.0921171</v>
      </c>
      <c r="W96" s="372">
        <v>1154708929.2398045</v>
      </c>
      <c r="X96" s="372">
        <v>1248884374.3652334</v>
      </c>
      <c r="Y96" s="372">
        <v>1252017282.6638801</v>
      </c>
      <c r="Z96" s="372">
        <v>1264629922.6998978</v>
      </c>
      <c r="AA96" s="372">
        <v>1337952385.3628004</v>
      </c>
      <c r="AB96" s="372">
        <v>1373350831.3575191</v>
      </c>
      <c r="AC96" s="372">
        <v>1271110945.4984229</v>
      </c>
      <c r="AD96" s="372">
        <v>1268644056.3660319</v>
      </c>
      <c r="AE96" s="372">
        <v>1327045056.375366</v>
      </c>
      <c r="AF96" s="372">
        <v>1309519500.6016815</v>
      </c>
      <c r="AG96" s="372">
        <v>1484945934.1796651</v>
      </c>
      <c r="AH96" s="372">
        <v>1540708436.3060112</v>
      </c>
      <c r="AI96" s="372">
        <v>1480189408.9279113</v>
      </c>
    </row>
    <row r="97" spans="1:35" x14ac:dyDescent="0.25">
      <c r="A97" s="361" t="s">
        <v>237</v>
      </c>
      <c r="B97" s="361">
        <v>368</v>
      </c>
      <c r="C97" s="361" t="s">
        <v>236</v>
      </c>
      <c r="D97" s="361">
        <v>93</v>
      </c>
      <c r="E97" s="361">
        <v>17</v>
      </c>
      <c r="F97" s="361" t="s">
        <v>2374</v>
      </c>
      <c r="G97" s="372">
        <v>201273168.42552871</v>
      </c>
      <c r="H97" s="372">
        <v>72363527.736674801</v>
      </c>
      <c r="I97" s="372">
        <v>95948399.091792181</v>
      </c>
      <c r="J97" s="372">
        <v>125011007.73808739</v>
      </c>
      <c r="K97" s="372">
        <v>129829596.15067352</v>
      </c>
      <c r="L97" s="372">
        <v>132582011.67765436</v>
      </c>
      <c r="M97" s="372">
        <v>147193593.32504117</v>
      </c>
      <c r="N97" s="372">
        <v>178454473.53582317</v>
      </c>
      <c r="O97" s="372">
        <v>240658518.38346469</v>
      </c>
      <c r="P97" s="372">
        <v>282971740.23381609</v>
      </c>
      <c r="Q97" s="372">
        <v>286951666.26693255</v>
      </c>
      <c r="R97" s="372">
        <v>293566810.86510444</v>
      </c>
      <c r="S97" s="372">
        <v>273310170.47148949</v>
      </c>
      <c r="T97" s="372">
        <v>182842215.3935039</v>
      </c>
      <c r="U97" s="372">
        <v>281865489.72204858</v>
      </c>
      <c r="V97" s="372">
        <v>294269311.53324997</v>
      </c>
      <c r="W97" s="372">
        <v>324161774.13996941</v>
      </c>
      <c r="X97" s="372">
        <v>328627420.73561841</v>
      </c>
      <c r="Y97" s="372">
        <v>355667236.88630825</v>
      </c>
      <c r="Z97" s="372">
        <v>367686296.60158342</v>
      </c>
      <c r="AA97" s="372">
        <v>391227650.1666196</v>
      </c>
      <c r="AB97" s="372">
        <v>420751532.11454695</v>
      </c>
      <c r="AC97" s="372">
        <v>479389275.59268963</v>
      </c>
      <c r="AD97" s="372">
        <v>515822860.53773397</v>
      </c>
      <c r="AE97" s="372">
        <v>519433620.5614711</v>
      </c>
      <c r="AF97" s="372">
        <v>532303443.58750916</v>
      </c>
      <c r="AG97" s="372">
        <v>604548831.81948841</v>
      </c>
      <c r="AH97" s="372">
        <v>594445084.84180045</v>
      </c>
      <c r="AI97" s="372">
        <v>598204684.86912513</v>
      </c>
    </row>
    <row r="98" spans="1:35" x14ac:dyDescent="0.25">
      <c r="A98" s="361" t="s">
        <v>239</v>
      </c>
      <c r="B98" s="361">
        <v>372</v>
      </c>
      <c r="C98" s="361" t="s">
        <v>238</v>
      </c>
      <c r="D98" s="361">
        <v>94</v>
      </c>
      <c r="E98" s="361">
        <v>11</v>
      </c>
      <c r="F98" s="361" t="s">
        <v>2374</v>
      </c>
      <c r="G98" s="372">
        <v>76107157.554062575</v>
      </c>
      <c r="H98" s="372">
        <v>77575751.407116205</v>
      </c>
      <c r="I98" s="372">
        <v>80169321.488341063</v>
      </c>
      <c r="J98" s="372">
        <v>82327968.069744453</v>
      </c>
      <c r="K98" s="372">
        <v>87066623.472279415</v>
      </c>
      <c r="L98" s="372">
        <v>95454989.688891694</v>
      </c>
      <c r="M98" s="372">
        <v>102797066.40950337</v>
      </c>
      <c r="N98" s="372">
        <v>113999736.66746241</v>
      </c>
      <c r="O98" s="372">
        <v>123882490.6151502</v>
      </c>
      <c r="P98" s="372">
        <v>136920340.35034004</v>
      </c>
      <c r="Q98" s="372">
        <v>149867783.85395858</v>
      </c>
      <c r="R98" s="372">
        <v>157839459.96611291</v>
      </c>
      <c r="S98" s="372">
        <v>167196226.48678952</v>
      </c>
      <c r="T98" s="372">
        <v>172136024.70720097</v>
      </c>
      <c r="U98" s="372">
        <v>183446727.88888744</v>
      </c>
      <c r="V98" s="372">
        <v>193844427.45450801</v>
      </c>
      <c r="W98" s="372">
        <v>203622953.5061318</v>
      </c>
      <c r="X98" s="372">
        <v>214433536.96542832</v>
      </c>
      <c r="Y98" s="372">
        <v>204986923.5916447</v>
      </c>
      <c r="Z98" s="372">
        <v>194691990.4157069</v>
      </c>
      <c r="AA98" s="372">
        <v>198434052.6266121</v>
      </c>
      <c r="AB98" s="372">
        <v>205817785.650976</v>
      </c>
      <c r="AC98" s="372">
        <v>206193700.63839969</v>
      </c>
      <c r="AD98" s="372">
        <v>208950346.57889515</v>
      </c>
      <c r="AE98" s="372">
        <v>227339083.28235179</v>
      </c>
      <c r="AF98" s="372">
        <v>284440411.25129479</v>
      </c>
      <c r="AG98" s="372">
        <v>298627111.2461589</v>
      </c>
      <c r="AH98" s="372">
        <v>320193330.35194248</v>
      </c>
      <c r="AI98" s="372">
        <v>341497772.99577093</v>
      </c>
    </row>
    <row r="99" spans="1:35" x14ac:dyDescent="0.25">
      <c r="A99" s="361" t="s">
        <v>241</v>
      </c>
      <c r="B99" s="361">
        <v>376</v>
      </c>
      <c r="C99" s="361" t="s">
        <v>240</v>
      </c>
      <c r="D99" s="361">
        <v>95</v>
      </c>
      <c r="E99" s="361">
        <v>17</v>
      </c>
      <c r="F99" s="361" t="s">
        <v>2374</v>
      </c>
      <c r="G99" s="372">
        <v>96591849.252376407</v>
      </c>
      <c r="H99" s="372">
        <v>104054646.73835404</v>
      </c>
      <c r="I99" s="372">
        <v>112128523.6914997</v>
      </c>
      <c r="J99" s="372">
        <v>116744581.87244058</v>
      </c>
      <c r="K99" s="372">
        <v>125416188.74019052</v>
      </c>
      <c r="L99" s="372">
        <v>133697325.43927518</v>
      </c>
      <c r="M99" s="372">
        <v>140685308.31555629</v>
      </c>
      <c r="N99" s="372">
        <v>146217151.68256086</v>
      </c>
      <c r="O99" s="372">
        <v>151575710.03430501</v>
      </c>
      <c r="P99" s="372">
        <v>156402557.12160727</v>
      </c>
      <c r="Q99" s="372">
        <v>168475941.24394804</v>
      </c>
      <c r="R99" s="372">
        <v>168576121.51966456</v>
      </c>
      <c r="S99" s="372">
        <v>168597303.54586324</v>
      </c>
      <c r="T99" s="372">
        <v>170175374.75843102</v>
      </c>
      <c r="U99" s="372">
        <v>177397758.18200523</v>
      </c>
      <c r="V99" s="372">
        <v>184401260.07299104</v>
      </c>
      <c r="W99" s="372">
        <v>194732695.31772819</v>
      </c>
      <c r="X99" s="372">
        <v>205961077.29154339</v>
      </c>
      <c r="Y99" s="372">
        <v>211883919.3940123</v>
      </c>
      <c r="Z99" s="372">
        <v>214350988.74812794</v>
      </c>
      <c r="AA99" s="372">
        <v>226156498.39038417</v>
      </c>
      <c r="AB99" s="372">
        <v>237392421.47120118</v>
      </c>
      <c r="AC99" s="372">
        <v>242416104.50429162</v>
      </c>
      <c r="AD99" s="372">
        <v>252463222.31944317</v>
      </c>
      <c r="AE99" s="372">
        <v>262303975.93492204</v>
      </c>
      <c r="AF99" s="372">
        <v>269038242.66208261</v>
      </c>
      <c r="AG99" s="372">
        <v>279820996.05270028</v>
      </c>
      <c r="AH99" s="372">
        <v>289459743.74525666</v>
      </c>
      <c r="AI99" s="372">
        <v>299037478.84002501</v>
      </c>
    </row>
    <row r="100" spans="1:35" x14ac:dyDescent="0.25">
      <c r="A100" s="361" t="s">
        <v>243</v>
      </c>
      <c r="B100" s="361">
        <v>380</v>
      </c>
      <c r="C100" s="361" t="s">
        <v>242</v>
      </c>
      <c r="D100" s="361">
        <v>96</v>
      </c>
      <c r="E100" s="361">
        <v>11</v>
      </c>
      <c r="F100" s="361" t="s">
        <v>2374</v>
      </c>
      <c r="G100" s="372">
        <v>1766345062.12077</v>
      </c>
      <c r="H100" s="372">
        <v>1793519354.4813797</v>
      </c>
      <c r="I100" s="372">
        <v>1808482246.5066555</v>
      </c>
      <c r="J100" s="372">
        <v>1793059405.7779789</v>
      </c>
      <c r="K100" s="372">
        <v>1831628537.567615</v>
      </c>
      <c r="L100" s="372">
        <v>1884504663.1195312</v>
      </c>
      <c r="M100" s="372">
        <v>1908746354.5212491</v>
      </c>
      <c r="N100" s="372">
        <v>1943778759.5912104</v>
      </c>
      <c r="O100" s="372">
        <v>1975191702.2712796</v>
      </c>
      <c r="P100" s="372">
        <v>2006001735.574944</v>
      </c>
      <c r="Q100" s="372">
        <v>2080426538.0996904</v>
      </c>
      <c r="R100" s="372">
        <v>2117295623.3972828</v>
      </c>
      <c r="S100" s="372">
        <v>2122558107.4573457</v>
      </c>
      <c r="T100" s="372">
        <v>2125769923.9334664</v>
      </c>
      <c r="U100" s="372">
        <v>2159398304.4618368</v>
      </c>
      <c r="V100" s="372">
        <v>2179905381.5275478</v>
      </c>
      <c r="W100" s="372">
        <v>2223647071.999341</v>
      </c>
      <c r="X100" s="372">
        <v>2256420706.7813482</v>
      </c>
      <c r="Y100" s="372">
        <v>2232719199.7122164</v>
      </c>
      <c r="Z100" s="372">
        <v>2110320304.2920537</v>
      </c>
      <c r="AA100" s="372">
        <v>2145911350.1040823</v>
      </c>
      <c r="AB100" s="372">
        <v>2158285168.9827294</v>
      </c>
      <c r="AC100" s="372">
        <v>2097442812.6734905</v>
      </c>
      <c r="AD100" s="372">
        <v>2061195628.1301751</v>
      </c>
      <c r="AE100" s="372">
        <v>2063538655.939676</v>
      </c>
      <c r="AF100" s="372">
        <v>2082605598.0974183</v>
      </c>
      <c r="AG100" s="372">
        <v>2105907885.0049336</v>
      </c>
      <c r="AH100" s="372">
        <v>2141375219.3765957</v>
      </c>
      <c r="AI100" s="372">
        <v>2159753790.9575067</v>
      </c>
    </row>
    <row r="101" spans="1:35" x14ac:dyDescent="0.25">
      <c r="A101" s="361" t="s">
        <v>245</v>
      </c>
      <c r="B101" s="361">
        <v>388</v>
      </c>
      <c r="C101" s="361" t="s">
        <v>244</v>
      </c>
      <c r="D101" s="361">
        <v>98</v>
      </c>
      <c r="E101" s="361">
        <v>4</v>
      </c>
      <c r="F101" s="361" t="s">
        <v>2374</v>
      </c>
      <c r="G101" s="372">
        <v>17667920.63510184</v>
      </c>
      <c r="H101" s="372">
        <v>18522736.818161756</v>
      </c>
      <c r="I101" s="372">
        <v>18884956.809257951</v>
      </c>
      <c r="J101" s="372">
        <v>20663372.561735954</v>
      </c>
      <c r="K101" s="372">
        <v>20949227.55065646</v>
      </c>
      <c r="L101" s="372">
        <v>21441525.398618419</v>
      </c>
      <c r="M101" s="372">
        <v>21417139.693173006</v>
      </c>
      <c r="N101" s="372">
        <v>21172885.809166227</v>
      </c>
      <c r="O101" s="372">
        <v>20678593.453272928</v>
      </c>
      <c r="P101" s="372">
        <v>20895237.673718993</v>
      </c>
      <c r="Q101" s="372">
        <v>21078844.86851313</v>
      </c>
      <c r="R101" s="372">
        <v>21362340.484892499</v>
      </c>
      <c r="S101" s="372">
        <v>21789008.576838981</v>
      </c>
      <c r="T101" s="372">
        <v>22587862.831586197</v>
      </c>
      <c r="U101" s="372">
        <v>22886864.041391388</v>
      </c>
      <c r="V101" s="372">
        <v>23091426.359795883</v>
      </c>
      <c r="W101" s="372">
        <v>23760875.754974335</v>
      </c>
      <c r="X101" s="372">
        <v>24101120.574491359</v>
      </c>
      <c r="Y101" s="372">
        <v>23905482.93288625</v>
      </c>
      <c r="Z101" s="372">
        <v>22868785.76263354</v>
      </c>
      <c r="AA101" s="372">
        <v>22535393.531821992</v>
      </c>
      <c r="AB101" s="372">
        <v>22924301.24307232</v>
      </c>
      <c r="AC101" s="372">
        <v>22783335.464311097</v>
      </c>
      <c r="AD101" s="372">
        <v>22898121.884159524</v>
      </c>
      <c r="AE101" s="372">
        <v>23055687.880110778</v>
      </c>
      <c r="AF101" s="372">
        <v>23264306.347289082</v>
      </c>
      <c r="AG101" s="372">
        <v>23585506.94318074</v>
      </c>
      <c r="AH101" s="372">
        <v>23816304.389063749</v>
      </c>
      <c r="AI101" s="372">
        <v>24258399.038572766</v>
      </c>
    </row>
    <row r="102" spans="1:35" x14ac:dyDescent="0.25">
      <c r="A102" s="369" t="s">
        <v>247</v>
      </c>
      <c r="B102" s="361">
        <v>392</v>
      </c>
      <c r="C102" s="361" t="s">
        <v>246</v>
      </c>
      <c r="D102" s="361">
        <v>99</v>
      </c>
      <c r="E102" s="361">
        <v>23</v>
      </c>
      <c r="F102" s="361" t="s">
        <v>2374</v>
      </c>
      <c r="G102" s="372">
        <v>3778061403.9947581</v>
      </c>
      <c r="H102" s="372">
        <v>3907176530.1336312</v>
      </c>
      <c r="I102" s="372">
        <v>3940312105.7720447</v>
      </c>
      <c r="J102" s="372">
        <v>3919904447.3337922</v>
      </c>
      <c r="K102" s="372">
        <v>3958831699.8740292</v>
      </c>
      <c r="L102" s="372">
        <v>4067388420.2003441</v>
      </c>
      <c r="M102" s="372">
        <v>4193477432.3793654</v>
      </c>
      <c r="N102" s="372">
        <v>4238601146.4379344</v>
      </c>
      <c r="O102" s="372">
        <v>4190772354.4951496</v>
      </c>
      <c r="P102" s="372">
        <v>4180213524.5145025</v>
      </c>
      <c r="Q102" s="372">
        <v>4296408111.8080168</v>
      </c>
      <c r="R102" s="372">
        <v>4313865960.5141935</v>
      </c>
      <c r="S102" s="372">
        <v>4318956010.7471561</v>
      </c>
      <c r="T102" s="372">
        <v>4384959166.6930046</v>
      </c>
      <c r="U102" s="372">
        <v>4481633830.0857353</v>
      </c>
      <c r="V102" s="372">
        <v>4556148629.4474773</v>
      </c>
      <c r="W102" s="372">
        <v>4620846238.6889095</v>
      </c>
      <c r="X102" s="372">
        <v>4697283532.3428879</v>
      </c>
      <c r="Y102" s="372">
        <v>4645916829.7997475</v>
      </c>
      <c r="Z102" s="372">
        <v>4394274796.104578</v>
      </c>
      <c r="AA102" s="372">
        <v>4578471337.8639526</v>
      </c>
      <c r="AB102" s="372">
        <v>4573186804.9072895</v>
      </c>
      <c r="AC102" s="372">
        <v>4641560044.5729446</v>
      </c>
      <c r="AD102" s="372">
        <v>4734403677.4699745</v>
      </c>
      <c r="AE102" s="372">
        <v>4752144410.1378994</v>
      </c>
      <c r="AF102" s="372">
        <v>4810259384.031352</v>
      </c>
      <c r="AG102" s="372">
        <v>4839558345.9394712</v>
      </c>
      <c r="AH102" s="372">
        <v>4932901678.4667339</v>
      </c>
      <c r="AI102" s="372">
        <v>4971771237.5678844</v>
      </c>
    </row>
    <row r="103" spans="1:35" x14ac:dyDescent="0.25">
      <c r="A103" s="361" t="s">
        <v>249</v>
      </c>
      <c r="B103" s="361">
        <v>400</v>
      </c>
      <c r="C103" s="361" t="s">
        <v>248</v>
      </c>
      <c r="D103" s="361">
        <v>101</v>
      </c>
      <c r="E103" s="361">
        <v>17</v>
      </c>
      <c r="F103" s="361" t="s">
        <v>2353</v>
      </c>
      <c r="G103" s="372">
        <v>22411830.452148877</v>
      </c>
      <c r="H103" s="372">
        <v>22820599.021838363</v>
      </c>
      <c r="I103" s="372">
        <v>27080026.301214483</v>
      </c>
      <c r="J103" s="372">
        <v>28334079.297023252</v>
      </c>
      <c r="K103" s="372">
        <v>29746941.159220997</v>
      </c>
      <c r="L103" s="372">
        <v>31587188.777544867</v>
      </c>
      <c r="M103" s="372">
        <v>32246523.175614998</v>
      </c>
      <c r="N103" s="372">
        <v>33313203.66064167</v>
      </c>
      <c r="O103" s="372">
        <v>34310580.431993723</v>
      </c>
      <c r="P103" s="372">
        <v>35480390.915140942</v>
      </c>
      <c r="Q103" s="372">
        <v>36986621.294863909</v>
      </c>
      <c r="R103" s="372">
        <v>38935304.553477846</v>
      </c>
      <c r="S103" s="372">
        <v>41187509.723893687</v>
      </c>
      <c r="T103" s="372">
        <v>42901342.721515529</v>
      </c>
      <c r="U103" s="372">
        <v>46576828.552801043</v>
      </c>
      <c r="V103" s="372">
        <v>50371248.684122674</v>
      </c>
      <c r="W103" s="372">
        <v>54447960.650262624</v>
      </c>
      <c r="X103" s="372">
        <v>58899472.926402807</v>
      </c>
      <c r="Y103" s="372">
        <v>63159323.401217341</v>
      </c>
      <c r="Z103" s="372">
        <v>66618294.937752947</v>
      </c>
      <c r="AA103" s="372">
        <v>68158105.192964122</v>
      </c>
      <c r="AB103" s="372">
        <v>69921208.378250793</v>
      </c>
      <c r="AC103" s="372">
        <v>71774938.866737545</v>
      </c>
      <c r="AD103" s="372">
        <v>73805284.510983109</v>
      </c>
      <c r="AE103" s="372">
        <v>76090539.880015999</v>
      </c>
      <c r="AF103" s="372">
        <v>77910394.256207287</v>
      </c>
      <c r="AG103" s="372">
        <v>79471511.036610857</v>
      </c>
      <c r="AH103" s="372">
        <v>81152915.932777405</v>
      </c>
      <c r="AI103" s="372">
        <v>82727519.63479206</v>
      </c>
    </row>
    <row r="104" spans="1:35" x14ac:dyDescent="0.25">
      <c r="A104" s="361" t="s">
        <v>251</v>
      </c>
      <c r="B104" s="361">
        <v>398</v>
      </c>
      <c r="C104" s="361" t="s">
        <v>250</v>
      </c>
      <c r="D104" s="361">
        <v>100</v>
      </c>
      <c r="E104" s="361">
        <v>15</v>
      </c>
      <c r="F104" s="361" t="s">
        <v>2353</v>
      </c>
      <c r="G104" s="372">
        <v>213349353.35093212</v>
      </c>
      <c r="H104" s="372">
        <v>189880924.47871849</v>
      </c>
      <c r="I104" s="372">
        <v>179817235.48336926</v>
      </c>
      <c r="J104" s="372">
        <v>163274049.81524345</v>
      </c>
      <c r="K104" s="372">
        <v>142701519.54446673</v>
      </c>
      <c r="L104" s="372">
        <v>130999994.93719949</v>
      </c>
      <c r="M104" s="372">
        <v>131654994.91460185</v>
      </c>
      <c r="N104" s="372">
        <v>133893129.82748532</v>
      </c>
      <c r="O104" s="372">
        <v>131349160.36153328</v>
      </c>
      <c r="P104" s="372">
        <v>134895587.68846011</v>
      </c>
      <c r="Q104" s="372">
        <v>148115355.28481808</v>
      </c>
      <c r="R104" s="372">
        <v>168110928.24595171</v>
      </c>
      <c r="S104" s="372">
        <v>184585799.21339667</v>
      </c>
      <c r="T104" s="372">
        <v>201752278.54086566</v>
      </c>
      <c r="U104" s="372">
        <v>221120497.28354985</v>
      </c>
      <c r="V104" s="372">
        <v>242569185.51834455</v>
      </c>
      <c r="W104" s="372">
        <v>268524088.36880738</v>
      </c>
      <c r="X104" s="372">
        <v>292422732.23363119</v>
      </c>
      <c r="Y104" s="372">
        <v>302072682.39734119</v>
      </c>
      <c r="Z104" s="372">
        <v>305697554.58610904</v>
      </c>
      <c r="AA104" s="372">
        <v>328013476.0708937</v>
      </c>
      <c r="AB104" s="372">
        <v>352286473.30014211</v>
      </c>
      <c r="AC104" s="372">
        <v>369196224.0185467</v>
      </c>
      <c r="AD104" s="372">
        <v>391347997.45966214</v>
      </c>
      <c r="AE104" s="372">
        <v>407784613.35296541</v>
      </c>
      <c r="AF104" s="372">
        <v>412678028.71320373</v>
      </c>
      <c r="AG104" s="372">
        <v>417217487.02904665</v>
      </c>
      <c r="AH104" s="372">
        <v>434323403.99723935</v>
      </c>
      <c r="AI104" s="372">
        <v>452130663.56112492</v>
      </c>
    </row>
    <row r="105" spans="1:35" x14ac:dyDescent="0.25">
      <c r="A105" s="361" t="s">
        <v>253</v>
      </c>
      <c r="B105" s="361">
        <v>404</v>
      </c>
      <c r="C105" s="361" t="s">
        <v>252</v>
      </c>
      <c r="D105" s="361">
        <v>102</v>
      </c>
      <c r="E105" s="361">
        <v>9</v>
      </c>
      <c r="F105" s="361" t="s">
        <v>2374</v>
      </c>
      <c r="G105" s="372">
        <v>55707556.394990072</v>
      </c>
      <c r="H105" s="372">
        <v>56508824.244789347</v>
      </c>
      <c r="I105" s="372">
        <v>56057039.608126126</v>
      </c>
      <c r="J105" s="372">
        <v>56255031.534025751</v>
      </c>
      <c r="K105" s="372">
        <v>57736105.295181684</v>
      </c>
      <c r="L105" s="372">
        <v>60280083.108054198</v>
      </c>
      <c r="M105" s="372">
        <v>62779801.264659964</v>
      </c>
      <c r="N105" s="372">
        <v>63077943.74654194</v>
      </c>
      <c r="O105" s="372">
        <v>65153342.907935835</v>
      </c>
      <c r="P105" s="372">
        <v>66655380.645195194</v>
      </c>
      <c r="Q105" s="372">
        <v>67055109.891186975</v>
      </c>
      <c r="R105" s="372">
        <v>69589730.346058279</v>
      </c>
      <c r="S105" s="372">
        <v>69970288.418353185</v>
      </c>
      <c r="T105" s="372">
        <v>72022150.015821889</v>
      </c>
      <c r="U105" s="372">
        <v>75698376.457526118</v>
      </c>
      <c r="V105" s="372">
        <v>80169626.784125373</v>
      </c>
      <c r="W105" s="372">
        <v>85358601.306956679</v>
      </c>
      <c r="X105" s="372">
        <v>91206288.418486878</v>
      </c>
      <c r="Y105" s="372">
        <v>91418144.88944535</v>
      </c>
      <c r="Z105" s="372">
        <v>94441287.921246558</v>
      </c>
      <c r="AA105" s="372">
        <v>102379738.52738348</v>
      </c>
      <c r="AB105" s="372">
        <v>108633362.95227416</v>
      </c>
      <c r="AC105" s="372">
        <v>113590530.48951097</v>
      </c>
      <c r="AD105" s="372">
        <v>120268154.9310708</v>
      </c>
      <c r="AE105" s="372">
        <v>126711071.09969704</v>
      </c>
      <c r="AF105" s="372">
        <v>133957052.73979686</v>
      </c>
      <c r="AG105" s="372">
        <v>141832319.95304948</v>
      </c>
      <c r="AH105" s="372">
        <v>148728970.72087786</v>
      </c>
      <c r="AI105" s="372">
        <v>158128316.49614143</v>
      </c>
    </row>
    <row r="106" spans="1:35" x14ac:dyDescent="0.25">
      <c r="A106" s="361" t="s">
        <v>255</v>
      </c>
      <c r="B106" s="361">
        <v>296</v>
      </c>
      <c r="C106" s="361" t="s">
        <v>254</v>
      </c>
      <c r="D106" s="361">
        <v>76</v>
      </c>
      <c r="E106" s="361">
        <v>24</v>
      </c>
      <c r="F106" s="361" t="s">
        <v>2374</v>
      </c>
      <c r="G106" s="372">
        <v>140739.7114326352</v>
      </c>
      <c r="H106" s="372">
        <v>140739.7114326352</v>
      </c>
      <c r="I106" s="372">
        <v>141974.27030485129</v>
      </c>
      <c r="J106" s="372">
        <v>143208.82917706741</v>
      </c>
      <c r="K106" s="372">
        <v>145677.94692149959</v>
      </c>
      <c r="L106" s="372">
        <v>145677.94692149959</v>
      </c>
      <c r="M106" s="372">
        <v>148147.0646659318</v>
      </c>
      <c r="N106" s="372">
        <v>150616.18241036398</v>
      </c>
      <c r="O106" s="372">
        <v>160492.65338809276</v>
      </c>
      <c r="P106" s="372">
        <v>158023.53564366058</v>
      </c>
      <c r="Q106" s="372">
        <v>167900.00662138942</v>
      </c>
      <c r="R106" s="372">
        <v>165430.88887695715</v>
      </c>
      <c r="S106" s="372">
        <v>171696.52206522832</v>
      </c>
      <c r="T106" s="372">
        <v>175141.31168637294</v>
      </c>
      <c r="U106" s="372">
        <v>172287.62885324535</v>
      </c>
      <c r="V106" s="372">
        <v>180818.67757203311</v>
      </c>
      <c r="W106" s="372">
        <v>180729.54242145905</v>
      </c>
      <c r="X106" s="372">
        <v>184407.29330179084</v>
      </c>
      <c r="Y106" s="372">
        <v>180550.53138498776</v>
      </c>
      <c r="Z106" s="372">
        <v>181999.90350096946</v>
      </c>
      <c r="AA106" s="372">
        <v>180318.4343170111</v>
      </c>
      <c r="AB106" s="372">
        <v>183193.72193040239</v>
      </c>
      <c r="AC106" s="372">
        <v>191828.22668268182</v>
      </c>
      <c r="AD106" s="372">
        <v>199913.35273682507</v>
      </c>
      <c r="AE106" s="372">
        <v>198518.30121122082</v>
      </c>
      <c r="AF106" s="372">
        <v>219174.94026114052</v>
      </c>
      <c r="AG106" s="372">
        <v>230418.06791041256</v>
      </c>
      <c r="AH106" s="372">
        <v>231174.85249908108</v>
      </c>
      <c r="AI106" s="372">
        <v>235800.74459327478</v>
      </c>
    </row>
    <row r="107" spans="1:35" x14ac:dyDescent="0.25">
      <c r="A107" s="361" t="s">
        <v>257</v>
      </c>
      <c r="B107" s="361">
        <v>408</v>
      </c>
      <c r="C107" s="361" t="s">
        <v>256</v>
      </c>
      <c r="D107" s="361">
        <v>103</v>
      </c>
      <c r="E107" s="361">
        <v>19</v>
      </c>
      <c r="F107" s="361" t="s">
        <v>2374</v>
      </c>
      <c r="G107" s="372">
        <v>179844683.4559007</v>
      </c>
      <c r="H107" s="372">
        <v>170493123.56302598</v>
      </c>
      <c r="I107" s="372">
        <v>157536521.61831334</v>
      </c>
      <c r="J107" s="372">
        <v>150761915.81977859</v>
      </c>
      <c r="K107" s="372">
        <v>148045788.24647602</v>
      </c>
      <c r="L107" s="372">
        <v>141239756.17849809</v>
      </c>
      <c r="M107" s="372">
        <v>136010649.41650775</v>
      </c>
      <c r="N107" s="372">
        <v>126766836.73315251</v>
      </c>
      <c r="O107" s="372">
        <v>125372857.20999476</v>
      </c>
      <c r="P107" s="372">
        <v>125372857.20999476</v>
      </c>
      <c r="Q107" s="372">
        <v>125372857.20999476</v>
      </c>
      <c r="R107" s="372">
        <v>121610683.810941</v>
      </c>
      <c r="S107" s="372">
        <v>121610683.810941</v>
      </c>
      <c r="T107" s="372">
        <v>121610683.810941</v>
      </c>
      <c r="U107" s="372">
        <v>121610683.810941</v>
      </c>
      <c r="V107" s="372">
        <v>121610683.810941</v>
      </c>
      <c r="W107" s="372">
        <v>123799299.00430463</v>
      </c>
      <c r="X107" s="372">
        <v>122437868.11735587</v>
      </c>
      <c r="Y107" s="372">
        <v>119621849.90189467</v>
      </c>
      <c r="Z107" s="372">
        <v>124047342.05955249</v>
      </c>
      <c r="AA107" s="372">
        <v>112883159.83986637</v>
      </c>
      <c r="AB107" s="372">
        <v>107238777.37451988</v>
      </c>
      <c r="AC107" s="372">
        <v>109860626.13949293</v>
      </c>
      <c r="AD107" s="372">
        <v>110958300.83647221</v>
      </c>
      <c r="AE107" s="372">
        <v>112068321.56787561</v>
      </c>
      <c r="AF107" s="372">
        <v>113189565.96693729</v>
      </c>
      <c r="AG107" s="372">
        <v>114320911.66689141</v>
      </c>
      <c r="AH107" s="372">
        <v>115452257.36684552</v>
      </c>
      <c r="AI107" s="372">
        <v>116583603.06679963</v>
      </c>
    </row>
    <row r="108" spans="1:35" x14ac:dyDescent="0.25">
      <c r="A108" s="361" t="s">
        <v>259</v>
      </c>
      <c r="B108" s="361">
        <v>410</v>
      </c>
      <c r="C108" s="361" t="s">
        <v>258</v>
      </c>
      <c r="D108" s="361">
        <v>104</v>
      </c>
      <c r="E108" s="361">
        <v>19</v>
      </c>
      <c r="F108" s="361" t="s">
        <v>2374</v>
      </c>
      <c r="G108" s="372">
        <v>498681159.51461327</v>
      </c>
      <c r="H108" s="372">
        <v>550314364.18799543</v>
      </c>
      <c r="I108" s="372">
        <v>584299059.04214084</v>
      </c>
      <c r="J108" s="372">
        <v>624304519.32438469</v>
      </c>
      <c r="K108" s="372">
        <v>681778876.85801029</v>
      </c>
      <c r="L108" s="372">
        <v>747029234.21877277</v>
      </c>
      <c r="M108" s="372">
        <v>803762437.31124926</v>
      </c>
      <c r="N108" s="372">
        <v>851362739.54279351</v>
      </c>
      <c r="O108" s="372">
        <v>804782817.37906349</v>
      </c>
      <c r="P108" s="372">
        <v>895792660.04219902</v>
      </c>
      <c r="Q108" s="372">
        <v>975737013.40748191</v>
      </c>
      <c r="R108" s="372">
        <v>1019892106.4701698</v>
      </c>
      <c r="S108" s="372">
        <v>1095694910.2149119</v>
      </c>
      <c r="T108" s="372">
        <v>1127834029.4710975</v>
      </c>
      <c r="U108" s="372">
        <v>1183096097.4611433</v>
      </c>
      <c r="V108" s="372">
        <v>1229516971.5667722</v>
      </c>
      <c r="W108" s="372">
        <v>1293158661.2367461</v>
      </c>
      <c r="X108" s="372">
        <v>1363809044.8930194</v>
      </c>
      <c r="Y108" s="372">
        <v>1402394246.4322245</v>
      </c>
      <c r="Z108" s="372">
        <v>1412316325.2137325</v>
      </c>
      <c r="AA108" s="372">
        <v>1504071601.6379659</v>
      </c>
      <c r="AB108" s="372">
        <v>1559446833.8666594</v>
      </c>
      <c r="AC108" s="372">
        <v>1595195559.4997387</v>
      </c>
      <c r="AD108" s="372">
        <v>1641395692.0180039</v>
      </c>
      <c r="AE108" s="372">
        <v>1696242071.6230135</v>
      </c>
      <c r="AF108" s="372">
        <v>1743571231.3877954</v>
      </c>
      <c r="AG108" s="372">
        <v>1794645747.0678499</v>
      </c>
      <c r="AH108" s="372">
        <v>1849611591.0214326</v>
      </c>
      <c r="AI108" s="372">
        <v>1898964987.9920409</v>
      </c>
    </row>
    <row r="109" spans="1:35" x14ac:dyDescent="0.25">
      <c r="A109" s="361" t="s">
        <v>261</v>
      </c>
      <c r="B109" s="361">
        <v>414</v>
      </c>
      <c r="C109" s="361" t="s">
        <v>260</v>
      </c>
      <c r="D109" s="361">
        <v>105</v>
      </c>
      <c r="E109" s="361">
        <v>17</v>
      </c>
      <c r="F109" s="361" t="s">
        <v>2374</v>
      </c>
      <c r="G109" s="372">
        <v>27424334.453921005</v>
      </c>
      <c r="H109" s="372">
        <v>56537174.328880221</v>
      </c>
      <c r="I109" s="372">
        <v>85650014.203839436</v>
      </c>
      <c r="J109" s="372">
        <v>114762854.07879864</v>
      </c>
      <c r="K109" s="372">
        <v>124444438.68883802</v>
      </c>
      <c r="L109" s="372">
        <v>130490311.93261629</v>
      </c>
      <c r="M109" s="372">
        <v>131279944.01418622</v>
      </c>
      <c r="N109" s="372">
        <v>134526924.01317948</v>
      </c>
      <c r="O109" s="372">
        <v>139453374.09859207</v>
      </c>
      <c r="P109" s="372">
        <v>136958540.03919268</v>
      </c>
      <c r="Q109" s="372">
        <v>143388170.99025741</v>
      </c>
      <c r="R109" s="372">
        <v>144433508.63068935</v>
      </c>
      <c r="S109" s="372">
        <v>148766513.90324211</v>
      </c>
      <c r="T109" s="372">
        <v>174532874.67865029</v>
      </c>
      <c r="U109" s="372">
        <v>193316441.7692408</v>
      </c>
      <c r="V109" s="372">
        <v>212794911.70140943</v>
      </c>
      <c r="W109" s="372">
        <v>228797619.40986922</v>
      </c>
      <c r="X109" s="372">
        <v>242506397.70474431</v>
      </c>
      <c r="Y109" s="372">
        <v>248520177.65261659</v>
      </c>
      <c r="Z109" s="372">
        <v>230934634.8608247</v>
      </c>
      <c r="AA109" s="372">
        <v>225468269.00366253</v>
      </c>
      <c r="AB109" s="372">
        <v>247177337.16986614</v>
      </c>
      <c r="AC109" s="372">
        <v>263556266.77846494</v>
      </c>
      <c r="AD109" s="372">
        <v>266584630.66739562</v>
      </c>
      <c r="AE109" s="372">
        <v>267919891.72038126</v>
      </c>
      <c r="AF109" s="372">
        <v>269508709.23672104</v>
      </c>
      <c r="AG109" s="372">
        <v>277394860.52975005</v>
      </c>
      <c r="AH109" s="372">
        <v>267737222.01022297</v>
      </c>
      <c r="AI109" s="372">
        <v>271057312.15269017</v>
      </c>
    </row>
    <row r="110" spans="1:35" x14ac:dyDescent="0.25">
      <c r="A110" s="361" t="s">
        <v>263</v>
      </c>
      <c r="B110" s="361">
        <v>417</v>
      </c>
      <c r="C110" s="361" t="s">
        <v>262</v>
      </c>
      <c r="D110" s="361">
        <v>106</v>
      </c>
      <c r="E110" s="361">
        <v>15</v>
      </c>
      <c r="F110" s="361" t="s">
        <v>2374</v>
      </c>
      <c r="G110" s="372">
        <v>15257961.984142736</v>
      </c>
      <c r="H110" s="372">
        <v>14060049.35787498</v>
      </c>
      <c r="I110" s="372">
        <v>12107290.037827702</v>
      </c>
      <c r="J110" s="372">
        <v>10235584.762120757</v>
      </c>
      <c r="K110" s="372">
        <v>8179751.3317199824</v>
      </c>
      <c r="L110" s="372">
        <v>7736096.1754135657</v>
      </c>
      <c r="M110" s="372">
        <v>8284160.0960729606</v>
      </c>
      <c r="N110" s="372">
        <v>9105548.4964021072</v>
      </c>
      <c r="O110" s="372">
        <v>9298753.2470304333</v>
      </c>
      <c r="P110" s="372">
        <v>9638696.0989494901</v>
      </c>
      <c r="Q110" s="372">
        <v>10161756.69955653</v>
      </c>
      <c r="R110" s="372">
        <v>10702523.147674864</v>
      </c>
      <c r="S110" s="372">
        <v>10700665.921099873</v>
      </c>
      <c r="T110" s="372">
        <v>11452954.42422892</v>
      </c>
      <c r="U110" s="372">
        <v>12257737.465249758</v>
      </c>
      <c r="V110" s="372">
        <v>12236219.224157123</v>
      </c>
      <c r="W110" s="372">
        <v>12615896.710323988</v>
      </c>
      <c r="X110" s="372">
        <v>13693656.983311035</v>
      </c>
      <c r="Y110" s="372">
        <v>14844145.453568133</v>
      </c>
      <c r="Z110" s="372">
        <v>15272591.237125473</v>
      </c>
      <c r="AA110" s="372">
        <v>15200570.760095688</v>
      </c>
      <c r="AB110" s="372">
        <v>16105958.461366938</v>
      </c>
      <c r="AC110" s="372">
        <v>16073746.544444209</v>
      </c>
      <c r="AD110" s="372">
        <v>17825784.917788628</v>
      </c>
      <c r="AE110" s="372">
        <v>18538816.314500161</v>
      </c>
      <c r="AF110" s="372">
        <v>19261830.15076568</v>
      </c>
      <c r="AG110" s="372">
        <v>20090088.847248584</v>
      </c>
      <c r="AH110" s="372">
        <v>21034323.023069274</v>
      </c>
      <c r="AI110" s="372">
        <v>21770524.328876708</v>
      </c>
    </row>
    <row r="111" spans="1:35" x14ac:dyDescent="0.25">
      <c r="A111" s="361" t="s">
        <v>265</v>
      </c>
      <c r="B111" s="361">
        <v>418</v>
      </c>
      <c r="C111" s="361" t="s">
        <v>264</v>
      </c>
      <c r="D111" s="361">
        <v>107</v>
      </c>
      <c r="E111" s="361">
        <v>21</v>
      </c>
      <c r="F111" s="361" t="s">
        <v>2374</v>
      </c>
      <c r="G111" s="372">
        <v>7273615.9278247738</v>
      </c>
      <c r="H111" s="372">
        <v>7586131.4651779197</v>
      </c>
      <c r="I111" s="372">
        <v>8007909.584717215</v>
      </c>
      <c r="J111" s="372">
        <v>8481381.7678921819</v>
      </c>
      <c r="K111" s="372">
        <v>9173379.2779766526</v>
      </c>
      <c r="L111" s="372">
        <v>9818382.9054484721</v>
      </c>
      <c r="M111" s="372">
        <v>10498632.257715855</v>
      </c>
      <c r="N111" s="372">
        <v>11220107.84889584</v>
      </c>
      <c r="O111" s="372">
        <v>11665277.755761804</v>
      </c>
      <c r="P111" s="372">
        <v>12517586.818562929</v>
      </c>
      <c r="Q111" s="372">
        <v>13243454.430659331</v>
      </c>
      <c r="R111" s="372">
        <v>14005140.174831266</v>
      </c>
      <c r="S111" s="372">
        <v>14834068.524052724</v>
      </c>
      <c r="T111" s="372">
        <v>15734051.803148109</v>
      </c>
      <c r="U111" s="372">
        <v>16734374.903477861</v>
      </c>
      <c r="V111" s="372">
        <v>17923782.040877607</v>
      </c>
      <c r="W111" s="372">
        <v>19468680.529653471</v>
      </c>
      <c r="X111" s="372">
        <v>20947682.859208427</v>
      </c>
      <c r="Y111" s="372">
        <v>22586818.673961047</v>
      </c>
      <c r="Z111" s="372">
        <v>24281230.970799778</v>
      </c>
      <c r="AA111" s="372">
        <v>26351668.59409995</v>
      </c>
      <c r="AB111" s="372">
        <v>28469987.707977552</v>
      </c>
      <c r="AC111" s="372">
        <v>30755016.945579156</v>
      </c>
      <c r="AD111" s="372">
        <v>33223506.940304626</v>
      </c>
      <c r="AE111" s="372">
        <v>35752468.142333589</v>
      </c>
      <c r="AF111" s="372">
        <v>38351526.625774413</v>
      </c>
      <c r="AG111" s="372">
        <v>41044989.575824067</v>
      </c>
      <c r="AH111" s="372">
        <v>43857158.822016321</v>
      </c>
      <c r="AI111" s="372">
        <v>46708255.004247256</v>
      </c>
    </row>
    <row r="112" spans="1:35" x14ac:dyDescent="0.25">
      <c r="A112" s="361" t="s">
        <v>267</v>
      </c>
      <c r="B112" s="361">
        <v>428</v>
      </c>
      <c r="C112" s="361" t="s">
        <v>266</v>
      </c>
      <c r="D112" s="361">
        <v>110</v>
      </c>
      <c r="E112" s="361">
        <v>12</v>
      </c>
      <c r="F112" s="361" t="s">
        <v>2374</v>
      </c>
      <c r="G112" s="372">
        <v>22471176.151495866</v>
      </c>
      <c r="H112" s="372">
        <v>22094098.547205038</v>
      </c>
      <c r="I112" s="372">
        <v>21717020.942914203</v>
      </c>
      <c r="J112" s="372">
        <v>21339943.338623371</v>
      </c>
      <c r="K112" s="372">
        <v>20962865.734332539</v>
      </c>
      <c r="L112" s="372">
        <v>20585788.130041707</v>
      </c>
      <c r="M112" s="372">
        <v>21071410.82902148</v>
      </c>
      <c r="N112" s="372">
        <v>22962386.582923878</v>
      </c>
      <c r="O112" s="372">
        <v>24459940.400788136</v>
      </c>
      <c r="P112" s="372">
        <v>25100535.081202067</v>
      </c>
      <c r="Q112" s="372">
        <v>26457685.491887715</v>
      </c>
      <c r="R112" s="372">
        <v>28167198.619225595</v>
      </c>
      <c r="S112" s="372">
        <v>30167923.160905417</v>
      </c>
      <c r="T112" s="372">
        <v>32711287.609481368</v>
      </c>
      <c r="U112" s="372">
        <v>35437952.297049902</v>
      </c>
      <c r="V112" s="372">
        <v>39228763.188349381</v>
      </c>
      <c r="W112" s="372">
        <v>43892822.018552214</v>
      </c>
      <c r="X112" s="372">
        <v>48273004.944186933</v>
      </c>
      <c r="Y112" s="372">
        <v>46560450.472238138</v>
      </c>
      <c r="Z112" s="372">
        <v>39854957.902384445</v>
      </c>
      <c r="AA112" s="372">
        <v>38284405.411027297</v>
      </c>
      <c r="AB112" s="372">
        <v>40727341.459135219</v>
      </c>
      <c r="AC112" s="372">
        <v>42370538.334016554</v>
      </c>
      <c r="AD112" s="372">
        <v>43400079.371767499</v>
      </c>
      <c r="AE112" s="372">
        <v>44206558.591507271</v>
      </c>
      <c r="AF112" s="372">
        <v>45520246.586995147</v>
      </c>
      <c r="AG112" s="372">
        <v>46459958.043462507</v>
      </c>
      <c r="AH112" s="372">
        <v>48614064.530271135</v>
      </c>
      <c r="AI112" s="372">
        <v>50932817.675792031</v>
      </c>
    </row>
    <row r="113" spans="1:35" x14ac:dyDescent="0.25">
      <c r="A113" s="361" t="s">
        <v>269</v>
      </c>
      <c r="B113" s="361">
        <v>422</v>
      </c>
      <c r="C113" s="361" t="s">
        <v>268</v>
      </c>
      <c r="D113" s="361">
        <v>108</v>
      </c>
      <c r="E113" s="361">
        <v>17</v>
      </c>
      <c r="F113" s="361" t="s">
        <v>2374</v>
      </c>
      <c r="G113" s="372">
        <v>15650910.225874614</v>
      </c>
      <c r="H113" s="372">
        <v>23389875.150906943</v>
      </c>
      <c r="I113" s="372">
        <v>27234783.688737489</v>
      </c>
      <c r="J113" s="372">
        <v>30166790.570236243</v>
      </c>
      <c r="K113" s="372">
        <v>32611881.942999192</v>
      </c>
      <c r="L113" s="372">
        <v>34714977.390190691</v>
      </c>
      <c r="M113" s="372">
        <v>38632887.42275466</v>
      </c>
      <c r="N113" s="372">
        <v>39040451.508215562</v>
      </c>
      <c r="O113" s="372">
        <v>40471566.624439463</v>
      </c>
      <c r="P113" s="372">
        <v>40258854.28892795</v>
      </c>
      <c r="Q113" s="372">
        <v>40799076.428925887</v>
      </c>
      <c r="R113" s="372">
        <v>42365626.032376774</v>
      </c>
      <c r="S113" s="372">
        <v>43815864.886715226</v>
      </c>
      <c r="T113" s="372">
        <v>45229845.90381074</v>
      </c>
      <c r="U113" s="372">
        <v>48076510.839507706</v>
      </c>
      <c r="V113" s="372">
        <v>49397842.805392623</v>
      </c>
      <c r="W113" s="372">
        <v>50238314.493605256</v>
      </c>
      <c r="X113" s="372">
        <v>54931040.048009567</v>
      </c>
      <c r="Y113" s="372">
        <v>60011525.283561081</v>
      </c>
      <c r="Z113" s="372">
        <v>66045370.510824174</v>
      </c>
      <c r="AA113" s="372">
        <v>71353601.625675634</v>
      </c>
      <c r="AB113" s="372">
        <v>72008412.770457298</v>
      </c>
      <c r="AC113" s="372">
        <v>73967150.737891436</v>
      </c>
      <c r="AD113" s="372">
        <v>75904469.413153291</v>
      </c>
      <c r="AE113" s="372">
        <v>77334726.447350994</v>
      </c>
      <c r="AF113" s="372">
        <v>77655689.353894889</v>
      </c>
      <c r="AG113" s="372">
        <v>78902470.549755141</v>
      </c>
      <c r="AH113" s="372">
        <v>79338008.06644617</v>
      </c>
      <c r="AI113" s="372">
        <v>79496676.653709188</v>
      </c>
    </row>
    <row r="114" spans="1:35" x14ac:dyDescent="0.25">
      <c r="A114" s="361" t="s">
        <v>271</v>
      </c>
      <c r="B114" s="361">
        <v>426</v>
      </c>
      <c r="C114" s="361" t="s">
        <v>270</v>
      </c>
      <c r="D114" s="361">
        <v>109</v>
      </c>
      <c r="E114" s="361">
        <v>26</v>
      </c>
      <c r="F114" s="361" t="s">
        <v>2374</v>
      </c>
      <c r="G114" s="372">
        <v>2212415.5604908466</v>
      </c>
      <c r="H114" s="372">
        <v>2366545.8603039244</v>
      </c>
      <c r="I114" s="372">
        <v>2531171.4272195622</v>
      </c>
      <c r="J114" s="372">
        <v>2620009.6334644286</v>
      </c>
      <c r="K114" s="372">
        <v>2776682.8854752365</v>
      </c>
      <c r="L114" s="372">
        <v>2868061.8128650305</v>
      </c>
      <c r="M114" s="372">
        <v>3028588.2581308456</v>
      </c>
      <c r="N114" s="372">
        <v>3140755.1617633468</v>
      </c>
      <c r="O114" s="372">
        <v>3189049.1606313791</v>
      </c>
      <c r="P114" s="372">
        <v>3204229.835153183</v>
      </c>
      <c r="Q114" s="372">
        <v>3328411.2624508953</v>
      </c>
      <c r="R114" s="372">
        <v>3446955.3652126421</v>
      </c>
      <c r="S114" s="372">
        <v>3471905.6677224673</v>
      </c>
      <c r="T114" s="372">
        <v>3630216.8172696065</v>
      </c>
      <c r="U114" s="372">
        <v>3691653.670322278</v>
      </c>
      <c r="V114" s="372">
        <v>3819610.9081263128</v>
      </c>
      <c r="W114" s="372">
        <v>3981184.0725973644</v>
      </c>
      <c r="X114" s="372">
        <v>4173593.2550265798</v>
      </c>
      <c r="Y114" s="372">
        <v>4454873.9747463828</v>
      </c>
      <c r="Z114" s="372">
        <v>4550845.6963714026</v>
      </c>
      <c r="AA114" s="372">
        <v>4827174.7907622661</v>
      </c>
      <c r="AB114" s="372">
        <v>5160314.2646900462</v>
      </c>
      <c r="AC114" s="372">
        <v>5469833.6184453601</v>
      </c>
      <c r="AD114" s="372">
        <v>5570684.4579379214</v>
      </c>
      <c r="AE114" s="372">
        <v>5744585.1594169941</v>
      </c>
      <c r="AF114" s="372">
        <v>5903518.2812016523</v>
      </c>
      <c r="AG114" s="372">
        <v>6091190.3260685336</v>
      </c>
      <c r="AH114" s="372">
        <v>5951927.4960426558</v>
      </c>
      <c r="AI114" s="372">
        <v>6039618.8501208378</v>
      </c>
    </row>
    <row r="115" spans="1:35" x14ac:dyDescent="0.25">
      <c r="A115" s="361" t="s">
        <v>273</v>
      </c>
      <c r="B115" s="361">
        <v>430</v>
      </c>
      <c r="C115" s="361" t="s">
        <v>272</v>
      </c>
      <c r="D115" s="361">
        <v>111</v>
      </c>
      <c r="E115" s="361">
        <v>8</v>
      </c>
      <c r="F115" s="361" t="s">
        <v>2374</v>
      </c>
      <c r="G115" s="372">
        <v>2735784.8529415899</v>
      </c>
      <c r="H115" s="372">
        <v>2688640.6428092346</v>
      </c>
      <c r="I115" s="372">
        <v>2637882.8295632759</v>
      </c>
      <c r="J115" s="372">
        <v>2605034.8873289376</v>
      </c>
      <c r="K115" s="372">
        <v>2617942.1188732949</v>
      </c>
      <c r="L115" s="372">
        <v>2694600.056842682</v>
      </c>
      <c r="M115" s="372">
        <v>2847231.9575750525</v>
      </c>
      <c r="N115" s="372">
        <v>3065634.8614403862</v>
      </c>
      <c r="O115" s="372">
        <v>3317715.9664611262</v>
      </c>
      <c r="P115" s="372">
        <v>3557872.9719297583</v>
      </c>
      <c r="Q115" s="372">
        <v>3753898.4210653403</v>
      </c>
      <c r="R115" s="372">
        <v>3863522.5019307742</v>
      </c>
      <c r="S115" s="372">
        <v>4008907.5599939683</v>
      </c>
      <c r="T115" s="372">
        <v>2800417.0606546565</v>
      </c>
      <c r="U115" s="372">
        <v>2873783.7222163505</v>
      </c>
      <c r="V115" s="372">
        <v>3025554.3350603031</v>
      </c>
      <c r="W115" s="372">
        <v>3268927.0892410832</v>
      </c>
      <c r="X115" s="372">
        <v>3580628.435919031</v>
      </c>
      <c r="Y115" s="372">
        <v>3836489.0081298915</v>
      </c>
      <c r="Z115" s="372">
        <v>4039843.6187017462</v>
      </c>
      <c r="AA115" s="372">
        <v>4286267.1148352055</v>
      </c>
      <c r="AB115" s="372">
        <v>4637773.844219517</v>
      </c>
      <c r="AC115" s="372">
        <v>5008508.9375909194</v>
      </c>
      <c r="AD115" s="372">
        <v>5444450.9612059575</v>
      </c>
      <c r="AE115" s="372">
        <v>5482624.3976487089</v>
      </c>
      <c r="AF115" s="372">
        <v>5482624.3976487089</v>
      </c>
      <c r="AG115" s="372">
        <v>5394925.2108907569</v>
      </c>
      <c r="AH115" s="372">
        <v>5528105.7424553037</v>
      </c>
      <c r="AI115" s="372">
        <v>5595689.6717935028</v>
      </c>
    </row>
    <row r="116" spans="1:35" x14ac:dyDescent="0.25">
      <c r="A116" s="361" t="s">
        <v>275</v>
      </c>
      <c r="B116" s="361">
        <v>434</v>
      </c>
      <c r="C116" s="361" t="s">
        <v>274</v>
      </c>
      <c r="D116" s="361">
        <v>112</v>
      </c>
      <c r="E116" s="361">
        <v>7</v>
      </c>
      <c r="F116" s="361" t="s">
        <v>2374</v>
      </c>
      <c r="G116" s="372">
        <v>95226436.630834356</v>
      </c>
      <c r="H116" s="372">
        <v>97535505.383029282</v>
      </c>
      <c r="I116" s="372">
        <v>99824441.337708265</v>
      </c>
      <c r="J116" s="372">
        <v>102061972.12175763</v>
      </c>
      <c r="K116" s="372">
        <v>104202788.20899816</v>
      </c>
      <c r="L116" s="372">
        <v>106218707.97561495</v>
      </c>
      <c r="M116" s="372">
        <v>108094041.57620916</v>
      </c>
      <c r="N116" s="372">
        <v>109850531.57355647</v>
      </c>
      <c r="O116" s="372">
        <v>111541278.75769353</v>
      </c>
      <c r="P116" s="372">
        <v>113240031.841056</v>
      </c>
      <c r="Q116" s="372">
        <v>117406374.14514372</v>
      </c>
      <c r="R116" s="372">
        <v>115336642.80698402</v>
      </c>
      <c r="S116" s="372">
        <v>114230738.12165935</v>
      </c>
      <c r="T116" s="372">
        <v>129099012.22435752</v>
      </c>
      <c r="U116" s="372">
        <v>134858932.46042347</v>
      </c>
      <c r="V116" s="372">
        <v>150867670.76986268</v>
      </c>
      <c r="W116" s="372">
        <v>160674894.95847097</v>
      </c>
      <c r="X116" s="372">
        <v>170881473.61677971</v>
      </c>
      <c r="Y116" s="372">
        <v>175439490.4969199</v>
      </c>
      <c r="Z116" s="372">
        <v>174053269.69344002</v>
      </c>
      <c r="AA116" s="372">
        <v>182792988.66496405</v>
      </c>
      <c r="AB116" s="372">
        <v>69322560.014465377</v>
      </c>
      <c r="AC116" s="372">
        <v>154686052.06854811</v>
      </c>
      <c r="AD116" s="372">
        <v>133648749.02716102</v>
      </c>
      <c r="AE116" s="372">
        <v>101573049.214563</v>
      </c>
      <c r="AF116" s="372">
        <v>92571605.611427054</v>
      </c>
      <c r="AG116" s="372">
        <v>89983795.175676987</v>
      </c>
      <c r="AH116" s="372">
        <v>113987755.50250623</v>
      </c>
      <c r="AI116" s="372">
        <v>122922391.8425038</v>
      </c>
    </row>
    <row r="117" spans="1:35" x14ac:dyDescent="0.25">
      <c r="A117" s="361" t="s">
        <v>277</v>
      </c>
      <c r="B117" s="361">
        <v>438</v>
      </c>
      <c r="C117" s="367" t="s">
        <v>276</v>
      </c>
      <c r="D117" s="361">
        <v>113</v>
      </c>
      <c r="E117" s="361">
        <v>11</v>
      </c>
      <c r="F117" s="361" t="s">
        <v>2374</v>
      </c>
      <c r="G117" s="375">
        <v>0</v>
      </c>
      <c r="H117" s="372">
        <v>0</v>
      </c>
      <c r="I117" s="372">
        <v>0</v>
      </c>
      <c r="J117" s="372">
        <v>0</v>
      </c>
      <c r="K117" s="372">
        <v>0</v>
      </c>
      <c r="L117" s="372">
        <v>0</v>
      </c>
      <c r="M117" s="372">
        <v>0</v>
      </c>
      <c r="N117" s="372">
        <v>0</v>
      </c>
      <c r="O117" s="372">
        <v>0</v>
      </c>
      <c r="P117" s="372">
        <v>0</v>
      </c>
      <c r="Q117" s="372">
        <v>0</v>
      </c>
      <c r="R117" s="372">
        <v>0</v>
      </c>
      <c r="S117" s="372">
        <v>0</v>
      </c>
      <c r="T117" s="372">
        <v>0</v>
      </c>
      <c r="U117" s="372">
        <v>0</v>
      </c>
      <c r="V117" s="372">
        <v>0</v>
      </c>
      <c r="W117" s="372">
        <v>0</v>
      </c>
      <c r="X117" s="372">
        <v>0</v>
      </c>
      <c r="Y117" s="372">
        <v>0</v>
      </c>
      <c r="Z117" s="372">
        <v>0</v>
      </c>
      <c r="AA117" s="372">
        <v>0</v>
      </c>
      <c r="AB117" s="372">
        <v>0</v>
      </c>
      <c r="AC117" s="372">
        <v>0</v>
      </c>
      <c r="AD117" s="372">
        <v>0</v>
      </c>
      <c r="AE117" s="372">
        <v>0</v>
      </c>
      <c r="AF117" s="372">
        <v>0</v>
      </c>
      <c r="AG117" s="372">
        <v>0</v>
      </c>
      <c r="AH117" s="372">
        <v>0</v>
      </c>
      <c r="AI117" s="372">
        <v>0</v>
      </c>
    </row>
    <row r="118" spans="1:35" x14ac:dyDescent="0.25">
      <c r="A118" s="361" t="s">
        <v>279</v>
      </c>
      <c r="B118" s="361">
        <v>440</v>
      </c>
      <c r="C118" s="361" t="s">
        <v>278</v>
      </c>
      <c r="D118" s="361">
        <v>114</v>
      </c>
      <c r="E118" s="361">
        <v>12</v>
      </c>
      <c r="F118" s="361" t="s">
        <v>2374</v>
      </c>
      <c r="G118" s="372">
        <v>34608863.2967638</v>
      </c>
      <c r="H118" s="372">
        <v>34622178.593726091</v>
      </c>
      <c r="I118" s="372">
        <v>34534617.875094354</v>
      </c>
      <c r="J118" s="372">
        <v>34371173.073071375</v>
      </c>
      <c r="K118" s="372">
        <v>34169776.865571506</v>
      </c>
      <c r="L118" s="372">
        <v>33958801.50983505</v>
      </c>
      <c r="M118" s="372">
        <v>35707665.66959206</v>
      </c>
      <c r="N118" s="372">
        <v>38668984.05395373</v>
      </c>
      <c r="O118" s="372">
        <v>41556465.151962578</v>
      </c>
      <c r="P118" s="372">
        <v>41084947.672868937</v>
      </c>
      <c r="Q118" s="372">
        <v>42659186.112524174</v>
      </c>
      <c r="R118" s="372">
        <v>45442455.22244817</v>
      </c>
      <c r="S118" s="372">
        <v>48514705.801770091</v>
      </c>
      <c r="T118" s="372">
        <v>53627459.496857576</v>
      </c>
      <c r="U118" s="372">
        <v>57140102.619434446</v>
      </c>
      <c r="V118" s="372">
        <v>61555551.433642738</v>
      </c>
      <c r="W118" s="372">
        <v>66114629.098147221</v>
      </c>
      <c r="X118" s="372">
        <v>73444727.870016754</v>
      </c>
      <c r="Y118" s="372">
        <v>75374912.576391652</v>
      </c>
      <c r="Z118" s="372">
        <v>64208749.927771807</v>
      </c>
      <c r="AA118" s="372">
        <v>65261657.625554577</v>
      </c>
      <c r="AB118" s="372">
        <v>69205504.902782053</v>
      </c>
      <c r="AC118" s="372">
        <v>71853967.747854188</v>
      </c>
      <c r="AD118" s="372">
        <v>74367836.917689443</v>
      </c>
      <c r="AE118" s="372">
        <v>76998662.974376917</v>
      </c>
      <c r="AF118" s="372">
        <v>78554519.51418218</v>
      </c>
      <c r="AG118" s="372">
        <v>80403049.783543453</v>
      </c>
      <c r="AH118" s="372">
        <v>83731694.615173876</v>
      </c>
      <c r="AI118" s="372">
        <v>86657019.458812833</v>
      </c>
    </row>
    <row r="119" spans="1:35" x14ac:dyDescent="0.25">
      <c r="A119" s="361" t="s">
        <v>281</v>
      </c>
      <c r="B119" s="361">
        <v>442</v>
      </c>
      <c r="C119" s="367" t="s">
        <v>280</v>
      </c>
      <c r="D119" s="361">
        <v>115</v>
      </c>
      <c r="E119" s="361">
        <v>11</v>
      </c>
      <c r="F119" s="361" t="s">
        <v>2374</v>
      </c>
      <c r="G119" s="375">
        <v>22001441.204933017</v>
      </c>
      <c r="H119" s="372">
        <v>23903287.602155712</v>
      </c>
      <c r="I119" s="372">
        <v>24338244.457406167</v>
      </c>
      <c r="J119" s="372">
        <v>25360608.483652662</v>
      </c>
      <c r="K119" s="372">
        <v>26329617.330332674</v>
      </c>
      <c r="L119" s="372">
        <v>26706710.182819061</v>
      </c>
      <c r="M119" s="372">
        <v>27077513.718921684</v>
      </c>
      <c r="N119" s="372">
        <v>28623563.147539619</v>
      </c>
      <c r="O119" s="372">
        <v>30353757.777435832</v>
      </c>
      <c r="P119" s="372">
        <v>32928060.831957437</v>
      </c>
      <c r="Q119" s="372">
        <v>35641266.895964965</v>
      </c>
      <c r="R119" s="372">
        <v>36543694.836044602</v>
      </c>
      <c r="S119" s="372">
        <v>37939470.223014891</v>
      </c>
      <c r="T119" s="372">
        <v>38557613.098310888</v>
      </c>
      <c r="U119" s="372">
        <v>39950382.217285261</v>
      </c>
      <c r="V119" s="372">
        <v>41217785.214699909</v>
      </c>
      <c r="W119" s="372">
        <v>43352242.437361889</v>
      </c>
      <c r="X119" s="372">
        <v>46974128.599110186</v>
      </c>
      <c r="Y119" s="372">
        <v>46373054.426779121</v>
      </c>
      <c r="Z119" s="372">
        <v>44351835.227951296</v>
      </c>
      <c r="AA119" s="372">
        <v>46509538.067720011</v>
      </c>
      <c r="AB119" s="372">
        <v>47690524.461964943</v>
      </c>
      <c r="AC119" s="372">
        <v>47522406.130306825</v>
      </c>
      <c r="AD119" s="372">
        <v>49259050.866199695</v>
      </c>
      <c r="AE119" s="372">
        <v>51375607.076813549</v>
      </c>
      <c r="AF119" s="372">
        <v>53387456.721094191</v>
      </c>
      <c r="AG119" s="372">
        <v>54674858.288357742</v>
      </c>
      <c r="AH119" s="372">
        <v>55519946.036327191</v>
      </c>
      <c r="AI119" s="372">
        <v>56964949.206429824</v>
      </c>
    </row>
    <row r="120" spans="1:35" x14ac:dyDescent="0.25">
      <c r="A120" s="361" t="s">
        <v>283</v>
      </c>
      <c r="B120" s="361">
        <v>446</v>
      </c>
      <c r="C120" s="361" t="s">
        <v>282</v>
      </c>
      <c r="D120" s="361">
        <v>116</v>
      </c>
      <c r="E120" s="361">
        <v>20</v>
      </c>
      <c r="F120" s="361" t="s">
        <v>2374</v>
      </c>
      <c r="G120" s="372">
        <v>13883110.543563653</v>
      </c>
      <c r="H120" s="372">
        <v>14391115.825697312</v>
      </c>
      <c r="I120" s="372">
        <v>16305053.801850423</v>
      </c>
      <c r="J120" s="372">
        <v>17150628.263659373</v>
      </c>
      <c r="K120" s="372">
        <v>17880101.388231669</v>
      </c>
      <c r="L120" s="372">
        <v>18469361.091304775</v>
      </c>
      <c r="M120" s="372">
        <v>18392070.300655056</v>
      </c>
      <c r="N120" s="372">
        <v>18340708.258150648</v>
      </c>
      <c r="O120" s="372">
        <v>17502235.300610796</v>
      </c>
      <c r="P120" s="372">
        <v>17089522.296692714</v>
      </c>
      <c r="Q120" s="372">
        <v>18071676.852235258</v>
      </c>
      <c r="R120" s="372">
        <v>18593554.840382975</v>
      </c>
      <c r="S120" s="372">
        <v>20257123.503234837</v>
      </c>
      <c r="T120" s="372">
        <v>22617960.794554949</v>
      </c>
      <c r="U120" s="372">
        <v>28669268.18813733</v>
      </c>
      <c r="V120" s="372">
        <v>30980064.647049606</v>
      </c>
      <c r="W120" s="372">
        <v>35104717.41729933</v>
      </c>
      <c r="X120" s="372">
        <v>40176512.675532319</v>
      </c>
      <c r="Y120" s="372">
        <v>41540001.495199248</v>
      </c>
      <c r="Z120" s="372">
        <v>42088799.139064714</v>
      </c>
      <c r="AA120" s="372">
        <v>52722063.14757435</v>
      </c>
      <c r="AB120" s="372">
        <v>64148218.365291938</v>
      </c>
      <c r="AC120" s="372">
        <v>70073845.6484375</v>
      </c>
      <c r="AD120" s="372">
        <v>77922163.924625978</v>
      </c>
      <c r="AE120" s="372">
        <v>76986251.722463608</v>
      </c>
      <c r="AF120" s="372">
        <v>60361465.077241674</v>
      </c>
      <c r="AG120" s="372">
        <v>59843550.719383687</v>
      </c>
      <c r="AH120" s="372">
        <v>65650764.547623567</v>
      </c>
      <c r="AI120" s="372">
        <v>68741735.568564251</v>
      </c>
    </row>
    <row r="121" spans="1:35" x14ac:dyDescent="0.25">
      <c r="A121" s="361" t="s">
        <v>285</v>
      </c>
      <c r="B121" s="361">
        <v>807</v>
      </c>
      <c r="C121" s="361" t="s">
        <v>284</v>
      </c>
      <c r="D121" s="361">
        <v>210</v>
      </c>
      <c r="E121" s="361">
        <v>12</v>
      </c>
      <c r="F121" s="361" t="s">
        <v>2374</v>
      </c>
      <c r="G121" s="372">
        <v>19229865.757125806</v>
      </c>
      <c r="H121" s="372">
        <v>18043235.422419611</v>
      </c>
      <c r="I121" s="372">
        <v>16858661.169204451</v>
      </c>
      <c r="J121" s="372">
        <v>15599442.025795542</v>
      </c>
      <c r="K121" s="372">
        <v>15325177.91163132</v>
      </c>
      <c r="L121" s="372">
        <v>15154343.909273509</v>
      </c>
      <c r="M121" s="372">
        <v>15333938.628254173</v>
      </c>
      <c r="N121" s="372">
        <v>15554744.482665394</v>
      </c>
      <c r="O121" s="372">
        <v>16080298.179329433</v>
      </c>
      <c r="P121" s="372">
        <v>16778026.805836368</v>
      </c>
      <c r="Q121" s="372">
        <v>17541282.026923332</v>
      </c>
      <c r="R121" s="372">
        <v>17003245.891927388</v>
      </c>
      <c r="S121" s="372">
        <v>17257217.50493934</v>
      </c>
      <c r="T121" s="372">
        <v>17640776.707212146</v>
      </c>
      <c r="U121" s="372">
        <v>18465385.106606428</v>
      </c>
      <c r="V121" s="372">
        <v>19337640.611873098</v>
      </c>
      <c r="W121" s="372">
        <v>20331020.075752243</v>
      </c>
      <c r="X121" s="372">
        <v>21647145.988356523</v>
      </c>
      <c r="Y121" s="372">
        <v>22831678.117768481</v>
      </c>
      <c r="Z121" s="372">
        <v>22749800.327940386</v>
      </c>
      <c r="AA121" s="372">
        <v>23513909.441588785</v>
      </c>
      <c r="AB121" s="372">
        <v>24064108.127294272</v>
      </c>
      <c r="AC121" s="372">
        <v>23954394.396667037</v>
      </c>
      <c r="AD121" s="372">
        <v>24654994.933672361</v>
      </c>
      <c r="AE121" s="372">
        <v>25549882.81422843</v>
      </c>
      <c r="AF121" s="372">
        <v>26534986.728140257</v>
      </c>
      <c r="AG121" s="372">
        <v>27290820.291821349</v>
      </c>
      <c r="AH121" s="372">
        <v>27356460.449516617</v>
      </c>
      <c r="AI121" s="372">
        <v>28085398.475803949</v>
      </c>
    </row>
    <row r="122" spans="1:35" x14ac:dyDescent="0.25">
      <c r="A122" s="361" t="s">
        <v>287</v>
      </c>
      <c r="B122" s="361">
        <v>450</v>
      </c>
      <c r="C122" s="361" t="s">
        <v>286</v>
      </c>
      <c r="D122" s="361">
        <v>117</v>
      </c>
      <c r="E122" s="361">
        <v>9</v>
      </c>
      <c r="F122" s="361" t="s">
        <v>2374</v>
      </c>
      <c r="G122" s="372">
        <v>19174383.377574481</v>
      </c>
      <c r="H122" s="372">
        <v>17964569.063701406</v>
      </c>
      <c r="I122" s="372">
        <v>18177656.210423805</v>
      </c>
      <c r="J122" s="372">
        <v>18558761.646612894</v>
      </c>
      <c r="K122" s="372">
        <v>18545472.040971249</v>
      </c>
      <c r="L122" s="372">
        <v>18863010.056775685</v>
      </c>
      <c r="M122" s="372">
        <v>19268360.118434913</v>
      </c>
      <c r="N122" s="372">
        <v>19980035.57475134</v>
      </c>
      <c r="O122" s="372">
        <v>20765717.794949986</v>
      </c>
      <c r="P122" s="372">
        <v>21733216.613039404</v>
      </c>
      <c r="Q122" s="372">
        <v>22767731.871907633</v>
      </c>
      <c r="R122" s="372">
        <v>24137853.996525511</v>
      </c>
      <c r="S122" s="372">
        <v>21078673.520361509</v>
      </c>
      <c r="T122" s="372">
        <v>23141198.987044711</v>
      </c>
      <c r="U122" s="372">
        <v>24357732.651851047</v>
      </c>
      <c r="V122" s="372">
        <v>25478894.719594598</v>
      </c>
      <c r="W122" s="372">
        <v>26758599.469895948</v>
      </c>
      <c r="X122" s="372">
        <v>28428490.862246823</v>
      </c>
      <c r="Y122" s="372">
        <v>30455019.682243209</v>
      </c>
      <c r="Z122" s="372">
        <v>29232597.651732109</v>
      </c>
      <c r="AA122" s="372">
        <v>29309511.789557893</v>
      </c>
      <c r="AB122" s="372">
        <v>29735787.033419006</v>
      </c>
      <c r="AC122" s="372">
        <v>30636040.392169505</v>
      </c>
      <c r="AD122" s="372">
        <v>31326945.612866849</v>
      </c>
      <c r="AE122" s="372">
        <v>32365701.443601381</v>
      </c>
      <c r="AF122" s="372">
        <v>33374415.657156732</v>
      </c>
      <c r="AG122" s="372">
        <v>34769462.972836852</v>
      </c>
      <c r="AH122" s="372">
        <v>36266941.943132475</v>
      </c>
      <c r="AI122" s="372">
        <v>38148368.88588538</v>
      </c>
    </row>
    <row r="123" spans="1:35" x14ac:dyDescent="0.25">
      <c r="A123" s="361" t="s">
        <v>289</v>
      </c>
      <c r="B123" s="361">
        <v>454</v>
      </c>
      <c r="C123" s="361" t="s">
        <v>288</v>
      </c>
      <c r="D123" s="361">
        <v>118</v>
      </c>
      <c r="E123" s="361">
        <v>26</v>
      </c>
      <c r="F123" s="361" t="s">
        <v>2374</v>
      </c>
      <c r="G123" s="372">
        <v>7023399.3906739587</v>
      </c>
      <c r="H123" s="372">
        <v>7636558.4397292687</v>
      </c>
      <c r="I123" s="372">
        <v>7076571.2790527437</v>
      </c>
      <c r="J123" s="372">
        <v>7762421.263856017</v>
      </c>
      <c r="K123" s="372">
        <v>6967535.2194867646</v>
      </c>
      <c r="L123" s="372">
        <v>8133121.4770131679</v>
      </c>
      <c r="M123" s="372">
        <v>8728196.0724045988</v>
      </c>
      <c r="N123" s="372">
        <v>9059205.8472493794</v>
      </c>
      <c r="O123" s="372">
        <v>9412084.8918306604</v>
      </c>
      <c r="P123" s="372">
        <v>9698426.688433148</v>
      </c>
      <c r="Q123" s="372">
        <v>9851281.4420408588</v>
      </c>
      <c r="R123" s="372">
        <v>9361183.7518829107</v>
      </c>
      <c r="S123" s="372">
        <v>9520323.8769409191</v>
      </c>
      <c r="T123" s="372">
        <v>10063519.230638687</v>
      </c>
      <c r="U123" s="372">
        <v>10609012.058436543</v>
      </c>
      <c r="V123" s="372">
        <v>10955791.575641235</v>
      </c>
      <c r="W123" s="372">
        <v>11470713.778822768</v>
      </c>
      <c r="X123" s="372">
        <v>12571902.301888933</v>
      </c>
      <c r="Y123" s="372">
        <v>13532362.54525076</v>
      </c>
      <c r="Z123" s="372">
        <v>14659352.621000621</v>
      </c>
      <c r="AA123" s="372">
        <v>15667046.141835695</v>
      </c>
      <c r="AB123" s="372">
        <v>16427533.195510225</v>
      </c>
      <c r="AC123" s="372">
        <v>16737323.535575768</v>
      </c>
      <c r="AD123" s="372">
        <v>17607664.359150462</v>
      </c>
      <c r="AE123" s="372">
        <v>18611301.228286218</v>
      </c>
      <c r="AF123" s="372">
        <v>19132417.662492741</v>
      </c>
      <c r="AG123" s="372">
        <v>19607674.690045159</v>
      </c>
      <c r="AH123" s="372">
        <v>20391987.661228981</v>
      </c>
      <c r="AI123" s="372">
        <v>21105707.229371995</v>
      </c>
    </row>
    <row r="124" spans="1:35" x14ac:dyDescent="0.25">
      <c r="A124" s="361" t="s">
        <v>291</v>
      </c>
      <c r="B124" s="361">
        <v>458</v>
      </c>
      <c r="C124" s="361" t="s">
        <v>290</v>
      </c>
      <c r="D124" s="361">
        <v>119</v>
      </c>
      <c r="E124" s="361">
        <v>21</v>
      </c>
      <c r="F124" s="361" t="s">
        <v>2374</v>
      </c>
      <c r="G124" s="372">
        <v>190334211.37656847</v>
      </c>
      <c r="H124" s="372">
        <v>208502501.47052547</v>
      </c>
      <c r="I124" s="372">
        <v>227028194.71755776</v>
      </c>
      <c r="J124" s="372">
        <v>249492505.98570573</v>
      </c>
      <c r="K124" s="372">
        <v>272475859.92312771</v>
      </c>
      <c r="L124" s="372">
        <v>299257744.29331326</v>
      </c>
      <c r="M124" s="372">
        <v>329191600.77391034</v>
      </c>
      <c r="N124" s="372">
        <v>353297451.86295903</v>
      </c>
      <c r="O124" s="372">
        <v>327296825.51377314</v>
      </c>
      <c r="P124" s="372">
        <v>347385034.80280465</v>
      </c>
      <c r="Q124" s="372">
        <v>378159417.10245931</v>
      </c>
      <c r="R124" s="372">
        <v>380117055.07289165</v>
      </c>
      <c r="S124" s="372">
        <v>400609121.03280729</v>
      </c>
      <c r="T124" s="372">
        <v>423798377.13347608</v>
      </c>
      <c r="U124" s="372">
        <v>452546476.16349709</v>
      </c>
      <c r="V124" s="372">
        <v>476676883.98636085</v>
      </c>
      <c r="W124" s="372">
        <v>503298558.98267341</v>
      </c>
      <c r="X124" s="372">
        <v>535000257.80064768</v>
      </c>
      <c r="Y124" s="372">
        <v>560850239.15243971</v>
      </c>
      <c r="Z124" s="372">
        <v>552361609.71283972</v>
      </c>
      <c r="AA124" s="372">
        <v>593373616.25247133</v>
      </c>
      <c r="AB124" s="372">
        <v>624786298.31378734</v>
      </c>
      <c r="AC124" s="372">
        <v>658983690.1517297</v>
      </c>
      <c r="AD124" s="372">
        <v>689914556.02082515</v>
      </c>
      <c r="AE124" s="372">
        <v>731355805.09352946</v>
      </c>
      <c r="AF124" s="372">
        <v>768592900.88479054</v>
      </c>
      <c r="AG124" s="372">
        <v>801053731.8140403</v>
      </c>
      <c r="AH124" s="372">
        <v>848291944.81863248</v>
      </c>
      <c r="AI124" s="372">
        <v>888362148.71467376</v>
      </c>
    </row>
    <row r="125" spans="1:35" x14ac:dyDescent="0.25">
      <c r="A125" s="361" t="s">
        <v>293</v>
      </c>
      <c r="B125" s="361">
        <v>462</v>
      </c>
      <c r="C125" s="361" t="s">
        <v>292</v>
      </c>
      <c r="D125" s="361">
        <v>120</v>
      </c>
      <c r="E125" s="361">
        <v>25</v>
      </c>
      <c r="F125" s="361" t="s">
        <v>2374</v>
      </c>
      <c r="G125" s="372">
        <v>1735534.8201331948</v>
      </c>
      <c r="H125" s="372">
        <v>1786809.6167756554</v>
      </c>
      <c r="I125" s="372">
        <v>1837470.0180086275</v>
      </c>
      <c r="J125" s="372">
        <v>1886777.1939093096</v>
      </c>
      <c r="K125" s="372">
        <v>1933307.9247316727</v>
      </c>
      <c r="L125" s="372">
        <v>1976478.9236945573</v>
      </c>
      <c r="M125" s="372">
        <v>2131803.4239002229</v>
      </c>
      <c r="N125" s="372">
        <v>2310831.0140485144</v>
      </c>
      <c r="O125" s="372">
        <v>2484020.4737868756</v>
      </c>
      <c r="P125" s="372">
        <v>2637425.028943968</v>
      </c>
      <c r="Q125" s="372">
        <v>2738855.3947892184</v>
      </c>
      <c r="R125" s="372">
        <v>2630844.9525311599</v>
      </c>
      <c r="S125" s="372">
        <v>2822064.9269855218</v>
      </c>
      <c r="T125" s="372">
        <v>3210100.2604126008</v>
      </c>
      <c r="U125" s="372">
        <v>3403789.8148399373</v>
      </c>
      <c r="V125" s="372">
        <v>2956904.4313874012</v>
      </c>
      <c r="W125" s="372">
        <v>3728996.339821537</v>
      </c>
      <c r="X125" s="372">
        <v>4016646.1680101138</v>
      </c>
      <c r="Y125" s="372">
        <v>4397638.418844264</v>
      </c>
      <c r="Z125" s="372">
        <v>4079740.1093291244</v>
      </c>
      <c r="AA125" s="372">
        <v>4376138.4939272236</v>
      </c>
      <c r="AB125" s="372">
        <v>4751030.6176278079</v>
      </c>
      <c r="AC125" s="372">
        <v>4870632.2994848248</v>
      </c>
      <c r="AD125" s="372">
        <v>5225266.6404553186</v>
      </c>
      <c r="AE125" s="372">
        <v>5608258.1178129064</v>
      </c>
      <c r="AF125" s="372">
        <v>5770032.1102780383</v>
      </c>
      <c r="AG125" s="372">
        <v>6190620.5020993184</v>
      </c>
      <c r="AH125" s="372">
        <v>6618497.2766907113</v>
      </c>
      <c r="AI125" s="372">
        <v>7019130.494660466</v>
      </c>
    </row>
    <row r="126" spans="1:35" x14ac:dyDescent="0.25">
      <c r="A126" s="361" t="s">
        <v>295</v>
      </c>
      <c r="B126" s="361">
        <v>466</v>
      </c>
      <c r="C126" s="361" t="s">
        <v>294</v>
      </c>
      <c r="D126" s="361">
        <v>121</v>
      </c>
      <c r="E126" s="361">
        <v>8</v>
      </c>
      <c r="F126" s="361" t="s">
        <v>2374</v>
      </c>
      <c r="G126" s="372">
        <v>10765975.955339324</v>
      </c>
      <c r="H126" s="372">
        <v>12030461.771639632</v>
      </c>
      <c r="I126" s="372">
        <v>11643241.811185082</v>
      </c>
      <c r="J126" s="372">
        <v>12012585.02272596</v>
      </c>
      <c r="K126" s="372">
        <v>12466652.814406585</v>
      </c>
      <c r="L126" s="372">
        <v>12581473.479069721</v>
      </c>
      <c r="M126" s="372">
        <v>13469195.248429487</v>
      </c>
      <c r="N126" s="372">
        <v>14119625.965290459</v>
      </c>
      <c r="O126" s="372">
        <v>15188717.115379676</v>
      </c>
      <c r="P126" s="372">
        <v>16054617.319921998</v>
      </c>
      <c r="Q126" s="372">
        <v>16044850.498000721</v>
      </c>
      <c r="R126" s="372">
        <v>18511945.131238166</v>
      </c>
      <c r="S126" s="372">
        <v>19086983.210466053</v>
      </c>
      <c r="T126" s="372">
        <v>20827533.225068945</v>
      </c>
      <c r="U126" s="372">
        <v>21152442.464402486</v>
      </c>
      <c r="V126" s="372">
        <v>22534704.375632938</v>
      </c>
      <c r="W126" s="372">
        <v>23585314.406435136</v>
      </c>
      <c r="X126" s="372">
        <v>24409294.915380575</v>
      </c>
      <c r="Y126" s="372">
        <v>25574443.982595839</v>
      </c>
      <c r="Z126" s="372">
        <v>26771089.018846132</v>
      </c>
      <c r="AA126" s="372">
        <v>28220329.132256757</v>
      </c>
      <c r="AB126" s="372">
        <v>29134739.169079199</v>
      </c>
      <c r="AC126" s="372">
        <v>28891120.637587037</v>
      </c>
      <c r="AD126" s="372">
        <v>29556652.103829391</v>
      </c>
      <c r="AE126" s="372">
        <v>31638432.393378526</v>
      </c>
      <c r="AF126" s="372">
        <v>33524899.738793708</v>
      </c>
      <c r="AG126" s="372">
        <v>35469343.921984963</v>
      </c>
      <c r="AH126" s="372">
        <v>37384688.530389592</v>
      </c>
      <c r="AI126" s="372">
        <v>39216536.677832574</v>
      </c>
    </row>
    <row r="127" spans="1:35" x14ac:dyDescent="0.25">
      <c r="A127" s="361" t="s">
        <v>297</v>
      </c>
      <c r="B127" s="361">
        <v>470</v>
      </c>
      <c r="C127" s="361" t="s">
        <v>296</v>
      </c>
      <c r="D127" s="361">
        <v>122</v>
      </c>
      <c r="E127" s="361">
        <v>11</v>
      </c>
      <c r="F127" s="361" t="s">
        <v>2374</v>
      </c>
      <c r="G127" s="372">
        <v>5724207.4477656791</v>
      </c>
      <c r="H127" s="372">
        <v>6082342.0334999477</v>
      </c>
      <c r="I127" s="372">
        <v>6367660.5884909853</v>
      </c>
      <c r="J127" s="372">
        <v>6652979.4994827462</v>
      </c>
      <c r="K127" s="372">
        <v>7028946.3391536372</v>
      </c>
      <c r="L127" s="372">
        <v>7474756.7815775396</v>
      </c>
      <c r="M127" s="372">
        <v>7757103.4425794436</v>
      </c>
      <c r="N127" s="372">
        <v>8164892.8303810423</v>
      </c>
      <c r="O127" s="372">
        <v>8583392.6777669974</v>
      </c>
      <c r="P127" s="372">
        <v>8988526.6562172547</v>
      </c>
      <c r="Q127" s="372">
        <v>9597067.3405848891</v>
      </c>
      <c r="R127" s="372">
        <v>9655451.4582440592</v>
      </c>
      <c r="S127" s="372">
        <v>9943456.0386481397</v>
      </c>
      <c r="T127" s="372">
        <v>10196394.54838497</v>
      </c>
      <c r="U127" s="372">
        <v>10241606.639499087</v>
      </c>
      <c r="V127" s="372">
        <v>10629113.420425957</v>
      </c>
      <c r="W127" s="372">
        <v>10823489.812144909</v>
      </c>
      <c r="X127" s="372">
        <v>11254962.681674875</v>
      </c>
      <c r="Y127" s="372">
        <v>11631611.440720012</v>
      </c>
      <c r="Z127" s="372">
        <v>11345208.863544386</v>
      </c>
      <c r="AA127" s="372">
        <v>11747133.673527336</v>
      </c>
      <c r="AB127" s="372">
        <v>11904200.72004539</v>
      </c>
      <c r="AC127" s="372">
        <v>12223586.903584247</v>
      </c>
      <c r="AD127" s="372">
        <v>12778538.367884692</v>
      </c>
      <c r="AE127" s="372">
        <v>13868863.326257197</v>
      </c>
      <c r="AF127" s="372">
        <v>15347431.357578907</v>
      </c>
      <c r="AG127" s="372">
        <v>16222945.550686251</v>
      </c>
      <c r="AH127" s="372">
        <v>17310776.852977946</v>
      </c>
      <c r="AI127" s="372">
        <v>18445105.611681536</v>
      </c>
    </row>
    <row r="128" spans="1:35" x14ac:dyDescent="0.25">
      <c r="A128" s="361" t="s">
        <v>299</v>
      </c>
      <c r="B128" s="361">
        <v>584</v>
      </c>
      <c r="C128" s="361" t="s">
        <v>298</v>
      </c>
      <c r="D128" s="361">
        <v>150</v>
      </c>
      <c r="E128" s="361">
        <v>24</v>
      </c>
      <c r="F128" s="361" t="s">
        <v>2374</v>
      </c>
      <c r="G128" s="372">
        <v>137536.95420315675</v>
      </c>
      <c r="H128" s="372">
        <v>137657.83371182886</v>
      </c>
      <c r="I128" s="372">
        <v>147487.7055098197</v>
      </c>
      <c r="J128" s="372">
        <v>156346.17960667805</v>
      </c>
      <c r="K128" s="372">
        <v>165535.76386285757</v>
      </c>
      <c r="L128" s="372">
        <v>179131.59313720855</v>
      </c>
      <c r="M128" s="372">
        <v>160675.78452399035</v>
      </c>
      <c r="N128" s="372">
        <v>150319.15222789976</v>
      </c>
      <c r="O128" s="372">
        <v>146043.75616241456</v>
      </c>
      <c r="P128" s="372">
        <v>142542.8612787817</v>
      </c>
      <c r="Q128" s="372">
        <v>150939.62549973282</v>
      </c>
      <c r="R128" s="372">
        <v>159035.06327535512</v>
      </c>
      <c r="S128" s="372">
        <v>163195.18764442622</v>
      </c>
      <c r="T128" s="372">
        <v>163472.83666022142</v>
      </c>
      <c r="U128" s="372">
        <v>163666.61772824722</v>
      </c>
      <c r="V128" s="372">
        <v>168438.24286953872</v>
      </c>
      <c r="W128" s="372">
        <v>170858.200785933</v>
      </c>
      <c r="X128" s="372">
        <v>177099.94506516692</v>
      </c>
      <c r="Y128" s="372">
        <v>174186.87352422075</v>
      </c>
      <c r="Z128" s="372">
        <v>171337.23257081484</v>
      </c>
      <c r="AA128" s="372">
        <v>182394.71678110296</v>
      </c>
      <c r="AB128" s="372">
        <v>184595.34692918518</v>
      </c>
      <c r="AC128" s="372">
        <v>190978.4080773202</v>
      </c>
      <c r="AD128" s="372">
        <v>196440.54183464448</v>
      </c>
      <c r="AE128" s="372">
        <v>194953.59925992804</v>
      </c>
      <c r="AF128" s="372">
        <v>194242.90251976659</v>
      </c>
      <c r="AG128" s="372">
        <v>197953.90343599842</v>
      </c>
      <c r="AH128" s="372">
        <v>205080.18663539135</v>
      </c>
      <c r="AI128" s="372">
        <v>210207.19130127606</v>
      </c>
    </row>
    <row r="129" spans="1:35" x14ac:dyDescent="0.25">
      <c r="A129" s="361" t="s">
        <v>301</v>
      </c>
      <c r="B129" s="361">
        <v>474</v>
      </c>
      <c r="C129" s="361" t="s">
        <v>296</v>
      </c>
      <c r="D129" s="361">
        <v>123</v>
      </c>
      <c r="E129" s="361">
        <v>4</v>
      </c>
      <c r="F129" s="361" t="s">
        <v>2374</v>
      </c>
      <c r="G129" s="372">
        <v>0</v>
      </c>
      <c r="H129" s="372">
        <v>0</v>
      </c>
      <c r="I129" s="372">
        <v>0</v>
      </c>
      <c r="J129" s="372">
        <v>0</v>
      </c>
      <c r="K129" s="372">
        <v>0</v>
      </c>
      <c r="L129" s="372">
        <v>0</v>
      </c>
      <c r="M129" s="372">
        <v>0</v>
      </c>
      <c r="N129" s="372">
        <v>0</v>
      </c>
      <c r="O129" s="372">
        <v>0</v>
      </c>
      <c r="P129" s="372">
        <v>0</v>
      </c>
      <c r="Q129" s="372">
        <v>0</v>
      </c>
      <c r="R129" s="372">
        <v>0</v>
      </c>
      <c r="S129" s="372">
        <v>0</v>
      </c>
      <c r="T129" s="372">
        <v>0</v>
      </c>
      <c r="U129" s="372">
        <v>0</v>
      </c>
      <c r="V129" s="372">
        <v>0</v>
      </c>
      <c r="W129" s="372">
        <v>0</v>
      </c>
      <c r="X129" s="372">
        <v>0</v>
      </c>
      <c r="Y129" s="372">
        <v>0</v>
      </c>
      <c r="Z129" s="372">
        <v>0</v>
      </c>
      <c r="AA129" s="372">
        <v>0</v>
      </c>
      <c r="AB129" s="372">
        <v>0</v>
      </c>
      <c r="AC129" s="372">
        <v>0</v>
      </c>
      <c r="AD129" s="372">
        <v>0</v>
      </c>
      <c r="AE129" s="372">
        <v>0</v>
      </c>
      <c r="AF129" s="372">
        <v>0</v>
      </c>
      <c r="AG129" s="372">
        <v>0</v>
      </c>
      <c r="AH129" s="372">
        <v>0</v>
      </c>
      <c r="AI129" s="372">
        <v>0</v>
      </c>
    </row>
    <row r="130" spans="1:35" x14ac:dyDescent="0.25">
      <c r="A130" s="361" t="s">
        <v>303</v>
      </c>
      <c r="B130" s="361">
        <v>478</v>
      </c>
      <c r="C130" s="361" t="s">
        <v>302</v>
      </c>
      <c r="D130" s="361">
        <v>124</v>
      </c>
      <c r="E130" s="361">
        <v>8</v>
      </c>
      <c r="F130" s="361" t="s">
        <v>2374</v>
      </c>
      <c r="G130" s="372">
        <v>5698062.6171654193</v>
      </c>
      <c r="H130" s="372">
        <v>5799948.9406965952</v>
      </c>
      <c r="I130" s="372">
        <v>5908647.2856867537</v>
      </c>
      <c r="J130" s="372">
        <v>6255699.7936909851</v>
      </c>
      <c r="K130" s="372">
        <v>6064229.5819997238</v>
      </c>
      <c r="L130" s="372">
        <v>6659724.8263913719</v>
      </c>
      <c r="M130" s="372">
        <v>7047242.6662347224</v>
      </c>
      <c r="N130" s="372">
        <v>6762203.0801903922</v>
      </c>
      <c r="O130" s="372">
        <v>6950043.8900369685</v>
      </c>
      <c r="P130" s="372">
        <v>7486088.6412646947</v>
      </c>
      <c r="Q130" s="372">
        <v>7453868.0473976713</v>
      </c>
      <c r="R130" s="372">
        <v>7603601.1194997188</v>
      </c>
      <c r="S130" s="372">
        <v>7654165.3829710381</v>
      </c>
      <c r="T130" s="372">
        <v>8111750.7812425699</v>
      </c>
      <c r="U130" s="372">
        <v>8577967.4551508576</v>
      </c>
      <c r="V130" s="372">
        <v>9347361.5825058036</v>
      </c>
      <c r="W130" s="372">
        <v>11111124.524860587</v>
      </c>
      <c r="X130" s="372">
        <v>11424217.877545651</v>
      </c>
      <c r="Y130" s="372">
        <v>11547595.679695461</v>
      </c>
      <c r="Z130" s="372">
        <v>11427260.297852609</v>
      </c>
      <c r="AA130" s="372">
        <v>11972763.099859184</v>
      </c>
      <c r="AB130" s="372">
        <v>12535969.841730516</v>
      </c>
      <c r="AC130" s="372">
        <v>13262439.093661729</v>
      </c>
      <c r="AD130" s="372">
        <v>14070155.948687581</v>
      </c>
      <c r="AE130" s="372">
        <v>14855206.47043578</v>
      </c>
      <c r="AF130" s="372">
        <v>15063179.360569909</v>
      </c>
      <c r="AG130" s="372">
        <v>15364442.94781662</v>
      </c>
      <c r="AH130" s="372">
        <v>15829905.698669681</v>
      </c>
      <c r="AI130" s="372">
        <v>16399782.304739855</v>
      </c>
    </row>
    <row r="131" spans="1:35" x14ac:dyDescent="0.25">
      <c r="A131" s="361" t="s">
        <v>305</v>
      </c>
      <c r="B131" s="361">
        <v>480</v>
      </c>
      <c r="C131" s="361" t="s">
        <v>304</v>
      </c>
      <c r="D131" s="361">
        <v>125</v>
      </c>
      <c r="E131" s="361">
        <v>9</v>
      </c>
      <c r="F131" s="361" t="s">
        <v>2374</v>
      </c>
      <c r="G131" s="372">
        <v>8026335.2912658639</v>
      </c>
      <c r="H131" s="372">
        <v>8382339.0772303995</v>
      </c>
      <c r="I131" s="372">
        <v>8928255.5572838578</v>
      </c>
      <c r="J131" s="372">
        <v>9381995.123101132</v>
      </c>
      <c r="K131" s="372">
        <v>9770047.8485939708</v>
      </c>
      <c r="L131" s="372">
        <v>10188961.768037442</v>
      </c>
      <c r="M131" s="372">
        <v>10758305.044490892</v>
      </c>
      <c r="N131" s="372">
        <v>11370181.218695384</v>
      </c>
      <c r="O131" s="372">
        <v>12060571.816293582</v>
      </c>
      <c r="P131" s="372">
        <v>12375465.183979865</v>
      </c>
      <c r="Q131" s="372">
        <v>13390598.827739978</v>
      </c>
      <c r="R131" s="372">
        <v>13838854.570794925</v>
      </c>
      <c r="S131" s="372">
        <v>14062340.816022106</v>
      </c>
      <c r="T131" s="372">
        <v>14895597.156499559</v>
      </c>
      <c r="U131" s="372">
        <v>15540579.467724059</v>
      </c>
      <c r="V131" s="372">
        <v>15816819.957325092</v>
      </c>
      <c r="W131" s="372">
        <v>16586394.387538014</v>
      </c>
      <c r="X131" s="372">
        <v>17536299.872346483</v>
      </c>
      <c r="Y131" s="372">
        <v>18480973.780461501</v>
      </c>
      <c r="Z131" s="372">
        <v>19093632.289716154</v>
      </c>
      <c r="AA131" s="372">
        <v>19929399.378417343</v>
      </c>
      <c r="AB131" s="372">
        <v>20742028.226425458</v>
      </c>
      <c r="AC131" s="372">
        <v>21467194.083442952</v>
      </c>
      <c r="AD131" s="372">
        <v>22188578.982530195</v>
      </c>
      <c r="AE131" s="372">
        <v>23019447.136471596</v>
      </c>
      <c r="AF131" s="372">
        <v>23837344.599000074</v>
      </c>
      <c r="AG131" s="372">
        <v>24752205.83123352</v>
      </c>
      <c r="AH131" s="372">
        <v>25696292.611831974</v>
      </c>
      <c r="AI131" s="372">
        <v>26666024.161327668</v>
      </c>
    </row>
    <row r="132" spans="1:35" x14ac:dyDescent="0.25">
      <c r="A132" s="369" t="s">
        <v>307</v>
      </c>
      <c r="B132" s="361">
        <v>484</v>
      </c>
      <c r="C132" s="361" t="s">
        <v>306</v>
      </c>
      <c r="D132" s="361">
        <v>126</v>
      </c>
      <c r="E132" s="361">
        <v>3</v>
      </c>
      <c r="F132" s="361" t="s">
        <v>2353</v>
      </c>
      <c r="G132" s="372">
        <v>1139915109.8094366</v>
      </c>
      <c r="H132" s="372">
        <v>1187959737.0569465</v>
      </c>
      <c r="I132" s="372">
        <v>1230026608.0063791</v>
      </c>
      <c r="J132" s="372">
        <v>1253903341.4363308</v>
      </c>
      <c r="K132" s="372">
        <v>1315859717.1318405</v>
      </c>
      <c r="L132" s="372">
        <v>1233075945.0451877</v>
      </c>
      <c r="M132" s="372">
        <v>1316595368.7021379</v>
      </c>
      <c r="N132" s="372">
        <v>1406740708.7043822</v>
      </c>
      <c r="O132" s="372">
        <v>1479383746.208986</v>
      </c>
      <c r="P132" s="372">
        <v>1520119380.1892874</v>
      </c>
      <c r="Q132" s="372">
        <v>1595250576.9629357</v>
      </c>
      <c r="R132" s="372">
        <v>1588799541.1336865</v>
      </c>
      <c r="S132" s="372">
        <v>1588166492.1949475</v>
      </c>
      <c r="T132" s="372">
        <v>1611137457.3264389</v>
      </c>
      <c r="U132" s="372">
        <v>1674303564.4194851</v>
      </c>
      <c r="V132" s="372">
        <v>1712943260.3840642</v>
      </c>
      <c r="W132" s="372">
        <v>1789941394.2220182</v>
      </c>
      <c r="X132" s="372">
        <v>1830956929.5883648</v>
      </c>
      <c r="Y132" s="372">
        <v>1851895470.833298</v>
      </c>
      <c r="Z132" s="372">
        <v>1754009014.5637383</v>
      </c>
      <c r="AA132" s="372">
        <v>1843781268.1716924</v>
      </c>
      <c r="AB132" s="372">
        <v>1911319122.2274742</v>
      </c>
      <c r="AC132" s="372">
        <v>1980935532.0923321</v>
      </c>
      <c r="AD132" s="372">
        <v>2007759220.8952241</v>
      </c>
      <c r="AE132" s="372">
        <v>2064063618.4080586</v>
      </c>
      <c r="AF132" s="372">
        <v>2131929856.7861614</v>
      </c>
      <c r="AG132" s="372">
        <v>2194216642.7956486</v>
      </c>
      <c r="AH132" s="372">
        <v>2239630677.8357377</v>
      </c>
      <c r="AI132" s="372">
        <v>2284293545.4781671</v>
      </c>
    </row>
    <row r="133" spans="1:35" x14ac:dyDescent="0.25">
      <c r="A133" s="361" t="s">
        <v>309</v>
      </c>
      <c r="B133" s="361">
        <v>583</v>
      </c>
      <c r="C133" s="361" t="s">
        <v>308</v>
      </c>
      <c r="D133" s="361">
        <v>149</v>
      </c>
      <c r="E133" s="361">
        <v>24</v>
      </c>
      <c r="F133" s="361" t="s">
        <v>2374</v>
      </c>
      <c r="G133" s="372">
        <v>262122.12906072885</v>
      </c>
      <c r="H133" s="372">
        <v>281590.83401787665</v>
      </c>
      <c r="I133" s="372">
        <v>292877.03979013622</v>
      </c>
      <c r="J133" s="372">
        <v>316719.14948403457</v>
      </c>
      <c r="K133" s="372">
        <v>315026.21861819568</v>
      </c>
      <c r="L133" s="372">
        <v>337342.71544682875</v>
      </c>
      <c r="M133" s="372">
        <v>326846.12084591103</v>
      </c>
      <c r="N133" s="372">
        <v>307020.48963121552</v>
      </c>
      <c r="O133" s="372">
        <v>316095.16338240082</v>
      </c>
      <c r="P133" s="372">
        <v>320469.13242944004</v>
      </c>
      <c r="Q133" s="372">
        <v>335092.81032612879</v>
      </c>
      <c r="R133" s="372">
        <v>340947.52957048855</v>
      </c>
      <c r="S133" s="372">
        <v>342992.87221156631</v>
      </c>
      <c r="T133" s="372">
        <v>349670.35585672373</v>
      </c>
      <c r="U133" s="372">
        <v>338723.01841277623</v>
      </c>
      <c r="V133" s="372">
        <v>345689.71108084777</v>
      </c>
      <c r="W133" s="372">
        <v>345237.83961724088</v>
      </c>
      <c r="X133" s="372">
        <v>338462.87136972562</v>
      </c>
      <c r="Y133" s="372">
        <v>330956.69806574011</v>
      </c>
      <c r="Z133" s="372">
        <v>334852.69629832415</v>
      </c>
      <c r="AA133" s="372">
        <v>341690.0208327311</v>
      </c>
      <c r="AB133" s="372">
        <v>353126.61529690603</v>
      </c>
      <c r="AC133" s="372">
        <v>346101.23435881874</v>
      </c>
      <c r="AD133" s="372">
        <v>332746.83137879265</v>
      </c>
      <c r="AE133" s="372">
        <v>325572.61360208364</v>
      </c>
      <c r="AF133" s="372">
        <v>341628.228856128</v>
      </c>
      <c r="AG133" s="372">
        <v>344019.63478169759</v>
      </c>
      <c r="AH133" s="372">
        <v>355028.19989195955</v>
      </c>
      <c r="AI133" s="372">
        <v>359998.59469044709</v>
      </c>
    </row>
    <row r="134" spans="1:35" x14ac:dyDescent="0.25">
      <c r="A134" s="361" t="s">
        <v>311</v>
      </c>
      <c r="B134" s="361">
        <v>498</v>
      </c>
      <c r="C134" s="361" t="s">
        <v>310</v>
      </c>
      <c r="D134" s="361">
        <v>129</v>
      </c>
      <c r="E134" s="361">
        <v>14</v>
      </c>
      <c r="F134" s="361" t="s">
        <v>2374</v>
      </c>
      <c r="G134" s="372">
        <v>14997724.333432928</v>
      </c>
      <c r="H134" s="372">
        <v>14316483.669756979</v>
      </c>
      <c r="I134" s="372">
        <v>13635243.006081032</v>
      </c>
      <c r="J134" s="372">
        <v>12954002.342405085</v>
      </c>
      <c r="K134" s="372">
        <v>12272761.678729137</v>
      </c>
      <c r="L134" s="372">
        <v>11591521.015053188</v>
      </c>
      <c r="M134" s="372">
        <v>10910280.351377243</v>
      </c>
      <c r="N134" s="372">
        <v>11089979.70241826</v>
      </c>
      <c r="O134" s="372">
        <v>10364451.935272038</v>
      </c>
      <c r="P134" s="372">
        <v>10015350.822610954</v>
      </c>
      <c r="Q134" s="372">
        <v>10226445.979573023</v>
      </c>
      <c r="R134" s="372">
        <v>10850259.213053733</v>
      </c>
      <c r="S134" s="372">
        <v>11696579.408562846</v>
      </c>
      <c r="T134" s="372">
        <v>12468553.638547972</v>
      </c>
      <c r="U134" s="372">
        <v>13391226.587883309</v>
      </c>
      <c r="V134" s="372">
        <v>14395568.594741996</v>
      </c>
      <c r="W134" s="372">
        <v>15086555.86839379</v>
      </c>
      <c r="X134" s="372">
        <v>15539152.574449118</v>
      </c>
      <c r="Y134" s="372">
        <v>16751206.490832452</v>
      </c>
      <c r="Z134" s="372">
        <v>15746134.057973159</v>
      </c>
      <c r="AA134" s="372">
        <v>16864109.590644144</v>
      </c>
      <c r="AB134" s="372">
        <v>17845291.54927098</v>
      </c>
      <c r="AC134" s="372">
        <v>17740051.773561295</v>
      </c>
      <c r="AD134" s="372">
        <v>19344438.200619124</v>
      </c>
      <c r="AE134" s="372">
        <v>20311587.682009824</v>
      </c>
      <c r="AF134" s="372">
        <v>20242886.723270878</v>
      </c>
      <c r="AG134" s="372">
        <v>21135372.672472145</v>
      </c>
      <c r="AH134" s="372">
        <v>22126789.344857544</v>
      </c>
      <c r="AI134" s="372">
        <v>23011860.918651838</v>
      </c>
    </row>
    <row r="135" spans="1:35" x14ac:dyDescent="0.25">
      <c r="A135" s="361" t="s">
        <v>313</v>
      </c>
      <c r="B135" s="361">
        <v>492</v>
      </c>
      <c r="C135" s="367" t="s">
        <v>2511</v>
      </c>
      <c r="D135" s="361">
        <v>127</v>
      </c>
      <c r="E135" s="361">
        <v>11</v>
      </c>
      <c r="F135" s="361" t="s">
        <v>2374</v>
      </c>
      <c r="G135" s="375">
        <v>0</v>
      </c>
      <c r="H135" s="372">
        <v>0</v>
      </c>
      <c r="I135" s="372">
        <v>0</v>
      </c>
      <c r="J135" s="372">
        <v>0</v>
      </c>
      <c r="K135" s="372">
        <v>0</v>
      </c>
      <c r="L135" s="372">
        <v>0</v>
      </c>
      <c r="M135" s="372">
        <v>0</v>
      </c>
      <c r="N135" s="372">
        <v>0</v>
      </c>
      <c r="O135" s="372">
        <v>0</v>
      </c>
      <c r="P135" s="372">
        <v>0</v>
      </c>
      <c r="Q135" s="372">
        <v>0</v>
      </c>
      <c r="R135" s="372">
        <v>0</v>
      </c>
      <c r="S135" s="372">
        <v>0</v>
      </c>
      <c r="T135" s="372">
        <v>0</v>
      </c>
      <c r="U135" s="372">
        <v>0</v>
      </c>
      <c r="V135" s="372">
        <v>0</v>
      </c>
      <c r="W135" s="372">
        <v>0</v>
      </c>
      <c r="X135" s="372">
        <v>0</v>
      </c>
      <c r="Y135" s="372">
        <v>0</v>
      </c>
      <c r="Z135" s="372">
        <v>0</v>
      </c>
      <c r="AA135" s="372">
        <v>0</v>
      </c>
      <c r="AB135" s="372">
        <v>0</v>
      </c>
      <c r="AC135" s="372">
        <v>0</v>
      </c>
      <c r="AD135" s="372">
        <v>0</v>
      </c>
      <c r="AE135" s="372">
        <v>0</v>
      </c>
      <c r="AF135" s="372">
        <v>0</v>
      </c>
      <c r="AG135" s="372">
        <v>0</v>
      </c>
      <c r="AH135" s="372">
        <v>0</v>
      </c>
      <c r="AI135" s="372">
        <v>0</v>
      </c>
    </row>
    <row r="136" spans="1:35" x14ac:dyDescent="0.25">
      <c r="A136" s="361" t="s">
        <v>315</v>
      </c>
      <c r="B136" s="361">
        <v>496</v>
      </c>
      <c r="C136" s="361" t="s">
        <v>314</v>
      </c>
      <c r="D136" s="361">
        <v>128</v>
      </c>
      <c r="E136" s="361">
        <v>20</v>
      </c>
      <c r="F136" s="361" t="s">
        <v>2374</v>
      </c>
      <c r="G136" s="372">
        <v>11188351.797281159</v>
      </c>
      <c r="H136" s="372">
        <v>10215687.429073842</v>
      </c>
      <c r="I136" s="372">
        <v>9270075.8256965373</v>
      </c>
      <c r="J136" s="372">
        <v>8976326.4463447668</v>
      </c>
      <c r="K136" s="372">
        <v>9167915.6045399271</v>
      </c>
      <c r="L136" s="372">
        <v>9752501.0401552673</v>
      </c>
      <c r="M136" s="372">
        <v>9970478.5905001629</v>
      </c>
      <c r="N136" s="372">
        <v>10358999.584075155</v>
      </c>
      <c r="O136" s="372">
        <v>10704983.602563417</v>
      </c>
      <c r="P136" s="372">
        <v>11033666.101664102</v>
      </c>
      <c r="Q136" s="372">
        <v>11160118.771160452</v>
      </c>
      <c r="R136" s="372">
        <v>11489644.774806699</v>
      </c>
      <c r="S136" s="372">
        <v>12033447.18774497</v>
      </c>
      <c r="T136" s="372">
        <v>12876346.189963002</v>
      </c>
      <c r="U136" s="372">
        <v>14244510.24545091</v>
      </c>
      <c r="V136" s="372">
        <v>15277759.36229321</v>
      </c>
      <c r="W136" s="372">
        <v>16584960.32695026</v>
      </c>
      <c r="X136" s="372">
        <v>18284589.774396963</v>
      </c>
      <c r="Y136" s="372">
        <v>19911985.541806683</v>
      </c>
      <c r="Z136" s="372">
        <v>19659382.304187071</v>
      </c>
      <c r="AA136" s="372">
        <v>20910733.774092838</v>
      </c>
      <c r="AB136" s="372">
        <v>24526362.242088567</v>
      </c>
      <c r="AC136" s="372">
        <v>27547965.88570042</v>
      </c>
      <c r="AD136" s="372">
        <v>30757005.343744133</v>
      </c>
      <c r="AE136" s="372">
        <v>33182264.566461336</v>
      </c>
      <c r="AF136" s="372">
        <v>33971947.980149224</v>
      </c>
      <c r="AG136" s="372">
        <v>34368873.997283518</v>
      </c>
      <c r="AH136" s="372">
        <v>36190997.753653668</v>
      </c>
      <c r="AI136" s="372">
        <v>38705851.805942312</v>
      </c>
    </row>
    <row r="137" spans="1:35" x14ac:dyDescent="0.25">
      <c r="A137" s="361" t="s">
        <v>317</v>
      </c>
      <c r="B137" s="361">
        <v>500</v>
      </c>
      <c r="C137" s="367" t="s">
        <v>316</v>
      </c>
      <c r="D137" s="361">
        <v>130</v>
      </c>
      <c r="E137" s="361">
        <v>4</v>
      </c>
      <c r="F137" s="361" t="s">
        <v>2374</v>
      </c>
      <c r="G137" s="375">
        <v>343974.9755859375</v>
      </c>
      <c r="H137" s="372">
        <v>249157.31811523438</v>
      </c>
      <c r="I137" s="372">
        <v>229736.6943359375</v>
      </c>
      <c r="J137" s="372">
        <v>219993.01147460938</v>
      </c>
      <c r="K137" s="372">
        <v>218751.48010253906</v>
      </c>
      <c r="L137" s="372">
        <v>192777.29797363281</v>
      </c>
      <c r="M137" s="372">
        <v>134337.84484863281</v>
      </c>
      <c r="N137" s="372">
        <v>120108.68835449219</v>
      </c>
      <c r="O137" s="372">
        <v>95966.560363769531</v>
      </c>
      <c r="P137" s="372">
        <v>90672.271728515625</v>
      </c>
      <c r="Q137" s="372">
        <v>82912.315368652344</v>
      </c>
      <c r="R137" s="372">
        <v>77424.4384765625</v>
      </c>
      <c r="S137" s="372">
        <v>77924.980163574219</v>
      </c>
      <c r="T137" s="372">
        <v>76265.785217285156</v>
      </c>
      <c r="U137" s="372">
        <v>78000.465393066406</v>
      </c>
      <c r="V137" s="372">
        <v>82177.452087402344</v>
      </c>
      <c r="W137" s="372">
        <v>77009.384155273438</v>
      </c>
      <c r="X137" s="372">
        <v>78771.141052246094</v>
      </c>
      <c r="Y137" s="372">
        <v>84514.816284179688</v>
      </c>
      <c r="Z137" s="372">
        <v>72853.187561035156</v>
      </c>
      <c r="AA137" s="372">
        <v>76372.573852539063</v>
      </c>
      <c r="AB137" s="372">
        <v>91506.080627441406</v>
      </c>
      <c r="AC137" s="372">
        <v>84154.556274414063</v>
      </c>
      <c r="AD137" s="372">
        <v>84475.944519042969</v>
      </c>
      <c r="AE137" s="372">
        <v>89630.37109375</v>
      </c>
      <c r="AF137" s="372">
        <v>92633.196357139575</v>
      </c>
      <c r="AG137" s="372">
        <v>95265.19298511032</v>
      </c>
      <c r="AH137" s="372">
        <v>98772.612972803356</v>
      </c>
      <c r="AI137" s="372">
        <v>102280.03296049638</v>
      </c>
    </row>
    <row r="138" spans="1:35" x14ac:dyDescent="0.25">
      <c r="A138" s="361" t="s">
        <v>319</v>
      </c>
      <c r="B138" s="361">
        <v>504</v>
      </c>
      <c r="C138" s="361" t="s">
        <v>318</v>
      </c>
      <c r="D138" s="361">
        <v>131</v>
      </c>
      <c r="E138" s="361">
        <v>7</v>
      </c>
      <c r="F138" s="361" t="s">
        <v>2353</v>
      </c>
      <c r="G138" s="372">
        <v>98177236.990934968</v>
      </c>
      <c r="H138" s="372">
        <v>105261792.96661018</v>
      </c>
      <c r="I138" s="372">
        <v>103053675.53452443</v>
      </c>
      <c r="J138" s="372">
        <v>102290468.57519224</v>
      </c>
      <c r="K138" s="372">
        <v>113120983.79772638</v>
      </c>
      <c r="L138" s="372">
        <v>107006287.99172181</v>
      </c>
      <c r="M138" s="372">
        <v>120246043.61248606</v>
      </c>
      <c r="N138" s="372">
        <v>118369360.77675158</v>
      </c>
      <c r="O138" s="372">
        <v>126937589.32498318</v>
      </c>
      <c r="P138" s="372">
        <v>128310206.81143954</v>
      </c>
      <c r="Q138" s="372">
        <v>130764618.08893591</v>
      </c>
      <c r="R138" s="372">
        <v>140336545.57466435</v>
      </c>
      <c r="S138" s="372">
        <v>144717080.19375455</v>
      </c>
      <c r="T138" s="372">
        <v>153343900.00977135</v>
      </c>
      <c r="U138" s="372">
        <v>160699835.05049732</v>
      </c>
      <c r="V138" s="372">
        <v>165989494.5936819</v>
      </c>
      <c r="W138" s="372">
        <v>178562587.37786233</v>
      </c>
      <c r="X138" s="372">
        <v>184868693.27054617</v>
      </c>
      <c r="Y138" s="372">
        <v>195818979.32739577</v>
      </c>
      <c r="Z138" s="372">
        <v>204129061.59818384</v>
      </c>
      <c r="AA138" s="372">
        <v>211918050.77491331</v>
      </c>
      <c r="AB138" s="372">
        <v>223034630.23689285</v>
      </c>
      <c r="AC138" s="372">
        <v>229747886.20835844</v>
      </c>
      <c r="AD138" s="372">
        <v>240167927.43852937</v>
      </c>
      <c r="AE138" s="372">
        <v>246579195.67596871</v>
      </c>
      <c r="AF138" s="372">
        <v>257764960.47560176</v>
      </c>
      <c r="AG138" s="372">
        <v>260667335.80773252</v>
      </c>
      <c r="AH138" s="372">
        <v>271322130.92913508</v>
      </c>
      <c r="AI138" s="372">
        <v>279326302.06305313</v>
      </c>
    </row>
    <row r="139" spans="1:35" x14ac:dyDescent="0.25">
      <c r="A139" s="361" t="s">
        <v>321</v>
      </c>
      <c r="B139" s="361">
        <v>508</v>
      </c>
      <c r="C139" s="361" t="s">
        <v>320</v>
      </c>
      <c r="D139" s="361">
        <v>132</v>
      </c>
      <c r="E139" s="361">
        <v>26</v>
      </c>
      <c r="F139" s="361" t="s">
        <v>2374</v>
      </c>
      <c r="G139" s="372">
        <v>5014689.1912340019</v>
      </c>
      <c r="H139" s="372">
        <v>5260408.9184223711</v>
      </c>
      <c r="I139" s="372">
        <v>4985219.5375173623</v>
      </c>
      <c r="J139" s="372">
        <v>5422280.8046322335</v>
      </c>
      <c r="K139" s="372">
        <v>5756231.6227040766</v>
      </c>
      <c r="L139" s="372">
        <v>5885016.3710338846</v>
      </c>
      <c r="M139" s="372">
        <v>7464867.9604001082</v>
      </c>
      <c r="N139" s="372">
        <v>8274211.3065870339</v>
      </c>
      <c r="O139" s="372">
        <v>9255482.6242471281</v>
      </c>
      <c r="P139" s="372">
        <v>9979536.626015855</v>
      </c>
      <c r="Q139" s="372">
        <v>10147043.446152495</v>
      </c>
      <c r="R139" s="372">
        <v>11437845.374491436</v>
      </c>
      <c r="S139" s="372">
        <v>12443696.082781449</v>
      </c>
      <c r="T139" s="372">
        <v>13252611.820049055</v>
      </c>
      <c r="U139" s="372">
        <v>14287797.993501404</v>
      </c>
      <c r="V139" s="372">
        <v>15533789.403481083</v>
      </c>
      <c r="W139" s="372">
        <v>17064031.613388985</v>
      </c>
      <c r="X139" s="372">
        <v>18331217.008447159</v>
      </c>
      <c r="Y139" s="372">
        <v>19591709.15086104</v>
      </c>
      <c r="Z139" s="372">
        <v>20836168.689341109</v>
      </c>
      <c r="AA139" s="372">
        <v>22229529.462805472</v>
      </c>
      <c r="AB139" s="372">
        <v>23811739.934018318</v>
      </c>
      <c r="AC139" s="372">
        <v>25525753.223322786</v>
      </c>
      <c r="AD139" s="372">
        <v>27348721.685780238</v>
      </c>
      <c r="AE139" s="372">
        <v>29384579.519397911</v>
      </c>
      <c r="AF139" s="372">
        <v>31322194.56637039</v>
      </c>
      <c r="AG139" s="372">
        <v>32500935.069554992</v>
      </c>
      <c r="AH139" s="372">
        <v>33715481.440953642</v>
      </c>
      <c r="AI139" s="372">
        <v>34816246.687805705</v>
      </c>
    </row>
    <row r="140" spans="1:35" x14ac:dyDescent="0.25">
      <c r="A140" s="361" t="s">
        <v>323</v>
      </c>
      <c r="B140" s="361">
        <v>104</v>
      </c>
      <c r="C140" s="361" t="s">
        <v>322</v>
      </c>
      <c r="D140" s="361">
        <v>28</v>
      </c>
      <c r="E140" s="361">
        <v>21</v>
      </c>
      <c r="F140" s="361" t="s">
        <v>2374</v>
      </c>
      <c r="G140" s="372">
        <v>30184121.260083463</v>
      </c>
      <c r="H140" s="372">
        <v>29987738.263597026</v>
      </c>
      <c r="I140" s="372">
        <v>32884836.400116816</v>
      </c>
      <c r="J140" s="372">
        <v>34870886.572759561</v>
      </c>
      <c r="K140" s="372">
        <v>37478516.949866436</v>
      </c>
      <c r="L140" s="372">
        <v>40082543.585292496</v>
      </c>
      <c r="M140" s="372">
        <v>42664947.772510536</v>
      </c>
      <c r="N140" s="372">
        <v>45076192.692070007</v>
      </c>
      <c r="O140" s="372">
        <v>47720458.23664026</v>
      </c>
      <c r="P140" s="372">
        <v>52943524.418658875</v>
      </c>
      <c r="Q140" s="372">
        <v>60221104.519141264</v>
      </c>
      <c r="R140" s="372">
        <v>67052584.851223886</v>
      </c>
      <c r="S140" s="372">
        <v>75116002.450336754</v>
      </c>
      <c r="T140" s="372">
        <v>85515059.493557423</v>
      </c>
      <c r="U140" s="372">
        <v>97114887.944831192</v>
      </c>
      <c r="V140" s="372">
        <v>110292358.55360797</v>
      </c>
      <c r="W140" s="372">
        <v>124714299.17200875</v>
      </c>
      <c r="X140" s="372">
        <v>139669333.59230226</v>
      </c>
      <c r="Y140" s="372">
        <v>153992850.29258236</v>
      </c>
      <c r="Z140" s="372">
        <v>170239110.00591436</v>
      </c>
      <c r="AA140" s="372">
        <v>186640693.98330414</v>
      </c>
      <c r="AB140" s="372">
        <v>197076675.49792349</v>
      </c>
      <c r="AC140" s="372">
        <v>211527658.64039436</v>
      </c>
      <c r="AD140" s="372">
        <v>229350981.32527909</v>
      </c>
      <c r="AE140" s="372">
        <v>247678224.6645357</v>
      </c>
      <c r="AF140" s="372">
        <v>264997967.34905657</v>
      </c>
      <c r="AG140" s="372">
        <v>280533401.41065568</v>
      </c>
      <c r="AH140" s="372">
        <v>299493612.74008101</v>
      </c>
      <c r="AI140" s="372">
        <v>318062369.68586773</v>
      </c>
    </row>
    <row r="141" spans="1:35" x14ac:dyDescent="0.25">
      <c r="A141" s="361" t="s">
        <v>325</v>
      </c>
      <c r="B141" s="361">
        <v>516</v>
      </c>
      <c r="C141" s="361" t="s">
        <v>324</v>
      </c>
      <c r="D141" s="361">
        <v>134</v>
      </c>
      <c r="E141" s="361">
        <v>26</v>
      </c>
      <c r="F141" s="361" t="s">
        <v>2374</v>
      </c>
      <c r="G141" s="372">
        <v>8186468.6108264467</v>
      </c>
      <c r="H141" s="372">
        <v>8854943.9114901647</v>
      </c>
      <c r="I141" s="372">
        <v>9491556.1645565256</v>
      </c>
      <c r="J141" s="372">
        <v>9341633.3001852389</v>
      </c>
      <c r="K141" s="372">
        <v>9503232.3267304096</v>
      </c>
      <c r="L141" s="372">
        <v>9873764.6851845905</v>
      </c>
      <c r="M141" s="372">
        <v>10188868.535862371</v>
      </c>
      <c r="N141" s="372">
        <v>10618849.02287934</v>
      </c>
      <c r="O141" s="372">
        <v>10968377.525433218</v>
      </c>
      <c r="P141" s="372">
        <v>11337932.698409604</v>
      </c>
      <c r="Q141" s="372">
        <v>11733874.105322789</v>
      </c>
      <c r="R141" s="372">
        <v>11872093.11562684</v>
      </c>
      <c r="S141" s="372">
        <v>12440607.441282012</v>
      </c>
      <c r="T141" s="372">
        <v>12968063.615502113</v>
      </c>
      <c r="U141" s="372">
        <v>14559186.404901097</v>
      </c>
      <c r="V141" s="372">
        <v>14927426.480067635</v>
      </c>
      <c r="W141" s="372">
        <v>15983269.512084331</v>
      </c>
      <c r="X141" s="372">
        <v>16842217.483714107</v>
      </c>
      <c r="Y141" s="372">
        <v>17288504.578091338</v>
      </c>
      <c r="Z141" s="372">
        <v>17339673.520613145</v>
      </c>
      <c r="AA141" s="372">
        <v>18386859.674985554</v>
      </c>
      <c r="AB141" s="372">
        <v>19322996.884943049</v>
      </c>
      <c r="AC141" s="372">
        <v>20301065.542692598</v>
      </c>
      <c r="AD141" s="372">
        <v>21440913.46915812</v>
      </c>
      <c r="AE141" s="372">
        <v>22802771.244712163</v>
      </c>
      <c r="AF141" s="372">
        <v>24190633.667035911</v>
      </c>
      <c r="AG141" s="372">
        <v>24462335.33320877</v>
      </c>
      <c r="AH141" s="372">
        <v>24250032.324721299</v>
      </c>
      <c r="AI141" s="372">
        <v>24231923.170438509</v>
      </c>
    </row>
    <row r="142" spans="1:35" x14ac:dyDescent="0.25">
      <c r="A142" s="361" t="s">
        <v>327</v>
      </c>
      <c r="B142" s="361">
        <v>520</v>
      </c>
      <c r="C142" s="361" t="s">
        <v>326</v>
      </c>
      <c r="D142" s="361">
        <v>135</v>
      </c>
      <c r="E142" s="361">
        <v>24</v>
      </c>
      <c r="F142" s="361" t="s">
        <v>2374</v>
      </c>
      <c r="G142" s="372">
        <v>38538.689008586451</v>
      </c>
      <c r="H142" s="372">
        <v>39588.822670156551</v>
      </c>
      <c r="I142" s="372">
        <v>40667.338322579912</v>
      </c>
      <c r="J142" s="372">
        <v>41709.362843906245</v>
      </c>
      <c r="K142" s="372">
        <v>42564.877139625503</v>
      </c>
      <c r="L142" s="372">
        <v>43091.971255471515</v>
      </c>
      <c r="M142" s="372">
        <v>43270.37234083478</v>
      </c>
      <c r="N142" s="372">
        <v>43169.008087787457</v>
      </c>
      <c r="O142" s="372">
        <v>42836.533337792287</v>
      </c>
      <c r="P142" s="372">
        <v>42366.203203652789</v>
      </c>
      <c r="Q142" s="372">
        <v>41912.091350000854</v>
      </c>
      <c r="R142" s="372">
        <v>41417.433795129989</v>
      </c>
      <c r="S142" s="372">
        <v>40959.267371356153</v>
      </c>
      <c r="T142" s="372">
        <v>40521.37379819178</v>
      </c>
      <c r="U142" s="372">
        <v>40148.353346977688</v>
      </c>
      <c r="V142" s="372">
        <v>39933.461130517397</v>
      </c>
      <c r="W142" s="372">
        <v>39848.315157957666</v>
      </c>
      <c r="X142" s="372">
        <v>39848.315157957666</v>
      </c>
      <c r="Y142" s="372">
        <v>53563.822574532409</v>
      </c>
      <c r="Z142" s="372">
        <v>58202.288045303227</v>
      </c>
      <c r="AA142" s="372">
        <v>66089.179278353433</v>
      </c>
      <c r="AB142" s="372">
        <v>73811.384018743818</v>
      </c>
      <c r="AC142" s="372">
        <v>81256.40731098644</v>
      </c>
      <c r="AD142" s="372">
        <v>109058.27286134299</v>
      </c>
      <c r="AE142" s="372">
        <v>148890.82342009628</v>
      </c>
      <c r="AF142" s="372">
        <v>153071.96245957745</v>
      </c>
      <c r="AG142" s="372">
        <v>168991.45267754796</v>
      </c>
      <c r="AH142" s="372">
        <v>176012.5153892443</v>
      </c>
      <c r="AI142" s="372">
        <v>169890.34094092276</v>
      </c>
    </row>
    <row r="143" spans="1:35" x14ac:dyDescent="0.25">
      <c r="A143" s="361" t="s">
        <v>329</v>
      </c>
      <c r="B143" s="361">
        <v>524</v>
      </c>
      <c r="C143" s="361" t="s">
        <v>328</v>
      </c>
      <c r="D143" s="361">
        <v>136</v>
      </c>
      <c r="E143" s="361">
        <v>25</v>
      </c>
      <c r="F143" s="361" t="s">
        <v>2374</v>
      </c>
      <c r="G143" s="372">
        <v>22460809.734425604</v>
      </c>
      <c r="H143" s="372">
        <v>23891147.880109891</v>
      </c>
      <c r="I143" s="372">
        <v>24872215.556410123</v>
      </c>
      <c r="J143" s="372">
        <v>25829758.552385233</v>
      </c>
      <c r="K143" s="372">
        <v>27951932.214861739</v>
      </c>
      <c r="L143" s="372">
        <v>28921431.534221325</v>
      </c>
      <c r="M143" s="372">
        <v>30462447.593700867</v>
      </c>
      <c r="N143" s="372">
        <v>32000378.541659124</v>
      </c>
      <c r="O143" s="372">
        <v>32965634.594089281</v>
      </c>
      <c r="P143" s="372">
        <v>34420267.37479426</v>
      </c>
      <c r="Q143" s="372">
        <v>36554323.947762594</v>
      </c>
      <c r="R143" s="372">
        <v>38308892.072978742</v>
      </c>
      <c r="S143" s="372">
        <v>38354917.592318185</v>
      </c>
      <c r="T143" s="372">
        <v>39868033.576954365</v>
      </c>
      <c r="U143" s="372">
        <v>41734895.411086597</v>
      </c>
      <c r="V143" s="372">
        <v>43186927.98192703</v>
      </c>
      <c r="W143" s="372">
        <v>44640001.747320808</v>
      </c>
      <c r="X143" s="372">
        <v>46162922.314000897</v>
      </c>
      <c r="Y143" s="372">
        <v>48981002.138818741</v>
      </c>
      <c r="Z143" s="372">
        <v>51201349.523808688</v>
      </c>
      <c r="AA143" s="372">
        <v>53667418.823386051</v>
      </c>
      <c r="AB143" s="372">
        <v>55503825.716833182</v>
      </c>
      <c r="AC143" s="372">
        <v>58157570.334649421</v>
      </c>
      <c r="AD143" s="372">
        <v>60558825.273281574</v>
      </c>
      <c r="AE143" s="372">
        <v>64185684.029707685</v>
      </c>
      <c r="AF143" s="372">
        <v>66318513.615631245</v>
      </c>
      <c r="AG143" s="372">
        <v>66708916.446025141</v>
      </c>
      <c r="AH143" s="372">
        <v>71982751.011284202</v>
      </c>
      <c r="AI143" s="372">
        <v>76510294.855775341</v>
      </c>
    </row>
    <row r="144" spans="1:35" x14ac:dyDescent="0.25">
      <c r="A144" s="361" t="s">
        <v>331</v>
      </c>
      <c r="B144" s="361">
        <v>528</v>
      </c>
      <c r="C144" s="361" t="s">
        <v>330</v>
      </c>
      <c r="D144" s="361">
        <v>137</v>
      </c>
      <c r="E144" s="361">
        <v>11</v>
      </c>
      <c r="F144" s="361" t="s">
        <v>2374</v>
      </c>
      <c r="G144" s="372">
        <v>483011334.31820261</v>
      </c>
      <c r="H144" s="372">
        <v>494792630.42947417</v>
      </c>
      <c r="I144" s="372">
        <v>503234143.56836265</v>
      </c>
      <c r="J144" s="372">
        <v>509562575.68119055</v>
      </c>
      <c r="K144" s="372">
        <v>524651194.42552894</v>
      </c>
      <c r="L144" s="372">
        <v>540999514.37395632</v>
      </c>
      <c r="M144" s="372">
        <v>559927692.78681338</v>
      </c>
      <c r="N144" s="372">
        <v>584167261.13571107</v>
      </c>
      <c r="O144" s="372">
        <v>611412338.73129857</v>
      </c>
      <c r="P144" s="372">
        <v>642191130.00821888</v>
      </c>
      <c r="Q144" s="372">
        <v>669135173.77369261</v>
      </c>
      <c r="R144" s="372">
        <v>684705649.00727487</v>
      </c>
      <c r="S144" s="372">
        <v>686193333.32803226</v>
      </c>
      <c r="T144" s="372">
        <v>687261366.15416896</v>
      </c>
      <c r="U144" s="372">
        <v>700903131.1103344</v>
      </c>
      <c r="V144" s="372">
        <v>715277785.73101842</v>
      </c>
      <c r="W144" s="372">
        <v>740033471.25801384</v>
      </c>
      <c r="X144" s="372">
        <v>767953768.61153257</v>
      </c>
      <c r="Y144" s="372">
        <v>784620859.60197473</v>
      </c>
      <c r="Z144" s="372">
        <v>755849722.78523469</v>
      </c>
      <c r="AA144" s="372">
        <v>765998815.15073848</v>
      </c>
      <c r="AB144" s="372">
        <v>777880906.38885736</v>
      </c>
      <c r="AC144" s="372">
        <v>769865979.3799057</v>
      </c>
      <c r="AD144" s="372">
        <v>768863804.49751079</v>
      </c>
      <c r="AE144" s="372">
        <v>779807776.53000617</v>
      </c>
      <c r="AF144" s="372">
        <v>795085534.19894588</v>
      </c>
      <c r="AG144" s="372">
        <v>812511532.97861171</v>
      </c>
      <c r="AH144" s="372">
        <v>835821125.45888853</v>
      </c>
      <c r="AI144" s="372">
        <v>858165693.91601658</v>
      </c>
    </row>
    <row r="145" spans="1:35" x14ac:dyDescent="0.25">
      <c r="A145" s="361" t="s">
        <v>333</v>
      </c>
      <c r="B145" s="361">
        <v>530</v>
      </c>
      <c r="C145" s="367" t="s">
        <v>330</v>
      </c>
      <c r="D145" s="361">
        <v>138</v>
      </c>
      <c r="E145" s="361">
        <v>4</v>
      </c>
      <c r="F145" s="361" t="s">
        <v>2374</v>
      </c>
      <c r="G145" s="375">
        <v>483011334.31820261</v>
      </c>
      <c r="H145" s="372">
        <v>494792630.42947417</v>
      </c>
      <c r="I145" s="372">
        <v>503234143.56836265</v>
      </c>
      <c r="J145" s="372">
        <v>509562575.68119055</v>
      </c>
      <c r="K145" s="372">
        <v>524651194.42552894</v>
      </c>
      <c r="L145" s="372">
        <v>540999514.37395632</v>
      </c>
      <c r="M145" s="372">
        <v>559927692.78681338</v>
      </c>
      <c r="N145" s="372">
        <v>584167261.13571107</v>
      </c>
      <c r="O145" s="372">
        <v>611412338.73129857</v>
      </c>
      <c r="P145" s="372">
        <v>642191130.00821888</v>
      </c>
      <c r="Q145" s="372">
        <v>669135173.77369261</v>
      </c>
      <c r="R145" s="372">
        <v>684705649.00727487</v>
      </c>
      <c r="S145" s="372">
        <v>686193333.32803226</v>
      </c>
      <c r="T145" s="372">
        <v>687261366.15416896</v>
      </c>
      <c r="U145" s="372">
        <v>700903131.1103344</v>
      </c>
      <c r="V145" s="372">
        <v>715277785.73101842</v>
      </c>
      <c r="W145" s="372">
        <v>740033471.25801384</v>
      </c>
      <c r="X145" s="372">
        <v>767953768.61153257</v>
      </c>
      <c r="Y145" s="372">
        <v>784620859.60197473</v>
      </c>
      <c r="Z145" s="372">
        <v>755849722.78523469</v>
      </c>
      <c r="AA145" s="372">
        <v>765998815.15073848</v>
      </c>
      <c r="AB145" s="372">
        <v>777880906.38885736</v>
      </c>
      <c r="AC145" s="372">
        <v>769865979.3799057</v>
      </c>
      <c r="AD145" s="372">
        <v>768863804.49751079</v>
      </c>
      <c r="AE145" s="372">
        <v>779807776.53000617</v>
      </c>
      <c r="AF145" s="372">
        <v>795085534.19894588</v>
      </c>
      <c r="AG145" s="372">
        <v>812511532.97861171</v>
      </c>
      <c r="AH145" s="372">
        <v>835821125.45888853</v>
      </c>
      <c r="AI145" s="372">
        <v>858165693.91601658</v>
      </c>
    </row>
    <row r="146" spans="1:35" x14ac:dyDescent="0.25">
      <c r="A146" s="361" t="s">
        <v>335</v>
      </c>
      <c r="B146" s="361">
        <v>540</v>
      </c>
      <c r="C146" s="361" t="s">
        <v>334</v>
      </c>
      <c r="D146" s="361">
        <v>140</v>
      </c>
      <c r="E146" s="361">
        <v>24</v>
      </c>
      <c r="F146" s="361" t="s">
        <v>2374</v>
      </c>
      <c r="G146" s="372">
        <v>3804984.2772819526</v>
      </c>
      <c r="H146" s="372">
        <v>3908766.8097876911</v>
      </c>
      <c r="I146" s="372">
        <v>4217982.4909441378</v>
      </c>
      <c r="J146" s="372">
        <v>4349540.6862717252</v>
      </c>
      <c r="K146" s="372">
        <v>4232031.1388619598</v>
      </c>
      <c r="L146" s="372">
        <v>4997079.8681133399</v>
      </c>
      <c r="M146" s="372">
        <v>4896808.6067873184</v>
      </c>
      <c r="N146" s="372">
        <v>4370807.6095658559</v>
      </c>
      <c r="O146" s="372">
        <v>4104584.8297028248</v>
      </c>
      <c r="P146" s="372">
        <v>3910442.5192471105</v>
      </c>
      <c r="Q146" s="372">
        <v>3368636.5195364323</v>
      </c>
      <c r="R146" s="372">
        <v>3429304.3107371964</v>
      </c>
      <c r="S146" s="372">
        <v>3486519.7107114443</v>
      </c>
      <c r="T146" s="372">
        <v>3541864.431739165</v>
      </c>
      <c r="U146" s="372">
        <v>3595992.4510130482</v>
      </c>
      <c r="V146" s="372">
        <v>3649040.6474803998</v>
      </c>
      <c r="W146" s="372">
        <v>3700765.6807904518</v>
      </c>
      <c r="X146" s="372">
        <v>3751927.9895393541</v>
      </c>
      <c r="Y146" s="372">
        <v>3803485.726358254</v>
      </c>
      <c r="Z146" s="372">
        <v>3855834.3193171481</v>
      </c>
      <c r="AA146" s="372">
        <v>3909475.6578894956</v>
      </c>
      <c r="AB146" s="372">
        <v>3964212.0280402987</v>
      </c>
      <c r="AC146" s="372">
        <v>4018796.3104718714</v>
      </c>
      <c r="AD146" s="372">
        <v>4071981.3858865281</v>
      </c>
      <c r="AE146" s="372">
        <v>4122565.761302358</v>
      </c>
      <c r="AF146" s="372">
        <v>4170108.3823335906</v>
      </c>
      <c r="AG146" s="372">
        <v>4215111.1384536857</v>
      </c>
      <c r="AH146" s="372">
        <v>4258349.6770307161</v>
      </c>
      <c r="AI146" s="372">
        <v>4300280.26122237</v>
      </c>
    </row>
    <row r="147" spans="1:35" x14ac:dyDescent="0.25">
      <c r="A147" s="361" t="s">
        <v>337</v>
      </c>
      <c r="B147" s="361">
        <v>554</v>
      </c>
      <c r="C147" s="361" t="s">
        <v>336</v>
      </c>
      <c r="D147" s="361">
        <v>142</v>
      </c>
      <c r="E147" s="361">
        <v>24</v>
      </c>
      <c r="F147" s="361" t="s">
        <v>2374</v>
      </c>
      <c r="G147" s="372">
        <v>80040957.794214755</v>
      </c>
      <c r="H147" s="372">
        <v>79167871.621126294</v>
      </c>
      <c r="I147" s="372">
        <v>80034558.942564011</v>
      </c>
      <c r="J147" s="372">
        <v>85150076.108432651</v>
      </c>
      <c r="K147" s="372">
        <v>89508397.207641259</v>
      </c>
      <c r="L147" s="372">
        <v>93735186.563052997</v>
      </c>
      <c r="M147" s="372">
        <v>97129415.736897051</v>
      </c>
      <c r="N147" s="372">
        <v>99114478.131098315</v>
      </c>
      <c r="O147" s="372">
        <v>99899402.554911509</v>
      </c>
      <c r="P147" s="372">
        <v>105349792.33676396</v>
      </c>
      <c r="Q147" s="372">
        <v>108408437.91110747</v>
      </c>
      <c r="R147" s="372">
        <v>112169533.89025523</v>
      </c>
      <c r="S147" s="372">
        <v>117419426.73398773</v>
      </c>
      <c r="T147" s="372">
        <v>122777388.79653062</v>
      </c>
      <c r="U147" s="372">
        <v>127730091.08173312</v>
      </c>
      <c r="V147" s="372">
        <v>131972522.00557949</v>
      </c>
      <c r="W147" s="372">
        <v>135725797.23497683</v>
      </c>
      <c r="X147" s="372">
        <v>139815367.0473915</v>
      </c>
      <c r="Y147" s="372">
        <v>138404778.30071518</v>
      </c>
      <c r="Z147" s="372">
        <v>138109009.70921868</v>
      </c>
      <c r="AA147" s="372">
        <v>140234846.56400073</v>
      </c>
      <c r="AB147" s="372">
        <v>143508208.74679908</v>
      </c>
      <c r="AC147" s="372">
        <v>146702651.96603996</v>
      </c>
      <c r="AD147" s="372">
        <v>150480811.54958963</v>
      </c>
      <c r="AE147" s="372">
        <v>156071975.79202291</v>
      </c>
      <c r="AF147" s="372">
        <v>161666695.02097374</v>
      </c>
      <c r="AG147" s="372">
        <v>167560737.69007102</v>
      </c>
      <c r="AH147" s="372">
        <v>172802809.7151193</v>
      </c>
      <c r="AI147" s="372">
        <v>177611348.85718298</v>
      </c>
    </row>
    <row r="148" spans="1:35" x14ac:dyDescent="0.25">
      <c r="A148" s="361" t="s">
        <v>339</v>
      </c>
      <c r="B148" s="361">
        <v>558</v>
      </c>
      <c r="C148" s="361" t="s">
        <v>338</v>
      </c>
      <c r="D148" s="361">
        <v>143</v>
      </c>
      <c r="E148" s="361">
        <v>4</v>
      </c>
      <c r="F148" s="361" t="s">
        <v>2374</v>
      </c>
      <c r="G148" s="372">
        <v>12406705.450135401</v>
      </c>
      <c r="H148" s="372">
        <v>12383221.852496881</v>
      </c>
      <c r="I148" s="372">
        <v>12431064.011503026</v>
      </c>
      <c r="J148" s="372">
        <v>12382217.883404968</v>
      </c>
      <c r="K148" s="372">
        <v>12795502.39905975</v>
      </c>
      <c r="L148" s="372">
        <v>13551960.718285516</v>
      </c>
      <c r="M148" s="372">
        <v>14411733.470993517</v>
      </c>
      <c r="N148" s="372">
        <v>14983396.623346204</v>
      </c>
      <c r="O148" s="372">
        <v>15539532.578276627</v>
      </c>
      <c r="P148" s="372">
        <v>16632889.517603204</v>
      </c>
      <c r="Q148" s="372">
        <v>17315102.476474818</v>
      </c>
      <c r="R148" s="372">
        <v>17827775.572001051</v>
      </c>
      <c r="S148" s="372">
        <v>17962186.106086221</v>
      </c>
      <c r="T148" s="372">
        <v>18414964.840581249</v>
      </c>
      <c r="U148" s="372">
        <v>19393199.175374489</v>
      </c>
      <c r="V148" s="372">
        <v>20223693.209518634</v>
      </c>
      <c r="W148" s="372">
        <v>21063394.946354337</v>
      </c>
      <c r="X148" s="372">
        <v>22132647.020793702</v>
      </c>
      <c r="Y148" s="372">
        <v>22893062.122890085</v>
      </c>
      <c r="Z148" s="372">
        <v>22139270.242628522</v>
      </c>
      <c r="AA148" s="372">
        <v>23115634.004145555</v>
      </c>
      <c r="AB148" s="372">
        <v>24575775.913590103</v>
      </c>
      <c r="AC148" s="372">
        <v>26172251.873490095</v>
      </c>
      <c r="AD148" s="372">
        <v>27461783.341810528</v>
      </c>
      <c r="AE148" s="372">
        <v>28775956.053964544</v>
      </c>
      <c r="AF148" s="372">
        <v>30154976.88646147</v>
      </c>
      <c r="AG148" s="372">
        <v>31530992.922634996</v>
      </c>
      <c r="AH148" s="372">
        <v>33005216.732847635</v>
      </c>
      <c r="AI148" s="372">
        <v>31745833.321741499</v>
      </c>
    </row>
    <row r="149" spans="1:35" x14ac:dyDescent="0.25">
      <c r="A149" s="361" t="s">
        <v>341</v>
      </c>
      <c r="B149" s="361">
        <v>562</v>
      </c>
      <c r="C149" s="361" t="s">
        <v>340</v>
      </c>
      <c r="D149" s="361">
        <v>144</v>
      </c>
      <c r="E149" s="361">
        <v>8</v>
      </c>
      <c r="F149" s="361" t="s">
        <v>2374</v>
      </c>
      <c r="G149" s="372">
        <v>7167847.2834545309</v>
      </c>
      <c r="H149" s="372">
        <v>7347344.7498295</v>
      </c>
      <c r="I149" s="372">
        <v>6868559.0995359495</v>
      </c>
      <c r="J149" s="372">
        <v>6968114.5966418777</v>
      </c>
      <c r="K149" s="372">
        <v>7247157.0452849017</v>
      </c>
      <c r="L149" s="372">
        <v>7436000.2642675191</v>
      </c>
      <c r="M149" s="372">
        <v>7690244.0361105753</v>
      </c>
      <c r="N149" s="372">
        <v>7902030.7132290546</v>
      </c>
      <c r="O149" s="372">
        <v>8725601.0986987688</v>
      </c>
      <c r="P149" s="372">
        <v>8675973.5154445488</v>
      </c>
      <c r="Q149" s="372">
        <v>8553684.8575369716</v>
      </c>
      <c r="R149" s="372">
        <v>9161367.7646992356</v>
      </c>
      <c r="S149" s="372">
        <v>9436128.3640957866</v>
      </c>
      <c r="T149" s="372">
        <v>9936243.1672336943</v>
      </c>
      <c r="U149" s="372">
        <v>9946179.4104839731</v>
      </c>
      <c r="V149" s="372">
        <v>10393757.48389232</v>
      </c>
      <c r="W149" s="372">
        <v>10996595.418117236</v>
      </c>
      <c r="X149" s="372">
        <v>11342611.034067327</v>
      </c>
      <c r="Y149" s="372">
        <v>12430106.067608798</v>
      </c>
      <c r="Z149" s="372">
        <v>12341519.507162724</v>
      </c>
      <c r="AA149" s="372">
        <v>13373791.292099975</v>
      </c>
      <c r="AB149" s="372">
        <v>13679116.08233189</v>
      </c>
      <c r="AC149" s="372">
        <v>15300066.603738606</v>
      </c>
      <c r="AD149" s="372">
        <v>16106137.591987107</v>
      </c>
      <c r="AE149" s="372">
        <v>17318775.627958238</v>
      </c>
      <c r="AF149" s="372">
        <v>18069903.460323319</v>
      </c>
      <c r="AG149" s="372">
        <v>18960014.424377035</v>
      </c>
      <c r="AH149" s="372">
        <v>19887810.727122322</v>
      </c>
      <c r="AI149" s="372">
        <v>20916547.167083472</v>
      </c>
    </row>
    <row r="150" spans="1:35" x14ac:dyDescent="0.25">
      <c r="A150" s="361" t="s">
        <v>343</v>
      </c>
      <c r="B150" s="361">
        <v>566</v>
      </c>
      <c r="C150" s="361" t="s">
        <v>342</v>
      </c>
      <c r="D150" s="361">
        <v>145</v>
      </c>
      <c r="E150" s="361">
        <v>8</v>
      </c>
      <c r="F150" s="361" t="s">
        <v>2374</v>
      </c>
      <c r="G150" s="372">
        <v>319990831.15173393</v>
      </c>
      <c r="H150" s="372">
        <v>321137526.62927562</v>
      </c>
      <c r="I150" s="372">
        <v>336010025.11255163</v>
      </c>
      <c r="J150" s="372">
        <v>329171822.00320935</v>
      </c>
      <c r="K150" s="372">
        <v>323197602.01301128</v>
      </c>
      <c r="L150" s="372">
        <v>322962751.22960413</v>
      </c>
      <c r="M150" s="372">
        <v>336514022.96570748</v>
      </c>
      <c r="N150" s="372">
        <v>346397774.38161737</v>
      </c>
      <c r="O150" s="372">
        <v>355339181.14493924</v>
      </c>
      <c r="P150" s="372">
        <v>357414812.86900574</v>
      </c>
      <c r="Q150" s="372">
        <v>375342506.69510281</v>
      </c>
      <c r="R150" s="372">
        <v>397554092.60485297</v>
      </c>
      <c r="S150" s="372">
        <v>458495778.60378468</v>
      </c>
      <c r="T150" s="372">
        <v>492182357.38859618</v>
      </c>
      <c r="U150" s="372">
        <v>537711972.94921732</v>
      </c>
      <c r="V150" s="372">
        <v>572332647.1849457</v>
      </c>
      <c r="W150" s="372">
        <v>607012732.04049671</v>
      </c>
      <c r="X150" s="372">
        <v>647021732.51554751</v>
      </c>
      <c r="Y150" s="372">
        <v>690789341.47832215</v>
      </c>
      <c r="Z150" s="372">
        <v>746307563.46482134</v>
      </c>
      <c r="AA150" s="372">
        <v>806054379.06553829</v>
      </c>
      <c r="AB150" s="372">
        <v>848839134.54667103</v>
      </c>
      <c r="AC150" s="372">
        <v>884745549.21623182</v>
      </c>
      <c r="AD150" s="372">
        <v>943769892.17805827</v>
      </c>
      <c r="AE150" s="372">
        <v>1003319117.1319216</v>
      </c>
      <c r="AF150" s="372">
        <v>1029934096.0837308</v>
      </c>
      <c r="AG150" s="372">
        <v>1013281411.4795326</v>
      </c>
      <c r="AH150" s="372">
        <v>1021447310.7929598</v>
      </c>
      <c r="AI150" s="372">
        <v>1041235483.3733027</v>
      </c>
    </row>
    <row r="151" spans="1:35" x14ac:dyDescent="0.25">
      <c r="A151" s="361" t="s">
        <v>345</v>
      </c>
      <c r="B151" s="361">
        <v>570</v>
      </c>
      <c r="C151" s="361" t="s">
        <v>344</v>
      </c>
      <c r="D151" s="361">
        <v>146</v>
      </c>
      <c r="E151" s="361">
        <v>24</v>
      </c>
      <c r="F151" s="361" t="s">
        <v>2374</v>
      </c>
      <c r="G151" s="372">
        <v>0</v>
      </c>
      <c r="H151" s="372">
        <v>0</v>
      </c>
      <c r="I151" s="372">
        <v>0</v>
      </c>
      <c r="J151" s="372">
        <v>0</v>
      </c>
      <c r="K151" s="372">
        <v>0</v>
      </c>
      <c r="L151" s="372">
        <v>0</v>
      </c>
      <c r="M151" s="372">
        <v>0</v>
      </c>
      <c r="N151" s="372">
        <v>0</v>
      </c>
      <c r="O151" s="372">
        <v>0</v>
      </c>
      <c r="P151" s="372">
        <v>0</v>
      </c>
      <c r="Q151" s="372">
        <v>0</v>
      </c>
      <c r="R151" s="372">
        <v>0</v>
      </c>
      <c r="S151" s="372">
        <v>0</v>
      </c>
      <c r="T151" s="372">
        <v>0</v>
      </c>
      <c r="U151" s="372">
        <v>0</v>
      </c>
      <c r="V151" s="372">
        <v>0</v>
      </c>
      <c r="W151" s="372">
        <v>0</v>
      </c>
      <c r="X151" s="372">
        <v>0</v>
      </c>
      <c r="Y151" s="372">
        <v>0</v>
      </c>
      <c r="Z151" s="372">
        <v>0</v>
      </c>
      <c r="AA151" s="372">
        <v>0</v>
      </c>
      <c r="AB151" s="372">
        <v>0</v>
      </c>
      <c r="AC151" s="372">
        <v>0</v>
      </c>
      <c r="AD151" s="372">
        <v>0</v>
      </c>
      <c r="AE151" s="372">
        <v>0</v>
      </c>
      <c r="AF151" s="372">
        <v>0</v>
      </c>
      <c r="AG151" s="372">
        <v>0</v>
      </c>
      <c r="AH151" s="372">
        <v>0</v>
      </c>
      <c r="AI151" s="372">
        <v>0</v>
      </c>
    </row>
    <row r="152" spans="1:35" x14ac:dyDescent="0.25">
      <c r="A152" s="361" t="s">
        <v>347</v>
      </c>
      <c r="B152" s="361">
        <v>580</v>
      </c>
      <c r="C152" s="361" t="s">
        <v>346</v>
      </c>
      <c r="D152" s="361">
        <v>148</v>
      </c>
      <c r="E152" s="361">
        <v>24</v>
      </c>
      <c r="F152" s="361" t="s">
        <v>2374</v>
      </c>
      <c r="G152" s="372">
        <v>1162041.6324244076</v>
      </c>
      <c r="H152" s="372">
        <v>1185256.0504178484</v>
      </c>
      <c r="I152" s="372">
        <v>1180430.2961303717</v>
      </c>
      <c r="J152" s="372">
        <v>1162194.0246650646</v>
      </c>
      <c r="K152" s="372">
        <v>1152186.9341952442</v>
      </c>
      <c r="L152" s="372">
        <v>1165038.6798239979</v>
      </c>
      <c r="M152" s="372">
        <v>1206971.9447114938</v>
      </c>
      <c r="N152" s="372">
        <v>1271357.6663891443</v>
      </c>
      <c r="O152" s="372">
        <v>1346055.2630179294</v>
      </c>
      <c r="P152" s="372">
        <v>1413082.4502003044</v>
      </c>
      <c r="Q152" s="372">
        <v>1459231.900412648</v>
      </c>
      <c r="R152" s="372">
        <v>1481277.9778943839</v>
      </c>
      <c r="S152" s="372">
        <v>1483792.4498652271</v>
      </c>
      <c r="T152" s="372">
        <v>1489852.8683126005</v>
      </c>
      <c r="U152" s="372">
        <v>1443389.6602160721</v>
      </c>
      <c r="V152" s="372">
        <v>1260567.0370536447</v>
      </c>
      <c r="W152" s="372">
        <v>1173701.0393079605</v>
      </c>
      <c r="X152" s="372">
        <v>1094915.5994921078</v>
      </c>
      <c r="Y152" s="372">
        <v>973707.23054464185</v>
      </c>
      <c r="Z152" s="372">
        <v>803005.4442769608</v>
      </c>
      <c r="AA152" s="372">
        <v>814116.21143047838</v>
      </c>
      <c r="AB152" s="372">
        <v>751491.88747428788</v>
      </c>
      <c r="AC152" s="372">
        <v>755532.16643920343</v>
      </c>
      <c r="AD152" s="372">
        <v>773713.42178132327</v>
      </c>
      <c r="AE152" s="372">
        <v>803005.44427696092</v>
      </c>
      <c r="AF152" s="372">
        <v>830277.32729014079</v>
      </c>
      <c r="AG152" s="372">
        <v>1064613.5072552415</v>
      </c>
      <c r="AH152" s="372">
        <v>1298949.6872203418</v>
      </c>
      <c r="AI152" s="372">
        <v>1533285.8671854422</v>
      </c>
    </row>
    <row r="153" spans="1:35" x14ac:dyDescent="0.25">
      <c r="A153" s="361" t="s">
        <v>349</v>
      </c>
      <c r="B153" s="361">
        <v>578</v>
      </c>
      <c r="C153" s="361" t="s">
        <v>348</v>
      </c>
      <c r="D153" s="361">
        <v>147</v>
      </c>
      <c r="E153" s="361">
        <v>11</v>
      </c>
      <c r="F153" s="361" t="s">
        <v>2374</v>
      </c>
      <c r="G153" s="372">
        <v>181593428.11425537</v>
      </c>
      <c r="H153" s="372">
        <v>187194993.81835923</v>
      </c>
      <c r="I153" s="372">
        <v>193886097.87011221</v>
      </c>
      <c r="J153" s="372">
        <v>199402762.58214456</v>
      </c>
      <c r="K153" s="372">
        <v>209483476.57389572</v>
      </c>
      <c r="L153" s="372">
        <v>218185316.65695864</v>
      </c>
      <c r="M153" s="372">
        <v>229155664.44465032</v>
      </c>
      <c r="N153" s="372">
        <v>241265672.84817082</v>
      </c>
      <c r="O153" s="372">
        <v>247597591.64822581</v>
      </c>
      <c r="P153" s="372">
        <v>252582492.67018786</v>
      </c>
      <c r="Q153" s="372">
        <v>260678481.60989094</v>
      </c>
      <c r="R153" s="372">
        <v>266114483.06897599</v>
      </c>
      <c r="S153" s="372">
        <v>269940434.42281938</v>
      </c>
      <c r="T153" s="372">
        <v>272423459.61037982</v>
      </c>
      <c r="U153" s="372">
        <v>283208807.98520184</v>
      </c>
      <c r="V153" s="372">
        <v>290642247.72546089</v>
      </c>
      <c r="W153" s="372">
        <v>297603398.3094694</v>
      </c>
      <c r="X153" s="372">
        <v>306487022.94572395</v>
      </c>
      <c r="Y153" s="372">
        <v>307960442.37850529</v>
      </c>
      <c r="Z153" s="372">
        <v>302752840.64999139</v>
      </c>
      <c r="AA153" s="372">
        <v>304846870.24941033</v>
      </c>
      <c r="AB153" s="372">
        <v>307809783.30758482</v>
      </c>
      <c r="AC153" s="372">
        <v>316187216.83933526</v>
      </c>
      <c r="AD153" s="372">
        <v>319489441.59941411</v>
      </c>
      <c r="AE153" s="372">
        <v>325799733.29839897</v>
      </c>
      <c r="AF153" s="372">
        <v>332218160.50273466</v>
      </c>
      <c r="AG153" s="372">
        <v>336162768.65783584</v>
      </c>
      <c r="AH153" s="372">
        <v>342820263.02771682</v>
      </c>
      <c r="AI153" s="372">
        <v>347777545.64645451</v>
      </c>
    </row>
    <row r="154" spans="1:35" x14ac:dyDescent="0.25">
      <c r="A154" s="361" t="s">
        <v>351</v>
      </c>
      <c r="B154" s="361">
        <v>512</v>
      </c>
      <c r="C154" s="361" t="s">
        <v>350</v>
      </c>
      <c r="D154" s="361">
        <v>133</v>
      </c>
      <c r="E154" s="361">
        <v>17</v>
      </c>
      <c r="F154" s="361" t="s">
        <v>2374</v>
      </c>
      <c r="G154" s="372">
        <v>63501952.981330328</v>
      </c>
      <c r="H154" s="372">
        <v>67359111.459643632</v>
      </c>
      <c r="I154" s="372">
        <v>73026628.713997364</v>
      </c>
      <c r="J154" s="372">
        <v>77439598.877300128</v>
      </c>
      <c r="K154" s="372">
        <v>80440982.954686776</v>
      </c>
      <c r="L154" s="372">
        <v>84460473.808419302</v>
      </c>
      <c r="M154" s="372">
        <v>87033089.168698803</v>
      </c>
      <c r="N154" s="372">
        <v>92284241.31474629</v>
      </c>
      <c r="O154" s="372">
        <v>94722702.867369473</v>
      </c>
      <c r="P154" s="372">
        <v>94604482.404253289</v>
      </c>
      <c r="Q154" s="372">
        <v>99714423.105747983</v>
      </c>
      <c r="R154" s="372">
        <v>104184076.34864262</v>
      </c>
      <c r="S154" s="372">
        <v>103037462.60799035</v>
      </c>
      <c r="T154" s="372">
        <v>100287424.21240993</v>
      </c>
      <c r="U154" s="372">
        <v>101583250.62117909</v>
      </c>
      <c r="V154" s="372">
        <v>104113139.17855425</v>
      </c>
      <c r="W154" s="372">
        <v>109706168.12362394</v>
      </c>
      <c r="X154" s="372">
        <v>114591048.42246675</v>
      </c>
      <c r="Y154" s="372">
        <v>123987165.82253188</v>
      </c>
      <c r="Z154" s="372">
        <v>131565824.00274706</v>
      </c>
      <c r="AA154" s="372">
        <v>137887181.99587908</v>
      </c>
      <c r="AB154" s="372">
        <v>136358363.67500937</v>
      </c>
      <c r="AC154" s="372">
        <v>149084247.37792867</v>
      </c>
      <c r="AD154" s="372">
        <v>155603128.69811708</v>
      </c>
      <c r="AE154" s="372">
        <v>159883819.99655223</v>
      </c>
      <c r="AF154" s="372">
        <v>167464312.75875244</v>
      </c>
      <c r="AG154" s="372">
        <v>175804321.85123348</v>
      </c>
      <c r="AH154" s="372">
        <v>174172766.93920135</v>
      </c>
      <c r="AI154" s="372">
        <v>177874177.35683972</v>
      </c>
    </row>
    <row r="155" spans="1:35" x14ac:dyDescent="0.25">
      <c r="A155" s="361" t="s">
        <v>353</v>
      </c>
      <c r="B155" s="361">
        <v>586</v>
      </c>
      <c r="C155" s="361" t="s">
        <v>352</v>
      </c>
      <c r="D155" s="361">
        <v>152</v>
      </c>
      <c r="E155" s="361">
        <v>25</v>
      </c>
      <c r="F155" s="361" t="s">
        <v>2374</v>
      </c>
      <c r="G155" s="372">
        <v>328953143.44909137</v>
      </c>
      <c r="H155" s="372">
        <v>345603329.6868732</v>
      </c>
      <c r="I155" s="372">
        <v>372235169.14580274</v>
      </c>
      <c r="J155" s="372">
        <v>378778124.2601701</v>
      </c>
      <c r="K155" s="372">
        <v>392934636.78554004</v>
      </c>
      <c r="L155" s="372">
        <v>412434447.02430481</v>
      </c>
      <c r="M155" s="372">
        <v>432423417.74150497</v>
      </c>
      <c r="N155" s="372">
        <v>436809903.65547687</v>
      </c>
      <c r="O155" s="372">
        <v>447949579.62086236</v>
      </c>
      <c r="P155" s="372">
        <v>464345128.86073375</v>
      </c>
      <c r="Q155" s="372">
        <v>484126640.02762961</v>
      </c>
      <c r="R155" s="372">
        <v>493724373.36268085</v>
      </c>
      <c r="S155" s="372">
        <v>509644170.03942853</v>
      </c>
      <c r="T155" s="372">
        <v>534343162.14806676</v>
      </c>
      <c r="U155" s="372">
        <v>573716619.35450041</v>
      </c>
      <c r="V155" s="372">
        <v>617705218.21635067</v>
      </c>
      <c r="W155" s="372">
        <v>655864217.73132694</v>
      </c>
      <c r="X155" s="372">
        <v>687560936.96062779</v>
      </c>
      <c r="Y155" s="372">
        <v>699259136.32038403</v>
      </c>
      <c r="Z155" s="372">
        <v>719059767.22528398</v>
      </c>
      <c r="AA155" s="372">
        <v>730612842.68922579</v>
      </c>
      <c r="AB155" s="372">
        <v>750693024.68496311</v>
      </c>
      <c r="AC155" s="372">
        <v>777020079.94300091</v>
      </c>
      <c r="AD155" s="372">
        <v>811181430.7912643</v>
      </c>
      <c r="AE155" s="372">
        <v>849101793.88040042</v>
      </c>
      <c r="AF155" s="372">
        <v>889274051.96454656</v>
      </c>
      <c r="AG155" s="372">
        <v>938421879.75248277</v>
      </c>
      <c r="AH155" s="372">
        <v>991917756.75995791</v>
      </c>
      <c r="AI155" s="372">
        <v>1045778997.9429792</v>
      </c>
    </row>
    <row r="156" spans="1:35" x14ac:dyDescent="0.25">
      <c r="A156" s="361" t="s">
        <v>355</v>
      </c>
      <c r="B156" s="361">
        <v>585</v>
      </c>
      <c r="C156" s="361" t="s">
        <v>354</v>
      </c>
      <c r="D156" s="361">
        <v>151</v>
      </c>
      <c r="E156" s="361">
        <v>24</v>
      </c>
      <c r="F156" s="361" t="s">
        <v>2374</v>
      </c>
      <c r="G156" s="372">
        <v>185967.20659354224</v>
      </c>
      <c r="H156" s="372">
        <v>190697.27965273513</v>
      </c>
      <c r="I156" s="372">
        <v>195822.55463854468</v>
      </c>
      <c r="J156" s="372">
        <v>201182.48076828281</v>
      </c>
      <c r="K156" s="372">
        <v>206455.95647657357</v>
      </c>
      <c r="L156" s="372">
        <v>211976.43338899981</v>
      </c>
      <c r="M156" s="372">
        <v>217274.60921770407</v>
      </c>
      <c r="N156" s="372">
        <v>222473.98456475424</v>
      </c>
      <c r="O156" s="372">
        <v>227364.60840663515</v>
      </c>
      <c r="P156" s="372">
        <v>231884.73044231295</v>
      </c>
      <c r="Q156" s="372">
        <v>235947.90025034029</v>
      </c>
      <c r="R156" s="372">
        <v>251621.93117041487</v>
      </c>
      <c r="S156" s="372">
        <v>261592.70083805057</v>
      </c>
      <c r="T156" s="372">
        <v>253128.40820537813</v>
      </c>
      <c r="U156" s="372">
        <v>265393.84253630351</v>
      </c>
      <c r="V156" s="372">
        <v>277318.66500112333</v>
      </c>
      <c r="W156" s="372">
        <v>271219.65798245772</v>
      </c>
      <c r="X156" s="372">
        <v>273733.41278817708</v>
      </c>
      <c r="Y156" s="372">
        <v>259073.99017614059</v>
      </c>
      <c r="Z156" s="372">
        <v>243711.2489730432</v>
      </c>
      <c r="AA156" s="372">
        <v>244727.19949213293</v>
      </c>
      <c r="AB156" s="372">
        <v>257909.67371234231</v>
      </c>
      <c r="AC156" s="372">
        <v>267187.24299530638</v>
      </c>
      <c r="AD156" s="372">
        <v>261565.75337001382</v>
      </c>
      <c r="AE156" s="372">
        <v>274055.13045255549</v>
      </c>
      <c r="AF156" s="372">
        <v>302641.74792445521</v>
      </c>
      <c r="AG156" s="372">
        <v>304235.36543077132</v>
      </c>
      <c r="AH156" s="372">
        <v>293372.4384018089</v>
      </c>
      <c r="AI156" s="372">
        <v>308041.06032189942</v>
      </c>
    </row>
    <row r="157" spans="1:35" x14ac:dyDescent="0.25">
      <c r="A157" s="361" t="s">
        <v>357</v>
      </c>
      <c r="B157" s="361">
        <v>591</v>
      </c>
      <c r="C157" s="361" t="s">
        <v>356</v>
      </c>
      <c r="D157" s="361">
        <v>153</v>
      </c>
      <c r="E157" s="361">
        <v>4</v>
      </c>
      <c r="F157" s="361" t="s">
        <v>2374</v>
      </c>
      <c r="G157" s="372">
        <v>19409839.05866259</v>
      </c>
      <c r="H157" s="372">
        <v>21238052.879214592</v>
      </c>
      <c r="I157" s="372">
        <v>22979930.085526101</v>
      </c>
      <c r="J157" s="372">
        <v>24233656.342466421</v>
      </c>
      <c r="K157" s="372">
        <v>24924351.126623418</v>
      </c>
      <c r="L157" s="372">
        <v>25360945.690657359</v>
      </c>
      <c r="M157" s="372">
        <v>26395597.005016822</v>
      </c>
      <c r="N157" s="372">
        <v>28101014.004099537</v>
      </c>
      <c r="O157" s="372">
        <v>30164050.144728567</v>
      </c>
      <c r="P157" s="372">
        <v>31345638.304425236</v>
      </c>
      <c r="Q157" s="372">
        <v>32196789.665609527</v>
      </c>
      <c r="R157" s="372">
        <v>32381687.068116952</v>
      </c>
      <c r="S157" s="372">
        <v>33103523.256493203</v>
      </c>
      <c r="T157" s="372">
        <v>34495690.584636159</v>
      </c>
      <c r="U157" s="372">
        <v>37090483.90893662</v>
      </c>
      <c r="V157" s="372">
        <v>39757764.238506496</v>
      </c>
      <c r="W157" s="372">
        <v>43197791.116773449</v>
      </c>
      <c r="X157" s="372">
        <v>48374608.095078222</v>
      </c>
      <c r="Y157" s="372">
        <v>53142242.504735857</v>
      </c>
      <c r="Z157" s="372">
        <v>53802796.496557318</v>
      </c>
      <c r="AA157" s="372">
        <v>56938337.065033622</v>
      </c>
      <c r="AB157" s="372">
        <v>63380187.782448798</v>
      </c>
      <c r="AC157" s="372">
        <v>69578075.46624139</v>
      </c>
      <c r="AD157" s="372">
        <v>74381239.661725849</v>
      </c>
      <c r="AE157" s="372">
        <v>78149946.077771381</v>
      </c>
      <c r="AF157" s="372">
        <v>82630097.765051574</v>
      </c>
      <c r="AG157" s="372">
        <v>86733855.833418667</v>
      </c>
      <c r="AH157" s="372">
        <v>91349163.949940473</v>
      </c>
      <c r="AI157" s="372">
        <v>94708085.15867202</v>
      </c>
    </row>
    <row r="158" spans="1:35" x14ac:dyDescent="0.25">
      <c r="A158" s="361" t="s">
        <v>359</v>
      </c>
      <c r="B158" s="361">
        <v>598</v>
      </c>
      <c r="C158" s="361" t="s">
        <v>358</v>
      </c>
      <c r="D158" s="361">
        <v>154</v>
      </c>
      <c r="E158" s="361">
        <v>22</v>
      </c>
      <c r="F158" s="361" t="s">
        <v>2374</v>
      </c>
      <c r="G158" s="372">
        <v>10237131.063805053</v>
      </c>
      <c r="H158" s="372">
        <v>11214459.494763104</v>
      </c>
      <c r="I158" s="372">
        <v>12767559.552644497</v>
      </c>
      <c r="J158" s="372">
        <v>15091547.25160191</v>
      </c>
      <c r="K158" s="372">
        <v>15988303.448084887</v>
      </c>
      <c r="L158" s="372">
        <v>15458699.085848438</v>
      </c>
      <c r="M158" s="372">
        <v>16654227.847470595</v>
      </c>
      <c r="N158" s="372">
        <v>16003981.898041733</v>
      </c>
      <c r="O158" s="372">
        <v>15400773.700942788</v>
      </c>
      <c r="P158" s="372">
        <v>15686543.372471109</v>
      </c>
      <c r="Q158" s="372">
        <v>15295188.901227254</v>
      </c>
      <c r="R158" s="372">
        <v>15276637.579890458</v>
      </c>
      <c r="S158" s="372">
        <v>15252362.921338905</v>
      </c>
      <c r="T158" s="372">
        <v>15582439.688967409</v>
      </c>
      <c r="U158" s="372">
        <v>16006465.257636787</v>
      </c>
      <c r="V158" s="372">
        <v>17022042.812735189</v>
      </c>
      <c r="W158" s="372">
        <v>17412607.814933665</v>
      </c>
      <c r="X158" s="372">
        <v>19345020.799794331</v>
      </c>
      <c r="Y158" s="372">
        <v>19288092.957807895</v>
      </c>
      <c r="Z158" s="372">
        <v>20600754.566915736</v>
      </c>
      <c r="AA158" s="372">
        <v>22686516.325512514</v>
      </c>
      <c r="AB158" s="372">
        <v>22937726.618764836</v>
      </c>
      <c r="AC158" s="372">
        <v>24003968.64754672</v>
      </c>
      <c r="AD158" s="372">
        <v>24923304.149664987</v>
      </c>
      <c r="AE158" s="372">
        <v>28287950.209869765</v>
      </c>
      <c r="AF158" s="372">
        <v>30975305.479807384</v>
      </c>
      <c r="AG158" s="372">
        <v>32245293.004479501</v>
      </c>
      <c r="AH158" s="372">
        <v>32745037.277558494</v>
      </c>
      <c r="AI158" s="372">
        <v>32885040.75161906</v>
      </c>
    </row>
    <row r="159" spans="1:35" x14ac:dyDescent="0.25">
      <c r="A159" s="361" t="s">
        <v>361</v>
      </c>
      <c r="B159" s="361">
        <v>600</v>
      </c>
      <c r="C159" s="361" t="s">
        <v>360</v>
      </c>
      <c r="D159" s="361">
        <v>155</v>
      </c>
      <c r="E159" s="361">
        <v>6</v>
      </c>
      <c r="F159" s="361" t="s">
        <v>2374</v>
      </c>
      <c r="G159" s="372">
        <v>33504282.227430381</v>
      </c>
      <c r="H159" s="372">
        <v>34674804.635407716</v>
      </c>
      <c r="I159" s="372">
        <v>35263037.734087951</v>
      </c>
      <c r="J159" s="372">
        <v>37003748.017202437</v>
      </c>
      <c r="K159" s="372">
        <v>38971576.867959738</v>
      </c>
      <c r="L159" s="372">
        <v>41630533.629976757</v>
      </c>
      <c r="M159" s="372">
        <v>42285708.778513543</v>
      </c>
      <c r="N159" s="372">
        <v>44079686.782582201</v>
      </c>
      <c r="O159" s="372">
        <v>44109677.612236299</v>
      </c>
      <c r="P159" s="372">
        <v>43507104.255170152</v>
      </c>
      <c r="Q159" s="372">
        <v>42500288.705556326</v>
      </c>
      <c r="R159" s="372">
        <v>42145813.042976931</v>
      </c>
      <c r="S159" s="372">
        <v>42136791.986677848</v>
      </c>
      <c r="T159" s="372">
        <v>43957415.524183467</v>
      </c>
      <c r="U159" s="372">
        <v>45740951.773842223</v>
      </c>
      <c r="V159" s="372">
        <v>46716830.709834501</v>
      </c>
      <c r="W159" s="372">
        <v>48962563.510763928</v>
      </c>
      <c r="X159" s="372">
        <v>51617129.052870333</v>
      </c>
      <c r="Y159" s="372">
        <v>54899524.639352717</v>
      </c>
      <c r="Z159" s="372">
        <v>54757899.548554242</v>
      </c>
      <c r="AA159" s="372">
        <v>60859975.200507879</v>
      </c>
      <c r="AB159" s="372">
        <v>63445983.128511161</v>
      </c>
      <c r="AC159" s="372">
        <v>63104318.297865815</v>
      </c>
      <c r="AD159" s="372">
        <v>68416121.315032691</v>
      </c>
      <c r="AE159" s="372">
        <v>71741753.967941105</v>
      </c>
      <c r="AF159" s="372">
        <v>73951668.31000331</v>
      </c>
      <c r="AG159" s="372">
        <v>77141133.487960845</v>
      </c>
      <c r="AH159" s="372">
        <v>80965830.553497851</v>
      </c>
      <c r="AI159" s="372">
        <v>83911227.21351175</v>
      </c>
    </row>
    <row r="160" spans="1:35" x14ac:dyDescent="0.25">
      <c r="A160" s="361" t="s">
        <v>363</v>
      </c>
      <c r="B160" s="361">
        <v>604</v>
      </c>
      <c r="C160" s="361" t="s">
        <v>362</v>
      </c>
      <c r="D160" s="361">
        <v>156</v>
      </c>
      <c r="E160" s="361">
        <v>6</v>
      </c>
      <c r="F160" s="361" t="s">
        <v>2353</v>
      </c>
      <c r="G160" s="372">
        <v>115958151.21874416</v>
      </c>
      <c r="H160" s="372">
        <v>118531563.04509422</v>
      </c>
      <c r="I160" s="372">
        <v>117890889.13115755</v>
      </c>
      <c r="J160" s="372">
        <v>124072588.68785085</v>
      </c>
      <c r="K160" s="372">
        <v>139343897.23856747</v>
      </c>
      <c r="L160" s="372">
        <v>149671223.93729281</v>
      </c>
      <c r="M160" s="372">
        <v>153860481.20249617</v>
      </c>
      <c r="N160" s="372">
        <v>163825754.42297536</v>
      </c>
      <c r="O160" s="372">
        <v>163184315.06828129</v>
      </c>
      <c r="P160" s="372">
        <v>165623774.76208782</v>
      </c>
      <c r="Q160" s="372">
        <v>170086294.37767997</v>
      </c>
      <c r="R160" s="372">
        <v>171137244.53757837</v>
      </c>
      <c r="S160" s="372">
        <v>180470263.69245222</v>
      </c>
      <c r="T160" s="372">
        <v>187986891.93003616</v>
      </c>
      <c r="U160" s="372">
        <v>197307664.03279173</v>
      </c>
      <c r="V160" s="372">
        <v>209708569.74329048</v>
      </c>
      <c r="W160" s="372">
        <v>225497316.24600375</v>
      </c>
      <c r="X160" s="372">
        <v>244706052.05274197</v>
      </c>
      <c r="Y160" s="372">
        <v>267039317.03115201</v>
      </c>
      <c r="Z160" s="372">
        <v>269965597.04665953</v>
      </c>
      <c r="AA160" s="372">
        <v>292460370.02487922</v>
      </c>
      <c r="AB160" s="372">
        <v>310964900.33481723</v>
      </c>
      <c r="AC160" s="372">
        <v>330057289.14643204</v>
      </c>
      <c r="AD160" s="372">
        <v>349373952.09996235</v>
      </c>
      <c r="AE160" s="372">
        <v>357695824.0143221</v>
      </c>
      <c r="AF160" s="372">
        <v>369342005.13803291</v>
      </c>
      <c r="AG160" s="372">
        <v>383952738.31512076</v>
      </c>
      <c r="AH160" s="372">
        <v>393624847.725519</v>
      </c>
      <c r="AI160" s="372">
        <v>409277345.77341658</v>
      </c>
    </row>
    <row r="161" spans="1:35" x14ac:dyDescent="0.25">
      <c r="A161" s="361" t="s">
        <v>365</v>
      </c>
      <c r="B161" s="361">
        <v>608</v>
      </c>
      <c r="C161" s="361" t="s">
        <v>364</v>
      </c>
      <c r="D161" s="361">
        <v>157</v>
      </c>
      <c r="E161" s="361">
        <v>21</v>
      </c>
      <c r="F161" s="361" t="s">
        <v>2374</v>
      </c>
      <c r="G161" s="372">
        <v>248421429.8969647</v>
      </c>
      <c r="H161" s="372">
        <v>246984722.68679389</v>
      </c>
      <c r="I161" s="372">
        <v>247818550.59471479</v>
      </c>
      <c r="J161" s="372">
        <v>253063152.3721945</v>
      </c>
      <c r="K161" s="372">
        <v>264166610.31370318</v>
      </c>
      <c r="L161" s="372">
        <v>276526152.95623368</v>
      </c>
      <c r="M161" s="372">
        <v>292691521.97561896</v>
      </c>
      <c r="N161" s="372">
        <v>307868637.7398234</v>
      </c>
      <c r="O161" s="372">
        <v>306093103.43908143</v>
      </c>
      <c r="P161" s="372">
        <v>315526637.17044061</v>
      </c>
      <c r="Q161" s="372">
        <v>329445218.11015582</v>
      </c>
      <c r="R161" s="372">
        <v>338979320.0979889</v>
      </c>
      <c r="S161" s="372">
        <v>351338178.37639934</v>
      </c>
      <c r="T161" s="372">
        <v>368800981.21261656</v>
      </c>
      <c r="U161" s="372">
        <v>393501882.81705272</v>
      </c>
      <c r="V161" s="372">
        <v>412302095.64382267</v>
      </c>
      <c r="W161" s="372">
        <v>433918931.06558776</v>
      </c>
      <c r="X161" s="372">
        <v>462629881.32132947</v>
      </c>
      <c r="Y161" s="372">
        <v>481841775.37503916</v>
      </c>
      <c r="Z161" s="372">
        <v>487374919.73303038</v>
      </c>
      <c r="AA161" s="372">
        <v>524572664.07730037</v>
      </c>
      <c r="AB161" s="372">
        <v>543770720.54851055</v>
      </c>
      <c r="AC161" s="372">
        <v>580115370.63933218</v>
      </c>
      <c r="AD161" s="372">
        <v>621094861.17951071</v>
      </c>
      <c r="AE161" s="372">
        <v>659262996.14214551</v>
      </c>
      <c r="AF161" s="372">
        <v>699257508.21383774</v>
      </c>
      <c r="AG161" s="372">
        <v>747394779.92774296</v>
      </c>
      <c r="AH161" s="372">
        <v>797302466.70370233</v>
      </c>
      <c r="AI161" s="372">
        <v>847083941.73837471</v>
      </c>
    </row>
    <row r="162" spans="1:35" x14ac:dyDescent="0.25">
      <c r="A162" s="361" t="s">
        <v>367</v>
      </c>
      <c r="B162" s="361">
        <v>612</v>
      </c>
      <c r="C162" s="361" t="s">
        <v>366</v>
      </c>
      <c r="D162" s="361">
        <v>158</v>
      </c>
      <c r="E162" s="361">
        <v>24</v>
      </c>
      <c r="F162" s="361" t="s">
        <v>2374</v>
      </c>
      <c r="G162" s="372">
        <v>0</v>
      </c>
      <c r="H162" s="372">
        <v>0</v>
      </c>
      <c r="I162" s="372">
        <v>0</v>
      </c>
      <c r="J162" s="372">
        <v>0</v>
      </c>
      <c r="K162" s="372">
        <v>0</v>
      </c>
      <c r="L162" s="372">
        <v>0</v>
      </c>
      <c r="M162" s="372">
        <v>0</v>
      </c>
      <c r="N162" s="372">
        <v>0</v>
      </c>
      <c r="O162" s="372">
        <v>0</v>
      </c>
      <c r="P162" s="372">
        <v>0</v>
      </c>
      <c r="Q162" s="372">
        <v>0</v>
      </c>
      <c r="R162" s="372">
        <v>0</v>
      </c>
      <c r="S162" s="372">
        <v>0</v>
      </c>
      <c r="T162" s="372">
        <v>0</v>
      </c>
      <c r="U162" s="372">
        <v>0</v>
      </c>
      <c r="V162" s="372">
        <v>0</v>
      </c>
      <c r="W162" s="372">
        <v>0</v>
      </c>
      <c r="X162" s="372">
        <v>0</v>
      </c>
      <c r="Y162" s="372">
        <v>0</v>
      </c>
      <c r="Z162" s="372">
        <v>0</v>
      </c>
      <c r="AA162" s="372">
        <v>0</v>
      </c>
      <c r="AB162" s="372">
        <v>0</v>
      </c>
      <c r="AC162" s="372">
        <v>0</v>
      </c>
      <c r="AD162" s="372">
        <v>0</v>
      </c>
      <c r="AE162" s="372">
        <v>0</v>
      </c>
      <c r="AF162" s="372">
        <v>0</v>
      </c>
      <c r="AG162" s="372">
        <v>0</v>
      </c>
      <c r="AH162" s="372">
        <v>0</v>
      </c>
      <c r="AI162" s="372">
        <v>0</v>
      </c>
    </row>
    <row r="163" spans="1:35" x14ac:dyDescent="0.25">
      <c r="A163" s="361" t="s">
        <v>369</v>
      </c>
      <c r="B163" s="361">
        <v>616</v>
      </c>
      <c r="C163" s="361" t="s">
        <v>368</v>
      </c>
      <c r="D163" s="361">
        <v>159</v>
      </c>
      <c r="E163" s="361">
        <v>12</v>
      </c>
      <c r="F163" s="361" t="s">
        <v>2374</v>
      </c>
      <c r="G163" s="372">
        <v>391650170.12895143</v>
      </c>
      <c r="H163" s="372">
        <v>364173643.81959325</v>
      </c>
      <c r="I163" s="372">
        <v>373332533.10338408</v>
      </c>
      <c r="J163" s="372">
        <v>387288861.67502904</v>
      </c>
      <c r="K163" s="372">
        <v>407787294.52687693</v>
      </c>
      <c r="L163" s="372">
        <v>436136082.5614025</v>
      </c>
      <c r="M163" s="372">
        <v>462550999.14387017</v>
      </c>
      <c r="N163" s="372">
        <v>492428804.93381482</v>
      </c>
      <c r="O163" s="372">
        <v>515153334.87121379</v>
      </c>
      <c r="P163" s="372">
        <v>539066925.72297883</v>
      </c>
      <c r="Q163" s="372">
        <v>563646390.68678892</v>
      </c>
      <c r="R163" s="372">
        <v>570679327.84438682</v>
      </c>
      <c r="S163" s="372">
        <v>582330978.72236562</v>
      </c>
      <c r="T163" s="372">
        <v>603075650.60716951</v>
      </c>
      <c r="U163" s="372">
        <v>634047392.43833089</v>
      </c>
      <c r="V163" s="372">
        <v>656198880.97121596</v>
      </c>
      <c r="W163" s="372">
        <v>696749582.92023015</v>
      </c>
      <c r="X163" s="372">
        <v>745764106.41391277</v>
      </c>
      <c r="Y163" s="372">
        <v>777456734.33195269</v>
      </c>
      <c r="Z163" s="372">
        <v>799382444.55145931</v>
      </c>
      <c r="AA163" s="372">
        <v>828215595.86097538</v>
      </c>
      <c r="AB163" s="372">
        <v>869769693.30929303</v>
      </c>
      <c r="AC163" s="372">
        <v>883754768.78645217</v>
      </c>
      <c r="AD163" s="372">
        <v>896055675.57574511</v>
      </c>
      <c r="AE163" s="372">
        <v>925790794.0559659</v>
      </c>
      <c r="AF163" s="372">
        <v>961331395.00531578</v>
      </c>
      <c r="AG163" s="372">
        <v>990773116.28642535</v>
      </c>
      <c r="AH163" s="372">
        <v>1038470217.5911311</v>
      </c>
      <c r="AI163" s="372">
        <v>1091945868.4189537</v>
      </c>
    </row>
    <row r="164" spans="1:35" x14ac:dyDescent="0.25">
      <c r="A164" s="361" t="s">
        <v>371</v>
      </c>
      <c r="B164" s="361">
        <v>620</v>
      </c>
      <c r="C164" s="361" t="s">
        <v>370</v>
      </c>
      <c r="D164" s="361">
        <v>160</v>
      </c>
      <c r="E164" s="361">
        <v>11</v>
      </c>
      <c r="F164" s="361" t="s">
        <v>2374</v>
      </c>
      <c r="G164" s="372">
        <v>201330838.55248186</v>
      </c>
      <c r="H164" s="372">
        <v>210125385.13266194</v>
      </c>
      <c r="I164" s="372">
        <v>212414651.8946594</v>
      </c>
      <c r="J164" s="372">
        <v>208074432.09525326</v>
      </c>
      <c r="K164" s="372">
        <v>210082013.61809653</v>
      </c>
      <c r="L164" s="372">
        <v>219079365.01688173</v>
      </c>
      <c r="M164" s="372">
        <v>226739875.76332602</v>
      </c>
      <c r="N164" s="372">
        <v>236775861.22159788</v>
      </c>
      <c r="O164" s="372">
        <v>248121619.33020604</v>
      </c>
      <c r="P164" s="372">
        <v>257769117.36877123</v>
      </c>
      <c r="Q164" s="372">
        <v>267532107.22451338</v>
      </c>
      <c r="R164" s="372">
        <v>272731071.03985542</v>
      </c>
      <c r="S164" s="372">
        <v>274827817.4538992</v>
      </c>
      <c r="T164" s="372">
        <v>272260363.39562458</v>
      </c>
      <c r="U164" s="372">
        <v>277192585.93798375</v>
      </c>
      <c r="V164" s="372">
        <v>279318055.53053492</v>
      </c>
      <c r="W164" s="372">
        <v>283656013.68754828</v>
      </c>
      <c r="X164" s="372">
        <v>290724725.28687274</v>
      </c>
      <c r="Y164" s="372">
        <v>291304060.59159166</v>
      </c>
      <c r="Z164" s="372">
        <v>282628721.93272388</v>
      </c>
      <c r="AA164" s="372">
        <v>287994968.53579873</v>
      </c>
      <c r="AB164" s="372">
        <v>282733725.68341613</v>
      </c>
      <c r="AC164" s="372">
        <v>271344485.29898739</v>
      </c>
      <c r="AD164" s="372">
        <v>268277869.79831046</v>
      </c>
      <c r="AE164" s="372">
        <v>270674094.79898733</v>
      </c>
      <c r="AF164" s="372">
        <v>275605954.48619401</v>
      </c>
      <c r="AG164" s="372">
        <v>280913398.38705701</v>
      </c>
      <c r="AH164" s="372">
        <v>288764995.98752224</v>
      </c>
      <c r="AI164" s="372">
        <v>294957880.40795398</v>
      </c>
    </row>
    <row r="165" spans="1:35" x14ac:dyDescent="0.25">
      <c r="A165" s="361" t="s">
        <v>373</v>
      </c>
      <c r="B165" s="361">
        <v>630</v>
      </c>
      <c r="C165" s="361" t="s">
        <v>372</v>
      </c>
      <c r="D165" s="361">
        <v>163</v>
      </c>
      <c r="E165" s="361">
        <v>4</v>
      </c>
      <c r="F165" s="361" t="s">
        <v>2374</v>
      </c>
      <c r="G165" s="372">
        <v>78617551.537887886</v>
      </c>
      <c r="H165" s="372">
        <v>80429207.467279494</v>
      </c>
      <c r="I165" s="372">
        <v>84100038.170112371</v>
      </c>
      <c r="J165" s="372">
        <v>88006087.150990844</v>
      </c>
      <c r="K165" s="372">
        <v>91689985.535937354</v>
      </c>
      <c r="L165" s="372">
        <v>95860952.072392419</v>
      </c>
      <c r="M165" s="372">
        <v>98078894.118408307</v>
      </c>
      <c r="N165" s="372">
        <v>102865229.68530589</v>
      </c>
      <c r="O165" s="372">
        <v>108554423.28914623</v>
      </c>
      <c r="P165" s="372">
        <v>114405180.96275522</v>
      </c>
      <c r="Q165" s="372">
        <v>118148477.90276377</v>
      </c>
      <c r="R165" s="372">
        <v>125607748.44745231</v>
      </c>
      <c r="S165" s="372">
        <v>126758892.44455428</v>
      </c>
      <c r="T165" s="372">
        <v>126826606.79732496</v>
      </c>
      <c r="U165" s="372">
        <v>137922256.8829104</v>
      </c>
      <c r="V165" s="372">
        <v>135181826.13903138</v>
      </c>
      <c r="W165" s="372">
        <v>133276554.52294874</v>
      </c>
      <c r="X165" s="372">
        <v>131726805.83036318</v>
      </c>
      <c r="Y165" s="372">
        <v>129297586.68790504</v>
      </c>
      <c r="Z165" s="372">
        <v>126773148.09776916</v>
      </c>
      <c r="AA165" s="372">
        <v>126249252.84212214</v>
      </c>
      <c r="AB165" s="372">
        <v>125796635.85254952</v>
      </c>
      <c r="AC165" s="372">
        <v>125833462.95668796</v>
      </c>
      <c r="AD165" s="372">
        <v>125447372.34878483</v>
      </c>
      <c r="AE165" s="372">
        <v>123954092.67452563</v>
      </c>
      <c r="AF165" s="372">
        <v>122653264.31866737</v>
      </c>
      <c r="AG165" s="372">
        <v>121104150.00264993</v>
      </c>
      <c r="AH165" s="372">
        <v>117885936.28938964</v>
      </c>
      <c r="AI165" s="372">
        <v>112102892.96855132</v>
      </c>
    </row>
    <row r="166" spans="1:35" x14ac:dyDescent="0.25">
      <c r="A166" s="361" t="s">
        <v>375</v>
      </c>
      <c r="B166" s="361">
        <v>634</v>
      </c>
      <c r="C166" s="361" t="s">
        <v>374</v>
      </c>
      <c r="D166" s="361">
        <v>164</v>
      </c>
      <c r="E166" s="361">
        <v>17</v>
      </c>
      <c r="F166" s="361" t="s">
        <v>2374</v>
      </c>
      <c r="G166" s="372">
        <v>51574789.170131251</v>
      </c>
      <c r="H166" s="372">
        <v>52774069.401549041</v>
      </c>
      <c r="I166" s="372">
        <v>53644914.694647186</v>
      </c>
      <c r="J166" s="372">
        <v>54303733.740059897</v>
      </c>
      <c r="K166" s="372">
        <v>54906026.891043715</v>
      </c>
      <c r="L166" s="372">
        <v>55599172.964299269</v>
      </c>
      <c r="M166" s="372">
        <v>56583394.907717444</v>
      </c>
      <c r="N166" s="372">
        <v>57968387.608379632</v>
      </c>
      <c r="O166" s="372">
        <v>59727079.277766205</v>
      </c>
      <c r="P166" s="372">
        <v>61776630.243007258</v>
      </c>
      <c r="Q166" s="372">
        <v>64156673.602495432</v>
      </c>
      <c r="R166" s="372">
        <v>66657620.466669753</v>
      </c>
      <c r="S166" s="372">
        <v>71445071.915325344</v>
      </c>
      <c r="T166" s="372">
        <v>74102799.038225964</v>
      </c>
      <c r="U166" s="372">
        <v>88344553.238000423</v>
      </c>
      <c r="V166" s="372">
        <v>94963997.265576795</v>
      </c>
      <c r="W166" s="372">
        <v>119816308.65319179</v>
      </c>
      <c r="X166" s="372">
        <v>141366058.70767531</v>
      </c>
      <c r="Y166" s="372">
        <v>166336332.18935323</v>
      </c>
      <c r="Z166" s="372">
        <v>186224437.44676572</v>
      </c>
      <c r="AA166" s="372">
        <v>222710146.62781712</v>
      </c>
      <c r="AB166" s="372">
        <v>252498021.61377546</v>
      </c>
      <c r="AC166" s="372">
        <v>264333258.30443653</v>
      </c>
      <c r="AD166" s="372">
        <v>275991080.90544051</v>
      </c>
      <c r="AE166" s="372">
        <v>286972440.75168836</v>
      </c>
      <c r="AF166" s="372">
        <v>297468487.21719718</v>
      </c>
      <c r="AG166" s="372">
        <v>303808465.55661416</v>
      </c>
      <c r="AH166" s="372">
        <v>308608184.36926782</v>
      </c>
      <c r="AI166" s="372">
        <v>313026367.50523984</v>
      </c>
    </row>
    <row r="167" spans="1:35" x14ac:dyDescent="0.25">
      <c r="A167" s="361" t="s">
        <v>377</v>
      </c>
      <c r="B167" s="361">
        <v>638</v>
      </c>
      <c r="C167" s="361" t="s">
        <v>376</v>
      </c>
      <c r="D167" s="361">
        <v>165</v>
      </c>
      <c r="E167" s="361">
        <v>9</v>
      </c>
      <c r="F167" s="361" t="s">
        <v>2374</v>
      </c>
      <c r="G167" s="372">
        <v>0</v>
      </c>
      <c r="H167" s="372">
        <v>0</v>
      </c>
      <c r="I167" s="372">
        <v>0</v>
      </c>
      <c r="J167" s="372">
        <v>0</v>
      </c>
      <c r="K167" s="372">
        <v>0</v>
      </c>
      <c r="L167" s="372">
        <v>0</v>
      </c>
      <c r="M167" s="372">
        <v>0</v>
      </c>
      <c r="N167" s="372">
        <v>0</v>
      </c>
      <c r="O167" s="372">
        <v>0</v>
      </c>
      <c r="P167" s="372">
        <v>0</v>
      </c>
      <c r="Q167" s="372">
        <v>0</v>
      </c>
      <c r="R167" s="372">
        <v>0</v>
      </c>
      <c r="S167" s="372">
        <v>0</v>
      </c>
      <c r="T167" s="372">
        <v>0</v>
      </c>
      <c r="U167" s="372">
        <v>0</v>
      </c>
      <c r="V167" s="372">
        <v>0</v>
      </c>
      <c r="W167" s="372">
        <v>0</v>
      </c>
      <c r="X167" s="372">
        <v>0</v>
      </c>
      <c r="Y167" s="372">
        <v>0</v>
      </c>
      <c r="Z167" s="372">
        <v>0</v>
      </c>
      <c r="AA167" s="372">
        <v>0</v>
      </c>
      <c r="AB167" s="372">
        <v>0</v>
      </c>
      <c r="AC167" s="372">
        <v>0</v>
      </c>
      <c r="AD167" s="372">
        <v>0</v>
      </c>
      <c r="AE167" s="372">
        <v>0</v>
      </c>
      <c r="AF167" s="372">
        <v>0</v>
      </c>
      <c r="AG167" s="372">
        <v>0</v>
      </c>
      <c r="AH167" s="372">
        <v>0</v>
      </c>
      <c r="AI167" s="372">
        <v>0</v>
      </c>
    </row>
    <row r="168" spans="1:35" x14ac:dyDescent="0.25">
      <c r="A168" s="361" t="s">
        <v>379</v>
      </c>
      <c r="B168" s="361">
        <v>642</v>
      </c>
      <c r="C168" s="361" t="s">
        <v>378</v>
      </c>
      <c r="D168" s="361">
        <v>166</v>
      </c>
      <c r="E168" s="361">
        <v>12</v>
      </c>
      <c r="F168" s="361" t="s">
        <v>2374</v>
      </c>
      <c r="G168" s="372">
        <v>265560051.8668507</v>
      </c>
      <c r="H168" s="372">
        <v>231254444.75079694</v>
      </c>
      <c r="I168" s="372">
        <v>210979839.27343741</v>
      </c>
      <c r="J168" s="372">
        <v>214205371.83720693</v>
      </c>
      <c r="K168" s="372">
        <v>222627804.38162634</v>
      </c>
      <c r="L168" s="372">
        <v>236505334.13369429</v>
      </c>
      <c r="M168" s="372">
        <v>245747258.01425016</v>
      </c>
      <c r="N168" s="372">
        <v>233830819.2962974</v>
      </c>
      <c r="O168" s="372">
        <v>229084491.14867687</v>
      </c>
      <c r="P168" s="372">
        <v>228221619.88753185</v>
      </c>
      <c r="Q168" s="372">
        <v>233838755.22387943</v>
      </c>
      <c r="R168" s="372">
        <v>246040780.09251934</v>
      </c>
      <c r="S168" s="372">
        <v>260072465.23786744</v>
      </c>
      <c r="T168" s="372">
        <v>266161144.81175601</v>
      </c>
      <c r="U168" s="372">
        <v>293916729.80298847</v>
      </c>
      <c r="V168" s="372">
        <v>307637197.89640486</v>
      </c>
      <c r="W168" s="372">
        <v>332336807.3149817</v>
      </c>
      <c r="X168" s="372">
        <v>356377413.01745909</v>
      </c>
      <c r="Y168" s="372">
        <v>389547123.73811054</v>
      </c>
      <c r="Z168" s="372">
        <v>368054272.51624727</v>
      </c>
      <c r="AA168" s="372">
        <v>353695605.7060681</v>
      </c>
      <c r="AB168" s="372">
        <v>360794829.13948542</v>
      </c>
      <c r="AC168" s="372">
        <v>368289133.07576847</v>
      </c>
      <c r="AD168" s="372">
        <v>381232845.44653106</v>
      </c>
      <c r="AE168" s="372">
        <v>394235970.03189397</v>
      </c>
      <c r="AF168" s="372">
        <v>409498903.61736214</v>
      </c>
      <c r="AG168" s="372">
        <v>429158126.59872603</v>
      </c>
      <c r="AH168" s="372">
        <v>459162260.1522786</v>
      </c>
      <c r="AI168" s="372">
        <v>477968049.19178426</v>
      </c>
    </row>
    <row r="169" spans="1:35" x14ac:dyDescent="0.25">
      <c r="A169" s="369" t="s">
        <v>381</v>
      </c>
      <c r="B169" s="361">
        <v>643</v>
      </c>
      <c r="C169" s="361" t="s">
        <v>380</v>
      </c>
      <c r="D169" s="361">
        <v>167</v>
      </c>
      <c r="E169" s="361">
        <v>16</v>
      </c>
      <c r="F169" s="361" t="s">
        <v>2374</v>
      </c>
      <c r="G169" s="372">
        <v>3094515787.3507781</v>
      </c>
      <c r="H169" s="372">
        <v>2938337449.2519374</v>
      </c>
      <c r="I169" s="372">
        <v>2511365466.776639</v>
      </c>
      <c r="J169" s="372">
        <v>2293666738.1694055</v>
      </c>
      <c r="K169" s="372">
        <v>2005358426.1952207</v>
      </c>
      <c r="L169" s="372">
        <v>1922265830.1694176</v>
      </c>
      <c r="M169" s="372">
        <v>1850083413.4401486</v>
      </c>
      <c r="N169" s="372">
        <v>1875983023.5469499</v>
      </c>
      <c r="O169" s="372">
        <v>1776556643.2003453</v>
      </c>
      <c r="P169" s="372">
        <v>1890254752.7833002</v>
      </c>
      <c r="Q169" s="372">
        <v>2079281491.0465209</v>
      </c>
      <c r="R169" s="372">
        <v>2185325912.20715</v>
      </c>
      <c r="S169" s="372">
        <v>2288036053.2630019</v>
      </c>
      <c r="T169" s="372">
        <v>2455061594.7742453</v>
      </c>
      <c r="U169" s="372">
        <v>2631824749.773304</v>
      </c>
      <c r="V169" s="372">
        <v>2800260624.4096789</v>
      </c>
      <c r="W169" s="372">
        <v>3029883906.928401</v>
      </c>
      <c r="X169" s="372">
        <v>3287423365.4253769</v>
      </c>
      <c r="Y169" s="372">
        <v>3458368370.0395837</v>
      </c>
      <c r="Z169" s="372">
        <v>3188615847.6739798</v>
      </c>
      <c r="AA169" s="372">
        <v>3332103560.8193073</v>
      </c>
      <c r="AB169" s="372">
        <v>3475384986.4329004</v>
      </c>
      <c r="AC169" s="372">
        <v>3603976213.8171926</v>
      </c>
      <c r="AD169" s="372">
        <v>3668847790.717844</v>
      </c>
      <c r="AE169" s="372">
        <v>3694529704.3294191</v>
      </c>
      <c r="AF169" s="372">
        <v>3609269804.4784884</v>
      </c>
      <c r="AG169" s="372">
        <v>3621154492.276197</v>
      </c>
      <c r="AH169" s="372">
        <v>3680186405.9494023</v>
      </c>
      <c r="AI169" s="372">
        <v>3763168723.0519905</v>
      </c>
    </row>
    <row r="170" spans="1:35" x14ac:dyDescent="0.25">
      <c r="A170" s="361" t="s">
        <v>383</v>
      </c>
      <c r="B170" s="361">
        <v>646</v>
      </c>
      <c r="C170" s="361" t="s">
        <v>382</v>
      </c>
      <c r="D170" s="361">
        <v>168</v>
      </c>
      <c r="E170" s="361">
        <v>9</v>
      </c>
      <c r="F170" s="361" t="s">
        <v>2374</v>
      </c>
      <c r="G170" s="372">
        <v>6326889.4274461679</v>
      </c>
      <c r="H170" s="372">
        <v>6167807.406978366</v>
      </c>
      <c r="I170" s="372">
        <v>6530025.7889808295</v>
      </c>
      <c r="J170" s="372">
        <v>6000526.1184908189</v>
      </c>
      <c r="K170" s="372">
        <v>2985377.7278185864</v>
      </c>
      <c r="L170" s="372">
        <v>4036949.516450332</v>
      </c>
      <c r="M170" s="372">
        <v>4551486.8196848603</v>
      </c>
      <c r="N170" s="372">
        <v>5181856.4786457019</v>
      </c>
      <c r="O170" s="372">
        <v>5640900.0178279998</v>
      </c>
      <c r="P170" s="372">
        <v>5881358.0965858428</v>
      </c>
      <c r="Q170" s="372">
        <v>6373681.3157977415</v>
      </c>
      <c r="R170" s="372">
        <v>6914458.835386266</v>
      </c>
      <c r="S170" s="372">
        <v>7826618.752390272</v>
      </c>
      <c r="T170" s="372">
        <v>7998990.3578579817</v>
      </c>
      <c r="U170" s="372">
        <v>8594731.1162351612</v>
      </c>
      <c r="V170" s="372">
        <v>9400734.3158254921</v>
      </c>
      <c r="W170" s="372">
        <v>10268148.671318891</v>
      </c>
      <c r="X170" s="372">
        <v>11056903.184117345</v>
      </c>
      <c r="Y170" s="372">
        <v>12291655.581023337</v>
      </c>
      <c r="Z170" s="372">
        <v>13060578.172097638</v>
      </c>
      <c r="AA170" s="372">
        <v>14018988.842620036</v>
      </c>
      <c r="AB170" s="372">
        <v>15110215.757468706</v>
      </c>
      <c r="AC170" s="372">
        <v>16442985.308701249</v>
      </c>
      <c r="AD170" s="372">
        <v>17218033.760041457</v>
      </c>
      <c r="AE170" s="372">
        <v>18530835.786666263</v>
      </c>
      <c r="AF170" s="372">
        <v>20174146.11152228</v>
      </c>
      <c r="AG170" s="372">
        <v>21380825.321454301</v>
      </c>
      <c r="AH170" s="372">
        <v>22676039.654078282</v>
      </c>
      <c r="AI170" s="372">
        <v>24642434.019289263</v>
      </c>
    </row>
    <row r="171" spans="1:35" x14ac:dyDescent="0.25">
      <c r="A171" s="361" t="s">
        <v>385</v>
      </c>
      <c r="B171" s="361">
        <v>882</v>
      </c>
      <c r="C171" s="361" t="s">
        <v>384</v>
      </c>
      <c r="D171" s="361">
        <v>221</v>
      </c>
      <c r="E171" s="361">
        <v>24</v>
      </c>
      <c r="F171" s="361" t="s">
        <v>2374</v>
      </c>
      <c r="G171" s="372">
        <v>594321.52206249174</v>
      </c>
      <c r="H171" s="372">
        <v>580652.08531555079</v>
      </c>
      <c r="I171" s="372">
        <v>579490.83717362268</v>
      </c>
      <c r="J171" s="372">
        <v>603249.89017708797</v>
      </c>
      <c r="K171" s="372">
        <v>587914.69627302536</v>
      </c>
      <c r="L171" s="372">
        <v>627150.01768902538</v>
      </c>
      <c r="M171" s="372">
        <v>672172.90358031413</v>
      </c>
      <c r="N171" s="372">
        <v>676497.8306150334</v>
      </c>
      <c r="O171" s="372">
        <v>691346.18898741598</v>
      </c>
      <c r="P171" s="372">
        <v>706455.1372337332</v>
      </c>
      <c r="Q171" s="372">
        <v>755333.28673615633</v>
      </c>
      <c r="R171" s="372">
        <v>807751.64807090862</v>
      </c>
      <c r="S171" s="372">
        <v>842840.34408550907</v>
      </c>
      <c r="T171" s="372">
        <v>880898.62403388799</v>
      </c>
      <c r="U171" s="372">
        <v>921640.20255189529</v>
      </c>
      <c r="V171" s="372">
        <v>959948.10478692222</v>
      </c>
      <c r="W171" s="372">
        <v>978847.63921534491</v>
      </c>
      <c r="X171" s="372">
        <v>1040736.6688520809</v>
      </c>
      <c r="Y171" s="372">
        <v>1051238.6037186624</v>
      </c>
      <c r="Z171" s="372">
        <v>1000692.1901820236</v>
      </c>
      <c r="AA171" s="372">
        <v>1005487.0939999648</v>
      </c>
      <c r="AB171" s="372">
        <v>1063589.6111298732</v>
      </c>
      <c r="AC171" s="372">
        <v>1067866.3434524576</v>
      </c>
      <c r="AD171" s="372">
        <v>1047215.316670294</v>
      </c>
      <c r="AE171" s="372">
        <v>1061842.3804671923</v>
      </c>
      <c r="AF171" s="372">
        <v>1077250.3991508393</v>
      </c>
      <c r="AG171" s="372">
        <v>1154483.0207299036</v>
      </c>
      <c r="AH171" s="372">
        <v>1185709.4338775061</v>
      </c>
      <c r="AI171" s="372">
        <v>1194295.0492214076</v>
      </c>
    </row>
    <row r="172" spans="1:35" x14ac:dyDescent="0.25">
      <c r="A172" s="361" t="s">
        <v>387</v>
      </c>
      <c r="B172" s="361">
        <v>674</v>
      </c>
      <c r="C172" s="361" t="s">
        <v>424</v>
      </c>
      <c r="D172" s="361">
        <v>175</v>
      </c>
      <c r="E172" s="361">
        <v>11</v>
      </c>
      <c r="F172" s="361" t="s">
        <v>2374</v>
      </c>
      <c r="G172" s="372">
        <v>0</v>
      </c>
      <c r="H172" s="372">
        <v>0</v>
      </c>
      <c r="I172" s="372">
        <v>0</v>
      </c>
      <c r="J172" s="372">
        <v>0</v>
      </c>
      <c r="K172" s="372">
        <v>0</v>
      </c>
      <c r="L172" s="372">
        <v>0</v>
      </c>
      <c r="M172" s="372">
        <v>0</v>
      </c>
      <c r="N172" s="372">
        <v>0</v>
      </c>
      <c r="O172" s="372">
        <v>0</v>
      </c>
      <c r="P172" s="372">
        <v>0</v>
      </c>
      <c r="Q172" s="372">
        <v>0</v>
      </c>
      <c r="R172" s="372">
        <v>0</v>
      </c>
      <c r="S172" s="372">
        <v>0</v>
      </c>
      <c r="T172" s="372">
        <v>0</v>
      </c>
      <c r="U172" s="372">
        <v>0</v>
      </c>
      <c r="V172" s="372">
        <v>0</v>
      </c>
      <c r="W172" s="372">
        <v>0</v>
      </c>
      <c r="X172" s="372">
        <v>0</v>
      </c>
      <c r="Y172" s="372">
        <v>0</v>
      </c>
      <c r="Z172" s="372">
        <v>0</v>
      </c>
      <c r="AA172" s="372">
        <v>0</v>
      </c>
      <c r="AB172" s="372">
        <v>0</v>
      </c>
      <c r="AC172" s="372">
        <v>0</v>
      </c>
      <c r="AD172" s="372">
        <v>0</v>
      </c>
      <c r="AE172" s="372">
        <v>0</v>
      </c>
      <c r="AF172" s="372">
        <v>0</v>
      </c>
      <c r="AG172" s="372">
        <v>0</v>
      </c>
      <c r="AH172" s="372">
        <v>0</v>
      </c>
      <c r="AI172" s="372">
        <v>0</v>
      </c>
    </row>
    <row r="173" spans="1:35" x14ac:dyDescent="0.25">
      <c r="A173" s="361" t="s">
        <v>389</v>
      </c>
      <c r="B173" s="361">
        <v>678</v>
      </c>
      <c r="C173" s="361" t="s">
        <v>388</v>
      </c>
      <c r="D173" s="361">
        <v>176</v>
      </c>
      <c r="E173" s="361">
        <v>8</v>
      </c>
      <c r="F173" s="361" t="s">
        <v>2374</v>
      </c>
      <c r="G173" s="372">
        <v>235308.1707802788</v>
      </c>
      <c r="H173" s="372">
        <v>240730.50923738716</v>
      </c>
      <c r="I173" s="372">
        <v>245902.16076910309</v>
      </c>
      <c r="J173" s="372">
        <v>250809.30798583818</v>
      </c>
      <c r="K173" s="372">
        <v>255477.61175397111</v>
      </c>
      <c r="L173" s="372">
        <v>259920.88946309051</v>
      </c>
      <c r="M173" s="372">
        <v>264121.37589801097</v>
      </c>
      <c r="N173" s="372">
        <v>268120.52322749811</v>
      </c>
      <c r="O173" s="372">
        <v>272099.93142900179</v>
      </c>
      <c r="P173" s="372">
        <v>276266.86134635005</v>
      </c>
      <c r="Q173" s="372">
        <v>280812.78252098436</v>
      </c>
      <c r="R173" s="372">
        <v>285733.74712730799</v>
      </c>
      <c r="S173" s="372">
        <v>292525.28818965633</v>
      </c>
      <c r="T173" s="372">
        <v>311754.35815214674</v>
      </c>
      <c r="U173" s="372">
        <v>323701.49310092739</v>
      </c>
      <c r="V173" s="372">
        <v>346664.13395900681</v>
      </c>
      <c r="W173" s="372">
        <v>378264.81110750593</v>
      </c>
      <c r="X173" s="372">
        <v>390572.05358869454</v>
      </c>
      <c r="Y173" s="372">
        <v>422544.95296634821</v>
      </c>
      <c r="Z173" s="372">
        <v>432797.08233646245</v>
      </c>
      <c r="AA173" s="372">
        <v>461673.24013570155</v>
      </c>
      <c r="AB173" s="372">
        <v>481978.56036267267</v>
      </c>
      <c r="AC173" s="372">
        <v>497122.21033868956</v>
      </c>
      <c r="AD173" s="372">
        <v>521057.62261516962</v>
      </c>
      <c r="AE173" s="372">
        <v>555186.548308647</v>
      </c>
      <c r="AF173" s="372">
        <v>576274.74825097783</v>
      </c>
      <c r="AG173" s="372">
        <v>600319.10753194278</v>
      </c>
      <c r="AH173" s="372">
        <v>623558.57646200003</v>
      </c>
      <c r="AI173" s="372">
        <v>640130.85381779214</v>
      </c>
    </row>
    <row r="174" spans="1:35" x14ac:dyDescent="0.25">
      <c r="A174" s="361" t="s">
        <v>391</v>
      </c>
      <c r="B174" s="361">
        <v>682</v>
      </c>
      <c r="C174" s="361" t="s">
        <v>390</v>
      </c>
      <c r="D174" s="361">
        <v>177</v>
      </c>
      <c r="E174" s="361">
        <v>17</v>
      </c>
      <c r="F174" s="361" t="s">
        <v>2374</v>
      </c>
      <c r="G174" s="372">
        <v>693189460.32261264</v>
      </c>
      <c r="H174" s="372">
        <v>797222504.44115794</v>
      </c>
      <c r="I174" s="372">
        <v>829012072.03846705</v>
      </c>
      <c r="J174" s="372">
        <v>817706490.95865393</v>
      </c>
      <c r="K174" s="372">
        <v>822275182.18087769</v>
      </c>
      <c r="L174" s="372">
        <v>824019156.69497502</v>
      </c>
      <c r="M174" s="372">
        <v>845752037.48595989</v>
      </c>
      <c r="N174" s="372">
        <v>855087296.65096068</v>
      </c>
      <c r="O174" s="372">
        <v>879828072.00082684</v>
      </c>
      <c r="P174" s="372">
        <v>846717632.2442441</v>
      </c>
      <c r="Q174" s="372">
        <v>894349022.61061215</v>
      </c>
      <c r="R174" s="372">
        <v>883520746.70696247</v>
      </c>
      <c r="S174" s="372">
        <v>858612755.95922208</v>
      </c>
      <c r="T174" s="372">
        <v>955138529.04840684</v>
      </c>
      <c r="U174" s="372">
        <v>1031152671.6900424</v>
      </c>
      <c r="V174" s="372">
        <v>1088627576.1331546</v>
      </c>
      <c r="W174" s="372">
        <v>1118982891.717869</v>
      </c>
      <c r="X174" s="372">
        <v>1139651963.2211449</v>
      </c>
      <c r="Y174" s="372">
        <v>1210877621.1180038</v>
      </c>
      <c r="Z174" s="372">
        <v>1185942403.399986</v>
      </c>
      <c r="AA174" s="372">
        <v>1245707895.807447</v>
      </c>
      <c r="AB174" s="372">
        <v>1370239542.6760106</v>
      </c>
      <c r="AC174" s="372">
        <v>1444389300.5555921</v>
      </c>
      <c r="AD174" s="372">
        <v>1483377046.9629431</v>
      </c>
      <c r="AE174" s="372">
        <v>1537557122.1093521</v>
      </c>
      <c r="AF174" s="372">
        <v>1600695504.155067</v>
      </c>
      <c r="AG174" s="372">
        <v>1627437401.1001174</v>
      </c>
      <c r="AH174" s="372">
        <v>1615369465.733012</v>
      </c>
      <c r="AI174" s="372">
        <v>1651149394.1733024</v>
      </c>
    </row>
    <row r="175" spans="1:35" x14ac:dyDescent="0.25">
      <c r="A175" s="361" t="s">
        <v>393</v>
      </c>
      <c r="B175" s="361">
        <v>686</v>
      </c>
      <c r="C175" s="361" t="s">
        <v>392</v>
      </c>
      <c r="D175" s="361">
        <v>178</v>
      </c>
      <c r="E175" s="361">
        <v>8</v>
      </c>
      <c r="F175" s="361" t="s">
        <v>2374</v>
      </c>
      <c r="G175" s="372">
        <v>17486214.132829238</v>
      </c>
      <c r="H175" s="372">
        <v>17933131.241988607</v>
      </c>
      <c r="I175" s="372">
        <v>18155976.800175227</v>
      </c>
      <c r="J175" s="372">
        <v>18392146.189196076</v>
      </c>
      <c r="K175" s="372">
        <v>18388959.076931465</v>
      </c>
      <c r="L175" s="372">
        <v>19375245.911158375</v>
      </c>
      <c r="M175" s="372">
        <v>19765100.099900007</v>
      </c>
      <c r="N175" s="372">
        <v>20382568.405300643</v>
      </c>
      <c r="O175" s="372">
        <v>21584869.375551797</v>
      </c>
      <c r="P175" s="372">
        <v>22954886.028940886</v>
      </c>
      <c r="Q175" s="372">
        <v>23689210.08658728</v>
      </c>
      <c r="R175" s="372">
        <v>24774393.006371353</v>
      </c>
      <c r="S175" s="372">
        <v>24936616.635439172</v>
      </c>
      <c r="T175" s="372">
        <v>26603187.625021126</v>
      </c>
      <c r="U175" s="372">
        <v>28165000.171901647</v>
      </c>
      <c r="V175" s="372">
        <v>29748607.402689174</v>
      </c>
      <c r="W175" s="372">
        <v>30480890.273460995</v>
      </c>
      <c r="X175" s="372">
        <v>31986184.492821861</v>
      </c>
      <c r="Y175" s="372">
        <v>33283664.316310145</v>
      </c>
      <c r="Z175" s="372">
        <v>33980134.006877363</v>
      </c>
      <c r="AA175" s="372">
        <v>35190759.664596789</v>
      </c>
      <c r="AB175" s="372">
        <v>35703977.71679382</v>
      </c>
      <c r="AC175" s="372">
        <v>37531091.015033044</v>
      </c>
      <c r="AD175" s="372">
        <v>38590258.054657169</v>
      </c>
      <c r="AE175" s="372">
        <v>41142260.662980571</v>
      </c>
      <c r="AF175" s="372">
        <v>43761896.779260784</v>
      </c>
      <c r="AG175" s="372">
        <v>46543576.582039706</v>
      </c>
      <c r="AH175" s="372">
        <v>49840221.942713663</v>
      </c>
      <c r="AI175" s="372">
        <v>53212557.801698193</v>
      </c>
    </row>
    <row r="176" spans="1:35" x14ac:dyDescent="0.25">
      <c r="A176" s="361" t="s">
        <v>395</v>
      </c>
      <c r="B176" s="361">
        <v>0</v>
      </c>
      <c r="C176" s="370" t="s">
        <v>2500</v>
      </c>
      <c r="D176" s="361">
        <v>223</v>
      </c>
      <c r="E176" s="361">
        <v>12</v>
      </c>
      <c r="F176" s="361" t="s">
        <v>2374</v>
      </c>
      <c r="G176" s="372">
        <v>67584485.465501487</v>
      </c>
      <c r="H176" s="372">
        <v>68157794.657504931</v>
      </c>
      <c r="I176" s="372">
        <v>68822742.342061758</v>
      </c>
      <c r="J176" s="372">
        <v>69461623.847937539</v>
      </c>
      <c r="K176" s="372">
        <v>69912546.061277136</v>
      </c>
      <c r="L176" s="372">
        <v>70064961.171062261</v>
      </c>
      <c r="M176" s="372">
        <v>71543999.590137422</v>
      </c>
      <c r="N176" s="372">
        <v>76041561.371562347</v>
      </c>
      <c r="O176" s="372">
        <v>77772613.512139022</v>
      </c>
      <c r="P176" s="372">
        <v>69402336.638553187</v>
      </c>
      <c r="Q176" s="372">
        <v>73813831.627558157</v>
      </c>
      <c r="R176" s="372">
        <v>78983070.356996879</v>
      </c>
      <c r="S176" s="372">
        <v>83491337.274573132</v>
      </c>
      <c r="T176" s="372">
        <v>87207749.18646647</v>
      </c>
      <c r="U176" s="372">
        <v>94113981.872787833</v>
      </c>
      <c r="V176" s="372">
        <v>99287139.604823381</v>
      </c>
      <c r="W176" s="372">
        <v>108244078.94612482</v>
      </c>
      <c r="X176" s="372">
        <v>115344711.16292964</v>
      </c>
      <c r="Y176" s="372">
        <v>121613436.54713623</v>
      </c>
      <c r="Z176" s="372">
        <v>118815285.30162579</v>
      </c>
      <c r="AA176" s="372">
        <v>120204044.02773932</v>
      </c>
      <c r="AB176" s="372">
        <v>123145402.22476915</v>
      </c>
      <c r="AC176" s="372">
        <v>122649532.94820887</v>
      </c>
      <c r="AD176" s="372">
        <v>126336238.10752919</v>
      </c>
      <c r="AE176" s="372">
        <v>125069874.46862087</v>
      </c>
      <c r="AF176" s="372">
        <v>127807651.89719008</v>
      </c>
      <c r="AG176" s="372">
        <v>132157893.50509393</v>
      </c>
      <c r="AH176" s="372">
        <v>135501652.31397018</v>
      </c>
      <c r="AI176" s="372">
        <v>141359316.42211929</v>
      </c>
    </row>
    <row r="177" spans="1:35" x14ac:dyDescent="0.25">
      <c r="A177" s="361" t="s">
        <v>397</v>
      </c>
      <c r="B177" s="361">
        <v>690</v>
      </c>
      <c r="C177" s="361" t="s">
        <v>396</v>
      </c>
      <c r="D177" s="361">
        <v>179</v>
      </c>
      <c r="E177" s="361">
        <v>9</v>
      </c>
      <c r="F177" s="361" t="s">
        <v>2374</v>
      </c>
      <c r="G177" s="372">
        <v>988148.34359528916</v>
      </c>
      <c r="H177" s="372">
        <v>1015425.4483721397</v>
      </c>
      <c r="I177" s="372">
        <v>1088144.8040948967</v>
      </c>
      <c r="J177" s="372">
        <v>1155573.3265736958</v>
      </c>
      <c r="K177" s="372">
        <v>1146343.7970917153</v>
      </c>
      <c r="L177" s="372">
        <v>1136879.0970802442</v>
      </c>
      <c r="M177" s="372">
        <v>1192785.4148587605</v>
      </c>
      <c r="N177" s="372">
        <v>1335461.1100269905</v>
      </c>
      <c r="O177" s="372">
        <v>1447685.229253114</v>
      </c>
      <c r="P177" s="372">
        <v>1474785.9921092461</v>
      </c>
      <c r="Q177" s="372">
        <v>1497119.2488218651</v>
      </c>
      <c r="R177" s="372">
        <v>1463117.2339471886</v>
      </c>
      <c r="S177" s="372">
        <v>1480862.3772357071</v>
      </c>
      <c r="T177" s="372">
        <v>1393682.120580419</v>
      </c>
      <c r="U177" s="372">
        <v>1353955.8575794431</v>
      </c>
      <c r="V177" s="372">
        <v>1475889.8919573233</v>
      </c>
      <c r="W177" s="372">
        <v>1614713.9825558988</v>
      </c>
      <c r="X177" s="372">
        <v>1782990.3686188003</v>
      </c>
      <c r="Y177" s="372">
        <v>1744711.4793490183</v>
      </c>
      <c r="Z177" s="372">
        <v>1725428.1291153687</v>
      </c>
      <c r="AA177" s="372">
        <v>1828176.7266289946</v>
      </c>
      <c r="AB177" s="372">
        <v>1972370.1365850915</v>
      </c>
      <c r="AC177" s="372">
        <v>1997238.3479820825</v>
      </c>
      <c r="AD177" s="372">
        <v>2117433.6861346415</v>
      </c>
      <c r="AE177" s="372">
        <v>2212819.526374503</v>
      </c>
      <c r="AF177" s="372">
        <v>2322074.9594415971</v>
      </c>
      <c r="AG177" s="372">
        <v>2426638.7533968436</v>
      </c>
      <c r="AH177" s="372">
        <v>2531770.1619432769</v>
      </c>
      <c r="AI177" s="372">
        <v>2623606.3669839138</v>
      </c>
    </row>
    <row r="178" spans="1:35" x14ac:dyDescent="0.25">
      <c r="A178" s="361" t="s">
        <v>399</v>
      </c>
      <c r="B178" s="361">
        <v>694</v>
      </c>
      <c r="C178" s="361" t="s">
        <v>398</v>
      </c>
      <c r="D178" s="361">
        <v>180</v>
      </c>
      <c r="E178" s="361">
        <v>8</v>
      </c>
      <c r="F178" s="361" t="s">
        <v>2374</v>
      </c>
      <c r="G178" s="372">
        <v>5392787.8743014857</v>
      </c>
      <c r="H178" s="372">
        <v>5519624.1227569124</v>
      </c>
      <c r="I178" s="372">
        <v>4470182.9761780659</v>
      </c>
      <c r="J178" s="372">
        <v>4531627.8485043114</v>
      </c>
      <c r="K178" s="372">
        <v>4443379.6376816165</v>
      </c>
      <c r="L178" s="372">
        <v>4087920.2291215924</v>
      </c>
      <c r="M178" s="372">
        <v>4159615.0488809654</v>
      </c>
      <c r="N178" s="372">
        <v>3915151.060955748</v>
      </c>
      <c r="O178" s="372">
        <v>3985037.0665281676</v>
      </c>
      <c r="P178" s="372">
        <v>3906161.8021813873</v>
      </c>
      <c r="Q178" s="372">
        <v>4166028.1176167955</v>
      </c>
      <c r="R178" s="372">
        <v>3901674.6717386153</v>
      </c>
      <c r="S178" s="372">
        <v>4932392.4224791564</v>
      </c>
      <c r="T178" s="372">
        <v>5391752.0954494858</v>
      </c>
      <c r="U178" s="372">
        <v>5747496.9257103577</v>
      </c>
      <c r="V178" s="372">
        <v>6006427.1609359914</v>
      </c>
      <c r="W178" s="372">
        <v>6260133.4954537414</v>
      </c>
      <c r="X178" s="372">
        <v>6764584.1392444093</v>
      </c>
      <c r="Y178" s="372">
        <v>7129755.6843246855</v>
      </c>
      <c r="Z178" s="372">
        <v>7357055.9470853303</v>
      </c>
      <c r="AA178" s="372">
        <v>7750398.4457505057</v>
      </c>
      <c r="AB178" s="372">
        <v>8239839.5980982734</v>
      </c>
      <c r="AC178" s="372">
        <v>9490793.0186930038</v>
      </c>
      <c r="AD178" s="372">
        <v>11456883.708937237</v>
      </c>
      <c r="AE178" s="372">
        <v>11978947.819808366</v>
      </c>
      <c r="AF178" s="372">
        <v>9511431.8242882546</v>
      </c>
      <c r="AG178" s="372">
        <v>10087394.108172445</v>
      </c>
      <c r="AH178" s="372">
        <v>10512192.698576722</v>
      </c>
      <c r="AI178" s="372">
        <v>10904082.570196347</v>
      </c>
    </row>
    <row r="179" spans="1:35" x14ac:dyDescent="0.25">
      <c r="A179" s="361" t="s">
        <v>401</v>
      </c>
      <c r="B179" s="361">
        <v>702</v>
      </c>
      <c r="C179" s="361" t="s">
        <v>400</v>
      </c>
      <c r="D179" s="361">
        <v>181</v>
      </c>
      <c r="E179" s="361">
        <v>21</v>
      </c>
      <c r="F179" s="361" t="s">
        <v>2374</v>
      </c>
      <c r="G179" s="372">
        <v>106380680.13132416</v>
      </c>
      <c r="H179" s="372">
        <v>113495922.21859901</v>
      </c>
      <c r="I179" s="372">
        <v>121031668.86013301</v>
      </c>
      <c r="J179" s="372">
        <v>134905377.79758465</v>
      </c>
      <c r="K179" s="372">
        <v>149876647.19725412</v>
      </c>
      <c r="L179" s="372">
        <v>160669234.29322624</v>
      </c>
      <c r="M179" s="372">
        <v>172673332.04928011</v>
      </c>
      <c r="N179" s="372">
        <v>187039445.283429</v>
      </c>
      <c r="O179" s="372">
        <v>182933316.3561919</v>
      </c>
      <c r="P179" s="372">
        <v>193404424.45226279</v>
      </c>
      <c r="Q179" s="372">
        <v>210886628.94807693</v>
      </c>
      <c r="R179" s="372">
        <v>208632027.32762438</v>
      </c>
      <c r="S179" s="372">
        <v>216799293.37357292</v>
      </c>
      <c r="T179" s="372">
        <v>226632890.42002606</v>
      </c>
      <c r="U179" s="372">
        <v>248887167.97265932</v>
      </c>
      <c r="V179" s="372">
        <v>267202864.78573683</v>
      </c>
      <c r="W179" s="372">
        <v>291264985.10467327</v>
      </c>
      <c r="X179" s="372">
        <v>317543251.57575816</v>
      </c>
      <c r="Y179" s="372">
        <v>323475633.96092278</v>
      </c>
      <c r="Z179" s="372">
        <v>323867051.80119562</v>
      </c>
      <c r="AA179" s="372">
        <v>370910835.4004305</v>
      </c>
      <c r="AB179" s="372">
        <v>394138265.07306302</v>
      </c>
      <c r="AC179" s="372">
        <v>411674721.19271672</v>
      </c>
      <c r="AD179" s="372">
        <v>431497044.4268834</v>
      </c>
      <c r="AE179" s="372">
        <v>448327902.61961079</v>
      </c>
      <c r="AF179" s="372">
        <v>461295783.74134612</v>
      </c>
      <c r="AG179" s="372">
        <v>474960874.48672366</v>
      </c>
      <c r="AH179" s="372">
        <v>492533389.41660023</v>
      </c>
      <c r="AI179" s="372">
        <v>507996300.53994107</v>
      </c>
    </row>
    <row r="180" spans="1:35" x14ac:dyDescent="0.25">
      <c r="A180" s="361" t="s">
        <v>403</v>
      </c>
      <c r="B180" s="361">
        <v>703</v>
      </c>
      <c r="C180" s="361" t="s">
        <v>402</v>
      </c>
      <c r="D180" s="361">
        <v>182</v>
      </c>
      <c r="E180" s="361">
        <v>12</v>
      </c>
      <c r="F180" s="361" t="s">
        <v>2374</v>
      </c>
      <c r="G180" s="372">
        <v>59365209.621154457</v>
      </c>
      <c r="H180" s="372">
        <v>60538554.669002041</v>
      </c>
      <c r="I180" s="372">
        <v>61711899.71684964</v>
      </c>
      <c r="J180" s="372">
        <v>62885244.764697216</v>
      </c>
      <c r="K180" s="372">
        <v>66787607.793854959</v>
      </c>
      <c r="L180" s="372">
        <v>70690338.548078299</v>
      </c>
      <c r="M180" s="372">
        <v>75466988.795947075</v>
      </c>
      <c r="N180" s="372">
        <v>80045980.799351528</v>
      </c>
      <c r="O180" s="372">
        <v>83257276.426631838</v>
      </c>
      <c r="P180" s="372">
        <v>83086541.196932986</v>
      </c>
      <c r="Q180" s="372">
        <v>84092032.397896573</v>
      </c>
      <c r="R180" s="372">
        <v>86880917.906687036</v>
      </c>
      <c r="S180" s="372">
        <v>90810361.317668885</v>
      </c>
      <c r="T180" s="372">
        <v>95731116.836473107</v>
      </c>
      <c r="U180" s="372">
        <v>100765459.65733977</v>
      </c>
      <c r="V180" s="372">
        <v>107568096.37299509</v>
      </c>
      <c r="W180" s="372">
        <v>116660706.81178071</v>
      </c>
      <c r="X180" s="372">
        <v>129259569.7294638</v>
      </c>
      <c r="Y180" s="372">
        <v>136536597.87378424</v>
      </c>
      <c r="Z180" s="372">
        <v>129132843.08089763</v>
      </c>
      <c r="AA180" s="372">
        <v>135643355.15054482</v>
      </c>
      <c r="AB180" s="372">
        <v>139467276.32121989</v>
      </c>
      <c r="AC180" s="372">
        <v>141778456.45984238</v>
      </c>
      <c r="AD180" s="372">
        <v>143891871.97065732</v>
      </c>
      <c r="AE180" s="372">
        <v>147849380.51191953</v>
      </c>
      <c r="AF180" s="372">
        <v>154021904.67123476</v>
      </c>
      <c r="AG180" s="372">
        <v>158835720.84331122</v>
      </c>
      <c r="AH180" s="372">
        <v>163899945.34022447</v>
      </c>
      <c r="AI180" s="372">
        <v>170634675.35994819</v>
      </c>
    </row>
    <row r="181" spans="1:35" x14ac:dyDescent="0.25">
      <c r="A181" s="361" t="s">
        <v>405</v>
      </c>
      <c r="B181" s="361">
        <v>705</v>
      </c>
      <c r="C181" s="361" t="s">
        <v>404</v>
      </c>
      <c r="D181" s="361">
        <v>184</v>
      </c>
      <c r="E181" s="361">
        <v>12</v>
      </c>
      <c r="F181" s="361" t="s">
        <v>2374</v>
      </c>
      <c r="G181" s="372">
        <v>37762418.787531525</v>
      </c>
      <c r="H181" s="372">
        <v>34401523.099592328</v>
      </c>
      <c r="I181" s="372">
        <v>32521927.400370628</v>
      </c>
      <c r="J181" s="372">
        <v>33446661.781090803</v>
      </c>
      <c r="K181" s="372">
        <v>35228528.463399827</v>
      </c>
      <c r="L181" s="372">
        <v>36675420.74779503</v>
      </c>
      <c r="M181" s="372">
        <v>37965031.527471438</v>
      </c>
      <c r="N181" s="372">
        <v>39906707.659881525</v>
      </c>
      <c r="O181" s="372">
        <v>41217895.026271053</v>
      </c>
      <c r="P181" s="372">
        <v>43391872.631112725</v>
      </c>
      <c r="Q181" s="372">
        <v>45194993.242319889</v>
      </c>
      <c r="R181" s="372">
        <v>46527958.795785114</v>
      </c>
      <c r="S181" s="372">
        <v>48312913.334451184</v>
      </c>
      <c r="T181" s="372">
        <v>49686006.435322642</v>
      </c>
      <c r="U181" s="372">
        <v>51848239.846696369</v>
      </c>
      <c r="V181" s="372">
        <v>53923728.705927886</v>
      </c>
      <c r="W181" s="372">
        <v>56973654.376100056</v>
      </c>
      <c r="X181" s="372">
        <v>60928563.587614134</v>
      </c>
      <c r="Y181" s="372">
        <v>62939285.575385474</v>
      </c>
      <c r="Z181" s="372">
        <v>58031735.404346883</v>
      </c>
      <c r="AA181" s="372">
        <v>58750026.638238564</v>
      </c>
      <c r="AB181" s="372">
        <v>59131529.881244287</v>
      </c>
      <c r="AC181" s="372">
        <v>57552965.172269024</v>
      </c>
      <c r="AD181" s="372">
        <v>56901433.963261217</v>
      </c>
      <c r="AE181" s="372">
        <v>58580347.845629707</v>
      </c>
      <c r="AF181" s="372">
        <v>59930563.842979729</v>
      </c>
      <c r="AG181" s="372">
        <v>61769285.71692577</v>
      </c>
      <c r="AH181" s="372">
        <v>64783958.873539321</v>
      </c>
      <c r="AI181" s="372">
        <v>67690957.989567354</v>
      </c>
    </row>
    <row r="182" spans="1:35" x14ac:dyDescent="0.25">
      <c r="A182" s="361" t="s">
        <v>407</v>
      </c>
      <c r="B182" s="361">
        <v>90</v>
      </c>
      <c r="C182" s="361" t="s">
        <v>406</v>
      </c>
      <c r="D182" s="361">
        <v>24</v>
      </c>
      <c r="E182" s="361">
        <v>24</v>
      </c>
      <c r="F182" s="361" t="s">
        <v>2374</v>
      </c>
      <c r="G182" s="372">
        <v>587250.77306710405</v>
      </c>
      <c r="H182" s="372">
        <v>622510.3590829086</v>
      </c>
      <c r="I182" s="372">
        <v>701509.70835366601</v>
      </c>
      <c r="J182" s="372">
        <v>729404.95028591703</v>
      </c>
      <c r="K182" s="372">
        <v>796465.12757882534</v>
      </c>
      <c r="L182" s="372">
        <v>861963.17046977079</v>
      </c>
      <c r="M182" s="372">
        <v>875799.22946425085</v>
      </c>
      <c r="N182" s="372">
        <v>863190.5789369581</v>
      </c>
      <c r="O182" s="372">
        <v>878588.74565350823</v>
      </c>
      <c r="P182" s="372">
        <v>874348.67037387996</v>
      </c>
      <c r="Q182" s="372">
        <v>749601.12219983945</v>
      </c>
      <c r="R182" s="372">
        <v>689793.7136788927</v>
      </c>
      <c r="S182" s="372">
        <v>670479.47230059374</v>
      </c>
      <c r="T182" s="372">
        <v>714060.65027288313</v>
      </c>
      <c r="U182" s="372">
        <v>749037.98970300367</v>
      </c>
      <c r="V182" s="372">
        <v>789644.78650898661</v>
      </c>
      <c r="W182" s="372">
        <v>844498.64605767338</v>
      </c>
      <c r="X182" s="372">
        <v>906315.95762105181</v>
      </c>
      <c r="Y182" s="372">
        <v>970721.21878376079</v>
      </c>
      <c r="Z182" s="372">
        <v>924725.08363690518</v>
      </c>
      <c r="AA182" s="372">
        <v>987690.03034145827</v>
      </c>
      <c r="AB182" s="372">
        <v>1118021.9785645092</v>
      </c>
      <c r="AC182" s="372">
        <v>1168952.2880424003</v>
      </c>
      <c r="AD182" s="372">
        <v>1204229.5081619842</v>
      </c>
      <c r="AE182" s="372">
        <v>1231325.7644590954</v>
      </c>
      <c r="AF182" s="372">
        <v>1262629.0230446695</v>
      </c>
      <c r="AG182" s="372">
        <v>1306273.1365518598</v>
      </c>
      <c r="AH182" s="372">
        <v>1352441.2593827241</v>
      </c>
      <c r="AI182" s="372">
        <v>1398228.4671483063</v>
      </c>
    </row>
    <row r="183" spans="1:35" x14ac:dyDescent="0.25">
      <c r="A183" s="361" t="s">
        <v>409</v>
      </c>
      <c r="B183" s="361">
        <v>706</v>
      </c>
      <c r="C183" s="361" t="s">
        <v>408</v>
      </c>
      <c r="D183" s="361">
        <v>185</v>
      </c>
      <c r="E183" s="361">
        <v>9</v>
      </c>
      <c r="F183" s="361" t="s">
        <v>2374</v>
      </c>
      <c r="G183" s="372">
        <v>3508130.240710231</v>
      </c>
      <c r="H183" s="372">
        <v>3531891.9973383648</v>
      </c>
      <c r="I183" s="372">
        <v>3542260.3930847612</v>
      </c>
      <c r="J183" s="372">
        <v>3552204.9052736699</v>
      </c>
      <c r="K183" s="372">
        <v>3579751.5099322977</v>
      </c>
      <c r="L183" s="372">
        <v>3637550.6792333811</v>
      </c>
      <c r="M183" s="372">
        <v>3730314.1726750499</v>
      </c>
      <c r="N183" s="372">
        <v>3853371.9879022944</v>
      </c>
      <c r="O183" s="372">
        <v>3998520.3029365102</v>
      </c>
      <c r="P183" s="372">
        <v>4153185.3622167399</v>
      </c>
      <c r="Q183" s="372">
        <v>4307906.7450853642</v>
      </c>
      <c r="R183" s="372">
        <v>4460597.5654827226</v>
      </c>
      <c r="S183" s="372">
        <v>4613359.2759137498</v>
      </c>
      <c r="T183" s="372">
        <v>4765855.3914926043</v>
      </c>
      <c r="U183" s="372">
        <v>4918721.0092332577</v>
      </c>
      <c r="V183" s="372">
        <v>5072455.2726604454</v>
      </c>
      <c r="W183" s="372">
        <v>5226394.4374178294</v>
      </c>
      <c r="X183" s="372">
        <v>5379932.5393819865</v>
      </c>
      <c r="Y183" s="372">
        <v>5533883.8428437654</v>
      </c>
      <c r="Z183" s="372">
        <v>5689503.975385827</v>
      </c>
      <c r="AA183" s="372">
        <v>5847885.4204037618</v>
      </c>
      <c r="AB183" s="372">
        <v>6009290.3739125077</v>
      </c>
      <c r="AC183" s="372">
        <v>6173989.2862459971</v>
      </c>
      <c r="AD183" s="372">
        <v>6343056.1899691354</v>
      </c>
      <c r="AE183" s="372">
        <v>6302745.4671616936</v>
      </c>
      <c r="AF183" s="372">
        <v>6264041.8886525501</v>
      </c>
      <c r="AG183" s="372">
        <v>6424656.2326795803</v>
      </c>
      <c r="AH183" s="372">
        <v>6695169.525627519</v>
      </c>
      <c r="AI183" s="372">
        <v>7029552.2909366451</v>
      </c>
    </row>
    <row r="184" spans="1:35" x14ac:dyDescent="0.25">
      <c r="A184" s="369" t="s">
        <v>411</v>
      </c>
      <c r="B184" s="361">
        <v>710</v>
      </c>
      <c r="C184" s="361" t="s">
        <v>410</v>
      </c>
      <c r="D184" s="361">
        <v>186</v>
      </c>
      <c r="E184" s="361">
        <v>10</v>
      </c>
      <c r="F184" s="361" t="s">
        <v>2374</v>
      </c>
      <c r="G184" s="372">
        <v>364332959.7761355</v>
      </c>
      <c r="H184" s="372">
        <v>360623249.17502761</v>
      </c>
      <c r="I184" s="372">
        <v>352916525.18601316</v>
      </c>
      <c r="J184" s="372">
        <v>357269820.80161232</v>
      </c>
      <c r="K184" s="372">
        <v>368702458.81624782</v>
      </c>
      <c r="L184" s="372">
        <v>380132218.14680845</v>
      </c>
      <c r="M184" s="372">
        <v>396477899.57729894</v>
      </c>
      <c r="N184" s="372">
        <v>406786333.35689169</v>
      </c>
      <c r="O184" s="372">
        <v>408820268.70571393</v>
      </c>
      <c r="P184" s="372">
        <v>418631939.8016693</v>
      </c>
      <c r="Q184" s="372">
        <v>436214495.82296759</v>
      </c>
      <c r="R184" s="372">
        <v>447992263.51125354</v>
      </c>
      <c r="S184" s="372">
        <v>464569690.16745603</v>
      </c>
      <c r="T184" s="372">
        <v>478270217.9792878</v>
      </c>
      <c r="U184" s="372">
        <v>500053287.31947577</v>
      </c>
      <c r="V184" s="372">
        <v>526441380.87951458</v>
      </c>
      <c r="W184" s="372">
        <v>555942090.6473515</v>
      </c>
      <c r="X184" s="372">
        <v>585743232.38184798</v>
      </c>
      <c r="Y184" s="372">
        <v>604434572.71031523</v>
      </c>
      <c r="Z184" s="372">
        <v>595137829.01766324</v>
      </c>
      <c r="AA184" s="372">
        <v>613228416.98971295</v>
      </c>
      <c r="AB184" s="372">
        <v>633367869.30008972</v>
      </c>
      <c r="AC184" s="372">
        <v>647386547.49063861</v>
      </c>
      <c r="AD184" s="372">
        <v>663475401.20781934</v>
      </c>
      <c r="AE184" s="372">
        <v>675729736.16045845</v>
      </c>
      <c r="AF184" s="372">
        <v>684376031.14448738</v>
      </c>
      <c r="AG184" s="372">
        <v>688245116.43330729</v>
      </c>
      <c r="AH184" s="372">
        <v>697307548.63149858</v>
      </c>
      <c r="AI184" s="372">
        <v>701645323.85538149</v>
      </c>
    </row>
    <row r="185" spans="1:35" x14ac:dyDescent="0.25">
      <c r="A185" s="361" t="s">
        <v>413</v>
      </c>
      <c r="B185" s="361">
        <v>724</v>
      </c>
      <c r="C185" s="361" t="s">
        <v>412</v>
      </c>
      <c r="D185" s="361">
        <v>188</v>
      </c>
      <c r="E185" s="361">
        <v>11</v>
      </c>
      <c r="F185" s="361" t="s">
        <v>2374</v>
      </c>
      <c r="G185" s="372">
        <v>923438135.28605735</v>
      </c>
      <c r="H185" s="372">
        <v>946948875.45438719</v>
      </c>
      <c r="I185" s="372">
        <v>955748070.50889826</v>
      </c>
      <c r="J185" s="372">
        <v>945889607.77645195</v>
      </c>
      <c r="K185" s="372">
        <v>968432004.60138321</v>
      </c>
      <c r="L185" s="372">
        <v>995136459.34145069</v>
      </c>
      <c r="M185" s="372">
        <v>1021754206.0327948</v>
      </c>
      <c r="N185" s="372">
        <v>1059452992.2481738</v>
      </c>
      <c r="O185" s="372">
        <v>1105072809.7501676</v>
      </c>
      <c r="P185" s="372">
        <v>1154632832.5588372</v>
      </c>
      <c r="Q185" s="372">
        <v>1215702513.0301273</v>
      </c>
      <c r="R185" s="372">
        <v>1264343668.1952918</v>
      </c>
      <c r="S185" s="372">
        <v>1300755199.2820411</v>
      </c>
      <c r="T185" s="372">
        <v>1342217700.9823241</v>
      </c>
      <c r="U185" s="372">
        <v>1384722333.0587776</v>
      </c>
      <c r="V185" s="372">
        <v>1436275570.2831595</v>
      </c>
      <c r="W185" s="372">
        <v>1496227481.8832347</v>
      </c>
      <c r="X185" s="372">
        <v>1552620182.0776002</v>
      </c>
      <c r="Y185" s="372">
        <v>1569973613.8388519</v>
      </c>
      <c r="Z185" s="372">
        <v>1513866659.0702105</v>
      </c>
      <c r="AA185" s="372">
        <v>1514079567.4266326</v>
      </c>
      <c r="AB185" s="372">
        <v>1498957471.2691965</v>
      </c>
      <c r="AC185" s="372">
        <v>1455071736.3017433</v>
      </c>
      <c r="AD185" s="372">
        <v>1430252504.9370153</v>
      </c>
      <c r="AE185" s="372">
        <v>1449989950.0050433</v>
      </c>
      <c r="AF185" s="372">
        <v>1502837445.9224105</v>
      </c>
      <c r="AG185" s="372">
        <v>1550516311.345063</v>
      </c>
      <c r="AH185" s="372">
        <v>1596709020.4113765</v>
      </c>
      <c r="AI185" s="372">
        <v>1637932000.2106853</v>
      </c>
    </row>
    <row r="186" spans="1:35" x14ac:dyDescent="0.25">
      <c r="A186" s="361" t="s">
        <v>415</v>
      </c>
      <c r="B186" s="361">
        <v>144</v>
      </c>
      <c r="C186" s="361" t="s">
        <v>414</v>
      </c>
      <c r="D186" s="361">
        <v>37</v>
      </c>
      <c r="E186" s="361">
        <v>25</v>
      </c>
      <c r="F186" s="361" t="s">
        <v>2374</v>
      </c>
      <c r="G186" s="372">
        <v>62600791.134996437</v>
      </c>
      <c r="H186" s="372">
        <v>65480419.542176604</v>
      </c>
      <c r="I186" s="372">
        <v>68361552.273711085</v>
      </c>
      <c r="J186" s="372">
        <v>73078542.620627269</v>
      </c>
      <c r="K186" s="372">
        <v>77170881.614414468</v>
      </c>
      <c r="L186" s="372">
        <v>81415345.877533406</v>
      </c>
      <c r="M186" s="372">
        <v>84509102.320904925</v>
      </c>
      <c r="N186" s="372">
        <v>89922248.105520904</v>
      </c>
      <c r="O186" s="372">
        <v>94147175.734201148</v>
      </c>
      <c r="P186" s="372">
        <v>98196013.154301897</v>
      </c>
      <c r="Q186" s="372">
        <v>104087806.50549938</v>
      </c>
      <c r="R186" s="372">
        <v>102479225.07711221</v>
      </c>
      <c r="S186" s="372">
        <v>106542193.99659821</v>
      </c>
      <c r="T186" s="372">
        <v>112871087.00117984</v>
      </c>
      <c r="U186" s="372">
        <v>119016986.85342555</v>
      </c>
      <c r="V186" s="372">
        <v>126445727.30315325</v>
      </c>
      <c r="W186" s="372">
        <v>136141954.76797959</v>
      </c>
      <c r="X186" s="372">
        <v>145395286.70850974</v>
      </c>
      <c r="Y186" s="372">
        <v>154046434.42645568</v>
      </c>
      <c r="Z186" s="372">
        <v>159498002.26157686</v>
      </c>
      <c r="AA186" s="372">
        <v>172283310.08007133</v>
      </c>
      <c r="AB186" s="372">
        <v>186763262.33206183</v>
      </c>
      <c r="AC186" s="372">
        <v>203841963.7857987</v>
      </c>
      <c r="AD186" s="372">
        <v>210763891.90413645</v>
      </c>
      <c r="AE186" s="372">
        <v>221219257.53690919</v>
      </c>
      <c r="AF186" s="372">
        <v>232297217.36342782</v>
      </c>
      <c r="AG186" s="372">
        <v>242719544.532134</v>
      </c>
      <c r="AH186" s="372">
        <v>251020114.09142917</v>
      </c>
      <c r="AI186" s="372">
        <v>259075678.71025816</v>
      </c>
    </row>
    <row r="187" spans="1:35" x14ac:dyDescent="0.25">
      <c r="A187" s="361" t="s">
        <v>417</v>
      </c>
      <c r="B187" s="361">
        <v>654</v>
      </c>
      <c r="C187" s="361" t="s">
        <v>416</v>
      </c>
      <c r="D187" s="361">
        <v>169</v>
      </c>
      <c r="E187" s="361">
        <v>8</v>
      </c>
      <c r="F187" s="361" t="s">
        <v>2374</v>
      </c>
      <c r="G187" s="372">
        <v>0</v>
      </c>
      <c r="H187" s="372">
        <v>0</v>
      </c>
      <c r="I187" s="372">
        <v>0</v>
      </c>
      <c r="J187" s="372">
        <v>0</v>
      </c>
      <c r="K187" s="372">
        <v>0</v>
      </c>
      <c r="L187" s="372">
        <v>0</v>
      </c>
      <c r="M187" s="372">
        <v>0</v>
      </c>
      <c r="N187" s="372">
        <v>0</v>
      </c>
      <c r="O187" s="372">
        <v>0</v>
      </c>
      <c r="P187" s="372">
        <v>0</v>
      </c>
      <c r="Q187" s="372">
        <v>0</v>
      </c>
      <c r="R187" s="372">
        <v>0</v>
      </c>
      <c r="S187" s="372">
        <v>0</v>
      </c>
      <c r="T187" s="372">
        <v>0</v>
      </c>
      <c r="U187" s="372">
        <v>0</v>
      </c>
      <c r="V187" s="372">
        <v>0</v>
      </c>
      <c r="W187" s="372">
        <v>0</v>
      </c>
      <c r="X187" s="372">
        <v>0</v>
      </c>
      <c r="Y187" s="372">
        <v>0</v>
      </c>
      <c r="Z187" s="372">
        <v>0</v>
      </c>
      <c r="AA187" s="372">
        <v>0</v>
      </c>
      <c r="AB187" s="372">
        <v>0</v>
      </c>
      <c r="AC187" s="372">
        <v>0</v>
      </c>
      <c r="AD187" s="372">
        <v>0</v>
      </c>
      <c r="AE187" s="372">
        <v>0</v>
      </c>
      <c r="AF187" s="372">
        <v>0</v>
      </c>
      <c r="AG187" s="372">
        <v>0</v>
      </c>
      <c r="AH187" s="372">
        <v>0</v>
      </c>
      <c r="AI187" s="372">
        <v>0</v>
      </c>
    </row>
    <row r="188" spans="1:35" x14ac:dyDescent="0.25">
      <c r="A188" s="361" t="s">
        <v>419</v>
      </c>
      <c r="B188" s="361">
        <v>659</v>
      </c>
      <c r="C188" s="361" t="s">
        <v>418</v>
      </c>
      <c r="D188" s="361">
        <v>170</v>
      </c>
      <c r="E188" s="361">
        <v>4</v>
      </c>
      <c r="F188" s="361" t="s">
        <v>2374</v>
      </c>
      <c r="G188" s="372">
        <v>623253.31374357338</v>
      </c>
      <c r="H188" s="372">
        <v>611634.54169652029</v>
      </c>
      <c r="I188" s="372">
        <v>637744.29498619167</v>
      </c>
      <c r="J188" s="372">
        <v>681124.54163629364</v>
      </c>
      <c r="K188" s="372">
        <v>717231.97751356754</v>
      </c>
      <c r="L188" s="372">
        <v>755841.32859411708</v>
      </c>
      <c r="M188" s="372">
        <v>800005.36773186992</v>
      </c>
      <c r="N188" s="372">
        <v>854594.71706435957</v>
      </c>
      <c r="O188" s="372">
        <v>850439.11781626218</v>
      </c>
      <c r="P188" s="372">
        <v>877818.09112850518</v>
      </c>
      <c r="Q188" s="372">
        <v>969174.31762569142</v>
      </c>
      <c r="R188" s="372">
        <v>1022646.1476450441</v>
      </c>
      <c r="S188" s="372">
        <v>1047902.411701245</v>
      </c>
      <c r="T188" s="372">
        <v>1011809.9869329975</v>
      </c>
      <c r="U188" s="372">
        <v>1052868.2618733956</v>
      </c>
      <c r="V188" s="372">
        <v>1154946.317393091</v>
      </c>
      <c r="W188" s="372">
        <v>1188644.2129226786</v>
      </c>
      <c r="X188" s="372">
        <v>1188036.1068169414</v>
      </c>
      <c r="Y188" s="372">
        <v>1265114.1545628589</v>
      </c>
      <c r="Z188" s="372">
        <v>1222499.0443353374</v>
      </c>
      <c r="AA188" s="372">
        <v>1204576.5865453933</v>
      </c>
      <c r="AB188" s="372">
        <v>1226065.0079028863</v>
      </c>
      <c r="AC188" s="372">
        <v>1218026.0359591707</v>
      </c>
      <c r="AD188" s="372">
        <v>1284603.0224999653</v>
      </c>
      <c r="AE188" s="372">
        <v>1362393.1553638116</v>
      </c>
      <c r="AF188" s="372">
        <v>1391639.056914614</v>
      </c>
      <c r="AG188" s="372">
        <v>1423890.410414669</v>
      </c>
      <c r="AH188" s="372">
        <v>1440557.9401062576</v>
      </c>
      <c r="AI188" s="372">
        <v>1483795.6176095677</v>
      </c>
    </row>
    <row r="189" spans="1:35" x14ac:dyDescent="0.25">
      <c r="A189" s="361" t="s">
        <v>421</v>
      </c>
      <c r="B189" s="361">
        <v>662</v>
      </c>
      <c r="C189" s="361" t="s">
        <v>420</v>
      </c>
      <c r="D189" s="361">
        <v>172</v>
      </c>
      <c r="E189" s="361">
        <v>4</v>
      </c>
      <c r="F189" s="361" t="s">
        <v>2374</v>
      </c>
      <c r="G189" s="372">
        <v>1329521.2586451161</v>
      </c>
      <c r="H189" s="372">
        <v>1334515.960436122</v>
      </c>
      <c r="I189" s="372">
        <v>1440651.0445255931</v>
      </c>
      <c r="J189" s="372">
        <v>1449052.9256577094</v>
      </c>
      <c r="K189" s="372">
        <v>1472216.9138170278</v>
      </c>
      <c r="L189" s="372">
        <v>1497954.5532334992</v>
      </c>
      <c r="M189" s="372">
        <v>1541733.6062813275</v>
      </c>
      <c r="N189" s="372">
        <v>1531031.959816752</v>
      </c>
      <c r="O189" s="372">
        <v>1627279.8559285623</v>
      </c>
      <c r="P189" s="372">
        <v>1670738.071178894</v>
      </c>
      <c r="Q189" s="372">
        <v>1671552.5296658089</v>
      </c>
      <c r="R189" s="372">
        <v>1614584.9459571948</v>
      </c>
      <c r="S189" s="372">
        <v>1621308.8923602735</v>
      </c>
      <c r="T189" s="372">
        <v>1690451.4096995702</v>
      </c>
      <c r="U189" s="372">
        <v>1813303.4263898334</v>
      </c>
      <c r="V189" s="372">
        <v>1805863.3700227418</v>
      </c>
      <c r="W189" s="372">
        <v>1917741.2315786723</v>
      </c>
      <c r="X189" s="372">
        <v>1957396.6581443278</v>
      </c>
      <c r="Y189" s="372">
        <v>2054817.5372437881</v>
      </c>
      <c r="Z189" s="372">
        <v>2024939.7442859162</v>
      </c>
      <c r="AA189" s="372">
        <v>2031091.8794807335</v>
      </c>
      <c r="AB189" s="372">
        <v>2115166.4070242886</v>
      </c>
      <c r="AC189" s="372">
        <v>2108530.5423345906</v>
      </c>
      <c r="AD189" s="372">
        <v>2066448.4551749092</v>
      </c>
      <c r="AE189" s="372">
        <v>2066545.6768528633</v>
      </c>
      <c r="AF189" s="372">
        <v>2072177.0218745337</v>
      </c>
      <c r="AG189" s="372">
        <v>2152790.5077649313</v>
      </c>
      <c r="AH189" s="372">
        <v>2231837.9921910577</v>
      </c>
      <c r="AI189" s="372">
        <v>2245176.2054223437</v>
      </c>
    </row>
    <row r="190" spans="1:35" x14ac:dyDescent="0.25">
      <c r="A190" s="361" t="s">
        <v>423</v>
      </c>
      <c r="B190" s="361">
        <v>666</v>
      </c>
      <c r="C190" s="361" t="s">
        <v>422</v>
      </c>
      <c r="D190" s="361">
        <v>173</v>
      </c>
      <c r="E190" s="361">
        <v>2</v>
      </c>
      <c r="F190" s="361" t="s">
        <v>2374</v>
      </c>
      <c r="G190" s="372">
        <v>0</v>
      </c>
      <c r="H190" s="372">
        <v>0</v>
      </c>
      <c r="I190" s="372">
        <v>0</v>
      </c>
      <c r="J190" s="372">
        <v>0</v>
      </c>
      <c r="K190" s="372">
        <v>0</v>
      </c>
      <c r="L190" s="372">
        <v>0</v>
      </c>
      <c r="M190" s="372">
        <v>0</v>
      </c>
      <c r="N190" s="372">
        <v>0</v>
      </c>
      <c r="O190" s="372">
        <v>0</v>
      </c>
      <c r="P190" s="372">
        <v>0</v>
      </c>
      <c r="Q190" s="372">
        <v>0</v>
      </c>
      <c r="R190" s="372">
        <v>0</v>
      </c>
      <c r="S190" s="372">
        <v>0</v>
      </c>
      <c r="T190" s="372">
        <v>0</v>
      </c>
      <c r="U190" s="372">
        <v>0</v>
      </c>
      <c r="V190" s="372">
        <v>0</v>
      </c>
      <c r="W190" s="372">
        <v>0</v>
      </c>
      <c r="X190" s="372">
        <v>0</v>
      </c>
      <c r="Y190" s="372">
        <v>0</v>
      </c>
      <c r="Z190" s="372">
        <v>0</v>
      </c>
      <c r="AA190" s="372">
        <v>0</v>
      </c>
      <c r="AB190" s="372">
        <v>0</v>
      </c>
      <c r="AC190" s="372">
        <v>0</v>
      </c>
      <c r="AD190" s="372">
        <v>0</v>
      </c>
      <c r="AE190" s="372">
        <v>0</v>
      </c>
      <c r="AF190" s="372">
        <v>0</v>
      </c>
      <c r="AG190" s="372">
        <v>0</v>
      </c>
      <c r="AH190" s="372">
        <v>0</v>
      </c>
      <c r="AI190" s="372">
        <v>0</v>
      </c>
    </row>
    <row r="191" spans="1:35" x14ac:dyDescent="0.25">
      <c r="A191" s="361" t="s">
        <v>425</v>
      </c>
      <c r="B191" s="361">
        <v>670</v>
      </c>
      <c r="C191" s="361" t="s">
        <v>424</v>
      </c>
      <c r="D191" s="361">
        <v>174</v>
      </c>
      <c r="E191" s="361">
        <v>4</v>
      </c>
      <c r="F191" s="361" t="s">
        <v>2374</v>
      </c>
      <c r="G191" s="372">
        <v>599463.88810727641</v>
      </c>
      <c r="H191" s="372">
        <v>606272.25708206533</v>
      </c>
      <c r="I191" s="372">
        <v>644934.86252183595</v>
      </c>
      <c r="J191" s="372">
        <v>672351.1929696817</v>
      </c>
      <c r="K191" s="372">
        <v>663962.01786864619</v>
      </c>
      <c r="L191" s="372">
        <v>715534.69524059934</v>
      </c>
      <c r="M191" s="372">
        <v>724744.52247061697</v>
      </c>
      <c r="N191" s="372">
        <v>750152.78562921495</v>
      </c>
      <c r="O191" s="372">
        <v>780830.15807996632</v>
      </c>
      <c r="P191" s="372">
        <v>801997.82292176643</v>
      </c>
      <c r="Q191" s="372">
        <v>815144.0018630852</v>
      </c>
      <c r="R191" s="372">
        <v>829076.96160004975</v>
      </c>
      <c r="S191" s="372">
        <v>881488.28524682007</v>
      </c>
      <c r="T191" s="372">
        <v>949272.89415672957</v>
      </c>
      <c r="U191" s="372">
        <v>988727.37432313594</v>
      </c>
      <c r="V191" s="372">
        <v>1013326.9593983256</v>
      </c>
      <c r="W191" s="372">
        <v>1091235.1938339104</v>
      </c>
      <c r="X191" s="372">
        <v>1127710.3859206145</v>
      </c>
      <c r="Y191" s="372">
        <v>1145578.6388897134</v>
      </c>
      <c r="Z191" s="372">
        <v>1121532.2414890539</v>
      </c>
      <c r="AA191" s="372">
        <v>1083921.3674113597</v>
      </c>
      <c r="AB191" s="372">
        <v>1079375.9270945331</v>
      </c>
      <c r="AC191" s="372">
        <v>1094297.4402183078</v>
      </c>
      <c r="AD191" s="372">
        <v>1114357.7664416516</v>
      </c>
      <c r="AE191" s="372">
        <v>1127882.4112496343</v>
      </c>
      <c r="AF191" s="372">
        <v>1143014.5214635835</v>
      </c>
      <c r="AG191" s="372">
        <v>1165594.2697136835</v>
      </c>
      <c r="AH191" s="372">
        <v>1175617.7536007792</v>
      </c>
      <c r="AI191" s="372">
        <v>1205677.0902797659</v>
      </c>
    </row>
    <row r="192" spans="1:35" x14ac:dyDescent="0.25">
      <c r="A192" s="361" t="s">
        <v>427</v>
      </c>
      <c r="B192" s="361">
        <v>736</v>
      </c>
      <c r="C192" s="361" t="s">
        <v>2512</v>
      </c>
      <c r="D192" s="361">
        <v>190</v>
      </c>
      <c r="E192" s="361">
        <v>9</v>
      </c>
      <c r="F192" s="361" t="s">
        <v>2374</v>
      </c>
      <c r="G192" s="372">
        <v>45445189.718664475</v>
      </c>
      <c r="H192" s="372">
        <v>48851747.478432782</v>
      </c>
      <c r="I192" s="372">
        <v>52075151.936103694</v>
      </c>
      <c r="J192" s="372">
        <v>54449503.782994822</v>
      </c>
      <c r="K192" s="372">
        <v>55000620.424212389</v>
      </c>
      <c r="L192" s="372">
        <v>58270296.528463371</v>
      </c>
      <c r="M192" s="372">
        <v>61670220.849132515</v>
      </c>
      <c r="N192" s="372">
        <v>68182768.705541909</v>
      </c>
      <c r="O192" s="372">
        <v>71115151.882473826</v>
      </c>
      <c r="P192" s="372">
        <v>73317262.268565252</v>
      </c>
      <c r="Q192" s="372">
        <v>77954923.415432081</v>
      </c>
      <c r="R192" s="372">
        <v>83003605.984562784</v>
      </c>
      <c r="S192" s="372">
        <v>88320048.681937307</v>
      </c>
      <c r="T192" s="372">
        <v>95127634.561213672</v>
      </c>
      <c r="U192" s="372">
        <v>98804612.43576169</v>
      </c>
      <c r="V192" s="372">
        <v>106172798.67324018</v>
      </c>
      <c r="W192" s="372">
        <v>116816612.8134322</v>
      </c>
      <c r="X192" s="372">
        <v>130244659.3070589</v>
      </c>
      <c r="Y192" s="372">
        <v>174506525.01249081</v>
      </c>
      <c r="Z192" s="372">
        <v>180783451.00779459</v>
      </c>
      <c r="AA192" s="372">
        <v>187787485.79345182</v>
      </c>
      <c r="AB192" s="372">
        <v>183072640.90529215</v>
      </c>
      <c r="AC192" s="372">
        <v>167071457.32056001</v>
      </c>
      <c r="AD192" s="372">
        <v>176127329.0637812</v>
      </c>
      <c r="AE192" s="372">
        <v>181000761.17219952</v>
      </c>
      <c r="AF192" s="372">
        <v>186279378.51129311</v>
      </c>
      <c r="AG192" s="372">
        <v>191783685.29232097</v>
      </c>
      <c r="AH192" s="372">
        <v>198220557.6175006</v>
      </c>
      <c r="AI192" s="372">
        <v>193814112.58484057</v>
      </c>
    </row>
    <row r="193" spans="1:35" x14ac:dyDescent="0.25">
      <c r="A193" s="361" t="s">
        <v>429</v>
      </c>
      <c r="B193" s="361">
        <v>740</v>
      </c>
      <c r="C193" s="361" t="s">
        <v>428</v>
      </c>
      <c r="D193" s="361">
        <v>191</v>
      </c>
      <c r="E193" s="361">
        <v>6</v>
      </c>
      <c r="F193" s="361" t="s">
        <v>2374</v>
      </c>
      <c r="G193" s="372">
        <v>4220636.8394138394</v>
      </c>
      <c r="H193" s="372">
        <v>4334593.995722305</v>
      </c>
      <c r="I193" s="372">
        <v>4351932.3736782121</v>
      </c>
      <c r="J193" s="372">
        <v>4060352.9704089975</v>
      </c>
      <c r="K193" s="372">
        <v>4198404.9524948252</v>
      </c>
      <c r="L193" s="372">
        <v>4198404.9524948252</v>
      </c>
      <c r="M193" s="372">
        <v>4240389.0225720303</v>
      </c>
      <c r="N193" s="372">
        <v>4482091.1378325522</v>
      </c>
      <c r="O193" s="372">
        <v>4585179.2900692616</v>
      </c>
      <c r="P193" s="372">
        <v>4520986.7790217828</v>
      </c>
      <c r="Q193" s="372">
        <v>4615927.4407931855</v>
      </c>
      <c r="R193" s="372">
        <v>4809796.3956083497</v>
      </c>
      <c r="S193" s="372">
        <v>4944470.7374340817</v>
      </c>
      <c r="T193" s="372">
        <v>5255972.3485130426</v>
      </c>
      <c r="U193" s="372">
        <v>5702730.0125232311</v>
      </c>
      <c r="V193" s="372">
        <v>5959352.9025471127</v>
      </c>
      <c r="W193" s="372">
        <v>6304995.348862825</v>
      </c>
      <c r="X193" s="372">
        <v>6626483.6308553936</v>
      </c>
      <c r="Y193" s="372">
        <v>6901439.1348597547</v>
      </c>
      <c r="Z193" s="372">
        <v>7109679.5436911155</v>
      </c>
      <c r="AA193" s="372">
        <v>7476911.3969713915</v>
      </c>
      <c r="AB193" s="372">
        <v>7914263.4435012192</v>
      </c>
      <c r="AC193" s="372">
        <v>8127184.8345749509</v>
      </c>
      <c r="AD193" s="372">
        <v>8365591.0253524883</v>
      </c>
      <c r="AE193" s="372">
        <v>8386965.3734911634</v>
      </c>
      <c r="AF193" s="372">
        <v>8100877.9445581194</v>
      </c>
      <c r="AG193" s="372">
        <v>7650372.4530198751</v>
      </c>
      <c r="AH193" s="372">
        <v>7779440.632164957</v>
      </c>
      <c r="AI193" s="372">
        <v>7934815.7013268685</v>
      </c>
    </row>
    <row r="194" spans="1:35" x14ac:dyDescent="0.25">
      <c r="A194" s="361" t="s">
        <v>431</v>
      </c>
      <c r="B194" s="361">
        <v>748</v>
      </c>
      <c r="C194" s="361" t="s">
        <v>430</v>
      </c>
      <c r="D194" s="361">
        <v>192</v>
      </c>
      <c r="E194" s="361">
        <v>26</v>
      </c>
      <c r="F194" s="361" t="s">
        <v>2374</v>
      </c>
      <c r="G194" s="372">
        <v>4632608.5047975574</v>
      </c>
      <c r="H194" s="372">
        <v>4714159.8492722167</v>
      </c>
      <c r="I194" s="372">
        <v>4866248.3987147342</v>
      </c>
      <c r="J194" s="372">
        <v>5017399.6291307779</v>
      </c>
      <c r="K194" s="372">
        <v>5137851.8924195841</v>
      </c>
      <c r="L194" s="372">
        <v>5385786.721901021</v>
      </c>
      <c r="M194" s="372">
        <v>5592711.5365695963</v>
      </c>
      <c r="N194" s="372">
        <v>5766242.489358508</v>
      </c>
      <c r="O194" s="372">
        <v>5916397.7157576028</v>
      </c>
      <c r="P194" s="372">
        <v>6090983.2293647835</v>
      </c>
      <c r="Q194" s="372">
        <v>6198195.1179076005</v>
      </c>
      <c r="R194" s="372">
        <v>6263571.504820969</v>
      </c>
      <c r="S194" s="372">
        <v>6537922.1431736527</v>
      </c>
      <c r="T194" s="372">
        <v>6791607.4864133</v>
      </c>
      <c r="U194" s="372">
        <v>7037729.5162852183</v>
      </c>
      <c r="V194" s="372">
        <v>7459907.1841520676</v>
      </c>
      <c r="W194" s="372">
        <v>7906917.2685741056</v>
      </c>
      <c r="X194" s="372">
        <v>8257618.7459877385</v>
      </c>
      <c r="Y194" s="372">
        <v>8325468.6193627072</v>
      </c>
      <c r="Z194" s="372">
        <v>8455766.2704498917</v>
      </c>
      <c r="AA194" s="372">
        <v>8776557.3234413583</v>
      </c>
      <c r="AB194" s="372">
        <v>8973786.731610924</v>
      </c>
      <c r="AC194" s="372">
        <v>9397162.865429949</v>
      </c>
      <c r="AD194" s="372">
        <v>10000558.809632074</v>
      </c>
      <c r="AE194" s="372">
        <v>10193670.603007194</v>
      </c>
      <c r="AF194" s="372">
        <v>10233540.990685325</v>
      </c>
      <c r="AG194" s="372">
        <v>10563314.026309557</v>
      </c>
      <c r="AH194" s="372">
        <v>10761170.638326598</v>
      </c>
      <c r="AI194" s="372">
        <v>10828325.085591255</v>
      </c>
    </row>
    <row r="195" spans="1:35" x14ac:dyDescent="0.25">
      <c r="A195" s="361" t="s">
        <v>433</v>
      </c>
      <c r="B195" s="361">
        <v>752</v>
      </c>
      <c r="C195" s="361" t="s">
        <v>432</v>
      </c>
      <c r="D195" s="361">
        <v>193</v>
      </c>
      <c r="E195" s="361">
        <v>11</v>
      </c>
      <c r="F195" s="361" t="s">
        <v>2374</v>
      </c>
      <c r="G195" s="372">
        <v>265118322.39007497</v>
      </c>
      <c r="H195" s="372">
        <v>262080133.06049582</v>
      </c>
      <c r="I195" s="372">
        <v>259043691.67114437</v>
      </c>
      <c r="J195" s="372">
        <v>253692842.73907277</v>
      </c>
      <c r="K195" s="372">
        <v>264063146.16472372</v>
      </c>
      <c r="L195" s="372">
        <v>274678694.33022416</v>
      </c>
      <c r="M195" s="372">
        <v>278851158.98273915</v>
      </c>
      <c r="N195" s="372">
        <v>286972159.90443671</v>
      </c>
      <c r="O195" s="372">
        <v>299142523.50374532</v>
      </c>
      <c r="P195" s="372">
        <v>312564157.53036159</v>
      </c>
      <c r="Q195" s="372">
        <v>327397254.452021</v>
      </c>
      <c r="R195" s="372">
        <v>332548673.02699697</v>
      </c>
      <c r="S195" s="372">
        <v>339450058.30806911</v>
      </c>
      <c r="T195" s="372">
        <v>347460320.74484628</v>
      </c>
      <c r="U195" s="372">
        <v>362438582.0882526</v>
      </c>
      <c r="V195" s="372">
        <v>372647307.49397749</v>
      </c>
      <c r="W195" s="372">
        <v>390160084.24965626</v>
      </c>
      <c r="X195" s="372">
        <v>403457124.14359885</v>
      </c>
      <c r="Y195" s="372">
        <v>401209633.54550886</v>
      </c>
      <c r="Z195" s="372">
        <v>380363190.96762431</v>
      </c>
      <c r="AA195" s="372">
        <v>403154431.81012189</v>
      </c>
      <c r="AB195" s="372">
        <v>413955858.64472377</v>
      </c>
      <c r="AC195" s="372">
        <v>412720149.15401262</v>
      </c>
      <c r="AD195" s="372">
        <v>417831066.63558882</v>
      </c>
      <c r="AE195" s="372">
        <v>428702624.31333601</v>
      </c>
      <c r="AF195" s="372">
        <v>447808053.04021746</v>
      </c>
      <c r="AG195" s="372">
        <v>459827070.46706706</v>
      </c>
      <c r="AH195" s="372">
        <v>469505125.03634608</v>
      </c>
      <c r="AI195" s="372">
        <v>480580467.12770307</v>
      </c>
    </row>
    <row r="196" spans="1:35" x14ac:dyDescent="0.25">
      <c r="A196" s="361" t="s">
        <v>435</v>
      </c>
      <c r="B196" s="361">
        <v>756</v>
      </c>
      <c r="C196" s="361" t="s">
        <v>434</v>
      </c>
      <c r="D196" s="361">
        <v>194</v>
      </c>
      <c r="E196" s="361">
        <v>11</v>
      </c>
      <c r="F196" s="361" t="s">
        <v>2374</v>
      </c>
      <c r="G196" s="372">
        <v>323565496.36071217</v>
      </c>
      <c r="H196" s="372">
        <v>320602229.95415676</v>
      </c>
      <c r="I196" s="372">
        <v>320462020.95597404</v>
      </c>
      <c r="J196" s="372">
        <v>320058291.55485827</v>
      </c>
      <c r="K196" s="372">
        <v>324122256.3326394</v>
      </c>
      <c r="L196" s="372">
        <v>325680851.49771476</v>
      </c>
      <c r="M196" s="372">
        <v>327439617.99957544</v>
      </c>
      <c r="N196" s="372">
        <v>335102195.83928901</v>
      </c>
      <c r="O196" s="372">
        <v>345121389.0675543</v>
      </c>
      <c r="P196" s="372">
        <v>350970229.69882095</v>
      </c>
      <c r="Q196" s="372">
        <v>364787308.01350534</v>
      </c>
      <c r="R196" s="372">
        <v>369574862.98506743</v>
      </c>
      <c r="S196" s="372">
        <v>370175839.39631766</v>
      </c>
      <c r="T196" s="372">
        <v>370322342.2881664</v>
      </c>
      <c r="U196" s="372">
        <v>380603318.1823383</v>
      </c>
      <c r="V196" s="372">
        <v>392460046.03800422</v>
      </c>
      <c r="W196" s="372">
        <v>408113841.73676932</v>
      </c>
      <c r="X196" s="372">
        <v>424894984.24315464</v>
      </c>
      <c r="Y196" s="372">
        <v>434050204.37651068</v>
      </c>
      <c r="Z196" s="372">
        <v>424405143.87645602</v>
      </c>
      <c r="AA196" s="372">
        <v>437148753.34488666</v>
      </c>
      <c r="AB196" s="372">
        <v>444548844.57795292</v>
      </c>
      <c r="AC196" s="372">
        <v>449021113.07923871</v>
      </c>
      <c r="AD196" s="372">
        <v>457337162.61237282</v>
      </c>
      <c r="AE196" s="372">
        <v>468538347.16117001</v>
      </c>
      <c r="AF196" s="372">
        <v>474785692.63785583</v>
      </c>
      <c r="AG196" s="372">
        <v>482388072.98944384</v>
      </c>
      <c r="AH196" s="372">
        <v>490186803.12110776</v>
      </c>
      <c r="AI196" s="372">
        <v>502639639.61339003</v>
      </c>
    </row>
    <row r="197" spans="1:35" x14ac:dyDescent="0.25">
      <c r="A197" s="361" t="s">
        <v>437</v>
      </c>
      <c r="B197" s="361">
        <v>760</v>
      </c>
      <c r="C197" s="361" t="s">
        <v>436</v>
      </c>
      <c r="D197" s="361">
        <v>195</v>
      </c>
      <c r="E197" s="361">
        <v>17</v>
      </c>
      <c r="F197" s="361" t="s">
        <v>2374</v>
      </c>
      <c r="G197" s="372">
        <v>16298050.781250002</v>
      </c>
      <c r="H197" s="372">
        <v>14396933.59375</v>
      </c>
      <c r="I197" s="372">
        <v>14710666.015625</v>
      </c>
      <c r="J197" s="372">
        <v>14114686.5234375</v>
      </c>
      <c r="K197" s="372">
        <v>13078314.453125</v>
      </c>
      <c r="L197" s="372">
        <v>14315957.03125</v>
      </c>
      <c r="M197" s="372">
        <v>14682722.65625</v>
      </c>
      <c r="N197" s="372">
        <v>17815681.640625</v>
      </c>
      <c r="O197" s="372">
        <v>18095287.109375</v>
      </c>
      <c r="P197" s="372">
        <v>20567570.3125</v>
      </c>
      <c r="Q197" s="372">
        <v>26531890.625</v>
      </c>
      <c r="R197" s="372">
        <v>30904718.75</v>
      </c>
      <c r="S197" s="372">
        <v>37898917.96875</v>
      </c>
      <c r="T197" s="372">
        <v>45773031.25</v>
      </c>
      <c r="U197" s="372">
        <v>63536070.3125</v>
      </c>
      <c r="V197" s="372">
        <v>98582671.875</v>
      </c>
      <c r="W197" s="372">
        <v>95637203.125</v>
      </c>
      <c r="X197" s="372">
        <v>103772296.875</v>
      </c>
      <c r="Y197" s="372">
        <v>109981609.375</v>
      </c>
      <c r="Z197" s="372">
        <v>107989476.5625</v>
      </c>
      <c r="AA197" s="372">
        <v>119814273.4375</v>
      </c>
      <c r="AB197" s="372">
        <v>119752796.875</v>
      </c>
      <c r="AC197" s="372">
        <v>100126773.4375</v>
      </c>
      <c r="AD197" s="372">
        <v>87225929.6875</v>
      </c>
      <c r="AE197" s="372">
        <v>92551398.4375</v>
      </c>
      <c r="AF197" s="372">
        <v>92847789.0625</v>
      </c>
      <c r="AG197" s="372">
        <v>100227000</v>
      </c>
      <c r="AH197" s="372">
        <v>102602796.875</v>
      </c>
      <c r="AI197" s="372">
        <v>18095287.109375</v>
      </c>
    </row>
    <row r="198" spans="1:35" x14ac:dyDescent="0.25">
      <c r="A198" s="361" t="s">
        <v>439</v>
      </c>
      <c r="B198" s="361">
        <v>158</v>
      </c>
      <c r="C198" s="361" t="s">
        <v>438</v>
      </c>
      <c r="D198" s="361">
        <v>41</v>
      </c>
      <c r="E198" s="361">
        <v>20</v>
      </c>
      <c r="F198" s="361" t="s">
        <v>2374</v>
      </c>
      <c r="G198" s="372">
        <v>401006968.75</v>
      </c>
      <c r="H198" s="372">
        <v>428641812.5</v>
      </c>
      <c r="I198" s="372">
        <v>459206343.75</v>
      </c>
      <c r="J198" s="372">
        <v>486292093.75</v>
      </c>
      <c r="K198" s="372">
        <v>508057062.5</v>
      </c>
      <c r="L198" s="372">
        <v>537373312.5</v>
      </c>
      <c r="M198" s="372">
        <v>573770937.5</v>
      </c>
      <c r="N198" s="372">
        <v>609431937.5</v>
      </c>
      <c r="O198" s="372">
        <v>637788000</v>
      </c>
      <c r="P198" s="372">
        <v>666357125</v>
      </c>
      <c r="Q198" s="372">
        <v>706293812.5</v>
      </c>
      <c r="R198" s="372">
        <v>683694750</v>
      </c>
      <c r="S198" s="372">
        <v>708358750</v>
      </c>
      <c r="T198" s="372">
        <v>724554437.5</v>
      </c>
      <c r="U198" s="372">
        <v>760313937.5</v>
      </c>
      <c r="V198" s="372">
        <v>813699375</v>
      </c>
      <c r="W198" s="372">
        <v>822214937.5</v>
      </c>
      <c r="X198" s="372">
        <v>847874375</v>
      </c>
      <c r="Y198" s="372">
        <v>815284500</v>
      </c>
      <c r="Z198" s="372">
        <v>786396625</v>
      </c>
      <c r="AA198" s="372">
        <v>860586250</v>
      </c>
      <c r="AB198" s="372">
        <v>895288625</v>
      </c>
      <c r="AC198" s="372">
        <v>895131437.5</v>
      </c>
      <c r="AD198" s="372">
        <v>916508812.5</v>
      </c>
      <c r="AE198" s="372">
        <v>967123000</v>
      </c>
      <c r="AF198" s="372">
        <v>977948500</v>
      </c>
      <c r="AG198" s="372">
        <v>993021500</v>
      </c>
      <c r="AH198" s="372">
        <v>1017857812.5</v>
      </c>
      <c r="AI198" s="372">
        <v>1039426219.546875</v>
      </c>
    </row>
    <row r="199" spans="1:35" x14ac:dyDescent="0.25">
      <c r="A199" s="361" t="s">
        <v>441</v>
      </c>
      <c r="B199" s="361">
        <v>762</v>
      </c>
      <c r="C199" s="361" t="s">
        <v>440</v>
      </c>
      <c r="D199" s="361">
        <v>196</v>
      </c>
      <c r="E199" s="361">
        <v>15</v>
      </c>
      <c r="F199" s="361" t="s">
        <v>2374</v>
      </c>
      <c r="G199" s="372">
        <v>19345840.678081483</v>
      </c>
      <c r="H199" s="372">
        <v>17972286.164780527</v>
      </c>
      <c r="I199" s="372">
        <v>12760322.987306206</v>
      </c>
      <c r="J199" s="372">
        <v>10667630.037181513</v>
      </c>
      <c r="K199" s="372">
        <v>8395425.0512175392</v>
      </c>
      <c r="L199" s="372">
        <v>7353022.0241208002</v>
      </c>
      <c r="M199" s="372">
        <v>6125067.4611425046</v>
      </c>
      <c r="N199" s="372">
        <v>6228009.8857671684</v>
      </c>
      <c r="O199" s="372">
        <v>6558895.8088123547</v>
      </c>
      <c r="P199" s="372">
        <v>6801545.4857121566</v>
      </c>
      <c r="Q199" s="372">
        <v>7367728.2026000824</v>
      </c>
      <c r="R199" s="372">
        <v>8073618.1717631426</v>
      </c>
      <c r="S199" s="372">
        <v>8948628.1625250634</v>
      </c>
      <c r="T199" s="372">
        <v>9926579.7531813346</v>
      </c>
      <c r="U199" s="372">
        <v>10956003.174697677</v>
      </c>
      <c r="V199" s="372">
        <v>11683952.205397084</v>
      </c>
      <c r="W199" s="372">
        <v>12507490.777664088</v>
      </c>
      <c r="X199" s="372">
        <v>13478089.485263307</v>
      </c>
      <c r="Y199" s="372">
        <v>14544277.734430114</v>
      </c>
      <c r="Z199" s="372">
        <v>15110460.451318039</v>
      </c>
      <c r="AA199" s="372">
        <v>16095765.337396532</v>
      </c>
      <c r="AB199" s="372">
        <v>17286955.072724354</v>
      </c>
      <c r="AC199" s="372">
        <v>18581086.820311688</v>
      </c>
      <c r="AD199" s="372">
        <v>19956102.343352489</v>
      </c>
      <c r="AE199" s="372">
        <v>21294352.214012515</v>
      </c>
      <c r="AF199" s="372">
        <v>22573778.195485719</v>
      </c>
      <c r="AG199" s="372">
        <v>24125265.798452135</v>
      </c>
      <c r="AH199" s="372">
        <v>25963006.157313973</v>
      </c>
      <c r="AI199" s="372">
        <v>27858305.681435991</v>
      </c>
    </row>
    <row r="200" spans="1:35" x14ac:dyDescent="0.25">
      <c r="A200" s="361" t="s">
        <v>443</v>
      </c>
      <c r="B200" s="361">
        <v>834</v>
      </c>
      <c r="C200" s="361" t="s">
        <v>442</v>
      </c>
      <c r="D200" s="361">
        <v>213</v>
      </c>
      <c r="E200" s="361">
        <v>26</v>
      </c>
      <c r="F200" s="361" t="s">
        <v>2374</v>
      </c>
      <c r="G200" s="372">
        <v>37873046.189923383</v>
      </c>
      <c r="H200" s="372">
        <v>38657771.242209278</v>
      </c>
      <c r="I200" s="372">
        <v>38883657.156120792</v>
      </c>
      <c r="J200" s="372">
        <v>39352516.608442456</v>
      </c>
      <c r="K200" s="372">
        <v>39969430.965124488</v>
      </c>
      <c r="L200" s="372">
        <v>41396304.424897611</v>
      </c>
      <c r="M200" s="372">
        <v>43277504.340385504</v>
      </c>
      <c r="N200" s="372">
        <v>44803156.762658626</v>
      </c>
      <c r="O200" s="372">
        <v>46464687.026610486</v>
      </c>
      <c r="P200" s="372">
        <v>48724666.097851217</v>
      </c>
      <c r="Q200" s="372">
        <v>50927403.316201016</v>
      </c>
      <c r="R200" s="372">
        <v>54019108.337827653</v>
      </c>
      <c r="S200" s="372">
        <v>57850789.020597793</v>
      </c>
      <c r="T200" s="372">
        <v>61711050.586408585</v>
      </c>
      <c r="U200" s="372">
        <v>66341733.447445989</v>
      </c>
      <c r="V200" s="372">
        <v>71301653.24115096</v>
      </c>
      <c r="W200" s="372">
        <v>75959235.085808143</v>
      </c>
      <c r="X200" s="372">
        <v>81100562.65161413</v>
      </c>
      <c r="Y200" s="372">
        <v>85712278.719599128</v>
      </c>
      <c r="Z200" s="372">
        <v>90228548.895724073</v>
      </c>
      <c r="AA200" s="372">
        <v>95945902.034772336</v>
      </c>
      <c r="AB200" s="372">
        <v>103307020.77238697</v>
      </c>
      <c r="AC200" s="372">
        <v>107955995.34522085</v>
      </c>
      <c r="AD200" s="372">
        <v>115277123.58059411</v>
      </c>
      <c r="AE200" s="372">
        <v>123038111.96855929</v>
      </c>
      <c r="AF200" s="372">
        <v>130618033.29756293</v>
      </c>
      <c r="AG200" s="372">
        <v>139587725.41761845</v>
      </c>
      <c r="AH200" s="372">
        <v>149059701.94293925</v>
      </c>
      <c r="AI200" s="372">
        <v>156810806.44397235</v>
      </c>
    </row>
    <row r="201" spans="1:35" x14ac:dyDescent="0.25">
      <c r="A201" s="361" t="s">
        <v>445</v>
      </c>
      <c r="B201" s="361">
        <v>764</v>
      </c>
      <c r="C201" s="361" t="s">
        <v>444</v>
      </c>
      <c r="D201" s="361">
        <v>197</v>
      </c>
      <c r="E201" s="361">
        <v>21</v>
      </c>
      <c r="F201" s="361" t="s">
        <v>2374</v>
      </c>
      <c r="G201" s="372">
        <v>376300641.27253282</v>
      </c>
      <c r="H201" s="372">
        <v>408505429.74314022</v>
      </c>
      <c r="I201" s="372">
        <v>441526508.72615373</v>
      </c>
      <c r="J201" s="372">
        <v>477957051.35823423</v>
      </c>
      <c r="K201" s="372">
        <v>516178822.00276768</v>
      </c>
      <c r="L201" s="372">
        <v>558093893.93206739</v>
      </c>
      <c r="M201" s="372">
        <v>589639447.76575243</v>
      </c>
      <c r="N201" s="372">
        <v>573403191.4857384</v>
      </c>
      <c r="O201" s="372">
        <v>529631119.21453345</v>
      </c>
      <c r="P201" s="372">
        <v>553847434.23880279</v>
      </c>
      <c r="Q201" s="372">
        <v>578525081.61410856</v>
      </c>
      <c r="R201" s="372">
        <v>598450895.67055106</v>
      </c>
      <c r="S201" s="372">
        <v>635248922.01168263</v>
      </c>
      <c r="T201" s="372">
        <v>680919063.11332202</v>
      </c>
      <c r="U201" s="372">
        <v>723744027.77507186</v>
      </c>
      <c r="V201" s="372">
        <v>754053232.9286164</v>
      </c>
      <c r="W201" s="372">
        <v>791513970.34871888</v>
      </c>
      <c r="X201" s="372">
        <v>834533487.34084642</v>
      </c>
      <c r="Y201" s="372">
        <v>848934763.91623604</v>
      </c>
      <c r="Z201" s="372">
        <v>843070888.41468334</v>
      </c>
      <c r="AA201" s="372">
        <v>906415783.9267168</v>
      </c>
      <c r="AB201" s="372">
        <v>914029309.16342998</v>
      </c>
      <c r="AC201" s="372">
        <v>980230501.53717983</v>
      </c>
      <c r="AD201" s="372">
        <v>1006573019.1941144</v>
      </c>
      <c r="AE201" s="372">
        <v>1016481865.5578108</v>
      </c>
      <c r="AF201" s="372">
        <v>1048337359.8612256</v>
      </c>
      <c r="AG201" s="372">
        <v>1083524686.6884398</v>
      </c>
      <c r="AH201" s="372">
        <v>1127126649.5366495</v>
      </c>
      <c r="AI201" s="372">
        <v>1173668257.3586833</v>
      </c>
    </row>
    <row r="202" spans="1:35" x14ac:dyDescent="0.25">
      <c r="A202" s="361" t="s">
        <v>447</v>
      </c>
      <c r="B202" s="361">
        <v>626</v>
      </c>
      <c r="C202" s="361" t="s">
        <v>446</v>
      </c>
      <c r="D202" s="361">
        <v>162</v>
      </c>
      <c r="E202" s="361">
        <v>22</v>
      </c>
      <c r="F202" s="361" t="s">
        <v>2374</v>
      </c>
      <c r="G202" s="372">
        <v>2408637.64132941</v>
      </c>
      <c r="H202" s="372">
        <v>2479521.0199399893</v>
      </c>
      <c r="I202" s="372">
        <v>2556796.4058880853</v>
      </c>
      <c r="J202" s="372">
        <v>2634042.410801433</v>
      </c>
      <c r="K202" s="372">
        <v>2702483.8989684656</v>
      </c>
      <c r="L202" s="372">
        <v>2756378.5103755505</v>
      </c>
      <c r="M202" s="372">
        <v>2792380.0716207703</v>
      </c>
      <c r="N202" s="372">
        <v>2813612.76606572</v>
      </c>
      <c r="O202" s="372">
        <v>2828838.6711843004</v>
      </c>
      <c r="P202" s="372">
        <v>2850404.3506897343</v>
      </c>
      <c r="Q202" s="372">
        <v>2887065.3529370883</v>
      </c>
      <c r="R202" s="372">
        <v>3152752.7852278356</v>
      </c>
      <c r="S202" s="372">
        <v>2936261.9668676062</v>
      </c>
      <c r="T202" s="372">
        <v>2901544.4293822739</v>
      </c>
      <c r="U202" s="372">
        <v>4760891.3887900878</v>
      </c>
      <c r="V202" s="372">
        <v>6469104.4093916928</v>
      </c>
      <c r="W202" s="372">
        <v>9165251.8591959197</v>
      </c>
      <c r="X202" s="372">
        <v>9647839.5840266924</v>
      </c>
      <c r="Y202" s="372">
        <v>10605215.802236952</v>
      </c>
      <c r="Z202" s="372">
        <v>9964487.794387348</v>
      </c>
      <c r="AA202" s="372">
        <v>9847697.7751216497</v>
      </c>
      <c r="AB202" s="372">
        <v>10976037.965728875</v>
      </c>
      <c r="AC202" s="372">
        <v>11527377.779755743</v>
      </c>
      <c r="AD202" s="372">
        <v>10249427.33636627</v>
      </c>
      <c r="AE202" s="372">
        <v>7594090.5591179579</v>
      </c>
      <c r="AF202" s="372">
        <v>9160417.386830207</v>
      </c>
      <c r="AG202" s="372">
        <v>9225155.3543065377</v>
      </c>
      <c r="AH202" s="372">
        <v>8380685.8805921469</v>
      </c>
      <c r="AI202" s="372">
        <v>8616516.8248704057</v>
      </c>
    </row>
    <row r="203" spans="1:35" x14ac:dyDescent="0.25">
      <c r="A203" s="361" t="s">
        <v>449</v>
      </c>
      <c r="B203" s="361">
        <v>768</v>
      </c>
      <c r="C203" s="361" t="s">
        <v>448</v>
      </c>
      <c r="D203" s="361">
        <v>198</v>
      </c>
      <c r="E203" s="361">
        <v>8</v>
      </c>
      <c r="F203" s="361" t="s">
        <v>2374</v>
      </c>
      <c r="G203" s="372">
        <v>4900866.5985676209</v>
      </c>
      <c r="H203" s="372">
        <v>4866562.1256792266</v>
      </c>
      <c r="I203" s="372">
        <v>4672839.5285512889</v>
      </c>
      <c r="J203" s="372">
        <v>3967435.7349596387</v>
      </c>
      <c r="K203" s="372">
        <v>4561853.3955800468</v>
      </c>
      <c r="L203" s="372">
        <v>4919768.7638467699</v>
      </c>
      <c r="M203" s="372">
        <v>5354489.9433894474</v>
      </c>
      <c r="N203" s="372">
        <v>6124325.1796329999</v>
      </c>
      <c r="O203" s="372">
        <v>5983473.2601736188</v>
      </c>
      <c r="P203" s="372">
        <v>6131968.1933110151</v>
      </c>
      <c r="Q203" s="372">
        <v>6083925.4730006494</v>
      </c>
      <c r="R203" s="372">
        <v>5984951.7918449137</v>
      </c>
      <c r="S203" s="372">
        <v>5929761.4978612643</v>
      </c>
      <c r="T203" s="372">
        <v>6223545.4631837634</v>
      </c>
      <c r="U203" s="372">
        <v>6355426.4564988408</v>
      </c>
      <c r="V203" s="372">
        <v>6430446.3521957602</v>
      </c>
      <c r="W203" s="372">
        <v>6691034.5670706034</v>
      </c>
      <c r="X203" s="372">
        <v>6844289.6283066887</v>
      </c>
      <c r="Y203" s="372">
        <v>7122321.977286486</v>
      </c>
      <c r="Z203" s="372">
        <v>7516749.8275110023</v>
      </c>
      <c r="AA203" s="372">
        <v>7975215.8799614245</v>
      </c>
      <c r="AB203" s="372">
        <v>8485486.0668190159</v>
      </c>
      <c r="AC203" s="372">
        <v>9040734.444186667</v>
      </c>
      <c r="AD203" s="372">
        <v>9593335.1501607094</v>
      </c>
      <c r="AE203" s="372">
        <v>10161317.054656642</v>
      </c>
      <c r="AF203" s="372">
        <v>10744868.126231814</v>
      </c>
      <c r="AG203" s="372">
        <v>11273339.039971625</v>
      </c>
      <c r="AH203" s="372">
        <v>11774935.820539815</v>
      </c>
      <c r="AI203" s="372">
        <v>12350039.048094414</v>
      </c>
    </row>
    <row r="204" spans="1:35" x14ac:dyDescent="0.25">
      <c r="A204" s="361" t="s">
        <v>451</v>
      </c>
      <c r="B204" s="361">
        <v>772</v>
      </c>
      <c r="C204" s="361" t="s">
        <v>450</v>
      </c>
      <c r="D204" s="361">
        <v>199</v>
      </c>
      <c r="E204" s="361">
        <v>24</v>
      </c>
      <c r="F204" s="361" t="s">
        <v>2374</v>
      </c>
      <c r="G204" s="372">
        <v>0</v>
      </c>
      <c r="H204" s="372">
        <v>0</v>
      </c>
      <c r="I204" s="372">
        <v>0</v>
      </c>
      <c r="J204" s="372">
        <v>0</v>
      </c>
      <c r="K204" s="372">
        <v>0</v>
      </c>
      <c r="L204" s="372">
        <v>0</v>
      </c>
      <c r="M204" s="372">
        <v>0</v>
      </c>
      <c r="N204" s="372">
        <v>0</v>
      </c>
      <c r="O204" s="372">
        <v>0</v>
      </c>
      <c r="P204" s="372">
        <v>0</v>
      </c>
      <c r="Q204" s="372">
        <v>0</v>
      </c>
      <c r="R204" s="372">
        <v>0</v>
      </c>
      <c r="S204" s="372">
        <v>0</v>
      </c>
      <c r="T204" s="372">
        <v>0</v>
      </c>
      <c r="U204" s="372">
        <v>0</v>
      </c>
      <c r="V204" s="372">
        <v>0</v>
      </c>
      <c r="W204" s="372">
        <v>0</v>
      </c>
      <c r="X204" s="372">
        <v>0</v>
      </c>
      <c r="Y204" s="372">
        <v>0</v>
      </c>
      <c r="Z204" s="372">
        <v>0</v>
      </c>
      <c r="AA204" s="372">
        <v>0</v>
      </c>
      <c r="AB204" s="372">
        <v>0</v>
      </c>
      <c r="AC204" s="372">
        <v>0</v>
      </c>
      <c r="AD204" s="372">
        <v>0</v>
      </c>
      <c r="AE204" s="372">
        <v>0</v>
      </c>
      <c r="AF204" s="372">
        <v>0</v>
      </c>
      <c r="AG204" s="372">
        <v>0</v>
      </c>
      <c r="AH204" s="372">
        <v>0</v>
      </c>
      <c r="AI204" s="372">
        <v>0</v>
      </c>
    </row>
    <row r="205" spans="1:35" x14ac:dyDescent="0.25">
      <c r="A205" s="361" t="s">
        <v>453</v>
      </c>
      <c r="B205" s="361">
        <v>776</v>
      </c>
      <c r="C205" s="361" t="s">
        <v>452</v>
      </c>
      <c r="D205" s="361">
        <v>200</v>
      </c>
      <c r="E205" s="361">
        <v>24</v>
      </c>
      <c r="F205" s="361" t="s">
        <v>2374</v>
      </c>
      <c r="G205" s="372">
        <v>340095.3988983279</v>
      </c>
      <c r="H205" s="372">
        <v>361912.31407521962</v>
      </c>
      <c r="I205" s="372">
        <v>362824.28069339035</v>
      </c>
      <c r="J205" s="372">
        <v>376386.82410210191</v>
      </c>
      <c r="K205" s="372">
        <v>395027.482355004</v>
      </c>
      <c r="L205" s="372">
        <v>409690.40215195972</v>
      </c>
      <c r="M205" s="372">
        <v>409732.25569240731</v>
      </c>
      <c r="N205" s="372">
        <v>409193.11600690644</v>
      </c>
      <c r="O205" s="372">
        <v>420318.31022709381</v>
      </c>
      <c r="P205" s="372">
        <v>436633.8253291843</v>
      </c>
      <c r="Q205" s="372">
        <v>451347.68529050035</v>
      </c>
      <c r="R205" s="372">
        <v>467604.27501327684</v>
      </c>
      <c r="S205" s="372">
        <v>483591.0883791229</v>
      </c>
      <c r="T205" s="372">
        <v>493788.00136093213</v>
      </c>
      <c r="U205" s="372">
        <v>492052.73154580174</v>
      </c>
      <c r="V205" s="372">
        <v>499837.8342593268</v>
      </c>
      <c r="W205" s="372">
        <v>495778.04083592439</v>
      </c>
      <c r="X205" s="372">
        <v>475125.03957660758</v>
      </c>
      <c r="Y205" s="372">
        <v>489851.63457901368</v>
      </c>
      <c r="Z205" s="372">
        <v>501072.23835028679</v>
      </c>
      <c r="AA205" s="372">
        <v>519038.97199631302</v>
      </c>
      <c r="AB205" s="372">
        <v>533494.96458506968</v>
      </c>
      <c r="AC205" s="372">
        <v>538244.79072137538</v>
      </c>
      <c r="AD205" s="372">
        <v>521448.30409443908</v>
      </c>
      <c r="AE205" s="372">
        <v>532255.8795060335</v>
      </c>
      <c r="AF205" s="372">
        <v>552012.40271066781</v>
      </c>
      <c r="AG205" s="372">
        <v>570667.51695615833</v>
      </c>
      <c r="AH205" s="372">
        <v>586075.53991397482</v>
      </c>
      <c r="AI205" s="372">
        <v>587833.7665337167</v>
      </c>
    </row>
    <row r="206" spans="1:35" x14ac:dyDescent="0.25">
      <c r="A206" s="361" t="s">
        <v>455</v>
      </c>
      <c r="B206" s="361">
        <v>780</v>
      </c>
      <c r="C206" s="361" t="s">
        <v>454</v>
      </c>
      <c r="D206" s="361">
        <v>201</v>
      </c>
      <c r="E206" s="361">
        <v>4</v>
      </c>
      <c r="F206" s="361" t="s">
        <v>2374</v>
      </c>
      <c r="G206" s="372">
        <v>13324657.194791969</v>
      </c>
      <c r="H206" s="372">
        <v>13739374.873470621</v>
      </c>
      <c r="I206" s="372">
        <v>15126087.164660024</v>
      </c>
      <c r="J206" s="372">
        <v>15024876.281853771</v>
      </c>
      <c r="K206" s="372">
        <v>15560840.754628433</v>
      </c>
      <c r="L206" s="372">
        <v>16153695.271801105</v>
      </c>
      <c r="M206" s="372">
        <v>17306177.020701621</v>
      </c>
      <c r="N206" s="372">
        <v>18608095.559334848</v>
      </c>
      <c r="O206" s="372">
        <v>20119922.191591404</v>
      </c>
      <c r="P206" s="372">
        <v>21734509.257480823</v>
      </c>
      <c r="Q206" s="372">
        <v>23234485.896619651</v>
      </c>
      <c r="R206" s="372">
        <v>24203021.013280787</v>
      </c>
      <c r="S206" s="372">
        <v>26123944.526625585</v>
      </c>
      <c r="T206" s="372">
        <v>29896500.622882817</v>
      </c>
      <c r="U206" s="372">
        <v>32273287.822298665</v>
      </c>
      <c r="V206" s="372">
        <v>34277116.214870892</v>
      </c>
      <c r="W206" s="372">
        <v>38804457.812694475</v>
      </c>
      <c r="X206" s="372">
        <v>40649303.110417798</v>
      </c>
      <c r="Y206" s="372">
        <v>42028020.595992483</v>
      </c>
      <c r="Z206" s="372">
        <v>40182263.723349184</v>
      </c>
      <c r="AA206" s="372">
        <v>41517610.640550867</v>
      </c>
      <c r="AB206" s="372">
        <v>41395401.723100781</v>
      </c>
      <c r="AC206" s="372">
        <v>41931049.49824778</v>
      </c>
      <c r="AD206" s="372">
        <v>42772187.413884625</v>
      </c>
      <c r="AE206" s="372">
        <v>42357432.289581321</v>
      </c>
      <c r="AF206" s="372">
        <v>43110499.085219294</v>
      </c>
      <c r="AG206" s="372">
        <v>40304347.470073171</v>
      </c>
      <c r="AH206" s="372">
        <v>39538564.868141785</v>
      </c>
      <c r="AI206" s="372">
        <v>39815334.82401567</v>
      </c>
    </row>
    <row r="207" spans="1:35" x14ac:dyDescent="0.25">
      <c r="A207" s="361" t="s">
        <v>457</v>
      </c>
      <c r="B207" s="361">
        <v>788</v>
      </c>
      <c r="C207" s="361" t="s">
        <v>456</v>
      </c>
      <c r="D207" s="361">
        <v>203</v>
      </c>
      <c r="E207" s="361">
        <v>7</v>
      </c>
      <c r="F207" s="361" t="s">
        <v>2374</v>
      </c>
      <c r="G207" s="372">
        <v>46226647.876481108</v>
      </c>
      <c r="H207" s="372">
        <v>48031588.284096695</v>
      </c>
      <c r="I207" s="372">
        <v>51780803.831244215</v>
      </c>
      <c r="J207" s="372">
        <v>52914714.832360044</v>
      </c>
      <c r="K207" s="372">
        <v>54596562.155982904</v>
      </c>
      <c r="L207" s="372">
        <v>55880493.06784302</v>
      </c>
      <c r="M207" s="372">
        <v>59873758.275525801</v>
      </c>
      <c r="N207" s="372">
        <v>63131455.596588098</v>
      </c>
      <c r="O207" s="372">
        <v>66151514.540517002</v>
      </c>
      <c r="P207" s="372">
        <v>70156746.972381935</v>
      </c>
      <c r="Q207" s="372">
        <v>73461031.497028917</v>
      </c>
      <c r="R207" s="372">
        <v>76249747.29394497</v>
      </c>
      <c r="S207" s="372">
        <v>77258198.710316658</v>
      </c>
      <c r="T207" s="372">
        <v>80891197.374419361</v>
      </c>
      <c r="U207" s="372">
        <v>85935405.701130301</v>
      </c>
      <c r="V207" s="372">
        <v>88931574.39908281</v>
      </c>
      <c r="W207" s="372">
        <v>93595319.741361529</v>
      </c>
      <c r="X207" s="372">
        <v>99875210.40054135</v>
      </c>
      <c r="Y207" s="372">
        <v>104107698.93153718</v>
      </c>
      <c r="Z207" s="372">
        <v>107276163.60657892</v>
      </c>
      <c r="AA207" s="372">
        <v>111042209.8733135</v>
      </c>
      <c r="AB207" s="372">
        <v>108913333.41065845</v>
      </c>
      <c r="AC207" s="372">
        <v>113267333.42546487</v>
      </c>
      <c r="AD207" s="372">
        <v>116524362.60365982</v>
      </c>
      <c r="AE207" s="372">
        <v>119986765.58571382</v>
      </c>
      <c r="AF207" s="372">
        <v>121420057.63196684</v>
      </c>
      <c r="AG207" s="372">
        <v>122953020.53116012</v>
      </c>
      <c r="AH207" s="372">
        <v>125196513.95120229</v>
      </c>
      <c r="AI207" s="372">
        <v>128333103.48668499</v>
      </c>
    </row>
    <row r="208" spans="1:35" x14ac:dyDescent="0.25">
      <c r="A208" s="369" t="s">
        <v>459</v>
      </c>
      <c r="B208" s="361">
        <v>792</v>
      </c>
      <c r="C208" s="361" t="s">
        <v>458</v>
      </c>
      <c r="D208" s="361">
        <v>204</v>
      </c>
      <c r="E208" s="361">
        <v>13</v>
      </c>
      <c r="F208" s="361" t="s">
        <v>2353</v>
      </c>
      <c r="G208" s="372">
        <v>614716974.30251789</v>
      </c>
      <c r="H208" s="372">
        <v>619144651.79675543</v>
      </c>
      <c r="I208" s="372">
        <v>650322516.20538473</v>
      </c>
      <c r="J208" s="372">
        <v>700080416.59517944</v>
      </c>
      <c r="K208" s="372">
        <v>667399631.08237278</v>
      </c>
      <c r="L208" s="372">
        <v>719979155.14974904</v>
      </c>
      <c r="M208" s="372">
        <v>773111201.08078992</v>
      </c>
      <c r="N208" s="372">
        <v>831694967.49336898</v>
      </c>
      <c r="O208" s="372">
        <v>850892262.74443066</v>
      </c>
      <c r="P208" s="372">
        <v>822052929.6987958</v>
      </c>
      <c r="Q208" s="372">
        <v>876637746.67439616</v>
      </c>
      <c r="R208" s="372">
        <v>824369880.02422965</v>
      </c>
      <c r="S208" s="372">
        <v>877379160.30298805</v>
      </c>
      <c r="T208" s="372">
        <v>926584821.76408303</v>
      </c>
      <c r="U208" s="372">
        <v>1015947650.9982187</v>
      </c>
      <c r="V208" s="372">
        <v>1107483044.0320361</v>
      </c>
      <c r="W208" s="372">
        <v>1186221803.9642355</v>
      </c>
      <c r="X208" s="372">
        <v>1245894188.7379117</v>
      </c>
      <c r="Y208" s="372">
        <v>1256425127.4788804</v>
      </c>
      <c r="Z208" s="372">
        <v>1197317035.6658082</v>
      </c>
      <c r="AA208" s="372">
        <v>1298937788.1698382</v>
      </c>
      <c r="AB208" s="372">
        <v>1443295181.7484601</v>
      </c>
      <c r="AC208" s="372">
        <v>1512428159.0318127</v>
      </c>
      <c r="AD208" s="372">
        <v>1640853111.9356239</v>
      </c>
      <c r="AE208" s="372">
        <v>1725630917.3727126</v>
      </c>
      <c r="AF208" s="372">
        <v>1830650858.4180121</v>
      </c>
      <c r="AG208" s="372">
        <v>1888935697.9655027</v>
      </c>
      <c r="AH208" s="372">
        <v>2029495054.3993902</v>
      </c>
      <c r="AI208" s="372">
        <v>2081584542.0071933</v>
      </c>
    </row>
    <row r="209" spans="1:35" x14ac:dyDescent="0.25">
      <c r="A209" s="361" t="s">
        <v>461</v>
      </c>
      <c r="B209" s="361">
        <v>795</v>
      </c>
      <c r="C209" s="361" t="s">
        <v>460</v>
      </c>
      <c r="D209" s="361">
        <v>205</v>
      </c>
      <c r="E209" s="361">
        <v>15</v>
      </c>
      <c r="F209" s="361" t="s">
        <v>2374</v>
      </c>
      <c r="G209" s="372">
        <v>30638649.932796739</v>
      </c>
      <c r="H209" s="372">
        <v>29227659.45830296</v>
      </c>
      <c r="I209" s="372">
        <v>24853451.861516602</v>
      </c>
      <c r="J209" s="372">
        <v>25226253.682663999</v>
      </c>
      <c r="K209" s="372">
        <v>20862146.993216548</v>
      </c>
      <c r="L209" s="372">
        <v>19360063.869898811</v>
      </c>
      <c r="M209" s="372">
        <v>20657186.631478373</v>
      </c>
      <c r="N209" s="372">
        <v>18302267.308461435</v>
      </c>
      <c r="O209" s="372">
        <v>19601728.350297276</v>
      </c>
      <c r="P209" s="372">
        <v>22836013.429544143</v>
      </c>
      <c r="Q209" s="372">
        <v>24084929.649318736</v>
      </c>
      <c r="R209" s="372">
        <v>25131141.83368941</v>
      </c>
      <c r="S209" s="372">
        <v>25195774.085410517</v>
      </c>
      <c r="T209" s="372">
        <v>26019380.744514976</v>
      </c>
      <c r="U209" s="372">
        <v>27320455.794498723</v>
      </c>
      <c r="V209" s="372">
        <v>30881413.529402636</v>
      </c>
      <c r="W209" s="372">
        <v>34270126.251226299</v>
      </c>
      <c r="X209" s="372">
        <v>38060162.142250724</v>
      </c>
      <c r="Y209" s="372">
        <v>43655005.977161579</v>
      </c>
      <c r="Z209" s="372">
        <v>46317961.391909018</v>
      </c>
      <c r="AA209" s="372">
        <v>50579213.834431902</v>
      </c>
      <c r="AB209" s="372">
        <v>58014358.231611781</v>
      </c>
      <c r="AC209" s="372">
        <v>64453951.973016769</v>
      </c>
      <c r="AD209" s="372">
        <v>71028255.13962014</v>
      </c>
      <c r="AE209" s="372">
        <v>78344165.398080289</v>
      </c>
      <c r="AF209" s="372">
        <v>83436536.078067094</v>
      </c>
      <c r="AG209" s="372">
        <v>88609601.286897719</v>
      </c>
      <c r="AH209" s="372">
        <v>94369225.412041694</v>
      </c>
      <c r="AI209" s="372">
        <v>100220117.33226077</v>
      </c>
    </row>
    <row r="210" spans="1:35" x14ac:dyDescent="0.25">
      <c r="A210" s="361" t="s">
        <v>463</v>
      </c>
      <c r="B210" s="361">
        <v>796</v>
      </c>
      <c r="C210" s="361" t="s">
        <v>462</v>
      </c>
      <c r="D210" s="361">
        <v>206</v>
      </c>
      <c r="E210" s="361">
        <v>4</v>
      </c>
      <c r="F210" s="361" t="s">
        <v>2374</v>
      </c>
      <c r="G210" s="372">
        <v>1357801.7578125</v>
      </c>
      <c r="H210" s="372">
        <v>1473132.080078125</v>
      </c>
      <c r="I210" s="372">
        <v>1560575.439453125</v>
      </c>
      <c r="J210" s="372">
        <v>1745331.6650390625</v>
      </c>
      <c r="K210" s="372">
        <v>1917077.392578125</v>
      </c>
      <c r="L210" s="372">
        <v>2091492.9199218748</v>
      </c>
      <c r="M210" s="372">
        <v>1898513.18359375</v>
      </c>
      <c r="N210" s="372">
        <v>1434614.6240234375</v>
      </c>
      <c r="O210" s="372">
        <v>1337889.892578125</v>
      </c>
      <c r="P210" s="372">
        <v>1579736.2060546875</v>
      </c>
      <c r="Q210" s="372">
        <v>1877120.1171875</v>
      </c>
      <c r="R210" s="372">
        <v>1740802.490234375</v>
      </c>
      <c r="S210" s="372">
        <v>2058570.8007812502</v>
      </c>
      <c r="T210" s="372">
        <v>19779.993057250977</v>
      </c>
      <c r="U210" s="372">
        <v>300121.03271484375</v>
      </c>
      <c r="V210" s="372">
        <v>339733.55102539063</v>
      </c>
      <c r="W210" s="372">
        <v>236135.97106933594</v>
      </c>
      <c r="X210" s="372">
        <v>234694.18334960938</v>
      </c>
      <c r="Y210" s="372">
        <v>412487.33520507813</v>
      </c>
      <c r="Z210" s="372">
        <v>315429.35180664063</v>
      </c>
      <c r="AA210" s="372">
        <v>224116.56188964844</v>
      </c>
      <c r="AB210" s="372">
        <v>252483.5510253906</v>
      </c>
      <c r="AC210" s="372">
        <v>266095.76416015625</v>
      </c>
      <c r="AD210" s="372">
        <v>271184.53979492188</v>
      </c>
      <c r="AE210" s="372">
        <v>102479.11071777344</v>
      </c>
      <c r="AF210" s="372">
        <v>124534.43145751953</v>
      </c>
      <c r="AG210" s="372">
        <v>55834.152221679688</v>
      </c>
      <c r="AH210" s="372">
        <v>47169.921875</v>
      </c>
      <c r="AI210" s="372">
        <v>47169.921875</v>
      </c>
    </row>
    <row r="211" spans="1:35" x14ac:dyDescent="0.25">
      <c r="A211" s="361" t="s">
        <v>465</v>
      </c>
      <c r="B211" s="361">
        <v>798</v>
      </c>
      <c r="C211" s="361" t="s">
        <v>464</v>
      </c>
      <c r="D211" s="361">
        <v>207</v>
      </c>
      <c r="E211" s="361">
        <v>24</v>
      </c>
      <c r="F211" s="361" t="s">
        <v>2374</v>
      </c>
      <c r="G211" s="372">
        <v>21190.474149738046</v>
      </c>
      <c r="H211" s="372">
        <v>21955.273322897348</v>
      </c>
      <c r="I211" s="372">
        <v>22567.576603953683</v>
      </c>
      <c r="J211" s="372">
        <v>23495.259947580122</v>
      </c>
      <c r="K211" s="372">
        <v>25911.391952354541</v>
      </c>
      <c r="L211" s="372">
        <v>24614.672584121752</v>
      </c>
      <c r="M211" s="372">
        <v>23147.303050916587</v>
      </c>
      <c r="N211" s="372">
        <v>25462.779698337315</v>
      </c>
      <c r="O211" s="372">
        <v>29409.821191359813</v>
      </c>
      <c r="P211" s="372">
        <v>28949.912945334967</v>
      </c>
      <c r="Q211" s="372">
        <v>28668.925144145218</v>
      </c>
      <c r="R211" s="372">
        <v>29137.406241247285</v>
      </c>
      <c r="S211" s="372">
        <v>31435.232901156101</v>
      </c>
      <c r="T211" s="372">
        <v>30387.327928305622</v>
      </c>
      <c r="U211" s="372">
        <v>29976.436219028146</v>
      </c>
      <c r="V211" s="372">
        <v>28843.407877834466</v>
      </c>
      <c r="W211" s="372">
        <v>29460.350584179647</v>
      </c>
      <c r="X211" s="372">
        <v>31331.249260443019</v>
      </c>
      <c r="Y211" s="372">
        <v>33832.504633560646</v>
      </c>
      <c r="Z211" s="372">
        <v>32332.759980405044</v>
      </c>
      <c r="AA211" s="372">
        <v>31450.260604809107</v>
      </c>
      <c r="AB211" s="372">
        <v>33814.047789476746</v>
      </c>
      <c r="AC211" s="372">
        <v>32517.025850029462</v>
      </c>
      <c r="AD211" s="372">
        <v>34005.272797034449</v>
      </c>
      <c r="AE211" s="372">
        <v>34463.668186986863</v>
      </c>
      <c r="AF211" s="372">
        <v>37614.644814686064</v>
      </c>
      <c r="AG211" s="372">
        <v>38756.145149885473</v>
      </c>
      <c r="AH211" s="372">
        <v>40342.8285986712</v>
      </c>
      <c r="AI211" s="372">
        <v>41351.39931363798</v>
      </c>
    </row>
    <row r="212" spans="1:35" x14ac:dyDescent="0.25">
      <c r="A212" s="361" t="s">
        <v>467</v>
      </c>
      <c r="B212" s="361">
        <v>800</v>
      </c>
      <c r="C212" s="361" t="s">
        <v>466</v>
      </c>
      <c r="D212" s="361">
        <v>208</v>
      </c>
      <c r="E212" s="361">
        <v>9</v>
      </c>
      <c r="F212" s="361" t="s">
        <v>2374</v>
      </c>
      <c r="G212" s="372">
        <v>13418410.311689179</v>
      </c>
      <c r="H212" s="372">
        <v>14163681.634435631</v>
      </c>
      <c r="I212" s="372">
        <v>14647846.821680078</v>
      </c>
      <c r="J212" s="372">
        <v>15867469.396007225</v>
      </c>
      <c r="K212" s="372">
        <v>16883564.337797716</v>
      </c>
      <c r="L212" s="372">
        <v>18829098.619963903</v>
      </c>
      <c r="M212" s="372">
        <v>20537296.021511808</v>
      </c>
      <c r="N212" s="372">
        <v>21584698.501344368</v>
      </c>
      <c r="O212" s="372">
        <v>22643485.266736403</v>
      </c>
      <c r="P212" s="372">
        <v>24467179.880781237</v>
      </c>
      <c r="Q212" s="372">
        <v>25235916.000907004</v>
      </c>
      <c r="R212" s="372">
        <v>26544060.368509062</v>
      </c>
      <c r="S212" s="372">
        <v>28862069.749501474</v>
      </c>
      <c r="T212" s="372">
        <v>30730386.18233167</v>
      </c>
      <c r="U212" s="372">
        <v>32822275.277358428</v>
      </c>
      <c r="V212" s="372">
        <v>34900767.231951386</v>
      </c>
      <c r="W212" s="372">
        <v>38664725.766683169</v>
      </c>
      <c r="X212" s="372">
        <v>41917367.196571022</v>
      </c>
      <c r="Y212" s="372">
        <v>45567846.709327348</v>
      </c>
      <c r="Z212" s="372">
        <v>48667151.708378822</v>
      </c>
      <c r="AA212" s="372">
        <v>51410810.956976935</v>
      </c>
      <c r="AB212" s="372">
        <v>56239143.509148978</v>
      </c>
      <c r="AC212" s="372">
        <v>58397295.674493074</v>
      </c>
      <c r="AD212" s="372">
        <v>60491951.675382212</v>
      </c>
      <c r="AE212" s="372">
        <v>63580856.634387054</v>
      </c>
      <c r="AF212" s="372">
        <v>66879342.376026243</v>
      </c>
      <c r="AG212" s="372">
        <v>70076843.929938063</v>
      </c>
      <c r="AH212" s="372">
        <v>72783929.0590069</v>
      </c>
      <c r="AI212" s="372">
        <v>77216575.549983948</v>
      </c>
    </row>
    <row r="213" spans="1:35" x14ac:dyDescent="0.25">
      <c r="A213" s="369" t="s">
        <v>469</v>
      </c>
      <c r="B213" s="361">
        <v>804</v>
      </c>
      <c r="C213" s="361" t="s">
        <v>468</v>
      </c>
      <c r="D213" s="361">
        <v>209</v>
      </c>
      <c r="E213" s="361">
        <v>14</v>
      </c>
      <c r="F213" s="361" t="s">
        <v>2353</v>
      </c>
      <c r="G213" s="372">
        <v>542995809.98535669</v>
      </c>
      <c r="H213" s="372">
        <v>497326366.08262151</v>
      </c>
      <c r="I213" s="372">
        <v>449090688.88982707</v>
      </c>
      <c r="J213" s="372">
        <v>385202567.48925948</v>
      </c>
      <c r="K213" s="372">
        <v>296860035.26292706</v>
      </c>
      <c r="L213" s="372">
        <v>260643110.89520851</v>
      </c>
      <c r="M213" s="372">
        <v>234578799.87219372</v>
      </c>
      <c r="N213" s="372">
        <v>227541435.81251466</v>
      </c>
      <c r="O213" s="372">
        <v>223218148.56782386</v>
      </c>
      <c r="P213" s="372">
        <v>222771712.27640775</v>
      </c>
      <c r="Q213" s="372">
        <v>235915243.29981798</v>
      </c>
      <c r="R213" s="372">
        <v>257628162.31769642</v>
      </c>
      <c r="S213" s="372">
        <v>271151836.03131336</v>
      </c>
      <c r="T213" s="372">
        <v>296954522.64293647</v>
      </c>
      <c r="U213" s="372">
        <v>332912018.76220506</v>
      </c>
      <c r="V213" s="372">
        <v>342890587.22462648</v>
      </c>
      <c r="W213" s="372">
        <v>368401312.25567091</v>
      </c>
      <c r="X213" s="372">
        <v>396375754.08683789</v>
      </c>
      <c r="Y213" s="372">
        <v>405508365.53218395</v>
      </c>
      <c r="Z213" s="372">
        <v>345661229.4676581</v>
      </c>
      <c r="AA213" s="372">
        <v>358915221.12905484</v>
      </c>
      <c r="AB213" s="372">
        <v>378531847.05331379</v>
      </c>
      <c r="AC213" s="372">
        <v>379435331.8077926</v>
      </c>
      <c r="AD213" s="372">
        <v>379333910.07422024</v>
      </c>
      <c r="AE213" s="372">
        <v>354477604.62242287</v>
      </c>
      <c r="AF213" s="372">
        <v>319834600.67630643</v>
      </c>
      <c r="AG213" s="372">
        <v>327641746.44945794</v>
      </c>
      <c r="AH213" s="372">
        <v>335721567.04729563</v>
      </c>
      <c r="AI213" s="372">
        <v>346919524.02450305</v>
      </c>
    </row>
    <row r="214" spans="1:35" x14ac:dyDescent="0.25">
      <c r="A214" s="361" t="s">
        <v>471</v>
      </c>
      <c r="B214" s="361">
        <v>784</v>
      </c>
      <c r="C214" s="361" t="s">
        <v>470</v>
      </c>
      <c r="D214" s="361">
        <v>202</v>
      </c>
      <c r="E214" s="361">
        <v>17</v>
      </c>
      <c r="F214" s="361" t="s">
        <v>2374</v>
      </c>
      <c r="G214" s="372">
        <v>205423600.1093902</v>
      </c>
      <c r="H214" s="372">
        <v>207190411.40629879</v>
      </c>
      <c r="I214" s="372">
        <v>214120816.42686138</v>
      </c>
      <c r="J214" s="372">
        <v>216821288.78890902</v>
      </c>
      <c r="K214" s="372">
        <v>231773606.95295861</v>
      </c>
      <c r="L214" s="372">
        <v>247274362.63863117</v>
      </c>
      <c r="M214" s="372">
        <v>261612329.32447666</v>
      </c>
      <c r="N214" s="372">
        <v>283039421.98955661</v>
      </c>
      <c r="O214" s="372">
        <v>283865881.10631812</v>
      </c>
      <c r="P214" s="372">
        <v>292104275.44028014</v>
      </c>
      <c r="Q214" s="372">
        <v>323805488.44616789</v>
      </c>
      <c r="R214" s="372">
        <v>328335802.56239325</v>
      </c>
      <c r="S214" s="372">
        <v>336325712.51070315</v>
      </c>
      <c r="T214" s="372">
        <v>365924194.11109072</v>
      </c>
      <c r="U214" s="372">
        <v>400930100.28077251</v>
      </c>
      <c r="V214" s="372">
        <v>420395822.7479074</v>
      </c>
      <c r="W214" s="372">
        <v>461751504.14599186</v>
      </c>
      <c r="X214" s="372">
        <v>476455473.67080134</v>
      </c>
      <c r="Y214" s="372">
        <v>491663152.31890845</v>
      </c>
      <c r="Z214" s="372">
        <v>465885637.19892704</v>
      </c>
      <c r="AA214" s="372">
        <v>473352898.59733957</v>
      </c>
      <c r="AB214" s="372">
        <v>506157540.23595518</v>
      </c>
      <c r="AC214" s="372">
        <v>528856813.31610906</v>
      </c>
      <c r="AD214" s="372">
        <v>555581777.01345646</v>
      </c>
      <c r="AE214" s="372">
        <v>580020134.20732427</v>
      </c>
      <c r="AF214" s="372">
        <v>609396422.81563091</v>
      </c>
      <c r="AG214" s="372">
        <v>627607880.36960137</v>
      </c>
      <c r="AH214" s="372">
        <v>632568495.48987114</v>
      </c>
      <c r="AI214" s="372">
        <v>641575261.04043663</v>
      </c>
    </row>
    <row r="215" spans="1:35" x14ac:dyDescent="0.25">
      <c r="A215" s="361" t="s">
        <v>473</v>
      </c>
      <c r="B215" s="361">
        <v>826</v>
      </c>
      <c r="C215" s="361" t="s">
        <v>472</v>
      </c>
      <c r="D215" s="361">
        <v>212</v>
      </c>
      <c r="E215" s="361">
        <v>11</v>
      </c>
      <c r="F215" s="361" t="s">
        <v>2374</v>
      </c>
      <c r="G215" s="372">
        <v>1527066015.0410314</v>
      </c>
      <c r="H215" s="372">
        <v>1510453084.7329543</v>
      </c>
      <c r="I215" s="372">
        <v>1516057257.0056081</v>
      </c>
      <c r="J215" s="372">
        <v>1554358123.5811534</v>
      </c>
      <c r="K215" s="372">
        <v>1614899727.7635958</v>
      </c>
      <c r="L215" s="372">
        <v>1654550427.6907456</v>
      </c>
      <c r="M215" s="372">
        <v>1696497682.8280022</v>
      </c>
      <c r="N215" s="372">
        <v>1769329599.064096</v>
      </c>
      <c r="O215" s="372">
        <v>1828447838.2052085</v>
      </c>
      <c r="P215" s="372">
        <v>1887210235.9055495</v>
      </c>
      <c r="Q215" s="372">
        <v>1952384342.4590673</v>
      </c>
      <c r="R215" s="372">
        <v>2007847001.4870327</v>
      </c>
      <c r="S215" s="372">
        <v>2058037694.5125985</v>
      </c>
      <c r="T215" s="372">
        <v>2126764961.67397</v>
      </c>
      <c r="U215" s="372">
        <v>2176696980.4077086</v>
      </c>
      <c r="V215" s="372">
        <v>2245235165.7718911</v>
      </c>
      <c r="W215" s="372">
        <v>2302445517.7212691</v>
      </c>
      <c r="X215" s="372">
        <v>2361054286.6688991</v>
      </c>
      <c r="Y215" s="372">
        <v>2352887006.6484895</v>
      </c>
      <c r="Z215" s="372">
        <v>2252970446.6279807</v>
      </c>
      <c r="AA215" s="372">
        <v>2291523422.1220932</v>
      </c>
      <c r="AB215" s="372">
        <v>2329213712.3044763</v>
      </c>
      <c r="AC215" s="372">
        <v>2362918842.5703349</v>
      </c>
      <c r="AD215" s="372">
        <v>2411271241.0431566</v>
      </c>
      <c r="AE215" s="372">
        <v>2482344959.7894921</v>
      </c>
      <c r="AF215" s="372">
        <v>2540658288.5282559</v>
      </c>
      <c r="AG215" s="372">
        <v>2586117999.1612425</v>
      </c>
      <c r="AH215" s="372">
        <v>2633261062.4329987</v>
      </c>
      <c r="AI215" s="372">
        <v>2670063718.9718757</v>
      </c>
    </row>
    <row r="216" spans="1:35" x14ac:dyDescent="0.25">
      <c r="A216" s="369" t="s">
        <v>475</v>
      </c>
      <c r="B216" s="361">
        <v>840</v>
      </c>
      <c r="C216" s="361" t="s">
        <v>474</v>
      </c>
      <c r="D216" s="361">
        <v>214</v>
      </c>
      <c r="E216" s="361">
        <v>2</v>
      </c>
      <c r="F216" s="361" t="s">
        <v>2353</v>
      </c>
      <c r="G216" s="372">
        <v>9189258106.4272423</v>
      </c>
      <c r="H216" s="372">
        <v>9179309897.8194599</v>
      </c>
      <c r="I216" s="372">
        <v>9502645810.360014</v>
      </c>
      <c r="J216" s="372">
        <v>9764238856.4804211</v>
      </c>
      <c r="K216" s="372">
        <v>10157624325.836321</v>
      </c>
      <c r="L216" s="372">
        <v>10430284128.460155</v>
      </c>
      <c r="M216" s="372">
        <v>10823766734.795467</v>
      </c>
      <c r="N216" s="372">
        <v>11305123057.933498</v>
      </c>
      <c r="O216" s="372">
        <v>11811751696.74806</v>
      </c>
      <c r="P216" s="372">
        <v>12373192129.347635</v>
      </c>
      <c r="Q216" s="372">
        <v>12883893656.329067</v>
      </c>
      <c r="R216" s="372">
        <v>13012518822.777714</v>
      </c>
      <c r="S216" s="372">
        <v>13239157244.96423</v>
      </c>
      <c r="T216" s="372">
        <v>13617957437.511217</v>
      </c>
      <c r="U216" s="372">
        <v>14135288814.220833</v>
      </c>
      <c r="V216" s="372">
        <v>14631891731.079374</v>
      </c>
      <c r="W216" s="372">
        <v>15049628185.806431</v>
      </c>
      <c r="X216" s="372">
        <v>15331985014.334438</v>
      </c>
      <c r="Y216" s="372">
        <v>15311044619.042107</v>
      </c>
      <c r="Z216" s="372">
        <v>14922640612.864544</v>
      </c>
      <c r="AA216" s="372">
        <v>15305222282.538078</v>
      </c>
      <c r="AB216" s="372">
        <v>15542581104</v>
      </c>
      <c r="AC216" s="372">
        <v>15892218592.544952</v>
      </c>
      <c r="AD216" s="372">
        <v>16184966142.915892</v>
      </c>
      <c r="AE216" s="372">
        <v>16581817148.640406</v>
      </c>
      <c r="AF216" s="372">
        <v>17059524454.289913</v>
      </c>
      <c r="AG216" s="372">
        <v>17326883909.448101</v>
      </c>
      <c r="AH216" s="372">
        <v>17711022715.648705</v>
      </c>
      <c r="AI216" s="372">
        <v>18217025360.144855</v>
      </c>
    </row>
    <row r="217" spans="1:35" x14ac:dyDescent="0.25">
      <c r="A217" s="361" t="s">
        <v>477</v>
      </c>
      <c r="B217" s="361">
        <v>858</v>
      </c>
      <c r="C217" s="361" t="s">
        <v>476</v>
      </c>
      <c r="D217" s="361">
        <v>217</v>
      </c>
      <c r="E217" s="361">
        <v>6</v>
      </c>
      <c r="F217" s="361" t="s">
        <v>2374</v>
      </c>
      <c r="G217" s="372">
        <v>30604531.168553673</v>
      </c>
      <c r="H217" s="372">
        <v>31687566.920236018</v>
      </c>
      <c r="I217" s="372">
        <v>34200894.306354195</v>
      </c>
      <c r="J217" s="372">
        <v>35109798.840172097</v>
      </c>
      <c r="K217" s="372">
        <v>37666263.597417295</v>
      </c>
      <c r="L217" s="372">
        <v>37121007.155706666</v>
      </c>
      <c r="M217" s="372">
        <v>39191601.254088499</v>
      </c>
      <c r="N217" s="372">
        <v>42541575.183006376</v>
      </c>
      <c r="O217" s="372">
        <v>44463982.200493224</v>
      </c>
      <c r="P217" s="372">
        <v>43601731.262050949</v>
      </c>
      <c r="Q217" s="372">
        <v>42760248.090975404</v>
      </c>
      <c r="R217" s="372">
        <v>41116488.580230691</v>
      </c>
      <c r="S217" s="372">
        <v>37937358.718021065</v>
      </c>
      <c r="T217" s="372">
        <v>38242862.166454494</v>
      </c>
      <c r="U217" s="372">
        <v>40156596.317464299</v>
      </c>
      <c r="V217" s="372">
        <v>43152331.451857761</v>
      </c>
      <c r="W217" s="372">
        <v>44920963.140106604</v>
      </c>
      <c r="X217" s="372">
        <v>47859472.816814691</v>
      </c>
      <c r="Y217" s="372">
        <v>51293937.820637859</v>
      </c>
      <c r="Z217" s="372">
        <v>53470593.085685797</v>
      </c>
      <c r="AA217" s="372">
        <v>57643122.516307734</v>
      </c>
      <c r="AB217" s="372">
        <v>60618737.180822745</v>
      </c>
      <c r="AC217" s="372">
        <v>62763536.432120152</v>
      </c>
      <c r="AD217" s="372">
        <v>65674219.68794474</v>
      </c>
      <c r="AE217" s="372">
        <v>67801270.546516299</v>
      </c>
      <c r="AF217" s="372">
        <v>68052637.835953996</v>
      </c>
      <c r="AG217" s="372">
        <v>69202590.059556171</v>
      </c>
      <c r="AH217" s="372">
        <v>70995863.548250586</v>
      </c>
      <c r="AI217" s="372">
        <v>72146055.910812885</v>
      </c>
    </row>
    <row r="218" spans="1:35" x14ac:dyDescent="0.25">
      <c r="A218" s="361" t="s">
        <v>479</v>
      </c>
      <c r="B218" s="361">
        <v>860</v>
      </c>
      <c r="C218" s="361" t="s">
        <v>478</v>
      </c>
      <c r="D218" s="361">
        <v>218</v>
      </c>
      <c r="E218" s="361">
        <v>15</v>
      </c>
      <c r="F218" s="361" t="s">
        <v>2374</v>
      </c>
      <c r="G218" s="372">
        <v>63364448.169415437</v>
      </c>
      <c r="H218" s="372">
        <v>63052695.081918731</v>
      </c>
      <c r="I218" s="372">
        <v>55990793.234364897</v>
      </c>
      <c r="J218" s="372">
        <v>54703004.986805521</v>
      </c>
      <c r="K218" s="372">
        <v>51858448.731904566</v>
      </c>
      <c r="L218" s="372">
        <v>51391722.690092154</v>
      </c>
      <c r="M218" s="372">
        <v>52265381.977686837</v>
      </c>
      <c r="N218" s="372">
        <v>54983181.839130625</v>
      </c>
      <c r="O218" s="372">
        <v>57347458.658213243</v>
      </c>
      <c r="P218" s="372">
        <v>59813399.382205024</v>
      </c>
      <c r="Q218" s="372">
        <v>62107243.248512879</v>
      </c>
      <c r="R218" s="372">
        <v>64693288.395768605</v>
      </c>
      <c r="S218" s="372">
        <v>67263868.573027879</v>
      </c>
      <c r="T218" s="372">
        <v>70110897.493992105</v>
      </c>
      <c r="U218" s="372">
        <v>75333458.671279147</v>
      </c>
      <c r="V218" s="372">
        <v>80569139.47377871</v>
      </c>
      <c r="W218" s="372">
        <v>86572683.214510679</v>
      </c>
      <c r="X218" s="372">
        <v>94773718.08754997</v>
      </c>
      <c r="Y218" s="372">
        <v>103330989.69653688</v>
      </c>
      <c r="Z218" s="372">
        <v>111650098.78288874</v>
      </c>
      <c r="AA218" s="372">
        <v>121116979.7295907</v>
      </c>
      <c r="AB218" s="372">
        <v>131147044.19549593</v>
      </c>
      <c r="AC218" s="372">
        <v>141874546.4107641</v>
      </c>
      <c r="AD218" s="372">
        <v>153261466.98289254</v>
      </c>
      <c r="AE218" s="372">
        <v>164264703.86822072</v>
      </c>
      <c r="AF218" s="372">
        <v>176499911.56291732</v>
      </c>
      <c r="AG218" s="372">
        <v>187256390.22691029</v>
      </c>
      <c r="AH218" s="372">
        <v>195611073.19743973</v>
      </c>
      <c r="AI218" s="372">
        <v>205651762.96513206</v>
      </c>
    </row>
    <row r="219" spans="1:35" x14ac:dyDescent="0.25">
      <c r="A219" s="361" t="s">
        <v>481</v>
      </c>
      <c r="B219" s="361">
        <v>548</v>
      </c>
      <c r="C219" s="361" t="s">
        <v>480</v>
      </c>
      <c r="D219" s="361">
        <v>141</v>
      </c>
      <c r="E219" s="361">
        <v>24</v>
      </c>
      <c r="F219" s="361" t="s">
        <v>2374</v>
      </c>
      <c r="G219" s="372">
        <v>373812.28989957832</v>
      </c>
      <c r="H219" s="372">
        <v>385547.45971585932</v>
      </c>
      <c r="I219" s="372">
        <v>395540.91356501292</v>
      </c>
      <c r="J219" s="372">
        <v>398510.39784431731</v>
      </c>
      <c r="K219" s="372">
        <v>434601.04261633521</v>
      </c>
      <c r="L219" s="372">
        <v>438998.16333395231</v>
      </c>
      <c r="M219" s="372">
        <v>449220.03876942885</v>
      </c>
      <c r="N219" s="372">
        <v>471291.29664290062</v>
      </c>
      <c r="O219" s="372">
        <v>491563.7316288703</v>
      </c>
      <c r="P219" s="372">
        <v>493209.42907381366</v>
      </c>
      <c r="Q219" s="372">
        <v>522417.51113369782</v>
      </c>
      <c r="R219" s="372">
        <v>504192.93572488031</v>
      </c>
      <c r="S219" s="372">
        <v>478422.53277221118</v>
      </c>
      <c r="T219" s="372">
        <v>498963.27495539357</v>
      </c>
      <c r="U219" s="372">
        <v>518845.73816059844</v>
      </c>
      <c r="V219" s="372">
        <v>546359.36136976338</v>
      </c>
      <c r="W219" s="372">
        <v>592609.55474839476</v>
      </c>
      <c r="X219" s="372">
        <v>623268.28863011813</v>
      </c>
      <c r="Y219" s="372">
        <v>663459.87734106893</v>
      </c>
      <c r="Z219" s="372">
        <v>685439.0809946463</v>
      </c>
      <c r="AA219" s="372">
        <v>696605.4429173735</v>
      </c>
      <c r="AB219" s="372">
        <v>705126.4985767469</v>
      </c>
      <c r="AC219" s="372">
        <v>717499.70529243234</v>
      </c>
      <c r="AD219" s="372">
        <v>731628.32261605759</v>
      </c>
      <c r="AE219" s="372">
        <v>748682.62428624893</v>
      </c>
      <c r="AF219" s="372">
        <v>742684.97137578845</v>
      </c>
      <c r="AG219" s="372">
        <v>772396.63685382553</v>
      </c>
      <c r="AH219" s="372">
        <v>807159.74016323755</v>
      </c>
      <c r="AI219" s="372">
        <v>832988.85184846108</v>
      </c>
    </row>
    <row r="220" spans="1:35" x14ac:dyDescent="0.25">
      <c r="A220" s="361" t="s">
        <v>483</v>
      </c>
      <c r="B220" s="361">
        <v>336</v>
      </c>
      <c r="C220" s="361" t="s">
        <v>220</v>
      </c>
      <c r="D220" s="361">
        <v>85</v>
      </c>
      <c r="E220" s="361">
        <v>11</v>
      </c>
      <c r="F220" s="361" t="s">
        <v>2374</v>
      </c>
      <c r="G220" s="372">
        <v>0</v>
      </c>
      <c r="H220" s="372">
        <v>0</v>
      </c>
      <c r="I220" s="372">
        <v>0</v>
      </c>
      <c r="J220" s="372">
        <v>0</v>
      </c>
      <c r="K220" s="372">
        <v>0</v>
      </c>
      <c r="L220" s="372">
        <v>0</v>
      </c>
      <c r="M220" s="372">
        <v>0</v>
      </c>
      <c r="N220" s="372">
        <v>0</v>
      </c>
      <c r="O220" s="372">
        <v>0</v>
      </c>
      <c r="P220" s="372">
        <v>0</v>
      </c>
      <c r="Q220" s="372">
        <v>0</v>
      </c>
      <c r="R220" s="372">
        <v>0</v>
      </c>
      <c r="S220" s="372">
        <v>0</v>
      </c>
      <c r="T220" s="372">
        <v>0</v>
      </c>
      <c r="U220" s="372">
        <v>0</v>
      </c>
      <c r="V220" s="372">
        <v>0</v>
      </c>
      <c r="W220" s="372">
        <v>0</v>
      </c>
      <c r="X220" s="372">
        <v>0</v>
      </c>
      <c r="Y220" s="372">
        <v>0</v>
      </c>
      <c r="Z220" s="372">
        <v>0</v>
      </c>
      <c r="AA220" s="372">
        <v>0</v>
      </c>
      <c r="AB220" s="372">
        <v>0</v>
      </c>
      <c r="AC220" s="372">
        <v>0</v>
      </c>
      <c r="AD220" s="372">
        <v>0</v>
      </c>
      <c r="AE220" s="372">
        <v>0</v>
      </c>
      <c r="AF220" s="372">
        <v>0</v>
      </c>
      <c r="AG220" s="372">
        <v>0</v>
      </c>
      <c r="AH220" s="372">
        <v>0</v>
      </c>
      <c r="AI220" s="372">
        <v>0</v>
      </c>
    </row>
    <row r="221" spans="1:35" x14ac:dyDescent="0.25">
      <c r="A221" s="361" t="s">
        <v>485</v>
      </c>
      <c r="B221" s="361">
        <v>862</v>
      </c>
      <c r="C221" s="361" t="s">
        <v>484</v>
      </c>
      <c r="D221" s="361">
        <v>219</v>
      </c>
      <c r="E221" s="361">
        <v>6</v>
      </c>
      <c r="F221" s="361" t="s">
        <v>2374</v>
      </c>
      <c r="G221" s="372">
        <v>287018846.60188693</v>
      </c>
      <c r="H221" s="372">
        <v>314945458.84954685</v>
      </c>
      <c r="I221" s="372">
        <v>334032644.17454535</v>
      </c>
      <c r="J221" s="372">
        <v>334952530.51899278</v>
      </c>
      <c r="K221" s="372">
        <v>327082794.25862628</v>
      </c>
      <c r="L221" s="372">
        <v>340008003.11567551</v>
      </c>
      <c r="M221" s="372">
        <v>339335340.60987532</v>
      </c>
      <c r="N221" s="372">
        <v>360954162.37954396</v>
      </c>
      <c r="O221" s="372">
        <v>362015566.72113109</v>
      </c>
      <c r="P221" s="372">
        <v>340401578.82655704</v>
      </c>
      <c r="Q221" s="372">
        <v>352951994.98105931</v>
      </c>
      <c r="R221" s="372">
        <v>364932019.0378741</v>
      </c>
      <c r="S221" s="372">
        <v>332614926.35417962</v>
      </c>
      <c r="T221" s="372">
        <v>306819640.80566078</v>
      </c>
      <c r="U221" s="372">
        <v>362926541.76477647</v>
      </c>
      <c r="V221" s="372">
        <v>400372989.51704681</v>
      </c>
      <c r="W221" s="372">
        <v>439898408.03237027</v>
      </c>
      <c r="X221" s="372">
        <v>478405261.85399878</v>
      </c>
      <c r="Y221" s="372">
        <v>503654793.69613475</v>
      </c>
      <c r="Z221" s="372">
        <v>487526242.85302758</v>
      </c>
      <c r="AA221" s="372">
        <v>480267994.80415827</v>
      </c>
      <c r="AB221" s="372">
        <v>500326029.13146919</v>
      </c>
      <c r="AC221" s="372">
        <v>528474156.26556379</v>
      </c>
      <c r="AD221" s="372">
        <v>535572061.14056307</v>
      </c>
      <c r="AE221" s="372">
        <v>514714815.23026866</v>
      </c>
      <c r="AF221" s="372">
        <v>482694406.57479364</v>
      </c>
      <c r="AG221" s="372">
        <v>400443279.69444877</v>
      </c>
      <c r="AH221" s="372">
        <v>337689813.33353174</v>
      </c>
      <c r="AI221" s="372">
        <v>276905646.93349606</v>
      </c>
    </row>
    <row r="222" spans="1:35" x14ac:dyDescent="0.25">
      <c r="A222" s="361" t="s">
        <v>487</v>
      </c>
      <c r="B222" s="361">
        <v>704</v>
      </c>
      <c r="C222" s="361" t="s">
        <v>486</v>
      </c>
      <c r="D222" s="361">
        <v>183</v>
      </c>
      <c r="E222" s="361">
        <v>21</v>
      </c>
      <c r="F222" s="361" t="s">
        <v>2374</v>
      </c>
      <c r="G222" s="372">
        <v>99100198.963745043</v>
      </c>
      <c r="H222" s="372">
        <v>105007407.16003044</v>
      </c>
      <c r="I222" s="372">
        <v>114086397.41913858</v>
      </c>
      <c r="J222" s="372">
        <v>123296284.99919219</v>
      </c>
      <c r="K222" s="372">
        <v>134194420.14528914</v>
      </c>
      <c r="L222" s="372">
        <v>146997212.19507396</v>
      </c>
      <c r="M222" s="372">
        <v>160726777.53271326</v>
      </c>
      <c r="N222" s="372">
        <v>173829359.67798647</v>
      </c>
      <c r="O222" s="372">
        <v>183849675.69989398</v>
      </c>
      <c r="P222" s="372">
        <v>192625899.69907913</v>
      </c>
      <c r="Q222" s="372">
        <v>205700028.99583992</v>
      </c>
      <c r="R222" s="372">
        <v>218438812.33391926</v>
      </c>
      <c r="S222" s="372">
        <v>232245938.62922713</v>
      </c>
      <c r="T222" s="372">
        <v>248268733.39225045</v>
      </c>
      <c r="U222" s="372">
        <v>266979284.56145662</v>
      </c>
      <c r="V222" s="372">
        <v>287128872.54769093</v>
      </c>
      <c r="W222" s="372">
        <v>307164595.52579576</v>
      </c>
      <c r="X222" s="372">
        <v>329063909.13695484</v>
      </c>
      <c r="Y222" s="372">
        <v>347694754.80047029</v>
      </c>
      <c r="Z222" s="372">
        <v>366462961.42617375</v>
      </c>
      <c r="AA222" s="372">
        <v>390001750.41629088</v>
      </c>
      <c r="AB222" s="372">
        <v>414339040.36818027</v>
      </c>
      <c r="AC222" s="372">
        <v>436080931.08714753</v>
      </c>
      <c r="AD222" s="372">
        <v>459724728.91809535</v>
      </c>
      <c r="AE222" s="372">
        <v>487233068.9773398</v>
      </c>
      <c r="AF222" s="372">
        <v>519776772.72942638</v>
      </c>
      <c r="AG222" s="372">
        <v>552059129.17713904</v>
      </c>
      <c r="AH222" s="372">
        <v>589666753.24315429</v>
      </c>
      <c r="AI222" s="372">
        <v>631390326.24589169</v>
      </c>
    </row>
    <row r="223" spans="1:35" x14ac:dyDescent="0.25">
      <c r="A223" s="361" t="s">
        <v>489</v>
      </c>
      <c r="B223" s="361">
        <v>92</v>
      </c>
      <c r="C223" s="361" t="s">
        <v>488</v>
      </c>
      <c r="D223" s="361">
        <v>25</v>
      </c>
      <c r="E223" s="361">
        <v>4</v>
      </c>
      <c r="F223" s="361" t="s">
        <v>2374</v>
      </c>
      <c r="G223" s="372">
        <v>139112.59460449219</v>
      </c>
      <c r="H223" s="372">
        <v>211016.79992675781</v>
      </c>
      <c r="I223" s="372">
        <v>222196.01440429688</v>
      </c>
      <c r="J223" s="372">
        <v>277548.03466796875</v>
      </c>
      <c r="K223" s="372">
        <v>409242.58422851563</v>
      </c>
      <c r="L223" s="372">
        <v>491561.24877929688</v>
      </c>
      <c r="M223" s="372">
        <v>533865.3564453125</v>
      </c>
      <c r="N223" s="372">
        <v>684258.6669921875</v>
      </c>
      <c r="O223" s="372">
        <v>540518.4326171875</v>
      </c>
      <c r="P223" s="372">
        <v>535324.15771484375</v>
      </c>
      <c r="Q223" s="372">
        <v>681566.650390625</v>
      </c>
      <c r="R223" s="372">
        <v>838498.53515625</v>
      </c>
      <c r="S223" s="372">
        <v>874495.91064453125</v>
      </c>
      <c r="T223" s="372">
        <v>743077.57568359375</v>
      </c>
      <c r="U223" s="372">
        <v>581426.7578125</v>
      </c>
      <c r="V223" s="372">
        <v>723070.25146484375</v>
      </c>
      <c r="W223" s="372">
        <v>849291.1376953125</v>
      </c>
      <c r="X223" s="372">
        <v>726907.53173828125</v>
      </c>
      <c r="Y223" s="372">
        <v>689130.4931640625</v>
      </c>
      <c r="Z223" s="372">
        <v>670933.2275390625</v>
      </c>
      <c r="AA223" s="372">
        <v>576693.603515625</v>
      </c>
      <c r="AB223" s="372">
        <v>762609.4970703125</v>
      </c>
      <c r="AC223" s="372">
        <v>543143.6767578125</v>
      </c>
      <c r="AD223" s="372">
        <v>695511.8408203125</v>
      </c>
      <c r="AE223" s="372">
        <v>740599.18212890625</v>
      </c>
      <c r="AF223" s="372">
        <v>662195.61767578125</v>
      </c>
      <c r="AG223" s="372">
        <v>630573.18115234375</v>
      </c>
      <c r="AH223" s="372">
        <v>633679.99267578125</v>
      </c>
      <c r="AI223" s="372">
        <v>540518.4326171875</v>
      </c>
    </row>
    <row r="224" spans="1:35" x14ac:dyDescent="0.25">
      <c r="A224" s="361" t="s">
        <v>491</v>
      </c>
      <c r="B224" s="361">
        <v>850</v>
      </c>
      <c r="C224" s="361" t="s">
        <v>490</v>
      </c>
      <c r="D224" s="361">
        <v>215</v>
      </c>
      <c r="E224" s="361">
        <v>4</v>
      </c>
      <c r="F224" s="361" t="s">
        <v>2374</v>
      </c>
      <c r="G224" s="372">
        <v>3876694.8508289987</v>
      </c>
      <c r="H224" s="372">
        <v>3889136.9205437726</v>
      </c>
      <c r="I224" s="372">
        <v>3915478.2393092839</v>
      </c>
      <c r="J224" s="372">
        <v>3950188.9983634115</v>
      </c>
      <c r="K224" s="372">
        <v>3984675.5759812379</v>
      </c>
      <c r="L224" s="372">
        <v>4012548.8012281484</v>
      </c>
      <c r="M224" s="372">
        <v>4032687.7669226322</v>
      </c>
      <c r="N224" s="372">
        <v>4046811.1974096727</v>
      </c>
      <c r="O224" s="372">
        <v>4056039.9998707809</v>
      </c>
      <c r="P224" s="372">
        <v>4060673.0828876942</v>
      </c>
      <c r="Q224" s="372">
        <v>4062242.3529418097</v>
      </c>
      <c r="R224" s="372">
        <v>4061084.0821875813</v>
      </c>
      <c r="S224" s="372">
        <v>4056226.8177343663</v>
      </c>
      <c r="T224" s="372">
        <v>4042674.787759929</v>
      </c>
      <c r="U224" s="372">
        <v>4161515.6659973254</v>
      </c>
      <c r="V224" s="372">
        <v>4312672.9234045409</v>
      </c>
      <c r="W224" s="372">
        <v>4469042.5000326987</v>
      </c>
      <c r="X224" s="372">
        <v>4649388.7450771704</v>
      </c>
      <c r="Y224" s="372">
        <v>4693172.2265330525</v>
      </c>
      <c r="Z224" s="372">
        <v>4381475.5371209355</v>
      </c>
      <c r="AA224" s="372">
        <v>4421089.163200058</v>
      </c>
      <c r="AB224" s="372">
        <v>4060396.6731111123</v>
      </c>
      <c r="AC224" s="372">
        <v>3450555.3242613105</v>
      </c>
      <c r="AD224" s="372">
        <v>3249359.802333083</v>
      </c>
      <c r="AE224" s="372">
        <v>3221213.278540011</v>
      </c>
      <c r="AF224" s="372">
        <v>3227468.0616051429</v>
      </c>
      <c r="AG224" s="372">
        <v>3256657.049242401</v>
      </c>
      <c r="AH224" s="372">
        <v>3201406.4655004428</v>
      </c>
      <c r="AI224" s="372">
        <v>3146155.8817584841</v>
      </c>
    </row>
    <row r="225" spans="1:47" x14ac:dyDescent="0.25">
      <c r="A225" s="361" t="s">
        <v>493</v>
      </c>
      <c r="B225" s="361">
        <v>876</v>
      </c>
      <c r="C225" s="361" t="s">
        <v>492</v>
      </c>
      <c r="D225" s="361">
        <v>220</v>
      </c>
      <c r="E225" s="361">
        <v>24</v>
      </c>
      <c r="F225" s="361" t="s">
        <v>2374</v>
      </c>
      <c r="G225" s="372">
        <v>0</v>
      </c>
      <c r="H225" s="372">
        <v>0</v>
      </c>
      <c r="I225" s="372">
        <v>0</v>
      </c>
      <c r="J225" s="372">
        <v>0</v>
      </c>
      <c r="K225" s="372">
        <v>0</v>
      </c>
      <c r="L225" s="372">
        <v>0</v>
      </c>
      <c r="M225" s="372">
        <v>0</v>
      </c>
      <c r="N225" s="372">
        <v>0</v>
      </c>
      <c r="O225" s="372">
        <v>0</v>
      </c>
      <c r="P225" s="372">
        <v>0</v>
      </c>
      <c r="Q225" s="372">
        <v>0</v>
      </c>
      <c r="R225" s="372">
        <v>0</v>
      </c>
      <c r="S225" s="372">
        <v>0</v>
      </c>
      <c r="T225" s="372">
        <v>0</v>
      </c>
      <c r="U225" s="372">
        <v>0</v>
      </c>
      <c r="V225" s="372">
        <v>0</v>
      </c>
      <c r="W225" s="372">
        <v>0</v>
      </c>
      <c r="X225" s="372">
        <v>0</v>
      </c>
      <c r="Y225" s="372">
        <v>0</v>
      </c>
      <c r="Z225" s="372">
        <v>0</v>
      </c>
      <c r="AA225" s="372">
        <v>0</v>
      </c>
      <c r="AB225" s="372">
        <v>0</v>
      </c>
      <c r="AC225" s="372">
        <v>0</v>
      </c>
      <c r="AD225" s="372">
        <v>0</v>
      </c>
      <c r="AE225" s="372">
        <v>0</v>
      </c>
      <c r="AF225" s="372">
        <v>0</v>
      </c>
      <c r="AG225" s="372">
        <v>0</v>
      </c>
      <c r="AH225" s="372">
        <v>0</v>
      </c>
      <c r="AI225" s="372">
        <v>0</v>
      </c>
    </row>
    <row r="226" spans="1:47" x14ac:dyDescent="0.25">
      <c r="A226" s="361" t="s">
        <v>495</v>
      </c>
      <c r="B226" s="361">
        <v>732</v>
      </c>
      <c r="C226" s="361" t="s">
        <v>494</v>
      </c>
      <c r="D226" s="361">
        <v>189</v>
      </c>
      <c r="E226" s="361">
        <v>7</v>
      </c>
      <c r="F226" s="361" t="s">
        <v>2374</v>
      </c>
      <c r="G226" s="372">
        <v>0</v>
      </c>
      <c r="H226" s="372">
        <v>0</v>
      </c>
      <c r="I226" s="372">
        <v>0</v>
      </c>
      <c r="J226" s="372">
        <v>0</v>
      </c>
      <c r="K226" s="372">
        <v>0</v>
      </c>
      <c r="L226" s="372">
        <v>0</v>
      </c>
      <c r="M226" s="372">
        <v>0</v>
      </c>
      <c r="N226" s="372">
        <v>0</v>
      </c>
      <c r="O226" s="372">
        <v>0</v>
      </c>
      <c r="P226" s="372">
        <v>0</v>
      </c>
      <c r="Q226" s="372">
        <v>0</v>
      </c>
      <c r="R226" s="372">
        <v>0</v>
      </c>
      <c r="S226" s="372">
        <v>0</v>
      </c>
      <c r="T226" s="372">
        <v>0</v>
      </c>
      <c r="U226" s="372">
        <v>0</v>
      </c>
      <c r="V226" s="372">
        <v>0</v>
      </c>
      <c r="W226" s="372">
        <v>0</v>
      </c>
      <c r="X226" s="372">
        <v>0</v>
      </c>
      <c r="Y226" s="372">
        <v>0</v>
      </c>
      <c r="Z226" s="372">
        <v>0</v>
      </c>
      <c r="AA226" s="372">
        <v>0</v>
      </c>
      <c r="AB226" s="372">
        <v>0</v>
      </c>
      <c r="AC226" s="372">
        <v>0</v>
      </c>
      <c r="AD226" s="372">
        <v>0</v>
      </c>
      <c r="AE226" s="372">
        <v>0</v>
      </c>
      <c r="AF226" s="372">
        <v>0</v>
      </c>
      <c r="AG226" s="372">
        <v>0</v>
      </c>
      <c r="AH226" s="372">
        <v>0</v>
      </c>
      <c r="AI226" s="372">
        <v>0</v>
      </c>
    </row>
    <row r="227" spans="1:47" x14ac:dyDescent="0.25">
      <c r="A227" s="361" t="s">
        <v>497</v>
      </c>
      <c r="B227" s="361">
        <v>887</v>
      </c>
      <c r="C227" s="361" t="s">
        <v>496</v>
      </c>
      <c r="D227" s="361">
        <v>222</v>
      </c>
      <c r="E227" s="361">
        <v>17</v>
      </c>
      <c r="F227" s="361" t="s">
        <v>2374</v>
      </c>
      <c r="G227" s="372">
        <v>40115006.971570782</v>
      </c>
      <c r="H227" s="372">
        <v>42639642.472236805</v>
      </c>
      <c r="I227" s="372">
        <v>46139332.973508306</v>
      </c>
      <c r="J227" s="372">
        <v>47985813.567648627</v>
      </c>
      <c r="K227" s="372">
        <v>51211395.541595832</v>
      </c>
      <c r="L227" s="372">
        <v>54114759.714172669</v>
      </c>
      <c r="M227" s="372">
        <v>56622961.140429638</v>
      </c>
      <c r="N227" s="372">
        <v>59584971.678279802</v>
      </c>
      <c r="O227" s="372">
        <v>63164058.953727141</v>
      </c>
      <c r="P227" s="372">
        <v>65548837.26211632</v>
      </c>
      <c r="Q227" s="372">
        <v>69601011.053782046</v>
      </c>
      <c r="R227" s="372">
        <v>72248387.037516847</v>
      </c>
      <c r="S227" s="372">
        <v>75091528.326272234</v>
      </c>
      <c r="T227" s="372">
        <v>77905506.895777941</v>
      </c>
      <c r="U227" s="372">
        <v>81000456.164549887</v>
      </c>
      <c r="V227" s="372">
        <v>85529797.613384798</v>
      </c>
      <c r="W227" s="372">
        <v>88241442.321844593</v>
      </c>
      <c r="X227" s="372">
        <v>91187319.301139638</v>
      </c>
      <c r="Y227" s="372">
        <v>94513440.120594606</v>
      </c>
      <c r="Z227" s="372">
        <v>98167546.639008179</v>
      </c>
      <c r="AA227" s="372">
        <v>105728712.49440545</v>
      </c>
      <c r="AB227" s="372">
        <v>92285415.711895525</v>
      </c>
      <c r="AC227" s="372">
        <v>94493796.674542084</v>
      </c>
      <c r="AD227" s="372">
        <v>99051722.973803401</v>
      </c>
      <c r="AE227" s="372">
        <v>98864822.047477514</v>
      </c>
      <c r="AF227" s="372">
        <v>82375689.152615681</v>
      </c>
      <c r="AG227" s="372">
        <v>71154918.891332537</v>
      </c>
      <c r="AH227" s="372">
        <v>66926666.267714933</v>
      </c>
      <c r="AI227" s="372">
        <v>65118659.200534806</v>
      </c>
    </row>
    <row r="228" spans="1:47" x14ac:dyDescent="0.25">
      <c r="A228" s="361" t="s">
        <v>499</v>
      </c>
      <c r="B228" s="361">
        <v>894</v>
      </c>
      <c r="C228" s="361" t="s">
        <v>498</v>
      </c>
      <c r="D228" s="361">
        <v>224</v>
      </c>
      <c r="E228" s="361">
        <v>26</v>
      </c>
      <c r="F228" s="361" t="s">
        <v>2374</v>
      </c>
      <c r="G228" s="372">
        <v>18799289.207590275</v>
      </c>
      <c r="H228" s="372">
        <v>18792496.388253745</v>
      </c>
      <c r="I228" s="372">
        <v>18467212.901310459</v>
      </c>
      <c r="J228" s="372">
        <v>19722479.971437961</v>
      </c>
      <c r="K228" s="372">
        <v>18021328.909945056</v>
      </c>
      <c r="L228" s="372">
        <v>18543527.351948895</v>
      </c>
      <c r="M228" s="372">
        <v>19696665.221019693</v>
      </c>
      <c r="N228" s="372">
        <v>20447897.509244524</v>
      </c>
      <c r="O228" s="372">
        <v>20369020.532707456</v>
      </c>
      <c r="P228" s="372">
        <v>21316218.636956248</v>
      </c>
      <c r="Q228" s="372">
        <v>22146980.516563699</v>
      </c>
      <c r="R228" s="372">
        <v>23324506.297338624</v>
      </c>
      <c r="S228" s="372">
        <v>24375511.881912246</v>
      </c>
      <c r="T228" s="372">
        <v>26068384.840142105</v>
      </c>
      <c r="U228" s="372">
        <v>27901616.662239332</v>
      </c>
      <c r="V228" s="372">
        <v>29920465.760265224</v>
      </c>
      <c r="W228" s="372">
        <v>32285287.950417832</v>
      </c>
      <c r="X228" s="372">
        <v>34981896.042821363</v>
      </c>
      <c r="Y228" s="372">
        <v>37701352.195450082</v>
      </c>
      <c r="Z228" s="372">
        <v>41177548.221593298</v>
      </c>
      <c r="AA228" s="372">
        <v>45418096.902156293</v>
      </c>
      <c r="AB228" s="372">
        <v>47945443.548246033</v>
      </c>
      <c r="AC228" s="372">
        <v>51588154.70306538</v>
      </c>
      <c r="AD228" s="372">
        <v>54198193.616075248</v>
      </c>
      <c r="AE228" s="372">
        <v>56743246.685420766</v>
      </c>
      <c r="AF228" s="372">
        <v>58400082.026695259</v>
      </c>
      <c r="AG228" s="372">
        <v>60594276.94656606</v>
      </c>
      <c r="AH228" s="372">
        <v>62656402.505218469</v>
      </c>
      <c r="AI228" s="372">
        <v>65034150.898254536</v>
      </c>
    </row>
    <row r="229" spans="1:47" x14ac:dyDescent="0.25">
      <c r="A229" s="361" t="s">
        <v>501</v>
      </c>
      <c r="B229" s="361">
        <v>716</v>
      </c>
      <c r="C229" s="361" t="s">
        <v>500</v>
      </c>
      <c r="D229" s="361">
        <v>187</v>
      </c>
      <c r="E229" s="361">
        <v>26</v>
      </c>
      <c r="F229" s="361" t="s">
        <v>2374</v>
      </c>
      <c r="G229" s="372">
        <v>29414727.075196467</v>
      </c>
      <c r="H229" s="372">
        <v>31041885.769402556</v>
      </c>
      <c r="I229" s="372">
        <v>28243282.80176501</v>
      </c>
      <c r="J229" s="372">
        <v>28540249.234984595</v>
      </c>
      <c r="K229" s="372">
        <v>31175998.00727763</v>
      </c>
      <c r="L229" s="372">
        <v>31225264.081224378</v>
      </c>
      <c r="M229" s="372">
        <v>34460419.008251339</v>
      </c>
      <c r="N229" s="372">
        <v>35384162.992432833</v>
      </c>
      <c r="O229" s="372">
        <v>36405071.040643506</v>
      </c>
      <c r="P229" s="372">
        <v>36107342.718680397</v>
      </c>
      <c r="Q229" s="372">
        <v>35002750.586971126</v>
      </c>
      <c r="R229" s="372">
        <v>35506655.569415733</v>
      </c>
      <c r="S229" s="372">
        <v>32348685.231768776</v>
      </c>
      <c r="T229" s="372">
        <v>26851002.014094252</v>
      </c>
      <c r="U229" s="372">
        <v>25291619.853883713</v>
      </c>
      <c r="V229" s="372">
        <v>23847194.280070223</v>
      </c>
      <c r="W229" s="372">
        <v>23021724.796563324</v>
      </c>
      <c r="X229" s="372">
        <v>22180665.941204727</v>
      </c>
      <c r="Y229" s="372">
        <v>18261575.990352422</v>
      </c>
      <c r="Z229" s="372">
        <v>20456537.060108952</v>
      </c>
      <c r="AA229" s="372">
        <v>24481426.830443393</v>
      </c>
      <c r="AB229" s="372">
        <v>27956299.245441098</v>
      </c>
      <c r="AC229" s="372">
        <v>32615336.3824898</v>
      </c>
      <c r="AD229" s="372">
        <v>33264216.139144894</v>
      </c>
      <c r="AE229" s="372">
        <v>34054883.047946244</v>
      </c>
      <c r="AF229" s="372">
        <v>34661016.615492448</v>
      </c>
      <c r="AG229" s="372">
        <v>34923008.582148917</v>
      </c>
      <c r="AH229" s="372">
        <v>36565799.250555478</v>
      </c>
      <c r="AI229" s="372">
        <v>38817956.227731146</v>
      </c>
    </row>
    <row r="230" spans="1:47" x14ac:dyDescent="0.25">
      <c r="D230" s="361">
        <v>227</v>
      </c>
    </row>
    <row r="231" spans="1:47" x14ac:dyDescent="0.25">
      <c r="A231" s="369" t="s">
        <v>22</v>
      </c>
      <c r="B231" s="361">
        <v>9000</v>
      </c>
      <c r="C231" s="361" t="s">
        <v>2501</v>
      </c>
      <c r="D231" s="361">
        <v>228</v>
      </c>
      <c r="G231" s="376">
        <v>11700796.935956785</v>
      </c>
      <c r="H231" s="376">
        <v>11821096.647963447</v>
      </c>
      <c r="I231" s="376">
        <v>11927013.947870724</v>
      </c>
      <c r="J231" s="376">
        <v>11915113.614493683</v>
      </c>
      <c r="K231" s="376">
        <v>12255709.640752649</v>
      </c>
      <c r="L231" s="376">
        <v>12597956.152348526</v>
      </c>
      <c r="M231" s="376">
        <v>12860067.461541511</v>
      </c>
      <c r="N231" s="376">
        <v>13233524.655629018</v>
      </c>
      <c r="O231" s="376">
        <v>13630458.922483413</v>
      </c>
      <c r="P231" s="376">
        <v>14029430.999728117</v>
      </c>
      <c r="Q231" s="376">
        <v>14569152.296405839</v>
      </c>
      <c r="R231" s="376">
        <v>14906177.807054896</v>
      </c>
      <c r="S231" s="376">
        <v>15127081.632416934</v>
      </c>
      <c r="T231" s="376">
        <v>15340558.720530786</v>
      </c>
      <c r="U231" s="376">
        <v>15762157.121929666</v>
      </c>
      <c r="V231" s="376">
        <v>16116683.234841995</v>
      </c>
      <c r="W231" s="376">
        <v>16685725.489448773</v>
      </c>
      <c r="X231" s="376">
        <v>17237161.332016837</v>
      </c>
      <c r="Y231" s="376">
        <v>17367950.195783552</v>
      </c>
      <c r="Z231" s="376">
        <v>16624146.626569889</v>
      </c>
      <c r="AA231" s="376">
        <v>16954524.665164117</v>
      </c>
      <c r="AB231" s="376">
        <v>17255239.465168603</v>
      </c>
      <c r="AC231" s="376">
        <v>17188450.186778024</v>
      </c>
      <c r="AD231" s="376">
        <v>17237741.840870302</v>
      </c>
      <c r="AE231" s="376">
        <v>17555949.97617922</v>
      </c>
      <c r="AF231" s="376">
        <v>17980310.00104095</v>
      </c>
      <c r="AG231" s="376">
        <v>18359179.025478151</v>
      </c>
      <c r="AH231" s="376">
        <v>18842525.962987185</v>
      </c>
      <c r="AI231" s="376">
        <v>19246201.824968152</v>
      </c>
      <c r="AJ231" s="376">
        <v>19550345.343061835</v>
      </c>
      <c r="AK231" s="376">
        <v>19866654.601879265</v>
      </c>
      <c r="AL231" s="376">
        <v>20134300.897801705</v>
      </c>
      <c r="AM231" s="376">
        <v>20426278.675171636</v>
      </c>
      <c r="AN231" s="376">
        <v>20706090.711817823</v>
      </c>
      <c r="AO231" s="376">
        <v>20998068.489187762</v>
      </c>
      <c r="AP231" s="376">
        <v>21290046.266557693</v>
      </c>
      <c r="AQ231" s="376">
        <v>21594189.784651373</v>
      </c>
      <c r="AR231" s="376">
        <v>21898333.302745055</v>
      </c>
      <c r="AS231" s="376">
        <v>22202476.820838735</v>
      </c>
      <c r="AT231" s="376">
        <v>22506620.338932417</v>
      </c>
      <c r="AU231" s="376">
        <v>22822929.597749852</v>
      </c>
    </row>
    <row r="232" spans="1:47" x14ac:dyDescent="0.25">
      <c r="A232" s="369" t="s">
        <v>133</v>
      </c>
      <c r="D232" s="361">
        <v>229</v>
      </c>
    </row>
    <row r="233" spans="1:47" x14ac:dyDescent="0.25">
      <c r="A233" s="361" t="s">
        <v>2502</v>
      </c>
      <c r="C233" s="361">
        <v>9003</v>
      </c>
      <c r="D233" s="361">
        <v>230</v>
      </c>
    </row>
    <row r="234" spans="1:47" x14ac:dyDescent="0.25">
      <c r="A234" s="361" t="s">
        <v>504</v>
      </c>
    </row>
    <row r="235" spans="1:47" x14ac:dyDescent="0.25">
      <c r="A235" s="361" t="s">
        <v>505</v>
      </c>
    </row>
    <row r="236" spans="1:47" x14ac:dyDescent="0.25">
      <c r="A236" s="361" t="s">
        <v>2503</v>
      </c>
      <c r="B236" s="361">
        <v>9003</v>
      </c>
      <c r="C236" s="365"/>
    </row>
    <row r="238" spans="1:47" x14ac:dyDescent="0.25">
      <c r="C238" s="365"/>
    </row>
    <row r="239" spans="1:47" x14ac:dyDescent="0.25">
      <c r="B239" s="365"/>
      <c r="E239" s="361" t="s">
        <v>2504</v>
      </c>
      <c r="F239" s="361" t="s">
        <v>2505</v>
      </c>
    </row>
    <row r="240" spans="1:47" x14ac:dyDescent="0.25">
      <c r="F240" s="361" t="s">
        <v>2506</v>
      </c>
    </row>
    <row r="241" spans="2:6" x14ac:dyDescent="0.25">
      <c r="B241" s="365"/>
      <c r="C241" s="365"/>
      <c r="E241" s="361" t="s">
        <v>2507</v>
      </c>
      <c r="F241" s="361" t="s">
        <v>2505</v>
      </c>
    </row>
    <row r="242" spans="2:6" x14ac:dyDescent="0.25">
      <c r="F242" s="361" t="s">
        <v>2506</v>
      </c>
    </row>
    <row r="244" spans="2:6" x14ac:dyDescent="0.25">
      <c r="B244" s="365"/>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C1CB6-44F3-44E3-BCB0-09538D6D80CA}">
  <sheetPr>
    <tabColor theme="3" tint="0.499984740745262"/>
    <outlinePr summaryBelow="0" summaryRight="0"/>
  </sheetPr>
  <dimension ref="A1:AJ1000"/>
  <sheetViews>
    <sheetView topLeftCell="G1" workbookViewId="0">
      <selection activeCell="P4" sqref="P4"/>
    </sheetView>
  </sheetViews>
  <sheetFormatPr defaultColWidth="12.7109375" defaultRowHeight="15.75" customHeight="1" x14ac:dyDescent="0.25"/>
  <cols>
    <col min="1" max="9" width="12.7109375" style="390"/>
    <col min="10" max="10" width="24.28515625" style="390" customWidth="1"/>
    <col min="11" max="11" width="19.7109375" style="390" customWidth="1"/>
    <col min="12" max="13" width="12.7109375" style="390"/>
    <col min="14" max="14" width="17.7109375" style="390" customWidth="1"/>
    <col min="15" max="15" width="12.7109375" style="390"/>
    <col min="16" max="16" width="27.28515625" style="390" customWidth="1"/>
    <col min="17" max="25" width="12.7109375" style="390"/>
    <col min="26" max="26" width="26" style="390" customWidth="1"/>
    <col min="27" max="27" width="48.42578125" style="390" customWidth="1"/>
    <col min="28" max="16384" width="12.7109375" style="390"/>
  </cols>
  <sheetData>
    <row r="1" spans="1:36" ht="13.5" x14ac:dyDescent="0.25">
      <c r="A1" s="433"/>
      <c r="B1" s="409"/>
      <c r="C1" s="409"/>
      <c r="D1" s="594" t="s">
        <v>2593</v>
      </c>
      <c r="E1" s="595"/>
      <c r="F1" s="595"/>
      <c r="G1" s="595"/>
      <c r="H1" s="595"/>
      <c r="I1" s="595"/>
      <c r="J1" s="409"/>
      <c r="K1" s="409"/>
      <c r="L1" s="409"/>
      <c r="M1" s="409"/>
      <c r="N1" s="409"/>
      <c r="O1" s="431" t="s">
        <v>2592</v>
      </c>
      <c r="P1" s="431" t="s">
        <v>2590</v>
      </c>
      <c r="Q1" s="431" t="s">
        <v>2529</v>
      </c>
      <c r="R1" s="431"/>
      <c r="S1" s="431"/>
      <c r="T1" s="409"/>
      <c r="U1" s="409"/>
      <c r="V1" s="409"/>
      <c r="W1" s="432" t="s">
        <v>2591</v>
      </c>
      <c r="X1" s="409"/>
      <c r="Y1" s="409"/>
      <c r="Z1" s="431" t="s">
        <v>2590</v>
      </c>
      <c r="AA1" s="431" t="s">
        <v>2529</v>
      </c>
      <c r="AB1" s="409"/>
      <c r="AC1" s="391"/>
      <c r="AD1" s="391"/>
      <c r="AE1" s="391"/>
      <c r="AF1" s="391"/>
      <c r="AG1" s="391"/>
      <c r="AH1" s="431" t="s">
        <v>2589</v>
      </c>
      <c r="AI1" s="431" t="s">
        <v>2589</v>
      </c>
      <c r="AJ1" s="391"/>
    </row>
    <row r="2" spans="1:36" ht="13.5" x14ac:dyDescent="0.25">
      <c r="A2" s="409" t="s">
        <v>40</v>
      </c>
      <c r="B2" s="409" t="s">
        <v>2588</v>
      </c>
      <c r="C2" s="409"/>
      <c r="D2" s="596" t="s">
        <v>2587</v>
      </c>
      <c r="E2" s="595"/>
      <c r="F2" s="409"/>
      <c r="G2" s="409"/>
      <c r="H2" s="409" t="s">
        <v>2586</v>
      </c>
      <c r="I2" s="409" t="s">
        <v>2585</v>
      </c>
      <c r="J2" s="409" t="s">
        <v>2584</v>
      </c>
      <c r="K2" s="409"/>
      <c r="L2" s="409" t="s">
        <v>51</v>
      </c>
      <c r="M2" s="409"/>
      <c r="N2" s="409"/>
      <c r="O2" s="409"/>
      <c r="P2" s="429"/>
      <c r="Q2" s="409" t="s">
        <v>2583</v>
      </c>
      <c r="R2" s="429" t="s">
        <v>2582</v>
      </c>
      <c r="S2" s="429" t="s">
        <v>2582</v>
      </c>
      <c r="T2" s="409" t="s">
        <v>2581</v>
      </c>
      <c r="U2" s="409"/>
      <c r="V2" s="409"/>
      <c r="W2" s="430" t="s">
        <v>2580</v>
      </c>
      <c r="X2" s="409"/>
      <c r="Y2" s="409"/>
      <c r="Z2" s="429"/>
      <c r="AA2" s="429"/>
      <c r="AB2" s="429"/>
      <c r="AC2" s="391"/>
      <c r="AD2" s="391"/>
      <c r="AE2" s="391"/>
      <c r="AF2" s="391"/>
      <c r="AG2" s="391"/>
      <c r="AH2" s="428"/>
      <c r="AI2" s="409"/>
      <c r="AJ2" s="391"/>
    </row>
    <row r="3" spans="1:36" ht="13.5" x14ac:dyDescent="0.25">
      <c r="A3" s="409"/>
      <c r="B3" s="409"/>
      <c r="C3" s="409" t="s">
        <v>2579</v>
      </c>
      <c r="D3" s="409" t="s">
        <v>2576</v>
      </c>
      <c r="E3" s="409" t="s">
        <v>18</v>
      </c>
      <c r="F3" s="409">
        <v>2020</v>
      </c>
      <c r="G3" s="409" t="s">
        <v>2576</v>
      </c>
      <c r="H3" s="409" t="s">
        <v>18</v>
      </c>
      <c r="I3" s="409" t="s">
        <v>18</v>
      </c>
      <c r="J3" s="409" t="s">
        <v>2578</v>
      </c>
      <c r="K3" s="409" t="s">
        <v>2577</v>
      </c>
      <c r="L3" s="409" t="s">
        <v>2576</v>
      </c>
      <c r="M3" s="409" t="s">
        <v>18</v>
      </c>
      <c r="N3" s="409" t="s">
        <v>2575</v>
      </c>
      <c r="O3" s="409" t="s">
        <v>2516</v>
      </c>
      <c r="P3" s="409" t="s">
        <v>2574</v>
      </c>
      <c r="Q3" s="427" t="s">
        <v>2573</v>
      </c>
      <c r="R3" s="427" t="s">
        <v>2572</v>
      </c>
      <c r="S3" s="427" t="s">
        <v>2571</v>
      </c>
      <c r="T3" s="426">
        <v>0.1</v>
      </c>
      <c r="U3" s="426">
        <v>0</v>
      </c>
      <c r="V3" s="426">
        <v>0.2</v>
      </c>
      <c r="W3" s="426">
        <v>0.1</v>
      </c>
      <c r="X3" s="426">
        <v>0</v>
      </c>
      <c r="Y3" s="426">
        <v>0.2</v>
      </c>
      <c r="Z3" s="409" t="s">
        <v>2570</v>
      </c>
      <c r="AA3" s="391" t="s">
        <v>2569</v>
      </c>
      <c r="AB3" s="409" t="s">
        <v>2568</v>
      </c>
      <c r="AC3" s="391"/>
      <c r="AD3" s="391"/>
      <c r="AE3" s="391"/>
      <c r="AF3" s="391"/>
      <c r="AG3" s="391"/>
      <c r="AH3" s="401" t="s">
        <v>2567</v>
      </c>
      <c r="AI3" s="409" t="s">
        <v>2566</v>
      </c>
      <c r="AJ3" s="391"/>
    </row>
    <row r="4" spans="1:36" ht="13.5" x14ac:dyDescent="0.25">
      <c r="A4" s="409" t="s">
        <v>69</v>
      </c>
      <c r="B4" s="409" t="s">
        <v>68</v>
      </c>
      <c r="C4" s="409" t="s">
        <v>2537</v>
      </c>
      <c r="D4" s="418">
        <v>2016</v>
      </c>
      <c r="E4" s="418">
        <v>378</v>
      </c>
      <c r="F4" s="399">
        <v>390</v>
      </c>
      <c r="G4" s="408">
        <v>2030</v>
      </c>
      <c r="H4" s="399">
        <v>375</v>
      </c>
      <c r="I4" s="399">
        <v>424</v>
      </c>
      <c r="J4" s="411">
        <v>398.91</v>
      </c>
      <c r="K4" s="407">
        <f t="shared" ref="K4:K38" si="0">J4/49758.23</f>
        <v>8.0169652336909893E-3</v>
      </c>
      <c r="L4" s="411">
        <v>2050</v>
      </c>
      <c r="M4" s="411">
        <v>0</v>
      </c>
      <c r="N4" s="406" t="s">
        <v>2553</v>
      </c>
      <c r="O4" s="403" t="s">
        <v>2535</v>
      </c>
      <c r="P4" s="403" t="str">
        <f t="array" ref="P4">INDEX([14]CAT_NZ_Nov22!$Q$16:$Q$54,MATCH($B4,[14]CAT_NZ_Nov22!$C$16:$C$53,0))</f>
        <v>Weaker</v>
      </c>
      <c r="Q4" s="391" t="s">
        <v>2533</v>
      </c>
      <c r="R4" s="391" t="s">
        <v>2533</v>
      </c>
      <c r="S4" s="404" t="s">
        <v>2533</v>
      </c>
      <c r="T4" s="400" t="str">
        <f t="shared" ref="T4:T38" si="1">IF(AND(O4="Y",AND(P4="credible",Q4="Y")),"higher",IF(Q4="Y","lower",IF(AND(Q4="N",OR(O4="Y",P4="credible")),"lower","much lower")))</f>
        <v>much lower</v>
      </c>
      <c r="U4" s="400" t="str">
        <f t="shared" ref="U4:U38" si="2">IF(AND(O4="Y",AND(P4="credible",R4="Y")),"higher",IF(R4="Y","lower",IF(AND(R4="N",OR(O4="Y",P4="credible")),"lower","much lower")))</f>
        <v>much lower</v>
      </c>
      <c r="V4" s="400" t="str">
        <f t="shared" ref="V4:V38" si="3">IF(AND(O4="Y",AND(P4="credible",S4="Y")),"higher",IF(S4="Y","lower",IF(AND(S4="N",OR(O4="Y",P4="credible")),"lower","much lower")))</f>
        <v>much lower</v>
      </c>
      <c r="W4" s="400" t="str">
        <f t="shared" ref="W4:W38" si="4">IF(AND($P4="credible",Q4="Y"),"stronger","weak")</f>
        <v>weak</v>
      </c>
      <c r="X4" s="400" t="str">
        <f t="shared" ref="X4:X38" si="5">IF(AND($P4="credible",R4="Y"),"stronger","weak")</f>
        <v>weak</v>
      </c>
      <c r="Y4" s="400" t="str">
        <f t="shared" ref="Y4:Y38" si="6">IF(AND($P4="credible",S4="Y"),"stronger","weak")</f>
        <v>weak</v>
      </c>
      <c r="Z4" s="403" t="s">
        <v>2540</v>
      </c>
      <c r="AA4" s="403"/>
      <c r="AB4" s="424" t="s">
        <v>2558</v>
      </c>
      <c r="AC4" s="391"/>
      <c r="AD4" s="391"/>
      <c r="AE4" s="391"/>
      <c r="AF4" s="423" t="s">
        <v>2533</v>
      </c>
      <c r="AG4" s="391"/>
      <c r="AH4" s="401" t="s">
        <v>2535</v>
      </c>
      <c r="AI4" s="400" t="str">
        <f t="shared" ref="AI4:AI38" si="7">IF(I4&lt;0.9*J4,"Y","N")</f>
        <v>N</v>
      </c>
      <c r="AJ4" s="391"/>
    </row>
    <row r="5" spans="1:36" ht="13.5" x14ac:dyDescent="0.25">
      <c r="A5" s="409" t="s">
        <v>75</v>
      </c>
      <c r="B5" s="409" t="s">
        <v>74</v>
      </c>
      <c r="C5" s="409" t="s">
        <v>2537</v>
      </c>
      <c r="D5" s="418">
        <v>2020</v>
      </c>
      <c r="E5" s="418">
        <v>503</v>
      </c>
      <c r="F5" s="399">
        <v>508</v>
      </c>
      <c r="G5" s="408">
        <v>2030</v>
      </c>
      <c r="H5" s="399">
        <v>347</v>
      </c>
      <c r="I5" s="399">
        <v>458</v>
      </c>
      <c r="J5" s="411">
        <v>608.49</v>
      </c>
      <c r="K5" s="407">
        <f t="shared" si="0"/>
        <v>1.2228931776713118E-2</v>
      </c>
      <c r="L5" s="411">
        <v>2050</v>
      </c>
      <c r="M5" s="411">
        <v>0</v>
      </c>
      <c r="N5" s="406" t="s">
        <v>2541</v>
      </c>
      <c r="O5" s="416" t="s">
        <v>2547</v>
      </c>
      <c r="P5" s="403" t="str">
        <f t="array" ref="P5">INDEX([14]CAT_NZ_Nov22!$Q$16:$Q$54,MATCH($B5,[14]CAT_NZ_Nov22!$C$16:$C$53,0))</f>
        <v>Weaker</v>
      </c>
      <c r="Q5" s="391" t="s">
        <v>2533</v>
      </c>
      <c r="R5" s="416" t="s">
        <v>2546</v>
      </c>
      <c r="S5" s="404" t="s">
        <v>2533</v>
      </c>
      <c r="T5" s="400" t="str">
        <f t="shared" si="1"/>
        <v>lower</v>
      </c>
      <c r="U5" s="400" t="str">
        <f t="shared" si="2"/>
        <v>lower</v>
      </c>
      <c r="V5" s="400" t="str">
        <f t="shared" si="3"/>
        <v>lower</v>
      </c>
      <c r="W5" s="400" t="str">
        <f t="shared" si="4"/>
        <v>weak</v>
      </c>
      <c r="X5" s="400" t="str">
        <f t="shared" si="5"/>
        <v>weak</v>
      </c>
      <c r="Y5" s="400" t="str">
        <f t="shared" si="6"/>
        <v>weak</v>
      </c>
      <c r="Z5" s="403" t="s">
        <v>2540</v>
      </c>
      <c r="AA5" s="403" t="s">
        <v>2565</v>
      </c>
      <c r="AB5" s="424" t="s">
        <v>2558</v>
      </c>
      <c r="AC5" s="391"/>
      <c r="AD5" s="391"/>
      <c r="AE5" s="391"/>
      <c r="AF5" s="423" t="s">
        <v>2533</v>
      </c>
      <c r="AG5" s="391"/>
      <c r="AH5" s="401" t="s">
        <v>2547</v>
      </c>
      <c r="AI5" s="400" t="str">
        <f t="shared" si="7"/>
        <v>Y</v>
      </c>
      <c r="AJ5" s="391"/>
    </row>
    <row r="6" spans="1:36" ht="13.5" x14ac:dyDescent="0.25">
      <c r="A6" s="409" t="s">
        <v>107</v>
      </c>
      <c r="B6" s="409" t="s">
        <v>106</v>
      </c>
      <c r="C6" s="409" t="s">
        <v>2537</v>
      </c>
      <c r="D6" s="418">
        <v>2018</v>
      </c>
      <c r="E6" s="418">
        <v>1366</v>
      </c>
      <c r="F6" s="399">
        <v>1568</v>
      </c>
      <c r="G6" s="408">
        <v>2030</v>
      </c>
      <c r="H6" s="399">
        <v>1268</v>
      </c>
      <c r="I6" s="399">
        <v>1541</v>
      </c>
      <c r="J6" s="411">
        <v>1451.63</v>
      </c>
      <c r="K6" s="407">
        <f t="shared" si="0"/>
        <v>2.9173666346250661E-2</v>
      </c>
      <c r="L6" s="411">
        <v>2050</v>
      </c>
      <c r="M6" s="411">
        <v>0</v>
      </c>
      <c r="N6" s="406" t="s">
        <v>2553</v>
      </c>
      <c r="O6" s="403" t="s">
        <v>2535</v>
      </c>
      <c r="P6" s="403" t="str">
        <f t="array" ref="P6">INDEX([14]CAT_NZ_Nov22!$Q$16:$Q$54,MATCH($B6,[14]CAT_NZ_Nov22!$C$16:$C$53,0))</f>
        <v>None</v>
      </c>
      <c r="Q6" s="391" t="s">
        <v>2533</v>
      </c>
      <c r="R6" s="391" t="s">
        <v>2533</v>
      </c>
      <c r="S6" s="404" t="s">
        <v>2533</v>
      </c>
      <c r="T6" s="400" t="str">
        <f t="shared" si="1"/>
        <v>much lower</v>
      </c>
      <c r="U6" s="400" t="str">
        <f t="shared" si="2"/>
        <v>much lower</v>
      </c>
      <c r="V6" s="400" t="str">
        <f t="shared" si="3"/>
        <v>much lower</v>
      </c>
      <c r="W6" s="400" t="str">
        <f t="shared" si="4"/>
        <v>weak</v>
      </c>
      <c r="X6" s="400" t="str">
        <f t="shared" si="5"/>
        <v>weak</v>
      </c>
      <c r="Y6" s="400" t="str">
        <f t="shared" si="6"/>
        <v>weak</v>
      </c>
      <c r="Z6" s="403" t="s">
        <v>2540</v>
      </c>
      <c r="AA6" s="403"/>
      <c r="AB6" s="424" t="s">
        <v>2558</v>
      </c>
      <c r="AC6" s="391"/>
      <c r="AD6" s="391"/>
      <c r="AE6" s="391"/>
      <c r="AF6" s="423" t="s">
        <v>2533</v>
      </c>
      <c r="AG6" s="391"/>
      <c r="AH6" s="401" t="s">
        <v>2535</v>
      </c>
      <c r="AI6" s="400" t="str">
        <f t="shared" si="7"/>
        <v>N</v>
      </c>
      <c r="AJ6" s="391"/>
    </row>
    <row r="7" spans="1:36" ht="13.5" x14ac:dyDescent="0.25">
      <c r="A7" s="409" t="s">
        <v>121</v>
      </c>
      <c r="B7" s="409" t="s">
        <v>120</v>
      </c>
      <c r="C7" s="409" t="s">
        <v>2537</v>
      </c>
      <c r="D7" s="418">
        <v>2020</v>
      </c>
      <c r="E7" s="418">
        <v>638</v>
      </c>
      <c r="F7" s="399">
        <v>642</v>
      </c>
      <c r="G7" s="408">
        <v>2030</v>
      </c>
      <c r="H7" s="399">
        <v>427</v>
      </c>
      <c r="I7" s="399">
        <v>621</v>
      </c>
      <c r="J7" s="411">
        <v>774.29</v>
      </c>
      <c r="K7" s="407">
        <f t="shared" si="0"/>
        <v>1.5561043871536425E-2</v>
      </c>
      <c r="L7" s="411">
        <v>2050</v>
      </c>
      <c r="M7" s="411">
        <v>0</v>
      </c>
      <c r="N7" s="406" t="s">
        <v>2541</v>
      </c>
      <c r="O7" s="403" t="s">
        <v>2547</v>
      </c>
      <c r="P7" s="403" t="str">
        <f t="array" ref="P7">INDEX([14]CAT_NZ_Nov22!$Q$16:$Q$54,MATCH($B7,[14]CAT_NZ_Nov22!$C$16:$C$53,0))</f>
        <v>Credible</v>
      </c>
      <c r="Q7" s="424" t="s">
        <v>2533</v>
      </c>
      <c r="R7" s="391" t="s">
        <v>2533</v>
      </c>
      <c r="S7" s="404" t="s">
        <v>2533</v>
      </c>
      <c r="T7" s="400" t="str">
        <f t="shared" si="1"/>
        <v>lower</v>
      </c>
      <c r="U7" s="400" t="str">
        <f t="shared" si="2"/>
        <v>lower</v>
      </c>
      <c r="V7" s="400" t="str">
        <f t="shared" si="3"/>
        <v>lower</v>
      </c>
      <c r="W7" s="400" t="str">
        <f t="shared" si="4"/>
        <v>weak</v>
      </c>
      <c r="X7" s="400" t="str">
        <f t="shared" si="5"/>
        <v>weak</v>
      </c>
      <c r="Y7" s="400" t="str">
        <f t="shared" si="6"/>
        <v>weak</v>
      </c>
      <c r="Z7" s="403" t="s">
        <v>2540</v>
      </c>
      <c r="AA7" s="403" t="s">
        <v>2564</v>
      </c>
      <c r="AB7" s="424" t="s">
        <v>2558</v>
      </c>
      <c r="AC7" s="391"/>
      <c r="AD7" s="391"/>
      <c r="AE7" s="391"/>
      <c r="AF7" s="423" t="s">
        <v>2533</v>
      </c>
      <c r="AG7" s="391"/>
      <c r="AH7" s="401" t="s">
        <v>2547</v>
      </c>
      <c r="AI7" s="400" t="str">
        <f t="shared" si="7"/>
        <v>Y</v>
      </c>
      <c r="AJ7" s="391"/>
    </row>
    <row r="8" spans="1:36" ht="13.5" x14ac:dyDescent="0.25">
      <c r="A8" s="409" t="s">
        <v>133</v>
      </c>
      <c r="B8" s="409" t="s">
        <v>132</v>
      </c>
      <c r="C8" s="409" t="s">
        <v>2537</v>
      </c>
      <c r="D8" s="418">
        <v>2018</v>
      </c>
      <c r="E8" s="418">
        <v>12233</v>
      </c>
      <c r="F8" s="399">
        <v>12935</v>
      </c>
      <c r="G8" s="408">
        <v>2030</v>
      </c>
      <c r="H8" s="399">
        <v>14092</v>
      </c>
      <c r="I8" s="399">
        <v>14705</v>
      </c>
      <c r="J8" s="411">
        <v>12055.41</v>
      </c>
      <c r="K8" s="407">
        <f t="shared" si="0"/>
        <v>0.242279719354969</v>
      </c>
      <c r="L8" s="411">
        <v>2060</v>
      </c>
      <c r="M8" s="411">
        <v>0</v>
      </c>
      <c r="N8" s="406" t="s">
        <v>2553</v>
      </c>
      <c r="O8" s="403" t="s">
        <v>2535</v>
      </c>
      <c r="P8" s="403" t="str">
        <f t="array" ref="P8">INDEX([14]CAT_NZ_Nov22!$Q$16:$Q$54,MATCH($B8,[14]CAT_NZ_Nov22!$C$16:$C$53,0))</f>
        <v>Credible</v>
      </c>
      <c r="Q8" s="391" t="s">
        <v>2533</v>
      </c>
      <c r="R8" s="391" t="s">
        <v>2533</v>
      </c>
      <c r="S8" s="404" t="s">
        <v>2533</v>
      </c>
      <c r="T8" s="400" t="str">
        <f t="shared" si="1"/>
        <v>lower</v>
      </c>
      <c r="U8" s="400" t="str">
        <f t="shared" si="2"/>
        <v>lower</v>
      </c>
      <c r="V8" s="400" t="str">
        <f t="shared" si="3"/>
        <v>lower</v>
      </c>
      <c r="W8" s="400" t="str">
        <f t="shared" si="4"/>
        <v>weak</v>
      </c>
      <c r="X8" s="400" t="str">
        <f t="shared" si="5"/>
        <v>weak</v>
      </c>
      <c r="Y8" s="400" t="str">
        <f t="shared" si="6"/>
        <v>weak</v>
      </c>
      <c r="Z8" s="403" t="s">
        <v>2540</v>
      </c>
      <c r="AA8" s="403"/>
      <c r="AB8" s="424" t="s">
        <v>2558</v>
      </c>
      <c r="AC8" s="391"/>
      <c r="AD8" s="391"/>
      <c r="AE8" s="391"/>
      <c r="AF8" s="423" t="s">
        <v>2533</v>
      </c>
      <c r="AG8" s="391"/>
      <c r="AH8" s="401" t="s">
        <v>2535</v>
      </c>
      <c r="AI8" s="400" t="str">
        <f t="shared" si="7"/>
        <v>N</v>
      </c>
      <c r="AJ8" s="391"/>
    </row>
    <row r="9" spans="1:36" ht="13.5" x14ac:dyDescent="0.25">
      <c r="A9" s="409" t="s">
        <v>2196</v>
      </c>
      <c r="B9" s="409" t="s">
        <v>502</v>
      </c>
      <c r="C9" s="409" t="s">
        <v>2537</v>
      </c>
      <c r="D9" s="418">
        <v>2020</v>
      </c>
      <c r="E9" s="418">
        <v>3043</v>
      </c>
      <c r="F9" s="399">
        <v>3046</v>
      </c>
      <c r="G9" s="408">
        <v>2030</v>
      </c>
      <c r="H9" s="399">
        <v>2146</v>
      </c>
      <c r="I9" s="399">
        <v>2426</v>
      </c>
      <c r="J9" s="425">
        <v>3149.57</v>
      </c>
      <c r="K9" s="407">
        <f t="shared" si="0"/>
        <v>6.3297468579569652E-2</v>
      </c>
      <c r="L9" s="411">
        <v>2050</v>
      </c>
      <c r="M9" s="411">
        <v>0</v>
      </c>
      <c r="N9" s="406" t="s">
        <v>2541</v>
      </c>
      <c r="O9" s="403" t="s">
        <v>2547</v>
      </c>
      <c r="P9" s="403" t="str">
        <f t="array" ref="P9">INDEX([14]CAT_NZ_Nov22!$Q$16:$Q$54,MATCH($B9,[14]CAT_NZ_Nov22!$C$16:$C$53,0))</f>
        <v>Credible</v>
      </c>
      <c r="Q9" s="391" t="s">
        <v>2546</v>
      </c>
      <c r="R9" s="404" t="s">
        <v>2546</v>
      </c>
      <c r="S9" s="416" t="s">
        <v>2533</v>
      </c>
      <c r="T9" s="400" t="str">
        <f t="shared" si="1"/>
        <v>higher</v>
      </c>
      <c r="U9" s="400" t="str">
        <f t="shared" si="2"/>
        <v>higher</v>
      </c>
      <c r="V9" s="400" t="str">
        <f t="shared" si="3"/>
        <v>lower</v>
      </c>
      <c r="W9" s="400" t="str">
        <f t="shared" si="4"/>
        <v>stronger</v>
      </c>
      <c r="X9" s="400" t="str">
        <f t="shared" si="5"/>
        <v>stronger</v>
      </c>
      <c r="Y9" s="400" t="str">
        <f t="shared" si="6"/>
        <v>weak</v>
      </c>
      <c r="Z9" s="403" t="s">
        <v>2540</v>
      </c>
      <c r="AA9" s="403"/>
      <c r="AB9" s="424" t="s">
        <v>2558</v>
      </c>
      <c r="AC9" s="391"/>
      <c r="AD9" s="391"/>
      <c r="AE9" s="391"/>
      <c r="AF9" s="423" t="s">
        <v>2546</v>
      </c>
      <c r="AG9" s="391"/>
      <c r="AH9" s="401" t="s">
        <v>2547</v>
      </c>
      <c r="AI9" s="400" t="str">
        <f t="shared" si="7"/>
        <v>Y</v>
      </c>
      <c r="AJ9" s="391"/>
    </row>
    <row r="10" spans="1:36" ht="13.5" x14ac:dyDescent="0.25">
      <c r="A10" s="409" t="s">
        <v>231</v>
      </c>
      <c r="B10" s="409" t="s">
        <v>230</v>
      </c>
      <c r="C10" s="409" t="s">
        <v>2537</v>
      </c>
      <c r="D10" s="418">
        <v>2018</v>
      </c>
      <c r="E10" s="418">
        <v>2692</v>
      </c>
      <c r="F10" s="399">
        <v>3027</v>
      </c>
      <c r="G10" s="408">
        <v>2030</v>
      </c>
      <c r="H10" s="399">
        <v>4934</v>
      </c>
      <c r="I10" s="399">
        <v>4893</v>
      </c>
      <c r="J10" s="411">
        <v>3363.59</v>
      </c>
      <c r="K10" s="407">
        <f t="shared" si="0"/>
        <v>6.7598666592441084E-2</v>
      </c>
      <c r="L10" s="411">
        <v>2070</v>
      </c>
      <c r="M10" s="411">
        <v>0</v>
      </c>
      <c r="N10" s="406" t="s">
        <v>2553</v>
      </c>
      <c r="O10" s="403" t="s">
        <v>2535</v>
      </c>
      <c r="P10" s="403" t="str">
        <f t="array" ref="P10">INDEX([14]CAT_NZ_Nov22!$Q$16:$Q$54,MATCH($B10,[14]CAT_NZ_Nov22!$C$16:$C$53,0))</f>
        <v>None</v>
      </c>
      <c r="Q10" s="391" t="s">
        <v>2533</v>
      </c>
      <c r="R10" s="391" t="s">
        <v>2533</v>
      </c>
      <c r="S10" s="404" t="s">
        <v>2533</v>
      </c>
      <c r="T10" s="400" t="str">
        <f t="shared" si="1"/>
        <v>much lower</v>
      </c>
      <c r="U10" s="400" t="str">
        <f t="shared" si="2"/>
        <v>much lower</v>
      </c>
      <c r="V10" s="400" t="str">
        <f t="shared" si="3"/>
        <v>much lower</v>
      </c>
      <c r="W10" s="400" t="str">
        <f t="shared" si="4"/>
        <v>weak</v>
      </c>
      <c r="X10" s="400" t="str">
        <f t="shared" si="5"/>
        <v>weak</v>
      </c>
      <c r="Y10" s="400" t="str">
        <f t="shared" si="6"/>
        <v>weak</v>
      </c>
      <c r="Z10" s="403" t="s">
        <v>2540</v>
      </c>
      <c r="AA10" s="403"/>
      <c r="AB10" s="424" t="s">
        <v>2558</v>
      </c>
      <c r="AC10" s="391"/>
      <c r="AD10" s="391"/>
      <c r="AE10" s="391"/>
      <c r="AF10" s="423" t="s">
        <v>2533</v>
      </c>
      <c r="AG10" s="391"/>
      <c r="AH10" s="401" t="s">
        <v>2535</v>
      </c>
      <c r="AI10" s="400" t="str">
        <f t="shared" si="7"/>
        <v>N</v>
      </c>
      <c r="AJ10" s="391"/>
    </row>
    <row r="11" spans="1:36" ht="13.5" x14ac:dyDescent="0.25">
      <c r="A11" s="409" t="s">
        <v>233</v>
      </c>
      <c r="B11" s="409" t="s">
        <v>232</v>
      </c>
      <c r="C11" s="409" t="s">
        <v>2537</v>
      </c>
      <c r="D11" s="418">
        <v>2016</v>
      </c>
      <c r="E11" s="418">
        <v>1491</v>
      </c>
      <c r="F11" s="399">
        <v>1645</v>
      </c>
      <c r="G11" s="408">
        <v>2030</v>
      </c>
      <c r="H11" s="399">
        <v>2130</v>
      </c>
      <c r="I11" s="399">
        <v>1877</v>
      </c>
      <c r="J11" s="411">
        <v>1959.71</v>
      </c>
      <c r="K11" s="407">
        <f t="shared" si="0"/>
        <v>3.9384640490628384E-2</v>
      </c>
      <c r="L11" s="411">
        <v>2060</v>
      </c>
      <c r="M11" s="411">
        <v>0</v>
      </c>
      <c r="N11" s="406" t="s">
        <v>2553</v>
      </c>
      <c r="O11" s="403" t="s">
        <v>2535</v>
      </c>
      <c r="P11" s="403" t="str">
        <f t="array" ref="P11">INDEX([14]CAT_NZ_Nov22!$Q$16:$Q$54,MATCH($B11,[14]CAT_NZ_Nov22!$C$16:$C$53,0))</f>
        <v>None</v>
      </c>
      <c r="Q11" s="391" t="s">
        <v>2533</v>
      </c>
      <c r="R11" s="391" t="s">
        <v>2533</v>
      </c>
      <c r="S11" s="404" t="s">
        <v>2533</v>
      </c>
      <c r="T11" s="400" t="str">
        <f t="shared" si="1"/>
        <v>much lower</v>
      </c>
      <c r="U11" s="400" t="str">
        <f t="shared" si="2"/>
        <v>much lower</v>
      </c>
      <c r="V11" s="400" t="str">
        <f t="shared" si="3"/>
        <v>much lower</v>
      </c>
      <c r="W11" s="400" t="str">
        <f t="shared" si="4"/>
        <v>weak</v>
      </c>
      <c r="X11" s="400" t="str">
        <f t="shared" si="5"/>
        <v>weak</v>
      </c>
      <c r="Y11" s="400" t="str">
        <f t="shared" si="6"/>
        <v>weak</v>
      </c>
      <c r="Z11" s="403" t="s">
        <v>2540</v>
      </c>
      <c r="AA11" s="403"/>
      <c r="AB11" s="424" t="s">
        <v>2558</v>
      </c>
      <c r="AC11" s="391"/>
      <c r="AD11" s="391"/>
      <c r="AE11" s="391"/>
      <c r="AF11" s="423" t="s">
        <v>2533</v>
      </c>
      <c r="AG11" s="391"/>
      <c r="AH11" s="401" t="s">
        <v>2535</v>
      </c>
      <c r="AI11" s="400" t="str">
        <f t="shared" si="7"/>
        <v>N</v>
      </c>
      <c r="AJ11" s="391"/>
    </row>
    <row r="12" spans="1:36" ht="13.5" x14ac:dyDescent="0.25">
      <c r="A12" s="409" t="s">
        <v>247</v>
      </c>
      <c r="B12" s="409" t="s">
        <v>246</v>
      </c>
      <c r="C12" s="409" t="s">
        <v>2537</v>
      </c>
      <c r="D12" s="418">
        <v>2020</v>
      </c>
      <c r="E12" s="418">
        <v>1070</v>
      </c>
      <c r="F12" s="399">
        <v>1082</v>
      </c>
      <c r="G12" s="408">
        <v>2030</v>
      </c>
      <c r="H12" s="399">
        <v>767</v>
      </c>
      <c r="I12" s="399">
        <v>982</v>
      </c>
      <c r="J12" s="411">
        <v>1134.45</v>
      </c>
      <c r="K12" s="407">
        <f t="shared" si="0"/>
        <v>2.2799243461835358E-2</v>
      </c>
      <c r="L12" s="411">
        <v>2050</v>
      </c>
      <c r="M12" s="411">
        <v>0</v>
      </c>
      <c r="N12" s="406" t="s">
        <v>2541</v>
      </c>
      <c r="O12" s="403" t="s">
        <v>2547</v>
      </c>
      <c r="P12" s="403" t="str">
        <f t="array" ref="P12">INDEX([14]CAT_NZ_Nov22!$Q$16:$Q$54,MATCH($B12,[14]CAT_NZ_Nov22!$C$16:$C$53,0))</f>
        <v>Credible</v>
      </c>
      <c r="Q12" s="424" t="s">
        <v>2533</v>
      </c>
      <c r="R12" s="416" t="s">
        <v>2546</v>
      </c>
      <c r="S12" s="404" t="s">
        <v>2533</v>
      </c>
      <c r="T12" s="400" t="str">
        <f t="shared" si="1"/>
        <v>lower</v>
      </c>
      <c r="U12" s="400" t="str">
        <f t="shared" si="2"/>
        <v>higher</v>
      </c>
      <c r="V12" s="400" t="str">
        <f t="shared" si="3"/>
        <v>lower</v>
      </c>
      <c r="W12" s="400" t="str">
        <f t="shared" si="4"/>
        <v>weak</v>
      </c>
      <c r="X12" s="400" t="str">
        <f t="shared" si="5"/>
        <v>stronger</v>
      </c>
      <c r="Y12" s="400" t="str">
        <f t="shared" si="6"/>
        <v>weak</v>
      </c>
      <c r="Z12" s="403" t="s">
        <v>2540</v>
      </c>
      <c r="AA12" s="403" t="s">
        <v>2563</v>
      </c>
      <c r="AB12" s="424" t="s">
        <v>2558</v>
      </c>
      <c r="AC12" s="391"/>
      <c r="AD12" s="391"/>
      <c r="AE12" s="391"/>
      <c r="AF12" s="423" t="s">
        <v>2533</v>
      </c>
      <c r="AG12" s="391"/>
      <c r="AH12" s="401" t="s">
        <v>2547</v>
      </c>
      <c r="AI12" s="400" t="str">
        <f t="shared" si="7"/>
        <v>Y</v>
      </c>
      <c r="AJ12" s="391"/>
    </row>
    <row r="13" spans="1:36" ht="13.5" x14ac:dyDescent="0.25">
      <c r="A13" s="409" t="s">
        <v>307</v>
      </c>
      <c r="B13" s="409" t="s">
        <v>306</v>
      </c>
      <c r="C13" s="409" t="s">
        <v>2537</v>
      </c>
      <c r="D13" s="418">
        <v>2017</v>
      </c>
      <c r="E13" s="418">
        <v>577</v>
      </c>
      <c r="F13" s="399">
        <v>658</v>
      </c>
      <c r="G13" s="408">
        <v>2030</v>
      </c>
      <c r="H13" s="399">
        <v>772</v>
      </c>
      <c r="I13" s="399">
        <v>725</v>
      </c>
      <c r="J13" s="411">
        <v>670.84</v>
      </c>
      <c r="K13" s="407">
        <f t="shared" si="0"/>
        <v>1.3481990818403308E-2</v>
      </c>
      <c r="L13" s="409">
        <v>2050</v>
      </c>
      <c r="M13" s="409">
        <f>558.02/2</f>
        <v>279.01</v>
      </c>
      <c r="N13" s="406" t="s">
        <v>2549</v>
      </c>
      <c r="O13" s="416" t="s">
        <v>2552</v>
      </c>
      <c r="P13" s="403" t="str">
        <f t="array" ref="P13">INDEX([14]CAT_NZ_Nov22!$Q$16:$Q$54,MATCH($B13,[14]CAT_NZ_Nov22!$C$16:$C$53,0))</f>
        <v>None</v>
      </c>
      <c r="Q13" s="391" t="s">
        <v>2533</v>
      </c>
      <c r="R13" s="391" t="s">
        <v>2533</v>
      </c>
      <c r="S13" s="404" t="s">
        <v>2533</v>
      </c>
      <c r="T13" s="400" t="str">
        <f t="shared" si="1"/>
        <v>much lower</v>
      </c>
      <c r="U13" s="400" t="str">
        <f t="shared" si="2"/>
        <v>much lower</v>
      </c>
      <c r="V13" s="400" t="str">
        <f t="shared" si="3"/>
        <v>much lower</v>
      </c>
      <c r="W13" s="400" t="str">
        <f t="shared" si="4"/>
        <v>weak</v>
      </c>
      <c r="X13" s="400" t="str">
        <f t="shared" si="5"/>
        <v>weak</v>
      </c>
      <c r="Y13" s="400" t="str">
        <f t="shared" si="6"/>
        <v>weak</v>
      </c>
      <c r="Z13" s="403" t="s">
        <v>2540</v>
      </c>
      <c r="AA13" s="403"/>
      <c r="AB13" s="424" t="s">
        <v>2558</v>
      </c>
      <c r="AC13" s="391"/>
      <c r="AD13" s="391"/>
      <c r="AE13" s="391"/>
      <c r="AF13" s="423" t="s">
        <v>2533</v>
      </c>
      <c r="AG13" s="391"/>
      <c r="AH13" s="401" t="s">
        <v>2535</v>
      </c>
      <c r="AI13" s="400" t="str">
        <f t="shared" si="7"/>
        <v>N</v>
      </c>
      <c r="AJ13" s="391"/>
    </row>
    <row r="14" spans="1:36" ht="13.5" x14ac:dyDescent="0.25">
      <c r="A14" s="409" t="s">
        <v>2562</v>
      </c>
      <c r="B14" s="409" t="s">
        <v>258</v>
      </c>
      <c r="C14" s="409" t="s">
        <v>2537</v>
      </c>
      <c r="D14" s="418">
        <v>2017</v>
      </c>
      <c r="E14" s="418">
        <v>672</v>
      </c>
      <c r="F14" s="399">
        <v>659</v>
      </c>
      <c r="G14" s="408">
        <v>2030</v>
      </c>
      <c r="H14" s="399">
        <v>437</v>
      </c>
      <c r="I14" s="399">
        <v>593</v>
      </c>
      <c r="J14" s="411">
        <v>652.66</v>
      </c>
      <c r="K14" s="407">
        <f t="shared" si="0"/>
        <v>1.3116624124290594E-2</v>
      </c>
      <c r="L14" s="411">
        <v>2050</v>
      </c>
      <c r="M14" s="411">
        <v>0</v>
      </c>
      <c r="N14" s="406" t="s">
        <v>2541</v>
      </c>
      <c r="O14" s="403" t="s">
        <v>2547</v>
      </c>
      <c r="P14" s="403" t="str">
        <f t="array" ref="P14">INDEX([14]CAT_NZ_Nov22!$Q$16:$Q$54,MATCH($B14,[14]CAT_NZ_Nov22!$C$16:$C$53,0))</f>
        <v>Credible</v>
      </c>
      <c r="Q14" s="424" t="s">
        <v>2533</v>
      </c>
      <c r="R14" s="416" t="s">
        <v>2546</v>
      </c>
      <c r="S14" s="404" t="s">
        <v>2533</v>
      </c>
      <c r="T14" s="400" t="str">
        <f t="shared" si="1"/>
        <v>lower</v>
      </c>
      <c r="U14" s="400" t="str">
        <f t="shared" si="2"/>
        <v>higher</v>
      </c>
      <c r="V14" s="400" t="str">
        <f t="shared" si="3"/>
        <v>lower</v>
      </c>
      <c r="W14" s="400" t="str">
        <f t="shared" si="4"/>
        <v>weak</v>
      </c>
      <c r="X14" s="400" t="str">
        <f t="shared" si="5"/>
        <v>stronger</v>
      </c>
      <c r="Y14" s="400" t="str">
        <f t="shared" si="6"/>
        <v>weak</v>
      </c>
      <c r="Z14" s="403" t="s">
        <v>2540</v>
      </c>
      <c r="AA14" s="403" t="s">
        <v>2561</v>
      </c>
      <c r="AB14" s="424" t="s">
        <v>2558</v>
      </c>
      <c r="AC14" s="391"/>
      <c r="AD14" s="391"/>
      <c r="AE14" s="391"/>
      <c r="AF14" s="423" t="s">
        <v>2546</v>
      </c>
      <c r="AG14" s="391"/>
      <c r="AH14" s="401" t="s">
        <v>2547</v>
      </c>
      <c r="AI14" s="400" t="str">
        <f t="shared" si="7"/>
        <v>N</v>
      </c>
      <c r="AJ14" s="391"/>
    </row>
    <row r="15" spans="1:36" ht="13.5" x14ac:dyDescent="0.25">
      <c r="A15" s="409" t="s">
        <v>381</v>
      </c>
      <c r="B15" s="409" t="s">
        <v>380</v>
      </c>
      <c r="C15" s="409" t="s">
        <v>2537</v>
      </c>
      <c r="D15" s="418">
        <v>2018</v>
      </c>
      <c r="E15" s="418">
        <v>1629</v>
      </c>
      <c r="F15" s="399">
        <v>1536</v>
      </c>
      <c r="G15" s="408">
        <v>2030</v>
      </c>
      <c r="H15" s="399">
        <v>2205</v>
      </c>
      <c r="I15" s="399">
        <v>1794</v>
      </c>
      <c r="J15" s="411">
        <v>1924.82</v>
      </c>
      <c r="K15" s="407">
        <f t="shared" si="0"/>
        <v>3.8683449953907122E-2</v>
      </c>
      <c r="L15" s="411">
        <v>2060</v>
      </c>
      <c r="M15" s="411">
        <v>0</v>
      </c>
      <c r="N15" s="406" t="s">
        <v>2553</v>
      </c>
      <c r="O15" s="403" t="s">
        <v>2547</v>
      </c>
      <c r="P15" s="403" t="str">
        <f t="array" ref="P15">INDEX([14]CAT_NZ_Nov22!$Q$16:$Q$54,MATCH($B15,[14]CAT_NZ_Nov22!$C$16:$C$53,0))</f>
        <v>Credible</v>
      </c>
      <c r="Q15" s="391" t="s">
        <v>2533</v>
      </c>
      <c r="R15" s="391" t="s">
        <v>2533</v>
      </c>
      <c r="S15" s="404" t="s">
        <v>2533</v>
      </c>
      <c r="T15" s="400" t="str">
        <f t="shared" si="1"/>
        <v>lower</v>
      </c>
      <c r="U15" s="400" t="str">
        <f t="shared" si="2"/>
        <v>lower</v>
      </c>
      <c r="V15" s="400" t="str">
        <f t="shared" si="3"/>
        <v>lower</v>
      </c>
      <c r="W15" s="400" t="str">
        <f t="shared" si="4"/>
        <v>weak</v>
      </c>
      <c r="X15" s="400" t="str">
        <f t="shared" si="5"/>
        <v>weak</v>
      </c>
      <c r="Y15" s="400" t="str">
        <f t="shared" si="6"/>
        <v>weak</v>
      </c>
      <c r="Z15" s="403" t="s">
        <v>2540</v>
      </c>
      <c r="AA15" s="403"/>
      <c r="AB15" s="424" t="s">
        <v>2558</v>
      </c>
      <c r="AC15" s="391"/>
      <c r="AD15" s="391"/>
      <c r="AE15" s="391"/>
      <c r="AF15" s="423" t="s">
        <v>2533</v>
      </c>
      <c r="AG15" s="391"/>
      <c r="AH15" s="401" t="s">
        <v>2535</v>
      </c>
      <c r="AI15" s="400" t="str">
        <f t="shared" si="7"/>
        <v>N</v>
      </c>
      <c r="AJ15" s="391"/>
    </row>
    <row r="16" spans="1:36" ht="13.5" x14ac:dyDescent="0.25">
      <c r="A16" s="409" t="s">
        <v>391</v>
      </c>
      <c r="B16" s="409" t="s">
        <v>390</v>
      </c>
      <c r="C16" s="409" t="s">
        <v>2537</v>
      </c>
      <c r="D16" s="418">
        <v>2015</v>
      </c>
      <c r="E16" s="418">
        <v>640</v>
      </c>
      <c r="F16" s="399">
        <v>600</v>
      </c>
      <c r="G16" s="408">
        <v>2030</v>
      </c>
      <c r="H16" s="399">
        <v>650</v>
      </c>
      <c r="I16" s="399">
        <v>690</v>
      </c>
      <c r="J16" s="411">
        <v>723.15</v>
      </c>
      <c r="K16" s="407">
        <f t="shared" si="0"/>
        <v>1.4533274194037849E-2</v>
      </c>
      <c r="L16" s="411">
        <v>2060</v>
      </c>
      <c r="M16" s="411">
        <v>0</v>
      </c>
      <c r="N16" s="406" t="s">
        <v>2553</v>
      </c>
      <c r="O16" s="403" t="s">
        <v>2535</v>
      </c>
      <c r="P16" s="403" t="str">
        <f t="array" ref="P16">INDEX([14]CAT_NZ_Nov22!$Q$16:$Q$54,MATCH($B16,[14]CAT_NZ_Nov22!$C$16:$C$53,0))</f>
        <v>Weaker</v>
      </c>
      <c r="Q16" s="391" t="s">
        <v>2533</v>
      </c>
      <c r="R16" s="391" t="s">
        <v>2533</v>
      </c>
      <c r="S16" s="404" t="s">
        <v>2533</v>
      </c>
      <c r="T16" s="400" t="str">
        <f t="shared" si="1"/>
        <v>much lower</v>
      </c>
      <c r="U16" s="400" t="str">
        <f t="shared" si="2"/>
        <v>much lower</v>
      </c>
      <c r="V16" s="400" t="str">
        <f t="shared" si="3"/>
        <v>much lower</v>
      </c>
      <c r="W16" s="400" t="str">
        <f t="shared" si="4"/>
        <v>weak</v>
      </c>
      <c r="X16" s="400" t="str">
        <f t="shared" si="5"/>
        <v>weak</v>
      </c>
      <c r="Y16" s="400" t="str">
        <f t="shared" si="6"/>
        <v>weak</v>
      </c>
      <c r="Z16" s="403" t="s">
        <v>2540</v>
      </c>
      <c r="AA16" s="403"/>
      <c r="AB16" s="424" t="s">
        <v>2558</v>
      </c>
      <c r="AC16" s="391"/>
      <c r="AD16" s="391"/>
      <c r="AE16" s="391"/>
      <c r="AF16" s="423" t="s">
        <v>2533</v>
      </c>
      <c r="AG16" s="391"/>
      <c r="AH16" s="401" t="s">
        <v>2535</v>
      </c>
      <c r="AI16" s="400" t="str">
        <f t="shared" si="7"/>
        <v>N</v>
      </c>
      <c r="AJ16" s="391"/>
    </row>
    <row r="17" spans="1:36" ht="13.5" x14ac:dyDescent="0.25">
      <c r="A17" s="409" t="s">
        <v>411</v>
      </c>
      <c r="B17" s="409" t="s">
        <v>410</v>
      </c>
      <c r="C17" s="409" t="s">
        <v>2537</v>
      </c>
      <c r="D17" s="418">
        <v>2017</v>
      </c>
      <c r="E17" s="418">
        <v>528</v>
      </c>
      <c r="F17" s="399">
        <v>508</v>
      </c>
      <c r="G17" s="408">
        <v>2030</v>
      </c>
      <c r="H17" s="399">
        <v>399</v>
      </c>
      <c r="I17" s="399">
        <v>444</v>
      </c>
      <c r="J17" s="411">
        <v>562.19000000000005</v>
      </c>
      <c r="K17" s="407">
        <f t="shared" si="0"/>
        <v>1.1298432440221447E-2</v>
      </c>
      <c r="L17" s="411">
        <v>2050</v>
      </c>
      <c r="M17" s="411">
        <v>0</v>
      </c>
      <c r="N17" s="406" t="s">
        <v>2536</v>
      </c>
      <c r="O17" s="403" t="s">
        <v>2535</v>
      </c>
      <c r="P17" s="403" t="str">
        <f t="array" ref="P17">INDEX([14]CAT_NZ_Nov22!$Q$16:$Q$54,MATCH($B17,[14]CAT_NZ_Nov22!$C$16:$C$53,0))</f>
        <v>None</v>
      </c>
      <c r="Q17" s="424" t="s">
        <v>2533</v>
      </c>
      <c r="R17" s="416" t="s">
        <v>2546</v>
      </c>
      <c r="S17" s="404" t="s">
        <v>2533</v>
      </c>
      <c r="T17" s="400" t="str">
        <f t="shared" si="1"/>
        <v>much lower</v>
      </c>
      <c r="U17" s="400" t="str">
        <f t="shared" si="2"/>
        <v>lower</v>
      </c>
      <c r="V17" s="400" t="str">
        <f t="shared" si="3"/>
        <v>much lower</v>
      </c>
      <c r="W17" s="400" t="str">
        <f t="shared" si="4"/>
        <v>weak</v>
      </c>
      <c r="X17" s="400" t="str">
        <f t="shared" si="5"/>
        <v>weak</v>
      </c>
      <c r="Y17" s="400" t="str">
        <f t="shared" si="6"/>
        <v>weak</v>
      </c>
      <c r="Z17" s="403" t="s">
        <v>2540</v>
      </c>
      <c r="AA17" s="403" t="s">
        <v>2560</v>
      </c>
      <c r="AB17" s="424" t="s">
        <v>2558</v>
      </c>
      <c r="AC17" s="391"/>
      <c r="AD17" s="391"/>
      <c r="AE17" s="391"/>
      <c r="AF17" s="423" t="s">
        <v>2546</v>
      </c>
      <c r="AG17" s="391"/>
      <c r="AH17" s="401" t="s">
        <v>2547</v>
      </c>
      <c r="AI17" s="400" t="str">
        <f t="shared" si="7"/>
        <v>Y</v>
      </c>
      <c r="AJ17" s="391"/>
    </row>
    <row r="18" spans="1:36" ht="13.5" x14ac:dyDescent="0.25">
      <c r="A18" s="409" t="s">
        <v>459</v>
      </c>
      <c r="B18" s="409" t="s">
        <v>458</v>
      </c>
      <c r="C18" s="409" t="s">
        <v>2537</v>
      </c>
      <c r="D18" s="418">
        <v>2018</v>
      </c>
      <c r="E18" s="418">
        <v>426</v>
      </c>
      <c r="F18" s="399">
        <v>463</v>
      </c>
      <c r="G18" s="408">
        <v>2030</v>
      </c>
      <c r="H18" s="399">
        <v>936</v>
      </c>
      <c r="I18" s="399">
        <v>569</v>
      </c>
      <c r="J18" s="411">
        <v>459.86</v>
      </c>
      <c r="K18" s="407">
        <f t="shared" si="0"/>
        <v>9.2418882263295941E-3</v>
      </c>
      <c r="L18" s="411">
        <v>2053</v>
      </c>
      <c r="M18" s="411">
        <v>0</v>
      </c>
      <c r="N18" s="406" t="s">
        <v>2553</v>
      </c>
      <c r="O18" s="403" t="s">
        <v>2535</v>
      </c>
      <c r="P18" s="403" t="str">
        <f t="array" ref="P18">INDEX([14]CAT_NZ_Nov22!$Q$16:$Q$54,MATCH($B18,[14]CAT_NZ_Nov22!$C$16:$C$53,0))</f>
        <v>Credible</v>
      </c>
      <c r="Q18" s="391" t="s">
        <v>2533</v>
      </c>
      <c r="R18" s="391" t="s">
        <v>2533</v>
      </c>
      <c r="S18" s="404" t="s">
        <v>2533</v>
      </c>
      <c r="T18" s="400" t="str">
        <f t="shared" si="1"/>
        <v>lower</v>
      </c>
      <c r="U18" s="400" t="str">
        <f t="shared" si="2"/>
        <v>lower</v>
      </c>
      <c r="V18" s="400" t="str">
        <f t="shared" si="3"/>
        <v>lower</v>
      </c>
      <c r="W18" s="400" t="str">
        <f t="shared" si="4"/>
        <v>weak</v>
      </c>
      <c r="X18" s="400" t="str">
        <f t="shared" si="5"/>
        <v>weak</v>
      </c>
      <c r="Y18" s="400" t="str">
        <f t="shared" si="6"/>
        <v>weak</v>
      </c>
      <c r="Z18" s="403" t="s">
        <v>2540</v>
      </c>
      <c r="AA18" s="403"/>
      <c r="AB18" s="424" t="s">
        <v>2558</v>
      </c>
      <c r="AC18" s="391"/>
      <c r="AD18" s="391"/>
      <c r="AE18" s="391"/>
      <c r="AF18" s="423" t="s">
        <v>2533</v>
      </c>
      <c r="AG18" s="391"/>
      <c r="AH18" s="401" t="s">
        <v>2535</v>
      </c>
      <c r="AI18" s="400" t="str">
        <f t="shared" si="7"/>
        <v>N</v>
      </c>
      <c r="AJ18" s="391"/>
    </row>
    <row r="19" spans="1:36" ht="13.5" x14ac:dyDescent="0.25">
      <c r="A19" s="409" t="s">
        <v>2559</v>
      </c>
      <c r="B19" s="409" t="s">
        <v>472</v>
      </c>
      <c r="C19" s="409" t="s">
        <v>2537</v>
      </c>
      <c r="D19" s="418">
        <v>2020</v>
      </c>
      <c r="E19" s="418">
        <v>396</v>
      </c>
      <c r="F19" s="399">
        <v>409</v>
      </c>
      <c r="G19" s="408">
        <v>2030</v>
      </c>
      <c r="H19" s="399">
        <v>277</v>
      </c>
      <c r="I19" s="399">
        <v>356</v>
      </c>
      <c r="J19" s="411">
        <v>429.13</v>
      </c>
      <c r="K19" s="407">
        <f t="shared" si="0"/>
        <v>8.6243019496473235E-3</v>
      </c>
      <c r="L19" s="411">
        <v>2050</v>
      </c>
      <c r="M19" s="411">
        <v>0</v>
      </c>
      <c r="N19" s="406" t="s">
        <v>2541</v>
      </c>
      <c r="O19" s="403" t="s">
        <v>2547</v>
      </c>
      <c r="P19" s="403" t="str">
        <f t="array" ref="P19">INDEX([14]CAT_NZ_Nov22!$Q$16:$Q$54,MATCH($B19,[14]CAT_NZ_Nov22!$C$16:$C$53,0))</f>
        <v>Credible</v>
      </c>
      <c r="Q19" s="391" t="s">
        <v>2546</v>
      </c>
      <c r="R19" s="404" t="s">
        <v>2546</v>
      </c>
      <c r="S19" s="416" t="s">
        <v>2533</v>
      </c>
      <c r="T19" s="400" t="str">
        <f t="shared" si="1"/>
        <v>higher</v>
      </c>
      <c r="U19" s="400" t="str">
        <f t="shared" si="2"/>
        <v>higher</v>
      </c>
      <c r="V19" s="400" t="str">
        <f t="shared" si="3"/>
        <v>lower</v>
      </c>
      <c r="W19" s="400" t="str">
        <f t="shared" si="4"/>
        <v>stronger</v>
      </c>
      <c r="X19" s="400" t="str">
        <f t="shared" si="5"/>
        <v>stronger</v>
      </c>
      <c r="Y19" s="400" t="str">
        <f t="shared" si="6"/>
        <v>weak</v>
      </c>
      <c r="Z19" s="403" t="s">
        <v>2540</v>
      </c>
      <c r="AA19" s="403"/>
      <c r="AB19" s="424" t="s">
        <v>2558</v>
      </c>
      <c r="AC19" s="391"/>
      <c r="AD19" s="391"/>
      <c r="AE19" s="391"/>
      <c r="AF19" s="423" t="s">
        <v>2546</v>
      </c>
      <c r="AG19" s="391"/>
      <c r="AH19" s="401" t="s">
        <v>2547</v>
      </c>
      <c r="AI19" s="400" t="str">
        <f t="shared" si="7"/>
        <v>Y</v>
      </c>
      <c r="AJ19" s="391"/>
    </row>
    <row r="20" spans="1:36" ht="13.5" x14ac:dyDescent="0.25">
      <c r="A20" s="409" t="s">
        <v>1532</v>
      </c>
      <c r="B20" s="409" t="s">
        <v>474</v>
      </c>
      <c r="C20" s="409" t="s">
        <v>2537</v>
      </c>
      <c r="D20" s="418">
        <v>2020</v>
      </c>
      <c r="E20" s="418">
        <v>5167</v>
      </c>
      <c r="F20" s="399">
        <v>5216</v>
      </c>
      <c r="G20" s="408">
        <v>2030</v>
      </c>
      <c r="H20" s="399">
        <v>3279</v>
      </c>
      <c r="I20" s="399">
        <v>4164</v>
      </c>
      <c r="J20" s="411">
        <v>5771</v>
      </c>
      <c r="K20" s="407">
        <f t="shared" si="0"/>
        <v>0.11598081362620816</v>
      </c>
      <c r="L20" s="411">
        <v>2050</v>
      </c>
      <c r="M20" s="411">
        <v>0</v>
      </c>
      <c r="N20" s="406" t="s">
        <v>2541</v>
      </c>
      <c r="O20" s="403" t="s">
        <v>2535</v>
      </c>
      <c r="P20" s="403" t="str">
        <f t="array" ref="P20">INDEX([14]CAT_NZ_Nov22!$Q$16:$Q$54,MATCH($B20,[14]CAT_NZ_Nov22!$C$16:$C$53,0))</f>
        <v>Credible</v>
      </c>
      <c r="Q20" s="391" t="s">
        <v>2546</v>
      </c>
      <c r="R20" s="404" t="s">
        <v>2546</v>
      </c>
      <c r="S20" s="416" t="s">
        <v>2533</v>
      </c>
      <c r="T20" s="400" t="str">
        <f t="shared" si="1"/>
        <v>lower</v>
      </c>
      <c r="U20" s="400" t="str">
        <f t="shared" si="2"/>
        <v>lower</v>
      </c>
      <c r="V20" s="400" t="str">
        <f t="shared" si="3"/>
        <v>lower</v>
      </c>
      <c r="W20" s="400" t="str">
        <f t="shared" si="4"/>
        <v>stronger</v>
      </c>
      <c r="X20" s="400" t="str">
        <f t="shared" si="5"/>
        <v>stronger</v>
      </c>
      <c r="Y20" s="400" t="str">
        <f t="shared" si="6"/>
        <v>weak</v>
      </c>
      <c r="Z20" s="403" t="s">
        <v>2540</v>
      </c>
      <c r="AA20" s="403"/>
      <c r="AB20" s="424" t="s">
        <v>2558</v>
      </c>
      <c r="AC20" s="391"/>
      <c r="AD20" s="391"/>
      <c r="AE20" s="391"/>
      <c r="AF20" s="423" t="s">
        <v>2546</v>
      </c>
      <c r="AG20" s="391"/>
      <c r="AH20" s="401" t="s">
        <v>2547</v>
      </c>
      <c r="AI20" s="400" t="str">
        <f t="shared" si="7"/>
        <v>Y</v>
      </c>
      <c r="AJ20" s="391"/>
    </row>
    <row r="21" spans="1:36" ht="13.5" x14ac:dyDescent="0.25">
      <c r="A21" s="409" t="s">
        <v>291</v>
      </c>
      <c r="B21" s="409" t="s">
        <v>290</v>
      </c>
      <c r="C21" s="409" t="s">
        <v>2537</v>
      </c>
      <c r="D21" s="418">
        <v>2018</v>
      </c>
      <c r="E21" s="418">
        <v>403</v>
      </c>
      <c r="F21" s="396">
        <v>280</v>
      </c>
      <c r="G21" s="408">
        <v>2030</v>
      </c>
      <c r="H21" s="396">
        <v>383.7</v>
      </c>
      <c r="I21" s="396">
        <v>393.7</v>
      </c>
      <c r="J21" s="411">
        <v>396.11</v>
      </c>
      <c r="K21" s="407">
        <f t="shared" si="0"/>
        <v>7.9606931355878218E-3</v>
      </c>
      <c r="L21" s="411">
        <v>2050</v>
      </c>
      <c r="M21" s="411">
        <v>0</v>
      </c>
      <c r="N21" s="406" t="s">
        <v>2553</v>
      </c>
      <c r="O21" s="403" t="s">
        <v>2535</v>
      </c>
      <c r="P21" s="420" t="s">
        <v>2328</v>
      </c>
      <c r="Q21" s="391" t="s">
        <v>2533</v>
      </c>
      <c r="R21" s="391" t="s">
        <v>2533</v>
      </c>
      <c r="S21" s="404" t="s">
        <v>2533</v>
      </c>
      <c r="T21" s="400" t="str">
        <f t="shared" si="1"/>
        <v>much lower</v>
      </c>
      <c r="U21" s="400" t="str">
        <f t="shared" si="2"/>
        <v>much lower</v>
      </c>
      <c r="V21" s="400" t="str">
        <f t="shared" si="3"/>
        <v>much lower</v>
      </c>
      <c r="W21" s="400" t="str">
        <f t="shared" si="4"/>
        <v>weak</v>
      </c>
      <c r="X21" s="400" t="str">
        <f t="shared" si="5"/>
        <v>weak</v>
      </c>
      <c r="Y21" s="400" t="str">
        <f t="shared" si="6"/>
        <v>weak</v>
      </c>
      <c r="Z21" s="403" t="s">
        <v>2557</v>
      </c>
      <c r="AA21" s="403" t="s">
        <v>2545</v>
      </c>
      <c r="AB21" s="415" t="s">
        <v>2544</v>
      </c>
      <c r="AC21" s="391"/>
      <c r="AD21" s="391"/>
      <c r="AE21" s="391"/>
      <c r="AF21" s="391"/>
      <c r="AG21" s="391"/>
      <c r="AH21" s="401" t="s">
        <v>2535</v>
      </c>
      <c r="AI21" s="400" t="str">
        <f t="shared" si="7"/>
        <v>N</v>
      </c>
      <c r="AJ21" s="391"/>
    </row>
    <row r="22" spans="1:36" ht="13.5" x14ac:dyDescent="0.25">
      <c r="A22" s="409" t="s">
        <v>343</v>
      </c>
      <c r="B22" s="409" t="s">
        <v>342</v>
      </c>
      <c r="C22" s="409" t="s">
        <v>2537</v>
      </c>
      <c r="D22" s="418">
        <v>2018</v>
      </c>
      <c r="E22" s="418">
        <v>360</v>
      </c>
      <c r="F22" s="395">
        <v>360</v>
      </c>
      <c r="G22" s="408">
        <v>2030</v>
      </c>
      <c r="H22" s="422">
        <v>334</v>
      </c>
      <c r="I22" s="395">
        <v>375</v>
      </c>
      <c r="J22" s="411">
        <v>354.33</v>
      </c>
      <c r="K22" s="407">
        <f t="shared" si="0"/>
        <v>7.1210330431769773E-3</v>
      </c>
      <c r="L22" s="411">
        <v>2060</v>
      </c>
      <c r="M22" s="411">
        <v>0</v>
      </c>
      <c r="N22" s="406" t="s">
        <v>2541</v>
      </c>
      <c r="O22" s="403" t="s">
        <v>2547</v>
      </c>
      <c r="P22" s="403" t="str">
        <f t="array" ref="P22">INDEX([14]CAT_NZ_Nov22!$Q$16:$Q$54,MATCH($B22,[14]CAT_NZ_Nov22!$C$16:$C$53,0))</f>
        <v>Credible</v>
      </c>
      <c r="Q22" s="391" t="s">
        <v>2533</v>
      </c>
      <c r="R22" s="391" t="s">
        <v>2533</v>
      </c>
      <c r="S22" s="404" t="s">
        <v>2533</v>
      </c>
      <c r="T22" s="400" t="str">
        <f t="shared" si="1"/>
        <v>lower</v>
      </c>
      <c r="U22" s="400" t="str">
        <f t="shared" si="2"/>
        <v>lower</v>
      </c>
      <c r="V22" s="400" t="str">
        <f t="shared" si="3"/>
        <v>lower</v>
      </c>
      <c r="W22" s="400" t="str">
        <f t="shared" si="4"/>
        <v>weak</v>
      </c>
      <c r="X22" s="400" t="str">
        <f t="shared" si="5"/>
        <v>weak</v>
      </c>
      <c r="Y22" s="400" t="str">
        <f t="shared" si="6"/>
        <v>weak</v>
      </c>
      <c r="Z22" s="403" t="s">
        <v>2540</v>
      </c>
      <c r="AA22" s="403"/>
      <c r="AB22" s="421" t="s">
        <v>2556</v>
      </c>
      <c r="AC22" s="391"/>
      <c r="AD22" s="391"/>
      <c r="AE22" s="391"/>
      <c r="AF22" s="391"/>
      <c r="AG22" s="391"/>
      <c r="AH22" s="401" t="s">
        <v>2535</v>
      </c>
      <c r="AI22" s="400" t="str">
        <f t="shared" si="7"/>
        <v>N</v>
      </c>
      <c r="AJ22" s="391"/>
    </row>
    <row r="23" spans="1:36" ht="13.5" x14ac:dyDescent="0.25">
      <c r="A23" s="409" t="s">
        <v>445</v>
      </c>
      <c r="B23" s="409" t="s">
        <v>444</v>
      </c>
      <c r="C23" s="409" t="s">
        <v>2537</v>
      </c>
      <c r="D23" s="418">
        <v>2018</v>
      </c>
      <c r="E23" s="418">
        <v>360</v>
      </c>
      <c r="F23" s="417">
        <v>342</v>
      </c>
      <c r="G23" s="408">
        <v>2030</v>
      </c>
      <c r="H23" s="398">
        <v>444</v>
      </c>
      <c r="I23" s="417">
        <v>444</v>
      </c>
      <c r="J23" s="411">
        <v>437.18</v>
      </c>
      <c r="K23" s="407">
        <f t="shared" si="0"/>
        <v>8.7860842316939327E-3</v>
      </c>
      <c r="L23" s="411">
        <v>2050</v>
      </c>
      <c r="M23" s="411">
        <v>0</v>
      </c>
      <c r="N23" s="406" t="s">
        <v>2536</v>
      </c>
      <c r="O23" s="403" t="s">
        <v>2535</v>
      </c>
      <c r="P23" s="403" t="str">
        <f t="array" ref="P23">INDEX([14]CAT_NZ_Nov22!$Q$16:$Q$54,MATCH($B23,[14]CAT_NZ_Nov22!$C$16:$C$53,0))</f>
        <v>Credible</v>
      </c>
      <c r="Q23" s="391" t="s">
        <v>2533</v>
      </c>
      <c r="R23" s="391" t="s">
        <v>2533</v>
      </c>
      <c r="S23" s="404" t="s">
        <v>2533</v>
      </c>
      <c r="T23" s="400" t="str">
        <f t="shared" si="1"/>
        <v>lower</v>
      </c>
      <c r="U23" s="400" t="str">
        <f t="shared" si="2"/>
        <v>lower</v>
      </c>
      <c r="V23" s="400" t="str">
        <f t="shared" si="3"/>
        <v>lower</v>
      </c>
      <c r="W23" s="400" t="str">
        <f t="shared" si="4"/>
        <v>weak</v>
      </c>
      <c r="X23" s="400" t="str">
        <f t="shared" si="5"/>
        <v>weak</v>
      </c>
      <c r="Y23" s="400" t="str">
        <f t="shared" si="6"/>
        <v>weak</v>
      </c>
      <c r="Z23" s="403" t="s">
        <v>2540</v>
      </c>
      <c r="AA23" s="403"/>
      <c r="AB23" s="402" t="s">
        <v>2551</v>
      </c>
      <c r="AC23" s="391"/>
      <c r="AD23" s="391"/>
      <c r="AE23" s="391"/>
      <c r="AF23" s="391"/>
      <c r="AG23" s="391"/>
      <c r="AH23" s="401" t="s">
        <v>2535</v>
      </c>
      <c r="AI23" s="400" t="str">
        <f t="shared" si="7"/>
        <v>N</v>
      </c>
      <c r="AJ23" s="391"/>
    </row>
    <row r="24" spans="1:36" ht="13.5" x14ac:dyDescent="0.25">
      <c r="A24" s="409" t="s">
        <v>251</v>
      </c>
      <c r="B24" s="409" t="s">
        <v>250</v>
      </c>
      <c r="C24" s="409" t="s">
        <v>2537</v>
      </c>
      <c r="D24" s="418">
        <v>2018</v>
      </c>
      <c r="E24" s="418">
        <v>351</v>
      </c>
      <c r="F24" s="397">
        <v>394</v>
      </c>
      <c r="G24" s="408">
        <v>2030</v>
      </c>
      <c r="H24" s="398">
        <v>324.44</v>
      </c>
      <c r="I24" s="397">
        <v>443</v>
      </c>
      <c r="J24" s="411">
        <v>271.68</v>
      </c>
      <c r="K24" s="407">
        <f t="shared" si="0"/>
        <v>5.4600012902388207E-3</v>
      </c>
      <c r="L24" s="411">
        <v>2060</v>
      </c>
      <c r="M24" s="411">
        <v>0</v>
      </c>
      <c r="N24" s="406" t="s">
        <v>2553</v>
      </c>
      <c r="O24" s="403" t="s">
        <v>2535</v>
      </c>
      <c r="P24" s="403" t="str">
        <f t="array" ref="P24">INDEX([14]CAT_NZ_Nov22!$Q$16:$Q$54,MATCH($B24,[14]CAT_NZ_Nov22!$C$16:$C$53,0))</f>
        <v>Credible</v>
      </c>
      <c r="Q24" s="391" t="s">
        <v>2533</v>
      </c>
      <c r="R24" s="391" t="s">
        <v>2533</v>
      </c>
      <c r="S24" s="404" t="s">
        <v>2533</v>
      </c>
      <c r="T24" s="400" t="str">
        <f t="shared" si="1"/>
        <v>lower</v>
      </c>
      <c r="U24" s="400" t="str">
        <f t="shared" si="2"/>
        <v>lower</v>
      </c>
      <c r="V24" s="400" t="str">
        <f t="shared" si="3"/>
        <v>lower</v>
      </c>
      <c r="W24" s="400" t="str">
        <f t="shared" si="4"/>
        <v>weak</v>
      </c>
      <c r="X24" s="400" t="str">
        <f t="shared" si="5"/>
        <v>weak</v>
      </c>
      <c r="Y24" s="400" t="str">
        <f t="shared" si="6"/>
        <v>weak</v>
      </c>
      <c r="Z24" s="403" t="s">
        <v>2540</v>
      </c>
      <c r="AA24" s="403"/>
      <c r="AB24" s="421" t="s">
        <v>2538</v>
      </c>
      <c r="AC24" s="391"/>
      <c r="AD24" s="391"/>
      <c r="AE24" s="391"/>
      <c r="AF24" s="391"/>
      <c r="AG24" s="391"/>
      <c r="AH24" s="401" t="s">
        <v>2535</v>
      </c>
      <c r="AI24" s="400" t="str">
        <f t="shared" si="7"/>
        <v>N</v>
      </c>
      <c r="AJ24" s="391"/>
    </row>
    <row r="25" spans="1:36" ht="13.5" x14ac:dyDescent="0.25">
      <c r="A25" s="409" t="s">
        <v>469</v>
      </c>
      <c r="B25" s="409" t="s">
        <v>468</v>
      </c>
      <c r="C25" s="409" t="s">
        <v>2537</v>
      </c>
      <c r="D25" s="418">
        <v>2018</v>
      </c>
      <c r="E25" s="418">
        <v>341</v>
      </c>
      <c r="F25" s="397">
        <v>340</v>
      </c>
      <c r="G25" s="408">
        <v>2030</v>
      </c>
      <c r="H25" s="398">
        <v>309</v>
      </c>
      <c r="I25" s="397">
        <v>426</v>
      </c>
      <c r="J25" s="411">
        <v>221.29</v>
      </c>
      <c r="K25" s="407">
        <f t="shared" si="0"/>
        <v>4.4473044961607349E-3</v>
      </c>
      <c r="L25" s="411">
        <v>2060</v>
      </c>
      <c r="M25" s="411">
        <v>0</v>
      </c>
      <c r="N25" s="406" t="s">
        <v>2536</v>
      </c>
      <c r="O25" s="403" t="s">
        <v>2535</v>
      </c>
      <c r="P25" s="420" t="s">
        <v>2328</v>
      </c>
      <c r="Q25" s="391" t="s">
        <v>2533</v>
      </c>
      <c r="R25" s="391" t="s">
        <v>2533</v>
      </c>
      <c r="S25" s="404" t="s">
        <v>2533</v>
      </c>
      <c r="T25" s="400" t="str">
        <f t="shared" si="1"/>
        <v>much lower</v>
      </c>
      <c r="U25" s="400" t="str">
        <f t="shared" si="2"/>
        <v>much lower</v>
      </c>
      <c r="V25" s="400" t="str">
        <f t="shared" si="3"/>
        <v>much lower</v>
      </c>
      <c r="W25" s="400" t="str">
        <f t="shared" si="4"/>
        <v>weak</v>
      </c>
      <c r="X25" s="400" t="str">
        <f t="shared" si="5"/>
        <v>weak</v>
      </c>
      <c r="Y25" s="400" t="str">
        <f t="shared" si="6"/>
        <v>weak</v>
      </c>
      <c r="Z25" s="403" t="s">
        <v>2555</v>
      </c>
      <c r="AA25" s="403" t="s">
        <v>2554</v>
      </c>
      <c r="AB25" s="402" t="s">
        <v>2538</v>
      </c>
      <c r="AC25" s="391"/>
      <c r="AD25" s="391"/>
      <c r="AE25" s="391"/>
      <c r="AF25" s="391"/>
      <c r="AG25" s="391"/>
      <c r="AH25" s="401" t="s">
        <v>2535</v>
      </c>
      <c r="AI25" s="400" t="str">
        <f t="shared" si="7"/>
        <v>N</v>
      </c>
      <c r="AJ25" s="391"/>
    </row>
    <row r="26" spans="1:36" ht="13.5" x14ac:dyDescent="0.25">
      <c r="A26" s="409" t="s">
        <v>487</v>
      </c>
      <c r="B26" s="409" t="s">
        <v>486</v>
      </c>
      <c r="C26" s="409" t="s">
        <v>2537</v>
      </c>
      <c r="D26" s="418">
        <v>2018</v>
      </c>
      <c r="E26" s="418">
        <v>334</v>
      </c>
      <c r="F26" s="417">
        <v>359</v>
      </c>
      <c r="G26" s="408">
        <v>2030</v>
      </c>
      <c r="H26" s="398">
        <v>844</v>
      </c>
      <c r="I26" s="417">
        <v>459</v>
      </c>
      <c r="J26" s="411">
        <v>438.11</v>
      </c>
      <c r="K26" s="407">
        <f t="shared" si="0"/>
        <v>8.8047746071353416E-3</v>
      </c>
      <c r="L26" s="411">
        <v>2050</v>
      </c>
      <c r="M26" s="411">
        <v>0</v>
      </c>
      <c r="N26" s="406" t="s">
        <v>2553</v>
      </c>
      <c r="O26" s="403" t="s">
        <v>2547</v>
      </c>
      <c r="P26" s="403" t="str">
        <f t="array" ref="P26">INDEX([14]CAT_NZ_Nov22!$Q$16:$Q$54,MATCH($B26,[14]CAT_NZ_Nov22!$C$16:$C$53,0))</f>
        <v>Credible</v>
      </c>
      <c r="Q26" s="391" t="s">
        <v>2533</v>
      </c>
      <c r="R26" s="391" t="s">
        <v>2533</v>
      </c>
      <c r="S26" s="404" t="s">
        <v>2533</v>
      </c>
      <c r="T26" s="400" t="str">
        <f t="shared" si="1"/>
        <v>lower</v>
      </c>
      <c r="U26" s="400" t="str">
        <f t="shared" si="2"/>
        <v>lower</v>
      </c>
      <c r="V26" s="400" t="str">
        <f t="shared" si="3"/>
        <v>lower</v>
      </c>
      <c r="W26" s="400" t="str">
        <f t="shared" si="4"/>
        <v>weak</v>
      </c>
      <c r="X26" s="400" t="str">
        <f t="shared" si="5"/>
        <v>weak</v>
      </c>
      <c r="Y26" s="400" t="str">
        <f t="shared" si="6"/>
        <v>weak</v>
      </c>
      <c r="Z26" s="403" t="s">
        <v>2540</v>
      </c>
      <c r="AA26" s="403"/>
      <c r="AB26" s="402" t="s">
        <v>2551</v>
      </c>
      <c r="AC26" s="391"/>
      <c r="AD26" s="391"/>
      <c r="AE26" s="391"/>
      <c r="AF26" s="391"/>
      <c r="AG26" s="391"/>
      <c r="AH26" s="401" t="s">
        <v>2535</v>
      </c>
      <c r="AI26" s="400" t="str">
        <f t="shared" si="7"/>
        <v>N</v>
      </c>
      <c r="AJ26" s="391"/>
    </row>
    <row r="27" spans="1:36" ht="13.5" x14ac:dyDescent="0.25">
      <c r="A27" s="409" t="s">
        <v>135</v>
      </c>
      <c r="B27" s="409" t="s">
        <v>134</v>
      </c>
      <c r="C27" s="409" t="s">
        <v>2537</v>
      </c>
      <c r="D27" s="418">
        <v>2018</v>
      </c>
      <c r="E27" s="419">
        <v>282</v>
      </c>
      <c r="F27" s="417">
        <v>296</v>
      </c>
      <c r="G27" s="408">
        <v>2030</v>
      </c>
      <c r="H27" s="398">
        <v>164</v>
      </c>
      <c r="I27" s="417">
        <v>307</v>
      </c>
      <c r="J27" s="411">
        <v>270.52999999999997</v>
      </c>
      <c r="K27" s="407">
        <f t="shared" si="0"/>
        <v>5.4368895356607331E-3</v>
      </c>
      <c r="L27" s="411">
        <v>2050</v>
      </c>
      <c r="M27" s="411">
        <v>0</v>
      </c>
      <c r="N27" s="406" t="s">
        <v>2541</v>
      </c>
      <c r="O27" s="403" t="s">
        <v>2547</v>
      </c>
      <c r="P27" s="403" t="str">
        <f t="array" ref="P27">INDEX([14]CAT_NZ_Nov22!$Q$16:$Q$54,MATCH($B27,[14]CAT_NZ_Nov22!$C$16:$C$53,0))</f>
        <v>Credible</v>
      </c>
      <c r="Q27" s="391" t="s">
        <v>2533</v>
      </c>
      <c r="R27" s="391" t="s">
        <v>2533</v>
      </c>
      <c r="S27" s="404" t="s">
        <v>2533</v>
      </c>
      <c r="T27" s="400" t="str">
        <f t="shared" si="1"/>
        <v>lower</v>
      </c>
      <c r="U27" s="400" t="str">
        <f t="shared" si="2"/>
        <v>lower</v>
      </c>
      <c r="V27" s="400" t="str">
        <f t="shared" si="3"/>
        <v>lower</v>
      </c>
      <c r="W27" s="400" t="str">
        <f t="shared" si="4"/>
        <v>weak</v>
      </c>
      <c r="X27" s="400" t="str">
        <f t="shared" si="5"/>
        <v>weak</v>
      </c>
      <c r="Y27" s="400" t="str">
        <f t="shared" si="6"/>
        <v>weak</v>
      </c>
      <c r="Z27" s="403" t="s">
        <v>2540</v>
      </c>
      <c r="AA27" s="403"/>
      <c r="AB27" s="402" t="s">
        <v>2551</v>
      </c>
      <c r="AC27" s="391"/>
      <c r="AD27" s="391"/>
      <c r="AE27" s="391"/>
      <c r="AF27" s="391"/>
      <c r="AG27" s="391"/>
      <c r="AH27" s="401" t="s">
        <v>2547</v>
      </c>
      <c r="AI27" s="400" t="str">
        <f t="shared" si="7"/>
        <v>N</v>
      </c>
      <c r="AJ27" s="391"/>
    </row>
    <row r="28" spans="1:36" ht="13.5" x14ac:dyDescent="0.25">
      <c r="A28" s="409" t="s">
        <v>471</v>
      </c>
      <c r="B28" s="409" t="s">
        <v>470</v>
      </c>
      <c r="C28" s="409" t="s">
        <v>2537</v>
      </c>
      <c r="D28" s="418">
        <v>2018</v>
      </c>
      <c r="E28" s="418">
        <v>215</v>
      </c>
      <c r="F28" s="417">
        <v>206</v>
      </c>
      <c r="G28" s="408">
        <v>2030</v>
      </c>
      <c r="H28" s="398">
        <v>208</v>
      </c>
      <c r="I28" s="417">
        <v>250</v>
      </c>
      <c r="J28" s="411">
        <v>243.55</v>
      </c>
      <c r="K28" s="407">
        <f t="shared" si="0"/>
        <v>4.8946676760809214E-3</v>
      </c>
      <c r="L28" s="411">
        <v>2050</v>
      </c>
      <c r="M28" s="411">
        <v>0</v>
      </c>
      <c r="N28" s="406" t="s">
        <v>2553</v>
      </c>
      <c r="O28" s="403" t="s">
        <v>2535</v>
      </c>
      <c r="P28" s="403" t="str">
        <f t="array" ref="P28">INDEX([14]CAT_NZ_Nov22!$Q$16:$Q$54,MATCH($B28,[14]CAT_NZ_Nov22!$C$16:$C$53,0))</f>
        <v>None</v>
      </c>
      <c r="Q28" s="391" t="s">
        <v>2533</v>
      </c>
      <c r="R28" s="391" t="s">
        <v>2533</v>
      </c>
      <c r="S28" s="404" t="s">
        <v>2533</v>
      </c>
      <c r="T28" s="400" t="str">
        <f t="shared" si="1"/>
        <v>much lower</v>
      </c>
      <c r="U28" s="400" t="str">
        <f t="shared" si="2"/>
        <v>much lower</v>
      </c>
      <c r="V28" s="400" t="str">
        <f t="shared" si="3"/>
        <v>much lower</v>
      </c>
      <c r="W28" s="400" t="str">
        <f t="shared" si="4"/>
        <v>weak</v>
      </c>
      <c r="X28" s="400" t="str">
        <f t="shared" si="5"/>
        <v>weak</v>
      </c>
      <c r="Y28" s="400" t="str">
        <f t="shared" si="6"/>
        <v>weak</v>
      </c>
      <c r="Z28" s="403" t="s">
        <v>2540</v>
      </c>
      <c r="AA28" s="403"/>
      <c r="AB28" s="402" t="s">
        <v>2551</v>
      </c>
      <c r="AC28" s="391"/>
      <c r="AD28" s="391"/>
      <c r="AE28" s="391"/>
      <c r="AF28" s="391"/>
      <c r="AG28" s="391"/>
      <c r="AH28" s="401" t="s">
        <v>2535</v>
      </c>
      <c r="AI28" s="400" t="str">
        <f t="shared" si="7"/>
        <v>N</v>
      </c>
      <c r="AJ28" s="391"/>
    </row>
    <row r="29" spans="1:36" ht="13.5" x14ac:dyDescent="0.25">
      <c r="A29" s="409" t="s">
        <v>131</v>
      </c>
      <c r="B29" s="409" t="s">
        <v>130</v>
      </c>
      <c r="C29" s="409" t="s">
        <v>2537</v>
      </c>
      <c r="D29" s="418">
        <v>2018</v>
      </c>
      <c r="E29" s="418">
        <v>109</v>
      </c>
      <c r="F29" s="396">
        <v>90</v>
      </c>
      <c r="G29" s="408">
        <v>2030</v>
      </c>
      <c r="H29" s="396">
        <v>81</v>
      </c>
      <c r="I29" s="396">
        <v>134</v>
      </c>
      <c r="J29" s="411">
        <v>55.33</v>
      </c>
      <c r="K29" s="407">
        <f t="shared" si="0"/>
        <v>1.1119768528743887E-3</v>
      </c>
      <c r="L29" s="411">
        <v>2050</v>
      </c>
      <c r="M29" s="411">
        <v>0</v>
      </c>
      <c r="N29" s="406" t="s">
        <v>2541</v>
      </c>
      <c r="O29" s="403" t="s">
        <v>2547</v>
      </c>
      <c r="P29" s="403" t="str">
        <f t="array" ref="P29">INDEX([14]CAT_NZ_Nov22!$Q$16:$Q$54,MATCH($B29,[14]CAT_NZ_Nov22!$C$16:$C$53,0))</f>
        <v>Credible</v>
      </c>
      <c r="Q29" s="391" t="s">
        <v>2533</v>
      </c>
      <c r="R29" s="391" t="s">
        <v>2533</v>
      </c>
      <c r="S29" s="404" t="s">
        <v>2533</v>
      </c>
      <c r="T29" s="400" t="str">
        <f t="shared" si="1"/>
        <v>lower</v>
      </c>
      <c r="U29" s="400" t="str">
        <f t="shared" si="2"/>
        <v>lower</v>
      </c>
      <c r="V29" s="400" t="str">
        <f t="shared" si="3"/>
        <v>lower</v>
      </c>
      <c r="W29" s="400" t="str">
        <f t="shared" si="4"/>
        <v>weak</v>
      </c>
      <c r="X29" s="400" t="str">
        <f t="shared" si="5"/>
        <v>weak</v>
      </c>
      <c r="Y29" s="400" t="str">
        <f t="shared" si="6"/>
        <v>weak</v>
      </c>
      <c r="Z29" s="403" t="s">
        <v>2540</v>
      </c>
      <c r="AA29" s="403" t="s">
        <v>2545</v>
      </c>
      <c r="AB29" s="415" t="s">
        <v>2544</v>
      </c>
      <c r="AC29" s="391"/>
      <c r="AD29" s="391"/>
      <c r="AE29" s="391"/>
      <c r="AF29" s="391"/>
      <c r="AG29" s="391"/>
      <c r="AH29" s="401" t="s">
        <v>2547</v>
      </c>
      <c r="AI29" s="400" t="str">
        <f t="shared" si="7"/>
        <v>N</v>
      </c>
      <c r="AJ29" s="391"/>
    </row>
    <row r="30" spans="1:36" ht="13.5" x14ac:dyDescent="0.25">
      <c r="A30" s="409" t="s">
        <v>167</v>
      </c>
      <c r="B30" s="409" t="s">
        <v>166</v>
      </c>
      <c r="C30" s="409" t="s">
        <v>2537</v>
      </c>
      <c r="D30" s="418">
        <v>2019</v>
      </c>
      <c r="E30" s="418">
        <v>353</v>
      </c>
      <c r="F30" s="417">
        <v>332</v>
      </c>
      <c r="G30" s="408">
        <v>2030</v>
      </c>
      <c r="H30" s="398">
        <v>515</v>
      </c>
      <c r="I30" s="417">
        <v>432</v>
      </c>
      <c r="J30" s="411">
        <v>351.96</v>
      </c>
      <c r="K30" s="407">
        <f t="shared" si="0"/>
        <v>7.0734027315682239E-3</v>
      </c>
      <c r="L30" s="411" t="s">
        <v>2550</v>
      </c>
      <c r="M30" s="411" t="s">
        <v>2550</v>
      </c>
      <c r="N30" s="406" t="s">
        <v>2549</v>
      </c>
      <c r="O30" s="403" t="s">
        <v>2552</v>
      </c>
      <c r="P30" s="403" t="str">
        <f t="array" ref="P30">INDEX([14]CAT_NZ_Nov22!$Q$16:$Q$54,MATCH($B30,[14]CAT_NZ_Nov22!$C$16:$C$53,0))</f>
        <v>None</v>
      </c>
      <c r="Q30" s="391" t="s">
        <v>2533</v>
      </c>
      <c r="R30" s="391" t="s">
        <v>2533</v>
      </c>
      <c r="S30" s="404" t="s">
        <v>2533</v>
      </c>
      <c r="T30" s="400" t="str">
        <f t="shared" si="1"/>
        <v>much lower</v>
      </c>
      <c r="U30" s="400" t="str">
        <f t="shared" si="2"/>
        <v>much lower</v>
      </c>
      <c r="V30" s="400" t="str">
        <f t="shared" si="3"/>
        <v>much lower</v>
      </c>
      <c r="W30" s="400" t="str">
        <f t="shared" si="4"/>
        <v>weak</v>
      </c>
      <c r="X30" s="400" t="str">
        <f t="shared" si="5"/>
        <v>weak</v>
      </c>
      <c r="Y30" s="400" t="str">
        <f t="shared" si="6"/>
        <v>weak</v>
      </c>
      <c r="Z30" s="403" t="s">
        <v>2540</v>
      </c>
      <c r="AA30" s="403"/>
      <c r="AB30" s="402" t="s">
        <v>2551</v>
      </c>
      <c r="AC30" s="391"/>
      <c r="AD30" s="391"/>
      <c r="AE30" s="391"/>
      <c r="AF30" s="391"/>
      <c r="AG30" s="391"/>
      <c r="AH30" s="401" t="s">
        <v>2535</v>
      </c>
      <c r="AI30" s="400" t="str">
        <f t="shared" si="7"/>
        <v>N</v>
      </c>
      <c r="AJ30" s="391"/>
    </row>
    <row r="31" spans="1:36" ht="13.5" x14ac:dyDescent="0.25">
      <c r="A31" s="409" t="s">
        <v>177</v>
      </c>
      <c r="B31" s="409" t="s">
        <v>176</v>
      </c>
      <c r="C31" s="409" t="s">
        <v>2537</v>
      </c>
      <c r="D31" s="418">
        <v>2019</v>
      </c>
      <c r="E31" s="419">
        <v>179</v>
      </c>
      <c r="F31" s="417">
        <v>178</v>
      </c>
      <c r="G31" s="408">
        <v>2030</v>
      </c>
      <c r="H31" s="398">
        <v>347</v>
      </c>
      <c r="I31" s="417">
        <v>214</v>
      </c>
      <c r="J31" s="411">
        <v>183.37</v>
      </c>
      <c r="K31" s="407">
        <f t="shared" si="0"/>
        <v>3.6852195104206879E-3</v>
      </c>
      <c r="L31" s="411" t="s">
        <v>2550</v>
      </c>
      <c r="M31" s="411" t="s">
        <v>2550</v>
      </c>
      <c r="N31" s="406" t="s">
        <v>2549</v>
      </c>
      <c r="O31" s="403" t="s">
        <v>2552</v>
      </c>
      <c r="P31" s="403" t="str">
        <f t="array" ref="P31">INDEX([14]CAT_NZ_Nov22!$Q$16:$Q$54,MATCH($B31,[14]CAT_NZ_Nov22!$C$16:$C$53,0))</f>
        <v>None</v>
      </c>
      <c r="Q31" s="391" t="s">
        <v>2533</v>
      </c>
      <c r="R31" s="391" t="s">
        <v>2533</v>
      </c>
      <c r="S31" s="404" t="s">
        <v>2533</v>
      </c>
      <c r="T31" s="400" t="str">
        <f t="shared" si="1"/>
        <v>much lower</v>
      </c>
      <c r="U31" s="400" t="str">
        <f t="shared" si="2"/>
        <v>much lower</v>
      </c>
      <c r="V31" s="400" t="str">
        <f t="shared" si="3"/>
        <v>much lower</v>
      </c>
      <c r="W31" s="400" t="str">
        <f t="shared" si="4"/>
        <v>weak</v>
      </c>
      <c r="X31" s="400" t="str">
        <f t="shared" si="5"/>
        <v>weak</v>
      </c>
      <c r="Y31" s="400" t="str">
        <f t="shared" si="6"/>
        <v>weak</v>
      </c>
      <c r="Z31" s="403" t="s">
        <v>2540</v>
      </c>
      <c r="AA31" s="403"/>
      <c r="AB31" s="402" t="s">
        <v>2551</v>
      </c>
      <c r="AC31" s="391"/>
      <c r="AD31" s="391"/>
      <c r="AE31" s="391"/>
      <c r="AF31" s="391"/>
      <c r="AG31" s="391"/>
      <c r="AH31" s="401" t="s">
        <v>2535</v>
      </c>
      <c r="AI31" s="400" t="str">
        <f t="shared" si="7"/>
        <v>N</v>
      </c>
      <c r="AJ31" s="391"/>
    </row>
    <row r="32" spans="1:36" ht="13.5" x14ac:dyDescent="0.25">
      <c r="A32" s="409" t="s">
        <v>235</v>
      </c>
      <c r="B32" s="409" t="s">
        <v>234</v>
      </c>
      <c r="C32" s="409" t="s">
        <v>2537</v>
      </c>
      <c r="D32" s="418">
        <v>2019</v>
      </c>
      <c r="E32" s="418">
        <v>1038</v>
      </c>
      <c r="F32" s="417">
        <v>1078</v>
      </c>
      <c r="G32" s="408">
        <v>2030</v>
      </c>
      <c r="H32" s="398">
        <v>1959</v>
      </c>
      <c r="I32" s="417">
        <v>1189</v>
      </c>
      <c r="J32" s="411">
        <v>893.78</v>
      </c>
      <c r="K32" s="407">
        <f t="shared" si="0"/>
        <v>1.7962455658089124E-2</v>
      </c>
      <c r="L32" s="411" t="s">
        <v>2550</v>
      </c>
      <c r="M32" s="411" t="s">
        <v>2550</v>
      </c>
      <c r="N32" s="406" t="s">
        <v>2549</v>
      </c>
      <c r="O32" s="403" t="s">
        <v>2552</v>
      </c>
      <c r="P32" s="403" t="str">
        <f t="array" ref="P32">INDEX([14]CAT_NZ_Nov22!$Q$16:$Q$54,MATCH($B32,[14]CAT_NZ_Nov22!$C$16:$C$53,0))</f>
        <v>None</v>
      </c>
      <c r="Q32" s="391" t="s">
        <v>2533</v>
      </c>
      <c r="R32" s="391" t="s">
        <v>2533</v>
      </c>
      <c r="S32" s="404" t="s">
        <v>2533</v>
      </c>
      <c r="T32" s="400" t="str">
        <f t="shared" si="1"/>
        <v>much lower</v>
      </c>
      <c r="U32" s="400" t="str">
        <f t="shared" si="2"/>
        <v>much lower</v>
      </c>
      <c r="V32" s="400" t="str">
        <f t="shared" si="3"/>
        <v>much lower</v>
      </c>
      <c r="W32" s="400" t="str">
        <f t="shared" si="4"/>
        <v>weak</v>
      </c>
      <c r="X32" s="400" t="str">
        <f t="shared" si="5"/>
        <v>weak</v>
      </c>
      <c r="Y32" s="400" t="str">
        <f t="shared" si="6"/>
        <v>weak</v>
      </c>
      <c r="Z32" s="403" t="s">
        <v>2540</v>
      </c>
      <c r="AA32" s="403"/>
      <c r="AB32" s="402" t="s">
        <v>2551</v>
      </c>
      <c r="AC32" s="391"/>
      <c r="AD32" s="391"/>
      <c r="AE32" s="391"/>
      <c r="AF32" s="391"/>
      <c r="AG32" s="391"/>
      <c r="AH32" s="401" t="s">
        <v>2535</v>
      </c>
      <c r="AI32" s="400" t="str">
        <f t="shared" si="7"/>
        <v>N</v>
      </c>
      <c r="AJ32" s="391"/>
    </row>
    <row r="33" spans="1:36" ht="13.5" x14ac:dyDescent="0.25">
      <c r="A33" s="409" t="s">
        <v>319</v>
      </c>
      <c r="B33" s="409" t="s">
        <v>318</v>
      </c>
      <c r="C33" s="409" t="s">
        <v>2537</v>
      </c>
      <c r="D33" s="418">
        <v>2019</v>
      </c>
      <c r="E33" s="418">
        <v>92</v>
      </c>
      <c r="F33" s="417">
        <v>85</v>
      </c>
      <c r="G33" s="408">
        <v>2030</v>
      </c>
      <c r="H33" s="398">
        <v>116</v>
      </c>
      <c r="I33" s="417">
        <v>104</v>
      </c>
      <c r="J33" s="411">
        <v>91.15</v>
      </c>
      <c r="K33" s="407">
        <f t="shared" si="0"/>
        <v>1.8318577650370603E-3</v>
      </c>
      <c r="L33" s="409">
        <v>2100</v>
      </c>
      <c r="M33" s="409">
        <v>0</v>
      </c>
      <c r="N33" s="406" t="s">
        <v>2541</v>
      </c>
      <c r="O33" s="416" t="s">
        <v>2535</v>
      </c>
      <c r="P33" s="416" t="str">
        <f t="array" ref="P33">INDEX([14]CAT_NZ_Nov22!$Q$16:$Q$54,MATCH($B33,[14]CAT_NZ_Nov22!$C$16:$C$53,0))</f>
        <v>None</v>
      </c>
      <c r="Q33" s="391" t="s">
        <v>2533</v>
      </c>
      <c r="R33" s="391" t="s">
        <v>2533</v>
      </c>
      <c r="S33" s="404" t="s">
        <v>2533</v>
      </c>
      <c r="T33" s="400" t="str">
        <f t="shared" si="1"/>
        <v>much lower</v>
      </c>
      <c r="U33" s="400" t="str">
        <f t="shared" si="2"/>
        <v>much lower</v>
      </c>
      <c r="V33" s="400" t="str">
        <f t="shared" si="3"/>
        <v>much lower</v>
      </c>
      <c r="W33" s="400" t="str">
        <f t="shared" si="4"/>
        <v>weak</v>
      </c>
      <c r="X33" s="400" t="str">
        <f t="shared" si="5"/>
        <v>weak</v>
      </c>
      <c r="Y33" s="400" t="str">
        <f t="shared" si="6"/>
        <v>weak</v>
      </c>
      <c r="Z33" s="403" t="s">
        <v>2540</v>
      </c>
      <c r="AA33" s="403"/>
      <c r="AB33" s="402" t="s">
        <v>2551</v>
      </c>
      <c r="AC33" s="391"/>
      <c r="AD33" s="391"/>
      <c r="AE33" s="391"/>
      <c r="AF33" s="391"/>
      <c r="AG33" s="391"/>
      <c r="AH33" s="401" t="s">
        <v>2535</v>
      </c>
      <c r="AI33" s="400" t="str">
        <f t="shared" si="7"/>
        <v>N</v>
      </c>
      <c r="AJ33" s="391"/>
    </row>
    <row r="34" spans="1:36" ht="20.25" customHeight="1" x14ac:dyDescent="0.25">
      <c r="A34" s="413" t="s">
        <v>241</v>
      </c>
      <c r="B34" s="409" t="s">
        <v>240</v>
      </c>
      <c r="C34" s="409" t="s">
        <v>2537</v>
      </c>
      <c r="D34" s="391"/>
      <c r="E34" s="391"/>
      <c r="F34" s="397">
        <v>82.5</v>
      </c>
      <c r="G34" s="408">
        <v>2030</v>
      </c>
      <c r="H34" s="412">
        <v>65.599999999999994</v>
      </c>
      <c r="I34" s="397">
        <v>81.900000000000006</v>
      </c>
      <c r="J34" s="411">
        <v>87.26</v>
      </c>
      <c r="K34" s="407">
        <f t="shared" si="0"/>
        <v>1.7536797430294446E-3</v>
      </c>
      <c r="L34" s="411" t="s">
        <v>2550</v>
      </c>
      <c r="M34" s="411" t="s">
        <v>2550</v>
      </c>
      <c r="N34" s="406" t="s">
        <v>2549</v>
      </c>
      <c r="O34" s="403" t="s">
        <v>2535</v>
      </c>
      <c r="P34" s="405" t="s">
        <v>2328</v>
      </c>
      <c r="Q34" s="391" t="s">
        <v>2533</v>
      </c>
      <c r="R34" s="416" t="s">
        <v>2546</v>
      </c>
      <c r="S34" s="404" t="s">
        <v>2533</v>
      </c>
      <c r="T34" s="400" t="str">
        <f t="shared" si="1"/>
        <v>much lower</v>
      </c>
      <c r="U34" s="400" t="str">
        <f t="shared" si="2"/>
        <v>lower</v>
      </c>
      <c r="V34" s="400" t="str">
        <f t="shared" si="3"/>
        <v>much lower</v>
      </c>
      <c r="W34" s="400" t="str">
        <f t="shared" si="4"/>
        <v>weak</v>
      </c>
      <c r="X34" s="400" t="str">
        <f t="shared" si="5"/>
        <v>weak</v>
      </c>
      <c r="Y34" s="400" t="str">
        <f t="shared" si="6"/>
        <v>weak</v>
      </c>
      <c r="Z34" s="403" t="s">
        <v>2548</v>
      </c>
      <c r="AA34" s="403" t="s">
        <v>2539</v>
      </c>
      <c r="AB34" s="402" t="s">
        <v>2538</v>
      </c>
      <c r="AC34" s="391"/>
      <c r="AD34" s="391"/>
      <c r="AE34" s="391"/>
      <c r="AF34" s="391"/>
      <c r="AG34" s="391"/>
      <c r="AH34" s="401"/>
      <c r="AI34" s="400" t="str">
        <f t="shared" si="7"/>
        <v>N</v>
      </c>
      <c r="AJ34" s="391"/>
    </row>
    <row r="35" spans="1:36" ht="13.5" x14ac:dyDescent="0.25">
      <c r="A35" s="413" t="s">
        <v>337</v>
      </c>
      <c r="B35" s="409" t="s">
        <v>336</v>
      </c>
      <c r="C35" s="409" t="s">
        <v>2537</v>
      </c>
      <c r="D35" s="391"/>
      <c r="E35" s="391"/>
      <c r="F35" s="396">
        <v>59</v>
      </c>
      <c r="G35" s="408">
        <v>2030</v>
      </c>
      <c r="H35" s="396">
        <v>33.4</v>
      </c>
      <c r="I35" s="396">
        <v>31.5</v>
      </c>
      <c r="J35" s="411">
        <v>72.59</v>
      </c>
      <c r="K35" s="407">
        <f t="shared" si="0"/>
        <v>1.458854143324632E-3</v>
      </c>
      <c r="L35" s="391">
        <v>2050</v>
      </c>
      <c r="M35" s="391">
        <v>0</v>
      </c>
      <c r="N35" s="406" t="s">
        <v>2536</v>
      </c>
      <c r="O35" s="403" t="s">
        <v>2547</v>
      </c>
      <c r="P35" s="403" t="str">
        <f t="array" ref="P35">INDEX([14]CAT_NZ_Nov22!$Q$16:$Q$54,MATCH($B35,[14]CAT_NZ_Nov22!$C$16:$C$53,0))</f>
        <v>Credible</v>
      </c>
      <c r="Q35" s="391" t="s">
        <v>2546</v>
      </c>
      <c r="R35" s="416" t="s">
        <v>2546</v>
      </c>
      <c r="S35" s="416" t="s">
        <v>2546</v>
      </c>
      <c r="T35" s="400" t="str">
        <f t="shared" si="1"/>
        <v>higher</v>
      </c>
      <c r="U35" s="400" t="str">
        <f t="shared" si="2"/>
        <v>higher</v>
      </c>
      <c r="V35" s="400" t="str">
        <f t="shared" si="3"/>
        <v>higher</v>
      </c>
      <c r="W35" s="400" t="str">
        <f t="shared" si="4"/>
        <v>stronger</v>
      </c>
      <c r="X35" s="400" t="str">
        <f t="shared" si="5"/>
        <v>stronger</v>
      </c>
      <c r="Y35" s="400" t="str">
        <f t="shared" si="6"/>
        <v>stronger</v>
      </c>
      <c r="Z35" s="403" t="s">
        <v>2540</v>
      </c>
      <c r="AA35" s="403" t="s">
        <v>2545</v>
      </c>
      <c r="AB35" s="415" t="s">
        <v>2544</v>
      </c>
      <c r="AC35" s="391"/>
      <c r="AD35" s="391"/>
      <c r="AE35" s="391"/>
      <c r="AF35" s="391"/>
      <c r="AG35" s="391"/>
      <c r="AH35" s="401"/>
      <c r="AI35" s="400" t="str">
        <f t="shared" si="7"/>
        <v>Y</v>
      </c>
      <c r="AJ35" s="391"/>
    </row>
    <row r="36" spans="1:36" ht="13.5" x14ac:dyDescent="0.25">
      <c r="A36" s="413" t="s">
        <v>117</v>
      </c>
      <c r="B36" s="409" t="s">
        <v>116</v>
      </c>
      <c r="C36" s="409" t="s">
        <v>2537</v>
      </c>
      <c r="D36" s="391"/>
      <c r="E36" s="391"/>
      <c r="F36" s="393">
        <v>80</v>
      </c>
      <c r="G36" s="408">
        <v>2030</v>
      </c>
      <c r="H36" s="393">
        <v>90.5</v>
      </c>
      <c r="I36" s="393">
        <v>100</v>
      </c>
      <c r="J36" s="411">
        <v>71.77</v>
      </c>
      <c r="K36" s="407">
        <f t="shared" si="0"/>
        <v>1.4423744574515612E-3</v>
      </c>
      <c r="L36" s="391">
        <v>2050</v>
      </c>
      <c r="M36" s="391">
        <v>0</v>
      </c>
      <c r="N36" s="406" t="s">
        <v>2536</v>
      </c>
      <c r="O36" s="403" t="s">
        <v>2535</v>
      </c>
      <c r="P36" s="405" t="s">
        <v>2534</v>
      </c>
      <c r="Q36" s="391" t="s">
        <v>2533</v>
      </c>
      <c r="R36" s="391" t="s">
        <v>2533</v>
      </c>
      <c r="S36" s="404" t="s">
        <v>2533</v>
      </c>
      <c r="T36" s="400" t="str">
        <f t="shared" si="1"/>
        <v>lower</v>
      </c>
      <c r="U36" s="400" t="str">
        <f t="shared" si="2"/>
        <v>lower</v>
      </c>
      <c r="V36" s="400" t="str">
        <f t="shared" si="3"/>
        <v>lower</v>
      </c>
      <c r="W36" s="400" t="str">
        <f t="shared" si="4"/>
        <v>weak</v>
      </c>
      <c r="X36" s="400" t="str">
        <f t="shared" si="5"/>
        <v>weak</v>
      </c>
      <c r="Y36" s="400" t="str">
        <f t="shared" si="6"/>
        <v>weak</v>
      </c>
      <c r="Z36" s="403" t="s">
        <v>2543</v>
      </c>
      <c r="AA36" s="403" t="s">
        <v>2542</v>
      </c>
      <c r="AB36" s="414" t="s">
        <v>1121</v>
      </c>
      <c r="AC36" s="391"/>
      <c r="AD36" s="391"/>
      <c r="AE36" s="391"/>
      <c r="AF36" s="391"/>
      <c r="AG36" s="391"/>
      <c r="AH36" s="401"/>
      <c r="AI36" s="400" t="str">
        <f t="shared" si="7"/>
        <v>N</v>
      </c>
      <c r="AJ36" s="391"/>
    </row>
    <row r="37" spans="1:36" ht="13.5" x14ac:dyDescent="0.25">
      <c r="A37" s="413" t="s">
        <v>401</v>
      </c>
      <c r="B37" s="409" t="s">
        <v>400</v>
      </c>
      <c r="C37" s="409" t="s">
        <v>2537</v>
      </c>
      <c r="D37" s="391">
        <v>2021</v>
      </c>
      <c r="E37" s="391">
        <v>57.9</v>
      </c>
      <c r="F37" s="397">
        <v>47</v>
      </c>
      <c r="G37" s="408">
        <v>2030</v>
      </c>
      <c r="H37" s="412">
        <v>60</v>
      </c>
      <c r="I37" s="397">
        <v>49</v>
      </c>
      <c r="J37" s="411">
        <v>67.260000000000005</v>
      </c>
      <c r="K37" s="407">
        <f t="shared" si="0"/>
        <v>1.3517361851496728E-3</v>
      </c>
      <c r="L37" s="391">
        <v>2050</v>
      </c>
      <c r="M37" s="391">
        <v>0</v>
      </c>
      <c r="N37" s="406" t="s">
        <v>2541</v>
      </c>
      <c r="O37" s="403" t="s">
        <v>2535</v>
      </c>
      <c r="P37" s="403" t="str">
        <f t="array" ref="P37">INDEX([14]CAT_NZ_Nov22!$Q$16:$Q$54,MATCH($B37,[14]CAT_NZ_Nov22!$C$16:$C$53,0))</f>
        <v>Credible</v>
      </c>
      <c r="Q37" s="391" t="s">
        <v>2533</v>
      </c>
      <c r="R37" s="391" t="s">
        <v>2533</v>
      </c>
      <c r="S37" s="404" t="s">
        <v>2533</v>
      </c>
      <c r="T37" s="400" t="str">
        <f t="shared" si="1"/>
        <v>lower</v>
      </c>
      <c r="U37" s="400" t="str">
        <f t="shared" si="2"/>
        <v>lower</v>
      </c>
      <c r="V37" s="400" t="str">
        <f t="shared" si="3"/>
        <v>lower</v>
      </c>
      <c r="W37" s="400" t="str">
        <f t="shared" si="4"/>
        <v>weak</v>
      </c>
      <c r="X37" s="400" t="str">
        <f t="shared" si="5"/>
        <v>weak</v>
      </c>
      <c r="Y37" s="400" t="str">
        <f t="shared" si="6"/>
        <v>weak</v>
      </c>
      <c r="Z37" s="403" t="s">
        <v>2540</v>
      </c>
      <c r="AA37" s="403" t="s">
        <v>2539</v>
      </c>
      <c r="AB37" s="402" t="s">
        <v>2538</v>
      </c>
      <c r="AC37" s="409"/>
      <c r="AD37" s="391"/>
      <c r="AE37" s="391"/>
      <c r="AF37" s="391"/>
      <c r="AG37" s="391"/>
      <c r="AH37" s="401"/>
      <c r="AI37" s="400" t="str">
        <f t="shared" si="7"/>
        <v>Y</v>
      </c>
      <c r="AJ37" s="391"/>
    </row>
    <row r="38" spans="1:36" ht="13.5" x14ac:dyDescent="0.25">
      <c r="A38" s="410" t="s">
        <v>329</v>
      </c>
      <c r="B38" s="409" t="s">
        <v>328</v>
      </c>
      <c r="C38" s="409" t="s">
        <v>2537</v>
      </c>
      <c r="D38" s="391"/>
      <c r="E38" s="391"/>
      <c r="F38" s="395">
        <v>44</v>
      </c>
      <c r="G38" s="408">
        <v>2030</v>
      </c>
      <c r="H38" s="395">
        <v>60</v>
      </c>
      <c r="I38" s="395">
        <v>59.4</v>
      </c>
      <c r="J38" s="391">
        <v>48.37</v>
      </c>
      <c r="K38" s="407">
        <f t="shared" si="0"/>
        <v>9.7210049473222811E-4</v>
      </c>
      <c r="L38" s="391">
        <v>2045</v>
      </c>
      <c r="M38" s="391">
        <v>0</v>
      </c>
      <c r="N38" s="406" t="s">
        <v>2536</v>
      </c>
      <c r="O38" s="403" t="s">
        <v>2535</v>
      </c>
      <c r="P38" s="405" t="s">
        <v>2534</v>
      </c>
      <c r="Q38" s="391" t="s">
        <v>2533</v>
      </c>
      <c r="R38" s="391" t="s">
        <v>2533</v>
      </c>
      <c r="S38" s="404" t="s">
        <v>2533</v>
      </c>
      <c r="T38" s="400" t="str">
        <f t="shared" si="1"/>
        <v>lower</v>
      </c>
      <c r="U38" s="400" t="str">
        <f t="shared" si="2"/>
        <v>lower</v>
      </c>
      <c r="V38" s="400" t="str">
        <f t="shared" si="3"/>
        <v>lower</v>
      </c>
      <c r="W38" s="400" t="str">
        <f t="shared" si="4"/>
        <v>weak</v>
      </c>
      <c r="X38" s="400" t="str">
        <f t="shared" si="5"/>
        <v>weak</v>
      </c>
      <c r="Y38" s="400" t="str">
        <f t="shared" si="6"/>
        <v>weak</v>
      </c>
      <c r="Z38" s="403" t="s">
        <v>2532</v>
      </c>
      <c r="AA38" s="403" t="s">
        <v>2531</v>
      </c>
      <c r="AB38" s="402" t="s">
        <v>2530</v>
      </c>
      <c r="AC38" s="391"/>
      <c r="AD38" s="391"/>
      <c r="AE38" s="391"/>
      <c r="AF38" s="391"/>
      <c r="AG38" s="391"/>
      <c r="AH38" s="401"/>
      <c r="AI38" s="400" t="str">
        <f t="shared" si="7"/>
        <v>N</v>
      </c>
      <c r="AJ38" s="391"/>
    </row>
    <row r="39" spans="1:36" ht="13.5" x14ac:dyDescent="0.25">
      <c r="A39" s="391"/>
      <c r="B39" s="391"/>
      <c r="C39" s="391"/>
      <c r="D39" s="391"/>
      <c r="E39" s="391"/>
      <c r="F39" s="391"/>
      <c r="G39" s="391"/>
      <c r="H39" s="391"/>
      <c r="I39" s="391"/>
      <c r="J39" s="391"/>
      <c r="K39" s="391"/>
      <c r="L39" s="391"/>
      <c r="M39" s="391"/>
      <c r="N39" s="391"/>
      <c r="O39" s="391"/>
      <c r="P39" s="391"/>
      <c r="Q39" s="391"/>
      <c r="R39" s="391"/>
      <c r="S39" s="391"/>
      <c r="T39" s="391"/>
      <c r="U39" s="391"/>
      <c r="V39" s="391"/>
      <c r="W39" s="391"/>
      <c r="X39" s="391"/>
      <c r="Y39" s="391"/>
      <c r="Z39" s="391"/>
      <c r="AA39" s="391"/>
      <c r="AB39" s="391"/>
      <c r="AC39" s="391"/>
      <c r="AD39" s="391"/>
      <c r="AE39" s="391"/>
      <c r="AF39" s="391"/>
      <c r="AG39" s="391"/>
      <c r="AH39" s="392"/>
      <c r="AI39" s="391"/>
      <c r="AJ39" s="391"/>
    </row>
    <row r="40" spans="1:36" ht="13.5" x14ac:dyDescent="0.25">
      <c r="A40" s="391"/>
      <c r="B40" s="391"/>
      <c r="C40" s="391"/>
      <c r="D40" s="391"/>
      <c r="E40" s="391"/>
      <c r="F40" s="391"/>
      <c r="G40" s="391"/>
      <c r="H40" s="399" t="s">
        <v>2529</v>
      </c>
      <c r="I40" s="391"/>
      <c r="J40" s="391"/>
      <c r="K40" s="391"/>
      <c r="L40" s="391"/>
      <c r="M40" s="391"/>
      <c r="N40" s="391"/>
      <c r="O40" s="391"/>
      <c r="P40" s="391"/>
      <c r="Q40" s="391"/>
      <c r="R40" s="391"/>
      <c r="S40" s="391"/>
      <c r="T40" s="391"/>
      <c r="U40" s="391"/>
      <c r="V40" s="391"/>
      <c r="W40" s="391"/>
      <c r="X40" s="391"/>
      <c r="Y40" s="391"/>
      <c r="Z40" s="391"/>
      <c r="AA40" s="391"/>
      <c r="AB40" s="391"/>
      <c r="AC40" s="391"/>
      <c r="AD40" s="391"/>
      <c r="AE40" s="391"/>
      <c r="AF40" s="391"/>
      <c r="AG40" s="391"/>
      <c r="AH40" s="392"/>
      <c r="AI40" s="391"/>
      <c r="AJ40" s="391"/>
    </row>
    <row r="41" spans="1:36" ht="13.5" x14ac:dyDescent="0.25">
      <c r="A41" s="391"/>
      <c r="B41" s="391"/>
      <c r="C41" s="391"/>
      <c r="D41" s="391"/>
      <c r="E41" s="391"/>
      <c r="F41" s="391"/>
      <c r="G41" s="391"/>
      <c r="H41" s="398" t="s">
        <v>2528</v>
      </c>
      <c r="I41" s="391"/>
      <c r="J41" s="391"/>
      <c r="K41" s="391"/>
      <c r="L41" s="391"/>
      <c r="M41" s="391"/>
      <c r="N41" s="391"/>
      <c r="O41" s="391"/>
      <c r="P41" s="391"/>
      <c r="Q41" s="391"/>
      <c r="R41" s="391"/>
      <c r="S41" s="391"/>
      <c r="T41" s="391"/>
      <c r="U41" s="391"/>
      <c r="V41" s="391"/>
      <c r="W41" s="391"/>
      <c r="X41" s="391"/>
      <c r="Y41" s="391"/>
      <c r="Z41" s="391"/>
      <c r="AA41" s="391"/>
      <c r="AB41" s="391"/>
      <c r="AC41" s="391"/>
      <c r="AD41" s="391"/>
      <c r="AE41" s="391"/>
      <c r="AF41" s="391"/>
      <c r="AG41" s="391"/>
      <c r="AH41" s="392"/>
      <c r="AI41" s="391"/>
      <c r="AJ41" s="391"/>
    </row>
    <row r="42" spans="1:36" ht="13.5" x14ac:dyDescent="0.25">
      <c r="A42" s="391"/>
      <c r="B42" s="391"/>
      <c r="C42" s="391"/>
      <c r="D42" s="391"/>
      <c r="E42" s="391"/>
      <c r="F42" s="391"/>
      <c r="G42" s="391"/>
      <c r="H42" s="397" t="s">
        <v>2527</v>
      </c>
      <c r="I42" s="391"/>
      <c r="J42" s="391"/>
      <c r="K42" s="391"/>
      <c r="L42" s="391"/>
      <c r="M42" s="391"/>
      <c r="N42" s="391"/>
      <c r="O42" s="391"/>
      <c r="P42" s="391"/>
      <c r="Q42" s="391"/>
      <c r="R42" s="391"/>
      <c r="S42" s="391"/>
      <c r="T42" s="391"/>
      <c r="U42" s="391"/>
      <c r="V42" s="391"/>
      <c r="W42" s="391"/>
      <c r="X42" s="391"/>
      <c r="Y42" s="391"/>
      <c r="Z42" s="391"/>
      <c r="AA42" s="391"/>
      <c r="AB42" s="391"/>
      <c r="AC42" s="391"/>
      <c r="AD42" s="391"/>
      <c r="AE42" s="391"/>
      <c r="AF42" s="391"/>
      <c r="AG42" s="391"/>
      <c r="AH42" s="392"/>
      <c r="AI42" s="391"/>
      <c r="AJ42" s="391"/>
    </row>
    <row r="43" spans="1:36" ht="13.5" x14ac:dyDescent="0.25">
      <c r="A43" s="391"/>
      <c r="C43" s="391"/>
      <c r="D43" s="391"/>
      <c r="E43" s="391"/>
      <c r="F43" s="391"/>
      <c r="G43" s="391"/>
      <c r="H43" s="396" t="s">
        <v>2526</v>
      </c>
      <c r="I43" s="391"/>
      <c r="J43" s="391"/>
      <c r="K43" s="391"/>
      <c r="L43" s="391"/>
      <c r="M43" s="391"/>
      <c r="N43" s="391"/>
      <c r="O43" s="391"/>
      <c r="P43" s="391"/>
      <c r="Q43" s="391"/>
      <c r="R43" s="391"/>
      <c r="S43" s="391"/>
      <c r="T43" s="391"/>
      <c r="U43" s="391"/>
      <c r="V43" s="391"/>
      <c r="W43" s="391"/>
      <c r="X43" s="391"/>
      <c r="Y43" s="391"/>
      <c r="Z43" s="391"/>
      <c r="AA43" s="391"/>
      <c r="AB43" s="391"/>
      <c r="AC43" s="391"/>
      <c r="AD43" s="391"/>
      <c r="AE43" s="391"/>
      <c r="AF43" s="391"/>
      <c r="AG43" s="391"/>
      <c r="AH43" s="392"/>
      <c r="AI43" s="391"/>
      <c r="AJ43" s="391"/>
    </row>
    <row r="44" spans="1:36" ht="13.5" x14ac:dyDescent="0.25">
      <c r="C44" s="391"/>
      <c r="D44" s="391"/>
      <c r="E44" s="391"/>
      <c r="F44" s="391"/>
      <c r="G44" s="391"/>
      <c r="H44" s="395" t="s">
        <v>2525</v>
      </c>
      <c r="I44" s="391"/>
      <c r="J44" s="391"/>
      <c r="K44" s="391"/>
      <c r="L44" s="391"/>
      <c r="M44" s="391"/>
      <c r="N44" s="391"/>
      <c r="O44" s="391"/>
      <c r="P44" s="391"/>
      <c r="Q44" s="391"/>
      <c r="R44" s="391"/>
      <c r="S44" s="391"/>
      <c r="T44" s="391"/>
      <c r="U44" s="391"/>
      <c r="V44" s="391"/>
      <c r="W44" s="391"/>
      <c r="X44" s="391"/>
      <c r="Y44" s="391"/>
      <c r="Z44" s="391"/>
      <c r="AA44" s="391"/>
      <c r="AB44" s="391"/>
      <c r="AC44" s="391"/>
      <c r="AD44" s="391"/>
      <c r="AE44" s="391"/>
      <c r="AF44" s="391"/>
      <c r="AG44" s="391"/>
      <c r="AH44" s="392"/>
      <c r="AI44" s="391"/>
      <c r="AJ44" s="391"/>
    </row>
    <row r="45" spans="1:36" ht="13.5" x14ac:dyDescent="0.25">
      <c r="C45" s="391"/>
      <c r="D45" s="391"/>
      <c r="E45" s="391"/>
      <c r="F45" s="391"/>
      <c r="G45" s="391"/>
      <c r="H45" s="394" t="s">
        <v>2524</v>
      </c>
      <c r="I45" s="391"/>
      <c r="J45" s="391"/>
      <c r="K45" s="391"/>
      <c r="L45" s="391"/>
      <c r="M45" s="391"/>
      <c r="N45" s="391"/>
      <c r="O45" s="391"/>
      <c r="P45" s="391"/>
      <c r="Q45" s="391"/>
      <c r="R45" s="391"/>
      <c r="S45" s="391"/>
      <c r="T45" s="391"/>
      <c r="U45" s="391"/>
      <c r="V45" s="391"/>
      <c r="W45" s="391"/>
      <c r="X45" s="391"/>
      <c r="Y45" s="391"/>
      <c r="Z45" s="391"/>
      <c r="AA45" s="391"/>
      <c r="AB45" s="391"/>
      <c r="AC45" s="391"/>
      <c r="AD45" s="391"/>
      <c r="AE45" s="391"/>
      <c r="AF45" s="391"/>
      <c r="AG45" s="391"/>
      <c r="AH45" s="392"/>
      <c r="AI45" s="391"/>
      <c r="AJ45" s="391"/>
    </row>
    <row r="46" spans="1:36" ht="13.5" x14ac:dyDescent="0.25">
      <c r="C46" s="391"/>
      <c r="D46" s="391"/>
      <c r="E46" s="391"/>
      <c r="F46" s="391"/>
      <c r="G46" s="391"/>
      <c r="H46" s="393" t="s">
        <v>2523</v>
      </c>
      <c r="I46" s="391"/>
      <c r="J46" s="391"/>
      <c r="K46" s="391"/>
      <c r="L46" s="391"/>
      <c r="M46" s="391"/>
      <c r="N46" s="391"/>
      <c r="O46" s="391"/>
      <c r="P46" s="391"/>
      <c r="Q46" s="391"/>
      <c r="R46" s="391"/>
      <c r="S46" s="391"/>
      <c r="T46" s="391"/>
      <c r="U46" s="391"/>
      <c r="V46" s="391"/>
      <c r="W46" s="391"/>
      <c r="X46" s="391"/>
      <c r="Y46" s="391"/>
      <c r="Z46" s="391"/>
      <c r="AA46" s="391"/>
      <c r="AB46" s="391"/>
      <c r="AC46" s="391"/>
      <c r="AD46" s="391"/>
      <c r="AE46" s="391"/>
      <c r="AF46" s="391"/>
      <c r="AG46" s="391"/>
      <c r="AH46" s="392"/>
      <c r="AI46" s="391"/>
      <c r="AJ46" s="391"/>
    </row>
    <row r="47" spans="1:36" ht="13.5" x14ac:dyDescent="0.25">
      <c r="C47" s="391"/>
      <c r="D47" s="391"/>
      <c r="E47" s="391"/>
      <c r="F47" s="391"/>
      <c r="G47" s="391"/>
      <c r="H47" s="391"/>
      <c r="I47" s="391"/>
      <c r="J47" s="391"/>
      <c r="K47" s="391"/>
      <c r="L47" s="391"/>
      <c r="M47" s="391"/>
      <c r="N47" s="391"/>
      <c r="O47" s="391"/>
      <c r="P47" s="391"/>
      <c r="Q47" s="391"/>
      <c r="R47" s="391"/>
      <c r="S47" s="391"/>
      <c r="T47" s="391"/>
      <c r="U47" s="391"/>
      <c r="V47" s="391"/>
      <c r="W47" s="391"/>
      <c r="X47" s="391"/>
      <c r="Y47" s="391"/>
      <c r="Z47" s="391"/>
      <c r="AA47" s="391"/>
      <c r="AB47" s="391"/>
      <c r="AC47" s="391"/>
      <c r="AD47" s="391"/>
      <c r="AE47" s="391"/>
      <c r="AF47" s="391"/>
      <c r="AG47" s="391"/>
      <c r="AH47" s="392"/>
      <c r="AI47" s="391"/>
      <c r="AJ47" s="391"/>
    </row>
    <row r="48" spans="1:36" ht="13.5" x14ac:dyDescent="0.25">
      <c r="C48" s="391"/>
      <c r="D48" s="391"/>
      <c r="E48" s="391"/>
      <c r="F48" s="391"/>
      <c r="G48" s="391"/>
      <c r="H48" s="391"/>
      <c r="I48" s="391"/>
      <c r="J48" s="391"/>
      <c r="K48" s="391"/>
      <c r="L48" s="391"/>
      <c r="M48" s="391"/>
      <c r="N48" s="391"/>
      <c r="O48" s="391"/>
      <c r="P48" s="391"/>
      <c r="Q48" s="391"/>
      <c r="R48" s="391"/>
      <c r="S48" s="391"/>
      <c r="T48" s="391"/>
      <c r="U48" s="391"/>
      <c r="V48" s="391"/>
      <c r="W48" s="391"/>
      <c r="X48" s="391"/>
      <c r="Y48" s="391"/>
      <c r="Z48" s="391"/>
      <c r="AA48" s="391"/>
      <c r="AB48" s="391"/>
      <c r="AC48" s="391"/>
      <c r="AD48" s="391"/>
      <c r="AE48" s="391"/>
      <c r="AF48" s="391"/>
      <c r="AG48" s="391"/>
      <c r="AH48" s="392"/>
      <c r="AI48" s="391"/>
      <c r="AJ48" s="391"/>
    </row>
    <row r="49" spans="3:36" ht="13.5" x14ac:dyDescent="0.25">
      <c r="C49" s="391"/>
      <c r="D49" s="391"/>
      <c r="E49" s="391"/>
      <c r="F49" s="391"/>
      <c r="G49" s="391"/>
      <c r="H49" s="391"/>
      <c r="I49" s="391"/>
      <c r="J49" s="391"/>
      <c r="K49" s="391"/>
      <c r="L49" s="391"/>
      <c r="M49" s="391"/>
      <c r="N49" s="391"/>
      <c r="O49" s="391"/>
      <c r="P49" s="391"/>
      <c r="Q49" s="391"/>
      <c r="R49" s="391"/>
      <c r="S49" s="391"/>
      <c r="T49" s="391"/>
      <c r="U49" s="391"/>
      <c r="V49" s="391"/>
      <c r="W49" s="391"/>
      <c r="X49" s="391"/>
      <c r="Y49" s="391"/>
      <c r="Z49" s="391"/>
      <c r="AA49" s="391"/>
      <c r="AB49" s="391"/>
      <c r="AC49" s="391"/>
      <c r="AD49" s="391"/>
      <c r="AE49" s="391"/>
      <c r="AF49" s="391"/>
      <c r="AG49" s="391"/>
      <c r="AH49" s="392"/>
      <c r="AI49" s="391"/>
      <c r="AJ49" s="391"/>
    </row>
    <row r="50" spans="3:36" ht="13.5" x14ac:dyDescent="0.25">
      <c r="C50" s="391"/>
      <c r="D50" s="391"/>
      <c r="E50" s="391"/>
      <c r="F50" s="391"/>
      <c r="G50" s="391"/>
      <c r="H50" s="391"/>
      <c r="I50" s="391"/>
      <c r="J50" s="391"/>
      <c r="K50" s="391"/>
      <c r="L50" s="391"/>
      <c r="M50" s="391"/>
      <c r="N50" s="391"/>
      <c r="O50" s="391"/>
      <c r="P50" s="391"/>
      <c r="Q50" s="391"/>
      <c r="R50" s="391"/>
      <c r="S50" s="391"/>
      <c r="T50" s="391"/>
      <c r="U50" s="391"/>
      <c r="V50" s="391"/>
      <c r="W50" s="391"/>
      <c r="X50" s="391"/>
      <c r="Y50" s="391"/>
      <c r="Z50" s="391"/>
      <c r="AA50" s="391"/>
      <c r="AB50" s="391"/>
      <c r="AC50" s="391"/>
      <c r="AD50" s="391"/>
      <c r="AE50" s="391"/>
      <c r="AF50" s="391"/>
      <c r="AG50" s="391"/>
      <c r="AH50" s="392"/>
      <c r="AI50" s="391"/>
      <c r="AJ50" s="391"/>
    </row>
    <row r="51" spans="3:36" ht="13.5" x14ac:dyDescent="0.25">
      <c r="C51" s="391"/>
      <c r="D51" s="391"/>
      <c r="E51" s="391"/>
      <c r="F51" s="391"/>
      <c r="G51" s="391"/>
      <c r="H51" s="391"/>
      <c r="I51" s="391"/>
      <c r="J51" s="391"/>
      <c r="K51" s="391"/>
      <c r="L51" s="391"/>
      <c r="M51" s="391"/>
      <c r="N51" s="391"/>
      <c r="O51" s="391"/>
      <c r="P51" s="391"/>
      <c r="Q51" s="391"/>
      <c r="R51" s="391"/>
      <c r="S51" s="391"/>
      <c r="T51" s="391"/>
      <c r="U51" s="391"/>
      <c r="V51" s="391"/>
      <c r="W51" s="391"/>
      <c r="X51" s="391"/>
      <c r="Y51" s="391"/>
      <c r="Z51" s="391"/>
      <c r="AA51" s="391"/>
      <c r="AB51" s="391"/>
      <c r="AC51" s="391"/>
      <c r="AD51" s="391"/>
      <c r="AE51" s="391"/>
      <c r="AF51" s="391"/>
      <c r="AG51" s="391"/>
      <c r="AH51" s="392"/>
      <c r="AI51" s="391"/>
      <c r="AJ51" s="391"/>
    </row>
    <row r="52" spans="3:36" ht="13.5" x14ac:dyDescent="0.25">
      <c r="C52" s="391"/>
      <c r="D52" s="391"/>
      <c r="E52" s="391"/>
      <c r="F52" s="391"/>
      <c r="G52" s="391"/>
      <c r="H52" s="391"/>
      <c r="I52" s="391"/>
      <c r="J52" s="391"/>
      <c r="K52" s="391"/>
      <c r="L52" s="391"/>
      <c r="M52" s="391"/>
      <c r="N52" s="391"/>
      <c r="O52" s="391"/>
      <c r="P52" s="391"/>
      <c r="Q52" s="391"/>
      <c r="R52" s="391"/>
      <c r="S52" s="391"/>
      <c r="T52" s="391"/>
      <c r="U52" s="391"/>
      <c r="V52" s="391"/>
      <c r="W52" s="391"/>
      <c r="X52" s="391"/>
      <c r="Y52" s="391"/>
      <c r="Z52" s="391"/>
      <c r="AA52" s="391"/>
      <c r="AB52" s="391"/>
      <c r="AC52" s="391"/>
      <c r="AD52" s="391"/>
      <c r="AE52" s="391"/>
      <c r="AF52" s="391"/>
      <c r="AG52" s="391"/>
      <c r="AH52" s="392"/>
      <c r="AI52" s="391"/>
      <c r="AJ52" s="391"/>
    </row>
    <row r="53" spans="3:36" ht="13.5" x14ac:dyDescent="0.25">
      <c r="C53" s="391"/>
      <c r="D53" s="391"/>
      <c r="E53" s="391"/>
      <c r="F53" s="391"/>
      <c r="G53" s="391"/>
      <c r="H53" s="391"/>
      <c r="I53" s="391"/>
      <c r="J53" s="391"/>
      <c r="K53" s="391"/>
      <c r="L53" s="391"/>
      <c r="M53" s="391"/>
      <c r="N53" s="391"/>
      <c r="O53" s="391"/>
      <c r="P53" s="391"/>
      <c r="Q53" s="391"/>
      <c r="R53" s="391"/>
      <c r="S53" s="391"/>
      <c r="T53" s="391"/>
      <c r="U53" s="391"/>
      <c r="V53" s="391"/>
      <c r="W53" s="391"/>
      <c r="X53" s="391"/>
      <c r="Y53" s="391"/>
      <c r="Z53" s="391"/>
      <c r="AA53" s="391"/>
      <c r="AB53" s="391"/>
      <c r="AC53" s="391"/>
      <c r="AD53" s="391"/>
      <c r="AE53" s="391"/>
      <c r="AF53" s="391"/>
      <c r="AG53" s="391"/>
      <c r="AH53" s="392"/>
      <c r="AI53" s="391"/>
      <c r="AJ53" s="391"/>
    </row>
    <row r="54" spans="3:36" ht="13.5" x14ac:dyDescent="0.25">
      <c r="C54" s="391"/>
      <c r="D54" s="391"/>
      <c r="E54" s="391"/>
      <c r="F54" s="391"/>
      <c r="G54" s="391"/>
      <c r="H54" s="391"/>
      <c r="I54" s="391"/>
      <c r="J54" s="391"/>
      <c r="K54" s="391"/>
      <c r="L54" s="391"/>
      <c r="M54" s="391"/>
      <c r="N54" s="391"/>
      <c r="O54" s="391"/>
      <c r="P54" s="391"/>
      <c r="Q54" s="391"/>
      <c r="R54" s="391"/>
      <c r="S54" s="391"/>
      <c r="T54" s="391"/>
      <c r="U54" s="391"/>
      <c r="V54" s="391"/>
      <c r="W54" s="391"/>
      <c r="X54" s="391"/>
      <c r="Y54" s="391"/>
      <c r="Z54" s="391"/>
      <c r="AA54" s="391"/>
      <c r="AB54" s="391"/>
      <c r="AC54" s="391"/>
      <c r="AD54" s="391"/>
      <c r="AE54" s="391"/>
      <c r="AF54" s="391"/>
      <c r="AG54" s="391"/>
      <c r="AH54" s="392"/>
      <c r="AI54" s="391"/>
      <c r="AJ54" s="391"/>
    </row>
    <row r="55" spans="3:36" ht="13.5" x14ac:dyDescent="0.25">
      <c r="C55" s="391"/>
      <c r="D55" s="391"/>
      <c r="E55" s="391"/>
      <c r="F55" s="391"/>
      <c r="G55" s="391"/>
      <c r="H55" s="391"/>
      <c r="I55" s="391"/>
      <c r="J55" s="391"/>
      <c r="K55" s="391"/>
      <c r="L55" s="391"/>
      <c r="M55" s="391"/>
      <c r="N55" s="391"/>
      <c r="O55" s="391"/>
      <c r="P55" s="391"/>
      <c r="Q55" s="391"/>
      <c r="R55" s="391"/>
      <c r="S55" s="391"/>
      <c r="T55" s="391"/>
      <c r="U55" s="391"/>
      <c r="V55" s="391"/>
      <c r="W55" s="391"/>
      <c r="X55" s="391"/>
      <c r="Y55" s="391"/>
      <c r="Z55" s="391"/>
      <c r="AA55" s="391"/>
      <c r="AB55" s="391"/>
      <c r="AC55" s="391"/>
      <c r="AD55" s="391"/>
      <c r="AE55" s="391"/>
      <c r="AF55" s="391"/>
      <c r="AG55" s="391"/>
      <c r="AH55" s="392"/>
      <c r="AI55" s="391"/>
      <c r="AJ55" s="391"/>
    </row>
    <row r="56" spans="3:36" ht="13.5" x14ac:dyDescent="0.25">
      <c r="C56" s="391"/>
      <c r="D56" s="391"/>
      <c r="E56" s="391"/>
      <c r="F56" s="391"/>
      <c r="G56" s="391"/>
      <c r="H56" s="391"/>
      <c r="I56" s="391"/>
      <c r="J56" s="391"/>
      <c r="K56" s="391"/>
      <c r="L56" s="391"/>
      <c r="M56" s="391"/>
      <c r="N56" s="391"/>
      <c r="O56" s="391"/>
      <c r="P56" s="391"/>
      <c r="Q56" s="391"/>
      <c r="R56" s="391"/>
      <c r="S56" s="391"/>
      <c r="T56" s="391"/>
      <c r="U56" s="391"/>
      <c r="V56" s="391"/>
      <c r="W56" s="391"/>
      <c r="X56" s="391"/>
      <c r="Y56" s="391"/>
      <c r="Z56" s="391"/>
      <c r="AA56" s="391"/>
      <c r="AB56" s="391"/>
      <c r="AC56" s="391"/>
      <c r="AD56" s="391"/>
      <c r="AE56" s="391"/>
      <c r="AF56" s="391"/>
      <c r="AG56" s="391"/>
      <c r="AH56" s="392"/>
      <c r="AI56" s="391"/>
      <c r="AJ56" s="391"/>
    </row>
    <row r="57" spans="3:36" ht="13.5" x14ac:dyDescent="0.25">
      <c r="C57" s="391"/>
      <c r="D57" s="391"/>
      <c r="E57" s="391"/>
      <c r="F57" s="391"/>
      <c r="G57" s="391"/>
      <c r="H57" s="391"/>
      <c r="I57" s="391"/>
      <c r="J57" s="391"/>
      <c r="K57" s="391"/>
      <c r="L57" s="391"/>
      <c r="M57" s="391"/>
      <c r="N57" s="391"/>
      <c r="O57" s="391"/>
      <c r="P57" s="391"/>
      <c r="Q57" s="391"/>
      <c r="R57" s="391"/>
      <c r="S57" s="391"/>
      <c r="T57" s="391"/>
      <c r="U57" s="391"/>
      <c r="V57" s="391"/>
      <c r="W57" s="391"/>
      <c r="X57" s="391"/>
      <c r="Y57" s="391"/>
      <c r="Z57" s="391"/>
      <c r="AA57" s="391"/>
      <c r="AB57" s="391"/>
      <c r="AC57" s="391"/>
      <c r="AD57" s="391"/>
      <c r="AE57" s="391"/>
      <c r="AF57" s="391"/>
      <c r="AG57" s="391"/>
      <c r="AH57" s="392"/>
      <c r="AI57" s="391"/>
      <c r="AJ57" s="391"/>
    </row>
    <row r="58" spans="3:36" ht="13.5" x14ac:dyDescent="0.25">
      <c r="C58" s="391"/>
      <c r="D58" s="391"/>
      <c r="E58" s="391"/>
      <c r="F58" s="391"/>
      <c r="G58" s="391"/>
      <c r="H58" s="391"/>
      <c r="I58" s="391"/>
      <c r="J58" s="391"/>
      <c r="K58" s="391"/>
      <c r="L58" s="391"/>
      <c r="M58" s="391"/>
      <c r="N58" s="391"/>
      <c r="O58" s="391"/>
      <c r="P58" s="391"/>
      <c r="Q58" s="391"/>
      <c r="R58" s="391"/>
      <c r="S58" s="391"/>
      <c r="T58" s="391"/>
      <c r="U58" s="391"/>
      <c r="V58" s="391"/>
      <c r="W58" s="391"/>
      <c r="X58" s="391"/>
      <c r="Y58" s="391"/>
      <c r="Z58" s="391"/>
      <c r="AA58" s="391"/>
      <c r="AB58" s="391"/>
      <c r="AC58" s="391"/>
      <c r="AD58" s="391"/>
      <c r="AE58" s="391"/>
      <c r="AF58" s="391"/>
      <c r="AG58" s="391"/>
      <c r="AH58" s="392"/>
      <c r="AI58" s="391"/>
      <c r="AJ58" s="391"/>
    </row>
    <row r="59" spans="3:36" ht="13.5" x14ac:dyDescent="0.25">
      <c r="C59" s="391"/>
      <c r="D59" s="391"/>
      <c r="E59" s="391"/>
      <c r="F59" s="391"/>
      <c r="G59" s="391"/>
      <c r="H59" s="391"/>
      <c r="I59" s="391"/>
      <c r="J59" s="391"/>
      <c r="K59" s="391"/>
      <c r="L59" s="391"/>
      <c r="M59" s="391"/>
      <c r="N59" s="391"/>
      <c r="O59" s="391"/>
      <c r="P59" s="391"/>
      <c r="Q59" s="391"/>
      <c r="R59" s="391"/>
      <c r="S59" s="391"/>
      <c r="T59" s="391"/>
      <c r="U59" s="391"/>
      <c r="V59" s="391"/>
      <c r="W59" s="391"/>
      <c r="X59" s="391"/>
      <c r="Y59" s="391"/>
      <c r="Z59" s="391"/>
      <c r="AA59" s="391"/>
      <c r="AB59" s="391"/>
      <c r="AC59" s="391"/>
      <c r="AD59" s="391"/>
      <c r="AE59" s="391"/>
      <c r="AF59" s="391"/>
      <c r="AG59" s="391"/>
      <c r="AH59" s="392"/>
      <c r="AI59" s="391"/>
      <c r="AJ59" s="391"/>
    </row>
    <row r="60" spans="3:36" ht="13.5" x14ac:dyDescent="0.25">
      <c r="C60" s="391"/>
      <c r="D60" s="391"/>
      <c r="E60" s="391"/>
      <c r="F60" s="391"/>
      <c r="G60" s="391"/>
      <c r="H60" s="391"/>
      <c r="I60" s="391"/>
      <c r="J60" s="391"/>
      <c r="K60" s="391"/>
      <c r="L60" s="391"/>
      <c r="M60" s="391"/>
      <c r="N60" s="391"/>
      <c r="O60" s="391"/>
      <c r="P60" s="391"/>
      <c r="Q60" s="391"/>
      <c r="R60" s="391"/>
      <c r="S60" s="391"/>
      <c r="T60" s="391"/>
      <c r="U60" s="391"/>
      <c r="V60" s="391"/>
      <c r="W60" s="391"/>
      <c r="X60" s="391"/>
      <c r="Y60" s="391"/>
      <c r="Z60" s="391"/>
      <c r="AA60" s="391"/>
      <c r="AB60" s="391"/>
      <c r="AC60" s="391"/>
      <c r="AD60" s="391"/>
      <c r="AE60" s="391"/>
      <c r="AF60" s="391"/>
      <c r="AG60" s="391"/>
      <c r="AH60" s="392"/>
      <c r="AI60" s="391"/>
      <c r="AJ60" s="391"/>
    </row>
    <row r="61" spans="3:36" ht="13.5" x14ac:dyDescent="0.25">
      <c r="C61" s="391"/>
      <c r="D61" s="391"/>
      <c r="E61" s="391"/>
      <c r="F61" s="391"/>
      <c r="G61" s="391"/>
      <c r="H61" s="391"/>
      <c r="I61" s="391"/>
      <c r="J61" s="391"/>
      <c r="K61" s="391"/>
      <c r="L61" s="391"/>
      <c r="M61" s="391"/>
      <c r="N61" s="391"/>
      <c r="O61" s="391"/>
      <c r="P61" s="391"/>
      <c r="Q61" s="391"/>
      <c r="R61" s="391"/>
      <c r="S61" s="391"/>
      <c r="T61" s="391"/>
      <c r="U61" s="391"/>
      <c r="V61" s="391"/>
      <c r="W61" s="391"/>
      <c r="X61" s="391"/>
      <c r="Y61" s="391"/>
      <c r="Z61" s="391"/>
      <c r="AA61" s="391"/>
      <c r="AB61" s="391"/>
      <c r="AC61" s="391"/>
      <c r="AD61" s="391"/>
      <c r="AE61" s="391"/>
      <c r="AF61" s="391"/>
      <c r="AG61" s="391"/>
      <c r="AH61" s="392"/>
      <c r="AI61" s="391"/>
      <c r="AJ61" s="391"/>
    </row>
    <row r="62" spans="3:36" ht="13.5" x14ac:dyDescent="0.25">
      <c r="C62" s="391"/>
      <c r="D62" s="391"/>
      <c r="E62" s="391"/>
      <c r="F62" s="391"/>
      <c r="G62" s="391"/>
      <c r="H62" s="391"/>
      <c r="I62" s="391"/>
      <c r="J62" s="391"/>
      <c r="K62" s="391"/>
      <c r="L62" s="391"/>
      <c r="M62" s="391"/>
      <c r="N62" s="391"/>
      <c r="O62" s="391"/>
      <c r="P62" s="391"/>
      <c r="Q62" s="391"/>
      <c r="R62" s="391"/>
      <c r="S62" s="391"/>
      <c r="T62" s="391"/>
      <c r="U62" s="391"/>
      <c r="V62" s="391"/>
      <c r="W62" s="391"/>
      <c r="X62" s="391"/>
      <c r="Y62" s="391"/>
      <c r="Z62" s="391"/>
      <c r="AA62" s="391"/>
      <c r="AB62" s="391"/>
      <c r="AC62" s="391"/>
      <c r="AD62" s="391"/>
      <c r="AE62" s="391"/>
      <c r="AF62" s="391"/>
      <c r="AG62" s="391"/>
      <c r="AH62" s="392"/>
      <c r="AI62" s="391"/>
      <c r="AJ62" s="391"/>
    </row>
    <row r="63" spans="3:36" ht="13.5" x14ac:dyDescent="0.25">
      <c r="C63" s="391"/>
      <c r="D63" s="391"/>
      <c r="E63" s="391"/>
      <c r="F63" s="391"/>
      <c r="G63" s="391"/>
      <c r="H63" s="391"/>
      <c r="I63" s="391"/>
      <c r="J63" s="391"/>
      <c r="K63" s="391"/>
      <c r="L63" s="391"/>
      <c r="M63" s="391"/>
      <c r="N63" s="391"/>
      <c r="O63" s="391"/>
      <c r="P63" s="391"/>
      <c r="Q63" s="391"/>
      <c r="R63" s="391"/>
      <c r="S63" s="391"/>
      <c r="T63" s="391"/>
      <c r="U63" s="391"/>
      <c r="V63" s="391"/>
      <c r="W63" s="391"/>
      <c r="X63" s="391"/>
      <c r="Y63" s="391"/>
      <c r="Z63" s="391"/>
      <c r="AA63" s="391"/>
      <c r="AB63" s="391"/>
      <c r="AC63" s="391"/>
      <c r="AD63" s="391"/>
      <c r="AE63" s="391"/>
      <c r="AF63" s="391"/>
      <c r="AG63" s="391"/>
      <c r="AH63" s="392"/>
      <c r="AI63" s="391"/>
      <c r="AJ63" s="391"/>
    </row>
    <row r="64" spans="3:36" ht="13.5" x14ac:dyDescent="0.25">
      <c r="C64" s="391"/>
      <c r="D64" s="391"/>
      <c r="E64" s="391"/>
      <c r="F64" s="391"/>
      <c r="G64" s="391"/>
      <c r="H64" s="391"/>
      <c r="I64" s="391"/>
      <c r="J64" s="391"/>
      <c r="K64" s="391"/>
      <c r="L64" s="391"/>
      <c r="M64" s="391"/>
      <c r="N64" s="391"/>
      <c r="O64" s="391"/>
      <c r="P64" s="391"/>
      <c r="Q64" s="391"/>
      <c r="R64" s="391"/>
      <c r="S64" s="391"/>
      <c r="T64" s="391"/>
      <c r="U64" s="391"/>
      <c r="V64" s="391"/>
      <c r="W64" s="391"/>
      <c r="X64" s="391"/>
      <c r="Y64" s="391"/>
      <c r="Z64" s="391"/>
      <c r="AA64" s="391"/>
      <c r="AB64" s="391"/>
      <c r="AC64" s="391"/>
      <c r="AD64" s="391"/>
      <c r="AE64" s="391"/>
      <c r="AF64" s="391"/>
      <c r="AG64" s="391"/>
      <c r="AH64" s="392"/>
      <c r="AI64" s="391"/>
      <c r="AJ64" s="391"/>
    </row>
    <row r="65" spans="1:36" ht="13.5" x14ac:dyDescent="0.25">
      <c r="C65" s="391"/>
      <c r="D65" s="391"/>
      <c r="E65" s="391"/>
      <c r="F65" s="391"/>
      <c r="G65" s="391"/>
      <c r="H65" s="391"/>
      <c r="I65" s="391"/>
      <c r="J65" s="391"/>
      <c r="K65" s="391"/>
      <c r="L65" s="391"/>
      <c r="M65" s="391"/>
      <c r="N65" s="391"/>
      <c r="O65" s="391"/>
      <c r="P65" s="391"/>
      <c r="Q65" s="391"/>
      <c r="R65" s="391"/>
      <c r="S65" s="391"/>
      <c r="T65" s="391"/>
      <c r="U65" s="391"/>
      <c r="V65" s="391"/>
      <c r="W65" s="391"/>
      <c r="X65" s="391"/>
      <c r="Y65" s="391"/>
      <c r="Z65" s="391"/>
      <c r="AA65" s="391"/>
      <c r="AB65" s="391"/>
      <c r="AC65" s="391"/>
      <c r="AD65" s="391"/>
      <c r="AE65" s="391"/>
      <c r="AF65" s="391"/>
      <c r="AG65" s="391"/>
      <c r="AH65" s="392"/>
      <c r="AI65" s="391"/>
      <c r="AJ65" s="391"/>
    </row>
    <row r="66" spans="1:36" ht="13.5" x14ac:dyDescent="0.25">
      <c r="C66" s="391"/>
      <c r="D66" s="391"/>
      <c r="E66" s="391"/>
      <c r="F66" s="391"/>
      <c r="G66" s="391"/>
      <c r="H66" s="391"/>
      <c r="I66" s="391"/>
      <c r="J66" s="391"/>
      <c r="K66" s="391"/>
      <c r="L66" s="391"/>
      <c r="M66" s="391"/>
      <c r="N66" s="391"/>
      <c r="O66" s="391"/>
      <c r="P66" s="391"/>
      <c r="Q66" s="391"/>
      <c r="R66" s="391"/>
      <c r="S66" s="391"/>
      <c r="T66" s="391"/>
      <c r="U66" s="391"/>
      <c r="V66" s="391"/>
      <c r="W66" s="391"/>
      <c r="X66" s="391"/>
      <c r="Y66" s="391"/>
      <c r="Z66" s="391"/>
      <c r="AA66" s="391"/>
      <c r="AB66" s="391"/>
      <c r="AC66" s="391"/>
      <c r="AD66" s="391"/>
      <c r="AE66" s="391"/>
      <c r="AF66" s="391"/>
      <c r="AG66" s="391"/>
      <c r="AH66" s="392"/>
      <c r="AI66" s="391"/>
      <c r="AJ66" s="391"/>
    </row>
    <row r="67" spans="1:36" ht="13.5" x14ac:dyDescent="0.25">
      <c r="C67" s="391"/>
      <c r="D67" s="391"/>
      <c r="E67" s="391"/>
      <c r="F67" s="391"/>
      <c r="G67" s="391"/>
      <c r="H67" s="391"/>
      <c r="I67" s="391"/>
      <c r="J67" s="391"/>
      <c r="K67" s="391"/>
      <c r="L67" s="391"/>
      <c r="M67" s="391"/>
      <c r="N67" s="391"/>
      <c r="O67" s="391"/>
      <c r="P67" s="391"/>
      <c r="Q67" s="391"/>
      <c r="R67" s="391"/>
      <c r="S67" s="391"/>
      <c r="T67" s="391"/>
      <c r="U67" s="391"/>
      <c r="V67" s="391"/>
      <c r="W67" s="391"/>
      <c r="X67" s="391"/>
      <c r="Y67" s="391"/>
      <c r="Z67" s="391"/>
      <c r="AA67" s="391"/>
      <c r="AB67" s="391"/>
      <c r="AC67" s="391"/>
      <c r="AD67" s="391"/>
      <c r="AE67" s="391"/>
      <c r="AF67" s="391"/>
      <c r="AG67" s="391"/>
      <c r="AH67" s="392"/>
      <c r="AI67" s="391"/>
      <c r="AJ67" s="391"/>
    </row>
    <row r="68" spans="1:36" ht="13.5" x14ac:dyDescent="0.25">
      <c r="C68" s="391"/>
      <c r="D68" s="391"/>
      <c r="E68" s="391"/>
      <c r="F68" s="391"/>
      <c r="G68" s="391"/>
      <c r="H68" s="391"/>
      <c r="I68" s="391"/>
      <c r="J68" s="391"/>
      <c r="K68" s="391"/>
      <c r="L68" s="391"/>
      <c r="M68" s="391"/>
      <c r="N68" s="391"/>
      <c r="O68" s="391"/>
      <c r="P68" s="391"/>
      <c r="Q68" s="391"/>
      <c r="R68" s="391"/>
      <c r="S68" s="391"/>
      <c r="T68" s="391"/>
      <c r="U68" s="391"/>
      <c r="V68" s="391"/>
      <c r="W68" s="391"/>
      <c r="X68" s="391"/>
      <c r="Y68" s="391"/>
      <c r="Z68" s="391"/>
      <c r="AA68" s="391"/>
      <c r="AB68" s="391"/>
      <c r="AC68" s="391"/>
      <c r="AD68" s="391"/>
      <c r="AE68" s="391"/>
      <c r="AF68" s="391"/>
      <c r="AG68" s="391"/>
      <c r="AH68" s="392"/>
      <c r="AI68" s="391"/>
      <c r="AJ68" s="391"/>
    </row>
    <row r="69" spans="1:36" ht="13.5" x14ac:dyDescent="0.25">
      <c r="C69" s="391"/>
      <c r="D69" s="391"/>
      <c r="E69" s="391"/>
      <c r="F69" s="391"/>
      <c r="G69" s="391"/>
      <c r="H69" s="391"/>
      <c r="I69" s="391"/>
      <c r="J69" s="391"/>
      <c r="K69" s="391"/>
      <c r="L69" s="391"/>
      <c r="M69" s="391"/>
      <c r="N69" s="391"/>
      <c r="O69" s="391"/>
      <c r="P69" s="391"/>
      <c r="Q69" s="391"/>
      <c r="R69" s="391"/>
      <c r="S69" s="391"/>
      <c r="T69" s="391"/>
      <c r="U69" s="391"/>
      <c r="V69" s="391"/>
      <c r="W69" s="391"/>
      <c r="X69" s="391"/>
      <c r="Y69" s="391"/>
      <c r="Z69" s="391"/>
      <c r="AA69" s="391"/>
      <c r="AB69" s="391"/>
      <c r="AC69" s="391"/>
      <c r="AD69" s="391"/>
      <c r="AE69" s="391"/>
      <c r="AF69" s="391"/>
      <c r="AG69" s="391"/>
      <c r="AH69" s="392"/>
      <c r="AI69" s="391"/>
      <c r="AJ69" s="391"/>
    </row>
    <row r="70" spans="1:36" ht="13.5" x14ac:dyDescent="0.25">
      <c r="C70" s="391"/>
      <c r="D70" s="391"/>
      <c r="E70" s="391"/>
      <c r="F70" s="391"/>
      <c r="G70" s="391"/>
      <c r="H70" s="391"/>
      <c r="I70" s="391"/>
      <c r="J70" s="391"/>
      <c r="K70" s="391"/>
      <c r="L70" s="391"/>
      <c r="M70" s="391"/>
      <c r="N70" s="391"/>
      <c r="O70" s="391"/>
      <c r="P70" s="391"/>
      <c r="Q70" s="391"/>
      <c r="R70" s="391"/>
      <c r="S70" s="391"/>
      <c r="T70" s="391"/>
      <c r="U70" s="391"/>
      <c r="V70" s="391"/>
      <c r="W70" s="391"/>
      <c r="X70" s="391"/>
      <c r="Y70" s="391"/>
      <c r="Z70" s="391"/>
      <c r="AA70" s="391"/>
      <c r="AB70" s="391"/>
      <c r="AC70" s="391"/>
      <c r="AD70" s="391"/>
      <c r="AE70" s="391"/>
      <c r="AF70" s="391"/>
      <c r="AG70" s="391"/>
      <c r="AH70" s="392"/>
      <c r="AI70" s="391"/>
      <c r="AJ70" s="391"/>
    </row>
    <row r="71" spans="1:36" ht="13.5" x14ac:dyDescent="0.25">
      <c r="C71" s="391"/>
      <c r="D71" s="391"/>
      <c r="E71" s="391"/>
      <c r="F71" s="391"/>
      <c r="G71" s="391"/>
      <c r="H71" s="391"/>
      <c r="I71" s="391"/>
      <c r="J71" s="391"/>
      <c r="K71" s="391"/>
      <c r="L71" s="391"/>
      <c r="M71" s="391"/>
      <c r="N71" s="391"/>
      <c r="O71" s="391"/>
      <c r="P71" s="391"/>
      <c r="Q71" s="391"/>
      <c r="R71" s="391"/>
      <c r="S71" s="391"/>
      <c r="T71" s="391"/>
      <c r="U71" s="391"/>
      <c r="V71" s="391"/>
      <c r="W71" s="391"/>
      <c r="X71" s="391"/>
      <c r="Y71" s="391"/>
      <c r="Z71" s="391"/>
      <c r="AA71" s="391"/>
      <c r="AB71" s="391"/>
      <c r="AC71" s="391"/>
      <c r="AD71" s="391"/>
      <c r="AE71" s="391"/>
      <c r="AF71" s="391"/>
      <c r="AG71" s="391"/>
      <c r="AH71" s="392"/>
      <c r="AI71" s="391"/>
      <c r="AJ71" s="391"/>
    </row>
    <row r="72" spans="1:36" ht="13.5" x14ac:dyDescent="0.25">
      <c r="C72" s="391"/>
      <c r="D72" s="391"/>
      <c r="E72" s="391"/>
      <c r="F72" s="391"/>
      <c r="G72" s="391"/>
      <c r="H72" s="391"/>
      <c r="I72" s="391"/>
      <c r="J72" s="391"/>
      <c r="K72" s="391"/>
      <c r="L72" s="391"/>
      <c r="M72" s="391"/>
      <c r="N72" s="391"/>
      <c r="O72" s="391"/>
      <c r="P72" s="391"/>
      <c r="Q72" s="391"/>
      <c r="R72" s="391"/>
      <c r="S72" s="391"/>
      <c r="T72" s="391"/>
      <c r="U72" s="391"/>
      <c r="V72" s="391"/>
      <c r="W72" s="391"/>
      <c r="X72" s="391"/>
      <c r="Y72" s="391"/>
      <c r="Z72" s="391"/>
      <c r="AA72" s="391"/>
      <c r="AB72" s="391"/>
      <c r="AC72" s="391"/>
      <c r="AD72" s="391"/>
      <c r="AE72" s="391"/>
      <c r="AF72" s="391"/>
      <c r="AG72" s="391"/>
      <c r="AH72" s="392"/>
      <c r="AI72" s="391"/>
      <c r="AJ72" s="391"/>
    </row>
    <row r="73" spans="1:36" ht="13.5" x14ac:dyDescent="0.25">
      <c r="C73" s="391"/>
      <c r="D73" s="391"/>
      <c r="E73" s="391"/>
      <c r="F73" s="391"/>
      <c r="G73" s="391"/>
      <c r="H73" s="391"/>
      <c r="I73" s="391"/>
      <c r="J73" s="391"/>
      <c r="K73" s="391"/>
      <c r="L73" s="391"/>
      <c r="M73" s="391"/>
      <c r="N73" s="391"/>
      <c r="O73" s="391"/>
      <c r="P73" s="391"/>
      <c r="Q73" s="391"/>
      <c r="R73" s="391"/>
      <c r="S73" s="391"/>
      <c r="T73" s="391"/>
      <c r="U73" s="391"/>
      <c r="V73" s="391"/>
      <c r="W73" s="391"/>
      <c r="X73" s="391"/>
      <c r="Y73" s="391"/>
      <c r="Z73" s="391"/>
      <c r="AA73" s="391"/>
      <c r="AB73" s="391"/>
      <c r="AC73" s="391"/>
      <c r="AD73" s="391"/>
      <c r="AE73" s="391"/>
      <c r="AF73" s="391"/>
      <c r="AG73" s="391"/>
      <c r="AH73" s="392"/>
      <c r="AI73" s="391"/>
      <c r="AJ73" s="391"/>
    </row>
    <row r="74" spans="1:36" ht="13.5" x14ac:dyDescent="0.25">
      <c r="C74" s="391"/>
      <c r="D74" s="391"/>
      <c r="E74" s="391"/>
      <c r="F74" s="391"/>
      <c r="G74" s="391"/>
      <c r="H74" s="391"/>
      <c r="I74" s="391"/>
      <c r="J74" s="391"/>
      <c r="K74" s="391"/>
      <c r="L74" s="391"/>
      <c r="M74" s="391"/>
      <c r="N74" s="391"/>
      <c r="O74" s="391"/>
      <c r="P74" s="391"/>
      <c r="Q74" s="391"/>
      <c r="R74" s="391"/>
      <c r="S74" s="391"/>
      <c r="T74" s="391"/>
      <c r="U74" s="391"/>
      <c r="V74" s="391"/>
      <c r="W74" s="391"/>
      <c r="X74" s="391"/>
      <c r="Y74" s="391"/>
      <c r="Z74" s="391"/>
      <c r="AA74" s="391"/>
      <c r="AB74" s="391"/>
      <c r="AC74" s="391"/>
      <c r="AD74" s="391"/>
      <c r="AE74" s="391"/>
      <c r="AF74" s="391"/>
      <c r="AG74" s="391"/>
      <c r="AH74" s="392"/>
      <c r="AI74" s="391"/>
      <c r="AJ74" s="391"/>
    </row>
    <row r="75" spans="1:36" ht="13.5" x14ac:dyDescent="0.25">
      <c r="C75" s="391"/>
      <c r="D75" s="391"/>
      <c r="E75" s="391"/>
      <c r="F75" s="391"/>
      <c r="G75" s="391"/>
      <c r="H75" s="391"/>
      <c r="I75" s="391"/>
      <c r="J75" s="391"/>
      <c r="K75" s="391"/>
      <c r="L75" s="391"/>
      <c r="M75" s="391"/>
      <c r="N75" s="391"/>
      <c r="O75" s="391"/>
      <c r="P75" s="391"/>
      <c r="Q75" s="391"/>
      <c r="R75" s="391"/>
      <c r="S75" s="391"/>
      <c r="T75" s="391"/>
      <c r="U75" s="391"/>
      <c r="V75" s="391"/>
      <c r="W75" s="391"/>
      <c r="X75" s="391"/>
      <c r="Y75" s="391"/>
      <c r="Z75" s="391"/>
      <c r="AA75" s="391"/>
      <c r="AB75" s="391"/>
      <c r="AC75" s="391"/>
      <c r="AD75" s="391"/>
      <c r="AE75" s="391"/>
      <c r="AF75" s="391"/>
      <c r="AG75" s="391"/>
      <c r="AH75" s="392"/>
      <c r="AI75" s="391"/>
      <c r="AJ75" s="391"/>
    </row>
    <row r="76" spans="1:36" ht="13.5" x14ac:dyDescent="0.25">
      <c r="C76" s="391"/>
      <c r="D76" s="391"/>
      <c r="E76" s="391"/>
      <c r="F76" s="391"/>
      <c r="G76" s="391"/>
      <c r="H76" s="391"/>
      <c r="I76" s="391"/>
      <c r="J76" s="391"/>
      <c r="K76" s="391"/>
      <c r="L76" s="391"/>
      <c r="M76" s="391"/>
      <c r="N76" s="391"/>
      <c r="O76" s="391"/>
      <c r="P76" s="391"/>
      <c r="Q76" s="391"/>
      <c r="R76" s="391"/>
      <c r="S76" s="391"/>
      <c r="T76" s="391"/>
      <c r="U76" s="391"/>
      <c r="V76" s="391"/>
      <c r="W76" s="391"/>
      <c r="X76" s="391"/>
      <c r="Y76" s="391"/>
      <c r="Z76" s="391"/>
      <c r="AA76" s="391"/>
      <c r="AB76" s="391"/>
      <c r="AC76" s="391"/>
      <c r="AD76" s="391"/>
      <c r="AE76" s="391"/>
      <c r="AF76" s="391"/>
      <c r="AG76" s="391"/>
      <c r="AH76" s="392"/>
      <c r="AI76" s="391"/>
      <c r="AJ76" s="391"/>
    </row>
    <row r="77" spans="1:36" ht="13.5" x14ac:dyDescent="0.25">
      <c r="C77" s="391"/>
      <c r="D77" s="391"/>
      <c r="E77" s="391"/>
      <c r="F77" s="391"/>
      <c r="G77" s="391"/>
      <c r="H77" s="391"/>
      <c r="I77" s="391"/>
      <c r="J77" s="391"/>
      <c r="K77" s="391"/>
      <c r="L77" s="391"/>
      <c r="M77" s="391"/>
      <c r="N77" s="391"/>
      <c r="O77" s="391"/>
      <c r="P77" s="391"/>
      <c r="Q77" s="391"/>
      <c r="R77" s="391"/>
      <c r="S77" s="391"/>
      <c r="T77" s="391"/>
      <c r="U77" s="391"/>
      <c r="V77" s="391"/>
      <c r="W77" s="391"/>
      <c r="X77" s="391"/>
      <c r="Y77" s="391"/>
      <c r="Z77" s="391"/>
      <c r="AA77" s="391"/>
      <c r="AB77" s="391"/>
      <c r="AC77" s="391"/>
      <c r="AD77" s="391"/>
      <c r="AE77" s="391"/>
      <c r="AF77" s="391"/>
      <c r="AG77" s="391"/>
      <c r="AH77" s="392"/>
      <c r="AI77" s="391"/>
      <c r="AJ77" s="391"/>
    </row>
    <row r="78" spans="1:36" ht="13.5" x14ac:dyDescent="0.25">
      <c r="C78" s="391"/>
      <c r="D78" s="391"/>
      <c r="E78" s="391"/>
      <c r="F78" s="391"/>
      <c r="G78" s="391"/>
      <c r="H78" s="391"/>
      <c r="I78" s="391"/>
      <c r="J78" s="391"/>
      <c r="K78" s="391"/>
      <c r="L78" s="391"/>
      <c r="M78" s="391"/>
      <c r="N78" s="391"/>
      <c r="O78" s="391"/>
      <c r="P78" s="391"/>
      <c r="Q78" s="391"/>
      <c r="R78" s="391"/>
      <c r="S78" s="391"/>
      <c r="T78" s="391"/>
      <c r="U78" s="391"/>
      <c r="V78" s="391"/>
      <c r="W78" s="391"/>
      <c r="X78" s="391"/>
      <c r="Y78" s="391"/>
      <c r="Z78" s="391"/>
      <c r="AA78" s="391"/>
      <c r="AB78" s="391"/>
      <c r="AC78" s="391"/>
      <c r="AD78" s="391"/>
      <c r="AE78" s="391"/>
      <c r="AF78" s="391"/>
      <c r="AG78" s="391"/>
      <c r="AH78" s="392"/>
      <c r="AI78" s="391"/>
      <c r="AJ78" s="391"/>
    </row>
    <row r="79" spans="1:36" ht="13.5" x14ac:dyDescent="0.25">
      <c r="C79" s="391"/>
      <c r="D79" s="391"/>
      <c r="E79" s="391"/>
      <c r="F79" s="391"/>
      <c r="G79" s="391"/>
      <c r="H79" s="391"/>
      <c r="I79" s="391"/>
      <c r="J79" s="391"/>
      <c r="K79" s="391"/>
      <c r="L79" s="391"/>
      <c r="M79" s="391"/>
      <c r="N79" s="391"/>
      <c r="O79" s="391"/>
      <c r="P79" s="391"/>
      <c r="Q79" s="391"/>
      <c r="R79" s="391"/>
      <c r="S79" s="391"/>
      <c r="T79" s="391"/>
      <c r="U79" s="391"/>
      <c r="V79" s="391"/>
      <c r="W79" s="391"/>
      <c r="X79" s="391"/>
      <c r="Y79" s="391"/>
      <c r="Z79" s="391"/>
      <c r="AA79" s="391"/>
      <c r="AB79" s="391"/>
      <c r="AC79" s="391"/>
      <c r="AD79" s="391"/>
      <c r="AE79" s="391"/>
      <c r="AF79" s="391"/>
      <c r="AG79" s="391"/>
      <c r="AH79" s="392"/>
      <c r="AI79" s="391"/>
      <c r="AJ79" s="391"/>
    </row>
    <row r="80" spans="1:36" ht="13.5" x14ac:dyDescent="0.25">
      <c r="A80" s="391"/>
      <c r="B80" s="391"/>
      <c r="C80" s="391"/>
      <c r="D80" s="391"/>
      <c r="E80" s="391"/>
      <c r="F80" s="391"/>
      <c r="G80" s="391"/>
      <c r="H80" s="391"/>
      <c r="I80" s="391"/>
      <c r="J80" s="391"/>
      <c r="K80" s="391"/>
      <c r="L80" s="391"/>
      <c r="M80" s="391"/>
      <c r="N80" s="391"/>
      <c r="O80" s="391"/>
      <c r="P80" s="391"/>
      <c r="Q80" s="391"/>
      <c r="R80" s="391"/>
      <c r="S80" s="391"/>
      <c r="T80" s="391"/>
      <c r="U80" s="391"/>
      <c r="V80" s="391"/>
      <c r="W80" s="391"/>
      <c r="X80" s="391"/>
      <c r="Y80" s="391"/>
      <c r="Z80" s="391"/>
      <c r="AA80" s="391"/>
      <c r="AB80" s="391"/>
      <c r="AC80" s="391"/>
      <c r="AD80" s="391"/>
      <c r="AE80" s="391"/>
      <c r="AF80" s="391"/>
      <c r="AG80" s="391"/>
      <c r="AH80" s="392"/>
      <c r="AI80" s="391"/>
      <c r="AJ80" s="391"/>
    </row>
    <row r="81" spans="1:36" ht="13.5" x14ac:dyDescent="0.25">
      <c r="A81" s="391"/>
      <c r="B81" s="391"/>
      <c r="C81" s="391"/>
      <c r="D81" s="391"/>
      <c r="E81" s="391"/>
      <c r="F81" s="391"/>
      <c r="G81" s="391"/>
      <c r="H81" s="391"/>
      <c r="I81" s="391"/>
      <c r="J81" s="391"/>
      <c r="K81" s="391"/>
      <c r="L81" s="391"/>
      <c r="M81" s="391"/>
      <c r="N81" s="391"/>
      <c r="O81" s="391"/>
      <c r="P81" s="391"/>
      <c r="Q81" s="391"/>
      <c r="R81" s="391"/>
      <c r="S81" s="391"/>
      <c r="T81" s="391"/>
      <c r="U81" s="391"/>
      <c r="V81" s="391"/>
      <c r="W81" s="391"/>
      <c r="X81" s="391"/>
      <c r="Y81" s="391"/>
      <c r="Z81" s="391"/>
      <c r="AA81" s="391"/>
      <c r="AB81" s="391"/>
      <c r="AC81" s="391"/>
      <c r="AD81" s="391"/>
      <c r="AE81" s="391"/>
      <c r="AF81" s="391"/>
      <c r="AG81" s="391"/>
      <c r="AH81" s="392"/>
      <c r="AI81" s="391"/>
      <c r="AJ81" s="391"/>
    </row>
    <row r="82" spans="1:36" ht="13.5" x14ac:dyDescent="0.25">
      <c r="A82" s="391"/>
      <c r="B82" s="391"/>
      <c r="C82" s="391"/>
      <c r="D82" s="391"/>
      <c r="E82" s="391"/>
      <c r="F82" s="391"/>
      <c r="G82" s="391"/>
      <c r="H82" s="391"/>
      <c r="I82" s="391"/>
      <c r="J82" s="391"/>
      <c r="K82" s="391"/>
      <c r="L82" s="391"/>
      <c r="M82" s="391"/>
      <c r="N82" s="391"/>
      <c r="O82" s="391"/>
      <c r="P82" s="391"/>
      <c r="Q82" s="391"/>
      <c r="R82" s="391"/>
      <c r="S82" s="391"/>
      <c r="T82" s="391"/>
      <c r="U82" s="391"/>
      <c r="V82" s="391"/>
      <c r="W82" s="391"/>
      <c r="X82" s="391"/>
      <c r="Y82" s="391"/>
      <c r="Z82" s="391"/>
      <c r="AA82" s="391"/>
      <c r="AB82" s="391"/>
      <c r="AC82" s="391"/>
      <c r="AD82" s="391"/>
      <c r="AE82" s="391"/>
      <c r="AF82" s="391"/>
      <c r="AG82" s="391"/>
      <c r="AH82" s="392"/>
      <c r="AI82" s="391"/>
      <c r="AJ82" s="391"/>
    </row>
    <row r="83" spans="1:36" ht="13.5" x14ac:dyDescent="0.25">
      <c r="A83" s="391"/>
      <c r="B83" s="391"/>
      <c r="C83" s="391"/>
      <c r="D83" s="391"/>
      <c r="E83" s="391"/>
      <c r="F83" s="391"/>
      <c r="G83" s="391"/>
      <c r="H83" s="391"/>
      <c r="I83" s="391"/>
      <c r="J83" s="391"/>
      <c r="K83" s="391"/>
      <c r="L83" s="391"/>
      <c r="M83" s="391"/>
      <c r="N83" s="391"/>
      <c r="O83" s="391"/>
      <c r="P83" s="391"/>
      <c r="Q83" s="391"/>
      <c r="R83" s="391"/>
      <c r="S83" s="391"/>
      <c r="T83" s="391"/>
      <c r="U83" s="391"/>
      <c r="V83" s="391"/>
      <c r="W83" s="391"/>
      <c r="X83" s="391"/>
      <c r="Y83" s="391"/>
      <c r="Z83" s="391"/>
      <c r="AA83" s="391"/>
      <c r="AB83" s="391"/>
      <c r="AC83" s="391"/>
      <c r="AD83" s="391"/>
      <c r="AE83" s="391"/>
      <c r="AF83" s="391"/>
      <c r="AG83" s="391"/>
      <c r="AH83" s="392"/>
      <c r="AI83" s="391"/>
      <c r="AJ83" s="391"/>
    </row>
    <row r="84" spans="1:36" ht="13.5" x14ac:dyDescent="0.25">
      <c r="A84" s="391"/>
      <c r="B84" s="391"/>
      <c r="C84" s="391"/>
      <c r="D84" s="391"/>
      <c r="E84" s="391"/>
      <c r="F84" s="391"/>
      <c r="G84" s="391"/>
      <c r="H84" s="391"/>
      <c r="I84" s="391"/>
      <c r="J84" s="391"/>
      <c r="K84" s="391"/>
      <c r="L84" s="391"/>
      <c r="M84" s="391"/>
      <c r="N84" s="391"/>
      <c r="O84" s="391"/>
      <c r="P84" s="391"/>
      <c r="Q84" s="391"/>
      <c r="R84" s="391"/>
      <c r="S84" s="391"/>
      <c r="T84" s="391"/>
      <c r="U84" s="391"/>
      <c r="V84" s="391"/>
      <c r="W84" s="391"/>
      <c r="X84" s="391"/>
      <c r="Y84" s="391"/>
      <c r="Z84" s="391"/>
      <c r="AA84" s="391"/>
      <c r="AB84" s="391"/>
      <c r="AC84" s="391"/>
      <c r="AD84" s="391"/>
      <c r="AE84" s="391"/>
      <c r="AF84" s="391"/>
      <c r="AG84" s="391"/>
      <c r="AH84" s="392"/>
      <c r="AI84" s="391"/>
      <c r="AJ84" s="391"/>
    </row>
    <row r="85" spans="1:36" ht="13.5" x14ac:dyDescent="0.25">
      <c r="A85" s="391"/>
      <c r="B85" s="391"/>
      <c r="C85" s="391"/>
      <c r="D85" s="391"/>
      <c r="E85" s="391"/>
      <c r="F85" s="391"/>
      <c r="G85" s="391"/>
      <c r="H85" s="391"/>
      <c r="I85" s="391"/>
      <c r="J85" s="391"/>
      <c r="K85" s="391"/>
      <c r="L85" s="391"/>
      <c r="M85" s="391"/>
      <c r="N85" s="391"/>
      <c r="O85" s="391"/>
      <c r="P85" s="391"/>
      <c r="Q85" s="391"/>
      <c r="R85" s="391"/>
      <c r="S85" s="391"/>
      <c r="T85" s="391"/>
      <c r="U85" s="391"/>
      <c r="V85" s="391"/>
      <c r="W85" s="391"/>
      <c r="X85" s="391"/>
      <c r="Y85" s="391"/>
      <c r="Z85" s="391"/>
      <c r="AA85" s="391"/>
      <c r="AB85" s="391"/>
      <c r="AC85" s="391"/>
      <c r="AD85" s="391"/>
      <c r="AE85" s="391"/>
      <c r="AF85" s="391"/>
      <c r="AG85" s="391"/>
      <c r="AH85" s="392"/>
      <c r="AI85" s="391"/>
      <c r="AJ85" s="391"/>
    </row>
    <row r="86" spans="1:36" ht="13.5" x14ac:dyDescent="0.25">
      <c r="A86" s="391"/>
      <c r="B86" s="391"/>
      <c r="C86" s="391"/>
      <c r="D86" s="391"/>
      <c r="E86" s="391"/>
      <c r="F86" s="391"/>
      <c r="G86" s="391"/>
      <c r="H86" s="391"/>
      <c r="I86" s="391"/>
      <c r="J86" s="391"/>
      <c r="K86" s="391"/>
      <c r="L86" s="391"/>
      <c r="M86" s="391"/>
      <c r="N86" s="391"/>
      <c r="O86" s="391"/>
      <c r="P86" s="391"/>
      <c r="Q86" s="391"/>
      <c r="R86" s="391"/>
      <c r="S86" s="391"/>
      <c r="T86" s="391"/>
      <c r="U86" s="391"/>
      <c r="V86" s="391"/>
      <c r="W86" s="391"/>
      <c r="X86" s="391"/>
      <c r="Y86" s="391"/>
      <c r="Z86" s="391"/>
      <c r="AA86" s="391"/>
      <c r="AB86" s="391"/>
      <c r="AC86" s="391"/>
      <c r="AD86" s="391"/>
      <c r="AE86" s="391"/>
      <c r="AF86" s="391"/>
      <c r="AG86" s="391"/>
      <c r="AH86" s="392"/>
      <c r="AI86" s="391"/>
      <c r="AJ86" s="391"/>
    </row>
    <row r="87" spans="1:36" ht="13.5" x14ac:dyDescent="0.25">
      <c r="A87" s="391"/>
      <c r="B87" s="391"/>
      <c r="C87" s="391"/>
      <c r="D87" s="391"/>
      <c r="E87" s="391"/>
      <c r="F87" s="391"/>
      <c r="G87" s="391"/>
      <c r="H87" s="391"/>
      <c r="I87" s="391"/>
      <c r="J87" s="391"/>
      <c r="K87" s="391"/>
      <c r="L87" s="391"/>
      <c r="M87" s="391"/>
      <c r="N87" s="391"/>
      <c r="O87" s="391"/>
      <c r="P87" s="391"/>
      <c r="Q87" s="391"/>
      <c r="R87" s="391"/>
      <c r="S87" s="391"/>
      <c r="T87" s="391"/>
      <c r="U87" s="391"/>
      <c r="V87" s="391"/>
      <c r="W87" s="391"/>
      <c r="X87" s="391"/>
      <c r="Y87" s="391"/>
      <c r="Z87" s="391"/>
      <c r="AA87" s="391"/>
      <c r="AB87" s="391"/>
      <c r="AC87" s="391"/>
      <c r="AD87" s="391"/>
      <c r="AE87" s="391"/>
      <c r="AF87" s="391"/>
      <c r="AG87" s="391"/>
      <c r="AH87" s="392"/>
      <c r="AI87" s="391"/>
      <c r="AJ87" s="391"/>
    </row>
    <row r="88" spans="1:36" ht="13.5" x14ac:dyDescent="0.25">
      <c r="A88" s="391"/>
      <c r="B88" s="391"/>
      <c r="C88" s="391"/>
      <c r="D88" s="391"/>
      <c r="E88" s="391"/>
      <c r="F88" s="391"/>
      <c r="G88" s="391"/>
      <c r="H88" s="391"/>
      <c r="I88" s="391"/>
      <c r="J88" s="391"/>
      <c r="K88" s="391"/>
      <c r="L88" s="391"/>
      <c r="M88" s="391"/>
      <c r="N88" s="391"/>
      <c r="O88" s="391"/>
      <c r="P88" s="391"/>
      <c r="Q88" s="391"/>
      <c r="R88" s="391"/>
      <c r="S88" s="391"/>
      <c r="T88" s="391"/>
      <c r="U88" s="391"/>
      <c r="V88" s="391"/>
      <c r="W88" s="391"/>
      <c r="X88" s="391"/>
      <c r="Y88" s="391"/>
      <c r="Z88" s="391"/>
      <c r="AA88" s="391"/>
      <c r="AB88" s="391"/>
      <c r="AC88" s="391"/>
      <c r="AD88" s="391"/>
      <c r="AE88" s="391"/>
      <c r="AF88" s="391"/>
      <c r="AG88" s="391"/>
      <c r="AH88" s="392"/>
      <c r="AI88" s="391"/>
      <c r="AJ88" s="391"/>
    </row>
    <row r="89" spans="1:36" ht="13.5" x14ac:dyDescent="0.25">
      <c r="A89" s="391"/>
      <c r="B89" s="391"/>
      <c r="C89" s="391"/>
      <c r="D89" s="391"/>
      <c r="E89" s="391"/>
      <c r="F89" s="391"/>
      <c r="G89" s="391"/>
      <c r="H89" s="391"/>
      <c r="I89" s="391"/>
      <c r="J89" s="391"/>
      <c r="K89" s="391"/>
      <c r="L89" s="391"/>
      <c r="M89" s="391"/>
      <c r="N89" s="391"/>
      <c r="O89" s="391"/>
      <c r="P89" s="391"/>
      <c r="Q89" s="391"/>
      <c r="R89" s="391"/>
      <c r="S89" s="391"/>
      <c r="T89" s="391"/>
      <c r="U89" s="391"/>
      <c r="V89" s="391"/>
      <c r="W89" s="391"/>
      <c r="X89" s="391"/>
      <c r="Y89" s="391"/>
      <c r="Z89" s="391"/>
      <c r="AA89" s="391"/>
      <c r="AB89" s="391"/>
      <c r="AC89" s="391"/>
      <c r="AD89" s="391"/>
      <c r="AE89" s="391"/>
      <c r="AF89" s="391"/>
      <c r="AG89" s="391"/>
      <c r="AH89" s="392"/>
      <c r="AI89" s="391"/>
      <c r="AJ89" s="391"/>
    </row>
    <row r="90" spans="1:36" ht="13.5" x14ac:dyDescent="0.25">
      <c r="A90" s="391"/>
      <c r="B90" s="391"/>
      <c r="C90" s="391"/>
      <c r="D90" s="391"/>
      <c r="E90" s="391"/>
      <c r="F90" s="391"/>
      <c r="G90" s="391"/>
      <c r="H90" s="391"/>
      <c r="I90" s="391"/>
      <c r="J90" s="391"/>
      <c r="K90" s="391"/>
      <c r="L90" s="391"/>
      <c r="M90" s="391"/>
      <c r="N90" s="391"/>
      <c r="O90" s="391"/>
      <c r="P90" s="391"/>
      <c r="Q90" s="391"/>
      <c r="R90" s="391"/>
      <c r="S90" s="391"/>
      <c r="T90" s="391"/>
      <c r="U90" s="391"/>
      <c r="V90" s="391"/>
      <c r="W90" s="391"/>
      <c r="X90" s="391"/>
      <c r="Y90" s="391"/>
      <c r="Z90" s="391"/>
      <c r="AA90" s="391"/>
      <c r="AB90" s="391"/>
      <c r="AC90" s="391"/>
      <c r="AD90" s="391"/>
      <c r="AE90" s="391"/>
      <c r="AF90" s="391"/>
      <c r="AG90" s="391"/>
      <c r="AH90" s="392"/>
      <c r="AI90" s="391"/>
      <c r="AJ90" s="391"/>
    </row>
    <row r="91" spans="1:36" ht="13.5" x14ac:dyDescent="0.25">
      <c r="A91" s="391"/>
      <c r="B91" s="391"/>
      <c r="C91" s="391"/>
      <c r="D91" s="391"/>
      <c r="E91" s="391"/>
      <c r="F91" s="391"/>
      <c r="G91" s="391"/>
      <c r="H91" s="391"/>
      <c r="I91" s="391"/>
      <c r="J91" s="391"/>
      <c r="K91" s="391"/>
      <c r="L91" s="391"/>
      <c r="M91" s="391"/>
      <c r="N91" s="391"/>
      <c r="O91" s="391"/>
      <c r="P91" s="391"/>
      <c r="Q91" s="391"/>
      <c r="R91" s="391"/>
      <c r="S91" s="391"/>
      <c r="T91" s="391"/>
      <c r="U91" s="391"/>
      <c r="V91" s="391"/>
      <c r="W91" s="391"/>
      <c r="X91" s="391"/>
      <c r="Y91" s="391"/>
      <c r="Z91" s="391"/>
      <c r="AA91" s="391"/>
      <c r="AB91" s="391"/>
      <c r="AC91" s="391"/>
      <c r="AD91" s="391"/>
      <c r="AE91" s="391"/>
      <c r="AF91" s="391"/>
      <c r="AG91" s="391"/>
      <c r="AH91" s="392"/>
      <c r="AI91" s="391"/>
      <c r="AJ91" s="391"/>
    </row>
    <row r="92" spans="1:36" ht="13.5" x14ac:dyDescent="0.25">
      <c r="A92" s="391"/>
      <c r="B92" s="391"/>
      <c r="C92" s="391"/>
      <c r="D92" s="391"/>
      <c r="E92" s="391"/>
      <c r="F92" s="391"/>
      <c r="G92" s="391"/>
      <c r="H92" s="391"/>
      <c r="I92" s="391"/>
      <c r="J92" s="391"/>
      <c r="K92" s="391"/>
      <c r="L92" s="391"/>
      <c r="M92" s="391"/>
      <c r="N92" s="391"/>
      <c r="O92" s="391"/>
      <c r="P92" s="391"/>
      <c r="Q92" s="391"/>
      <c r="R92" s="391"/>
      <c r="S92" s="391"/>
      <c r="T92" s="391"/>
      <c r="U92" s="391"/>
      <c r="V92" s="391"/>
      <c r="W92" s="391"/>
      <c r="X92" s="391"/>
      <c r="Y92" s="391"/>
      <c r="Z92" s="391"/>
      <c r="AA92" s="391"/>
      <c r="AB92" s="391"/>
      <c r="AC92" s="391"/>
      <c r="AD92" s="391"/>
      <c r="AE92" s="391"/>
      <c r="AF92" s="391"/>
      <c r="AG92" s="391"/>
      <c r="AH92" s="392"/>
      <c r="AI92" s="391"/>
      <c r="AJ92" s="391"/>
    </row>
    <row r="93" spans="1:36" ht="13.5" x14ac:dyDescent="0.25">
      <c r="A93" s="391"/>
      <c r="B93" s="391"/>
      <c r="C93" s="391"/>
      <c r="D93" s="391"/>
      <c r="E93" s="391"/>
      <c r="F93" s="391"/>
      <c r="G93" s="391"/>
      <c r="H93" s="391"/>
      <c r="I93" s="391"/>
      <c r="J93" s="391"/>
      <c r="K93" s="391"/>
      <c r="L93" s="391"/>
      <c r="M93" s="391"/>
      <c r="N93" s="391"/>
      <c r="O93" s="391"/>
      <c r="P93" s="391"/>
      <c r="Q93" s="391"/>
      <c r="R93" s="391"/>
      <c r="S93" s="391"/>
      <c r="T93" s="391"/>
      <c r="U93" s="391"/>
      <c r="V93" s="391"/>
      <c r="W93" s="391"/>
      <c r="X93" s="391"/>
      <c r="Y93" s="391"/>
      <c r="Z93" s="391"/>
      <c r="AA93" s="391"/>
      <c r="AB93" s="391"/>
      <c r="AC93" s="391"/>
      <c r="AD93" s="391"/>
      <c r="AE93" s="391"/>
      <c r="AF93" s="391"/>
      <c r="AG93" s="391"/>
      <c r="AH93" s="392"/>
      <c r="AI93" s="391"/>
      <c r="AJ93" s="391"/>
    </row>
    <row r="94" spans="1:36" ht="13.5" x14ac:dyDescent="0.25">
      <c r="A94" s="391"/>
      <c r="B94" s="391"/>
      <c r="C94" s="391"/>
      <c r="D94" s="391"/>
      <c r="E94" s="391"/>
      <c r="F94" s="391"/>
      <c r="G94" s="391"/>
      <c r="H94" s="391"/>
      <c r="I94" s="391"/>
      <c r="J94" s="391"/>
      <c r="K94" s="391"/>
      <c r="L94" s="391"/>
      <c r="M94" s="391"/>
      <c r="N94" s="391"/>
      <c r="O94" s="391"/>
      <c r="P94" s="391"/>
      <c r="Q94" s="391"/>
      <c r="R94" s="391"/>
      <c r="S94" s="391"/>
      <c r="T94" s="391"/>
      <c r="U94" s="391"/>
      <c r="V94" s="391"/>
      <c r="W94" s="391"/>
      <c r="X94" s="391"/>
      <c r="Y94" s="391"/>
      <c r="Z94" s="391"/>
      <c r="AA94" s="391"/>
      <c r="AB94" s="391"/>
      <c r="AC94" s="391"/>
      <c r="AD94" s="391"/>
      <c r="AE94" s="391"/>
      <c r="AF94" s="391"/>
      <c r="AG94" s="391"/>
      <c r="AH94" s="392"/>
      <c r="AI94" s="391"/>
      <c r="AJ94" s="391"/>
    </row>
    <row r="95" spans="1:36" ht="13.5" x14ac:dyDescent="0.25">
      <c r="A95" s="391"/>
      <c r="B95" s="391"/>
      <c r="C95" s="391"/>
      <c r="D95" s="391"/>
      <c r="E95" s="391"/>
      <c r="F95" s="391"/>
      <c r="G95" s="391"/>
      <c r="H95" s="391"/>
      <c r="I95" s="391"/>
      <c r="J95" s="391"/>
      <c r="K95" s="391"/>
      <c r="L95" s="391"/>
      <c r="M95" s="391"/>
      <c r="N95" s="391"/>
      <c r="O95" s="391"/>
      <c r="P95" s="391"/>
      <c r="Q95" s="391"/>
      <c r="R95" s="391"/>
      <c r="S95" s="391"/>
      <c r="T95" s="391"/>
      <c r="U95" s="391"/>
      <c r="V95" s="391"/>
      <c r="W95" s="391"/>
      <c r="X95" s="391"/>
      <c r="Y95" s="391"/>
      <c r="Z95" s="391"/>
      <c r="AA95" s="391"/>
      <c r="AB95" s="391"/>
      <c r="AC95" s="391"/>
      <c r="AD95" s="391"/>
      <c r="AE95" s="391"/>
      <c r="AF95" s="391"/>
      <c r="AG95" s="391"/>
      <c r="AH95" s="392"/>
      <c r="AI95" s="391"/>
      <c r="AJ95" s="391"/>
    </row>
    <row r="96" spans="1:36" ht="13.5" x14ac:dyDescent="0.25">
      <c r="A96" s="391"/>
      <c r="B96" s="391"/>
      <c r="C96" s="391"/>
      <c r="D96" s="391"/>
      <c r="E96" s="391"/>
      <c r="F96" s="391"/>
      <c r="G96" s="391"/>
      <c r="H96" s="391"/>
      <c r="I96" s="391"/>
      <c r="J96" s="391"/>
      <c r="K96" s="391"/>
      <c r="L96" s="391"/>
      <c r="M96" s="391"/>
      <c r="N96" s="391"/>
      <c r="O96" s="391"/>
      <c r="P96" s="391"/>
      <c r="Q96" s="391"/>
      <c r="R96" s="391"/>
      <c r="S96" s="391"/>
      <c r="T96" s="391"/>
      <c r="U96" s="391"/>
      <c r="V96" s="391"/>
      <c r="W96" s="391"/>
      <c r="X96" s="391"/>
      <c r="Y96" s="391"/>
      <c r="Z96" s="391"/>
      <c r="AA96" s="391"/>
      <c r="AB96" s="391"/>
      <c r="AC96" s="391"/>
      <c r="AD96" s="391"/>
      <c r="AE96" s="391"/>
      <c r="AF96" s="391"/>
      <c r="AG96" s="391"/>
      <c r="AH96" s="392"/>
      <c r="AI96" s="391"/>
      <c r="AJ96" s="391"/>
    </row>
    <row r="97" spans="1:36" ht="13.5" x14ac:dyDescent="0.25">
      <c r="A97" s="391"/>
      <c r="B97" s="391"/>
      <c r="C97" s="391"/>
      <c r="D97" s="391"/>
      <c r="E97" s="391"/>
      <c r="F97" s="391"/>
      <c r="G97" s="391"/>
      <c r="H97" s="391"/>
      <c r="I97" s="391"/>
      <c r="J97" s="391"/>
      <c r="K97" s="391"/>
      <c r="L97" s="391"/>
      <c r="M97" s="391"/>
      <c r="N97" s="391"/>
      <c r="O97" s="391"/>
      <c r="P97" s="391"/>
      <c r="Q97" s="391"/>
      <c r="R97" s="391"/>
      <c r="S97" s="391"/>
      <c r="T97" s="391"/>
      <c r="U97" s="391"/>
      <c r="V97" s="391"/>
      <c r="W97" s="391"/>
      <c r="X97" s="391"/>
      <c r="Y97" s="391"/>
      <c r="Z97" s="391"/>
      <c r="AA97" s="391"/>
      <c r="AB97" s="391"/>
      <c r="AC97" s="391"/>
      <c r="AD97" s="391"/>
      <c r="AE97" s="391"/>
      <c r="AF97" s="391"/>
      <c r="AG97" s="391"/>
      <c r="AH97" s="392"/>
      <c r="AI97" s="391"/>
      <c r="AJ97" s="391"/>
    </row>
    <row r="98" spans="1:36" ht="13.5" x14ac:dyDescent="0.25">
      <c r="A98" s="391"/>
      <c r="B98" s="391"/>
      <c r="C98" s="391"/>
      <c r="D98" s="391"/>
      <c r="E98" s="391"/>
      <c r="F98" s="391"/>
      <c r="G98" s="391"/>
      <c r="H98" s="391"/>
      <c r="I98" s="391"/>
      <c r="J98" s="391"/>
      <c r="K98" s="391"/>
      <c r="L98" s="391"/>
      <c r="M98" s="391"/>
      <c r="N98" s="391"/>
      <c r="O98" s="391"/>
      <c r="P98" s="391"/>
      <c r="Q98" s="391"/>
      <c r="R98" s="391"/>
      <c r="S98" s="391"/>
      <c r="T98" s="391"/>
      <c r="U98" s="391"/>
      <c r="V98" s="391"/>
      <c r="W98" s="391"/>
      <c r="X98" s="391"/>
      <c r="Y98" s="391"/>
      <c r="Z98" s="391"/>
      <c r="AA98" s="391"/>
      <c r="AB98" s="391"/>
      <c r="AC98" s="391"/>
      <c r="AD98" s="391"/>
      <c r="AE98" s="391"/>
      <c r="AF98" s="391"/>
      <c r="AG98" s="391"/>
      <c r="AH98" s="392"/>
      <c r="AI98" s="391"/>
      <c r="AJ98" s="391"/>
    </row>
    <row r="99" spans="1:36" ht="13.5" x14ac:dyDescent="0.25">
      <c r="A99" s="391"/>
      <c r="B99" s="391"/>
      <c r="C99" s="391"/>
      <c r="D99" s="391"/>
      <c r="E99" s="391"/>
      <c r="F99" s="391"/>
      <c r="G99" s="391"/>
      <c r="H99" s="391"/>
      <c r="I99" s="391"/>
      <c r="J99" s="391"/>
      <c r="K99" s="391"/>
      <c r="L99" s="391"/>
      <c r="M99" s="391"/>
      <c r="N99" s="391"/>
      <c r="O99" s="391"/>
      <c r="P99" s="391"/>
      <c r="Q99" s="391"/>
      <c r="R99" s="391"/>
      <c r="S99" s="391"/>
      <c r="T99" s="391"/>
      <c r="U99" s="391"/>
      <c r="V99" s="391"/>
      <c r="W99" s="391"/>
      <c r="X99" s="391"/>
      <c r="Y99" s="391"/>
      <c r="Z99" s="391"/>
      <c r="AA99" s="391"/>
      <c r="AB99" s="391"/>
      <c r="AC99" s="391"/>
      <c r="AD99" s="391"/>
      <c r="AE99" s="391"/>
      <c r="AF99" s="391"/>
      <c r="AG99" s="391"/>
      <c r="AH99" s="392"/>
      <c r="AI99" s="391"/>
      <c r="AJ99" s="391"/>
    </row>
    <row r="100" spans="1:36" ht="13.5" x14ac:dyDescent="0.25">
      <c r="A100" s="391"/>
      <c r="B100" s="391"/>
      <c r="C100" s="391"/>
      <c r="D100" s="391"/>
      <c r="E100" s="391"/>
      <c r="F100" s="391"/>
      <c r="G100" s="391"/>
      <c r="H100" s="391"/>
      <c r="I100" s="391"/>
      <c r="J100" s="391"/>
      <c r="K100" s="391"/>
      <c r="L100" s="391"/>
      <c r="M100" s="391"/>
      <c r="N100" s="391"/>
      <c r="O100" s="391"/>
      <c r="P100" s="391"/>
      <c r="Q100" s="391"/>
      <c r="R100" s="391"/>
      <c r="S100" s="391"/>
      <c r="T100" s="391"/>
      <c r="U100" s="391"/>
      <c r="V100" s="391"/>
      <c r="W100" s="391"/>
      <c r="X100" s="391"/>
      <c r="Y100" s="391"/>
      <c r="Z100" s="391"/>
      <c r="AA100" s="391"/>
      <c r="AB100" s="391"/>
      <c r="AC100" s="391"/>
      <c r="AD100" s="391"/>
      <c r="AE100" s="391"/>
      <c r="AF100" s="391"/>
      <c r="AG100" s="391"/>
      <c r="AH100" s="392"/>
      <c r="AI100" s="391"/>
      <c r="AJ100" s="391"/>
    </row>
    <row r="101" spans="1:36" ht="13.5" x14ac:dyDescent="0.25">
      <c r="A101" s="391"/>
      <c r="B101" s="391"/>
      <c r="C101" s="391"/>
      <c r="D101" s="391"/>
      <c r="E101" s="391"/>
      <c r="F101" s="391"/>
      <c r="G101" s="391"/>
      <c r="H101" s="391"/>
      <c r="I101" s="391"/>
      <c r="J101" s="391"/>
      <c r="K101" s="391"/>
      <c r="L101" s="391"/>
      <c r="M101" s="391"/>
      <c r="N101" s="391"/>
      <c r="O101" s="391"/>
      <c r="P101" s="391"/>
      <c r="Q101" s="391"/>
      <c r="R101" s="391"/>
      <c r="S101" s="391"/>
      <c r="T101" s="391"/>
      <c r="U101" s="391"/>
      <c r="V101" s="391"/>
      <c r="W101" s="391"/>
      <c r="X101" s="391"/>
      <c r="Y101" s="391"/>
      <c r="Z101" s="391"/>
      <c r="AA101" s="391"/>
      <c r="AB101" s="391"/>
      <c r="AC101" s="391"/>
      <c r="AD101" s="391"/>
      <c r="AE101" s="391"/>
      <c r="AF101" s="391"/>
      <c r="AG101" s="391"/>
      <c r="AH101" s="392"/>
      <c r="AI101" s="391"/>
      <c r="AJ101" s="391"/>
    </row>
    <row r="102" spans="1:36" ht="13.5" x14ac:dyDescent="0.25">
      <c r="A102" s="391"/>
      <c r="B102" s="391"/>
      <c r="C102" s="391"/>
      <c r="D102" s="391"/>
      <c r="E102" s="391"/>
      <c r="F102" s="391"/>
      <c r="G102" s="391"/>
      <c r="H102" s="391"/>
      <c r="I102" s="391"/>
      <c r="J102" s="391"/>
      <c r="K102" s="391"/>
      <c r="L102" s="391"/>
      <c r="M102" s="391"/>
      <c r="N102" s="391"/>
      <c r="O102" s="391"/>
      <c r="P102" s="391"/>
      <c r="Q102" s="391"/>
      <c r="R102" s="391"/>
      <c r="S102" s="391"/>
      <c r="T102" s="391"/>
      <c r="U102" s="391"/>
      <c r="V102" s="391"/>
      <c r="W102" s="391"/>
      <c r="X102" s="391"/>
      <c r="Y102" s="391"/>
      <c r="Z102" s="391"/>
      <c r="AA102" s="391"/>
      <c r="AB102" s="391"/>
      <c r="AC102" s="391"/>
      <c r="AD102" s="391"/>
      <c r="AE102" s="391"/>
      <c r="AF102" s="391"/>
      <c r="AG102" s="391"/>
      <c r="AH102" s="392"/>
      <c r="AI102" s="391"/>
      <c r="AJ102" s="391"/>
    </row>
    <row r="103" spans="1:36" ht="13.5" x14ac:dyDescent="0.25">
      <c r="A103" s="391"/>
      <c r="B103" s="391"/>
      <c r="C103" s="391"/>
      <c r="D103" s="391"/>
      <c r="E103" s="391"/>
      <c r="F103" s="391"/>
      <c r="G103" s="391"/>
      <c r="H103" s="391"/>
      <c r="I103" s="391"/>
      <c r="J103" s="391"/>
      <c r="K103" s="391"/>
      <c r="L103" s="391"/>
      <c r="M103" s="391"/>
      <c r="N103" s="391"/>
      <c r="O103" s="391"/>
      <c r="P103" s="391"/>
      <c r="Q103" s="391"/>
      <c r="R103" s="391"/>
      <c r="S103" s="391"/>
      <c r="T103" s="391"/>
      <c r="U103" s="391"/>
      <c r="V103" s="391"/>
      <c r="W103" s="391"/>
      <c r="X103" s="391"/>
      <c r="Y103" s="391"/>
      <c r="Z103" s="391"/>
      <c r="AA103" s="391"/>
      <c r="AB103" s="391"/>
      <c r="AC103" s="391"/>
      <c r="AD103" s="391"/>
      <c r="AE103" s="391"/>
      <c r="AF103" s="391"/>
      <c r="AG103" s="391"/>
      <c r="AH103" s="392"/>
      <c r="AI103" s="391"/>
      <c r="AJ103" s="391"/>
    </row>
    <row r="104" spans="1:36" ht="13.5" x14ac:dyDescent="0.25">
      <c r="A104" s="391"/>
      <c r="B104" s="391"/>
      <c r="C104" s="391"/>
      <c r="D104" s="391"/>
      <c r="E104" s="391"/>
      <c r="F104" s="391"/>
      <c r="G104" s="391"/>
      <c r="H104" s="391"/>
      <c r="I104" s="391"/>
      <c r="J104" s="391"/>
      <c r="K104" s="391"/>
      <c r="L104" s="391"/>
      <c r="M104" s="391"/>
      <c r="N104" s="391"/>
      <c r="O104" s="391"/>
      <c r="P104" s="391"/>
      <c r="Q104" s="391"/>
      <c r="R104" s="391"/>
      <c r="S104" s="391"/>
      <c r="T104" s="391"/>
      <c r="U104" s="391"/>
      <c r="V104" s="391"/>
      <c r="W104" s="391"/>
      <c r="X104" s="391"/>
      <c r="Y104" s="391"/>
      <c r="Z104" s="391"/>
      <c r="AA104" s="391"/>
      <c r="AB104" s="391"/>
      <c r="AC104" s="391"/>
      <c r="AD104" s="391"/>
      <c r="AE104" s="391"/>
      <c r="AF104" s="391"/>
      <c r="AG104" s="391"/>
      <c r="AH104" s="392"/>
      <c r="AI104" s="391"/>
      <c r="AJ104" s="391"/>
    </row>
    <row r="105" spans="1:36" ht="13.5" x14ac:dyDescent="0.25">
      <c r="A105" s="391"/>
      <c r="B105" s="391"/>
      <c r="C105" s="391"/>
      <c r="D105" s="391"/>
      <c r="E105" s="391"/>
      <c r="F105" s="391"/>
      <c r="G105" s="391"/>
      <c r="H105" s="391"/>
      <c r="I105" s="391"/>
      <c r="J105" s="391"/>
      <c r="K105" s="391"/>
      <c r="L105" s="391"/>
      <c r="M105" s="391"/>
      <c r="N105" s="391"/>
      <c r="O105" s="391"/>
      <c r="P105" s="391"/>
      <c r="Q105" s="391"/>
      <c r="R105" s="391"/>
      <c r="S105" s="391"/>
      <c r="T105" s="391"/>
      <c r="U105" s="391"/>
      <c r="V105" s="391"/>
      <c r="W105" s="391"/>
      <c r="X105" s="391"/>
      <c r="Y105" s="391"/>
      <c r="Z105" s="391"/>
      <c r="AA105" s="391"/>
      <c r="AB105" s="391"/>
      <c r="AC105" s="391"/>
      <c r="AD105" s="391"/>
      <c r="AE105" s="391"/>
      <c r="AF105" s="391"/>
      <c r="AG105" s="391"/>
      <c r="AH105" s="392"/>
      <c r="AI105" s="391"/>
      <c r="AJ105" s="391"/>
    </row>
    <row r="106" spans="1:36" ht="13.5" x14ac:dyDescent="0.25">
      <c r="A106" s="391"/>
      <c r="B106" s="391"/>
      <c r="C106" s="391"/>
      <c r="D106" s="391"/>
      <c r="E106" s="391"/>
      <c r="F106" s="391"/>
      <c r="G106" s="391"/>
      <c r="H106" s="391"/>
      <c r="I106" s="391"/>
      <c r="J106" s="391"/>
      <c r="K106" s="391"/>
      <c r="L106" s="391"/>
      <c r="M106" s="391"/>
      <c r="N106" s="391"/>
      <c r="O106" s="391"/>
      <c r="P106" s="391"/>
      <c r="Q106" s="391"/>
      <c r="R106" s="391"/>
      <c r="S106" s="391"/>
      <c r="T106" s="391"/>
      <c r="U106" s="391"/>
      <c r="V106" s="391"/>
      <c r="W106" s="391"/>
      <c r="X106" s="391"/>
      <c r="Y106" s="391"/>
      <c r="Z106" s="391"/>
      <c r="AA106" s="391"/>
      <c r="AB106" s="391"/>
      <c r="AC106" s="391"/>
      <c r="AD106" s="391"/>
      <c r="AE106" s="391"/>
      <c r="AF106" s="391"/>
      <c r="AG106" s="391"/>
      <c r="AH106" s="392"/>
      <c r="AI106" s="391"/>
      <c r="AJ106" s="391"/>
    </row>
    <row r="107" spans="1:36" ht="13.5" x14ac:dyDescent="0.25">
      <c r="A107" s="391"/>
      <c r="B107" s="391"/>
      <c r="C107" s="391"/>
      <c r="D107" s="391"/>
      <c r="E107" s="391"/>
      <c r="F107" s="391"/>
      <c r="G107" s="391"/>
      <c r="H107" s="391"/>
      <c r="I107" s="391"/>
      <c r="J107" s="391"/>
      <c r="K107" s="391"/>
      <c r="L107" s="391"/>
      <c r="M107" s="391"/>
      <c r="N107" s="391"/>
      <c r="O107" s="391"/>
      <c r="P107" s="391"/>
      <c r="Q107" s="391"/>
      <c r="R107" s="391"/>
      <c r="S107" s="391"/>
      <c r="T107" s="391"/>
      <c r="U107" s="391"/>
      <c r="V107" s="391"/>
      <c r="W107" s="391"/>
      <c r="X107" s="391"/>
      <c r="Y107" s="391"/>
      <c r="Z107" s="391"/>
      <c r="AA107" s="391"/>
      <c r="AB107" s="391"/>
      <c r="AC107" s="391"/>
      <c r="AD107" s="391"/>
      <c r="AE107" s="391"/>
      <c r="AF107" s="391"/>
      <c r="AG107" s="391"/>
      <c r="AH107" s="392"/>
      <c r="AI107" s="391"/>
      <c r="AJ107" s="391"/>
    </row>
    <row r="108" spans="1:36" ht="13.5" x14ac:dyDescent="0.25">
      <c r="A108" s="391"/>
      <c r="B108" s="391"/>
      <c r="C108" s="391"/>
      <c r="D108" s="391"/>
      <c r="E108" s="391"/>
      <c r="F108" s="391"/>
      <c r="G108" s="391"/>
      <c r="H108" s="391"/>
      <c r="I108" s="391"/>
      <c r="J108" s="391"/>
      <c r="K108" s="391"/>
      <c r="L108" s="391"/>
      <c r="M108" s="391"/>
      <c r="N108" s="391"/>
      <c r="O108" s="391"/>
      <c r="P108" s="391"/>
      <c r="Q108" s="391"/>
      <c r="R108" s="391"/>
      <c r="S108" s="391"/>
      <c r="T108" s="391"/>
      <c r="U108" s="391"/>
      <c r="V108" s="391"/>
      <c r="W108" s="391"/>
      <c r="X108" s="391"/>
      <c r="Y108" s="391"/>
      <c r="Z108" s="391"/>
      <c r="AA108" s="391"/>
      <c r="AB108" s="391"/>
      <c r="AC108" s="391"/>
      <c r="AD108" s="391"/>
      <c r="AE108" s="391"/>
      <c r="AF108" s="391"/>
      <c r="AG108" s="391"/>
      <c r="AH108" s="392"/>
      <c r="AI108" s="391"/>
      <c r="AJ108" s="391"/>
    </row>
    <row r="109" spans="1:36" ht="13.5" x14ac:dyDescent="0.25">
      <c r="A109" s="391"/>
      <c r="B109" s="391"/>
      <c r="C109" s="391"/>
      <c r="D109" s="391"/>
      <c r="E109" s="391"/>
      <c r="F109" s="391"/>
      <c r="G109" s="391"/>
      <c r="H109" s="391"/>
      <c r="I109" s="391"/>
      <c r="J109" s="391"/>
      <c r="K109" s="391"/>
      <c r="L109" s="391"/>
      <c r="M109" s="391"/>
      <c r="N109" s="391"/>
      <c r="O109" s="391"/>
      <c r="P109" s="391"/>
      <c r="Q109" s="391"/>
      <c r="R109" s="391"/>
      <c r="S109" s="391"/>
      <c r="T109" s="391"/>
      <c r="U109" s="391"/>
      <c r="V109" s="391"/>
      <c r="W109" s="391"/>
      <c r="X109" s="391"/>
      <c r="Y109" s="391"/>
      <c r="Z109" s="391"/>
      <c r="AA109" s="391"/>
      <c r="AB109" s="391"/>
      <c r="AC109" s="391"/>
      <c r="AD109" s="391"/>
      <c r="AE109" s="391"/>
      <c r="AF109" s="391"/>
      <c r="AG109" s="391"/>
      <c r="AH109" s="392"/>
      <c r="AI109" s="391"/>
      <c r="AJ109" s="391"/>
    </row>
    <row r="110" spans="1:36" ht="13.5" x14ac:dyDescent="0.25">
      <c r="A110" s="391"/>
      <c r="B110" s="391"/>
      <c r="C110" s="391"/>
      <c r="D110" s="391"/>
      <c r="E110" s="391"/>
      <c r="F110" s="391"/>
      <c r="G110" s="391"/>
      <c r="H110" s="391"/>
      <c r="I110" s="391"/>
      <c r="J110" s="391"/>
      <c r="K110" s="391"/>
      <c r="L110" s="391"/>
      <c r="M110" s="391"/>
      <c r="N110" s="391"/>
      <c r="O110" s="391"/>
      <c r="P110" s="391"/>
      <c r="Q110" s="391"/>
      <c r="R110" s="391"/>
      <c r="S110" s="391"/>
      <c r="T110" s="391"/>
      <c r="U110" s="391"/>
      <c r="V110" s="391"/>
      <c r="W110" s="391"/>
      <c r="X110" s="391"/>
      <c r="Y110" s="391"/>
      <c r="Z110" s="391"/>
      <c r="AA110" s="391"/>
      <c r="AB110" s="391"/>
      <c r="AC110" s="391"/>
      <c r="AD110" s="391"/>
      <c r="AE110" s="391"/>
      <c r="AF110" s="391"/>
      <c r="AG110" s="391"/>
      <c r="AH110" s="392"/>
      <c r="AI110" s="391"/>
      <c r="AJ110" s="391"/>
    </row>
    <row r="111" spans="1:36" ht="13.5" x14ac:dyDescent="0.25">
      <c r="A111" s="391"/>
      <c r="B111" s="391"/>
      <c r="C111" s="391"/>
      <c r="D111" s="391"/>
      <c r="E111" s="391"/>
      <c r="F111" s="391"/>
      <c r="G111" s="391"/>
      <c r="H111" s="391"/>
      <c r="I111" s="391"/>
      <c r="J111" s="391"/>
      <c r="K111" s="391"/>
      <c r="L111" s="391"/>
      <c r="M111" s="391"/>
      <c r="N111" s="391"/>
      <c r="O111" s="391"/>
      <c r="P111" s="391"/>
      <c r="Q111" s="391"/>
      <c r="R111" s="391"/>
      <c r="S111" s="391"/>
      <c r="T111" s="391"/>
      <c r="U111" s="391"/>
      <c r="V111" s="391"/>
      <c r="W111" s="391"/>
      <c r="X111" s="391"/>
      <c r="Y111" s="391"/>
      <c r="Z111" s="391"/>
      <c r="AA111" s="391"/>
      <c r="AB111" s="391"/>
      <c r="AC111" s="391"/>
      <c r="AD111" s="391"/>
      <c r="AE111" s="391"/>
      <c r="AF111" s="391"/>
      <c r="AG111" s="391"/>
      <c r="AH111" s="392"/>
      <c r="AI111" s="391"/>
      <c r="AJ111" s="391"/>
    </row>
    <row r="112" spans="1:36" ht="13.5" x14ac:dyDescent="0.25">
      <c r="A112" s="391"/>
      <c r="B112" s="391"/>
      <c r="C112" s="391"/>
      <c r="D112" s="391"/>
      <c r="E112" s="391"/>
      <c r="F112" s="391"/>
      <c r="G112" s="391"/>
      <c r="H112" s="391"/>
      <c r="I112" s="391"/>
      <c r="J112" s="391"/>
      <c r="K112" s="391"/>
      <c r="L112" s="391"/>
      <c r="M112" s="391"/>
      <c r="N112" s="391"/>
      <c r="O112" s="391"/>
      <c r="P112" s="391"/>
      <c r="Q112" s="391"/>
      <c r="R112" s="391"/>
      <c r="S112" s="391"/>
      <c r="T112" s="391"/>
      <c r="U112" s="391"/>
      <c r="V112" s="391"/>
      <c r="W112" s="391"/>
      <c r="X112" s="391"/>
      <c r="Y112" s="391"/>
      <c r="Z112" s="391"/>
      <c r="AA112" s="391"/>
      <c r="AB112" s="391"/>
      <c r="AC112" s="391"/>
      <c r="AD112" s="391"/>
      <c r="AE112" s="391"/>
      <c r="AF112" s="391"/>
      <c r="AG112" s="391"/>
      <c r="AH112" s="392"/>
      <c r="AI112" s="391"/>
      <c r="AJ112" s="391"/>
    </row>
    <row r="113" spans="1:36" ht="13.5" x14ac:dyDescent="0.25">
      <c r="A113" s="391"/>
      <c r="B113" s="391"/>
      <c r="C113" s="391"/>
      <c r="D113" s="391"/>
      <c r="E113" s="391"/>
      <c r="F113" s="391"/>
      <c r="G113" s="391"/>
      <c r="H113" s="391"/>
      <c r="I113" s="391"/>
      <c r="J113" s="391"/>
      <c r="K113" s="391"/>
      <c r="L113" s="391"/>
      <c r="M113" s="391"/>
      <c r="N113" s="391"/>
      <c r="O113" s="391"/>
      <c r="P113" s="391"/>
      <c r="Q113" s="391"/>
      <c r="R113" s="391"/>
      <c r="S113" s="391"/>
      <c r="T113" s="391"/>
      <c r="U113" s="391"/>
      <c r="V113" s="391"/>
      <c r="W113" s="391"/>
      <c r="X113" s="391"/>
      <c r="Y113" s="391"/>
      <c r="Z113" s="391"/>
      <c r="AA113" s="391"/>
      <c r="AB113" s="391"/>
      <c r="AC113" s="391"/>
      <c r="AD113" s="391"/>
      <c r="AE113" s="391"/>
      <c r="AF113" s="391"/>
      <c r="AG113" s="391"/>
      <c r="AH113" s="392"/>
      <c r="AI113" s="391"/>
      <c r="AJ113" s="391"/>
    </row>
    <row r="114" spans="1:36" ht="13.5" x14ac:dyDescent="0.25">
      <c r="A114" s="391"/>
      <c r="B114" s="391"/>
      <c r="C114" s="391"/>
      <c r="D114" s="391"/>
      <c r="E114" s="391"/>
      <c r="F114" s="391"/>
      <c r="G114" s="391"/>
      <c r="H114" s="391"/>
      <c r="I114" s="391"/>
      <c r="J114" s="391"/>
      <c r="K114" s="391"/>
      <c r="L114" s="391"/>
      <c r="M114" s="391"/>
      <c r="N114" s="391"/>
      <c r="O114" s="391"/>
      <c r="P114" s="391"/>
      <c r="Q114" s="391"/>
      <c r="R114" s="391"/>
      <c r="S114" s="391"/>
      <c r="T114" s="391"/>
      <c r="U114" s="391"/>
      <c r="V114" s="391"/>
      <c r="W114" s="391"/>
      <c r="X114" s="391"/>
      <c r="Y114" s="391"/>
      <c r="Z114" s="391"/>
      <c r="AA114" s="391"/>
      <c r="AB114" s="391"/>
      <c r="AC114" s="391"/>
      <c r="AD114" s="391"/>
      <c r="AE114" s="391"/>
      <c r="AF114" s="391"/>
      <c r="AG114" s="391"/>
      <c r="AH114" s="392"/>
      <c r="AI114" s="391"/>
      <c r="AJ114" s="391"/>
    </row>
    <row r="115" spans="1:36" ht="13.5" x14ac:dyDescent="0.25">
      <c r="A115" s="391"/>
      <c r="B115" s="391"/>
      <c r="C115" s="391"/>
      <c r="D115" s="391"/>
      <c r="E115" s="391"/>
      <c r="F115" s="391"/>
      <c r="G115" s="391"/>
      <c r="H115" s="391"/>
      <c r="I115" s="391"/>
      <c r="J115" s="391"/>
      <c r="K115" s="391"/>
      <c r="L115" s="391"/>
      <c r="M115" s="391"/>
      <c r="N115" s="391"/>
      <c r="O115" s="391"/>
      <c r="P115" s="391"/>
      <c r="Q115" s="391"/>
      <c r="R115" s="391"/>
      <c r="S115" s="391"/>
      <c r="T115" s="391"/>
      <c r="U115" s="391"/>
      <c r="V115" s="391"/>
      <c r="W115" s="391"/>
      <c r="X115" s="391"/>
      <c r="Y115" s="391"/>
      <c r="Z115" s="391"/>
      <c r="AA115" s="391"/>
      <c r="AB115" s="391"/>
      <c r="AC115" s="391"/>
      <c r="AD115" s="391"/>
      <c r="AE115" s="391"/>
      <c r="AF115" s="391"/>
      <c r="AG115" s="391"/>
      <c r="AH115" s="392"/>
      <c r="AI115" s="391"/>
      <c r="AJ115" s="391"/>
    </row>
    <row r="116" spans="1:36" ht="13.5" x14ac:dyDescent="0.25">
      <c r="A116" s="391"/>
      <c r="B116" s="391"/>
      <c r="C116" s="391"/>
      <c r="D116" s="391"/>
      <c r="E116" s="391"/>
      <c r="F116" s="391"/>
      <c r="G116" s="391"/>
      <c r="H116" s="391"/>
      <c r="I116" s="391"/>
      <c r="J116" s="391"/>
      <c r="K116" s="391"/>
      <c r="L116" s="391"/>
      <c r="M116" s="391"/>
      <c r="N116" s="391"/>
      <c r="O116" s="391"/>
      <c r="P116" s="391"/>
      <c r="Q116" s="391"/>
      <c r="R116" s="391"/>
      <c r="S116" s="391"/>
      <c r="T116" s="391"/>
      <c r="U116" s="391"/>
      <c r="V116" s="391"/>
      <c r="W116" s="391"/>
      <c r="X116" s="391"/>
      <c r="Y116" s="391"/>
      <c r="Z116" s="391"/>
      <c r="AA116" s="391"/>
      <c r="AB116" s="391"/>
      <c r="AC116" s="391"/>
      <c r="AD116" s="391"/>
      <c r="AE116" s="391"/>
      <c r="AF116" s="391"/>
      <c r="AG116" s="391"/>
      <c r="AH116" s="392"/>
      <c r="AI116" s="391"/>
      <c r="AJ116" s="391"/>
    </row>
    <row r="117" spans="1:36" ht="13.5" x14ac:dyDescent="0.25">
      <c r="A117" s="391"/>
      <c r="B117" s="391"/>
      <c r="C117" s="391"/>
      <c r="D117" s="391"/>
      <c r="E117" s="391"/>
      <c r="F117" s="391"/>
      <c r="G117" s="391"/>
      <c r="H117" s="391"/>
      <c r="I117" s="391"/>
      <c r="J117" s="391"/>
      <c r="K117" s="391"/>
      <c r="L117" s="391"/>
      <c r="M117" s="391"/>
      <c r="N117" s="391"/>
      <c r="O117" s="391"/>
      <c r="P117" s="391"/>
      <c r="Q117" s="391"/>
      <c r="R117" s="391"/>
      <c r="S117" s="391"/>
      <c r="T117" s="391"/>
      <c r="U117" s="391"/>
      <c r="V117" s="391"/>
      <c r="W117" s="391"/>
      <c r="X117" s="391"/>
      <c r="Y117" s="391"/>
      <c r="Z117" s="391"/>
      <c r="AA117" s="391"/>
      <c r="AB117" s="391"/>
      <c r="AC117" s="391"/>
      <c r="AD117" s="391"/>
      <c r="AE117" s="391"/>
      <c r="AF117" s="391"/>
      <c r="AG117" s="391"/>
      <c r="AH117" s="392"/>
      <c r="AI117" s="391"/>
      <c r="AJ117" s="391"/>
    </row>
    <row r="118" spans="1:36" ht="13.5" x14ac:dyDescent="0.25">
      <c r="A118" s="391"/>
      <c r="B118" s="391"/>
      <c r="C118" s="391"/>
      <c r="D118" s="391"/>
      <c r="E118" s="391"/>
      <c r="F118" s="391"/>
      <c r="G118" s="391"/>
      <c r="H118" s="391"/>
      <c r="I118" s="391"/>
      <c r="J118" s="391"/>
      <c r="K118" s="391"/>
      <c r="L118" s="391"/>
      <c r="M118" s="391"/>
      <c r="N118" s="391"/>
      <c r="O118" s="391"/>
      <c r="P118" s="391"/>
      <c r="Q118" s="391"/>
      <c r="R118" s="391"/>
      <c r="S118" s="391"/>
      <c r="T118" s="391"/>
      <c r="U118" s="391"/>
      <c r="V118" s="391"/>
      <c r="W118" s="391"/>
      <c r="X118" s="391"/>
      <c r="Y118" s="391"/>
      <c r="Z118" s="391"/>
      <c r="AA118" s="391"/>
      <c r="AB118" s="391"/>
      <c r="AC118" s="391"/>
      <c r="AD118" s="391"/>
      <c r="AE118" s="391"/>
      <c r="AF118" s="391"/>
      <c r="AG118" s="391"/>
      <c r="AH118" s="392"/>
      <c r="AI118" s="391"/>
      <c r="AJ118" s="391"/>
    </row>
    <row r="119" spans="1:36" ht="13.5" x14ac:dyDescent="0.25">
      <c r="A119" s="391"/>
      <c r="B119" s="391"/>
      <c r="C119" s="391"/>
      <c r="D119" s="391"/>
      <c r="E119" s="391"/>
      <c r="F119" s="391"/>
      <c r="G119" s="391"/>
      <c r="H119" s="391"/>
      <c r="I119" s="391"/>
      <c r="J119" s="391"/>
      <c r="K119" s="391"/>
      <c r="L119" s="391"/>
      <c r="M119" s="391"/>
      <c r="N119" s="391"/>
      <c r="O119" s="391"/>
      <c r="P119" s="391"/>
      <c r="Q119" s="391"/>
      <c r="R119" s="391"/>
      <c r="S119" s="391"/>
      <c r="T119" s="391"/>
      <c r="U119" s="391"/>
      <c r="V119" s="391"/>
      <c r="W119" s="391"/>
      <c r="X119" s="391"/>
      <c r="Y119" s="391"/>
      <c r="Z119" s="391"/>
      <c r="AA119" s="391"/>
      <c r="AB119" s="391"/>
      <c r="AC119" s="391"/>
      <c r="AD119" s="391"/>
      <c r="AE119" s="391"/>
      <c r="AF119" s="391"/>
      <c r="AG119" s="391"/>
      <c r="AH119" s="392"/>
      <c r="AI119" s="391"/>
      <c r="AJ119" s="391"/>
    </row>
    <row r="120" spans="1:36" ht="13.5" x14ac:dyDescent="0.25">
      <c r="A120" s="391"/>
      <c r="B120" s="391"/>
      <c r="C120" s="391"/>
      <c r="D120" s="391"/>
      <c r="E120" s="391"/>
      <c r="F120" s="391"/>
      <c r="G120" s="391"/>
      <c r="H120" s="391"/>
      <c r="I120" s="391"/>
      <c r="J120" s="391"/>
      <c r="K120" s="391"/>
      <c r="L120" s="391"/>
      <c r="M120" s="391"/>
      <c r="N120" s="391"/>
      <c r="O120" s="391"/>
      <c r="P120" s="391"/>
      <c r="Q120" s="391"/>
      <c r="R120" s="391"/>
      <c r="S120" s="391"/>
      <c r="T120" s="391"/>
      <c r="U120" s="391"/>
      <c r="V120" s="391"/>
      <c r="W120" s="391"/>
      <c r="X120" s="391"/>
      <c r="Y120" s="391"/>
      <c r="Z120" s="391"/>
      <c r="AA120" s="391"/>
      <c r="AB120" s="391"/>
      <c r="AC120" s="391"/>
      <c r="AD120" s="391"/>
      <c r="AE120" s="391"/>
      <c r="AF120" s="391"/>
      <c r="AG120" s="391"/>
      <c r="AH120" s="392"/>
      <c r="AI120" s="391"/>
      <c r="AJ120" s="391"/>
    </row>
    <row r="121" spans="1:36" ht="13.5" x14ac:dyDescent="0.25">
      <c r="A121" s="391"/>
      <c r="B121" s="391"/>
      <c r="C121" s="391"/>
      <c r="D121" s="391"/>
      <c r="E121" s="391"/>
      <c r="F121" s="391"/>
      <c r="G121" s="391"/>
      <c r="H121" s="391"/>
      <c r="I121" s="391"/>
      <c r="J121" s="391"/>
      <c r="K121" s="391"/>
      <c r="L121" s="391"/>
      <c r="M121" s="391"/>
      <c r="N121" s="391"/>
      <c r="O121" s="391"/>
      <c r="P121" s="391"/>
      <c r="Q121" s="391"/>
      <c r="R121" s="391"/>
      <c r="S121" s="391"/>
      <c r="T121" s="391"/>
      <c r="U121" s="391"/>
      <c r="V121" s="391"/>
      <c r="W121" s="391"/>
      <c r="X121" s="391"/>
      <c r="Y121" s="391"/>
      <c r="Z121" s="391"/>
      <c r="AA121" s="391"/>
      <c r="AB121" s="391"/>
      <c r="AC121" s="391"/>
      <c r="AD121" s="391"/>
      <c r="AE121" s="391"/>
      <c r="AF121" s="391"/>
      <c r="AG121" s="391"/>
      <c r="AH121" s="392"/>
      <c r="AI121" s="391"/>
      <c r="AJ121" s="391"/>
    </row>
    <row r="122" spans="1:36" ht="13.5" x14ac:dyDescent="0.25">
      <c r="A122" s="391"/>
      <c r="B122" s="391"/>
      <c r="C122" s="391"/>
      <c r="D122" s="391"/>
      <c r="E122" s="391"/>
      <c r="F122" s="391"/>
      <c r="G122" s="391"/>
      <c r="H122" s="391"/>
      <c r="I122" s="391"/>
      <c r="J122" s="391"/>
      <c r="K122" s="391"/>
      <c r="L122" s="391"/>
      <c r="M122" s="391"/>
      <c r="N122" s="391"/>
      <c r="O122" s="391"/>
      <c r="P122" s="391"/>
      <c r="Q122" s="391"/>
      <c r="R122" s="391"/>
      <c r="S122" s="391"/>
      <c r="T122" s="391"/>
      <c r="U122" s="391"/>
      <c r="V122" s="391"/>
      <c r="W122" s="391"/>
      <c r="X122" s="391"/>
      <c r="Y122" s="391"/>
      <c r="Z122" s="391"/>
      <c r="AA122" s="391"/>
      <c r="AB122" s="391"/>
      <c r="AC122" s="391"/>
      <c r="AD122" s="391"/>
      <c r="AE122" s="391"/>
      <c r="AF122" s="391"/>
      <c r="AG122" s="391"/>
      <c r="AH122" s="392"/>
      <c r="AI122" s="391"/>
      <c r="AJ122" s="391"/>
    </row>
    <row r="123" spans="1:36" ht="13.5" x14ac:dyDescent="0.25">
      <c r="A123" s="391"/>
      <c r="B123" s="391"/>
      <c r="C123" s="391"/>
      <c r="D123" s="391"/>
      <c r="E123" s="391"/>
      <c r="F123" s="391"/>
      <c r="G123" s="391"/>
      <c r="H123" s="391"/>
      <c r="I123" s="391"/>
      <c r="J123" s="391"/>
      <c r="K123" s="391"/>
      <c r="L123" s="391"/>
      <c r="M123" s="391"/>
      <c r="N123" s="391"/>
      <c r="O123" s="391"/>
      <c r="P123" s="391"/>
      <c r="Q123" s="391"/>
      <c r="R123" s="391"/>
      <c r="S123" s="391"/>
      <c r="T123" s="391"/>
      <c r="U123" s="391"/>
      <c r="V123" s="391"/>
      <c r="W123" s="391"/>
      <c r="X123" s="391"/>
      <c r="Y123" s="391"/>
      <c r="Z123" s="391"/>
      <c r="AA123" s="391"/>
      <c r="AB123" s="391"/>
      <c r="AC123" s="391"/>
      <c r="AD123" s="391"/>
      <c r="AE123" s="391"/>
      <c r="AF123" s="391"/>
      <c r="AG123" s="391"/>
      <c r="AH123" s="392"/>
      <c r="AI123" s="391"/>
      <c r="AJ123" s="391"/>
    </row>
    <row r="124" spans="1:36" ht="13.5" x14ac:dyDescent="0.25">
      <c r="A124" s="391"/>
      <c r="B124" s="391"/>
      <c r="C124" s="391"/>
      <c r="D124" s="391"/>
      <c r="E124" s="391"/>
      <c r="F124" s="391"/>
      <c r="G124" s="391"/>
      <c r="H124" s="391"/>
      <c r="I124" s="391"/>
      <c r="J124" s="391"/>
      <c r="K124" s="391"/>
      <c r="L124" s="391"/>
      <c r="M124" s="391"/>
      <c r="N124" s="391"/>
      <c r="O124" s="391"/>
      <c r="P124" s="391"/>
      <c r="Q124" s="391"/>
      <c r="R124" s="391"/>
      <c r="S124" s="391"/>
      <c r="T124" s="391"/>
      <c r="U124" s="391"/>
      <c r="V124" s="391"/>
      <c r="W124" s="391"/>
      <c r="X124" s="391"/>
      <c r="Y124" s="391"/>
      <c r="Z124" s="391"/>
      <c r="AA124" s="391"/>
      <c r="AB124" s="391"/>
      <c r="AC124" s="391"/>
      <c r="AD124" s="391"/>
      <c r="AE124" s="391"/>
      <c r="AF124" s="391"/>
      <c r="AG124" s="391"/>
      <c r="AH124" s="392"/>
      <c r="AI124" s="391"/>
      <c r="AJ124" s="391"/>
    </row>
    <row r="125" spans="1:36" ht="13.5" x14ac:dyDescent="0.25">
      <c r="A125" s="391"/>
      <c r="B125" s="391"/>
      <c r="C125" s="391"/>
      <c r="D125" s="391"/>
      <c r="E125" s="391"/>
      <c r="F125" s="391"/>
      <c r="G125" s="391"/>
      <c r="H125" s="391"/>
      <c r="I125" s="391"/>
      <c r="J125" s="391"/>
      <c r="K125" s="391"/>
      <c r="L125" s="391"/>
      <c r="M125" s="391"/>
      <c r="N125" s="391"/>
      <c r="O125" s="391"/>
      <c r="P125" s="391"/>
      <c r="Q125" s="391"/>
      <c r="R125" s="391"/>
      <c r="S125" s="391"/>
      <c r="T125" s="391"/>
      <c r="U125" s="391"/>
      <c r="V125" s="391"/>
      <c r="W125" s="391"/>
      <c r="X125" s="391"/>
      <c r="Y125" s="391"/>
      <c r="Z125" s="391"/>
      <c r="AA125" s="391"/>
      <c r="AB125" s="391"/>
      <c r="AC125" s="391"/>
      <c r="AD125" s="391"/>
      <c r="AE125" s="391"/>
      <c r="AF125" s="391"/>
      <c r="AG125" s="391"/>
      <c r="AH125" s="392"/>
      <c r="AI125" s="391"/>
      <c r="AJ125" s="391"/>
    </row>
    <row r="126" spans="1:36" ht="13.5" x14ac:dyDescent="0.25">
      <c r="A126" s="391"/>
      <c r="B126" s="391"/>
      <c r="C126" s="391"/>
      <c r="D126" s="391"/>
      <c r="E126" s="391"/>
      <c r="F126" s="391"/>
      <c r="G126" s="391"/>
      <c r="H126" s="391"/>
      <c r="I126" s="391"/>
      <c r="J126" s="391"/>
      <c r="K126" s="391"/>
      <c r="L126" s="391"/>
      <c r="M126" s="391"/>
      <c r="N126" s="391"/>
      <c r="O126" s="391"/>
      <c r="P126" s="391"/>
      <c r="Q126" s="391"/>
      <c r="R126" s="391"/>
      <c r="S126" s="391"/>
      <c r="T126" s="391"/>
      <c r="U126" s="391"/>
      <c r="V126" s="391"/>
      <c r="W126" s="391"/>
      <c r="X126" s="391"/>
      <c r="Y126" s="391"/>
      <c r="Z126" s="391"/>
      <c r="AA126" s="391"/>
      <c r="AB126" s="391"/>
      <c r="AC126" s="391"/>
      <c r="AD126" s="391"/>
      <c r="AE126" s="391"/>
      <c r="AF126" s="391"/>
      <c r="AG126" s="391"/>
      <c r="AH126" s="392"/>
      <c r="AI126" s="391"/>
      <c r="AJ126" s="391"/>
    </row>
    <row r="127" spans="1:36" ht="13.5" x14ac:dyDescent="0.25">
      <c r="A127" s="391"/>
      <c r="B127" s="391"/>
      <c r="C127" s="391"/>
      <c r="D127" s="391"/>
      <c r="E127" s="391"/>
      <c r="F127" s="391"/>
      <c r="G127" s="391"/>
      <c r="H127" s="391"/>
      <c r="I127" s="391"/>
      <c r="J127" s="391"/>
      <c r="K127" s="391"/>
      <c r="L127" s="391"/>
      <c r="M127" s="391"/>
      <c r="N127" s="391"/>
      <c r="O127" s="391"/>
      <c r="P127" s="391"/>
      <c r="Q127" s="391"/>
      <c r="R127" s="391"/>
      <c r="S127" s="391"/>
      <c r="T127" s="391"/>
      <c r="U127" s="391"/>
      <c r="V127" s="391"/>
      <c r="W127" s="391"/>
      <c r="X127" s="391"/>
      <c r="Y127" s="391"/>
      <c r="Z127" s="391"/>
      <c r="AA127" s="391"/>
      <c r="AB127" s="391"/>
      <c r="AC127" s="391"/>
      <c r="AD127" s="391"/>
      <c r="AE127" s="391"/>
      <c r="AF127" s="391"/>
      <c r="AG127" s="391"/>
      <c r="AH127" s="392"/>
      <c r="AI127" s="391"/>
      <c r="AJ127" s="391"/>
    </row>
    <row r="128" spans="1:36" ht="13.5" x14ac:dyDescent="0.25">
      <c r="A128" s="391"/>
      <c r="B128" s="391"/>
      <c r="C128" s="391"/>
      <c r="D128" s="391"/>
      <c r="E128" s="391"/>
      <c r="F128" s="391"/>
      <c r="G128" s="391"/>
      <c r="H128" s="391"/>
      <c r="I128" s="391"/>
      <c r="J128" s="391"/>
      <c r="K128" s="391"/>
      <c r="L128" s="391"/>
      <c r="M128" s="391"/>
      <c r="N128" s="391"/>
      <c r="O128" s="391"/>
      <c r="P128" s="391"/>
      <c r="Q128" s="391"/>
      <c r="R128" s="391"/>
      <c r="S128" s="391"/>
      <c r="T128" s="391"/>
      <c r="U128" s="391"/>
      <c r="V128" s="391"/>
      <c r="W128" s="391"/>
      <c r="X128" s="391"/>
      <c r="Y128" s="391"/>
      <c r="Z128" s="391"/>
      <c r="AA128" s="391"/>
      <c r="AB128" s="391"/>
      <c r="AC128" s="391"/>
      <c r="AD128" s="391"/>
      <c r="AE128" s="391"/>
      <c r="AF128" s="391"/>
      <c r="AG128" s="391"/>
      <c r="AH128" s="392"/>
      <c r="AI128" s="391"/>
      <c r="AJ128" s="391"/>
    </row>
    <row r="129" spans="1:36" ht="13.5" x14ac:dyDescent="0.25">
      <c r="A129" s="391"/>
      <c r="B129" s="391"/>
      <c r="C129" s="391"/>
      <c r="D129" s="391"/>
      <c r="E129" s="391"/>
      <c r="F129" s="391"/>
      <c r="G129" s="391"/>
      <c r="H129" s="391"/>
      <c r="I129" s="391"/>
      <c r="J129" s="391"/>
      <c r="K129" s="391"/>
      <c r="L129" s="391"/>
      <c r="M129" s="391"/>
      <c r="N129" s="391"/>
      <c r="O129" s="391"/>
      <c r="P129" s="391"/>
      <c r="Q129" s="391"/>
      <c r="R129" s="391"/>
      <c r="S129" s="391"/>
      <c r="T129" s="391"/>
      <c r="U129" s="391"/>
      <c r="V129" s="391"/>
      <c r="W129" s="391"/>
      <c r="X129" s="391"/>
      <c r="Y129" s="391"/>
      <c r="Z129" s="391"/>
      <c r="AA129" s="391"/>
      <c r="AB129" s="391"/>
      <c r="AC129" s="391"/>
      <c r="AD129" s="391"/>
      <c r="AE129" s="391"/>
      <c r="AF129" s="391"/>
      <c r="AG129" s="391"/>
      <c r="AH129" s="392"/>
      <c r="AI129" s="391"/>
      <c r="AJ129" s="391"/>
    </row>
    <row r="130" spans="1:36" ht="13.5" x14ac:dyDescent="0.25">
      <c r="A130" s="391"/>
      <c r="B130" s="391"/>
      <c r="C130" s="391"/>
      <c r="D130" s="391"/>
      <c r="E130" s="391"/>
      <c r="F130" s="391"/>
      <c r="G130" s="391"/>
      <c r="H130" s="391"/>
      <c r="I130" s="391"/>
      <c r="J130" s="391"/>
      <c r="K130" s="391"/>
      <c r="L130" s="391"/>
      <c r="M130" s="391"/>
      <c r="N130" s="391"/>
      <c r="O130" s="391"/>
      <c r="P130" s="391"/>
      <c r="Q130" s="391"/>
      <c r="R130" s="391"/>
      <c r="S130" s="391"/>
      <c r="T130" s="391"/>
      <c r="U130" s="391"/>
      <c r="V130" s="391"/>
      <c r="W130" s="391"/>
      <c r="X130" s="391"/>
      <c r="Y130" s="391"/>
      <c r="Z130" s="391"/>
      <c r="AA130" s="391"/>
      <c r="AB130" s="391"/>
      <c r="AC130" s="391"/>
      <c r="AD130" s="391"/>
      <c r="AE130" s="391"/>
      <c r="AF130" s="391"/>
      <c r="AG130" s="391"/>
      <c r="AH130" s="392"/>
      <c r="AI130" s="391"/>
      <c r="AJ130" s="391"/>
    </row>
    <row r="131" spans="1:36" ht="13.5" x14ac:dyDescent="0.25">
      <c r="A131" s="391"/>
      <c r="B131" s="391"/>
      <c r="C131" s="391"/>
      <c r="D131" s="391"/>
      <c r="E131" s="391"/>
      <c r="F131" s="391"/>
      <c r="G131" s="391"/>
      <c r="H131" s="391"/>
      <c r="I131" s="391"/>
      <c r="J131" s="391"/>
      <c r="K131" s="391"/>
      <c r="L131" s="391"/>
      <c r="M131" s="391"/>
      <c r="N131" s="391"/>
      <c r="O131" s="391"/>
      <c r="P131" s="391"/>
      <c r="Q131" s="391"/>
      <c r="R131" s="391"/>
      <c r="S131" s="391"/>
      <c r="T131" s="391"/>
      <c r="U131" s="391"/>
      <c r="V131" s="391"/>
      <c r="W131" s="391"/>
      <c r="X131" s="391"/>
      <c r="Y131" s="391"/>
      <c r="Z131" s="391"/>
      <c r="AA131" s="391"/>
      <c r="AB131" s="391"/>
      <c r="AC131" s="391"/>
      <c r="AD131" s="391"/>
      <c r="AE131" s="391"/>
      <c r="AF131" s="391"/>
      <c r="AG131" s="391"/>
      <c r="AH131" s="392"/>
      <c r="AI131" s="391"/>
      <c r="AJ131" s="391"/>
    </row>
    <row r="132" spans="1:36" ht="13.5" x14ac:dyDescent="0.25">
      <c r="A132" s="391"/>
      <c r="B132" s="391"/>
      <c r="C132" s="391"/>
      <c r="D132" s="391"/>
      <c r="E132" s="391"/>
      <c r="F132" s="391"/>
      <c r="G132" s="391"/>
      <c r="H132" s="391"/>
      <c r="I132" s="391"/>
      <c r="J132" s="391"/>
      <c r="K132" s="391"/>
      <c r="L132" s="391"/>
      <c r="M132" s="391"/>
      <c r="N132" s="391"/>
      <c r="O132" s="391"/>
      <c r="P132" s="391"/>
      <c r="Q132" s="391"/>
      <c r="R132" s="391"/>
      <c r="S132" s="391"/>
      <c r="T132" s="391"/>
      <c r="U132" s="391"/>
      <c r="V132" s="391"/>
      <c r="W132" s="391"/>
      <c r="X132" s="391"/>
      <c r="Y132" s="391"/>
      <c r="Z132" s="391"/>
      <c r="AA132" s="391"/>
      <c r="AB132" s="391"/>
      <c r="AC132" s="391"/>
      <c r="AD132" s="391"/>
      <c r="AE132" s="391"/>
      <c r="AF132" s="391"/>
      <c r="AG132" s="391"/>
      <c r="AH132" s="392"/>
      <c r="AI132" s="391"/>
      <c r="AJ132" s="391"/>
    </row>
    <row r="133" spans="1:36" ht="13.5" x14ac:dyDescent="0.25">
      <c r="A133" s="391"/>
      <c r="B133" s="391"/>
      <c r="C133" s="391"/>
      <c r="D133" s="391"/>
      <c r="E133" s="391"/>
      <c r="F133" s="391"/>
      <c r="G133" s="391"/>
      <c r="H133" s="391"/>
      <c r="I133" s="391"/>
      <c r="J133" s="391"/>
      <c r="K133" s="391"/>
      <c r="L133" s="391"/>
      <c r="M133" s="391"/>
      <c r="N133" s="391"/>
      <c r="O133" s="391"/>
      <c r="P133" s="391"/>
      <c r="Q133" s="391"/>
      <c r="R133" s="391"/>
      <c r="S133" s="391"/>
      <c r="T133" s="391"/>
      <c r="U133" s="391"/>
      <c r="V133" s="391"/>
      <c r="W133" s="391"/>
      <c r="X133" s="391"/>
      <c r="Y133" s="391"/>
      <c r="Z133" s="391"/>
      <c r="AA133" s="391"/>
      <c r="AB133" s="391"/>
      <c r="AC133" s="391"/>
      <c r="AD133" s="391"/>
      <c r="AE133" s="391"/>
      <c r="AF133" s="391"/>
      <c r="AG133" s="391"/>
      <c r="AH133" s="392"/>
      <c r="AI133" s="391"/>
      <c r="AJ133" s="391"/>
    </row>
    <row r="134" spans="1:36" ht="13.5" x14ac:dyDescent="0.25">
      <c r="A134" s="391"/>
      <c r="B134" s="391"/>
      <c r="C134" s="391"/>
      <c r="D134" s="391"/>
      <c r="E134" s="391"/>
      <c r="F134" s="391"/>
      <c r="G134" s="391"/>
      <c r="H134" s="391"/>
      <c r="I134" s="391"/>
      <c r="J134" s="391"/>
      <c r="K134" s="391"/>
      <c r="L134" s="391"/>
      <c r="M134" s="391"/>
      <c r="N134" s="391"/>
      <c r="O134" s="391"/>
      <c r="P134" s="391"/>
      <c r="Q134" s="391"/>
      <c r="R134" s="391"/>
      <c r="S134" s="391"/>
      <c r="T134" s="391"/>
      <c r="U134" s="391"/>
      <c r="V134" s="391"/>
      <c r="W134" s="391"/>
      <c r="X134" s="391"/>
      <c r="Y134" s="391"/>
      <c r="Z134" s="391"/>
      <c r="AA134" s="391"/>
      <c r="AB134" s="391"/>
      <c r="AC134" s="391"/>
      <c r="AD134" s="391"/>
      <c r="AE134" s="391"/>
      <c r="AF134" s="391"/>
      <c r="AG134" s="391"/>
      <c r="AH134" s="392"/>
      <c r="AI134" s="391"/>
      <c r="AJ134" s="391"/>
    </row>
    <row r="135" spans="1:36" ht="13.5" x14ac:dyDescent="0.25">
      <c r="A135" s="391"/>
      <c r="B135" s="391"/>
      <c r="C135" s="391"/>
      <c r="D135" s="391"/>
      <c r="E135" s="391"/>
      <c r="F135" s="391"/>
      <c r="G135" s="391"/>
      <c r="H135" s="391"/>
      <c r="I135" s="391"/>
      <c r="J135" s="391"/>
      <c r="K135" s="391"/>
      <c r="L135" s="391"/>
      <c r="M135" s="391"/>
      <c r="N135" s="391"/>
      <c r="O135" s="391"/>
      <c r="P135" s="391"/>
      <c r="Q135" s="391"/>
      <c r="R135" s="391"/>
      <c r="S135" s="391"/>
      <c r="T135" s="391"/>
      <c r="U135" s="391"/>
      <c r="V135" s="391"/>
      <c r="W135" s="391"/>
      <c r="X135" s="391"/>
      <c r="Y135" s="391"/>
      <c r="Z135" s="391"/>
      <c r="AA135" s="391"/>
      <c r="AB135" s="391"/>
      <c r="AC135" s="391"/>
      <c r="AD135" s="391"/>
      <c r="AE135" s="391"/>
      <c r="AF135" s="391"/>
      <c r="AG135" s="391"/>
      <c r="AH135" s="392"/>
      <c r="AI135" s="391"/>
      <c r="AJ135" s="391"/>
    </row>
    <row r="136" spans="1:36" ht="13.5" x14ac:dyDescent="0.25">
      <c r="A136" s="391"/>
      <c r="B136" s="391"/>
      <c r="C136" s="391"/>
      <c r="D136" s="391"/>
      <c r="E136" s="391"/>
      <c r="F136" s="391"/>
      <c r="G136" s="391"/>
      <c r="H136" s="391"/>
      <c r="I136" s="391"/>
      <c r="J136" s="391"/>
      <c r="K136" s="391"/>
      <c r="L136" s="391"/>
      <c r="M136" s="391"/>
      <c r="N136" s="391"/>
      <c r="O136" s="391"/>
      <c r="P136" s="391"/>
      <c r="Q136" s="391"/>
      <c r="R136" s="391"/>
      <c r="S136" s="391"/>
      <c r="T136" s="391"/>
      <c r="U136" s="391"/>
      <c r="V136" s="391"/>
      <c r="W136" s="391"/>
      <c r="X136" s="391"/>
      <c r="Y136" s="391"/>
      <c r="Z136" s="391"/>
      <c r="AA136" s="391"/>
      <c r="AB136" s="391"/>
      <c r="AC136" s="391"/>
      <c r="AD136" s="391"/>
      <c r="AE136" s="391"/>
      <c r="AF136" s="391"/>
      <c r="AG136" s="391"/>
      <c r="AH136" s="392"/>
      <c r="AI136" s="391"/>
      <c r="AJ136" s="391"/>
    </row>
    <row r="137" spans="1:36" ht="13.5" x14ac:dyDescent="0.25">
      <c r="A137" s="391"/>
      <c r="B137" s="391"/>
      <c r="C137" s="391"/>
      <c r="D137" s="391"/>
      <c r="E137" s="391"/>
      <c r="F137" s="391"/>
      <c r="G137" s="391"/>
      <c r="H137" s="391"/>
      <c r="I137" s="391"/>
      <c r="J137" s="391"/>
      <c r="K137" s="391"/>
      <c r="L137" s="391"/>
      <c r="M137" s="391"/>
      <c r="N137" s="391"/>
      <c r="O137" s="391"/>
      <c r="P137" s="391"/>
      <c r="Q137" s="391"/>
      <c r="R137" s="391"/>
      <c r="S137" s="391"/>
      <c r="T137" s="391"/>
      <c r="U137" s="391"/>
      <c r="V137" s="391"/>
      <c r="W137" s="391"/>
      <c r="X137" s="391"/>
      <c r="Y137" s="391"/>
      <c r="Z137" s="391"/>
      <c r="AA137" s="391"/>
      <c r="AB137" s="391"/>
      <c r="AC137" s="391"/>
      <c r="AD137" s="391"/>
      <c r="AE137" s="391"/>
      <c r="AF137" s="391"/>
      <c r="AG137" s="391"/>
      <c r="AH137" s="392"/>
      <c r="AI137" s="391"/>
      <c r="AJ137" s="391"/>
    </row>
    <row r="138" spans="1:36" ht="13.5" x14ac:dyDescent="0.25">
      <c r="A138" s="391"/>
      <c r="B138" s="391"/>
      <c r="C138" s="391"/>
      <c r="D138" s="391"/>
      <c r="E138" s="391"/>
      <c r="F138" s="391"/>
      <c r="G138" s="391"/>
      <c r="H138" s="391"/>
      <c r="I138" s="391"/>
      <c r="J138" s="391"/>
      <c r="K138" s="391"/>
      <c r="L138" s="391"/>
      <c r="M138" s="391"/>
      <c r="N138" s="391"/>
      <c r="O138" s="391"/>
      <c r="P138" s="391"/>
      <c r="Q138" s="391"/>
      <c r="R138" s="391"/>
      <c r="S138" s="391"/>
      <c r="T138" s="391"/>
      <c r="U138" s="391"/>
      <c r="V138" s="391"/>
      <c r="W138" s="391"/>
      <c r="X138" s="391"/>
      <c r="Y138" s="391"/>
      <c r="Z138" s="391"/>
      <c r="AA138" s="391"/>
      <c r="AB138" s="391"/>
      <c r="AC138" s="391"/>
      <c r="AD138" s="391"/>
      <c r="AE138" s="391"/>
      <c r="AF138" s="391"/>
      <c r="AG138" s="391"/>
      <c r="AH138" s="392"/>
      <c r="AI138" s="391"/>
      <c r="AJ138" s="391"/>
    </row>
    <row r="139" spans="1:36" ht="13.5" x14ac:dyDescent="0.25">
      <c r="A139" s="391"/>
      <c r="B139" s="391"/>
      <c r="C139" s="391"/>
      <c r="D139" s="391"/>
      <c r="E139" s="391"/>
      <c r="F139" s="391"/>
      <c r="G139" s="391"/>
      <c r="H139" s="391"/>
      <c r="I139" s="391"/>
      <c r="J139" s="391"/>
      <c r="K139" s="391"/>
      <c r="L139" s="391"/>
      <c r="M139" s="391"/>
      <c r="N139" s="391"/>
      <c r="O139" s="391"/>
      <c r="P139" s="391"/>
      <c r="Q139" s="391"/>
      <c r="R139" s="391"/>
      <c r="S139" s="391"/>
      <c r="T139" s="391"/>
      <c r="U139" s="391"/>
      <c r="V139" s="391"/>
      <c r="W139" s="391"/>
      <c r="X139" s="391"/>
      <c r="Y139" s="391"/>
      <c r="Z139" s="391"/>
      <c r="AA139" s="391"/>
      <c r="AB139" s="391"/>
      <c r="AC139" s="391"/>
      <c r="AD139" s="391"/>
      <c r="AE139" s="391"/>
      <c r="AF139" s="391"/>
      <c r="AG139" s="391"/>
      <c r="AH139" s="392"/>
      <c r="AI139" s="391"/>
      <c r="AJ139" s="391"/>
    </row>
    <row r="140" spans="1:36" ht="13.5" x14ac:dyDescent="0.25">
      <c r="A140" s="391"/>
      <c r="B140" s="391"/>
      <c r="C140" s="391"/>
      <c r="D140" s="391"/>
      <c r="E140" s="391"/>
      <c r="F140" s="391"/>
      <c r="G140" s="391"/>
      <c r="H140" s="391"/>
      <c r="I140" s="391"/>
      <c r="J140" s="391"/>
      <c r="K140" s="391"/>
      <c r="L140" s="391"/>
      <c r="M140" s="391"/>
      <c r="N140" s="391"/>
      <c r="O140" s="391"/>
      <c r="P140" s="391"/>
      <c r="Q140" s="391"/>
      <c r="R140" s="391"/>
      <c r="S140" s="391"/>
      <c r="T140" s="391"/>
      <c r="U140" s="391"/>
      <c r="V140" s="391"/>
      <c r="W140" s="391"/>
      <c r="X140" s="391"/>
      <c r="Y140" s="391"/>
      <c r="Z140" s="391"/>
      <c r="AA140" s="391"/>
      <c r="AB140" s="391"/>
      <c r="AC140" s="391"/>
      <c r="AD140" s="391"/>
      <c r="AE140" s="391"/>
      <c r="AF140" s="391"/>
      <c r="AG140" s="391"/>
      <c r="AH140" s="392"/>
      <c r="AI140" s="391"/>
      <c r="AJ140" s="391"/>
    </row>
    <row r="141" spans="1:36" ht="13.5" x14ac:dyDescent="0.25">
      <c r="A141" s="391"/>
      <c r="B141" s="391"/>
      <c r="C141" s="391"/>
      <c r="D141" s="391"/>
      <c r="E141" s="391"/>
      <c r="F141" s="391"/>
      <c r="G141" s="391"/>
      <c r="H141" s="391"/>
      <c r="I141" s="391"/>
      <c r="J141" s="391"/>
      <c r="K141" s="391"/>
      <c r="L141" s="391"/>
      <c r="M141" s="391"/>
      <c r="N141" s="391"/>
      <c r="O141" s="391"/>
      <c r="P141" s="391"/>
      <c r="Q141" s="391"/>
      <c r="R141" s="391"/>
      <c r="S141" s="391"/>
      <c r="T141" s="391"/>
      <c r="U141" s="391"/>
      <c r="V141" s="391"/>
      <c r="W141" s="391"/>
      <c r="X141" s="391"/>
      <c r="Y141" s="391"/>
      <c r="Z141" s="391"/>
      <c r="AA141" s="391"/>
      <c r="AB141" s="391"/>
      <c r="AC141" s="391"/>
      <c r="AD141" s="391"/>
      <c r="AE141" s="391"/>
      <c r="AF141" s="391"/>
      <c r="AG141" s="391"/>
      <c r="AH141" s="392"/>
      <c r="AI141" s="391"/>
      <c r="AJ141" s="391"/>
    </row>
    <row r="142" spans="1:36" ht="13.5" x14ac:dyDescent="0.25">
      <c r="A142" s="391"/>
      <c r="B142" s="391"/>
      <c r="C142" s="391"/>
      <c r="D142" s="391"/>
      <c r="E142" s="391"/>
      <c r="F142" s="391"/>
      <c r="G142" s="391"/>
      <c r="H142" s="391"/>
      <c r="I142" s="391"/>
      <c r="J142" s="391"/>
      <c r="K142" s="391"/>
      <c r="L142" s="391"/>
      <c r="M142" s="391"/>
      <c r="N142" s="391"/>
      <c r="O142" s="391"/>
      <c r="P142" s="391"/>
      <c r="Q142" s="391"/>
      <c r="R142" s="391"/>
      <c r="S142" s="391"/>
      <c r="T142" s="391"/>
      <c r="U142" s="391"/>
      <c r="V142" s="391"/>
      <c r="W142" s="391"/>
      <c r="X142" s="391"/>
      <c r="Y142" s="391"/>
      <c r="Z142" s="391"/>
      <c r="AA142" s="391"/>
      <c r="AB142" s="391"/>
      <c r="AC142" s="391"/>
      <c r="AD142" s="391"/>
      <c r="AE142" s="391"/>
      <c r="AF142" s="391"/>
      <c r="AG142" s="391"/>
      <c r="AH142" s="392"/>
      <c r="AI142" s="391"/>
      <c r="AJ142" s="391"/>
    </row>
    <row r="143" spans="1:36" ht="13.5" x14ac:dyDescent="0.25">
      <c r="A143" s="391"/>
      <c r="B143" s="391"/>
      <c r="C143" s="391"/>
      <c r="D143" s="391"/>
      <c r="E143" s="391"/>
      <c r="F143" s="391"/>
      <c r="G143" s="391"/>
      <c r="H143" s="391"/>
      <c r="I143" s="391"/>
      <c r="J143" s="391"/>
      <c r="K143" s="391"/>
      <c r="L143" s="391"/>
      <c r="M143" s="391"/>
      <c r="N143" s="391"/>
      <c r="O143" s="391"/>
      <c r="P143" s="391"/>
      <c r="Q143" s="391"/>
      <c r="R143" s="391"/>
      <c r="S143" s="391"/>
      <c r="T143" s="391"/>
      <c r="U143" s="391"/>
      <c r="V143" s="391"/>
      <c r="W143" s="391"/>
      <c r="X143" s="391"/>
      <c r="Y143" s="391"/>
      <c r="Z143" s="391"/>
      <c r="AA143" s="391"/>
      <c r="AB143" s="391"/>
      <c r="AC143" s="391"/>
      <c r="AD143" s="391"/>
      <c r="AE143" s="391"/>
      <c r="AF143" s="391"/>
      <c r="AG143" s="391"/>
      <c r="AH143" s="392"/>
      <c r="AI143" s="391"/>
      <c r="AJ143" s="391"/>
    </row>
    <row r="144" spans="1:36" ht="13.5" x14ac:dyDescent="0.25">
      <c r="A144" s="391"/>
      <c r="B144" s="391"/>
      <c r="C144" s="391"/>
      <c r="D144" s="391"/>
      <c r="E144" s="391"/>
      <c r="F144" s="391"/>
      <c r="G144" s="391"/>
      <c r="H144" s="391"/>
      <c r="I144" s="391"/>
      <c r="J144" s="391"/>
      <c r="K144" s="391"/>
      <c r="L144" s="391"/>
      <c r="M144" s="391"/>
      <c r="N144" s="391"/>
      <c r="O144" s="391"/>
      <c r="P144" s="391"/>
      <c r="Q144" s="391"/>
      <c r="R144" s="391"/>
      <c r="S144" s="391"/>
      <c r="T144" s="391"/>
      <c r="U144" s="391"/>
      <c r="V144" s="391"/>
      <c r="W144" s="391"/>
      <c r="X144" s="391"/>
      <c r="Y144" s="391"/>
      <c r="Z144" s="391"/>
      <c r="AA144" s="391"/>
      <c r="AB144" s="391"/>
      <c r="AC144" s="391"/>
      <c r="AD144" s="391"/>
      <c r="AE144" s="391"/>
      <c r="AF144" s="391"/>
      <c r="AG144" s="391"/>
      <c r="AH144" s="392"/>
      <c r="AI144" s="391"/>
      <c r="AJ144" s="391"/>
    </row>
    <row r="145" spans="1:36" ht="13.5" x14ac:dyDescent="0.25">
      <c r="A145" s="391"/>
      <c r="B145" s="391"/>
      <c r="C145" s="391"/>
      <c r="D145" s="391"/>
      <c r="E145" s="391"/>
      <c r="F145" s="391"/>
      <c r="G145" s="391"/>
      <c r="H145" s="391"/>
      <c r="I145" s="391"/>
      <c r="J145" s="391"/>
      <c r="K145" s="391"/>
      <c r="L145" s="391"/>
      <c r="M145" s="391"/>
      <c r="N145" s="391"/>
      <c r="O145" s="391"/>
      <c r="P145" s="391"/>
      <c r="Q145" s="391"/>
      <c r="R145" s="391"/>
      <c r="S145" s="391"/>
      <c r="T145" s="391"/>
      <c r="U145" s="391"/>
      <c r="V145" s="391"/>
      <c r="W145" s="391"/>
      <c r="X145" s="391"/>
      <c r="Y145" s="391"/>
      <c r="Z145" s="391"/>
      <c r="AA145" s="391"/>
      <c r="AB145" s="391"/>
      <c r="AC145" s="391"/>
      <c r="AD145" s="391"/>
      <c r="AE145" s="391"/>
      <c r="AF145" s="391"/>
      <c r="AG145" s="391"/>
      <c r="AH145" s="392"/>
      <c r="AI145" s="391"/>
      <c r="AJ145" s="391"/>
    </row>
    <row r="146" spans="1:36" ht="13.5" x14ac:dyDescent="0.25">
      <c r="A146" s="391"/>
      <c r="B146" s="391"/>
      <c r="C146" s="391"/>
      <c r="D146" s="391"/>
      <c r="E146" s="391"/>
      <c r="F146" s="391"/>
      <c r="G146" s="391"/>
      <c r="H146" s="391"/>
      <c r="I146" s="391"/>
      <c r="J146" s="391"/>
      <c r="K146" s="391"/>
      <c r="L146" s="391"/>
      <c r="M146" s="391"/>
      <c r="N146" s="391"/>
      <c r="O146" s="391"/>
      <c r="P146" s="391"/>
      <c r="Q146" s="391"/>
      <c r="R146" s="391"/>
      <c r="S146" s="391"/>
      <c r="T146" s="391"/>
      <c r="U146" s="391"/>
      <c r="V146" s="391"/>
      <c r="W146" s="391"/>
      <c r="X146" s="391"/>
      <c r="Y146" s="391"/>
      <c r="Z146" s="391"/>
      <c r="AA146" s="391"/>
      <c r="AB146" s="391"/>
      <c r="AC146" s="391"/>
      <c r="AD146" s="391"/>
      <c r="AE146" s="391"/>
      <c r="AF146" s="391"/>
      <c r="AG146" s="391"/>
      <c r="AH146" s="392"/>
      <c r="AI146" s="391"/>
      <c r="AJ146" s="391"/>
    </row>
    <row r="147" spans="1:36" ht="13.5" x14ac:dyDescent="0.25">
      <c r="A147" s="391"/>
      <c r="B147" s="391"/>
      <c r="C147" s="391"/>
      <c r="D147" s="391"/>
      <c r="E147" s="391"/>
      <c r="F147" s="391"/>
      <c r="G147" s="391"/>
      <c r="H147" s="391"/>
      <c r="I147" s="391"/>
      <c r="J147" s="391"/>
      <c r="K147" s="391"/>
      <c r="L147" s="391"/>
      <c r="M147" s="391"/>
      <c r="N147" s="391"/>
      <c r="O147" s="391"/>
      <c r="P147" s="391"/>
      <c r="Q147" s="391"/>
      <c r="R147" s="391"/>
      <c r="S147" s="391"/>
      <c r="T147" s="391"/>
      <c r="U147" s="391"/>
      <c r="V147" s="391"/>
      <c r="W147" s="391"/>
      <c r="X147" s="391"/>
      <c r="Y147" s="391"/>
      <c r="Z147" s="391"/>
      <c r="AA147" s="391"/>
      <c r="AB147" s="391"/>
      <c r="AC147" s="391"/>
      <c r="AD147" s="391"/>
      <c r="AE147" s="391"/>
      <c r="AF147" s="391"/>
      <c r="AG147" s="391"/>
      <c r="AH147" s="392"/>
      <c r="AI147" s="391"/>
      <c r="AJ147" s="391"/>
    </row>
    <row r="148" spans="1:36" ht="13.5" x14ac:dyDescent="0.25">
      <c r="A148" s="391"/>
      <c r="B148" s="391"/>
      <c r="C148" s="391"/>
      <c r="D148" s="391"/>
      <c r="E148" s="391"/>
      <c r="F148" s="391"/>
      <c r="G148" s="391"/>
      <c r="H148" s="391"/>
      <c r="I148" s="391"/>
      <c r="J148" s="391"/>
      <c r="K148" s="391"/>
      <c r="L148" s="391"/>
      <c r="M148" s="391"/>
      <c r="N148" s="391"/>
      <c r="O148" s="391"/>
      <c r="P148" s="391"/>
      <c r="Q148" s="391"/>
      <c r="R148" s="391"/>
      <c r="S148" s="391"/>
      <c r="T148" s="391"/>
      <c r="U148" s="391"/>
      <c r="V148" s="391"/>
      <c r="W148" s="391"/>
      <c r="X148" s="391"/>
      <c r="Y148" s="391"/>
      <c r="Z148" s="391"/>
      <c r="AA148" s="391"/>
      <c r="AB148" s="391"/>
      <c r="AC148" s="391"/>
      <c r="AD148" s="391"/>
      <c r="AE148" s="391"/>
      <c r="AF148" s="391"/>
      <c r="AG148" s="391"/>
      <c r="AH148" s="392"/>
      <c r="AI148" s="391"/>
      <c r="AJ148" s="391"/>
    </row>
    <row r="149" spans="1:36" ht="13.5" x14ac:dyDescent="0.25">
      <c r="A149" s="391"/>
      <c r="B149" s="391"/>
      <c r="C149" s="391"/>
      <c r="D149" s="391"/>
      <c r="E149" s="391"/>
      <c r="F149" s="391"/>
      <c r="G149" s="391"/>
      <c r="H149" s="391"/>
      <c r="I149" s="391"/>
      <c r="J149" s="391"/>
      <c r="K149" s="391"/>
      <c r="L149" s="391"/>
      <c r="M149" s="391"/>
      <c r="N149" s="391"/>
      <c r="O149" s="391"/>
      <c r="P149" s="391"/>
      <c r="Q149" s="391"/>
      <c r="R149" s="391"/>
      <c r="S149" s="391"/>
      <c r="T149" s="391"/>
      <c r="U149" s="391"/>
      <c r="V149" s="391"/>
      <c r="W149" s="391"/>
      <c r="X149" s="391"/>
      <c r="Y149" s="391"/>
      <c r="Z149" s="391"/>
      <c r="AA149" s="391"/>
      <c r="AB149" s="391"/>
      <c r="AC149" s="391"/>
      <c r="AD149" s="391"/>
      <c r="AE149" s="391"/>
      <c r="AF149" s="391"/>
      <c r="AG149" s="391"/>
      <c r="AH149" s="392"/>
      <c r="AI149" s="391"/>
      <c r="AJ149" s="391"/>
    </row>
    <row r="150" spans="1:36" ht="13.5" x14ac:dyDescent="0.25">
      <c r="A150" s="391"/>
      <c r="B150" s="391"/>
      <c r="C150" s="391"/>
      <c r="D150" s="391"/>
      <c r="E150" s="391"/>
      <c r="F150" s="391"/>
      <c r="G150" s="391"/>
      <c r="H150" s="391"/>
      <c r="I150" s="391"/>
      <c r="J150" s="391"/>
      <c r="K150" s="391"/>
      <c r="L150" s="391"/>
      <c r="M150" s="391"/>
      <c r="N150" s="391"/>
      <c r="O150" s="391"/>
      <c r="P150" s="391"/>
      <c r="Q150" s="391"/>
      <c r="R150" s="391"/>
      <c r="S150" s="391"/>
      <c r="T150" s="391"/>
      <c r="U150" s="391"/>
      <c r="V150" s="391"/>
      <c r="W150" s="391"/>
      <c r="X150" s="391"/>
      <c r="Y150" s="391"/>
      <c r="Z150" s="391"/>
      <c r="AA150" s="391"/>
      <c r="AB150" s="391"/>
      <c r="AC150" s="391"/>
      <c r="AD150" s="391"/>
      <c r="AE150" s="391"/>
      <c r="AF150" s="391"/>
      <c r="AG150" s="391"/>
      <c r="AH150" s="392"/>
      <c r="AI150" s="391"/>
      <c r="AJ150" s="391"/>
    </row>
    <row r="151" spans="1:36" ht="13.5" x14ac:dyDescent="0.25">
      <c r="A151" s="391"/>
      <c r="B151" s="391"/>
      <c r="C151" s="391"/>
      <c r="D151" s="391"/>
      <c r="E151" s="391"/>
      <c r="F151" s="391"/>
      <c r="G151" s="391"/>
      <c r="H151" s="391"/>
      <c r="I151" s="391"/>
      <c r="J151" s="391"/>
      <c r="K151" s="391"/>
      <c r="L151" s="391"/>
      <c r="M151" s="391"/>
      <c r="N151" s="391"/>
      <c r="O151" s="391"/>
      <c r="P151" s="391"/>
      <c r="Q151" s="391"/>
      <c r="R151" s="391"/>
      <c r="S151" s="391"/>
      <c r="T151" s="391"/>
      <c r="U151" s="391"/>
      <c r="V151" s="391"/>
      <c r="W151" s="391"/>
      <c r="X151" s="391"/>
      <c r="Y151" s="391"/>
      <c r="Z151" s="391"/>
      <c r="AA151" s="391"/>
      <c r="AB151" s="391"/>
      <c r="AC151" s="391"/>
      <c r="AD151" s="391"/>
      <c r="AE151" s="391"/>
      <c r="AF151" s="391"/>
      <c r="AG151" s="391"/>
      <c r="AH151" s="392"/>
      <c r="AI151" s="391"/>
      <c r="AJ151" s="391"/>
    </row>
    <row r="152" spans="1:36" ht="13.5" x14ac:dyDescent="0.25">
      <c r="A152" s="391"/>
      <c r="B152" s="391"/>
      <c r="C152" s="391"/>
      <c r="D152" s="391"/>
      <c r="E152" s="391"/>
      <c r="F152" s="391"/>
      <c r="G152" s="391"/>
      <c r="H152" s="391"/>
      <c r="I152" s="391"/>
      <c r="J152" s="391"/>
      <c r="K152" s="391"/>
      <c r="L152" s="391"/>
      <c r="M152" s="391"/>
      <c r="N152" s="391"/>
      <c r="O152" s="391"/>
      <c r="P152" s="391"/>
      <c r="Q152" s="391"/>
      <c r="R152" s="391"/>
      <c r="S152" s="391"/>
      <c r="T152" s="391"/>
      <c r="U152" s="391"/>
      <c r="V152" s="391"/>
      <c r="W152" s="391"/>
      <c r="X152" s="391"/>
      <c r="Y152" s="391"/>
      <c r="Z152" s="391"/>
      <c r="AA152" s="391"/>
      <c r="AB152" s="391"/>
      <c r="AC152" s="391"/>
      <c r="AD152" s="391"/>
      <c r="AE152" s="391"/>
      <c r="AF152" s="391"/>
      <c r="AG152" s="391"/>
      <c r="AH152" s="392"/>
      <c r="AI152" s="391"/>
      <c r="AJ152" s="391"/>
    </row>
    <row r="153" spans="1:36" ht="13.5" x14ac:dyDescent="0.25">
      <c r="A153" s="391"/>
      <c r="B153" s="391"/>
      <c r="C153" s="391"/>
      <c r="D153" s="391"/>
      <c r="E153" s="391"/>
      <c r="F153" s="391"/>
      <c r="G153" s="391"/>
      <c r="H153" s="391"/>
      <c r="I153" s="391"/>
      <c r="J153" s="391"/>
      <c r="K153" s="391"/>
      <c r="L153" s="391"/>
      <c r="M153" s="391"/>
      <c r="N153" s="391"/>
      <c r="O153" s="391"/>
      <c r="P153" s="391"/>
      <c r="Q153" s="391"/>
      <c r="R153" s="391"/>
      <c r="S153" s="391"/>
      <c r="T153" s="391"/>
      <c r="U153" s="391"/>
      <c r="V153" s="391"/>
      <c r="W153" s="391"/>
      <c r="X153" s="391"/>
      <c r="Y153" s="391"/>
      <c r="Z153" s="391"/>
      <c r="AA153" s="391"/>
      <c r="AB153" s="391"/>
      <c r="AC153" s="391"/>
      <c r="AD153" s="391"/>
      <c r="AE153" s="391"/>
      <c r="AF153" s="391"/>
      <c r="AG153" s="391"/>
      <c r="AH153" s="392"/>
      <c r="AI153" s="391"/>
      <c r="AJ153" s="391"/>
    </row>
    <row r="154" spans="1:36" ht="13.5" x14ac:dyDescent="0.25">
      <c r="A154" s="391"/>
      <c r="B154" s="391"/>
      <c r="C154" s="391"/>
      <c r="D154" s="391"/>
      <c r="E154" s="391"/>
      <c r="F154" s="391"/>
      <c r="G154" s="391"/>
      <c r="H154" s="391"/>
      <c r="I154" s="391"/>
      <c r="J154" s="391"/>
      <c r="K154" s="391"/>
      <c r="L154" s="391"/>
      <c r="M154" s="391"/>
      <c r="N154" s="391"/>
      <c r="O154" s="391"/>
      <c r="P154" s="391"/>
      <c r="Q154" s="391"/>
      <c r="R154" s="391"/>
      <c r="S154" s="391"/>
      <c r="T154" s="391"/>
      <c r="U154" s="391"/>
      <c r="V154" s="391"/>
      <c r="W154" s="391"/>
      <c r="X154" s="391"/>
      <c r="Y154" s="391"/>
      <c r="Z154" s="391"/>
      <c r="AA154" s="391"/>
      <c r="AB154" s="391"/>
      <c r="AC154" s="391"/>
      <c r="AD154" s="391"/>
      <c r="AE154" s="391"/>
      <c r="AF154" s="391"/>
      <c r="AG154" s="391"/>
      <c r="AH154" s="392"/>
      <c r="AI154" s="391"/>
      <c r="AJ154" s="391"/>
    </row>
    <row r="155" spans="1:36" ht="13.5" x14ac:dyDescent="0.25">
      <c r="A155" s="391"/>
      <c r="B155" s="391"/>
      <c r="C155" s="391"/>
      <c r="D155" s="391"/>
      <c r="E155" s="391"/>
      <c r="F155" s="391"/>
      <c r="G155" s="391"/>
      <c r="H155" s="391"/>
      <c r="I155" s="391"/>
      <c r="J155" s="391"/>
      <c r="K155" s="391"/>
      <c r="L155" s="391"/>
      <c r="M155" s="391"/>
      <c r="N155" s="391"/>
      <c r="O155" s="391"/>
      <c r="P155" s="391"/>
      <c r="Q155" s="391"/>
      <c r="R155" s="391"/>
      <c r="S155" s="391"/>
      <c r="T155" s="391"/>
      <c r="U155" s="391"/>
      <c r="V155" s="391"/>
      <c r="W155" s="391"/>
      <c r="X155" s="391"/>
      <c r="Y155" s="391"/>
      <c r="Z155" s="391"/>
      <c r="AA155" s="391"/>
      <c r="AB155" s="391"/>
      <c r="AC155" s="391"/>
      <c r="AD155" s="391"/>
      <c r="AE155" s="391"/>
      <c r="AF155" s="391"/>
      <c r="AG155" s="391"/>
      <c r="AH155" s="392"/>
      <c r="AI155" s="391"/>
      <c r="AJ155" s="391"/>
    </row>
    <row r="156" spans="1:36" ht="13.5" x14ac:dyDescent="0.25">
      <c r="A156" s="391"/>
      <c r="B156" s="391"/>
      <c r="C156" s="391"/>
      <c r="D156" s="391"/>
      <c r="E156" s="391"/>
      <c r="F156" s="391"/>
      <c r="G156" s="391"/>
      <c r="H156" s="391"/>
      <c r="I156" s="391"/>
      <c r="J156" s="391"/>
      <c r="K156" s="391"/>
      <c r="L156" s="391"/>
      <c r="M156" s="391"/>
      <c r="N156" s="391"/>
      <c r="O156" s="391"/>
      <c r="P156" s="391"/>
      <c r="Q156" s="391"/>
      <c r="R156" s="391"/>
      <c r="S156" s="391"/>
      <c r="T156" s="391"/>
      <c r="U156" s="391"/>
      <c r="V156" s="391"/>
      <c r="W156" s="391"/>
      <c r="X156" s="391"/>
      <c r="Y156" s="391"/>
      <c r="Z156" s="391"/>
      <c r="AA156" s="391"/>
      <c r="AB156" s="391"/>
      <c r="AC156" s="391"/>
      <c r="AD156" s="391"/>
      <c r="AE156" s="391"/>
      <c r="AF156" s="391"/>
      <c r="AG156" s="391"/>
      <c r="AH156" s="392"/>
      <c r="AI156" s="391"/>
      <c r="AJ156" s="391"/>
    </row>
    <row r="157" spans="1:36" ht="13.5" x14ac:dyDescent="0.25">
      <c r="A157" s="391"/>
      <c r="B157" s="391"/>
      <c r="C157" s="391"/>
      <c r="D157" s="391"/>
      <c r="E157" s="391"/>
      <c r="F157" s="391"/>
      <c r="G157" s="391"/>
      <c r="H157" s="391"/>
      <c r="I157" s="391"/>
      <c r="J157" s="391"/>
      <c r="K157" s="391"/>
      <c r="L157" s="391"/>
      <c r="M157" s="391"/>
      <c r="N157" s="391"/>
      <c r="O157" s="391"/>
      <c r="P157" s="391"/>
      <c r="Q157" s="391"/>
      <c r="R157" s="391"/>
      <c r="S157" s="391"/>
      <c r="T157" s="391"/>
      <c r="U157" s="391"/>
      <c r="V157" s="391"/>
      <c r="W157" s="391"/>
      <c r="X157" s="391"/>
      <c r="Y157" s="391"/>
      <c r="Z157" s="391"/>
      <c r="AA157" s="391"/>
      <c r="AB157" s="391"/>
      <c r="AC157" s="391"/>
      <c r="AD157" s="391"/>
      <c r="AE157" s="391"/>
      <c r="AF157" s="391"/>
      <c r="AG157" s="391"/>
      <c r="AH157" s="392"/>
      <c r="AI157" s="391"/>
      <c r="AJ157" s="391"/>
    </row>
    <row r="158" spans="1:36" ht="13.5" x14ac:dyDescent="0.25">
      <c r="A158" s="391"/>
      <c r="B158" s="391"/>
      <c r="C158" s="391"/>
      <c r="D158" s="391"/>
      <c r="E158" s="391"/>
      <c r="F158" s="391"/>
      <c r="G158" s="391"/>
      <c r="H158" s="391"/>
      <c r="I158" s="391"/>
      <c r="J158" s="391"/>
      <c r="K158" s="391"/>
      <c r="L158" s="391"/>
      <c r="M158" s="391"/>
      <c r="N158" s="391"/>
      <c r="O158" s="391"/>
      <c r="P158" s="391"/>
      <c r="Q158" s="391"/>
      <c r="R158" s="391"/>
      <c r="S158" s="391"/>
      <c r="T158" s="391"/>
      <c r="U158" s="391"/>
      <c r="V158" s="391"/>
      <c r="W158" s="391"/>
      <c r="X158" s="391"/>
      <c r="Y158" s="391"/>
      <c r="Z158" s="391"/>
      <c r="AA158" s="391"/>
      <c r="AB158" s="391"/>
      <c r="AC158" s="391"/>
      <c r="AD158" s="391"/>
      <c r="AE158" s="391"/>
      <c r="AF158" s="391"/>
      <c r="AG158" s="391"/>
      <c r="AH158" s="392"/>
      <c r="AI158" s="391"/>
      <c r="AJ158" s="391"/>
    </row>
    <row r="159" spans="1:36" ht="13.5" x14ac:dyDescent="0.25">
      <c r="A159" s="391"/>
      <c r="B159" s="391"/>
      <c r="C159" s="391"/>
      <c r="D159" s="391"/>
      <c r="E159" s="391"/>
      <c r="F159" s="391"/>
      <c r="G159" s="391"/>
      <c r="H159" s="391"/>
      <c r="I159" s="391"/>
      <c r="J159" s="391"/>
      <c r="K159" s="391"/>
      <c r="L159" s="391"/>
      <c r="M159" s="391"/>
      <c r="N159" s="391"/>
      <c r="O159" s="391"/>
      <c r="P159" s="391"/>
      <c r="Q159" s="391"/>
      <c r="R159" s="391"/>
      <c r="S159" s="391"/>
      <c r="T159" s="391"/>
      <c r="U159" s="391"/>
      <c r="V159" s="391"/>
      <c r="W159" s="391"/>
      <c r="X159" s="391"/>
      <c r="Y159" s="391"/>
      <c r="Z159" s="391"/>
      <c r="AA159" s="391"/>
      <c r="AB159" s="391"/>
      <c r="AC159" s="391"/>
      <c r="AD159" s="391"/>
      <c r="AE159" s="391"/>
      <c r="AF159" s="391"/>
      <c r="AG159" s="391"/>
      <c r="AH159" s="392"/>
      <c r="AI159" s="391"/>
      <c r="AJ159" s="391"/>
    </row>
    <row r="160" spans="1:36" ht="13.5" x14ac:dyDescent="0.25">
      <c r="A160" s="391"/>
      <c r="B160" s="391"/>
      <c r="C160" s="391"/>
      <c r="D160" s="391"/>
      <c r="E160" s="391"/>
      <c r="F160" s="391"/>
      <c r="G160" s="391"/>
      <c r="H160" s="391"/>
      <c r="I160" s="391"/>
      <c r="J160" s="391"/>
      <c r="K160" s="391"/>
      <c r="L160" s="391"/>
      <c r="M160" s="391"/>
      <c r="N160" s="391"/>
      <c r="O160" s="391"/>
      <c r="P160" s="391"/>
      <c r="Q160" s="391"/>
      <c r="R160" s="391"/>
      <c r="S160" s="391"/>
      <c r="T160" s="391"/>
      <c r="U160" s="391"/>
      <c r="V160" s="391"/>
      <c r="W160" s="391"/>
      <c r="X160" s="391"/>
      <c r="Y160" s="391"/>
      <c r="Z160" s="391"/>
      <c r="AA160" s="391"/>
      <c r="AB160" s="391"/>
      <c r="AC160" s="391"/>
      <c r="AD160" s="391"/>
      <c r="AE160" s="391"/>
      <c r="AF160" s="391"/>
      <c r="AG160" s="391"/>
      <c r="AH160" s="392"/>
      <c r="AI160" s="391"/>
      <c r="AJ160" s="391"/>
    </row>
    <row r="161" spans="1:36" ht="13.5" x14ac:dyDescent="0.25">
      <c r="A161" s="391"/>
      <c r="B161" s="391"/>
      <c r="C161" s="391"/>
      <c r="D161" s="391"/>
      <c r="E161" s="391"/>
      <c r="F161" s="391"/>
      <c r="G161" s="391"/>
      <c r="H161" s="391"/>
      <c r="I161" s="391"/>
      <c r="J161" s="391"/>
      <c r="K161" s="391"/>
      <c r="L161" s="391"/>
      <c r="M161" s="391"/>
      <c r="N161" s="391"/>
      <c r="O161" s="391"/>
      <c r="P161" s="391"/>
      <c r="Q161" s="391"/>
      <c r="R161" s="391"/>
      <c r="S161" s="391"/>
      <c r="T161" s="391"/>
      <c r="U161" s="391"/>
      <c r="V161" s="391"/>
      <c r="W161" s="391"/>
      <c r="X161" s="391"/>
      <c r="Y161" s="391"/>
      <c r="Z161" s="391"/>
      <c r="AA161" s="391"/>
      <c r="AB161" s="391"/>
      <c r="AC161" s="391"/>
      <c r="AD161" s="391"/>
      <c r="AE161" s="391"/>
      <c r="AF161" s="391"/>
      <c r="AG161" s="391"/>
      <c r="AH161" s="392"/>
      <c r="AI161" s="391"/>
      <c r="AJ161" s="391"/>
    </row>
    <row r="162" spans="1:36" ht="13.5" x14ac:dyDescent="0.25">
      <c r="A162" s="391"/>
      <c r="B162" s="391"/>
      <c r="C162" s="391"/>
      <c r="D162" s="391"/>
      <c r="E162" s="391"/>
      <c r="F162" s="391"/>
      <c r="G162" s="391"/>
      <c r="H162" s="391"/>
      <c r="I162" s="391"/>
      <c r="J162" s="391"/>
      <c r="K162" s="391"/>
      <c r="L162" s="391"/>
      <c r="M162" s="391"/>
      <c r="N162" s="391"/>
      <c r="O162" s="391"/>
      <c r="P162" s="391"/>
      <c r="Q162" s="391"/>
      <c r="R162" s="391"/>
      <c r="S162" s="391"/>
      <c r="T162" s="391"/>
      <c r="U162" s="391"/>
      <c r="V162" s="391"/>
      <c r="W162" s="391"/>
      <c r="X162" s="391"/>
      <c r="Y162" s="391"/>
      <c r="Z162" s="391"/>
      <c r="AA162" s="391"/>
      <c r="AB162" s="391"/>
      <c r="AC162" s="391"/>
      <c r="AD162" s="391"/>
      <c r="AE162" s="391"/>
      <c r="AF162" s="391"/>
      <c r="AG162" s="391"/>
      <c r="AH162" s="392"/>
      <c r="AI162" s="391"/>
      <c r="AJ162" s="391"/>
    </row>
    <row r="163" spans="1:36" ht="13.5" x14ac:dyDescent="0.25">
      <c r="A163" s="391"/>
      <c r="B163" s="391"/>
      <c r="C163" s="391"/>
      <c r="D163" s="391"/>
      <c r="E163" s="391"/>
      <c r="F163" s="391"/>
      <c r="G163" s="391"/>
      <c r="H163" s="391"/>
      <c r="I163" s="391"/>
      <c r="J163" s="391"/>
      <c r="K163" s="391"/>
      <c r="L163" s="391"/>
      <c r="M163" s="391"/>
      <c r="N163" s="391"/>
      <c r="O163" s="391"/>
      <c r="P163" s="391"/>
      <c r="Q163" s="391"/>
      <c r="R163" s="391"/>
      <c r="S163" s="391"/>
      <c r="T163" s="391"/>
      <c r="U163" s="391"/>
      <c r="V163" s="391"/>
      <c r="W163" s="391"/>
      <c r="X163" s="391"/>
      <c r="Y163" s="391"/>
      <c r="Z163" s="391"/>
      <c r="AA163" s="391"/>
      <c r="AB163" s="391"/>
      <c r="AC163" s="391"/>
      <c r="AD163" s="391"/>
      <c r="AE163" s="391"/>
      <c r="AF163" s="391"/>
      <c r="AG163" s="391"/>
      <c r="AH163" s="392"/>
      <c r="AI163" s="391"/>
      <c r="AJ163" s="391"/>
    </row>
    <row r="164" spans="1:36" ht="13.5" x14ac:dyDescent="0.25">
      <c r="A164" s="391"/>
      <c r="B164" s="391"/>
      <c r="C164" s="391"/>
      <c r="D164" s="391"/>
      <c r="E164" s="391"/>
      <c r="F164" s="391"/>
      <c r="G164" s="391"/>
      <c r="H164" s="391"/>
      <c r="I164" s="391"/>
      <c r="J164" s="391"/>
      <c r="K164" s="391"/>
      <c r="L164" s="391"/>
      <c r="M164" s="391"/>
      <c r="N164" s="391"/>
      <c r="O164" s="391"/>
      <c r="P164" s="391"/>
      <c r="Q164" s="391"/>
      <c r="R164" s="391"/>
      <c r="S164" s="391"/>
      <c r="T164" s="391"/>
      <c r="U164" s="391"/>
      <c r="V164" s="391"/>
      <c r="W164" s="391"/>
      <c r="X164" s="391"/>
      <c r="Y164" s="391"/>
      <c r="Z164" s="391"/>
      <c r="AA164" s="391"/>
      <c r="AB164" s="391"/>
      <c r="AC164" s="391"/>
      <c r="AD164" s="391"/>
      <c r="AE164" s="391"/>
      <c r="AF164" s="391"/>
      <c r="AG164" s="391"/>
      <c r="AH164" s="392"/>
      <c r="AI164" s="391"/>
      <c r="AJ164" s="391"/>
    </row>
    <row r="165" spans="1:36" ht="13.5" x14ac:dyDescent="0.25">
      <c r="A165" s="391"/>
      <c r="B165" s="391"/>
      <c r="C165" s="391"/>
      <c r="D165" s="391"/>
      <c r="E165" s="391"/>
      <c r="F165" s="391"/>
      <c r="G165" s="391"/>
      <c r="H165" s="391"/>
      <c r="I165" s="391"/>
      <c r="J165" s="391"/>
      <c r="K165" s="391"/>
      <c r="L165" s="391"/>
      <c r="M165" s="391"/>
      <c r="N165" s="391"/>
      <c r="O165" s="391"/>
      <c r="P165" s="391"/>
      <c r="Q165" s="391"/>
      <c r="R165" s="391"/>
      <c r="S165" s="391"/>
      <c r="T165" s="391"/>
      <c r="U165" s="391"/>
      <c r="V165" s="391"/>
      <c r="W165" s="391"/>
      <c r="X165" s="391"/>
      <c r="Y165" s="391"/>
      <c r="Z165" s="391"/>
      <c r="AA165" s="391"/>
      <c r="AB165" s="391"/>
      <c r="AC165" s="391"/>
      <c r="AD165" s="391"/>
      <c r="AE165" s="391"/>
      <c r="AF165" s="391"/>
      <c r="AG165" s="391"/>
      <c r="AH165" s="392"/>
      <c r="AI165" s="391"/>
      <c r="AJ165" s="391"/>
    </row>
    <row r="166" spans="1:36" ht="13.5" x14ac:dyDescent="0.25">
      <c r="A166" s="391"/>
      <c r="B166" s="391"/>
      <c r="C166" s="391"/>
      <c r="D166" s="391"/>
      <c r="E166" s="391"/>
      <c r="F166" s="391"/>
      <c r="G166" s="391"/>
      <c r="H166" s="391"/>
      <c r="I166" s="391"/>
      <c r="J166" s="391"/>
      <c r="K166" s="391"/>
      <c r="L166" s="391"/>
      <c r="M166" s="391"/>
      <c r="N166" s="391"/>
      <c r="O166" s="391"/>
      <c r="P166" s="391"/>
      <c r="Q166" s="391"/>
      <c r="R166" s="391"/>
      <c r="S166" s="391"/>
      <c r="T166" s="391"/>
      <c r="U166" s="391"/>
      <c r="V166" s="391"/>
      <c r="W166" s="391"/>
      <c r="X166" s="391"/>
      <c r="Y166" s="391"/>
      <c r="Z166" s="391"/>
      <c r="AA166" s="391"/>
      <c r="AB166" s="391"/>
      <c r="AC166" s="391"/>
      <c r="AD166" s="391"/>
      <c r="AE166" s="391"/>
      <c r="AF166" s="391"/>
      <c r="AG166" s="391"/>
      <c r="AH166" s="392"/>
      <c r="AI166" s="391"/>
      <c r="AJ166" s="391"/>
    </row>
    <row r="167" spans="1:36" ht="13.5" x14ac:dyDescent="0.25">
      <c r="A167" s="391"/>
      <c r="B167" s="391"/>
      <c r="C167" s="391"/>
      <c r="D167" s="391"/>
      <c r="E167" s="391"/>
      <c r="F167" s="391"/>
      <c r="G167" s="391"/>
      <c r="H167" s="391"/>
      <c r="I167" s="391"/>
      <c r="J167" s="391"/>
      <c r="K167" s="391"/>
      <c r="L167" s="391"/>
      <c r="M167" s="391"/>
      <c r="N167" s="391"/>
      <c r="O167" s="391"/>
      <c r="P167" s="391"/>
      <c r="Q167" s="391"/>
      <c r="R167" s="391"/>
      <c r="S167" s="391"/>
      <c r="T167" s="391"/>
      <c r="U167" s="391"/>
      <c r="V167" s="391"/>
      <c r="W167" s="391"/>
      <c r="X167" s="391"/>
      <c r="Y167" s="391"/>
      <c r="Z167" s="391"/>
      <c r="AA167" s="391"/>
      <c r="AB167" s="391"/>
      <c r="AC167" s="391"/>
      <c r="AD167" s="391"/>
      <c r="AE167" s="391"/>
      <c r="AF167" s="391"/>
      <c r="AG167" s="391"/>
      <c r="AH167" s="392"/>
      <c r="AI167" s="391"/>
      <c r="AJ167" s="391"/>
    </row>
    <row r="168" spans="1:36" ht="13.5" x14ac:dyDescent="0.25">
      <c r="A168" s="391"/>
      <c r="B168" s="391"/>
      <c r="C168" s="391"/>
      <c r="D168" s="391"/>
      <c r="E168" s="391"/>
      <c r="F168" s="391"/>
      <c r="G168" s="391"/>
      <c r="H168" s="391"/>
      <c r="I168" s="391"/>
      <c r="J168" s="391"/>
      <c r="K168" s="391"/>
      <c r="L168" s="391"/>
      <c r="M168" s="391"/>
      <c r="N168" s="391"/>
      <c r="O168" s="391"/>
      <c r="P168" s="391"/>
      <c r="Q168" s="391"/>
      <c r="R168" s="391"/>
      <c r="S168" s="391"/>
      <c r="T168" s="391"/>
      <c r="U168" s="391"/>
      <c r="V168" s="391"/>
      <c r="W168" s="391"/>
      <c r="X168" s="391"/>
      <c r="Y168" s="391"/>
      <c r="Z168" s="391"/>
      <c r="AA168" s="391"/>
      <c r="AB168" s="391"/>
      <c r="AC168" s="391"/>
      <c r="AD168" s="391"/>
      <c r="AE168" s="391"/>
      <c r="AF168" s="391"/>
      <c r="AG168" s="391"/>
      <c r="AH168" s="392"/>
      <c r="AI168" s="391"/>
      <c r="AJ168" s="391"/>
    </row>
    <row r="169" spans="1:36" ht="13.5" x14ac:dyDescent="0.25">
      <c r="A169" s="391"/>
      <c r="B169" s="391"/>
      <c r="C169" s="391"/>
      <c r="D169" s="391"/>
      <c r="E169" s="391"/>
      <c r="F169" s="391"/>
      <c r="G169" s="391"/>
      <c r="H169" s="391"/>
      <c r="I169" s="391"/>
      <c r="J169" s="391"/>
      <c r="K169" s="391"/>
      <c r="L169" s="391"/>
      <c r="M169" s="391"/>
      <c r="N169" s="391"/>
      <c r="O169" s="391"/>
      <c r="P169" s="391"/>
      <c r="Q169" s="391"/>
      <c r="R169" s="391"/>
      <c r="S169" s="391"/>
      <c r="T169" s="391"/>
      <c r="U169" s="391"/>
      <c r="V169" s="391"/>
      <c r="W169" s="391"/>
      <c r="X169" s="391"/>
      <c r="Y169" s="391"/>
      <c r="Z169" s="391"/>
      <c r="AA169" s="391"/>
      <c r="AB169" s="391"/>
      <c r="AC169" s="391"/>
      <c r="AD169" s="391"/>
      <c r="AE169" s="391"/>
      <c r="AF169" s="391"/>
      <c r="AG169" s="391"/>
      <c r="AH169" s="392"/>
      <c r="AI169" s="391"/>
      <c r="AJ169" s="391"/>
    </row>
    <row r="170" spans="1:36" ht="13.5" x14ac:dyDescent="0.25">
      <c r="A170" s="391"/>
      <c r="B170" s="391"/>
      <c r="C170" s="391"/>
      <c r="D170" s="391"/>
      <c r="E170" s="391"/>
      <c r="F170" s="391"/>
      <c r="G170" s="391"/>
      <c r="H170" s="391"/>
      <c r="I170" s="391"/>
      <c r="J170" s="391"/>
      <c r="K170" s="391"/>
      <c r="L170" s="391"/>
      <c r="M170" s="391"/>
      <c r="N170" s="391"/>
      <c r="O170" s="391"/>
      <c r="P170" s="391"/>
      <c r="Q170" s="391"/>
      <c r="R170" s="391"/>
      <c r="S170" s="391"/>
      <c r="T170" s="391"/>
      <c r="U170" s="391"/>
      <c r="V170" s="391"/>
      <c r="W170" s="391"/>
      <c r="X170" s="391"/>
      <c r="Y170" s="391"/>
      <c r="Z170" s="391"/>
      <c r="AA170" s="391"/>
      <c r="AB170" s="391"/>
      <c r="AC170" s="391"/>
      <c r="AD170" s="391"/>
      <c r="AE170" s="391"/>
      <c r="AF170" s="391"/>
      <c r="AG170" s="391"/>
      <c r="AH170" s="392"/>
      <c r="AI170" s="391"/>
      <c r="AJ170" s="391"/>
    </row>
    <row r="171" spans="1:36" ht="13.5" x14ac:dyDescent="0.25">
      <c r="A171" s="391"/>
      <c r="B171" s="391"/>
      <c r="C171" s="391"/>
      <c r="D171" s="391"/>
      <c r="E171" s="391"/>
      <c r="F171" s="391"/>
      <c r="G171" s="391"/>
      <c r="H171" s="391"/>
      <c r="I171" s="391"/>
      <c r="J171" s="391"/>
      <c r="K171" s="391"/>
      <c r="L171" s="391"/>
      <c r="M171" s="391"/>
      <c r="N171" s="391"/>
      <c r="O171" s="391"/>
      <c r="P171" s="391"/>
      <c r="Q171" s="391"/>
      <c r="R171" s="391"/>
      <c r="S171" s="391"/>
      <c r="T171" s="391"/>
      <c r="U171" s="391"/>
      <c r="V171" s="391"/>
      <c r="W171" s="391"/>
      <c r="X171" s="391"/>
      <c r="Y171" s="391"/>
      <c r="Z171" s="391"/>
      <c r="AA171" s="391"/>
      <c r="AB171" s="391"/>
      <c r="AC171" s="391"/>
      <c r="AD171" s="391"/>
      <c r="AE171" s="391"/>
      <c r="AF171" s="391"/>
      <c r="AG171" s="391"/>
      <c r="AH171" s="392"/>
      <c r="AI171" s="391"/>
      <c r="AJ171" s="391"/>
    </row>
    <row r="172" spans="1:36" ht="13.5" x14ac:dyDescent="0.25">
      <c r="A172" s="391"/>
      <c r="B172" s="391"/>
      <c r="C172" s="391"/>
      <c r="D172" s="391"/>
      <c r="E172" s="391"/>
      <c r="F172" s="391"/>
      <c r="G172" s="391"/>
      <c r="H172" s="391"/>
      <c r="I172" s="391"/>
      <c r="J172" s="391"/>
      <c r="K172" s="391"/>
      <c r="L172" s="391"/>
      <c r="M172" s="391"/>
      <c r="N172" s="391"/>
      <c r="O172" s="391"/>
      <c r="P172" s="391"/>
      <c r="Q172" s="391"/>
      <c r="R172" s="391"/>
      <c r="S172" s="391"/>
      <c r="T172" s="391"/>
      <c r="U172" s="391"/>
      <c r="V172" s="391"/>
      <c r="W172" s="391"/>
      <c r="X172" s="391"/>
      <c r="Y172" s="391"/>
      <c r="Z172" s="391"/>
      <c r="AA172" s="391"/>
      <c r="AB172" s="391"/>
      <c r="AC172" s="391"/>
      <c r="AD172" s="391"/>
      <c r="AE172" s="391"/>
      <c r="AF172" s="391"/>
      <c r="AG172" s="391"/>
      <c r="AH172" s="392"/>
      <c r="AI172" s="391"/>
      <c r="AJ172" s="391"/>
    </row>
    <row r="173" spans="1:36" ht="13.5" x14ac:dyDescent="0.25">
      <c r="A173" s="391"/>
      <c r="B173" s="391"/>
      <c r="C173" s="391"/>
      <c r="D173" s="391"/>
      <c r="E173" s="391"/>
      <c r="F173" s="391"/>
      <c r="G173" s="391"/>
      <c r="H173" s="391"/>
      <c r="I173" s="391"/>
      <c r="J173" s="391"/>
      <c r="K173" s="391"/>
      <c r="L173" s="391"/>
      <c r="M173" s="391"/>
      <c r="N173" s="391"/>
      <c r="O173" s="391"/>
      <c r="P173" s="391"/>
      <c r="Q173" s="391"/>
      <c r="R173" s="391"/>
      <c r="S173" s="391"/>
      <c r="T173" s="391"/>
      <c r="U173" s="391"/>
      <c r="V173" s="391"/>
      <c r="W173" s="391"/>
      <c r="X173" s="391"/>
      <c r="Y173" s="391"/>
      <c r="Z173" s="391"/>
      <c r="AA173" s="391"/>
      <c r="AB173" s="391"/>
      <c r="AC173" s="391"/>
      <c r="AD173" s="391"/>
      <c r="AE173" s="391"/>
      <c r="AF173" s="391"/>
      <c r="AG173" s="391"/>
      <c r="AH173" s="392"/>
      <c r="AI173" s="391"/>
      <c r="AJ173" s="391"/>
    </row>
    <row r="174" spans="1:36" ht="13.5" x14ac:dyDescent="0.25">
      <c r="A174" s="391"/>
      <c r="B174" s="391"/>
      <c r="C174" s="391"/>
      <c r="D174" s="391"/>
      <c r="E174" s="391"/>
      <c r="F174" s="391"/>
      <c r="G174" s="391"/>
      <c r="H174" s="391"/>
      <c r="I174" s="391"/>
      <c r="J174" s="391"/>
      <c r="K174" s="391"/>
      <c r="L174" s="391"/>
      <c r="M174" s="391"/>
      <c r="N174" s="391"/>
      <c r="O174" s="391"/>
      <c r="P174" s="391"/>
      <c r="Q174" s="391"/>
      <c r="R174" s="391"/>
      <c r="S174" s="391"/>
      <c r="T174" s="391"/>
      <c r="U174" s="391"/>
      <c r="V174" s="391"/>
      <c r="W174" s="391"/>
      <c r="X174" s="391"/>
      <c r="Y174" s="391"/>
      <c r="Z174" s="391"/>
      <c r="AA174" s="391"/>
      <c r="AB174" s="391"/>
      <c r="AC174" s="391"/>
      <c r="AD174" s="391"/>
      <c r="AE174" s="391"/>
      <c r="AF174" s="391"/>
      <c r="AG174" s="391"/>
      <c r="AH174" s="392"/>
      <c r="AI174" s="391"/>
      <c r="AJ174" s="391"/>
    </row>
    <row r="175" spans="1:36" ht="13.5" x14ac:dyDescent="0.25">
      <c r="A175" s="391"/>
      <c r="B175" s="391"/>
      <c r="C175" s="391"/>
      <c r="D175" s="391"/>
      <c r="E175" s="391"/>
      <c r="F175" s="391"/>
      <c r="G175" s="391"/>
      <c r="H175" s="391"/>
      <c r="I175" s="391"/>
      <c r="J175" s="391"/>
      <c r="K175" s="391"/>
      <c r="L175" s="391"/>
      <c r="M175" s="391"/>
      <c r="N175" s="391"/>
      <c r="O175" s="391"/>
      <c r="P175" s="391"/>
      <c r="Q175" s="391"/>
      <c r="R175" s="391"/>
      <c r="S175" s="391"/>
      <c r="T175" s="391"/>
      <c r="U175" s="391"/>
      <c r="V175" s="391"/>
      <c r="W175" s="391"/>
      <c r="X175" s="391"/>
      <c r="Y175" s="391"/>
      <c r="Z175" s="391"/>
      <c r="AA175" s="391"/>
      <c r="AB175" s="391"/>
      <c r="AC175" s="391"/>
      <c r="AD175" s="391"/>
      <c r="AE175" s="391"/>
      <c r="AF175" s="391"/>
      <c r="AG175" s="391"/>
      <c r="AH175" s="392"/>
      <c r="AI175" s="391"/>
      <c r="AJ175" s="391"/>
    </row>
    <row r="176" spans="1:36" ht="13.5" x14ac:dyDescent="0.25">
      <c r="A176" s="391"/>
      <c r="B176" s="391"/>
      <c r="C176" s="391"/>
      <c r="D176" s="391"/>
      <c r="E176" s="391"/>
      <c r="F176" s="391"/>
      <c r="G176" s="391"/>
      <c r="H176" s="391"/>
      <c r="I176" s="391"/>
      <c r="J176" s="391"/>
      <c r="K176" s="391"/>
      <c r="L176" s="391"/>
      <c r="M176" s="391"/>
      <c r="N176" s="391"/>
      <c r="O176" s="391"/>
      <c r="P176" s="391"/>
      <c r="Q176" s="391"/>
      <c r="R176" s="391"/>
      <c r="S176" s="391"/>
      <c r="T176" s="391"/>
      <c r="U176" s="391"/>
      <c r="V176" s="391"/>
      <c r="W176" s="391"/>
      <c r="X176" s="391"/>
      <c r="Y176" s="391"/>
      <c r="Z176" s="391"/>
      <c r="AA176" s="391"/>
      <c r="AB176" s="391"/>
      <c r="AC176" s="391"/>
      <c r="AD176" s="391"/>
      <c r="AE176" s="391"/>
      <c r="AF176" s="391"/>
      <c r="AG176" s="391"/>
      <c r="AH176" s="392"/>
      <c r="AI176" s="391"/>
      <c r="AJ176" s="391"/>
    </row>
    <row r="177" spans="1:36" ht="13.5" x14ac:dyDescent="0.25">
      <c r="A177" s="391"/>
      <c r="B177" s="391"/>
      <c r="C177" s="391"/>
      <c r="D177" s="391"/>
      <c r="E177" s="391"/>
      <c r="F177" s="391"/>
      <c r="G177" s="391"/>
      <c r="H177" s="391"/>
      <c r="I177" s="391"/>
      <c r="J177" s="391"/>
      <c r="K177" s="391"/>
      <c r="L177" s="391"/>
      <c r="M177" s="391"/>
      <c r="N177" s="391"/>
      <c r="O177" s="391"/>
      <c r="P177" s="391"/>
      <c r="Q177" s="391"/>
      <c r="R177" s="391"/>
      <c r="S177" s="391"/>
      <c r="T177" s="391"/>
      <c r="U177" s="391"/>
      <c r="V177" s="391"/>
      <c r="W177" s="391"/>
      <c r="X177" s="391"/>
      <c r="Y177" s="391"/>
      <c r="Z177" s="391"/>
      <c r="AA177" s="391"/>
      <c r="AB177" s="391"/>
      <c r="AC177" s="391"/>
      <c r="AD177" s="391"/>
      <c r="AE177" s="391"/>
      <c r="AF177" s="391"/>
      <c r="AG177" s="391"/>
      <c r="AH177" s="392"/>
      <c r="AI177" s="391"/>
      <c r="AJ177" s="391"/>
    </row>
    <row r="178" spans="1:36" ht="13.5" x14ac:dyDescent="0.25">
      <c r="A178" s="391"/>
      <c r="B178" s="391"/>
      <c r="C178" s="391"/>
      <c r="D178" s="391"/>
      <c r="E178" s="391"/>
      <c r="F178" s="391"/>
      <c r="G178" s="391"/>
      <c r="H178" s="391"/>
      <c r="I178" s="391"/>
      <c r="J178" s="391"/>
      <c r="K178" s="391"/>
      <c r="L178" s="391"/>
      <c r="M178" s="391"/>
      <c r="N178" s="391"/>
      <c r="O178" s="391"/>
      <c r="P178" s="391"/>
      <c r="Q178" s="391"/>
      <c r="R178" s="391"/>
      <c r="S178" s="391"/>
      <c r="T178" s="391"/>
      <c r="U178" s="391"/>
      <c r="V178" s="391"/>
      <c r="W178" s="391"/>
      <c r="X178" s="391"/>
      <c r="Y178" s="391"/>
      <c r="Z178" s="391"/>
      <c r="AA178" s="391"/>
      <c r="AB178" s="391"/>
      <c r="AC178" s="391"/>
      <c r="AD178" s="391"/>
      <c r="AE178" s="391"/>
      <c r="AF178" s="391"/>
      <c r="AG178" s="391"/>
      <c r="AH178" s="392"/>
      <c r="AI178" s="391"/>
      <c r="AJ178" s="391"/>
    </row>
    <row r="179" spans="1:36" ht="13.5" x14ac:dyDescent="0.25">
      <c r="A179" s="391"/>
      <c r="B179" s="391"/>
      <c r="C179" s="391"/>
      <c r="D179" s="391"/>
      <c r="E179" s="391"/>
      <c r="F179" s="391"/>
      <c r="G179" s="391"/>
      <c r="H179" s="391"/>
      <c r="I179" s="391"/>
      <c r="J179" s="391"/>
      <c r="K179" s="391"/>
      <c r="L179" s="391"/>
      <c r="M179" s="391"/>
      <c r="N179" s="391"/>
      <c r="O179" s="391"/>
      <c r="P179" s="391"/>
      <c r="Q179" s="391"/>
      <c r="R179" s="391"/>
      <c r="S179" s="391"/>
      <c r="T179" s="391"/>
      <c r="U179" s="391"/>
      <c r="V179" s="391"/>
      <c r="W179" s="391"/>
      <c r="X179" s="391"/>
      <c r="Y179" s="391"/>
      <c r="Z179" s="391"/>
      <c r="AA179" s="391"/>
      <c r="AB179" s="391"/>
      <c r="AC179" s="391"/>
      <c r="AD179" s="391"/>
      <c r="AE179" s="391"/>
      <c r="AF179" s="391"/>
      <c r="AG179" s="391"/>
      <c r="AH179" s="392"/>
      <c r="AI179" s="391"/>
      <c r="AJ179" s="391"/>
    </row>
    <row r="180" spans="1:36" ht="13.5" x14ac:dyDescent="0.25">
      <c r="A180" s="391"/>
      <c r="B180" s="391"/>
      <c r="C180" s="391"/>
      <c r="D180" s="391"/>
      <c r="E180" s="391"/>
      <c r="F180" s="391"/>
      <c r="G180" s="391"/>
      <c r="H180" s="391"/>
      <c r="I180" s="391"/>
      <c r="J180" s="391"/>
      <c r="K180" s="391"/>
      <c r="L180" s="391"/>
      <c r="M180" s="391"/>
      <c r="N180" s="391"/>
      <c r="O180" s="391"/>
      <c r="P180" s="391"/>
      <c r="Q180" s="391"/>
      <c r="R180" s="391"/>
      <c r="S180" s="391"/>
      <c r="T180" s="391"/>
      <c r="U180" s="391"/>
      <c r="V180" s="391"/>
      <c r="W180" s="391"/>
      <c r="X180" s="391"/>
      <c r="Y180" s="391"/>
      <c r="Z180" s="391"/>
      <c r="AA180" s="391"/>
      <c r="AB180" s="391"/>
      <c r="AC180" s="391"/>
      <c r="AD180" s="391"/>
      <c r="AE180" s="391"/>
      <c r="AF180" s="391"/>
      <c r="AG180" s="391"/>
      <c r="AH180" s="392"/>
      <c r="AI180" s="391"/>
      <c r="AJ180" s="391"/>
    </row>
    <row r="181" spans="1:36" ht="13.5" x14ac:dyDescent="0.25">
      <c r="A181" s="391"/>
      <c r="B181" s="391"/>
      <c r="C181" s="391"/>
      <c r="D181" s="391"/>
      <c r="E181" s="391"/>
      <c r="F181" s="391"/>
      <c r="G181" s="391"/>
      <c r="H181" s="391"/>
      <c r="I181" s="391"/>
      <c r="J181" s="391"/>
      <c r="K181" s="391"/>
      <c r="L181" s="391"/>
      <c r="M181" s="391"/>
      <c r="N181" s="391"/>
      <c r="O181" s="391"/>
      <c r="P181" s="391"/>
      <c r="Q181" s="391"/>
      <c r="R181" s="391"/>
      <c r="S181" s="391"/>
      <c r="T181" s="391"/>
      <c r="U181" s="391"/>
      <c r="V181" s="391"/>
      <c r="W181" s="391"/>
      <c r="X181" s="391"/>
      <c r="Y181" s="391"/>
      <c r="Z181" s="391"/>
      <c r="AA181" s="391"/>
      <c r="AB181" s="391"/>
      <c r="AC181" s="391"/>
      <c r="AD181" s="391"/>
      <c r="AE181" s="391"/>
      <c r="AF181" s="391"/>
      <c r="AG181" s="391"/>
      <c r="AH181" s="392"/>
      <c r="AI181" s="391"/>
      <c r="AJ181" s="391"/>
    </row>
    <row r="182" spans="1:36" ht="13.5" x14ac:dyDescent="0.25">
      <c r="A182" s="391"/>
      <c r="B182" s="391"/>
      <c r="C182" s="391"/>
      <c r="D182" s="391"/>
      <c r="E182" s="391"/>
      <c r="F182" s="391"/>
      <c r="G182" s="391"/>
      <c r="H182" s="391"/>
      <c r="I182" s="391"/>
      <c r="J182" s="391"/>
      <c r="K182" s="391"/>
      <c r="L182" s="391"/>
      <c r="M182" s="391"/>
      <c r="N182" s="391"/>
      <c r="O182" s="391"/>
      <c r="P182" s="391"/>
      <c r="Q182" s="391"/>
      <c r="R182" s="391"/>
      <c r="S182" s="391"/>
      <c r="T182" s="391"/>
      <c r="U182" s="391"/>
      <c r="V182" s="391"/>
      <c r="W182" s="391"/>
      <c r="X182" s="391"/>
      <c r="Y182" s="391"/>
      <c r="Z182" s="391"/>
      <c r="AA182" s="391"/>
      <c r="AB182" s="391"/>
      <c r="AC182" s="391"/>
      <c r="AD182" s="391"/>
      <c r="AE182" s="391"/>
      <c r="AF182" s="391"/>
      <c r="AG182" s="391"/>
      <c r="AH182" s="392"/>
      <c r="AI182" s="391"/>
      <c r="AJ182" s="391"/>
    </row>
    <row r="183" spans="1:36" ht="13.5" x14ac:dyDescent="0.25">
      <c r="A183" s="391"/>
      <c r="B183" s="391"/>
      <c r="C183" s="391"/>
      <c r="D183" s="391"/>
      <c r="E183" s="391"/>
      <c r="F183" s="391"/>
      <c r="G183" s="391"/>
      <c r="H183" s="391"/>
      <c r="I183" s="391"/>
      <c r="J183" s="391"/>
      <c r="K183" s="391"/>
      <c r="L183" s="391"/>
      <c r="M183" s="391"/>
      <c r="N183" s="391"/>
      <c r="O183" s="391"/>
      <c r="P183" s="391"/>
      <c r="Q183" s="391"/>
      <c r="R183" s="391"/>
      <c r="S183" s="391"/>
      <c r="T183" s="391"/>
      <c r="U183" s="391"/>
      <c r="V183" s="391"/>
      <c r="W183" s="391"/>
      <c r="X183" s="391"/>
      <c r="Y183" s="391"/>
      <c r="Z183" s="391"/>
      <c r="AA183" s="391"/>
      <c r="AB183" s="391"/>
      <c r="AC183" s="391"/>
      <c r="AD183" s="391"/>
      <c r="AE183" s="391"/>
      <c r="AF183" s="391"/>
      <c r="AG183" s="391"/>
      <c r="AH183" s="392"/>
      <c r="AI183" s="391"/>
      <c r="AJ183" s="391"/>
    </row>
    <row r="184" spans="1:36" ht="13.5" x14ac:dyDescent="0.25">
      <c r="A184" s="391"/>
      <c r="B184" s="391"/>
      <c r="C184" s="391"/>
      <c r="D184" s="391"/>
      <c r="E184" s="391"/>
      <c r="F184" s="391"/>
      <c r="G184" s="391"/>
      <c r="H184" s="391"/>
      <c r="I184" s="391"/>
      <c r="J184" s="391"/>
      <c r="K184" s="391"/>
      <c r="L184" s="391"/>
      <c r="M184" s="391"/>
      <c r="N184" s="391"/>
      <c r="O184" s="391"/>
      <c r="P184" s="391"/>
      <c r="Q184" s="391"/>
      <c r="R184" s="391"/>
      <c r="S184" s="391"/>
      <c r="T184" s="391"/>
      <c r="U184" s="391"/>
      <c r="V184" s="391"/>
      <c r="W184" s="391"/>
      <c r="X184" s="391"/>
      <c r="Y184" s="391"/>
      <c r="Z184" s="391"/>
      <c r="AA184" s="391"/>
      <c r="AB184" s="391"/>
      <c r="AC184" s="391"/>
      <c r="AD184" s="391"/>
      <c r="AE184" s="391"/>
      <c r="AF184" s="391"/>
      <c r="AG184" s="391"/>
      <c r="AH184" s="392"/>
      <c r="AI184" s="391"/>
      <c r="AJ184" s="391"/>
    </row>
    <row r="185" spans="1:36" ht="13.5" x14ac:dyDescent="0.25">
      <c r="A185" s="391"/>
      <c r="B185" s="391"/>
      <c r="C185" s="391"/>
      <c r="D185" s="391"/>
      <c r="E185" s="391"/>
      <c r="F185" s="391"/>
      <c r="G185" s="391"/>
      <c r="H185" s="391"/>
      <c r="I185" s="391"/>
      <c r="J185" s="391"/>
      <c r="K185" s="391"/>
      <c r="L185" s="391"/>
      <c r="M185" s="391"/>
      <c r="N185" s="391"/>
      <c r="O185" s="391"/>
      <c r="P185" s="391"/>
      <c r="Q185" s="391"/>
      <c r="R185" s="391"/>
      <c r="S185" s="391"/>
      <c r="T185" s="391"/>
      <c r="U185" s="391"/>
      <c r="V185" s="391"/>
      <c r="W185" s="391"/>
      <c r="X185" s="391"/>
      <c r="Y185" s="391"/>
      <c r="Z185" s="391"/>
      <c r="AA185" s="391"/>
      <c r="AB185" s="391"/>
      <c r="AC185" s="391"/>
      <c r="AD185" s="391"/>
      <c r="AE185" s="391"/>
      <c r="AF185" s="391"/>
      <c r="AG185" s="391"/>
      <c r="AH185" s="392"/>
      <c r="AI185" s="391"/>
      <c r="AJ185" s="391"/>
    </row>
    <row r="186" spans="1:36" ht="13.5" x14ac:dyDescent="0.25">
      <c r="A186" s="391"/>
      <c r="B186" s="391"/>
      <c r="C186" s="391"/>
      <c r="D186" s="391"/>
      <c r="E186" s="391"/>
      <c r="F186" s="391"/>
      <c r="G186" s="391"/>
      <c r="H186" s="391"/>
      <c r="I186" s="391"/>
      <c r="J186" s="391"/>
      <c r="K186" s="391"/>
      <c r="L186" s="391"/>
      <c r="M186" s="391"/>
      <c r="N186" s="391"/>
      <c r="O186" s="391"/>
      <c r="P186" s="391"/>
      <c r="Q186" s="391"/>
      <c r="R186" s="391"/>
      <c r="S186" s="391"/>
      <c r="T186" s="391"/>
      <c r="U186" s="391"/>
      <c r="V186" s="391"/>
      <c r="W186" s="391"/>
      <c r="X186" s="391"/>
      <c r="Y186" s="391"/>
      <c r="Z186" s="391"/>
      <c r="AA186" s="391"/>
      <c r="AB186" s="391"/>
      <c r="AC186" s="391"/>
      <c r="AD186" s="391"/>
      <c r="AE186" s="391"/>
      <c r="AF186" s="391"/>
      <c r="AG186" s="391"/>
      <c r="AH186" s="392"/>
      <c r="AI186" s="391"/>
      <c r="AJ186" s="391"/>
    </row>
    <row r="187" spans="1:36" ht="13.5" x14ac:dyDescent="0.25">
      <c r="A187" s="391"/>
      <c r="B187" s="391"/>
      <c r="C187" s="391"/>
      <c r="D187" s="391"/>
      <c r="E187" s="391"/>
      <c r="F187" s="391"/>
      <c r="G187" s="391"/>
      <c r="H187" s="391"/>
      <c r="I187" s="391"/>
      <c r="J187" s="391"/>
      <c r="K187" s="391"/>
      <c r="L187" s="391"/>
      <c r="M187" s="391"/>
      <c r="N187" s="391"/>
      <c r="O187" s="391"/>
      <c r="P187" s="391"/>
      <c r="Q187" s="391"/>
      <c r="R187" s="391"/>
      <c r="S187" s="391"/>
      <c r="T187" s="391"/>
      <c r="U187" s="391"/>
      <c r="V187" s="391"/>
      <c r="W187" s="391"/>
      <c r="X187" s="391"/>
      <c r="Y187" s="391"/>
      <c r="Z187" s="391"/>
      <c r="AA187" s="391"/>
      <c r="AB187" s="391"/>
      <c r="AC187" s="391"/>
      <c r="AD187" s="391"/>
      <c r="AE187" s="391"/>
      <c r="AF187" s="391"/>
      <c r="AG187" s="391"/>
      <c r="AH187" s="392"/>
      <c r="AI187" s="391"/>
      <c r="AJ187" s="391"/>
    </row>
    <row r="188" spans="1:36" ht="13.5" x14ac:dyDescent="0.25">
      <c r="A188" s="391"/>
      <c r="B188" s="391"/>
      <c r="C188" s="391"/>
      <c r="D188" s="391"/>
      <c r="E188" s="391"/>
      <c r="F188" s="391"/>
      <c r="G188" s="391"/>
      <c r="H188" s="391"/>
      <c r="I188" s="391"/>
      <c r="J188" s="391"/>
      <c r="K188" s="391"/>
      <c r="L188" s="391"/>
      <c r="M188" s="391"/>
      <c r="N188" s="391"/>
      <c r="O188" s="391"/>
      <c r="P188" s="391"/>
      <c r="Q188" s="391"/>
      <c r="R188" s="391"/>
      <c r="S188" s="391"/>
      <c r="T188" s="391"/>
      <c r="U188" s="391"/>
      <c r="V188" s="391"/>
      <c r="W188" s="391"/>
      <c r="X188" s="391"/>
      <c r="Y188" s="391"/>
      <c r="Z188" s="391"/>
      <c r="AA188" s="391"/>
      <c r="AB188" s="391"/>
      <c r="AC188" s="391"/>
      <c r="AD188" s="391"/>
      <c r="AE188" s="391"/>
      <c r="AF188" s="391"/>
      <c r="AG188" s="391"/>
      <c r="AH188" s="392"/>
      <c r="AI188" s="391"/>
      <c r="AJ188" s="391"/>
    </row>
    <row r="189" spans="1:36" ht="13.5" x14ac:dyDescent="0.25">
      <c r="A189" s="391"/>
      <c r="B189" s="391"/>
      <c r="C189" s="391"/>
      <c r="D189" s="391"/>
      <c r="E189" s="391"/>
      <c r="F189" s="391"/>
      <c r="G189" s="391"/>
      <c r="H189" s="391"/>
      <c r="I189" s="391"/>
      <c r="J189" s="391"/>
      <c r="K189" s="391"/>
      <c r="L189" s="391"/>
      <c r="M189" s="391"/>
      <c r="N189" s="391"/>
      <c r="O189" s="391"/>
      <c r="P189" s="391"/>
      <c r="Q189" s="391"/>
      <c r="R189" s="391"/>
      <c r="S189" s="391"/>
      <c r="T189" s="391"/>
      <c r="U189" s="391"/>
      <c r="V189" s="391"/>
      <c r="W189" s="391"/>
      <c r="X189" s="391"/>
      <c r="Y189" s="391"/>
      <c r="Z189" s="391"/>
      <c r="AA189" s="391"/>
      <c r="AB189" s="391"/>
      <c r="AC189" s="391"/>
      <c r="AD189" s="391"/>
      <c r="AE189" s="391"/>
      <c r="AF189" s="391"/>
      <c r="AG189" s="391"/>
      <c r="AH189" s="392"/>
      <c r="AI189" s="391"/>
      <c r="AJ189" s="391"/>
    </row>
    <row r="190" spans="1:36" ht="13.5" x14ac:dyDescent="0.25">
      <c r="A190" s="391"/>
      <c r="B190" s="391"/>
      <c r="C190" s="391"/>
      <c r="D190" s="391"/>
      <c r="E190" s="391"/>
      <c r="F190" s="391"/>
      <c r="G190" s="391"/>
      <c r="H190" s="391"/>
      <c r="I190" s="391"/>
      <c r="J190" s="391"/>
      <c r="K190" s="391"/>
      <c r="L190" s="391"/>
      <c r="M190" s="391"/>
      <c r="N190" s="391"/>
      <c r="O190" s="391"/>
      <c r="P190" s="391"/>
      <c r="Q190" s="391"/>
      <c r="R190" s="391"/>
      <c r="S190" s="391"/>
      <c r="T190" s="391"/>
      <c r="U190" s="391"/>
      <c r="V190" s="391"/>
      <c r="W190" s="391"/>
      <c r="X190" s="391"/>
      <c r="Y190" s="391"/>
      <c r="Z190" s="391"/>
      <c r="AA190" s="391"/>
      <c r="AB190" s="391"/>
      <c r="AC190" s="391"/>
      <c r="AD190" s="391"/>
      <c r="AE190" s="391"/>
      <c r="AF190" s="391"/>
      <c r="AG190" s="391"/>
      <c r="AH190" s="392"/>
      <c r="AI190" s="391"/>
      <c r="AJ190" s="391"/>
    </row>
    <row r="191" spans="1:36" ht="13.5" x14ac:dyDescent="0.25">
      <c r="A191" s="391"/>
      <c r="B191" s="391"/>
      <c r="C191" s="391"/>
      <c r="D191" s="391"/>
      <c r="E191" s="391"/>
      <c r="F191" s="391"/>
      <c r="G191" s="391"/>
      <c r="H191" s="391"/>
      <c r="I191" s="391"/>
      <c r="J191" s="391"/>
      <c r="K191" s="391"/>
      <c r="L191" s="391"/>
      <c r="M191" s="391"/>
      <c r="N191" s="391"/>
      <c r="O191" s="391"/>
      <c r="P191" s="391"/>
      <c r="Q191" s="391"/>
      <c r="R191" s="391"/>
      <c r="S191" s="391"/>
      <c r="T191" s="391"/>
      <c r="U191" s="391"/>
      <c r="V191" s="391"/>
      <c r="W191" s="391"/>
      <c r="X191" s="391"/>
      <c r="Y191" s="391"/>
      <c r="Z191" s="391"/>
      <c r="AA191" s="391"/>
      <c r="AB191" s="391"/>
      <c r="AC191" s="391"/>
      <c r="AD191" s="391"/>
      <c r="AE191" s="391"/>
      <c r="AF191" s="391"/>
      <c r="AG191" s="391"/>
      <c r="AH191" s="392"/>
      <c r="AI191" s="391"/>
      <c r="AJ191" s="391"/>
    </row>
    <row r="192" spans="1:36" ht="13.5" x14ac:dyDescent="0.25">
      <c r="A192" s="391"/>
      <c r="B192" s="391"/>
      <c r="C192" s="391"/>
      <c r="D192" s="391"/>
      <c r="E192" s="391"/>
      <c r="F192" s="391"/>
      <c r="G192" s="391"/>
      <c r="H192" s="391"/>
      <c r="I192" s="391"/>
      <c r="J192" s="391"/>
      <c r="K192" s="391"/>
      <c r="L192" s="391"/>
      <c r="M192" s="391"/>
      <c r="N192" s="391"/>
      <c r="O192" s="391"/>
      <c r="P192" s="391"/>
      <c r="Q192" s="391"/>
      <c r="R192" s="391"/>
      <c r="S192" s="391"/>
      <c r="T192" s="391"/>
      <c r="U192" s="391"/>
      <c r="V192" s="391"/>
      <c r="W192" s="391"/>
      <c r="X192" s="391"/>
      <c r="Y192" s="391"/>
      <c r="Z192" s="391"/>
      <c r="AA192" s="391"/>
      <c r="AB192" s="391"/>
      <c r="AC192" s="391"/>
      <c r="AD192" s="391"/>
      <c r="AE192" s="391"/>
      <c r="AF192" s="391"/>
      <c r="AG192" s="391"/>
      <c r="AH192" s="392"/>
      <c r="AI192" s="391"/>
      <c r="AJ192" s="391"/>
    </row>
    <row r="193" spans="1:36" ht="13.5" x14ac:dyDescent="0.25">
      <c r="A193" s="391"/>
      <c r="B193" s="391"/>
      <c r="C193" s="391"/>
      <c r="D193" s="391"/>
      <c r="E193" s="391"/>
      <c r="F193" s="391"/>
      <c r="G193" s="391"/>
      <c r="H193" s="391"/>
      <c r="I193" s="391"/>
      <c r="J193" s="391"/>
      <c r="K193" s="391"/>
      <c r="L193" s="391"/>
      <c r="M193" s="391"/>
      <c r="N193" s="391"/>
      <c r="O193" s="391"/>
      <c r="P193" s="391"/>
      <c r="Q193" s="391"/>
      <c r="R193" s="391"/>
      <c r="S193" s="391"/>
      <c r="T193" s="391"/>
      <c r="U193" s="391"/>
      <c r="V193" s="391"/>
      <c r="W193" s="391"/>
      <c r="X193" s="391"/>
      <c r="Y193" s="391"/>
      <c r="Z193" s="391"/>
      <c r="AA193" s="391"/>
      <c r="AB193" s="391"/>
      <c r="AC193" s="391"/>
      <c r="AD193" s="391"/>
      <c r="AE193" s="391"/>
      <c r="AF193" s="391"/>
      <c r="AG193" s="391"/>
      <c r="AH193" s="392"/>
      <c r="AI193" s="391"/>
      <c r="AJ193" s="391"/>
    </row>
    <row r="194" spans="1:36" ht="13.5" x14ac:dyDescent="0.25">
      <c r="A194" s="391"/>
      <c r="B194" s="391"/>
      <c r="C194" s="391"/>
      <c r="D194" s="391"/>
      <c r="E194" s="391"/>
      <c r="F194" s="391"/>
      <c r="G194" s="391"/>
      <c r="H194" s="391"/>
      <c r="I194" s="391"/>
      <c r="J194" s="391"/>
      <c r="K194" s="391"/>
      <c r="L194" s="391"/>
      <c r="M194" s="391"/>
      <c r="N194" s="391"/>
      <c r="O194" s="391"/>
      <c r="P194" s="391"/>
      <c r="Q194" s="391"/>
      <c r="R194" s="391"/>
      <c r="S194" s="391"/>
      <c r="T194" s="391"/>
      <c r="U194" s="391"/>
      <c r="V194" s="391"/>
      <c r="W194" s="391"/>
      <c r="X194" s="391"/>
      <c r="Y194" s="391"/>
      <c r="Z194" s="391"/>
      <c r="AA194" s="391"/>
      <c r="AB194" s="391"/>
      <c r="AC194" s="391"/>
      <c r="AD194" s="391"/>
      <c r="AE194" s="391"/>
      <c r="AF194" s="391"/>
      <c r="AG194" s="391"/>
      <c r="AH194" s="392"/>
      <c r="AI194" s="391"/>
      <c r="AJ194" s="391"/>
    </row>
    <row r="195" spans="1:36" ht="13.5" x14ac:dyDescent="0.25">
      <c r="A195" s="391"/>
      <c r="B195" s="391"/>
      <c r="C195" s="391"/>
      <c r="D195" s="391"/>
      <c r="E195" s="391"/>
      <c r="F195" s="391"/>
      <c r="G195" s="391"/>
      <c r="H195" s="391"/>
      <c r="I195" s="391"/>
      <c r="J195" s="391"/>
      <c r="K195" s="391"/>
      <c r="L195" s="391"/>
      <c r="M195" s="391"/>
      <c r="N195" s="391"/>
      <c r="O195" s="391"/>
      <c r="P195" s="391"/>
      <c r="Q195" s="391"/>
      <c r="R195" s="391"/>
      <c r="S195" s="391"/>
      <c r="T195" s="391"/>
      <c r="U195" s="391"/>
      <c r="V195" s="391"/>
      <c r="W195" s="391"/>
      <c r="X195" s="391"/>
      <c r="Y195" s="391"/>
      <c r="Z195" s="391"/>
      <c r="AA195" s="391"/>
      <c r="AB195" s="391"/>
      <c r="AC195" s="391"/>
      <c r="AD195" s="391"/>
      <c r="AE195" s="391"/>
      <c r="AF195" s="391"/>
      <c r="AG195" s="391"/>
      <c r="AH195" s="392"/>
      <c r="AI195" s="391"/>
      <c r="AJ195" s="391"/>
    </row>
    <row r="196" spans="1:36" ht="13.5" x14ac:dyDescent="0.25">
      <c r="A196" s="391"/>
      <c r="B196" s="391"/>
      <c r="C196" s="391"/>
      <c r="D196" s="391"/>
      <c r="E196" s="391"/>
      <c r="F196" s="391"/>
      <c r="G196" s="391"/>
      <c r="H196" s="391"/>
      <c r="I196" s="391"/>
      <c r="J196" s="391"/>
      <c r="K196" s="391"/>
      <c r="L196" s="391"/>
      <c r="M196" s="391"/>
      <c r="N196" s="391"/>
      <c r="O196" s="391"/>
      <c r="P196" s="391"/>
      <c r="Q196" s="391"/>
      <c r="R196" s="391"/>
      <c r="S196" s="391"/>
      <c r="T196" s="391"/>
      <c r="U196" s="391"/>
      <c r="V196" s="391"/>
      <c r="W196" s="391"/>
      <c r="X196" s="391"/>
      <c r="Y196" s="391"/>
      <c r="Z196" s="391"/>
      <c r="AA196" s="391"/>
      <c r="AB196" s="391"/>
      <c r="AC196" s="391"/>
      <c r="AD196" s="391"/>
      <c r="AE196" s="391"/>
      <c r="AF196" s="391"/>
      <c r="AG196" s="391"/>
      <c r="AH196" s="392"/>
      <c r="AI196" s="391"/>
      <c r="AJ196" s="391"/>
    </row>
    <row r="197" spans="1:36" ht="13.5" x14ac:dyDescent="0.25">
      <c r="A197" s="391"/>
      <c r="B197" s="391"/>
      <c r="C197" s="391"/>
      <c r="D197" s="391"/>
      <c r="E197" s="391"/>
      <c r="F197" s="391"/>
      <c r="G197" s="391"/>
      <c r="H197" s="391"/>
      <c r="I197" s="391"/>
      <c r="J197" s="391"/>
      <c r="K197" s="391"/>
      <c r="L197" s="391"/>
      <c r="M197" s="391"/>
      <c r="N197" s="391"/>
      <c r="O197" s="391"/>
      <c r="P197" s="391"/>
      <c r="Q197" s="391"/>
      <c r="R197" s="391"/>
      <c r="S197" s="391"/>
      <c r="T197" s="391"/>
      <c r="U197" s="391"/>
      <c r="V197" s="391"/>
      <c r="W197" s="391"/>
      <c r="X197" s="391"/>
      <c r="Y197" s="391"/>
      <c r="Z197" s="391"/>
      <c r="AA197" s="391"/>
      <c r="AB197" s="391"/>
      <c r="AC197" s="391"/>
      <c r="AD197" s="391"/>
      <c r="AE197" s="391"/>
      <c r="AF197" s="391"/>
      <c r="AG197" s="391"/>
      <c r="AH197" s="392"/>
      <c r="AI197" s="391"/>
      <c r="AJ197" s="391"/>
    </row>
    <row r="198" spans="1:36" ht="13.5" x14ac:dyDescent="0.25">
      <c r="A198" s="391"/>
      <c r="B198" s="391"/>
      <c r="C198" s="391"/>
      <c r="D198" s="391"/>
      <c r="E198" s="391"/>
      <c r="F198" s="391"/>
      <c r="G198" s="391"/>
      <c r="H198" s="391"/>
      <c r="I198" s="391"/>
      <c r="J198" s="391"/>
      <c r="K198" s="391"/>
      <c r="L198" s="391"/>
      <c r="M198" s="391"/>
      <c r="N198" s="391"/>
      <c r="O198" s="391"/>
      <c r="P198" s="391"/>
      <c r="Q198" s="391"/>
      <c r="R198" s="391"/>
      <c r="S198" s="391"/>
      <c r="T198" s="391"/>
      <c r="U198" s="391"/>
      <c r="V198" s="391"/>
      <c r="W198" s="391"/>
      <c r="X198" s="391"/>
      <c r="Y198" s="391"/>
      <c r="Z198" s="391"/>
      <c r="AA198" s="391"/>
      <c r="AB198" s="391"/>
      <c r="AC198" s="391"/>
      <c r="AD198" s="391"/>
      <c r="AE198" s="391"/>
      <c r="AF198" s="391"/>
      <c r="AG198" s="391"/>
      <c r="AH198" s="392"/>
      <c r="AI198" s="391"/>
      <c r="AJ198" s="391"/>
    </row>
    <row r="199" spans="1:36" ht="13.5" x14ac:dyDescent="0.25">
      <c r="A199" s="391"/>
      <c r="B199" s="391"/>
      <c r="C199" s="391"/>
      <c r="D199" s="391"/>
      <c r="E199" s="391"/>
      <c r="F199" s="391"/>
      <c r="G199" s="391"/>
      <c r="H199" s="391"/>
      <c r="I199" s="391"/>
      <c r="J199" s="391"/>
      <c r="K199" s="391"/>
      <c r="L199" s="391"/>
      <c r="M199" s="391"/>
      <c r="N199" s="391"/>
      <c r="O199" s="391"/>
      <c r="P199" s="391"/>
      <c r="Q199" s="391"/>
      <c r="R199" s="391"/>
      <c r="S199" s="391"/>
      <c r="T199" s="391"/>
      <c r="U199" s="391"/>
      <c r="V199" s="391"/>
      <c r="W199" s="391"/>
      <c r="X199" s="391"/>
      <c r="Y199" s="391"/>
      <c r="Z199" s="391"/>
      <c r="AA199" s="391"/>
      <c r="AB199" s="391"/>
      <c r="AC199" s="391"/>
      <c r="AD199" s="391"/>
      <c r="AE199" s="391"/>
      <c r="AF199" s="391"/>
      <c r="AG199" s="391"/>
      <c r="AH199" s="392"/>
      <c r="AI199" s="391"/>
      <c r="AJ199" s="391"/>
    </row>
    <row r="200" spans="1:36" ht="13.5" x14ac:dyDescent="0.25">
      <c r="A200" s="391"/>
      <c r="B200" s="391"/>
      <c r="C200" s="391"/>
      <c r="D200" s="391"/>
      <c r="E200" s="391"/>
      <c r="F200" s="391"/>
      <c r="G200" s="391"/>
      <c r="H200" s="391"/>
      <c r="I200" s="391"/>
      <c r="J200" s="391"/>
      <c r="K200" s="391"/>
      <c r="L200" s="391"/>
      <c r="M200" s="391"/>
      <c r="N200" s="391"/>
      <c r="O200" s="391"/>
      <c r="P200" s="391"/>
      <c r="Q200" s="391"/>
      <c r="R200" s="391"/>
      <c r="S200" s="391"/>
      <c r="T200" s="391"/>
      <c r="U200" s="391"/>
      <c r="V200" s="391"/>
      <c r="W200" s="391"/>
      <c r="X200" s="391"/>
      <c r="Y200" s="391"/>
      <c r="Z200" s="391"/>
      <c r="AA200" s="391"/>
      <c r="AB200" s="391"/>
      <c r="AC200" s="391"/>
      <c r="AD200" s="391"/>
      <c r="AE200" s="391"/>
      <c r="AF200" s="391"/>
      <c r="AG200" s="391"/>
      <c r="AH200" s="392"/>
      <c r="AI200" s="391"/>
      <c r="AJ200" s="391"/>
    </row>
    <row r="201" spans="1:36" ht="13.5" x14ac:dyDescent="0.25">
      <c r="A201" s="391"/>
      <c r="B201" s="391"/>
      <c r="C201" s="391"/>
      <c r="D201" s="391"/>
      <c r="E201" s="391"/>
      <c r="F201" s="391"/>
      <c r="G201" s="391"/>
      <c r="H201" s="391"/>
      <c r="I201" s="391"/>
      <c r="J201" s="391"/>
      <c r="K201" s="391"/>
      <c r="L201" s="391"/>
      <c r="M201" s="391"/>
      <c r="N201" s="391"/>
      <c r="O201" s="391"/>
      <c r="P201" s="391"/>
      <c r="Q201" s="391"/>
      <c r="R201" s="391"/>
      <c r="S201" s="391"/>
      <c r="T201" s="391"/>
      <c r="U201" s="391"/>
      <c r="V201" s="391"/>
      <c r="W201" s="391"/>
      <c r="X201" s="391"/>
      <c r="Y201" s="391"/>
      <c r="Z201" s="391"/>
      <c r="AA201" s="391"/>
      <c r="AB201" s="391"/>
      <c r="AC201" s="391"/>
      <c r="AD201" s="391"/>
      <c r="AE201" s="391"/>
      <c r="AF201" s="391"/>
      <c r="AG201" s="391"/>
      <c r="AH201" s="392"/>
      <c r="AI201" s="391"/>
      <c r="AJ201" s="391"/>
    </row>
    <row r="202" spans="1:36" ht="13.5" x14ac:dyDescent="0.25">
      <c r="A202" s="391"/>
      <c r="B202" s="391"/>
      <c r="C202" s="391"/>
      <c r="D202" s="391"/>
      <c r="E202" s="391"/>
      <c r="F202" s="391"/>
      <c r="G202" s="391"/>
      <c r="H202" s="391"/>
      <c r="I202" s="391"/>
      <c r="J202" s="391"/>
      <c r="K202" s="391"/>
      <c r="L202" s="391"/>
      <c r="M202" s="391"/>
      <c r="N202" s="391"/>
      <c r="O202" s="391"/>
      <c r="P202" s="391"/>
      <c r="Q202" s="391"/>
      <c r="R202" s="391"/>
      <c r="S202" s="391"/>
      <c r="T202" s="391"/>
      <c r="U202" s="391"/>
      <c r="V202" s="391"/>
      <c r="W202" s="391"/>
      <c r="X202" s="391"/>
      <c r="Y202" s="391"/>
      <c r="Z202" s="391"/>
      <c r="AA202" s="391"/>
      <c r="AB202" s="391"/>
      <c r="AC202" s="391"/>
      <c r="AD202" s="391"/>
      <c r="AE202" s="391"/>
      <c r="AF202" s="391"/>
      <c r="AG202" s="391"/>
      <c r="AH202" s="392"/>
      <c r="AI202" s="391"/>
      <c r="AJ202" s="391"/>
    </row>
    <row r="203" spans="1:36" ht="13.5" x14ac:dyDescent="0.25">
      <c r="A203" s="391"/>
      <c r="B203" s="391"/>
      <c r="C203" s="391"/>
      <c r="D203" s="391"/>
      <c r="E203" s="391"/>
      <c r="F203" s="391"/>
      <c r="G203" s="391"/>
      <c r="H203" s="391"/>
      <c r="I203" s="391"/>
      <c r="J203" s="391"/>
      <c r="K203" s="391"/>
      <c r="L203" s="391"/>
      <c r="M203" s="391"/>
      <c r="N203" s="391"/>
      <c r="O203" s="391"/>
      <c r="P203" s="391"/>
      <c r="Q203" s="391"/>
      <c r="R203" s="391"/>
      <c r="S203" s="391"/>
      <c r="T203" s="391"/>
      <c r="U203" s="391"/>
      <c r="V203" s="391"/>
      <c r="W203" s="391"/>
      <c r="X203" s="391"/>
      <c r="Y203" s="391"/>
      <c r="Z203" s="391"/>
      <c r="AA203" s="391"/>
      <c r="AB203" s="391"/>
      <c r="AC203" s="391"/>
      <c r="AD203" s="391"/>
      <c r="AE203" s="391"/>
      <c r="AF203" s="391"/>
      <c r="AG203" s="391"/>
      <c r="AH203" s="392"/>
      <c r="AI203" s="391"/>
      <c r="AJ203" s="391"/>
    </row>
    <row r="204" spans="1:36" ht="13.5" x14ac:dyDescent="0.25">
      <c r="A204" s="391"/>
      <c r="B204" s="391"/>
      <c r="C204" s="391"/>
      <c r="D204" s="391"/>
      <c r="E204" s="391"/>
      <c r="F204" s="391"/>
      <c r="G204" s="391"/>
      <c r="H204" s="391"/>
      <c r="I204" s="391"/>
      <c r="J204" s="391"/>
      <c r="K204" s="391"/>
      <c r="L204" s="391"/>
      <c r="M204" s="391"/>
      <c r="N204" s="391"/>
      <c r="O204" s="391"/>
      <c r="P204" s="391"/>
      <c r="Q204" s="391"/>
      <c r="R204" s="391"/>
      <c r="S204" s="391"/>
      <c r="T204" s="391"/>
      <c r="U204" s="391"/>
      <c r="V204" s="391"/>
      <c r="W204" s="391"/>
      <c r="X204" s="391"/>
      <c r="Y204" s="391"/>
      <c r="Z204" s="391"/>
      <c r="AA204" s="391"/>
      <c r="AB204" s="391"/>
      <c r="AC204" s="391"/>
      <c r="AD204" s="391"/>
      <c r="AE204" s="391"/>
      <c r="AF204" s="391"/>
      <c r="AG204" s="391"/>
      <c r="AH204" s="392"/>
      <c r="AI204" s="391"/>
      <c r="AJ204" s="391"/>
    </row>
    <row r="205" spans="1:36" ht="13.5" x14ac:dyDescent="0.25">
      <c r="A205" s="391"/>
      <c r="B205" s="391"/>
      <c r="C205" s="391"/>
      <c r="D205" s="391"/>
      <c r="E205" s="391"/>
      <c r="F205" s="391"/>
      <c r="G205" s="391"/>
      <c r="H205" s="391"/>
      <c r="I205" s="391"/>
      <c r="J205" s="391"/>
      <c r="K205" s="391"/>
      <c r="L205" s="391"/>
      <c r="M205" s="391"/>
      <c r="N205" s="391"/>
      <c r="O205" s="391"/>
      <c r="P205" s="391"/>
      <c r="Q205" s="391"/>
      <c r="R205" s="391"/>
      <c r="S205" s="391"/>
      <c r="T205" s="391"/>
      <c r="U205" s="391"/>
      <c r="V205" s="391"/>
      <c r="W205" s="391"/>
      <c r="X205" s="391"/>
      <c r="Y205" s="391"/>
      <c r="Z205" s="391"/>
      <c r="AA205" s="391"/>
      <c r="AB205" s="391"/>
      <c r="AC205" s="391"/>
      <c r="AD205" s="391"/>
      <c r="AE205" s="391"/>
      <c r="AF205" s="391"/>
      <c r="AG205" s="391"/>
      <c r="AH205" s="392"/>
      <c r="AI205" s="391"/>
      <c r="AJ205" s="391"/>
    </row>
    <row r="206" spans="1:36" ht="13.5" x14ac:dyDescent="0.25">
      <c r="A206" s="391"/>
      <c r="B206" s="391"/>
      <c r="C206" s="391"/>
      <c r="D206" s="391"/>
      <c r="E206" s="391"/>
      <c r="F206" s="391"/>
      <c r="G206" s="391"/>
      <c r="H206" s="391"/>
      <c r="I206" s="391"/>
      <c r="J206" s="391"/>
      <c r="K206" s="391"/>
      <c r="L206" s="391"/>
      <c r="M206" s="391"/>
      <c r="N206" s="391"/>
      <c r="O206" s="391"/>
      <c r="P206" s="391"/>
      <c r="Q206" s="391"/>
      <c r="R206" s="391"/>
      <c r="S206" s="391"/>
      <c r="T206" s="391"/>
      <c r="U206" s="391"/>
      <c r="V206" s="391"/>
      <c r="W206" s="391"/>
      <c r="X206" s="391"/>
      <c r="Y206" s="391"/>
      <c r="Z206" s="391"/>
      <c r="AA206" s="391"/>
      <c r="AB206" s="391"/>
      <c r="AC206" s="391"/>
      <c r="AD206" s="391"/>
      <c r="AE206" s="391"/>
      <c r="AF206" s="391"/>
      <c r="AG206" s="391"/>
      <c r="AH206" s="392"/>
      <c r="AI206" s="391"/>
      <c r="AJ206" s="391"/>
    </row>
    <row r="207" spans="1:36" ht="13.5" x14ac:dyDescent="0.25">
      <c r="A207" s="391"/>
      <c r="B207" s="391"/>
      <c r="C207" s="391"/>
      <c r="D207" s="391"/>
      <c r="E207" s="391"/>
      <c r="F207" s="391"/>
      <c r="G207" s="391"/>
      <c r="H207" s="391"/>
      <c r="I207" s="391"/>
      <c r="J207" s="391"/>
      <c r="K207" s="391"/>
      <c r="L207" s="391"/>
      <c r="M207" s="391"/>
      <c r="N207" s="391"/>
      <c r="O207" s="391"/>
      <c r="P207" s="391"/>
      <c r="Q207" s="391"/>
      <c r="R207" s="391"/>
      <c r="S207" s="391"/>
      <c r="T207" s="391"/>
      <c r="U207" s="391"/>
      <c r="V207" s="391"/>
      <c r="W207" s="391"/>
      <c r="X207" s="391"/>
      <c r="Y207" s="391"/>
      <c r="Z207" s="391"/>
      <c r="AA207" s="391"/>
      <c r="AB207" s="391"/>
      <c r="AC207" s="391"/>
      <c r="AD207" s="391"/>
      <c r="AE207" s="391"/>
      <c r="AF207" s="391"/>
      <c r="AG207" s="391"/>
      <c r="AH207" s="392"/>
      <c r="AI207" s="391"/>
      <c r="AJ207" s="391"/>
    </row>
    <row r="208" spans="1:36" ht="13.5" x14ac:dyDescent="0.25">
      <c r="A208" s="391"/>
      <c r="B208" s="391"/>
      <c r="C208" s="391"/>
      <c r="D208" s="391"/>
      <c r="E208" s="391"/>
      <c r="F208" s="391"/>
      <c r="G208" s="391"/>
      <c r="H208" s="391"/>
      <c r="I208" s="391"/>
      <c r="J208" s="391"/>
      <c r="K208" s="391"/>
      <c r="L208" s="391"/>
      <c r="M208" s="391"/>
      <c r="N208" s="391"/>
      <c r="O208" s="391"/>
      <c r="P208" s="391"/>
      <c r="Q208" s="391"/>
      <c r="R208" s="391"/>
      <c r="S208" s="391"/>
      <c r="T208" s="391"/>
      <c r="U208" s="391"/>
      <c r="V208" s="391"/>
      <c r="W208" s="391"/>
      <c r="X208" s="391"/>
      <c r="Y208" s="391"/>
      <c r="Z208" s="391"/>
      <c r="AA208" s="391"/>
      <c r="AB208" s="391"/>
      <c r="AC208" s="391"/>
      <c r="AD208" s="391"/>
      <c r="AE208" s="391"/>
      <c r="AF208" s="391"/>
      <c r="AG208" s="391"/>
      <c r="AH208" s="392"/>
      <c r="AI208" s="391"/>
      <c r="AJ208" s="391"/>
    </row>
    <row r="209" spans="1:36" ht="13.5" x14ac:dyDescent="0.25">
      <c r="A209" s="391"/>
      <c r="B209" s="391"/>
      <c r="C209" s="391"/>
      <c r="D209" s="391"/>
      <c r="E209" s="391"/>
      <c r="F209" s="391"/>
      <c r="G209" s="391"/>
      <c r="H209" s="391"/>
      <c r="I209" s="391"/>
      <c r="J209" s="391"/>
      <c r="K209" s="391"/>
      <c r="L209" s="391"/>
      <c r="M209" s="391"/>
      <c r="N209" s="391"/>
      <c r="O209" s="391"/>
      <c r="P209" s="391"/>
      <c r="Q209" s="391"/>
      <c r="R209" s="391"/>
      <c r="S209" s="391"/>
      <c r="T209" s="391"/>
      <c r="U209" s="391"/>
      <c r="V209" s="391"/>
      <c r="W209" s="391"/>
      <c r="X209" s="391"/>
      <c r="Y209" s="391"/>
      <c r="Z209" s="391"/>
      <c r="AA209" s="391"/>
      <c r="AB209" s="391"/>
      <c r="AC209" s="391"/>
      <c r="AD209" s="391"/>
      <c r="AE209" s="391"/>
      <c r="AF209" s="391"/>
      <c r="AG209" s="391"/>
      <c r="AH209" s="392"/>
      <c r="AI209" s="391"/>
      <c r="AJ209" s="391"/>
    </row>
    <row r="210" spans="1:36" ht="13.5" x14ac:dyDescent="0.25">
      <c r="A210" s="391"/>
      <c r="B210" s="391"/>
      <c r="C210" s="391"/>
      <c r="D210" s="391"/>
      <c r="E210" s="391"/>
      <c r="F210" s="391"/>
      <c r="G210" s="391"/>
      <c r="H210" s="391"/>
      <c r="I210" s="391"/>
      <c r="J210" s="391"/>
      <c r="K210" s="391"/>
      <c r="L210" s="391"/>
      <c r="M210" s="391"/>
      <c r="N210" s="391"/>
      <c r="O210" s="391"/>
      <c r="P210" s="391"/>
      <c r="Q210" s="391"/>
      <c r="R210" s="391"/>
      <c r="S210" s="391"/>
      <c r="T210" s="391"/>
      <c r="U210" s="391"/>
      <c r="V210" s="391"/>
      <c r="W210" s="391"/>
      <c r="X210" s="391"/>
      <c r="Y210" s="391"/>
      <c r="Z210" s="391"/>
      <c r="AA210" s="391"/>
      <c r="AB210" s="391"/>
      <c r="AC210" s="391"/>
      <c r="AD210" s="391"/>
      <c r="AE210" s="391"/>
      <c r="AF210" s="391"/>
      <c r="AG210" s="391"/>
      <c r="AH210" s="392"/>
      <c r="AI210" s="391"/>
      <c r="AJ210" s="391"/>
    </row>
    <row r="211" spans="1:36" ht="13.5" x14ac:dyDescent="0.25">
      <c r="A211" s="391"/>
      <c r="B211" s="391"/>
      <c r="C211" s="391"/>
      <c r="D211" s="391"/>
      <c r="E211" s="391"/>
      <c r="F211" s="391"/>
      <c r="G211" s="391"/>
      <c r="H211" s="391"/>
      <c r="I211" s="391"/>
      <c r="J211" s="391"/>
      <c r="K211" s="391"/>
      <c r="L211" s="391"/>
      <c r="M211" s="391"/>
      <c r="N211" s="391"/>
      <c r="O211" s="391"/>
      <c r="P211" s="391"/>
      <c r="Q211" s="391"/>
      <c r="R211" s="391"/>
      <c r="S211" s="391"/>
      <c r="T211" s="391"/>
      <c r="U211" s="391"/>
      <c r="V211" s="391"/>
      <c r="W211" s="391"/>
      <c r="X211" s="391"/>
      <c r="Y211" s="391"/>
      <c r="Z211" s="391"/>
      <c r="AA211" s="391"/>
      <c r="AB211" s="391"/>
      <c r="AC211" s="391"/>
      <c r="AD211" s="391"/>
      <c r="AE211" s="391"/>
      <c r="AF211" s="391"/>
      <c r="AG211" s="391"/>
      <c r="AH211" s="392"/>
      <c r="AI211" s="391"/>
      <c r="AJ211" s="391"/>
    </row>
    <row r="212" spans="1:36" ht="13.5" x14ac:dyDescent="0.25">
      <c r="A212" s="391"/>
      <c r="B212" s="391"/>
      <c r="C212" s="391"/>
      <c r="D212" s="391"/>
      <c r="E212" s="391"/>
      <c r="F212" s="391"/>
      <c r="G212" s="391"/>
      <c r="H212" s="391"/>
      <c r="I212" s="391"/>
      <c r="J212" s="391"/>
      <c r="K212" s="391"/>
      <c r="L212" s="391"/>
      <c r="M212" s="391"/>
      <c r="N212" s="391"/>
      <c r="O212" s="391"/>
      <c r="P212" s="391"/>
      <c r="Q212" s="391"/>
      <c r="R212" s="391"/>
      <c r="S212" s="391"/>
      <c r="T212" s="391"/>
      <c r="U212" s="391"/>
      <c r="V212" s="391"/>
      <c r="W212" s="391"/>
      <c r="X212" s="391"/>
      <c r="Y212" s="391"/>
      <c r="Z212" s="391"/>
      <c r="AA212" s="391"/>
      <c r="AB212" s="391"/>
      <c r="AC212" s="391"/>
      <c r="AD212" s="391"/>
      <c r="AE212" s="391"/>
      <c r="AF212" s="391"/>
      <c r="AG212" s="391"/>
      <c r="AH212" s="392"/>
      <c r="AI212" s="391"/>
      <c r="AJ212" s="391"/>
    </row>
    <row r="213" spans="1:36" ht="13.5" x14ac:dyDescent="0.25">
      <c r="A213" s="391"/>
      <c r="B213" s="391"/>
      <c r="C213" s="391"/>
      <c r="D213" s="391"/>
      <c r="E213" s="391"/>
      <c r="F213" s="391"/>
      <c r="G213" s="391"/>
      <c r="H213" s="391"/>
      <c r="I213" s="391"/>
      <c r="J213" s="391"/>
      <c r="K213" s="391"/>
      <c r="L213" s="391"/>
      <c r="M213" s="391"/>
      <c r="N213" s="391"/>
      <c r="O213" s="391"/>
      <c r="P213" s="391"/>
      <c r="Q213" s="391"/>
      <c r="R213" s="391"/>
      <c r="S213" s="391"/>
      <c r="T213" s="391"/>
      <c r="U213" s="391"/>
      <c r="V213" s="391"/>
      <c r="W213" s="391"/>
      <c r="X213" s="391"/>
      <c r="Y213" s="391"/>
      <c r="Z213" s="391"/>
      <c r="AA213" s="391"/>
      <c r="AB213" s="391"/>
      <c r="AC213" s="391"/>
      <c r="AD213" s="391"/>
      <c r="AE213" s="391"/>
      <c r="AF213" s="391"/>
      <c r="AG213" s="391"/>
      <c r="AH213" s="392"/>
      <c r="AI213" s="391"/>
      <c r="AJ213" s="391"/>
    </row>
    <row r="214" spans="1:36" ht="13.5" x14ac:dyDescent="0.25">
      <c r="A214" s="391"/>
      <c r="B214" s="391"/>
      <c r="C214" s="391"/>
      <c r="D214" s="391"/>
      <c r="E214" s="391"/>
      <c r="F214" s="391"/>
      <c r="G214" s="391"/>
      <c r="H214" s="391"/>
      <c r="I214" s="391"/>
      <c r="J214" s="391"/>
      <c r="K214" s="391"/>
      <c r="L214" s="391"/>
      <c r="M214" s="391"/>
      <c r="N214" s="391"/>
      <c r="O214" s="391"/>
      <c r="P214" s="391"/>
      <c r="Q214" s="391"/>
      <c r="R214" s="391"/>
      <c r="S214" s="391"/>
      <c r="T214" s="391"/>
      <c r="U214" s="391"/>
      <c r="V214" s="391"/>
      <c r="W214" s="391"/>
      <c r="X214" s="391"/>
      <c r="Y214" s="391"/>
      <c r="Z214" s="391"/>
      <c r="AA214" s="391"/>
      <c r="AB214" s="391"/>
      <c r="AC214" s="391"/>
      <c r="AD214" s="391"/>
      <c r="AE214" s="391"/>
      <c r="AF214" s="391"/>
      <c r="AG214" s="391"/>
      <c r="AH214" s="392"/>
      <c r="AI214" s="391"/>
      <c r="AJ214" s="391"/>
    </row>
    <row r="215" spans="1:36" ht="13.5" x14ac:dyDescent="0.25">
      <c r="A215" s="391"/>
      <c r="B215" s="391"/>
      <c r="C215" s="391"/>
      <c r="D215" s="391"/>
      <c r="E215" s="391"/>
      <c r="F215" s="391"/>
      <c r="G215" s="391"/>
      <c r="H215" s="391"/>
      <c r="I215" s="391"/>
      <c r="J215" s="391"/>
      <c r="K215" s="391"/>
      <c r="L215" s="391"/>
      <c r="M215" s="391"/>
      <c r="N215" s="391"/>
      <c r="O215" s="391"/>
      <c r="P215" s="391"/>
      <c r="Q215" s="391"/>
      <c r="R215" s="391"/>
      <c r="S215" s="391"/>
      <c r="T215" s="391"/>
      <c r="U215" s="391"/>
      <c r="V215" s="391"/>
      <c r="W215" s="391"/>
      <c r="X215" s="391"/>
      <c r="Y215" s="391"/>
      <c r="Z215" s="391"/>
      <c r="AA215" s="391"/>
      <c r="AB215" s="391"/>
      <c r="AC215" s="391"/>
      <c r="AD215" s="391"/>
      <c r="AE215" s="391"/>
      <c r="AF215" s="391"/>
      <c r="AG215" s="391"/>
      <c r="AH215" s="392"/>
      <c r="AI215" s="391"/>
      <c r="AJ215" s="391"/>
    </row>
    <row r="216" spans="1:36" ht="13.5" x14ac:dyDescent="0.25">
      <c r="A216" s="391"/>
      <c r="B216" s="391"/>
      <c r="C216" s="391"/>
      <c r="D216" s="391"/>
      <c r="E216" s="391"/>
      <c r="F216" s="391"/>
      <c r="G216" s="391"/>
      <c r="H216" s="391"/>
      <c r="I216" s="391"/>
      <c r="J216" s="391"/>
      <c r="K216" s="391"/>
      <c r="L216" s="391"/>
      <c r="M216" s="391"/>
      <c r="N216" s="391"/>
      <c r="O216" s="391"/>
      <c r="P216" s="391"/>
      <c r="Q216" s="391"/>
      <c r="R216" s="391"/>
      <c r="S216" s="391"/>
      <c r="T216" s="391"/>
      <c r="U216" s="391"/>
      <c r="V216" s="391"/>
      <c r="W216" s="391"/>
      <c r="X216" s="391"/>
      <c r="Y216" s="391"/>
      <c r="Z216" s="391"/>
      <c r="AA216" s="391"/>
      <c r="AB216" s="391"/>
      <c r="AC216" s="391"/>
      <c r="AD216" s="391"/>
      <c r="AE216" s="391"/>
      <c r="AF216" s="391"/>
      <c r="AG216" s="391"/>
      <c r="AH216" s="392"/>
      <c r="AI216" s="391"/>
      <c r="AJ216" s="391"/>
    </row>
    <row r="217" spans="1:36" ht="13.5" x14ac:dyDescent="0.25">
      <c r="A217" s="391"/>
      <c r="B217" s="391"/>
      <c r="C217" s="391"/>
      <c r="D217" s="391"/>
      <c r="E217" s="391"/>
      <c r="F217" s="391"/>
      <c r="G217" s="391"/>
      <c r="H217" s="391"/>
      <c r="I217" s="391"/>
      <c r="J217" s="391"/>
      <c r="K217" s="391"/>
      <c r="L217" s="391"/>
      <c r="M217" s="391"/>
      <c r="N217" s="391"/>
      <c r="O217" s="391"/>
      <c r="P217" s="391"/>
      <c r="Q217" s="391"/>
      <c r="R217" s="391"/>
      <c r="S217" s="391"/>
      <c r="T217" s="391"/>
      <c r="U217" s="391"/>
      <c r="V217" s="391"/>
      <c r="W217" s="391"/>
      <c r="X217" s="391"/>
      <c r="Y217" s="391"/>
      <c r="Z217" s="391"/>
      <c r="AA217" s="391"/>
      <c r="AB217" s="391"/>
      <c r="AC217" s="391"/>
      <c r="AD217" s="391"/>
      <c r="AE217" s="391"/>
      <c r="AF217" s="391"/>
      <c r="AG217" s="391"/>
      <c r="AH217" s="392"/>
      <c r="AI217" s="391"/>
      <c r="AJ217" s="391"/>
    </row>
    <row r="218" spans="1:36" ht="13.5" x14ac:dyDescent="0.25">
      <c r="A218" s="391"/>
      <c r="B218" s="391"/>
      <c r="C218" s="391"/>
      <c r="D218" s="391"/>
      <c r="E218" s="391"/>
      <c r="F218" s="391"/>
      <c r="G218" s="391"/>
      <c r="H218" s="391"/>
      <c r="I218" s="391"/>
      <c r="J218" s="391"/>
      <c r="K218" s="391"/>
      <c r="L218" s="391"/>
      <c r="M218" s="391"/>
      <c r="N218" s="391"/>
      <c r="O218" s="391"/>
      <c r="P218" s="391"/>
      <c r="Q218" s="391"/>
      <c r="R218" s="391"/>
      <c r="S218" s="391"/>
      <c r="T218" s="391"/>
      <c r="U218" s="391"/>
      <c r="V218" s="391"/>
      <c r="W218" s="391"/>
      <c r="X218" s="391"/>
      <c r="Y218" s="391"/>
      <c r="Z218" s="391"/>
      <c r="AA218" s="391"/>
      <c r="AB218" s="391"/>
      <c r="AC218" s="391"/>
      <c r="AD218" s="391"/>
      <c r="AE218" s="391"/>
      <c r="AF218" s="391"/>
      <c r="AG218" s="391"/>
      <c r="AH218" s="392"/>
      <c r="AI218" s="391"/>
      <c r="AJ218" s="391"/>
    </row>
    <row r="219" spans="1:36" ht="13.5" x14ac:dyDescent="0.25">
      <c r="A219" s="391"/>
      <c r="B219" s="391"/>
      <c r="C219" s="391"/>
      <c r="D219" s="391"/>
      <c r="E219" s="391"/>
      <c r="F219" s="391"/>
      <c r="G219" s="391"/>
      <c r="H219" s="391"/>
      <c r="I219" s="391"/>
      <c r="J219" s="391"/>
      <c r="K219" s="391"/>
      <c r="L219" s="391"/>
      <c r="M219" s="391"/>
      <c r="N219" s="391"/>
      <c r="O219" s="391"/>
      <c r="P219" s="391"/>
      <c r="Q219" s="391"/>
      <c r="R219" s="391"/>
      <c r="S219" s="391"/>
      <c r="T219" s="391"/>
      <c r="U219" s="391"/>
      <c r="V219" s="391"/>
      <c r="W219" s="391"/>
      <c r="X219" s="391"/>
      <c r="Y219" s="391"/>
      <c r="Z219" s="391"/>
      <c r="AA219" s="391"/>
      <c r="AB219" s="391"/>
      <c r="AC219" s="391"/>
      <c r="AD219" s="391"/>
      <c r="AE219" s="391"/>
      <c r="AF219" s="391"/>
      <c r="AG219" s="391"/>
      <c r="AH219" s="392"/>
      <c r="AI219" s="391"/>
      <c r="AJ219" s="391"/>
    </row>
    <row r="220" spans="1:36" ht="13.5" x14ac:dyDescent="0.25">
      <c r="A220" s="391"/>
      <c r="B220" s="391"/>
      <c r="C220" s="391"/>
      <c r="D220" s="391"/>
      <c r="E220" s="391"/>
      <c r="F220" s="391"/>
      <c r="G220" s="391"/>
      <c r="H220" s="391"/>
      <c r="I220" s="391"/>
      <c r="J220" s="391"/>
      <c r="K220" s="391"/>
      <c r="L220" s="391"/>
      <c r="M220" s="391"/>
      <c r="N220" s="391"/>
      <c r="O220" s="391"/>
      <c r="P220" s="391"/>
      <c r="Q220" s="391"/>
      <c r="R220" s="391"/>
      <c r="S220" s="391"/>
      <c r="T220" s="391"/>
      <c r="U220" s="391"/>
      <c r="V220" s="391"/>
      <c r="W220" s="391"/>
      <c r="X220" s="391"/>
      <c r="Y220" s="391"/>
      <c r="Z220" s="391"/>
      <c r="AA220" s="391"/>
      <c r="AB220" s="391"/>
      <c r="AC220" s="391"/>
      <c r="AD220" s="391"/>
      <c r="AE220" s="391"/>
      <c r="AF220" s="391"/>
      <c r="AG220" s="391"/>
      <c r="AH220" s="392"/>
      <c r="AI220" s="391"/>
      <c r="AJ220" s="391"/>
    </row>
    <row r="221" spans="1:36" ht="13.5" x14ac:dyDescent="0.25">
      <c r="A221" s="391"/>
      <c r="B221" s="391"/>
      <c r="C221" s="391"/>
      <c r="D221" s="391"/>
      <c r="E221" s="391"/>
      <c r="F221" s="391"/>
      <c r="G221" s="391"/>
      <c r="H221" s="391"/>
      <c r="I221" s="391"/>
      <c r="J221" s="391"/>
      <c r="K221" s="391"/>
      <c r="L221" s="391"/>
      <c r="M221" s="391"/>
      <c r="N221" s="391"/>
      <c r="O221" s="391"/>
      <c r="P221" s="391"/>
      <c r="Q221" s="391"/>
      <c r="R221" s="391"/>
      <c r="S221" s="391"/>
      <c r="T221" s="391"/>
      <c r="U221" s="391"/>
      <c r="V221" s="391"/>
      <c r="W221" s="391"/>
      <c r="X221" s="391"/>
      <c r="Y221" s="391"/>
      <c r="Z221" s="391"/>
      <c r="AA221" s="391"/>
      <c r="AB221" s="391"/>
      <c r="AC221" s="391"/>
      <c r="AD221" s="391"/>
      <c r="AE221" s="391"/>
      <c r="AF221" s="391"/>
      <c r="AG221" s="391"/>
      <c r="AH221" s="392"/>
      <c r="AI221" s="391"/>
      <c r="AJ221" s="391"/>
    </row>
    <row r="222" spans="1:36" ht="13.5" x14ac:dyDescent="0.25">
      <c r="A222" s="391"/>
      <c r="B222" s="391"/>
      <c r="C222" s="391"/>
      <c r="D222" s="391"/>
      <c r="E222" s="391"/>
      <c r="F222" s="391"/>
      <c r="G222" s="391"/>
      <c r="H222" s="391"/>
      <c r="I222" s="391"/>
      <c r="J222" s="391"/>
      <c r="K222" s="391"/>
      <c r="L222" s="391"/>
      <c r="M222" s="391"/>
      <c r="N222" s="391"/>
      <c r="O222" s="391"/>
      <c r="P222" s="391"/>
      <c r="Q222" s="391"/>
      <c r="R222" s="391"/>
      <c r="S222" s="391"/>
      <c r="T222" s="391"/>
      <c r="U222" s="391"/>
      <c r="V222" s="391"/>
      <c r="W222" s="391"/>
      <c r="X222" s="391"/>
      <c r="Y222" s="391"/>
      <c r="Z222" s="391"/>
      <c r="AA222" s="391"/>
      <c r="AB222" s="391"/>
      <c r="AC222" s="391"/>
      <c r="AD222" s="391"/>
      <c r="AE222" s="391"/>
      <c r="AF222" s="391"/>
      <c r="AG222" s="391"/>
      <c r="AH222" s="392"/>
      <c r="AI222" s="391"/>
      <c r="AJ222" s="391"/>
    </row>
    <row r="223" spans="1:36" ht="13.5" x14ac:dyDescent="0.25">
      <c r="A223" s="391"/>
      <c r="B223" s="391"/>
      <c r="C223" s="391"/>
      <c r="D223" s="391"/>
      <c r="E223" s="391"/>
      <c r="F223" s="391"/>
      <c r="G223" s="391"/>
      <c r="H223" s="391"/>
      <c r="I223" s="391"/>
      <c r="J223" s="391"/>
      <c r="K223" s="391"/>
      <c r="L223" s="391"/>
      <c r="M223" s="391"/>
      <c r="N223" s="391"/>
      <c r="O223" s="391"/>
      <c r="P223" s="391"/>
      <c r="Q223" s="391"/>
      <c r="R223" s="391"/>
      <c r="S223" s="391"/>
      <c r="T223" s="391"/>
      <c r="U223" s="391"/>
      <c r="V223" s="391"/>
      <c r="W223" s="391"/>
      <c r="X223" s="391"/>
      <c r="Y223" s="391"/>
      <c r="Z223" s="391"/>
      <c r="AA223" s="391"/>
      <c r="AB223" s="391"/>
      <c r="AC223" s="391"/>
      <c r="AD223" s="391"/>
      <c r="AE223" s="391"/>
      <c r="AF223" s="391"/>
      <c r="AG223" s="391"/>
      <c r="AH223" s="392"/>
      <c r="AI223" s="391"/>
      <c r="AJ223" s="391"/>
    </row>
    <row r="224" spans="1:36" ht="13.5" x14ac:dyDescent="0.25">
      <c r="A224" s="391"/>
      <c r="B224" s="391"/>
      <c r="C224" s="391"/>
      <c r="D224" s="391"/>
      <c r="E224" s="391"/>
      <c r="F224" s="391"/>
      <c r="G224" s="391"/>
      <c r="H224" s="391"/>
      <c r="I224" s="391"/>
      <c r="J224" s="391"/>
      <c r="K224" s="391"/>
      <c r="L224" s="391"/>
      <c r="M224" s="391"/>
      <c r="N224" s="391"/>
      <c r="O224" s="391"/>
      <c r="P224" s="391"/>
      <c r="Q224" s="391"/>
      <c r="R224" s="391"/>
      <c r="S224" s="391"/>
      <c r="T224" s="391"/>
      <c r="U224" s="391"/>
      <c r="V224" s="391"/>
      <c r="W224" s="391"/>
      <c r="X224" s="391"/>
      <c r="Y224" s="391"/>
      <c r="Z224" s="391"/>
      <c r="AA224" s="391"/>
      <c r="AB224" s="391"/>
      <c r="AC224" s="391"/>
      <c r="AD224" s="391"/>
      <c r="AE224" s="391"/>
      <c r="AF224" s="391"/>
      <c r="AG224" s="391"/>
      <c r="AH224" s="392"/>
      <c r="AI224" s="391"/>
      <c r="AJ224" s="391"/>
    </row>
    <row r="225" spans="1:36" ht="13.5" x14ac:dyDescent="0.25">
      <c r="A225" s="391"/>
      <c r="B225" s="391"/>
      <c r="C225" s="391"/>
      <c r="D225" s="391"/>
      <c r="E225" s="391"/>
      <c r="F225" s="391"/>
      <c r="G225" s="391"/>
      <c r="H225" s="391"/>
      <c r="I225" s="391"/>
      <c r="J225" s="391"/>
      <c r="K225" s="391"/>
      <c r="L225" s="391"/>
      <c r="M225" s="391"/>
      <c r="N225" s="391"/>
      <c r="O225" s="391"/>
      <c r="P225" s="391"/>
      <c r="Q225" s="391"/>
      <c r="R225" s="391"/>
      <c r="S225" s="391"/>
      <c r="T225" s="391"/>
      <c r="U225" s="391"/>
      <c r="V225" s="391"/>
      <c r="W225" s="391"/>
      <c r="X225" s="391"/>
      <c r="Y225" s="391"/>
      <c r="Z225" s="391"/>
      <c r="AA225" s="391"/>
      <c r="AB225" s="391"/>
      <c r="AC225" s="391"/>
      <c r="AD225" s="391"/>
      <c r="AE225" s="391"/>
      <c r="AF225" s="391"/>
      <c r="AG225" s="391"/>
      <c r="AH225" s="392"/>
      <c r="AI225" s="391"/>
      <c r="AJ225" s="391"/>
    </row>
    <row r="226" spans="1:36" ht="13.5" x14ac:dyDescent="0.25">
      <c r="A226" s="391"/>
      <c r="B226" s="391"/>
      <c r="C226" s="391"/>
      <c r="D226" s="391"/>
      <c r="E226" s="391"/>
      <c r="F226" s="391"/>
      <c r="G226" s="391"/>
      <c r="H226" s="391"/>
      <c r="I226" s="391"/>
      <c r="J226" s="391"/>
      <c r="K226" s="391"/>
      <c r="L226" s="391"/>
      <c r="M226" s="391"/>
      <c r="N226" s="391"/>
      <c r="O226" s="391"/>
      <c r="P226" s="391"/>
      <c r="Q226" s="391"/>
      <c r="R226" s="391"/>
      <c r="S226" s="391"/>
      <c r="T226" s="391"/>
      <c r="U226" s="391"/>
      <c r="V226" s="391"/>
      <c r="W226" s="391"/>
      <c r="X226" s="391"/>
      <c r="Y226" s="391"/>
      <c r="Z226" s="391"/>
      <c r="AA226" s="391"/>
      <c r="AB226" s="391"/>
      <c r="AC226" s="391"/>
      <c r="AD226" s="391"/>
      <c r="AE226" s="391"/>
      <c r="AF226" s="391"/>
      <c r="AG226" s="391"/>
      <c r="AH226" s="392"/>
      <c r="AI226" s="391"/>
      <c r="AJ226" s="391"/>
    </row>
    <row r="227" spans="1:36" ht="13.5" x14ac:dyDescent="0.25">
      <c r="A227" s="391"/>
      <c r="B227" s="391"/>
      <c r="C227" s="391"/>
      <c r="D227" s="391"/>
      <c r="E227" s="391"/>
      <c r="F227" s="391"/>
      <c r="G227" s="391"/>
      <c r="H227" s="391"/>
      <c r="I227" s="391"/>
      <c r="J227" s="391"/>
      <c r="K227" s="391"/>
      <c r="L227" s="391"/>
      <c r="M227" s="391"/>
      <c r="N227" s="391"/>
      <c r="O227" s="391"/>
      <c r="P227" s="391"/>
      <c r="Q227" s="391"/>
      <c r="R227" s="391"/>
      <c r="S227" s="391"/>
      <c r="T227" s="391"/>
      <c r="U227" s="391"/>
      <c r="V227" s="391"/>
      <c r="W227" s="391"/>
      <c r="X227" s="391"/>
      <c r="Y227" s="391"/>
      <c r="Z227" s="391"/>
      <c r="AA227" s="391"/>
      <c r="AB227" s="391"/>
      <c r="AC227" s="391"/>
      <c r="AD227" s="391"/>
      <c r="AE227" s="391"/>
      <c r="AF227" s="391"/>
      <c r="AG227" s="391"/>
      <c r="AH227" s="392"/>
      <c r="AI227" s="391"/>
      <c r="AJ227" s="391"/>
    </row>
    <row r="228" spans="1:36" ht="13.5" x14ac:dyDescent="0.25">
      <c r="A228" s="391"/>
      <c r="B228" s="391"/>
      <c r="C228" s="391"/>
      <c r="D228" s="391"/>
      <c r="E228" s="391"/>
      <c r="F228" s="391"/>
      <c r="G228" s="391"/>
      <c r="H228" s="391"/>
      <c r="I228" s="391"/>
      <c r="J228" s="391"/>
      <c r="K228" s="391"/>
      <c r="L228" s="391"/>
      <c r="M228" s="391"/>
      <c r="N228" s="391"/>
      <c r="O228" s="391"/>
      <c r="P228" s="391"/>
      <c r="Q228" s="391"/>
      <c r="R228" s="391"/>
      <c r="S228" s="391"/>
      <c r="T228" s="391"/>
      <c r="U228" s="391"/>
      <c r="V228" s="391"/>
      <c r="W228" s="391"/>
      <c r="X228" s="391"/>
      <c r="Y228" s="391"/>
      <c r="Z228" s="391"/>
      <c r="AA228" s="391"/>
      <c r="AB228" s="391"/>
      <c r="AC228" s="391"/>
      <c r="AD228" s="391"/>
      <c r="AE228" s="391"/>
      <c r="AF228" s="391"/>
      <c r="AG228" s="391"/>
      <c r="AH228" s="392"/>
      <c r="AI228" s="391"/>
      <c r="AJ228" s="391"/>
    </row>
    <row r="229" spans="1:36" ht="13.5" x14ac:dyDescent="0.25">
      <c r="A229" s="391"/>
      <c r="B229" s="391"/>
      <c r="C229" s="391"/>
      <c r="D229" s="391"/>
      <c r="E229" s="391"/>
      <c r="F229" s="391"/>
      <c r="G229" s="391"/>
      <c r="H229" s="391"/>
      <c r="I229" s="391"/>
      <c r="J229" s="391"/>
      <c r="K229" s="391"/>
      <c r="L229" s="391"/>
      <c r="M229" s="391"/>
      <c r="N229" s="391"/>
      <c r="O229" s="391"/>
      <c r="P229" s="391"/>
      <c r="Q229" s="391"/>
      <c r="R229" s="391"/>
      <c r="S229" s="391"/>
      <c r="T229" s="391"/>
      <c r="U229" s="391"/>
      <c r="V229" s="391"/>
      <c r="W229" s="391"/>
      <c r="X229" s="391"/>
      <c r="Y229" s="391"/>
      <c r="Z229" s="391"/>
      <c r="AA229" s="391"/>
      <c r="AB229" s="391"/>
      <c r="AC229" s="391"/>
      <c r="AD229" s="391"/>
      <c r="AE229" s="391"/>
      <c r="AF229" s="391"/>
      <c r="AG229" s="391"/>
      <c r="AH229" s="392"/>
      <c r="AI229" s="391"/>
      <c r="AJ229" s="391"/>
    </row>
    <row r="230" spans="1:36" ht="13.5" x14ac:dyDescent="0.25">
      <c r="A230" s="391"/>
      <c r="B230" s="391"/>
      <c r="C230" s="391"/>
      <c r="D230" s="391"/>
      <c r="E230" s="391"/>
      <c r="F230" s="391"/>
      <c r="G230" s="391"/>
      <c r="H230" s="391"/>
      <c r="I230" s="391"/>
      <c r="J230" s="391"/>
      <c r="K230" s="391"/>
      <c r="L230" s="391"/>
      <c r="M230" s="391"/>
      <c r="N230" s="391"/>
      <c r="O230" s="391"/>
      <c r="P230" s="391"/>
      <c r="Q230" s="391"/>
      <c r="R230" s="391"/>
      <c r="S230" s="391"/>
      <c r="T230" s="391"/>
      <c r="U230" s="391"/>
      <c r="V230" s="391"/>
      <c r="W230" s="391"/>
      <c r="X230" s="391"/>
      <c r="Y230" s="391"/>
      <c r="Z230" s="391"/>
      <c r="AA230" s="391"/>
      <c r="AB230" s="391"/>
      <c r="AC230" s="391"/>
      <c r="AD230" s="391"/>
      <c r="AE230" s="391"/>
      <c r="AF230" s="391"/>
      <c r="AG230" s="391"/>
      <c r="AH230" s="392"/>
      <c r="AI230" s="391"/>
      <c r="AJ230" s="391"/>
    </row>
    <row r="231" spans="1:36" ht="13.5" x14ac:dyDescent="0.25">
      <c r="A231" s="391"/>
      <c r="B231" s="391"/>
      <c r="C231" s="391"/>
      <c r="D231" s="391"/>
      <c r="E231" s="391"/>
      <c r="F231" s="391"/>
      <c r="G231" s="391"/>
      <c r="H231" s="391"/>
      <c r="I231" s="391"/>
      <c r="J231" s="391"/>
      <c r="K231" s="391"/>
      <c r="L231" s="391"/>
      <c r="M231" s="391"/>
      <c r="N231" s="391"/>
      <c r="O231" s="391"/>
      <c r="P231" s="391"/>
      <c r="Q231" s="391"/>
      <c r="R231" s="391"/>
      <c r="S231" s="391"/>
      <c r="T231" s="391"/>
      <c r="U231" s="391"/>
      <c r="V231" s="391"/>
      <c r="W231" s="391"/>
      <c r="X231" s="391"/>
      <c r="Y231" s="391"/>
      <c r="Z231" s="391"/>
      <c r="AA231" s="391"/>
      <c r="AB231" s="391"/>
      <c r="AC231" s="391"/>
      <c r="AD231" s="391"/>
      <c r="AE231" s="391"/>
      <c r="AF231" s="391"/>
      <c r="AG231" s="391"/>
      <c r="AH231" s="392"/>
      <c r="AI231" s="391"/>
      <c r="AJ231" s="391"/>
    </row>
    <row r="232" spans="1:36" ht="13.5" x14ac:dyDescent="0.25">
      <c r="A232" s="391"/>
      <c r="B232" s="391"/>
      <c r="C232" s="391"/>
      <c r="D232" s="391"/>
      <c r="E232" s="391"/>
      <c r="F232" s="391"/>
      <c r="G232" s="391"/>
      <c r="H232" s="391"/>
      <c r="I232" s="391"/>
      <c r="J232" s="391"/>
      <c r="K232" s="391"/>
      <c r="L232" s="391"/>
      <c r="M232" s="391"/>
      <c r="N232" s="391"/>
      <c r="O232" s="391"/>
      <c r="P232" s="391"/>
      <c r="Q232" s="391"/>
      <c r="R232" s="391"/>
      <c r="S232" s="391"/>
      <c r="T232" s="391"/>
      <c r="U232" s="391"/>
      <c r="V232" s="391"/>
      <c r="W232" s="391"/>
      <c r="X232" s="391"/>
      <c r="Y232" s="391"/>
      <c r="Z232" s="391"/>
      <c r="AA232" s="391"/>
      <c r="AB232" s="391"/>
      <c r="AC232" s="391"/>
      <c r="AD232" s="391"/>
      <c r="AE232" s="391"/>
      <c r="AF232" s="391"/>
      <c r="AG232" s="391"/>
      <c r="AH232" s="392"/>
      <c r="AI232" s="391"/>
      <c r="AJ232" s="391"/>
    </row>
    <row r="233" spans="1:36" ht="13.5" x14ac:dyDescent="0.25">
      <c r="A233" s="391"/>
      <c r="B233" s="391"/>
      <c r="C233" s="391"/>
      <c r="D233" s="391"/>
      <c r="E233" s="391"/>
      <c r="F233" s="391"/>
      <c r="G233" s="391"/>
      <c r="H233" s="391"/>
      <c r="I233" s="391"/>
      <c r="J233" s="391"/>
      <c r="K233" s="391"/>
      <c r="L233" s="391"/>
      <c r="M233" s="391"/>
      <c r="N233" s="391"/>
      <c r="O233" s="391"/>
      <c r="P233" s="391"/>
      <c r="Q233" s="391"/>
      <c r="R233" s="391"/>
      <c r="S233" s="391"/>
      <c r="T233" s="391"/>
      <c r="U233" s="391"/>
      <c r="V233" s="391"/>
      <c r="W233" s="391"/>
      <c r="X233" s="391"/>
      <c r="Y233" s="391"/>
      <c r="Z233" s="391"/>
      <c r="AA233" s="391"/>
      <c r="AB233" s="391"/>
      <c r="AC233" s="391"/>
      <c r="AD233" s="391"/>
      <c r="AE233" s="391"/>
      <c r="AF233" s="391"/>
      <c r="AG233" s="391"/>
      <c r="AH233" s="392"/>
      <c r="AI233" s="391"/>
      <c r="AJ233" s="391"/>
    </row>
    <row r="234" spans="1:36" ht="13.5" x14ac:dyDescent="0.25">
      <c r="A234" s="391"/>
      <c r="B234" s="391"/>
      <c r="C234" s="391"/>
      <c r="D234" s="391"/>
      <c r="E234" s="391"/>
      <c r="F234" s="391"/>
      <c r="G234" s="391"/>
      <c r="H234" s="391"/>
      <c r="I234" s="391"/>
      <c r="J234" s="391"/>
      <c r="K234" s="391"/>
      <c r="L234" s="391"/>
      <c r="M234" s="391"/>
      <c r="N234" s="391"/>
      <c r="O234" s="391"/>
      <c r="P234" s="391"/>
      <c r="Q234" s="391"/>
      <c r="R234" s="391"/>
      <c r="S234" s="391"/>
      <c r="T234" s="391"/>
      <c r="U234" s="391"/>
      <c r="V234" s="391"/>
      <c r="W234" s="391"/>
      <c r="X234" s="391"/>
      <c r="Y234" s="391"/>
      <c r="Z234" s="391"/>
      <c r="AA234" s="391"/>
      <c r="AB234" s="391"/>
      <c r="AC234" s="391"/>
      <c r="AD234" s="391"/>
      <c r="AE234" s="391"/>
      <c r="AF234" s="391"/>
      <c r="AG234" s="391"/>
      <c r="AH234" s="392"/>
      <c r="AI234" s="391"/>
      <c r="AJ234" s="391"/>
    </row>
    <row r="235" spans="1:36" ht="13.5" x14ac:dyDescent="0.25">
      <c r="A235" s="391"/>
      <c r="B235" s="391"/>
      <c r="C235" s="391"/>
      <c r="D235" s="391"/>
      <c r="E235" s="391"/>
      <c r="F235" s="391"/>
      <c r="G235" s="391"/>
      <c r="H235" s="391"/>
      <c r="I235" s="391"/>
      <c r="J235" s="391"/>
      <c r="K235" s="391"/>
      <c r="L235" s="391"/>
      <c r="M235" s="391"/>
      <c r="N235" s="391"/>
      <c r="O235" s="391"/>
      <c r="P235" s="391"/>
      <c r="Q235" s="391"/>
      <c r="R235" s="391"/>
      <c r="S235" s="391"/>
      <c r="T235" s="391"/>
      <c r="U235" s="391"/>
      <c r="V235" s="391"/>
      <c r="W235" s="391"/>
      <c r="X235" s="391"/>
      <c r="Y235" s="391"/>
      <c r="Z235" s="391"/>
      <c r="AA235" s="391"/>
      <c r="AB235" s="391"/>
      <c r="AC235" s="391"/>
      <c r="AD235" s="391"/>
      <c r="AE235" s="391"/>
      <c r="AF235" s="391"/>
      <c r="AG235" s="391"/>
      <c r="AH235" s="392"/>
      <c r="AI235" s="391"/>
      <c r="AJ235" s="391"/>
    </row>
    <row r="236" spans="1:36" ht="13.5" x14ac:dyDescent="0.25">
      <c r="A236" s="391"/>
      <c r="B236" s="391"/>
      <c r="C236" s="391"/>
      <c r="D236" s="391"/>
      <c r="E236" s="391"/>
      <c r="F236" s="391"/>
      <c r="G236" s="391"/>
      <c r="H236" s="391"/>
      <c r="I236" s="391"/>
      <c r="J236" s="391"/>
      <c r="K236" s="391"/>
      <c r="L236" s="391"/>
      <c r="M236" s="391"/>
      <c r="N236" s="391"/>
      <c r="O236" s="391"/>
      <c r="P236" s="391"/>
      <c r="Q236" s="391"/>
      <c r="R236" s="391"/>
      <c r="S236" s="391"/>
      <c r="T236" s="391"/>
      <c r="U236" s="391"/>
      <c r="V236" s="391"/>
      <c r="W236" s="391"/>
      <c r="X236" s="391"/>
      <c r="Y236" s="391"/>
      <c r="Z236" s="391"/>
      <c r="AA236" s="391"/>
      <c r="AB236" s="391"/>
      <c r="AC236" s="391"/>
      <c r="AD236" s="391"/>
      <c r="AE236" s="391"/>
      <c r="AF236" s="391"/>
      <c r="AG236" s="391"/>
      <c r="AH236" s="392"/>
      <c r="AI236" s="391"/>
      <c r="AJ236" s="391"/>
    </row>
    <row r="237" spans="1:36" ht="13.5" x14ac:dyDescent="0.25">
      <c r="A237" s="391"/>
      <c r="B237" s="391"/>
      <c r="C237" s="391"/>
      <c r="D237" s="391"/>
      <c r="E237" s="391"/>
      <c r="F237" s="391"/>
      <c r="G237" s="391"/>
      <c r="H237" s="391"/>
      <c r="I237" s="391"/>
      <c r="J237" s="391"/>
      <c r="K237" s="391"/>
      <c r="L237" s="391"/>
      <c r="M237" s="391"/>
      <c r="N237" s="391"/>
      <c r="O237" s="391"/>
      <c r="P237" s="391"/>
      <c r="Q237" s="391"/>
      <c r="R237" s="391"/>
      <c r="S237" s="391"/>
      <c r="T237" s="391"/>
      <c r="U237" s="391"/>
      <c r="V237" s="391"/>
      <c r="W237" s="391"/>
      <c r="X237" s="391"/>
      <c r="Y237" s="391"/>
      <c r="Z237" s="391"/>
      <c r="AA237" s="391"/>
      <c r="AB237" s="391"/>
      <c r="AC237" s="391"/>
      <c r="AD237" s="391"/>
      <c r="AE237" s="391"/>
      <c r="AF237" s="391"/>
      <c r="AG237" s="391"/>
      <c r="AH237" s="392"/>
      <c r="AI237" s="391"/>
      <c r="AJ237" s="391"/>
    </row>
    <row r="238" spans="1:36" ht="13.5" x14ac:dyDescent="0.25">
      <c r="A238" s="391"/>
      <c r="B238" s="391"/>
      <c r="C238" s="391"/>
      <c r="D238" s="391"/>
      <c r="E238" s="391"/>
      <c r="F238" s="391"/>
      <c r="G238" s="391"/>
      <c r="H238" s="391"/>
      <c r="I238" s="391"/>
      <c r="J238" s="391"/>
      <c r="K238" s="391"/>
      <c r="L238" s="391"/>
      <c r="M238" s="391"/>
      <c r="N238" s="391"/>
      <c r="O238" s="391"/>
      <c r="P238" s="391"/>
      <c r="Q238" s="391"/>
      <c r="R238" s="391"/>
      <c r="S238" s="391"/>
      <c r="T238" s="391"/>
      <c r="U238" s="391"/>
      <c r="V238" s="391"/>
      <c r="W238" s="391"/>
      <c r="X238" s="391"/>
      <c r="Y238" s="391"/>
      <c r="Z238" s="391"/>
      <c r="AA238" s="391"/>
      <c r="AB238" s="391"/>
      <c r="AC238" s="391"/>
      <c r="AD238" s="391"/>
      <c r="AE238" s="391"/>
      <c r="AF238" s="391"/>
      <c r="AG238" s="391"/>
      <c r="AH238" s="392"/>
      <c r="AI238" s="391"/>
      <c r="AJ238" s="391"/>
    </row>
    <row r="239" spans="1:36" ht="13.5" x14ac:dyDescent="0.25">
      <c r="A239" s="391"/>
      <c r="B239" s="391"/>
      <c r="C239" s="391"/>
      <c r="D239" s="391"/>
      <c r="E239" s="391"/>
      <c r="F239" s="391"/>
      <c r="G239" s="391"/>
      <c r="H239" s="391"/>
      <c r="I239" s="391"/>
      <c r="J239" s="391"/>
      <c r="K239" s="391"/>
      <c r="L239" s="391"/>
      <c r="M239" s="391"/>
      <c r="N239" s="391"/>
      <c r="O239" s="391"/>
      <c r="P239" s="391"/>
      <c r="Q239" s="391"/>
      <c r="R239" s="391"/>
      <c r="S239" s="391"/>
      <c r="T239" s="391"/>
      <c r="U239" s="391"/>
      <c r="V239" s="391"/>
      <c r="W239" s="391"/>
      <c r="X239" s="391"/>
      <c r="Y239" s="391"/>
      <c r="Z239" s="391"/>
      <c r="AA239" s="391"/>
      <c r="AB239" s="391"/>
      <c r="AC239" s="391"/>
      <c r="AD239" s="391"/>
      <c r="AE239" s="391"/>
      <c r="AF239" s="391"/>
      <c r="AG239" s="391"/>
      <c r="AH239" s="392"/>
      <c r="AI239" s="391"/>
      <c r="AJ239" s="391"/>
    </row>
    <row r="240" spans="1:36" ht="13.5" x14ac:dyDescent="0.25">
      <c r="A240" s="391"/>
      <c r="B240" s="391"/>
      <c r="C240" s="391"/>
      <c r="D240" s="391"/>
      <c r="E240" s="391"/>
      <c r="F240" s="391"/>
      <c r="G240" s="391"/>
      <c r="H240" s="391"/>
      <c r="I240" s="391"/>
      <c r="J240" s="391"/>
      <c r="K240" s="391"/>
      <c r="L240" s="391"/>
      <c r="M240" s="391"/>
      <c r="N240" s="391"/>
      <c r="O240" s="391"/>
      <c r="P240" s="391"/>
      <c r="Q240" s="391"/>
      <c r="R240" s="391"/>
      <c r="S240" s="391"/>
      <c r="T240" s="391"/>
      <c r="U240" s="391"/>
      <c r="V240" s="391"/>
      <c r="W240" s="391"/>
      <c r="X240" s="391"/>
      <c r="Y240" s="391"/>
      <c r="Z240" s="391"/>
      <c r="AA240" s="391"/>
      <c r="AB240" s="391"/>
      <c r="AC240" s="391"/>
      <c r="AD240" s="391"/>
      <c r="AE240" s="391"/>
      <c r="AF240" s="391"/>
      <c r="AG240" s="391"/>
      <c r="AH240" s="392"/>
      <c r="AI240" s="391"/>
      <c r="AJ240" s="391"/>
    </row>
    <row r="241" spans="1:36" ht="13.5" x14ac:dyDescent="0.25">
      <c r="A241" s="391"/>
      <c r="B241" s="391"/>
      <c r="C241" s="391"/>
      <c r="D241" s="391"/>
      <c r="E241" s="391"/>
      <c r="F241" s="391"/>
      <c r="G241" s="391"/>
      <c r="H241" s="391"/>
      <c r="I241" s="391"/>
      <c r="J241" s="391"/>
      <c r="K241" s="391"/>
      <c r="L241" s="391"/>
      <c r="M241" s="391"/>
      <c r="N241" s="391"/>
      <c r="O241" s="391"/>
      <c r="P241" s="391"/>
      <c r="Q241" s="391"/>
      <c r="R241" s="391"/>
      <c r="S241" s="391"/>
      <c r="T241" s="391"/>
      <c r="U241" s="391"/>
      <c r="V241" s="391"/>
      <c r="W241" s="391"/>
      <c r="X241" s="391"/>
      <c r="Y241" s="391"/>
      <c r="Z241" s="391"/>
      <c r="AA241" s="391"/>
      <c r="AB241" s="391"/>
      <c r="AC241" s="391"/>
      <c r="AD241" s="391"/>
      <c r="AE241" s="391"/>
      <c r="AF241" s="391"/>
      <c r="AG241" s="391"/>
      <c r="AH241" s="392"/>
      <c r="AI241" s="391"/>
      <c r="AJ241" s="391"/>
    </row>
    <row r="242" spans="1:36" ht="13.5" x14ac:dyDescent="0.25">
      <c r="A242" s="391"/>
      <c r="B242" s="391"/>
      <c r="C242" s="391"/>
      <c r="D242" s="391"/>
      <c r="E242" s="391"/>
      <c r="F242" s="391"/>
      <c r="G242" s="391"/>
      <c r="H242" s="391"/>
      <c r="I242" s="391"/>
      <c r="J242" s="391"/>
      <c r="K242" s="391"/>
      <c r="L242" s="391"/>
      <c r="M242" s="391"/>
      <c r="N242" s="391"/>
      <c r="O242" s="391"/>
      <c r="P242" s="391"/>
      <c r="Q242" s="391"/>
      <c r="R242" s="391"/>
      <c r="S242" s="391"/>
      <c r="T242" s="391"/>
      <c r="U242" s="391"/>
      <c r="V242" s="391"/>
      <c r="W242" s="391"/>
      <c r="X242" s="391"/>
      <c r="Y242" s="391"/>
      <c r="Z242" s="391"/>
      <c r="AA242" s="391"/>
      <c r="AB242" s="391"/>
      <c r="AC242" s="391"/>
      <c r="AD242" s="391"/>
      <c r="AE242" s="391"/>
      <c r="AF242" s="391"/>
      <c r="AG242" s="391"/>
      <c r="AH242" s="392"/>
      <c r="AI242" s="391"/>
      <c r="AJ242" s="391"/>
    </row>
    <row r="243" spans="1:36" ht="13.5" x14ac:dyDescent="0.25">
      <c r="A243" s="391"/>
      <c r="B243" s="391"/>
      <c r="C243" s="391"/>
      <c r="D243" s="391"/>
      <c r="E243" s="391"/>
      <c r="F243" s="391"/>
      <c r="G243" s="391"/>
      <c r="H243" s="391"/>
      <c r="I243" s="391"/>
      <c r="J243" s="391"/>
      <c r="K243" s="391"/>
      <c r="L243" s="391"/>
      <c r="M243" s="391"/>
      <c r="N243" s="391"/>
      <c r="O243" s="391"/>
      <c r="P243" s="391"/>
      <c r="Q243" s="391"/>
      <c r="R243" s="391"/>
      <c r="S243" s="391"/>
      <c r="T243" s="391"/>
      <c r="U243" s="391"/>
      <c r="V243" s="391"/>
      <c r="W243" s="391"/>
      <c r="X243" s="391"/>
      <c r="Y243" s="391"/>
      <c r="Z243" s="391"/>
      <c r="AA243" s="391"/>
      <c r="AB243" s="391"/>
      <c r="AC243" s="391"/>
      <c r="AD243" s="391"/>
      <c r="AE243" s="391"/>
      <c r="AF243" s="391"/>
      <c r="AG243" s="391"/>
      <c r="AH243" s="392"/>
      <c r="AI243" s="391"/>
      <c r="AJ243" s="391"/>
    </row>
    <row r="244" spans="1:36" ht="13.5" x14ac:dyDescent="0.25">
      <c r="A244" s="391"/>
      <c r="B244" s="391"/>
      <c r="C244" s="391"/>
      <c r="D244" s="391"/>
      <c r="E244" s="391"/>
      <c r="F244" s="391"/>
      <c r="G244" s="391"/>
      <c r="H244" s="391"/>
      <c r="I244" s="391"/>
      <c r="J244" s="391"/>
      <c r="K244" s="391"/>
      <c r="L244" s="391"/>
      <c r="M244" s="391"/>
      <c r="N244" s="391"/>
      <c r="O244" s="391"/>
      <c r="P244" s="391"/>
      <c r="Q244" s="391"/>
      <c r="R244" s="391"/>
      <c r="S244" s="391"/>
      <c r="T244" s="391"/>
      <c r="U244" s="391"/>
      <c r="V244" s="391"/>
      <c r="W244" s="391"/>
      <c r="X244" s="391"/>
      <c r="Y244" s="391"/>
      <c r="Z244" s="391"/>
      <c r="AA244" s="391"/>
      <c r="AB244" s="391"/>
      <c r="AC244" s="391"/>
      <c r="AD244" s="391"/>
      <c r="AE244" s="391"/>
      <c r="AF244" s="391"/>
      <c r="AG244" s="391"/>
      <c r="AH244" s="392"/>
      <c r="AI244" s="391"/>
      <c r="AJ244" s="391"/>
    </row>
    <row r="245" spans="1:36" ht="13.5" x14ac:dyDescent="0.25">
      <c r="A245" s="391"/>
      <c r="B245" s="391"/>
      <c r="C245" s="391"/>
      <c r="D245" s="391"/>
      <c r="E245" s="391"/>
      <c r="F245" s="391"/>
      <c r="G245" s="391"/>
      <c r="H245" s="391"/>
      <c r="I245" s="391"/>
      <c r="J245" s="391"/>
      <c r="K245" s="391"/>
      <c r="L245" s="391"/>
      <c r="M245" s="391"/>
      <c r="N245" s="391"/>
      <c r="O245" s="391"/>
      <c r="P245" s="391"/>
      <c r="Q245" s="391"/>
      <c r="R245" s="391"/>
      <c r="S245" s="391"/>
      <c r="T245" s="391"/>
      <c r="U245" s="391"/>
      <c r="V245" s="391"/>
      <c r="W245" s="391"/>
      <c r="X245" s="391"/>
      <c r="Y245" s="391"/>
      <c r="Z245" s="391"/>
      <c r="AA245" s="391"/>
      <c r="AB245" s="391"/>
      <c r="AC245" s="391"/>
      <c r="AD245" s="391"/>
      <c r="AE245" s="391"/>
      <c r="AF245" s="391"/>
      <c r="AG245" s="391"/>
      <c r="AH245" s="392"/>
      <c r="AI245" s="391"/>
      <c r="AJ245" s="391"/>
    </row>
    <row r="246" spans="1:36" ht="13.5" x14ac:dyDescent="0.25">
      <c r="A246" s="391"/>
      <c r="B246" s="391"/>
      <c r="C246" s="391"/>
      <c r="D246" s="391"/>
      <c r="E246" s="391"/>
      <c r="F246" s="391"/>
      <c r="G246" s="391"/>
      <c r="H246" s="391"/>
      <c r="I246" s="391"/>
      <c r="J246" s="391"/>
      <c r="K246" s="391"/>
      <c r="L246" s="391"/>
      <c r="M246" s="391"/>
      <c r="N246" s="391"/>
      <c r="O246" s="391"/>
      <c r="P246" s="391"/>
      <c r="Q246" s="391"/>
      <c r="R246" s="391"/>
      <c r="S246" s="391"/>
      <c r="T246" s="391"/>
      <c r="U246" s="391"/>
      <c r="V246" s="391"/>
      <c r="W246" s="391"/>
      <c r="X246" s="391"/>
      <c r="Y246" s="391"/>
      <c r="Z246" s="391"/>
      <c r="AA246" s="391"/>
      <c r="AB246" s="391"/>
      <c r="AC246" s="391"/>
      <c r="AD246" s="391"/>
      <c r="AE246" s="391"/>
      <c r="AF246" s="391"/>
      <c r="AG246" s="391"/>
      <c r="AH246" s="392"/>
      <c r="AI246" s="391"/>
      <c r="AJ246" s="391"/>
    </row>
    <row r="247" spans="1:36" ht="13.5" x14ac:dyDescent="0.25">
      <c r="A247" s="391"/>
      <c r="B247" s="391"/>
      <c r="C247" s="391"/>
      <c r="D247" s="391"/>
      <c r="E247" s="391"/>
      <c r="F247" s="391"/>
      <c r="G247" s="391"/>
      <c r="H247" s="391"/>
      <c r="I247" s="391"/>
      <c r="J247" s="391"/>
      <c r="K247" s="391"/>
      <c r="L247" s="391"/>
      <c r="M247" s="391"/>
      <c r="N247" s="391"/>
      <c r="O247" s="391"/>
      <c r="P247" s="391"/>
      <c r="Q247" s="391"/>
      <c r="R247" s="391"/>
      <c r="S247" s="391"/>
      <c r="T247" s="391"/>
      <c r="U247" s="391"/>
      <c r="V247" s="391"/>
      <c r="W247" s="391"/>
      <c r="X247" s="391"/>
      <c r="Y247" s="391"/>
      <c r="Z247" s="391"/>
      <c r="AA247" s="391"/>
      <c r="AB247" s="391"/>
      <c r="AC247" s="391"/>
      <c r="AD247" s="391"/>
      <c r="AE247" s="391"/>
      <c r="AF247" s="391"/>
      <c r="AG247" s="391"/>
      <c r="AH247" s="392"/>
      <c r="AI247" s="391"/>
      <c r="AJ247" s="391"/>
    </row>
    <row r="248" spans="1:36" ht="13.5" x14ac:dyDescent="0.25">
      <c r="A248" s="391"/>
      <c r="B248" s="391"/>
      <c r="C248" s="391"/>
      <c r="D248" s="391"/>
      <c r="E248" s="391"/>
      <c r="F248" s="391"/>
      <c r="G248" s="391"/>
      <c r="H248" s="391"/>
      <c r="I248" s="391"/>
      <c r="J248" s="391"/>
      <c r="K248" s="391"/>
      <c r="L248" s="391"/>
      <c r="M248" s="391"/>
      <c r="N248" s="391"/>
      <c r="O248" s="391"/>
      <c r="P248" s="391"/>
      <c r="Q248" s="391"/>
      <c r="R248" s="391"/>
      <c r="S248" s="391"/>
      <c r="T248" s="391"/>
      <c r="U248" s="391"/>
      <c r="V248" s="391"/>
      <c r="W248" s="391"/>
      <c r="X248" s="391"/>
      <c r="Y248" s="391"/>
      <c r="Z248" s="391"/>
      <c r="AA248" s="391"/>
      <c r="AB248" s="391"/>
      <c r="AC248" s="391"/>
      <c r="AD248" s="391"/>
      <c r="AE248" s="391"/>
      <c r="AF248" s="391"/>
      <c r="AG248" s="391"/>
      <c r="AH248" s="392"/>
      <c r="AI248" s="391"/>
      <c r="AJ248" s="391"/>
    </row>
    <row r="249" spans="1:36" ht="13.5" x14ac:dyDescent="0.25">
      <c r="A249" s="391"/>
      <c r="B249" s="391"/>
      <c r="C249" s="391"/>
      <c r="D249" s="391"/>
      <c r="E249" s="391"/>
      <c r="F249" s="391"/>
      <c r="G249" s="391"/>
      <c r="H249" s="391"/>
      <c r="I249" s="391"/>
      <c r="J249" s="391"/>
      <c r="K249" s="391"/>
      <c r="L249" s="391"/>
      <c r="M249" s="391"/>
      <c r="N249" s="391"/>
      <c r="O249" s="391"/>
      <c r="P249" s="391"/>
      <c r="Q249" s="391"/>
      <c r="R249" s="391"/>
      <c r="S249" s="391"/>
      <c r="T249" s="391"/>
      <c r="U249" s="391"/>
      <c r="V249" s="391"/>
      <c r="W249" s="391"/>
      <c r="X249" s="391"/>
      <c r="Y249" s="391"/>
      <c r="Z249" s="391"/>
      <c r="AA249" s="391"/>
      <c r="AB249" s="391"/>
      <c r="AC249" s="391"/>
      <c r="AD249" s="391"/>
      <c r="AE249" s="391"/>
      <c r="AF249" s="391"/>
      <c r="AG249" s="391"/>
      <c r="AH249" s="392"/>
      <c r="AI249" s="391"/>
      <c r="AJ249" s="391"/>
    </row>
    <row r="250" spans="1:36" ht="13.5" x14ac:dyDescent="0.25">
      <c r="A250" s="391"/>
      <c r="B250" s="391"/>
      <c r="C250" s="391"/>
      <c r="D250" s="391"/>
      <c r="E250" s="391"/>
      <c r="F250" s="391"/>
      <c r="G250" s="391"/>
      <c r="H250" s="391"/>
      <c r="I250" s="391"/>
      <c r="J250" s="391"/>
      <c r="K250" s="391"/>
      <c r="L250" s="391"/>
      <c r="M250" s="391"/>
      <c r="N250" s="391"/>
      <c r="O250" s="391"/>
      <c r="P250" s="391"/>
      <c r="Q250" s="391"/>
      <c r="R250" s="391"/>
      <c r="S250" s="391"/>
      <c r="T250" s="391"/>
      <c r="U250" s="391"/>
      <c r="V250" s="391"/>
      <c r="W250" s="391"/>
      <c r="X250" s="391"/>
      <c r="Y250" s="391"/>
      <c r="Z250" s="391"/>
      <c r="AA250" s="391"/>
      <c r="AB250" s="391"/>
      <c r="AC250" s="391"/>
      <c r="AD250" s="391"/>
      <c r="AE250" s="391"/>
      <c r="AF250" s="391"/>
      <c r="AG250" s="391"/>
      <c r="AH250" s="392"/>
      <c r="AI250" s="391"/>
      <c r="AJ250" s="391"/>
    </row>
    <row r="251" spans="1:36" ht="13.5" x14ac:dyDescent="0.25">
      <c r="A251" s="391"/>
      <c r="B251" s="391"/>
      <c r="C251" s="391"/>
      <c r="D251" s="391"/>
      <c r="E251" s="391"/>
      <c r="F251" s="391"/>
      <c r="G251" s="391"/>
      <c r="H251" s="391"/>
      <c r="I251" s="391"/>
      <c r="J251" s="391"/>
      <c r="K251" s="391"/>
      <c r="L251" s="391"/>
      <c r="M251" s="391"/>
      <c r="N251" s="391"/>
      <c r="O251" s="391"/>
      <c r="P251" s="391"/>
      <c r="Q251" s="391"/>
      <c r="R251" s="391"/>
      <c r="S251" s="391"/>
      <c r="T251" s="391"/>
      <c r="U251" s="391"/>
      <c r="V251" s="391"/>
      <c r="W251" s="391"/>
      <c r="X251" s="391"/>
      <c r="Y251" s="391"/>
      <c r="Z251" s="391"/>
      <c r="AA251" s="391"/>
      <c r="AB251" s="391"/>
      <c r="AC251" s="391"/>
      <c r="AD251" s="391"/>
      <c r="AE251" s="391"/>
      <c r="AF251" s="391"/>
      <c r="AG251" s="391"/>
      <c r="AH251" s="392"/>
      <c r="AI251" s="391"/>
      <c r="AJ251" s="391"/>
    </row>
    <row r="252" spans="1:36" ht="13.5" x14ac:dyDescent="0.25">
      <c r="A252" s="391"/>
      <c r="B252" s="391"/>
      <c r="C252" s="391"/>
      <c r="D252" s="391"/>
      <c r="E252" s="391"/>
      <c r="F252" s="391"/>
      <c r="G252" s="391"/>
      <c r="H252" s="391"/>
      <c r="I252" s="391"/>
      <c r="J252" s="391"/>
      <c r="K252" s="391"/>
      <c r="L252" s="391"/>
      <c r="M252" s="391"/>
      <c r="N252" s="391"/>
      <c r="O252" s="391"/>
      <c r="P252" s="391"/>
      <c r="Q252" s="391"/>
      <c r="R252" s="391"/>
      <c r="S252" s="391"/>
      <c r="T252" s="391"/>
      <c r="U252" s="391"/>
      <c r="V252" s="391"/>
      <c r="W252" s="391"/>
      <c r="X252" s="391"/>
      <c r="Y252" s="391"/>
      <c r="Z252" s="391"/>
      <c r="AA252" s="391"/>
      <c r="AB252" s="391"/>
      <c r="AC252" s="391"/>
      <c r="AD252" s="391"/>
      <c r="AE252" s="391"/>
      <c r="AF252" s="391"/>
      <c r="AG252" s="391"/>
      <c r="AH252" s="392"/>
      <c r="AI252" s="391"/>
      <c r="AJ252" s="391"/>
    </row>
    <row r="253" spans="1:36" ht="13.5" x14ac:dyDescent="0.25">
      <c r="A253" s="391"/>
      <c r="B253" s="391"/>
      <c r="C253" s="391"/>
      <c r="D253" s="391"/>
      <c r="E253" s="391"/>
      <c r="F253" s="391"/>
      <c r="G253" s="391"/>
      <c r="H253" s="391"/>
      <c r="I253" s="391"/>
      <c r="J253" s="391"/>
      <c r="K253" s="391"/>
      <c r="L253" s="391"/>
      <c r="M253" s="391"/>
      <c r="N253" s="391"/>
      <c r="O253" s="391"/>
      <c r="P253" s="391"/>
      <c r="Q253" s="391"/>
      <c r="R253" s="391"/>
      <c r="S253" s="391"/>
      <c r="T253" s="391"/>
      <c r="U253" s="391"/>
      <c r="V253" s="391"/>
      <c r="W253" s="391"/>
      <c r="X253" s="391"/>
      <c r="Y253" s="391"/>
      <c r="Z253" s="391"/>
      <c r="AA253" s="391"/>
      <c r="AB253" s="391"/>
      <c r="AC253" s="391"/>
      <c r="AD253" s="391"/>
      <c r="AE253" s="391"/>
      <c r="AF253" s="391"/>
      <c r="AG253" s="391"/>
      <c r="AH253" s="392"/>
      <c r="AI253" s="391"/>
      <c r="AJ253" s="391"/>
    </row>
    <row r="254" spans="1:36" ht="13.5" x14ac:dyDescent="0.25">
      <c r="A254" s="391"/>
      <c r="B254" s="391"/>
      <c r="C254" s="391"/>
      <c r="D254" s="391"/>
      <c r="E254" s="391"/>
      <c r="F254" s="391"/>
      <c r="G254" s="391"/>
      <c r="H254" s="391"/>
      <c r="I254" s="391"/>
      <c r="J254" s="391"/>
      <c r="K254" s="391"/>
      <c r="L254" s="391"/>
      <c r="M254" s="391"/>
      <c r="N254" s="391"/>
      <c r="O254" s="391"/>
      <c r="P254" s="391"/>
      <c r="Q254" s="391"/>
      <c r="R254" s="391"/>
      <c r="S254" s="391"/>
      <c r="T254" s="391"/>
      <c r="U254" s="391"/>
      <c r="V254" s="391"/>
      <c r="W254" s="391"/>
      <c r="X254" s="391"/>
      <c r="Y254" s="391"/>
      <c r="Z254" s="391"/>
      <c r="AA254" s="391"/>
      <c r="AB254" s="391"/>
      <c r="AC254" s="391"/>
      <c r="AD254" s="391"/>
      <c r="AE254" s="391"/>
      <c r="AF254" s="391"/>
      <c r="AG254" s="391"/>
      <c r="AH254" s="392"/>
      <c r="AI254" s="391"/>
      <c r="AJ254" s="391"/>
    </row>
    <row r="255" spans="1:36" ht="13.5" x14ac:dyDescent="0.25">
      <c r="A255" s="391"/>
      <c r="B255" s="391"/>
      <c r="C255" s="391"/>
      <c r="D255" s="391"/>
      <c r="E255" s="391"/>
      <c r="F255" s="391"/>
      <c r="G255" s="391"/>
      <c r="H255" s="391"/>
      <c r="I255" s="391"/>
      <c r="J255" s="391"/>
      <c r="K255" s="391"/>
      <c r="L255" s="391"/>
      <c r="M255" s="391"/>
      <c r="N255" s="391"/>
      <c r="O255" s="391"/>
      <c r="P255" s="391"/>
      <c r="Q255" s="391"/>
      <c r="R255" s="391"/>
      <c r="S255" s="391"/>
      <c r="T255" s="391"/>
      <c r="U255" s="391"/>
      <c r="V255" s="391"/>
      <c r="W255" s="391"/>
      <c r="X255" s="391"/>
      <c r="Y255" s="391"/>
      <c r="Z255" s="391"/>
      <c r="AA255" s="391"/>
      <c r="AB255" s="391"/>
      <c r="AC255" s="391"/>
      <c r="AD255" s="391"/>
      <c r="AE255" s="391"/>
      <c r="AF255" s="391"/>
      <c r="AG255" s="391"/>
      <c r="AH255" s="392"/>
      <c r="AI255" s="391"/>
      <c r="AJ255" s="391"/>
    </row>
    <row r="256" spans="1:36" ht="13.5" x14ac:dyDescent="0.25">
      <c r="A256" s="391"/>
      <c r="B256" s="391"/>
      <c r="C256" s="391"/>
      <c r="D256" s="391"/>
      <c r="E256" s="391"/>
      <c r="F256" s="391"/>
      <c r="G256" s="391"/>
      <c r="H256" s="391"/>
      <c r="I256" s="391"/>
      <c r="J256" s="391"/>
      <c r="K256" s="391"/>
      <c r="L256" s="391"/>
      <c r="M256" s="391"/>
      <c r="N256" s="391"/>
      <c r="O256" s="391"/>
      <c r="P256" s="391"/>
      <c r="Q256" s="391"/>
      <c r="R256" s="391"/>
      <c r="S256" s="391"/>
      <c r="T256" s="391"/>
      <c r="U256" s="391"/>
      <c r="V256" s="391"/>
      <c r="W256" s="391"/>
      <c r="X256" s="391"/>
      <c r="Y256" s="391"/>
      <c r="Z256" s="391"/>
      <c r="AA256" s="391"/>
      <c r="AB256" s="391"/>
      <c r="AC256" s="391"/>
      <c r="AD256" s="391"/>
      <c r="AE256" s="391"/>
      <c r="AF256" s="391"/>
      <c r="AG256" s="391"/>
      <c r="AH256" s="392"/>
      <c r="AI256" s="391"/>
      <c r="AJ256" s="391"/>
    </row>
    <row r="257" spans="1:36" ht="13.5" x14ac:dyDescent="0.25">
      <c r="A257" s="391"/>
      <c r="B257" s="391"/>
      <c r="C257" s="391"/>
      <c r="D257" s="391"/>
      <c r="E257" s="391"/>
      <c r="F257" s="391"/>
      <c r="G257" s="391"/>
      <c r="H257" s="391"/>
      <c r="I257" s="391"/>
      <c r="J257" s="391"/>
      <c r="K257" s="391"/>
      <c r="L257" s="391"/>
      <c r="M257" s="391"/>
      <c r="N257" s="391"/>
      <c r="O257" s="391"/>
      <c r="P257" s="391"/>
      <c r="Q257" s="391"/>
      <c r="R257" s="391"/>
      <c r="S257" s="391"/>
      <c r="T257" s="391"/>
      <c r="U257" s="391"/>
      <c r="V257" s="391"/>
      <c r="W257" s="391"/>
      <c r="X257" s="391"/>
      <c r="Y257" s="391"/>
      <c r="Z257" s="391"/>
      <c r="AA257" s="391"/>
      <c r="AB257" s="391"/>
      <c r="AC257" s="391"/>
      <c r="AD257" s="391"/>
      <c r="AE257" s="391"/>
      <c r="AF257" s="391"/>
      <c r="AG257" s="391"/>
      <c r="AH257" s="392"/>
      <c r="AI257" s="391"/>
      <c r="AJ257" s="391"/>
    </row>
    <row r="258" spans="1:36" ht="13.5" x14ac:dyDescent="0.25">
      <c r="A258" s="391"/>
      <c r="B258" s="391"/>
      <c r="C258" s="391"/>
      <c r="D258" s="391"/>
      <c r="E258" s="391"/>
      <c r="F258" s="391"/>
      <c r="G258" s="391"/>
      <c r="H258" s="391"/>
      <c r="I258" s="391"/>
      <c r="J258" s="391"/>
      <c r="K258" s="391"/>
      <c r="L258" s="391"/>
      <c r="M258" s="391"/>
      <c r="N258" s="391"/>
      <c r="O258" s="391"/>
      <c r="P258" s="391"/>
      <c r="Q258" s="391"/>
      <c r="R258" s="391"/>
      <c r="S258" s="391"/>
      <c r="T258" s="391"/>
      <c r="U258" s="391"/>
      <c r="V258" s="391"/>
      <c r="W258" s="391"/>
      <c r="X258" s="391"/>
      <c r="Y258" s="391"/>
      <c r="Z258" s="391"/>
      <c r="AA258" s="391"/>
      <c r="AB258" s="391"/>
      <c r="AC258" s="391"/>
      <c r="AD258" s="391"/>
      <c r="AE258" s="391"/>
      <c r="AF258" s="391"/>
      <c r="AG258" s="391"/>
      <c r="AH258" s="392"/>
      <c r="AI258" s="391"/>
      <c r="AJ258" s="391"/>
    </row>
    <row r="259" spans="1:36" ht="13.5" x14ac:dyDescent="0.25">
      <c r="A259" s="391"/>
      <c r="B259" s="391"/>
      <c r="C259" s="391"/>
      <c r="D259" s="391"/>
      <c r="E259" s="391"/>
      <c r="F259" s="391"/>
      <c r="G259" s="391"/>
      <c r="H259" s="391"/>
      <c r="I259" s="391"/>
      <c r="J259" s="391"/>
      <c r="K259" s="391"/>
      <c r="L259" s="391"/>
      <c r="M259" s="391"/>
      <c r="N259" s="391"/>
      <c r="O259" s="391"/>
      <c r="P259" s="391"/>
      <c r="Q259" s="391"/>
      <c r="R259" s="391"/>
      <c r="S259" s="391"/>
      <c r="T259" s="391"/>
      <c r="U259" s="391"/>
      <c r="V259" s="391"/>
      <c r="W259" s="391"/>
      <c r="X259" s="391"/>
      <c r="Y259" s="391"/>
      <c r="Z259" s="391"/>
      <c r="AA259" s="391"/>
      <c r="AB259" s="391"/>
      <c r="AC259" s="391"/>
      <c r="AD259" s="391"/>
      <c r="AE259" s="391"/>
      <c r="AF259" s="391"/>
      <c r="AG259" s="391"/>
      <c r="AH259" s="392"/>
      <c r="AI259" s="391"/>
      <c r="AJ259" s="391"/>
    </row>
    <row r="260" spans="1:36" ht="13.5" x14ac:dyDescent="0.25">
      <c r="A260" s="391"/>
      <c r="B260" s="391"/>
      <c r="C260" s="391"/>
      <c r="D260" s="391"/>
      <c r="E260" s="391"/>
      <c r="F260" s="391"/>
      <c r="G260" s="391"/>
      <c r="H260" s="391"/>
      <c r="I260" s="391"/>
      <c r="J260" s="391"/>
      <c r="K260" s="391"/>
      <c r="L260" s="391"/>
      <c r="M260" s="391"/>
      <c r="N260" s="391"/>
      <c r="O260" s="391"/>
      <c r="P260" s="391"/>
      <c r="Q260" s="391"/>
      <c r="R260" s="391"/>
      <c r="S260" s="391"/>
      <c r="T260" s="391"/>
      <c r="U260" s="391"/>
      <c r="V260" s="391"/>
      <c r="W260" s="391"/>
      <c r="X260" s="391"/>
      <c r="Y260" s="391"/>
      <c r="Z260" s="391"/>
      <c r="AA260" s="391"/>
      <c r="AB260" s="391"/>
      <c r="AC260" s="391"/>
      <c r="AD260" s="391"/>
      <c r="AE260" s="391"/>
      <c r="AF260" s="391"/>
      <c r="AG260" s="391"/>
      <c r="AH260" s="392"/>
      <c r="AI260" s="391"/>
      <c r="AJ260" s="391"/>
    </row>
    <row r="261" spans="1:36" ht="13.5" x14ac:dyDescent="0.25">
      <c r="A261" s="391"/>
      <c r="B261" s="391"/>
      <c r="C261" s="391"/>
      <c r="D261" s="391"/>
      <c r="E261" s="391"/>
      <c r="F261" s="391"/>
      <c r="G261" s="391"/>
      <c r="H261" s="391"/>
      <c r="I261" s="391"/>
      <c r="J261" s="391"/>
      <c r="K261" s="391"/>
      <c r="L261" s="391"/>
      <c r="M261" s="391"/>
      <c r="N261" s="391"/>
      <c r="O261" s="391"/>
      <c r="P261" s="391"/>
      <c r="Q261" s="391"/>
      <c r="R261" s="391"/>
      <c r="S261" s="391"/>
      <c r="T261" s="391"/>
      <c r="U261" s="391"/>
      <c r="V261" s="391"/>
      <c r="W261" s="391"/>
      <c r="X261" s="391"/>
      <c r="Y261" s="391"/>
      <c r="Z261" s="391"/>
      <c r="AA261" s="391"/>
      <c r="AB261" s="391"/>
      <c r="AC261" s="391"/>
      <c r="AD261" s="391"/>
      <c r="AE261" s="391"/>
      <c r="AF261" s="391"/>
      <c r="AG261" s="391"/>
      <c r="AH261" s="392"/>
      <c r="AI261" s="391"/>
      <c r="AJ261" s="391"/>
    </row>
    <row r="262" spans="1:36" ht="13.5" x14ac:dyDescent="0.25">
      <c r="A262" s="391"/>
      <c r="B262" s="391"/>
      <c r="C262" s="391"/>
      <c r="D262" s="391"/>
      <c r="E262" s="391"/>
      <c r="F262" s="391"/>
      <c r="G262" s="391"/>
      <c r="H262" s="391"/>
      <c r="I262" s="391"/>
      <c r="J262" s="391"/>
      <c r="K262" s="391"/>
      <c r="L262" s="391"/>
      <c r="M262" s="391"/>
      <c r="N262" s="391"/>
      <c r="O262" s="391"/>
      <c r="P262" s="391"/>
      <c r="Q262" s="391"/>
      <c r="R262" s="391"/>
      <c r="S262" s="391"/>
      <c r="T262" s="391"/>
      <c r="U262" s="391"/>
      <c r="V262" s="391"/>
      <c r="W262" s="391"/>
      <c r="X262" s="391"/>
      <c r="Y262" s="391"/>
      <c r="Z262" s="391"/>
      <c r="AA262" s="391"/>
      <c r="AB262" s="391"/>
      <c r="AC262" s="391"/>
      <c r="AD262" s="391"/>
      <c r="AE262" s="391"/>
      <c r="AF262" s="391"/>
      <c r="AG262" s="391"/>
      <c r="AH262" s="392"/>
      <c r="AI262" s="391"/>
      <c r="AJ262" s="391"/>
    </row>
    <row r="263" spans="1:36" ht="13.5" x14ac:dyDescent="0.25">
      <c r="A263" s="391"/>
      <c r="B263" s="391"/>
      <c r="C263" s="391"/>
      <c r="D263" s="391"/>
      <c r="E263" s="391"/>
      <c r="F263" s="391"/>
      <c r="G263" s="391"/>
      <c r="H263" s="391"/>
      <c r="I263" s="391"/>
      <c r="J263" s="391"/>
      <c r="K263" s="391"/>
      <c r="L263" s="391"/>
      <c r="M263" s="391"/>
      <c r="N263" s="391"/>
      <c r="O263" s="391"/>
      <c r="P263" s="391"/>
      <c r="Q263" s="391"/>
      <c r="R263" s="391"/>
      <c r="S263" s="391"/>
      <c r="T263" s="391"/>
      <c r="U263" s="391"/>
      <c r="V263" s="391"/>
      <c r="W263" s="391"/>
      <c r="X263" s="391"/>
      <c r="Y263" s="391"/>
      <c r="Z263" s="391"/>
      <c r="AA263" s="391"/>
      <c r="AB263" s="391"/>
      <c r="AC263" s="391"/>
      <c r="AD263" s="391"/>
      <c r="AE263" s="391"/>
      <c r="AF263" s="391"/>
      <c r="AG263" s="391"/>
      <c r="AH263" s="392"/>
      <c r="AI263" s="391"/>
      <c r="AJ263" s="391"/>
    </row>
    <row r="264" spans="1:36" ht="13.5" x14ac:dyDescent="0.25">
      <c r="A264" s="391"/>
      <c r="B264" s="391"/>
      <c r="C264" s="391"/>
      <c r="D264" s="391"/>
      <c r="E264" s="391"/>
      <c r="F264" s="391"/>
      <c r="G264" s="391"/>
      <c r="H264" s="391"/>
      <c r="I264" s="391"/>
      <c r="J264" s="391"/>
      <c r="K264" s="391"/>
      <c r="L264" s="391"/>
      <c r="M264" s="391"/>
      <c r="N264" s="391"/>
      <c r="O264" s="391"/>
      <c r="P264" s="391"/>
      <c r="Q264" s="391"/>
      <c r="R264" s="391"/>
      <c r="S264" s="391"/>
      <c r="T264" s="391"/>
      <c r="U264" s="391"/>
      <c r="V264" s="391"/>
      <c r="W264" s="391"/>
      <c r="X264" s="391"/>
      <c r="Y264" s="391"/>
      <c r="Z264" s="391"/>
      <c r="AA264" s="391"/>
      <c r="AB264" s="391"/>
      <c r="AC264" s="391"/>
      <c r="AD264" s="391"/>
      <c r="AE264" s="391"/>
      <c r="AF264" s="391"/>
      <c r="AG264" s="391"/>
      <c r="AH264" s="392"/>
      <c r="AI264" s="391"/>
      <c r="AJ264" s="391"/>
    </row>
    <row r="265" spans="1:36" ht="13.5" x14ac:dyDescent="0.25">
      <c r="A265" s="391"/>
      <c r="B265" s="391"/>
      <c r="C265" s="391"/>
      <c r="D265" s="391"/>
      <c r="E265" s="391"/>
      <c r="F265" s="391"/>
      <c r="G265" s="391"/>
      <c r="H265" s="391"/>
      <c r="I265" s="391"/>
      <c r="J265" s="391"/>
      <c r="K265" s="391"/>
      <c r="L265" s="391"/>
      <c r="M265" s="391"/>
      <c r="N265" s="391"/>
      <c r="O265" s="391"/>
      <c r="P265" s="391"/>
      <c r="Q265" s="391"/>
      <c r="R265" s="391"/>
      <c r="S265" s="391"/>
      <c r="T265" s="391"/>
      <c r="U265" s="391"/>
      <c r="V265" s="391"/>
      <c r="W265" s="391"/>
      <c r="X265" s="391"/>
      <c r="Y265" s="391"/>
      <c r="Z265" s="391"/>
      <c r="AA265" s="391"/>
      <c r="AB265" s="391"/>
      <c r="AC265" s="391"/>
      <c r="AD265" s="391"/>
      <c r="AE265" s="391"/>
      <c r="AF265" s="391"/>
      <c r="AG265" s="391"/>
      <c r="AH265" s="392"/>
      <c r="AI265" s="391"/>
      <c r="AJ265" s="391"/>
    </row>
    <row r="266" spans="1:36" ht="13.5" x14ac:dyDescent="0.25">
      <c r="A266" s="391"/>
      <c r="B266" s="391"/>
      <c r="C266" s="391"/>
      <c r="D266" s="391"/>
      <c r="E266" s="391"/>
      <c r="F266" s="391"/>
      <c r="G266" s="391"/>
      <c r="H266" s="391"/>
      <c r="I266" s="391"/>
      <c r="J266" s="391"/>
      <c r="K266" s="391"/>
      <c r="L266" s="391"/>
      <c r="M266" s="391"/>
      <c r="N266" s="391"/>
      <c r="O266" s="391"/>
      <c r="P266" s="391"/>
      <c r="Q266" s="391"/>
      <c r="R266" s="391"/>
      <c r="S266" s="391"/>
      <c r="T266" s="391"/>
      <c r="U266" s="391"/>
      <c r="V266" s="391"/>
      <c r="W266" s="391"/>
      <c r="X266" s="391"/>
      <c r="Y266" s="391"/>
      <c r="Z266" s="391"/>
      <c r="AA266" s="391"/>
      <c r="AB266" s="391"/>
      <c r="AC266" s="391"/>
      <c r="AD266" s="391"/>
      <c r="AE266" s="391"/>
      <c r="AF266" s="391"/>
      <c r="AG266" s="391"/>
      <c r="AH266" s="392"/>
      <c r="AI266" s="391"/>
      <c r="AJ266" s="391"/>
    </row>
    <row r="267" spans="1:36" ht="13.5" x14ac:dyDescent="0.25">
      <c r="A267" s="391"/>
      <c r="B267" s="391"/>
      <c r="C267" s="391"/>
      <c r="D267" s="391"/>
      <c r="E267" s="391"/>
      <c r="F267" s="391"/>
      <c r="G267" s="391"/>
      <c r="H267" s="391"/>
      <c r="I267" s="391"/>
      <c r="J267" s="391"/>
      <c r="K267" s="391"/>
      <c r="L267" s="391"/>
      <c r="M267" s="391"/>
      <c r="N267" s="391"/>
      <c r="O267" s="391"/>
      <c r="P267" s="391"/>
      <c r="Q267" s="391"/>
      <c r="R267" s="391"/>
      <c r="S267" s="391"/>
      <c r="T267" s="391"/>
      <c r="U267" s="391"/>
      <c r="V267" s="391"/>
      <c r="W267" s="391"/>
      <c r="X267" s="391"/>
      <c r="Y267" s="391"/>
      <c r="Z267" s="391"/>
      <c r="AA267" s="391"/>
      <c r="AB267" s="391"/>
      <c r="AC267" s="391"/>
      <c r="AD267" s="391"/>
      <c r="AE267" s="391"/>
      <c r="AF267" s="391"/>
      <c r="AG267" s="391"/>
      <c r="AH267" s="392"/>
      <c r="AI267" s="391"/>
      <c r="AJ267" s="391"/>
    </row>
    <row r="268" spans="1:36" ht="13.5" x14ac:dyDescent="0.25">
      <c r="A268" s="391"/>
      <c r="B268" s="391"/>
      <c r="C268" s="391"/>
      <c r="D268" s="391"/>
      <c r="E268" s="391"/>
      <c r="F268" s="391"/>
      <c r="G268" s="391"/>
      <c r="H268" s="391"/>
      <c r="I268" s="391"/>
      <c r="J268" s="391"/>
      <c r="K268" s="391"/>
      <c r="L268" s="391"/>
      <c r="M268" s="391"/>
      <c r="N268" s="391"/>
      <c r="O268" s="391"/>
      <c r="P268" s="391"/>
      <c r="Q268" s="391"/>
      <c r="R268" s="391"/>
      <c r="S268" s="391"/>
      <c r="T268" s="391"/>
      <c r="U268" s="391"/>
      <c r="V268" s="391"/>
      <c r="W268" s="391"/>
      <c r="X268" s="391"/>
      <c r="Y268" s="391"/>
      <c r="Z268" s="391"/>
      <c r="AA268" s="391"/>
      <c r="AB268" s="391"/>
      <c r="AC268" s="391"/>
      <c r="AD268" s="391"/>
      <c r="AE268" s="391"/>
      <c r="AF268" s="391"/>
      <c r="AG268" s="391"/>
      <c r="AH268" s="392"/>
      <c r="AI268" s="391"/>
      <c r="AJ268" s="391"/>
    </row>
    <row r="269" spans="1:36" ht="13.5" x14ac:dyDescent="0.25">
      <c r="A269" s="391"/>
      <c r="B269" s="391"/>
      <c r="C269" s="391"/>
      <c r="D269" s="391"/>
      <c r="E269" s="391"/>
      <c r="F269" s="391"/>
      <c r="G269" s="391"/>
      <c r="H269" s="391"/>
      <c r="I269" s="391"/>
      <c r="J269" s="391"/>
      <c r="K269" s="391"/>
      <c r="L269" s="391"/>
      <c r="M269" s="391"/>
      <c r="N269" s="391"/>
      <c r="O269" s="391"/>
      <c r="P269" s="391"/>
      <c r="Q269" s="391"/>
      <c r="R269" s="391"/>
      <c r="S269" s="391"/>
      <c r="T269" s="391"/>
      <c r="U269" s="391"/>
      <c r="V269" s="391"/>
      <c r="W269" s="391"/>
      <c r="X269" s="391"/>
      <c r="Y269" s="391"/>
      <c r="Z269" s="391"/>
      <c r="AA269" s="391"/>
      <c r="AB269" s="391"/>
      <c r="AC269" s="391"/>
      <c r="AD269" s="391"/>
      <c r="AE269" s="391"/>
      <c r="AF269" s="391"/>
      <c r="AG269" s="391"/>
      <c r="AH269" s="392"/>
      <c r="AI269" s="391"/>
      <c r="AJ269" s="391"/>
    </row>
    <row r="270" spans="1:36" ht="13.5" x14ac:dyDescent="0.25">
      <c r="A270" s="391"/>
      <c r="B270" s="391"/>
      <c r="C270" s="391"/>
      <c r="D270" s="391"/>
      <c r="E270" s="391"/>
      <c r="F270" s="391"/>
      <c r="G270" s="391"/>
      <c r="H270" s="391"/>
      <c r="I270" s="391"/>
      <c r="J270" s="391"/>
      <c r="K270" s="391"/>
      <c r="L270" s="391"/>
      <c r="M270" s="391"/>
      <c r="N270" s="391"/>
      <c r="O270" s="391"/>
      <c r="P270" s="391"/>
      <c r="Q270" s="391"/>
      <c r="R270" s="391"/>
      <c r="S270" s="391"/>
      <c r="T270" s="391"/>
      <c r="U270" s="391"/>
      <c r="V270" s="391"/>
      <c r="W270" s="391"/>
      <c r="X270" s="391"/>
      <c r="Y270" s="391"/>
      <c r="Z270" s="391"/>
      <c r="AA270" s="391"/>
      <c r="AB270" s="391"/>
      <c r="AC270" s="391"/>
      <c r="AD270" s="391"/>
      <c r="AE270" s="391"/>
      <c r="AF270" s="391"/>
      <c r="AG270" s="391"/>
      <c r="AH270" s="392"/>
      <c r="AI270" s="391"/>
      <c r="AJ270" s="391"/>
    </row>
    <row r="271" spans="1:36" ht="13.5" x14ac:dyDescent="0.25">
      <c r="A271" s="391"/>
      <c r="B271" s="391"/>
      <c r="C271" s="391"/>
      <c r="D271" s="391"/>
      <c r="E271" s="391"/>
      <c r="F271" s="391"/>
      <c r="G271" s="391"/>
      <c r="H271" s="391"/>
      <c r="I271" s="391"/>
      <c r="J271" s="391"/>
      <c r="K271" s="391"/>
      <c r="L271" s="391"/>
      <c r="M271" s="391"/>
      <c r="N271" s="391"/>
      <c r="O271" s="391"/>
      <c r="P271" s="391"/>
      <c r="Q271" s="391"/>
      <c r="R271" s="391"/>
      <c r="S271" s="391"/>
      <c r="T271" s="391"/>
      <c r="U271" s="391"/>
      <c r="V271" s="391"/>
      <c r="W271" s="391"/>
      <c r="X271" s="391"/>
      <c r="Y271" s="391"/>
      <c r="Z271" s="391"/>
      <c r="AA271" s="391"/>
      <c r="AB271" s="391"/>
      <c r="AC271" s="391"/>
      <c r="AD271" s="391"/>
      <c r="AE271" s="391"/>
      <c r="AF271" s="391"/>
      <c r="AG271" s="391"/>
      <c r="AH271" s="392"/>
      <c r="AI271" s="391"/>
      <c r="AJ271" s="391"/>
    </row>
    <row r="272" spans="1:36" ht="13.5" x14ac:dyDescent="0.25">
      <c r="A272" s="391"/>
      <c r="B272" s="391"/>
      <c r="C272" s="391"/>
      <c r="D272" s="391"/>
      <c r="E272" s="391"/>
      <c r="F272" s="391"/>
      <c r="G272" s="391"/>
      <c r="H272" s="391"/>
      <c r="I272" s="391"/>
      <c r="J272" s="391"/>
      <c r="K272" s="391"/>
      <c r="L272" s="391"/>
      <c r="M272" s="391"/>
      <c r="N272" s="391"/>
      <c r="O272" s="391"/>
      <c r="P272" s="391"/>
      <c r="Q272" s="391"/>
      <c r="R272" s="391"/>
      <c r="S272" s="391"/>
      <c r="T272" s="391"/>
      <c r="U272" s="391"/>
      <c r="V272" s="391"/>
      <c r="W272" s="391"/>
      <c r="X272" s="391"/>
      <c r="Y272" s="391"/>
      <c r="Z272" s="391"/>
      <c r="AA272" s="391"/>
      <c r="AB272" s="391"/>
      <c r="AC272" s="391"/>
      <c r="AD272" s="391"/>
      <c r="AE272" s="391"/>
      <c r="AF272" s="391"/>
      <c r="AG272" s="391"/>
      <c r="AH272" s="392"/>
      <c r="AI272" s="391"/>
      <c r="AJ272" s="391"/>
    </row>
    <row r="273" spans="1:36" ht="13.5" x14ac:dyDescent="0.25">
      <c r="A273" s="391"/>
      <c r="B273" s="391"/>
      <c r="C273" s="391"/>
      <c r="D273" s="391"/>
      <c r="E273" s="391"/>
      <c r="F273" s="391"/>
      <c r="G273" s="391"/>
      <c r="H273" s="391"/>
      <c r="I273" s="391"/>
      <c r="J273" s="391"/>
      <c r="K273" s="391"/>
      <c r="L273" s="391"/>
      <c r="M273" s="391"/>
      <c r="N273" s="391"/>
      <c r="O273" s="391"/>
      <c r="P273" s="391"/>
      <c r="Q273" s="391"/>
      <c r="R273" s="391"/>
      <c r="S273" s="391"/>
      <c r="T273" s="391"/>
      <c r="U273" s="391"/>
      <c r="V273" s="391"/>
      <c r="W273" s="391"/>
      <c r="X273" s="391"/>
      <c r="Y273" s="391"/>
      <c r="Z273" s="391"/>
      <c r="AA273" s="391"/>
      <c r="AB273" s="391"/>
      <c r="AC273" s="391"/>
      <c r="AD273" s="391"/>
      <c r="AE273" s="391"/>
      <c r="AF273" s="391"/>
      <c r="AG273" s="391"/>
      <c r="AH273" s="392"/>
      <c r="AI273" s="391"/>
      <c r="AJ273" s="391"/>
    </row>
    <row r="274" spans="1:36" ht="13.5" x14ac:dyDescent="0.25">
      <c r="A274" s="391"/>
      <c r="B274" s="391"/>
      <c r="C274" s="391"/>
      <c r="D274" s="391"/>
      <c r="E274" s="391"/>
      <c r="F274" s="391"/>
      <c r="G274" s="391"/>
      <c r="H274" s="391"/>
      <c r="I274" s="391"/>
      <c r="J274" s="391"/>
      <c r="K274" s="391"/>
      <c r="L274" s="391"/>
      <c r="M274" s="391"/>
      <c r="N274" s="391"/>
      <c r="O274" s="391"/>
      <c r="P274" s="391"/>
      <c r="Q274" s="391"/>
      <c r="R274" s="391"/>
      <c r="S274" s="391"/>
      <c r="T274" s="391"/>
      <c r="U274" s="391"/>
      <c r="V274" s="391"/>
      <c r="W274" s="391"/>
      <c r="X274" s="391"/>
      <c r="Y274" s="391"/>
      <c r="Z274" s="391"/>
      <c r="AA274" s="391"/>
      <c r="AB274" s="391"/>
      <c r="AC274" s="391"/>
      <c r="AD274" s="391"/>
      <c r="AE274" s="391"/>
      <c r="AF274" s="391"/>
      <c r="AG274" s="391"/>
      <c r="AH274" s="392"/>
      <c r="AI274" s="391"/>
      <c r="AJ274" s="391"/>
    </row>
    <row r="275" spans="1:36" ht="13.5" x14ac:dyDescent="0.25">
      <c r="A275" s="391"/>
      <c r="B275" s="391"/>
      <c r="C275" s="391"/>
      <c r="D275" s="391"/>
      <c r="E275" s="391"/>
      <c r="F275" s="391"/>
      <c r="G275" s="391"/>
      <c r="H275" s="391"/>
      <c r="I275" s="391"/>
      <c r="J275" s="391"/>
      <c r="K275" s="391"/>
      <c r="L275" s="391"/>
      <c r="M275" s="391"/>
      <c r="N275" s="391"/>
      <c r="O275" s="391"/>
      <c r="P275" s="391"/>
      <c r="Q275" s="391"/>
      <c r="R275" s="391"/>
      <c r="S275" s="391"/>
      <c r="T275" s="391"/>
      <c r="U275" s="391"/>
      <c r="V275" s="391"/>
      <c r="W275" s="391"/>
      <c r="X275" s="391"/>
      <c r="Y275" s="391"/>
      <c r="Z275" s="391"/>
      <c r="AA275" s="391"/>
      <c r="AB275" s="391"/>
      <c r="AC275" s="391"/>
      <c r="AD275" s="391"/>
      <c r="AE275" s="391"/>
      <c r="AF275" s="391"/>
      <c r="AG275" s="391"/>
      <c r="AH275" s="392"/>
      <c r="AI275" s="391"/>
      <c r="AJ275" s="391"/>
    </row>
    <row r="276" spans="1:36" ht="13.5" x14ac:dyDescent="0.25">
      <c r="A276" s="391"/>
      <c r="B276" s="391"/>
      <c r="C276" s="391"/>
      <c r="D276" s="391"/>
      <c r="E276" s="391"/>
      <c r="F276" s="391"/>
      <c r="G276" s="391"/>
      <c r="H276" s="391"/>
      <c r="I276" s="391"/>
      <c r="J276" s="391"/>
      <c r="K276" s="391"/>
      <c r="L276" s="391"/>
      <c r="M276" s="391"/>
      <c r="N276" s="391"/>
      <c r="O276" s="391"/>
      <c r="P276" s="391"/>
      <c r="Q276" s="391"/>
      <c r="R276" s="391"/>
      <c r="S276" s="391"/>
      <c r="T276" s="391"/>
      <c r="U276" s="391"/>
      <c r="V276" s="391"/>
      <c r="W276" s="391"/>
      <c r="X276" s="391"/>
      <c r="Y276" s="391"/>
      <c r="Z276" s="391"/>
      <c r="AA276" s="391"/>
      <c r="AB276" s="391"/>
      <c r="AC276" s="391"/>
      <c r="AD276" s="391"/>
      <c r="AE276" s="391"/>
      <c r="AF276" s="391"/>
      <c r="AG276" s="391"/>
      <c r="AH276" s="392"/>
      <c r="AI276" s="391"/>
      <c r="AJ276" s="391"/>
    </row>
    <row r="277" spans="1:36" ht="13.5" x14ac:dyDescent="0.25">
      <c r="A277" s="391"/>
      <c r="B277" s="391"/>
      <c r="C277" s="391"/>
      <c r="D277" s="391"/>
      <c r="E277" s="391"/>
      <c r="F277" s="391"/>
      <c r="G277" s="391"/>
      <c r="H277" s="391"/>
      <c r="I277" s="391"/>
      <c r="J277" s="391"/>
      <c r="K277" s="391"/>
      <c r="L277" s="391"/>
      <c r="M277" s="391"/>
      <c r="N277" s="391"/>
      <c r="O277" s="391"/>
      <c r="P277" s="391"/>
      <c r="Q277" s="391"/>
      <c r="R277" s="391"/>
      <c r="S277" s="391"/>
      <c r="T277" s="391"/>
      <c r="U277" s="391"/>
      <c r="V277" s="391"/>
      <c r="W277" s="391"/>
      <c r="X277" s="391"/>
      <c r="Y277" s="391"/>
      <c r="Z277" s="391"/>
      <c r="AA277" s="391"/>
      <c r="AB277" s="391"/>
      <c r="AC277" s="391"/>
      <c r="AD277" s="391"/>
      <c r="AE277" s="391"/>
      <c r="AF277" s="391"/>
      <c r="AG277" s="391"/>
      <c r="AH277" s="392"/>
      <c r="AI277" s="391"/>
      <c r="AJ277" s="391"/>
    </row>
    <row r="278" spans="1:36" ht="13.5" x14ac:dyDescent="0.25">
      <c r="A278" s="391"/>
      <c r="B278" s="391"/>
      <c r="C278" s="391"/>
      <c r="D278" s="391"/>
      <c r="E278" s="391"/>
      <c r="F278" s="391"/>
      <c r="G278" s="391"/>
      <c r="H278" s="391"/>
      <c r="I278" s="391"/>
      <c r="J278" s="391"/>
      <c r="K278" s="391"/>
      <c r="L278" s="391"/>
      <c r="M278" s="391"/>
      <c r="N278" s="391"/>
      <c r="O278" s="391"/>
      <c r="P278" s="391"/>
      <c r="Q278" s="391"/>
      <c r="R278" s="391"/>
      <c r="S278" s="391"/>
      <c r="T278" s="391"/>
      <c r="U278" s="391"/>
      <c r="V278" s="391"/>
      <c r="W278" s="391"/>
      <c r="X278" s="391"/>
      <c r="Y278" s="391"/>
      <c r="Z278" s="391"/>
      <c r="AA278" s="391"/>
      <c r="AB278" s="391"/>
      <c r="AC278" s="391"/>
      <c r="AD278" s="391"/>
      <c r="AE278" s="391"/>
      <c r="AF278" s="391"/>
      <c r="AG278" s="391"/>
      <c r="AH278" s="392"/>
      <c r="AI278" s="391"/>
      <c r="AJ278" s="391"/>
    </row>
    <row r="279" spans="1:36" ht="13.5" x14ac:dyDescent="0.25">
      <c r="A279" s="391"/>
      <c r="B279" s="391"/>
      <c r="C279" s="391"/>
      <c r="D279" s="391"/>
      <c r="E279" s="391"/>
      <c r="F279" s="391"/>
      <c r="G279" s="391"/>
      <c r="H279" s="391"/>
      <c r="I279" s="391"/>
      <c r="J279" s="391"/>
      <c r="K279" s="391"/>
      <c r="L279" s="391"/>
      <c r="M279" s="391"/>
      <c r="N279" s="391"/>
      <c r="O279" s="391"/>
      <c r="P279" s="391"/>
      <c r="Q279" s="391"/>
      <c r="R279" s="391"/>
      <c r="S279" s="391"/>
      <c r="T279" s="391"/>
      <c r="U279" s="391"/>
      <c r="V279" s="391"/>
      <c r="W279" s="391"/>
      <c r="X279" s="391"/>
      <c r="Y279" s="391"/>
      <c r="Z279" s="391"/>
      <c r="AA279" s="391"/>
      <c r="AB279" s="391"/>
      <c r="AC279" s="391"/>
      <c r="AD279" s="391"/>
      <c r="AE279" s="391"/>
      <c r="AF279" s="391"/>
      <c r="AG279" s="391"/>
      <c r="AH279" s="392"/>
      <c r="AI279" s="391"/>
      <c r="AJ279" s="391"/>
    </row>
    <row r="280" spans="1:36" ht="13.5" x14ac:dyDescent="0.25">
      <c r="A280" s="391"/>
      <c r="B280" s="391"/>
      <c r="C280" s="391"/>
      <c r="D280" s="391"/>
      <c r="E280" s="391"/>
      <c r="F280" s="391"/>
      <c r="G280" s="391"/>
      <c r="H280" s="391"/>
      <c r="I280" s="391"/>
      <c r="J280" s="391"/>
      <c r="K280" s="391"/>
      <c r="L280" s="391"/>
      <c r="M280" s="391"/>
      <c r="N280" s="391"/>
      <c r="O280" s="391"/>
      <c r="P280" s="391"/>
      <c r="Q280" s="391"/>
      <c r="R280" s="391"/>
      <c r="S280" s="391"/>
      <c r="T280" s="391"/>
      <c r="U280" s="391"/>
      <c r="V280" s="391"/>
      <c r="W280" s="391"/>
      <c r="X280" s="391"/>
      <c r="Y280" s="391"/>
      <c r="Z280" s="391"/>
      <c r="AA280" s="391"/>
      <c r="AB280" s="391"/>
      <c r="AC280" s="391"/>
      <c r="AD280" s="391"/>
      <c r="AE280" s="391"/>
      <c r="AF280" s="391"/>
      <c r="AG280" s="391"/>
      <c r="AH280" s="392"/>
      <c r="AI280" s="391"/>
      <c r="AJ280" s="391"/>
    </row>
    <row r="281" spans="1:36" ht="13.5" x14ac:dyDescent="0.25">
      <c r="A281" s="391"/>
      <c r="B281" s="391"/>
      <c r="C281" s="391"/>
      <c r="D281" s="391"/>
      <c r="E281" s="391"/>
      <c r="F281" s="391"/>
      <c r="G281" s="391"/>
      <c r="H281" s="391"/>
      <c r="I281" s="391"/>
      <c r="J281" s="391"/>
      <c r="K281" s="391"/>
      <c r="L281" s="391"/>
      <c r="M281" s="391"/>
      <c r="N281" s="391"/>
      <c r="O281" s="391"/>
      <c r="P281" s="391"/>
      <c r="Q281" s="391"/>
      <c r="R281" s="391"/>
      <c r="S281" s="391"/>
      <c r="T281" s="391"/>
      <c r="U281" s="391"/>
      <c r="V281" s="391"/>
      <c r="W281" s="391"/>
      <c r="X281" s="391"/>
      <c r="Y281" s="391"/>
      <c r="Z281" s="391"/>
      <c r="AA281" s="391"/>
      <c r="AB281" s="391"/>
      <c r="AC281" s="391"/>
      <c r="AD281" s="391"/>
      <c r="AE281" s="391"/>
      <c r="AF281" s="391"/>
      <c r="AG281" s="391"/>
      <c r="AH281" s="392"/>
      <c r="AI281" s="391"/>
      <c r="AJ281" s="391"/>
    </row>
    <row r="282" spans="1:36" ht="13.5" x14ac:dyDescent="0.25">
      <c r="A282" s="391"/>
      <c r="B282" s="391"/>
      <c r="C282" s="391"/>
      <c r="D282" s="391"/>
      <c r="E282" s="391"/>
      <c r="F282" s="391"/>
      <c r="G282" s="391"/>
      <c r="H282" s="391"/>
      <c r="I282" s="391"/>
      <c r="J282" s="391"/>
      <c r="K282" s="391"/>
      <c r="L282" s="391"/>
      <c r="M282" s="391"/>
      <c r="N282" s="391"/>
      <c r="O282" s="391"/>
      <c r="P282" s="391"/>
      <c r="Q282" s="391"/>
      <c r="R282" s="391"/>
      <c r="S282" s="391"/>
      <c r="T282" s="391"/>
      <c r="U282" s="391"/>
      <c r="V282" s="391"/>
      <c r="W282" s="391"/>
      <c r="X282" s="391"/>
      <c r="Y282" s="391"/>
      <c r="Z282" s="391"/>
      <c r="AA282" s="391"/>
      <c r="AB282" s="391"/>
      <c r="AC282" s="391"/>
      <c r="AD282" s="391"/>
      <c r="AE282" s="391"/>
      <c r="AF282" s="391"/>
      <c r="AG282" s="391"/>
      <c r="AH282" s="392"/>
      <c r="AI282" s="391"/>
      <c r="AJ282" s="391"/>
    </row>
    <row r="283" spans="1:36" ht="13.5" x14ac:dyDescent="0.25">
      <c r="A283" s="391"/>
      <c r="B283" s="391"/>
      <c r="C283" s="391"/>
      <c r="D283" s="391"/>
      <c r="E283" s="391"/>
      <c r="F283" s="391"/>
      <c r="G283" s="391"/>
      <c r="H283" s="391"/>
      <c r="I283" s="391"/>
      <c r="J283" s="391"/>
      <c r="K283" s="391"/>
      <c r="L283" s="391"/>
      <c r="M283" s="391"/>
      <c r="N283" s="391"/>
      <c r="O283" s="391"/>
      <c r="P283" s="391"/>
      <c r="Q283" s="391"/>
      <c r="R283" s="391"/>
      <c r="S283" s="391"/>
      <c r="T283" s="391"/>
      <c r="U283" s="391"/>
      <c r="V283" s="391"/>
      <c r="W283" s="391"/>
      <c r="X283" s="391"/>
      <c r="Y283" s="391"/>
      <c r="Z283" s="391"/>
      <c r="AA283" s="391"/>
      <c r="AB283" s="391"/>
      <c r="AC283" s="391"/>
      <c r="AD283" s="391"/>
      <c r="AE283" s="391"/>
      <c r="AF283" s="391"/>
      <c r="AG283" s="391"/>
      <c r="AH283" s="392"/>
      <c r="AI283" s="391"/>
      <c r="AJ283" s="391"/>
    </row>
    <row r="284" spans="1:36" ht="13.5" x14ac:dyDescent="0.25">
      <c r="A284" s="391"/>
      <c r="B284" s="391"/>
      <c r="C284" s="391"/>
      <c r="D284" s="391"/>
      <c r="E284" s="391"/>
      <c r="F284" s="391"/>
      <c r="G284" s="391"/>
      <c r="H284" s="391"/>
      <c r="I284" s="391"/>
      <c r="J284" s="391"/>
      <c r="K284" s="391"/>
      <c r="L284" s="391"/>
      <c r="M284" s="391"/>
      <c r="N284" s="391"/>
      <c r="O284" s="391"/>
      <c r="P284" s="391"/>
      <c r="Q284" s="391"/>
      <c r="R284" s="391"/>
      <c r="S284" s="391"/>
      <c r="T284" s="391"/>
      <c r="U284" s="391"/>
      <c r="V284" s="391"/>
      <c r="W284" s="391"/>
      <c r="X284" s="391"/>
      <c r="Y284" s="391"/>
      <c r="Z284" s="391"/>
      <c r="AA284" s="391"/>
      <c r="AB284" s="391"/>
      <c r="AC284" s="391"/>
      <c r="AD284" s="391"/>
      <c r="AE284" s="391"/>
      <c r="AF284" s="391"/>
      <c r="AG284" s="391"/>
      <c r="AH284" s="392"/>
      <c r="AI284" s="391"/>
      <c r="AJ284" s="391"/>
    </row>
    <row r="285" spans="1:36" ht="13.5" x14ac:dyDescent="0.25">
      <c r="A285" s="391"/>
      <c r="B285" s="391"/>
      <c r="C285" s="391"/>
      <c r="D285" s="391"/>
      <c r="E285" s="391"/>
      <c r="F285" s="391"/>
      <c r="G285" s="391"/>
      <c r="H285" s="391"/>
      <c r="I285" s="391"/>
      <c r="J285" s="391"/>
      <c r="K285" s="391"/>
      <c r="L285" s="391"/>
      <c r="M285" s="391"/>
      <c r="N285" s="391"/>
      <c r="O285" s="391"/>
      <c r="P285" s="391"/>
      <c r="Q285" s="391"/>
      <c r="R285" s="391"/>
      <c r="S285" s="391"/>
      <c r="T285" s="391"/>
      <c r="U285" s="391"/>
      <c r="V285" s="391"/>
      <c r="W285" s="391"/>
      <c r="X285" s="391"/>
      <c r="Y285" s="391"/>
      <c r="Z285" s="391"/>
      <c r="AA285" s="391"/>
      <c r="AB285" s="391"/>
      <c r="AC285" s="391"/>
      <c r="AD285" s="391"/>
      <c r="AE285" s="391"/>
      <c r="AF285" s="391"/>
      <c r="AG285" s="391"/>
      <c r="AH285" s="392"/>
      <c r="AI285" s="391"/>
      <c r="AJ285" s="391"/>
    </row>
    <row r="286" spans="1:36" ht="13.5" x14ac:dyDescent="0.25">
      <c r="A286" s="391"/>
      <c r="B286" s="391"/>
      <c r="C286" s="391"/>
      <c r="D286" s="391"/>
      <c r="E286" s="391"/>
      <c r="F286" s="391"/>
      <c r="G286" s="391"/>
      <c r="H286" s="391"/>
      <c r="I286" s="391"/>
      <c r="J286" s="391"/>
      <c r="K286" s="391"/>
      <c r="L286" s="391"/>
      <c r="M286" s="391"/>
      <c r="N286" s="391"/>
      <c r="O286" s="391"/>
      <c r="P286" s="391"/>
      <c r="Q286" s="391"/>
      <c r="R286" s="391"/>
      <c r="S286" s="391"/>
      <c r="T286" s="391"/>
      <c r="U286" s="391"/>
      <c r="V286" s="391"/>
      <c r="W286" s="391"/>
      <c r="X286" s="391"/>
      <c r="Y286" s="391"/>
      <c r="Z286" s="391"/>
      <c r="AA286" s="391"/>
      <c r="AB286" s="391"/>
      <c r="AC286" s="391"/>
      <c r="AD286" s="391"/>
      <c r="AE286" s="391"/>
      <c r="AF286" s="391"/>
      <c r="AG286" s="391"/>
      <c r="AH286" s="392"/>
      <c r="AI286" s="391"/>
      <c r="AJ286" s="391"/>
    </row>
    <row r="287" spans="1:36" ht="13.5" x14ac:dyDescent="0.25">
      <c r="A287" s="391"/>
      <c r="B287" s="391"/>
      <c r="C287" s="391"/>
      <c r="D287" s="391"/>
      <c r="E287" s="391"/>
      <c r="F287" s="391"/>
      <c r="G287" s="391"/>
      <c r="H287" s="391"/>
      <c r="I287" s="391"/>
      <c r="J287" s="391"/>
      <c r="K287" s="391"/>
      <c r="L287" s="391"/>
      <c r="M287" s="391"/>
      <c r="N287" s="391"/>
      <c r="O287" s="391"/>
      <c r="P287" s="391"/>
      <c r="Q287" s="391"/>
      <c r="R287" s="391"/>
      <c r="S287" s="391"/>
      <c r="T287" s="391"/>
      <c r="U287" s="391"/>
      <c r="V287" s="391"/>
      <c r="W287" s="391"/>
      <c r="X287" s="391"/>
      <c r="Y287" s="391"/>
      <c r="Z287" s="391"/>
      <c r="AA287" s="391"/>
      <c r="AB287" s="391"/>
      <c r="AC287" s="391"/>
      <c r="AD287" s="391"/>
      <c r="AE287" s="391"/>
      <c r="AF287" s="391"/>
      <c r="AG287" s="391"/>
      <c r="AH287" s="392"/>
      <c r="AI287" s="391"/>
      <c r="AJ287" s="391"/>
    </row>
    <row r="288" spans="1:36" ht="13.5" x14ac:dyDescent="0.25">
      <c r="A288" s="391"/>
      <c r="B288" s="391"/>
      <c r="C288" s="391"/>
      <c r="D288" s="391"/>
      <c r="E288" s="391"/>
      <c r="F288" s="391"/>
      <c r="G288" s="391"/>
      <c r="H288" s="391"/>
      <c r="I288" s="391"/>
      <c r="J288" s="391"/>
      <c r="K288" s="391"/>
      <c r="L288" s="391"/>
      <c r="M288" s="391"/>
      <c r="N288" s="391"/>
      <c r="O288" s="391"/>
      <c r="P288" s="391"/>
      <c r="Q288" s="391"/>
      <c r="R288" s="391"/>
      <c r="S288" s="391"/>
      <c r="T288" s="391"/>
      <c r="U288" s="391"/>
      <c r="V288" s="391"/>
      <c r="W288" s="391"/>
      <c r="X288" s="391"/>
      <c r="Y288" s="391"/>
      <c r="Z288" s="391"/>
      <c r="AA288" s="391"/>
      <c r="AB288" s="391"/>
      <c r="AC288" s="391"/>
      <c r="AD288" s="391"/>
      <c r="AE288" s="391"/>
      <c r="AF288" s="391"/>
      <c r="AG288" s="391"/>
      <c r="AH288" s="392"/>
      <c r="AI288" s="391"/>
      <c r="AJ288" s="391"/>
    </row>
    <row r="289" spans="1:36" ht="13.5" x14ac:dyDescent="0.25">
      <c r="A289" s="391"/>
      <c r="B289" s="391"/>
      <c r="C289" s="391"/>
      <c r="D289" s="391"/>
      <c r="E289" s="391"/>
      <c r="F289" s="391"/>
      <c r="G289" s="391"/>
      <c r="H289" s="391"/>
      <c r="I289" s="391"/>
      <c r="J289" s="391"/>
      <c r="K289" s="391"/>
      <c r="L289" s="391"/>
      <c r="M289" s="391"/>
      <c r="N289" s="391"/>
      <c r="O289" s="391"/>
      <c r="P289" s="391"/>
      <c r="Q289" s="391"/>
      <c r="R289" s="391"/>
      <c r="S289" s="391"/>
      <c r="T289" s="391"/>
      <c r="U289" s="391"/>
      <c r="V289" s="391"/>
      <c r="W289" s="391"/>
      <c r="X289" s="391"/>
      <c r="Y289" s="391"/>
      <c r="Z289" s="391"/>
      <c r="AA289" s="391"/>
      <c r="AB289" s="391"/>
      <c r="AC289" s="391"/>
      <c r="AD289" s="391"/>
      <c r="AE289" s="391"/>
      <c r="AF289" s="391"/>
      <c r="AG289" s="391"/>
      <c r="AH289" s="392"/>
      <c r="AI289" s="391"/>
      <c r="AJ289" s="391"/>
    </row>
    <row r="290" spans="1:36" ht="13.5" x14ac:dyDescent="0.25">
      <c r="A290" s="391"/>
      <c r="B290" s="391"/>
      <c r="C290" s="391"/>
      <c r="D290" s="391"/>
      <c r="E290" s="391"/>
      <c r="F290" s="391"/>
      <c r="G290" s="391"/>
      <c r="H290" s="391"/>
      <c r="I290" s="391"/>
      <c r="J290" s="391"/>
      <c r="K290" s="391"/>
      <c r="L290" s="391"/>
      <c r="M290" s="391"/>
      <c r="N290" s="391"/>
      <c r="O290" s="391"/>
      <c r="P290" s="391"/>
      <c r="Q290" s="391"/>
      <c r="R290" s="391"/>
      <c r="S290" s="391"/>
      <c r="T290" s="391"/>
      <c r="U290" s="391"/>
      <c r="V290" s="391"/>
      <c r="W290" s="391"/>
      <c r="X290" s="391"/>
      <c r="Y290" s="391"/>
      <c r="Z290" s="391"/>
      <c r="AA290" s="391"/>
      <c r="AB290" s="391"/>
      <c r="AC290" s="391"/>
      <c r="AD290" s="391"/>
      <c r="AE290" s="391"/>
      <c r="AF290" s="391"/>
      <c r="AG290" s="391"/>
      <c r="AH290" s="392"/>
      <c r="AI290" s="391"/>
      <c r="AJ290" s="391"/>
    </row>
    <row r="291" spans="1:36" ht="13.5" x14ac:dyDescent="0.25">
      <c r="A291" s="391"/>
      <c r="B291" s="391"/>
      <c r="C291" s="391"/>
      <c r="D291" s="391"/>
      <c r="E291" s="391"/>
      <c r="F291" s="391"/>
      <c r="G291" s="391"/>
      <c r="H291" s="391"/>
      <c r="I291" s="391"/>
      <c r="J291" s="391"/>
      <c r="K291" s="391"/>
      <c r="L291" s="391"/>
      <c r="M291" s="391"/>
      <c r="N291" s="391"/>
      <c r="O291" s="391"/>
      <c r="P291" s="391"/>
      <c r="Q291" s="391"/>
      <c r="R291" s="391"/>
      <c r="S291" s="391"/>
      <c r="T291" s="391"/>
      <c r="U291" s="391"/>
      <c r="V291" s="391"/>
      <c r="W291" s="391"/>
      <c r="X291" s="391"/>
      <c r="Y291" s="391"/>
      <c r="Z291" s="391"/>
      <c r="AA291" s="391"/>
      <c r="AB291" s="391"/>
      <c r="AC291" s="391"/>
      <c r="AD291" s="391"/>
      <c r="AE291" s="391"/>
      <c r="AF291" s="391"/>
      <c r="AG291" s="391"/>
      <c r="AH291" s="392"/>
      <c r="AI291" s="391"/>
      <c r="AJ291" s="391"/>
    </row>
    <row r="292" spans="1:36" ht="13.5" x14ac:dyDescent="0.25">
      <c r="A292" s="391"/>
      <c r="B292" s="391"/>
      <c r="C292" s="391"/>
      <c r="D292" s="391"/>
      <c r="E292" s="391"/>
      <c r="F292" s="391"/>
      <c r="G292" s="391"/>
      <c r="H292" s="391"/>
      <c r="I292" s="391"/>
      <c r="J292" s="391"/>
      <c r="K292" s="391"/>
      <c r="L292" s="391"/>
      <c r="M292" s="391"/>
      <c r="N292" s="391"/>
      <c r="O292" s="391"/>
      <c r="P292" s="391"/>
      <c r="Q292" s="391"/>
      <c r="R292" s="391"/>
      <c r="S292" s="391"/>
      <c r="T292" s="391"/>
      <c r="U292" s="391"/>
      <c r="V292" s="391"/>
      <c r="W292" s="391"/>
      <c r="X292" s="391"/>
      <c r="Y292" s="391"/>
      <c r="Z292" s="391"/>
      <c r="AA292" s="391"/>
      <c r="AB292" s="391"/>
      <c r="AC292" s="391"/>
      <c r="AD292" s="391"/>
      <c r="AE292" s="391"/>
      <c r="AF292" s="391"/>
      <c r="AG292" s="391"/>
      <c r="AH292" s="392"/>
      <c r="AI292" s="391"/>
      <c r="AJ292" s="391"/>
    </row>
    <row r="293" spans="1:36" ht="13.5" x14ac:dyDescent="0.25">
      <c r="A293" s="391"/>
      <c r="B293" s="391"/>
      <c r="C293" s="391"/>
      <c r="D293" s="391"/>
      <c r="E293" s="391"/>
      <c r="F293" s="391"/>
      <c r="G293" s="391"/>
      <c r="H293" s="391"/>
      <c r="I293" s="391"/>
      <c r="J293" s="391"/>
      <c r="K293" s="391"/>
      <c r="L293" s="391"/>
      <c r="M293" s="391"/>
      <c r="N293" s="391"/>
      <c r="O293" s="391"/>
      <c r="P293" s="391"/>
      <c r="Q293" s="391"/>
      <c r="R293" s="391"/>
      <c r="S293" s="391"/>
      <c r="T293" s="391"/>
      <c r="U293" s="391"/>
      <c r="V293" s="391"/>
      <c r="W293" s="391"/>
      <c r="X293" s="391"/>
      <c r="Y293" s="391"/>
      <c r="Z293" s="391"/>
      <c r="AA293" s="391"/>
      <c r="AB293" s="391"/>
      <c r="AC293" s="391"/>
      <c r="AD293" s="391"/>
      <c r="AE293" s="391"/>
      <c r="AF293" s="391"/>
      <c r="AG293" s="391"/>
      <c r="AH293" s="392"/>
      <c r="AI293" s="391"/>
      <c r="AJ293" s="391"/>
    </row>
    <row r="294" spans="1:36" ht="13.5" x14ac:dyDescent="0.25">
      <c r="A294" s="391"/>
      <c r="B294" s="391"/>
      <c r="C294" s="391"/>
      <c r="D294" s="391"/>
      <c r="E294" s="391"/>
      <c r="F294" s="391"/>
      <c r="G294" s="391"/>
      <c r="H294" s="391"/>
      <c r="I294" s="391"/>
      <c r="J294" s="391"/>
      <c r="K294" s="391"/>
      <c r="L294" s="391"/>
      <c r="M294" s="391"/>
      <c r="N294" s="391"/>
      <c r="O294" s="391"/>
      <c r="P294" s="391"/>
      <c r="Q294" s="391"/>
      <c r="R294" s="391"/>
      <c r="S294" s="391"/>
      <c r="T294" s="391"/>
      <c r="U294" s="391"/>
      <c r="V294" s="391"/>
      <c r="W294" s="391"/>
      <c r="X294" s="391"/>
      <c r="Y294" s="391"/>
      <c r="Z294" s="391"/>
      <c r="AA294" s="391"/>
      <c r="AB294" s="391"/>
      <c r="AC294" s="391"/>
      <c r="AD294" s="391"/>
      <c r="AE294" s="391"/>
      <c r="AF294" s="391"/>
      <c r="AG294" s="391"/>
      <c r="AH294" s="392"/>
      <c r="AI294" s="391"/>
      <c r="AJ294" s="391"/>
    </row>
    <row r="295" spans="1:36" ht="13.5" x14ac:dyDescent="0.25">
      <c r="A295" s="391"/>
      <c r="B295" s="391"/>
      <c r="C295" s="391"/>
      <c r="D295" s="391"/>
      <c r="E295" s="391"/>
      <c r="F295" s="391"/>
      <c r="G295" s="391"/>
      <c r="H295" s="391"/>
      <c r="I295" s="391"/>
      <c r="J295" s="391"/>
      <c r="K295" s="391"/>
      <c r="L295" s="391"/>
      <c r="M295" s="391"/>
      <c r="N295" s="391"/>
      <c r="O295" s="391"/>
      <c r="P295" s="391"/>
      <c r="Q295" s="391"/>
      <c r="R295" s="391"/>
      <c r="S295" s="391"/>
      <c r="T295" s="391"/>
      <c r="U295" s="391"/>
      <c r="V295" s="391"/>
      <c r="W295" s="391"/>
      <c r="X295" s="391"/>
      <c r="Y295" s="391"/>
      <c r="Z295" s="391"/>
      <c r="AA295" s="391"/>
      <c r="AB295" s="391"/>
      <c r="AC295" s="391"/>
      <c r="AD295" s="391"/>
      <c r="AE295" s="391"/>
      <c r="AF295" s="391"/>
      <c r="AG295" s="391"/>
      <c r="AH295" s="392"/>
      <c r="AI295" s="391"/>
      <c r="AJ295" s="391"/>
    </row>
    <row r="296" spans="1:36" ht="13.5" x14ac:dyDescent="0.25">
      <c r="A296" s="391"/>
      <c r="B296" s="391"/>
      <c r="C296" s="391"/>
      <c r="D296" s="391"/>
      <c r="E296" s="391"/>
      <c r="F296" s="391"/>
      <c r="G296" s="391"/>
      <c r="H296" s="391"/>
      <c r="I296" s="391"/>
      <c r="J296" s="391"/>
      <c r="K296" s="391"/>
      <c r="L296" s="391"/>
      <c r="M296" s="391"/>
      <c r="N296" s="391"/>
      <c r="O296" s="391"/>
      <c r="P296" s="391"/>
      <c r="Q296" s="391"/>
      <c r="R296" s="391"/>
      <c r="S296" s="391"/>
      <c r="T296" s="391"/>
      <c r="U296" s="391"/>
      <c r="V296" s="391"/>
      <c r="W296" s="391"/>
      <c r="X296" s="391"/>
      <c r="Y296" s="391"/>
      <c r="Z296" s="391"/>
      <c r="AA296" s="391"/>
      <c r="AB296" s="391"/>
      <c r="AC296" s="391"/>
      <c r="AD296" s="391"/>
      <c r="AE296" s="391"/>
      <c r="AF296" s="391"/>
      <c r="AG296" s="391"/>
      <c r="AH296" s="392"/>
      <c r="AI296" s="391"/>
      <c r="AJ296" s="391"/>
    </row>
    <row r="297" spans="1:36" ht="13.5" x14ac:dyDescent="0.25">
      <c r="A297" s="391"/>
      <c r="B297" s="391"/>
      <c r="C297" s="391"/>
      <c r="D297" s="391"/>
      <c r="E297" s="391"/>
      <c r="F297" s="391"/>
      <c r="G297" s="391"/>
      <c r="H297" s="391"/>
      <c r="I297" s="391"/>
      <c r="J297" s="391"/>
      <c r="K297" s="391"/>
      <c r="L297" s="391"/>
      <c r="M297" s="391"/>
      <c r="N297" s="391"/>
      <c r="O297" s="391"/>
      <c r="P297" s="391"/>
      <c r="Q297" s="391"/>
      <c r="R297" s="391"/>
      <c r="S297" s="391"/>
      <c r="T297" s="391"/>
      <c r="U297" s="391"/>
      <c r="V297" s="391"/>
      <c r="W297" s="391"/>
      <c r="X297" s="391"/>
      <c r="Y297" s="391"/>
      <c r="Z297" s="391"/>
      <c r="AA297" s="391"/>
      <c r="AB297" s="391"/>
      <c r="AC297" s="391"/>
      <c r="AD297" s="391"/>
      <c r="AE297" s="391"/>
      <c r="AF297" s="391"/>
      <c r="AG297" s="391"/>
      <c r="AH297" s="392"/>
      <c r="AI297" s="391"/>
      <c r="AJ297" s="391"/>
    </row>
    <row r="298" spans="1:36" ht="13.5" x14ac:dyDescent="0.25">
      <c r="A298" s="391"/>
      <c r="B298" s="391"/>
      <c r="C298" s="391"/>
      <c r="D298" s="391"/>
      <c r="E298" s="391"/>
      <c r="F298" s="391"/>
      <c r="G298" s="391"/>
      <c r="H298" s="391"/>
      <c r="I298" s="391"/>
      <c r="J298" s="391"/>
      <c r="K298" s="391"/>
      <c r="L298" s="391"/>
      <c r="M298" s="391"/>
      <c r="N298" s="391"/>
      <c r="O298" s="391"/>
      <c r="P298" s="391"/>
      <c r="Q298" s="391"/>
      <c r="R298" s="391"/>
      <c r="S298" s="391"/>
      <c r="T298" s="391"/>
      <c r="U298" s="391"/>
      <c r="V298" s="391"/>
      <c r="W298" s="391"/>
      <c r="X298" s="391"/>
      <c r="Y298" s="391"/>
      <c r="Z298" s="391"/>
      <c r="AA298" s="391"/>
      <c r="AB298" s="391"/>
      <c r="AC298" s="391"/>
      <c r="AD298" s="391"/>
      <c r="AE298" s="391"/>
      <c r="AF298" s="391"/>
      <c r="AG298" s="391"/>
      <c r="AH298" s="392"/>
      <c r="AI298" s="391"/>
      <c r="AJ298" s="391"/>
    </row>
    <row r="299" spans="1:36" ht="13.5" x14ac:dyDescent="0.25">
      <c r="A299" s="391"/>
      <c r="B299" s="391"/>
      <c r="C299" s="391"/>
      <c r="D299" s="391"/>
      <c r="E299" s="391"/>
      <c r="F299" s="391"/>
      <c r="G299" s="391"/>
      <c r="H299" s="391"/>
      <c r="I299" s="391"/>
      <c r="J299" s="391"/>
      <c r="K299" s="391"/>
      <c r="L299" s="391"/>
      <c r="M299" s="391"/>
      <c r="N299" s="391"/>
      <c r="O299" s="391"/>
      <c r="P299" s="391"/>
      <c r="Q299" s="391"/>
      <c r="R299" s="391"/>
      <c r="S299" s="391"/>
      <c r="T299" s="391"/>
      <c r="U299" s="391"/>
      <c r="V299" s="391"/>
      <c r="W299" s="391"/>
      <c r="X299" s="391"/>
      <c r="Y299" s="391"/>
      <c r="Z299" s="391"/>
      <c r="AA299" s="391"/>
      <c r="AB299" s="391"/>
      <c r="AC299" s="391"/>
      <c r="AD299" s="391"/>
      <c r="AE299" s="391"/>
      <c r="AF299" s="391"/>
      <c r="AG299" s="391"/>
      <c r="AH299" s="392"/>
      <c r="AI299" s="391"/>
      <c r="AJ299" s="391"/>
    </row>
    <row r="300" spans="1:36" ht="13.5" x14ac:dyDescent="0.25">
      <c r="A300" s="391"/>
      <c r="B300" s="391"/>
      <c r="C300" s="391"/>
      <c r="D300" s="391"/>
      <c r="E300" s="391"/>
      <c r="F300" s="391"/>
      <c r="G300" s="391"/>
      <c r="H300" s="391"/>
      <c r="I300" s="391"/>
      <c r="J300" s="391"/>
      <c r="K300" s="391"/>
      <c r="L300" s="391"/>
      <c r="M300" s="391"/>
      <c r="N300" s="391"/>
      <c r="O300" s="391"/>
      <c r="P300" s="391"/>
      <c r="Q300" s="391"/>
      <c r="R300" s="391"/>
      <c r="S300" s="391"/>
      <c r="T300" s="391"/>
      <c r="U300" s="391"/>
      <c r="V300" s="391"/>
      <c r="W300" s="391"/>
      <c r="X300" s="391"/>
      <c r="Y300" s="391"/>
      <c r="Z300" s="391"/>
      <c r="AA300" s="391"/>
      <c r="AB300" s="391"/>
      <c r="AC300" s="391"/>
      <c r="AD300" s="391"/>
      <c r="AE300" s="391"/>
      <c r="AF300" s="391"/>
      <c r="AG300" s="391"/>
      <c r="AH300" s="392"/>
      <c r="AI300" s="391"/>
      <c r="AJ300" s="391"/>
    </row>
    <row r="301" spans="1:36" ht="13.5" x14ac:dyDescent="0.25">
      <c r="A301" s="391"/>
      <c r="B301" s="391"/>
      <c r="C301" s="391"/>
      <c r="D301" s="391"/>
      <c r="E301" s="391"/>
      <c r="F301" s="391"/>
      <c r="G301" s="391"/>
      <c r="H301" s="391"/>
      <c r="I301" s="391"/>
      <c r="J301" s="391"/>
      <c r="K301" s="391"/>
      <c r="L301" s="391"/>
      <c r="M301" s="391"/>
      <c r="N301" s="391"/>
      <c r="O301" s="391"/>
      <c r="P301" s="391"/>
      <c r="Q301" s="391"/>
      <c r="R301" s="391"/>
      <c r="S301" s="391"/>
      <c r="T301" s="391"/>
      <c r="U301" s="391"/>
      <c r="V301" s="391"/>
      <c r="W301" s="391"/>
      <c r="X301" s="391"/>
      <c r="Y301" s="391"/>
      <c r="Z301" s="391"/>
      <c r="AA301" s="391"/>
      <c r="AB301" s="391"/>
      <c r="AC301" s="391"/>
      <c r="AD301" s="391"/>
      <c r="AE301" s="391"/>
      <c r="AF301" s="391"/>
      <c r="AG301" s="391"/>
      <c r="AH301" s="392"/>
      <c r="AI301" s="391"/>
      <c r="AJ301" s="391"/>
    </row>
    <row r="302" spans="1:36" ht="13.5" x14ac:dyDescent="0.25">
      <c r="A302" s="391"/>
      <c r="B302" s="391"/>
      <c r="C302" s="391"/>
      <c r="D302" s="391"/>
      <c r="E302" s="391"/>
      <c r="F302" s="391"/>
      <c r="G302" s="391"/>
      <c r="H302" s="391"/>
      <c r="I302" s="391"/>
      <c r="J302" s="391"/>
      <c r="K302" s="391"/>
      <c r="L302" s="391"/>
      <c r="M302" s="391"/>
      <c r="N302" s="391"/>
      <c r="O302" s="391"/>
      <c r="P302" s="391"/>
      <c r="Q302" s="391"/>
      <c r="R302" s="391"/>
      <c r="S302" s="391"/>
      <c r="T302" s="391"/>
      <c r="U302" s="391"/>
      <c r="V302" s="391"/>
      <c r="W302" s="391"/>
      <c r="X302" s="391"/>
      <c r="Y302" s="391"/>
      <c r="Z302" s="391"/>
      <c r="AA302" s="391"/>
      <c r="AB302" s="391"/>
      <c r="AC302" s="391"/>
      <c r="AD302" s="391"/>
      <c r="AE302" s="391"/>
      <c r="AF302" s="391"/>
      <c r="AG302" s="391"/>
      <c r="AH302" s="392"/>
      <c r="AI302" s="391"/>
      <c r="AJ302" s="391"/>
    </row>
    <row r="303" spans="1:36" ht="13.5" x14ac:dyDescent="0.25">
      <c r="A303" s="391"/>
      <c r="B303" s="391"/>
      <c r="C303" s="391"/>
      <c r="D303" s="391"/>
      <c r="E303" s="391"/>
      <c r="F303" s="391"/>
      <c r="G303" s="391"/>
      <c r="H303" s="391"/>
      <c r="I303" s="391"/>
      <c r="J303" s="391"/>
      <c r="K303" s="391"/>
      <c r="L303" s="391"/>
      <c r="M303" s="391"/>
      <c r="N303" s="391"/>
      <c r="O303" s="391"/>
      <c r="P303" s="391"/>
      <c r="Q303" s="391"/>
      <c r="R303" s="391"/>
      <c r="S303" s="391"/>
      <c r="T303" s="391"/>
      <c r="U303" s="391"/>
      <c r="V303" s="391"/>
      <c r="W303" s="391"/>
      <c r="X303" s="391"/>
      <c r="Y303" s="391"/>
      <c r="Z303" s="391"/>
      <c r="AA303" s="391"/>
      <c r="AB303" s="391"/>
      <c r="AC303" s="391"/>
      <c r="AD303" s="391"/>
      <c r="AE303" s="391"/>
      <c r="AF303" s="391"/>
      <c r="AG303" s="391"/>
      <c r="AH303" s="392"/>
      <c r="AI303" s="391"/>
      <c r="AJ303" s="391"/>
    </row>
    <row r="304" spans="1:36" ht="13.5" x14ac:dyDescent="0.25">
      <c r="A304" s="391"/>
      <c r="B304" s="391"/>
      <c r="C304" s="391"/>
      <c r="D304" s="391"/>
      <c r="E304" s="391"/>
      <c r="F304" s="391"/>
      <c r="G304" s="391"/>
      <c r="H304" s="391"/>
      <c r="I304" s="391"/>
      <c r="J304" s="391"/>
      <c r="K304" s="391"/>
      <c r="L304" s="391"/>
      <c r="M304" s="391"/>
      <c r="N304" s="391"/>
      <c r="O304" s="391"/>
      <c r="P304" s="391"/>
      <c r="Q304" s="391"/>
      <c r="R304" s="391"/>
      <c r="S304" s="391"/>
      <c r="T304" s="391"/>
      <c r="U304" s="391"/>
      <c r="V304" s="391"/>
      <c r="W304" s="391"/>
      <c r="X304" s="391"/>
      <c r="Y304" s="391"/>
      <c r="Z304" s="391"/>
      <c r="AA304" s="391"/>
      <c r="AB304" s="391"/>
      <c r="AC304" s="391"/>
      <c r="AD304" s="391"/>
      <c r="AE304" s="391"/>
      <c r="AF304" s="391"/>
      <c r="AG304" s="391"/>
      <c r="AH304" s="392"/>
      <c r="AI304" s="391"/>
      <c r="AJ304" s="391"/>
    </row>
    <row r="305" spans="1:36" ht="13.5" x14ac:dyDescent="0.25">
      <c r="A305" s="391"/>
      <c r="B305" s="391"/>
      <c r="C305" s="391"/>
      <c r="D305" s="391"/>
      <c r="E305" s="391"/>
      <c r="F305" s="391"/>
      <c r="G305" s="391"/>
      <c r="H305" s="391"/>
      <c r="I305" s="391"/>
      <c r="J305" s="391"/>
      <c r="K305" s="391"/>
      <c r="L305" s="391"/>
      <c r="M305" s="391"/>
      <c r="N305" s="391"/>
      <c r="O305" s="391"/>
      <c r="P305" s="391"/>
      <c r="Q305" s="391"/>
      <c r="R305" s="391"/>
      <c r="S305" s="391"/>
      <c r="T305" s="391"/>
      <c r="U305" s="391"/>
      <c r="V305" s="391"/>
      <c r="W305" s="391"/>
      <c r="X305" s="391"/>
      <c r="Y305" s="391"/>
      <c r="Z305" s="391"/>
      <c r="AA305" s="391"/>
      <c r="AB305" s="391"/>
      <c r="AC305" s="391"/>
      <c r="AD305" s="391"/>
      <c r="AE305" s="391"/>
      <c r="AF305" s="391"/>
      <c r="AG305" s="391"/>
      <c r="AH305" s="392"/>
      <c r="AI305" s="391"/>
      <c r="AJ305" s="391"/>
    </row>
    <row r="306" spans="1:36" ht="13.5" x14ac:dyDescent="0.25">
      <c r="A306" s="391"/>
      <c r="B306" s="391"/>
      <c r="C306" s="391"/>
      <c r="D306" s="391"/>
      <c r="E306" s="391"/>
      <c r="F306" s="391"/>
      <c r="G306" s="391"/>
      <c r="H306" s="391"/>
      <c r="I306" s="391"/>
      <c r="J306" s="391"/>
      <c r="K306" s="391"/>
      <c r="L306" s="391"/>
      <c r="M306" s="391"/>
      <c r="N306" s="391"/>
      <c r="O306" s="391"/>
      <c r="P306" s="391"/>
      <c r="Q306" s="391"/>
      <c r="R306" s="391"/>
      <c r="S306" s="391"/>
      <c r="T306" s="391"/>
      <c r="U306" s="391"/>
      <c r="V306" s="391"/>
      <c r="W306" s="391"/>
      <c r="X306" s="391"/>
      <c r="Y306" s="391"/>
      <c r="Z306" s="391"/>
      <c r="AA306" s="391"/>
      <c r="AB306" s="391"/>
      <c r="AC306" s="391"/>
      <c r="AD306" s="391"/>
      <c r="AE306" s="391"/>
      <c r="AF306" s="391"/>
      <c r="AG306" s="391"/>
      <c r="AH306" s="392"/>
      <c r="AI306" s="391"/>
      <c r="AJ306" s="391"/>
    </row>
    <row r="307" spans="1:36" ht="13.5" x14ac:dyDescent="0.25">
      <c r="A307" s="391"/>
      <c r="B307" s="391"/>
      <c r="C307" s="391"/>
      <c r="D307" s="391"/>
      <c r="E307" s="391"/>
      <c r="F307" s="391"/>
      <c r="G307" s="391"/>
      <c r="H307" s="391"/>
      <c r="I307" s="391"/>
      <c r="J307" s="391"/>
      <c r="K307" s="391"/>
      <c r="L307" s="391"/>
      <c r="M307" s="391"/>
      <c r="N307" s="391"/>
      <c r="O307" s="391"/>
      <c r="P307" s="391"/>
      <c r="Q307" s="391"/>
      <c r="R307" s="391"/>
      <c r="S307" s="391"/>
      <c r="T307" s="391"/>
      <c r="U307" s="391"/>
      <c r="V307" s="391"/>
      <c r="W307" s="391"/>
      <c r="X307" s="391"/>
      <c r="Y307" s="391"/>
      <c r="Z307" s="391"/>
      <c r="AA307" s="391"/>
      <c r="AB307" s="391"/>
      <c r="AC307" s="391"/>
      <c r="AD307" s="391"/>
      <c r="AE307" s="391"/>
      <c r="AF307" s="391"/>
      <c r="AG307" s="391"/>
      <c r="AH307" s="392"/>
      <c r="AI307" s="391"/>
      <c r="AJ307" s="391"/>
    </row>
    <row r="308" spans="1:36" ht="13.5" x14ac:dyDescent="0.25">
      <c r="A308" s="391"/>
      <c r="B308" s="391"/>
      <c r="C308" s="391"/>
      <c r="D308" s="391"/>
      <c r="E308" s="391"/>
      <c r="F308" s="391"/>
      <c r="G308" s="391"/>
      <c r="H308" s="391"/>
      <c r="I308" s="391"/>
      <c r="J308" s="391"/>
      <c r="K308" s="391"/>
      <c r="L308" s="391"/>
      <c r="M308" s="391"/>
      <c r="N308" s="391"/>
      <c r="O308" s="391"/>
      <c r="P308" s="391"/>
      <c r="Q308" s="391"/>
      <c r="R308" s="391"/>
      <c r="S308" s="391"/>
      <c r="T308" s="391"/>
      <c r="U308" s="391"/>
      <c r="V308" s="391"/>
      <c r="W308" s="391"/>
      <c r="X308" s="391"/>
      <c r="Y308" s="391"/>
      <c r="Z308" s="391"/>
      <c r="AA308" s="391"/>
      <c r="AB308" s="391"/>
      <c r="AC308" s="391"/>
      <c r="AD308" s="391"/>
      <c r="AE308" s="391"/>
      <c r="AF308" s="391"/>
      <c r="AG308" s="391"/>
      <c r="AH308" s="392"/>
      <c r="AI308" s="391"/>
      <c r="AJ308" s="391"/>
    </row>
    <row r="309" spans="1:36" ht="13.5" x14ac:dyDescent="0.25">
      <c r="A309" s="391"/>
      <c r="B309" s="391"/>
      <c r="C309" s="391"/>
      <c r="D309" s="391"/>
      <c r="E309" s="391"/>
      <c r="F309" s="391"/>
      <c r="G309" s="391"/>
      <c r="H309" s="391"/>
      <c r="I309" s="391"/>
      <c r="J309" s="391"/>
      <c r="K309" s="391"/>
      <c r="L309" s="391"/>
      <c r="M309" s="391"/>
      <c r="N309" s="391"/>
      <c r="O309" s="391"/>
      <c r="P309" s="391"/>
      <c r="Q309" s="391"/>
      <c r="R309" s="391"/>
      <c r="S309" s="391"/>
      <c r="T309" s="391"/>
      <c r="U309" s="391"/>
      <c r="V309" s="391"/>
      <c r="W309" s="391"/>
      <c r="X309" s="391"/>
      <c r="Y309" s="391"/>
      <c r="Z309" s="391"/>
      <c r="AA309" s="391"/>
      <c r="AB309" s="391"/>
      <c r="AC309" s="391"/>
      <c r="AD309" s="391"/>
      <c r="AE309" s="391"/>
      <c r="AF309" s="391"/>
      <c r="AG309" s="391"/>
      <c r="AH309" s="392"/>
      <c r="AI309" s="391"/>
      <c r="AJ309" s="391"/>
    </row>
    <row r="310" spans="1:36" ht="13.5" x14ac:dyDescent="0.25">
      <c r="A310" s="391"/>
      <c r="B310" s="391"/>
      <c r="C310" s="391"/>
      <c r="D310" s="391"/>
      <c r="E310" s="391"/>
      <c r="F310" s="391"/>
      <c r="G310" s="391"/>
      <c r="H310" s="391"/>
      <c r="I310" s="391"/>
      <c r="J310" s="391"/>
      <c r="K310" s="391"/>
      <c r="L310" s="391"/>
      <c r="M310" s="391"/>
      <c r="N310" s="391"/>
      <c r="O310" s="391"/>
      <c r="P310" s="391"/>
      <c r="Q310" s="391"/>
      <c r="R310" s="391"/>
      <c r="S310" s="391"/>
      <c r="T310" s="391"/>
      <c r="U310" s="391"/>
      <c r="V310" s="391"/>
      <c r="W310" s="391"/>
      <c r="X310" s="391"/>
      <c r="Y310" s="391"/>
      <c r="Z310" s="391"/>
      <c r="AA310" s="391"/>
      <c r="AB310" s="391"/>
      <c r="AC310" s="391"/>
      <c r="AD310" s="391"/>
      <c r="AE310" s="391"/>
      <c r="AF310" s="391"/>
      <c r="AG310" s="391"/>
      <c r="AH310" s="392"/>
      <c r="AI310" s="391"/>
      <c r="AJ310" s="391"/>
    </row>
    <row r="311" spans="1:36" ht="13.5" x14ac:dyDescent="0.25">
      <c r="A311" s="391"/>
      <c r="B311" s="391"/>
      <c r="C311" s="391"/>
      <c r="D311" s="391"/>
      <c r="E311" s="391"/>
      <c r="F311" s="391"/>
      <c r="G311" s="391"/>
      <c r="H311" s="391"/>
      <c r="I311" s="391"/>
      <c r="J311" s="391"/>
      <c r="K311" s="391"/>
      <c r="L311" s="391"/>
      <c r="M311" s="391"/>
      <c r="N311" s="391"/>
      <c r="O311" s="391"/>
      <c r="P311" s="391"/>
      <c r="Q311" s="391"/>
      <c r="R311" s="391"/>
      <c r="S311" s="391"/>
      <c r="T311" s="391"/>
      <c r="U311" s="391"/>
      <c r="V311" s="391"/>
      <c r="W311" s="391"/>
      <c r="X311" s="391"/>
      <c r="Y311" s="391"/>
      <c r="Z311" s="391"/>
      <c r="AA311" s="391"/>
      <c r="AB311" s="391"/>
      <c r="AC311" s="391"/>
      <c r="AD311" s="391"/>
      <c r="AE311" s="391"/>
      <c r="AF311" s="391"/>
      <c r="AG311" s="391"/>
      <c r="AH311" s="392"/>
      <c r="AI311" s="391"/>
      <c r="AJ311" s="391"/>
    </row>
    <row r="312" spans="1:36" ht="13.5" x14ac:dyDescent="0.25">
      <c r="A312" s="391"/>
      <c r="B312" s="391"/>
      <c r="C312" s="391"/>
      <c r="D312" s="391"/>
      <c r="E312" s="391"/>
      <c r="F312" s="391"/>
      <c r="G312" s="391"/>
      <c r="H312" s="391"/>
      <c r="I312" s="391"/>
      <c r="J312" s="391"/>
      <c r="K312" s="391"/>
      <c r="L312" s="391"/>
      <c r="M312" s="391"/>
      <c r="N312" s="391"/>
      <c r="O312" s="391"/>
      <c r="P312" s="391"/>
      <c r="Q312" s="391"/>
      <c r="R312" s="391"/>
      <c r="S312" s="391"/>
      <c r="T312" s="391"/>
      <c r="U312" s="391"/>
      <c r="V312" s="391"/>
      <c r="W312" s="391"/>
      <c r="X312" s="391"/>
      <c r="Y312" s="391"/>
      <c r="Z312" s="391"/>
      <c r="AA312" s="391"/>
      <c r="AB312" s="391"/>
      <c r="AC312" s="391"/>
      <c r="AD312" s="391"/>
      <c r="AE312" s="391"/>
      <c r="AF312" s="391"/>
      <c r="AG312" s="391"/>
      <c r="AH312" s="392"/>
      <c r="AI312" s="391"/>
      <c r="AJ312" s="391"/>
    </row>
    <row r="313" spans="1:36" ht="13.5" x14ac:dyDescent="0.25">
      <c r="A313" s="391"/>
      <c r="B313" s="391"/>
      <c r="C313" s="391"/>
      <c r="D313" s="391"/>
      <c r="E313" s="391"/>
      <c r="F313" s="391"/>
      <c r="G313" s="391"/>
      <c r="H313" s="391"/>
      <c r="I313" s="391"/>
      <c r="J313" s="391"/>
      <c r="K313" s="391"/>
      <c r="L313" s="391"/>
      <c r="M313" s="391"/>
      <c r="N313" s="391"/>
      <c r="O313" s="391"/>
      <c r="P313" s="391"/>
      <c r="Q313" s="391"/>
      <c r="R313" s="391"/>
      <c r="S313" s="391"/>
      <c r="T313" s="391"/>
      <c r="U313" s="391"/>
      <c r="V313" s="391"/>
      <c r="W313" s="391"/>
      <c r="X313" s="391"/>
      <c r="Y313" s="391"/>
      <c r="Z313" s="391"/>
      <c r="AA313" s="391"/>
      <c r="AB313" s="391"/>
      <c r="AC313" s="391"/>
      <c r="AD313" s="391"/>
      <c r="AE313" s="391"/>
      <c r="AF313" s="391"/>
      <c r="AG313" s="391"/>
      <c r="AH313" s="392"/>
      <c r="AI313" s="391"/>
      <c r="AJ313" s="391"/>
    </row>
    <row r="314" spans="1:36" ht="13.5" x14ac:dyDescent="0.25">
      <c r="A314" s="391"/>
      <c r="B314" s="391"/>
      <c r="C314" s="391"/>
      <c r="D314" s="391"/>
      <c r="E314" s="391"/>
      <c r="F314" s="391"/>
      <c r="G314" s="391"/>
      <c r="H314" s="391"/>
      <c r="I314" s="391"/>
      <c r="J314" s="391"/>
      <c r="K314" s="391"/>
      <c r="L314" s="391"/>
      <c r="M314" s="391"/>
      <c r="N314" s="391"/>
      <c r="O314" s="391"/>
      <c r="P314" s="391"/>
      <c r="Q314" s="391"/>
      <c r="R314" s="391"/>
      <c r="S314" s="391"/>
      <c r="T314" s="391"/>
      <c r="U314" s="391"/>
      <c r="V314" s="391"/>
      <c r="W314" s="391"/>
      <c r="X314" s="391"/>
      <c r="Y314" s="391"/>
      <c r="Z314" s="391"/>
      <c r="AA314" s="391"/>
      <c r="AB314" s="391"/>
      <c r="AC314" s="391"/>
      <c r="AD314" s="391"/>
      <c r="AE314" s="391"/>
      <c r="AF314" s="391"/>
      <c r="AG314" s="391"/>
      <c r="AH314" s="392"/>
      <c r="AI314" s="391"/>
      <c r="AJ314" s="391"/>
    </row>
    <row r="315" spans="1:36" ht="13.5" x14ac:dyDescent="0.25">
      <c r="A315" s="391"/>
      <c r="B315" s="391"/>
      <c r="C315" s="391"/>
      <c r="D315" s="391"/>
      <c r="E315" s="391"/>
      <c r="F315" s="391"/>
      <c r="G315" s="391"/>
      <c r="H315" s="391"/>
      <c r="I315" s="391"/>
      <c r="J315" s="391"/>
      <c r="K315" s="391"/>
      <c r="L315" s="391"/>
      <c r="M315" s="391"/>
      <c r="N315" s="391"/>
      <c r="O315" s="391"/>
      <c r="P315" s="391"/>
      <c r="Q315" s="391"/>
      <c r="R315" s="391"/>
      <c r="S315" s="391"/>
      <c r="T315" s="391"/>
      <c r="U315" s="391"/>
      <c r="V315" s="391"/>
      <c r="W315" s="391"/>
      <c r="X315" s="391"/>
      <c r="Y315" s="391"/>
      <c r="Z315" s="391"/>
      <c r="AA315" s="391"/>
      <c r="AB315" s="391"/>
      <c r="AC315" s="391"/>
      <c r="AD315" s="391"/>
      <c r="AE315" s="391"/>
      <c r="AF315" s="391"/>
      <c r="AG315" s="391"/>
      <c r="AH315" s="392"/>
      <c r="AI315" s="391"/>
      <c r="AJ315" s="391"/>
    </row>
    <row r="316" spans="1:36" ht="13.5" x14ac:dyDescent="0.25">
      <c r="A316" s="391"/>
      <c r="B316" s="391"/>
      <c r="C316" s="391"/>
      <c r="D316" s="391"/>
      <c r="E316" s="391"/>
      <c r="F316" s="391"/>
      <c r="G316" s="391"/>
      <c r="H316" s="391"/>
      <c r="I316" s="391"/>
      <c r="J316" s="391"/>
      <c r="K316" s="391"/>
      <c r="L316" s="391"/>
      <c r="M316" s="391"/>
      <c r="N316" s="391"/>
      <c r="O316" s="391"/>
      <c r="P316" s="391"/>
      <c r="Q316" s="391"/>
      <c r="R316" s="391"/>
      <c r="S316" s="391"/>
      <c r="T316" s="391"/>
      <c r="U316" s="391"/>
      <c r="V316" s="391"/>
      <c r="W316" s="391"/>
      <c r="X316" s="391"/>
      <c r="Y316" s="391"/>
      <c r="Z316" s="391"/>
      <c r="AA316" s="391"/>
      <c r="AB316" s="391"/>
      <c r="AC316" s="391"/>
      <c r="AD316" s="391"/>
      <c r="AE316" s="391"/>
      <c r="AF316" s="391"/>
      <c r="AG316" s="391"/>
      <c r="AH316" s="392"/>
      <c r="AI316" s="391"/>
      <c r="AJ316" s="391"/>
    </row>
    <row r="317" spans="1:36" ht="13.5" x14ac:dyDescent="0.25">
      <c r="A317" s="391"/>
      <c r="B317" s="391"/>
      <c r="C317" s="391"/>
      <c r="D317" s="391"/>
      <c r="E317" s="391"/>
      <c r="F317" s="391"/>
      <c r="G317" s="391"/>
      <c r="H317" s="391"/>
      <c r="I317" s="391"/>
      <c r="J317" s="391"/>
      <c r="K317" s="391"/>
      <c r="L317" s="391"/>
      <c r="M317" s="391"/>
      <c r="N317" s="391"/>
      <c r="O317" s="391"/>
      <c r="P317" s="391"/>
      <c r="Q317" s="391"/>
      <c r="R317" s="391"/>
      <c r="S317" s="391"/>
      <c r="T317" s="391"/>
      <c r="U317" s="391"/>
      <c r="V317" s="391"/>
      <c r="W317" s="391"/>
      <c r="X317" s="391"/>
      <c r="Y317" s="391"/>
      <c r="Z317" s="391"/>
      <c r="AA317" s="391"/>
      <c r="AB317" s="391"/>
      <c r="AC317" s="391"/>
      <c r="AD317" s="391"/>
      <c r="AE317" s="391"/>
      <c r="AF317" s="391"/>
      <c r="AG317" s="391"/>
      <c r="AH317" s="392"/>
      <c r="AI317" s="391"/>
      <c r="AJ317" s="391"/>
    </row>
    <row r="318" spans="1:36" ht="13.5" x14ac:dyDescent="0.25">
      <c r="A318" s="391"/>
      <c r="B318" s="391"/>
      <c r="C318" s="391"/>
      <c r="D318" s="391"/>
      <c r="E318" s="391"/>
      <c r="F318" s="391"/>
      <c r="G318" s="391"/>
      <c r="H318" s="391"/>
      <c r="I318" s="391"/>
      <c r="J318" s="391"/>
      <c r="K318" s="391"/>
      <c r="L318" s="391"/>
      <c r="M318" s="391"/>
      <c r="N318" s="391"/>
      <c r="O318" s="391"/>
      <c r="P318" s="391"/>
      <c r="Q318" s="391"/>
      <c r="R318" s="391"/>
      <c r="S318" s="391"/>
      <c r="T318" s="391"/>
      <c r="U318" s="391"/>
      <c r="V318" s="391"/>
      <c r="W318" s="391"/>
      <c r="X318" s="391"/>
      <c r="Y318" s="391"/>
      <c r="Z318" s="391"/>
      <c r="AA318" s="391"/>
      <c r="AB318" s="391"/>
      <c r="AC318" s="391"/>
      <c r="AD318" s="391"/>
      <c r="AE318" s="391"/>
      <c r="AF318" s="391"/>
      <c r="AG318" s="391"/>
      <c r="AH318" s="392"/>
      <c r="AI318" s="391"/>
      <c r="AJ318" s="391"/>
    </row>
    <row r="319" spans="1:36" ht="13.5" x14ac:dyDescent="0.25">
      <c r="A319" s="391"/>
      <c r="B319" s="391"/>
      <c r="C319" s="391"/>
      <c r="D319" s="391"/>
      <c r="E319" s="391"/>
      <c r="F319" s="391"/>
      <c r="G319" s="391"/>
      <c r="H319" s="391"/>
      <c r="I319" s="391"/>
      <c r="J319" s="391"/>
      <c r="K319" s="391"/>
      <c r="L319" s="391"/>
      <c r="M319" s="391"/>
      <c r="N319" s="391"/>
      <c r="O319" s="391"/>
      <c r="P319" s="391"/>
      <c r="Q319" s="391"/>
      <c r="R319" s="391"/>
      <c r="S319" s="391"/>
      <c r="T319" s="391"/>
      <c r="U319" s="391"/>
      <c r="V319" s="391"/>
      <c r="W319" s="391"/>
      <c r="X319" s="391"/>
      <c r="Y319" s="391"/>
      <c r="Z319" s="391"/>
      <c r="AA319" s="391"/>
      <c r="AB319" s="391"/>
      <c r="AC319" s="391"/>
      <c r="AD319" s="391"/>
      <c r="AE319" s="391"/>
      <c r="AF319" s="391"/>
      <c r="AG319" s="391"/>
      <c r="AH319" s="392"/>
      <c r="AI319" s="391"/>
      <c r="AJ319" s="391"/>
    </row>
    <row r="320" spans="1:36" ht="13.5" x14ac:dyDescent="0.25">
      <c r="A320" s="391"/>
      <c r="B320" s="391"/>
      <c r="C320" s="391"/>
      <c r="D320" s="391"/>
      <c r="E320" s="391"/>
      <c r="F320" s="391"/>
      <c r="G320" s="391"/>
      <c r="H320" s="391"/>
      <c r="I320" s="391"/>
      <c r="J320" s="391"/>
      <c r="K320" s="391"/>
      <c r="L320" s="391"/>
      <c r="M320" s="391"/>
      <c r="N320" s="391"/>
      <c r="O320" s="391"/>
      <c r="P320" s="391"/>
      <c r="Q320" s="391"/>
      <c r="R320" s="391"/>
      <c r="S320" s="391"/>
      <c r="T320" s="391"/>
      <c r="U320" s="391"/>
      <c r="V320" s="391"/>
      <c r="W320" s="391"/>
      <c r="X320" s="391"/>
      <c r="Y320" s="391"/>
      <c r="Z320" s="391"/>
      <c r="AA320" s="391"/>
      <c r="AB320" s="391"/>
      <c r="AC320" s="391"/>
      <c r="AD320" s="391"/>
      <c r="AE320" s="391"/>
      <c r="AF320" s="391"/>
      <c r="AG320" s="391"/>
      <c r="AH320" s="392"/>
      <c r="AI320" s="391"/>
      <c r="AJ320" s="391"/>
    </row>
    <row r="321" spans="1:36" ht="13.5" x14ac:dyDescent="0.25">
      <c r="A321" s="391"/>
      <c r="B321" s="391"/>
      <c r="C321" s="391"/>
      <c r="D321" s="391"/>
      <c r="E321" s="391"/>
      <c r="F321" s="391"/>
      <c r="G321" s="391"/>
      <c r="H321" s="391"/>
      <c r="I321" s="391"/>
      <c r="J321" s="391"/>
      <c r="K321" s="391"/>
      <c r="L321" s="391"/>
      <c r="M321" s="391"/>
      <c r="N321" s="391"/>
      <c r="O321" s="391"/>
      <c r="P321" s="391"/>
      <c r="Q321" s="391"/>
      <c r="R321" s="391"/>
      <c r="S321" s="391"/>
      <c r="T321" s="391"/>
      <c r="U321" s="391"/>
      <c r="V321" s="391"/>
      <c r="W321" s="391"/>
      <c r="X321" s="391"/>
      <c r="Y321" s="391"/>
      <c r="Z321" s="391"/>
      <c r="AA321" s="391"/>
      <c r="AB321" s="391"/>
      <c r="AC321" s="391"/>
      <c r="AD321" s="391"/>
      <c r="AE321" s="391"/>
      <c r="AF321" s="391"/>
      <c r="AG321" s="391"/>
      <c r="AH321" s="392"/>
      <c r="AI321" s="391"/>
      <c r="AJ321" s="391"/>
    </row>
    <row r="322" spans="1:36" ht="13.5" x14ac:dyDescent="0.25">
      <c r="A322" s="391"/>
      <c r="B322" s="391"/>
      <c r="C322" s="391"/>
      <c r="D322" s="391"/>
      <c r="E322" s="391"/>
      <c r="F322" s="391"/>
      <c r="G322" s="391"/>
      <c r="H322" s="391"/>
      <c r="I322" s="391"/>
      <c r="J322" s="391"/>
      <c r="K322" s="391"/>
      <c r="L322" s="391"/>
      <c r="M322" s="391"/>
      <c r="N322" s="391"/>
      <c r="O322" s="391"/>
      <c r="P322" s="391"/>
      <c r="Q322" s="391"/>
      <c r="R322" s="391"/>
      <c r="S322" s="391"/>
      <c r="T322" s="391"/>
      <c r="U322" s="391"/>
      <c r="V322" s="391"/>
      <c r="W322" s="391"/>
      <c r="X322" s="391"/>
      <c r="Y322" s="391"/>
      <c r="Z322" s="391"/>
      <c r="AA322" s="391"/>
      <c r="AB322" s="391"/>
      <c r="AC322" s="391"/>
      <c r="AD322" s="391"/>
      <c r="AE322" s="391"/>
      <c r="AF322" s="391"/>
      <c r="AG322" s="391"/>
      <c r="AH322" s="392"/>
      <c r="AI322" s="391"/>
      <c r="AJ322" s="391"/>
    </row>
    <row r="323" spans="1:36" ht="13.5" x14ac:dyDescent="0.25">
      <c r="A323" s="391"/>
      <c r="B323" s="391"/>
      <c r="C323" s="391"/>
      <c r="D323" s="391"/>
      <c r="E323" s="391"/>
      <c r="F323" s="391"/>
      <c r="G323" s="391"/>
      <c r="H323" s="391"/>
      <c r="I323" s="391"/>
      <c r="J323" s="391"/>
      <c r="K323" s="391"/>
      <c r="L323" s="391"/>
      <c r="M323" s="391"/>
      <c r="N323" s="391"/>
      <c r="O323" s="391"/>
      <c r="P323" s="391"/>
      <c r="Q323" s="391"/>
      <c r="R323" s="391"/>
      <c r="S323" s="391"/>
      <c r="T323" s="391"/>
      <c r="U323" s="391"/>
      <c r="V323" s="391"/>
      <c r="W323" s="391"/>
      <c r="X323" s="391"/>
      <c r="Y323" s="391"/>
      <c r="Z323" s="391"/>
      <c r="AA323" s="391"/>
      <c r="AB323" s="391"/>
      <c r="AC323" s="391"/>
      <c r="AD323" s="391"/>
      <c r="AE323" s="391"/>
      <c r="AF323" s="391"/>
      <c r="AG323" s="391"/>
      <c r="AH323" s="392"/>
      <c r="AI323" s="391"/>
      <c r="AJ323" s="391"/>
    </row>
    <row r="324" spans="1:36" ht="13.5" x14ac:dyDescent="0.25">
      <c r="A324" s="391"/>
      <c r="B324" s="391"/>
      <c r="C324" s="391"/>
      <c r="D324" s="391"/>
      <c r="E324" s="391"/>
      <c r="F324" s="391"/>
      <c r="G324" s="391"/>
      <c r="H324" s="391"/>
      <c r="I324" s="391"/>
      <c r="J324" s="391"/>
      <c r="K324" s="391"/>
      <c r="L324" s="391"/>
      <c r="M324" s="391"/>
      <c r="N324" s="391"/>
      <c r="O324" s="391"/>
      <c r="P324" s="391"/>
      <c r="Q324" s="391"/>
      <c r="R324" s="391"/>
      <c r="S324" s="391"/>
      <c r="T324" s="391"/>
      <c r="U324" s="391"/>
      <c r="V324" s="391"/>
      <c r="W324" s="391"/>
      <c r="X324" s="391"/>
      <c r="Y324" s="391"/>
      <c r="Z324" s="391"/>
      <c r="AA324" s="391"/>
      <c r="AB324" s="391"/>
      <c r="AC324" s="391"/>
      <c r="AD324" s="391"/>
      <c r="AE324" s="391"/>
      <c r="AF324" s="391"/>
      <c r="AG324" s="391"/>
      <c r="AH324" s="392"/>
      <c r="AI324" s="391"/>
      <c r="AJ324" s="391"/>
    </row>
    <row r="325" spans="1:36" ht="13.5" x14ac:dyDescent="0.25">
      <c r="A325" s="391"/>
      <c r="B325" s="391"/>
      <c r="C325" s="391"/>
      <c r="D325" s="391"/>
      <c r="E325" s="391"/>
      <c r="F325" s="391"/>
      <c r="G325" s="391"/>
      <c r="H325" s="391"/>
      <c r="I325" s="391"/>
      <c r="J325" s="391"/>
      <c r="K325" s="391"/>
      <c r="L325" s="391"/>
      <c r="M325" s="391"/>
      <c r="N325" s="391"/>
      <c r="O325" s="391"/>
      <c r="P325" s="391"/>
      <c r="Q325" s="391"/>
      <c r="R325" s="391"/>
      <c r="S325" s="391"/>
      <c r="T325" s="391"/>
      <c r="U325" s="391"/>
      <c r="V325" s="391"/>
      <c r="W325" s="391"/>
      <c r="X325" s="391"/>
      <c r="Y325" s="391"/>
      <c r="Z325" s="391"/>
      <c r="AA325" s="391"/>
      <c r="AB325" s="391"/>
      <c r="AC325" s="391"/>
      <c r="AD325" s="391"/>
      <c r="AE325" s="391"/>
      <c r="AF325" s="391"/>
      <c r="AG325" s="391"/>
      <c r="AH325" s="392"/>
      <c r="AI325" s="391"/>
      <c r="AJ325" s="391"/>
    </row>
    <row r="326" spans="1:36" ht="13.5" x14ac:dyDescent="0.25">
      <c r="A326" s="391"/>
      <c r="B326" s="391"/>
      <c r="C326" s="391"/>
      <c r="D326" s="391"/>
      <c r="E326" s="391"/>
      <c r="F326" s="391"/>
      <c r="G326" s="391"/>
      <c r="H326" s="391"/>
      <c r="I326" s="391"/>
      <c r="J326" s="391"/>
      <c r="K326" s="391"/>
      <c r="L326" s="391"/>
      <c r="M326" s="391"/>
      <c r="N326" s="391"/>
      <c r="O326" s="391"/>
      <c r="P326" s="391"/>
      <c r="Q326" s="391"/>
      <c r="R326" s="391"/>
      <c r="S326" s="391"/>
      <c r="T326" s="391"/>
      <c r="U326" s="391"/>
      <c r="V326" s="391"/>
      <c r="W326" s="391"/>
      <c r="X326" s="391"/>
      <c r="Y326" s="391"/>
      <c r="Z326" s="391"/>
      <c r="AA326" s="391"/>
      <c r="AB326" s="391"/>
      <c r="AC326" s="391"/>
      <c r="AD326" s="391"/>
      <c r="AE326" s="391"/>
      <c r="AF326" s="391"/>
      <c r="AG326" s="391"/>
      <c r="AH326" s="392"/>
      <c r="AI326" s="391"/>
      <c r="AJ326" s="391"/>
    </row>
    <row r="327" spans="1:36" ht="13.5" x14ac:dyDescent="0.25">
      <c r="A327" s="391"/>
      <c r="B327" s="391"/>
      <c r="C327" s="391"/>
      <c r="D327" s="391"/>
      <c r="E327" s="391"/>
      <c r="F327" s="391"/>
      <c r="G327" s="391"/>
      <c r="H327" s="391"/>
      <c r="I327" s="391"/>
      <c r="J327" s="391"/>
      <c r="K327" s="391"/>
      <c r="L327" s="391"/>
      <c r="M327" s="391"/>
      <c r="N327" s="391"/>
      <c r="O327" s="391"/>
      <c r="P327" s="391"/>
      <c r="Q327" s="391"/>
      <c r="R327" s="391"/>
      <c r="S327" s="391"/>
      <c r="T327" s="391"/>
      <c r="U327" s="391"/>
      <c r="V327" s="391"/>
      <c r="W327" s="391"/>
      <c r="X327" s="391"/>
      <c r="Y327" s="391"/>
      <c r="Z327" s="391"/>
      <c r="AA327" s="391"/>
      <c r="AB327" s="391"/>
      <c r="AC327" s="391"/>
      <c r="AD327" s="391"/>
      <c r="AE327" s="391"/>
      <c r="AF327" s="391"/>
      <c r="AG327" s="391"/>
      <c r="AH327" s="392"/>
      <c r="AI327" s="391"/>
      <c r="AJ327" s="391"/>
    </row>
    <row r="328" spans="1:36" ht="13.5" x14ac:dyDescent="0.25">
      <c r="A328" s="391"/>
      <c r="B328" s="391"/>
      <c r="C328" s="391"/>
      <c r="D328" s="391"/>
      <c r="E328" s="391"/>
      <c r="F328" s="391"/>
      <c r="G328" s="391"/>
      <c r="H328" s="391"/>
      <c r="I328" s="391"/>
      <c r="J328" s="391"/>
      <c r="K328" s="391"/>
      <c r="L328" s="391"/>
      <c r="M328" s="391"/>
      <c r="N328" s="391"/>
      <c r="O328" s="391"/>
      <c r="P328" s="391"/>
      <c r="Q328" s="391"/>
      <c r="R328" s="391"/>
      <c r="S328" s="391"/>
      <c r="T328" s="391"/>
      <c r="U328" s="391"/>
      <c r="V328" s="391"/>
      <c r="W328" s="391"/>
      <c r="X328" s="391"/>
      <c r="Y328" s="391"/>
      <c r="Z328" s="391"/>
      <c r="AA328" s="391"/>
      <c r="AB328" s="391"/>
      <c r="AC328" s="391"/>
      <c r="AD328" s="391"/>
      <c r="AE328" s="391"/>
      <c r="AF328" s="391"/>
      <c r="AG328" s="391"/>
      <c r="AH328" s="392"/>
      <c r="AI328" s="391"/>
      <c r="AJ328" s="391"/>
    </row>
    <row r="329" spans="1:36" ht="13.5" x14ac:dyDescent="0.25">
      <c r="A329" s="391"/>
      <c r="B329" s="391"/>
      <c r="C329" s="391"/>
      <c r="D329" s="391"/>
      <c r="E329" s="391"/>
      <c r="F329" s="391"/>
      <c r="G329" s="391"/>
      <c r="H329" s="391"/>
      <c r="I329" s="391"/>
      <c r="J329" s="391"/>
      <c r="K329" s="391"/>
      <c r="L329" s="391"/>
      <c r="M329" s="391"/>
      <c r="N329" s="391"/>
      <c r="O329" s="391"/>
      <c r="P329" s="391"/>
      <c r="Q329" s="391"/>
      <c r="R329" s="391"/>
      <c r="S329" s="391"/>
      <c r="T329" s="391"/>
      <c r="U329" s="391"/>
      <c r="V329" s="391"/>
      <c r="W329" s="391"/>
      <c r="X329" s="391"/>
      <c r="Y329" s="391"/>
      <c r="Z329" s="391"/>
      <c r="AA329" s="391"/>
      <c r="AB329" s="391"/>
      <c r="AC329" s="391"/>
      <c r="AD329" s="391"/>
      <c r="AE329" s="391"/>
      <c r="AF329" s="391"/>
      <c r="AG329" s="391"/>
      <c r="AH329" s="392"/>
      <c r="AI329" s="391"/>
      <c r="AJ329" s="391"/>
    </row>
    <row r="330" spans="1:36" ht="13.5" x14ac:dyDescent="0.25">
      <c r="A330" s="391"/>
      <c r="B330" s="391"/>
      <c r="C330" s="391"/>
      <c r="D330" s="391"/>
      <c r="E330" s="391"/>
      <c r="F330" s="391"/>
      <c r="G330" s="391"/>
      <c r="H330" s="391"/>
      <c r="I330" s="391"/>
      <c r="J330" s="391"/>
      <c r="K330" s="391"/>
      <c r="L330" s="391"/>
      <c r="M330" s="391"/>
      <c r="N330" s="391"/>
      <c r="O330" s="391"/>
      <c r="P330" s="391"/>
      <c r="Q330" s="391"/>
      <c r="R330" s="391"/>
      <c r="S330" s="391"/>
      <c r="T330" s="391"/>
      <c r="U330" s="391"/>
      <c r="V330" s="391"/>
      <c r="W330" s="391"/>
      <c r="X330" s="391"/>
      <c r="Y330" s="391"/>
      <c r="Z330" s="391"/>
      <c r="AA330" s="391"/>
      <c r="AB330" s="391"/>
      <c r="AC330" s="391"/>
      <c r="AD330" s="391"/>
      <c r="AE330" s="391"/>
      <c r="AF330" s="391"/>
      <c r="AG330" s="391"/>
      <c r="AH330" s="392"/>
      <c r="AI330" s="391"/>
      <c r="AJ330" s="391"/>
    </row>
    <row r="331" spans="1:36" ht="13.5" x14ac:dyDescent="0.25">
      <c r="A331" s="391"/>
      <c r="B331" s="391"/>
      <c r="C331" s="391"/>
      <c r="D331" s="391"/>
      <c r="E331" s="391"/>
      <c r="F331" s="391"/>
      <c r="G331" s="391"/>
      <c r="H331" s="391"/>
      <c r="I331" s="391"/>
      <c r="J331" s="391"/>
      <c r="K331" s="391"/>
      <c r="L331" s="391"/>
      <c r="M331" s="391"/>
      <c r="N331" s="391"/>
      <c r="O331" s="391"/>
      <c r="P331" s="391"/>
      <c r="Q331" s="391"/>
      <c r="R331" s="391"/>
      <c r="S331" s="391"/>
      <c r="T331" s="391"/>
      <c r="U331" s="391"/>
      <c r="V331" s="391"/>
      <c r="W331" s="391"/>
      <c r="X331" s="391"/>
      <c r="Y331" s="391"/>
      <c r="Z331" s="391"/>
      <c r="AA331" s="391"/>
      <c r="AB331" s="391"/>
      <c r="AC331" s="391"/>
      <c r="AD331" s="391"/>
      <c r="AE331" s="391"/>
      <c r="AF331" s="391"/>
      <c r="AG331" s="391"/>
      <c r="AH331" s="392"/>
      <c r="AI331" s="391"/>
      <c r="AJ331" s="391"/>
    </row>
    <row r="332" spans="1:36" ht="13.5" x14ac:dyDescent="0.25">
      <c r="A332" s="391"/>
      <c r="B332" s="391"/>
      <c r="C332" s="391"/>
      <c r="D332" s="391"/>
      <c r="E332" s="391"/>
      <c r="F332" s="391"/>
      <c r="G332" s="391"/>
      <c r="H332" s="391"/>
      <c r="I332" s="391"/>
      <c r="J332" s="391"/>
      <c r="K332" s="391"/>
      <c r="L332" s="391"/>
      <c r="M332" s="391"/>
      <c r="N332" s="391"/>
      <c r="O332" s="391"/>
      <c r="P332" s="391"/>
      <c r="Q332" s="391"/>
      <c r="R332" s="391"/>
      <c r="S332" s="391"/>
      <c r="T332" s="391"/>
      <c r="U332" s="391"/>
      <c r="V332" s="391"/>
      <c r="W332" s="391"/>
      <c r="X332" s="391"/>
      <c r="Y332" s="391"/>
      <c r="Z332" s="391"/>
      <c r="AA332" s="391"/>
      <c r="AB332" s="391"/>
      <c r="AC332" s="391"/>
      <c r="AD332" s="391"/>
      <c r="AE332" s="391"/>
      <c r="AF332" s="391"/>
      <c r="AG332" s="391"/>
      <c r="AH332" s="392"/>
      <c r="AI332" s="391"/>
      <c r="AJ332" s="391"/>
    </row>
    <row r="333" spans="1:36" ht="13.5" x14ac:dyDescent="0.25">
      <c r="A333" s="391"/>
      <c r="B333" s="391"/>
      <c r="C333" s="391"/>
      <c r="D333" s="391"/>
      <c r="E333" s="391"/>
      <c r="F333" s="391"/>
      <c r="G333" s="391"/>
      <c r="H333" s="391"/>
      <c r="I333" s="391"/>
      <c r="J333" s="391"/>
      <c r="K333" s="391"/>
      <c r="L333" s="391"/>
      <c r="M333" s="391"/>
      <c r="N333" s="391"/>
      <c r="O333" s="391"/>
      <c r="P333" s="391"/>
      <c r="Q333" s="391"/>
      <c r="R333" s="391"/>
      <c r="S333" s="391"/>
      <c r="T333" s="391"/>
      <c r="U333" s="391"/>
      <c r="V333" s="391"/>
      <c r="W333" s="391"/>
      <c r="X333" s="391"/>
      <c r="Y333" s="391"/>
      <c r="Z333" s="391"/>
      <c r="AA333" s="391"/>
      <c r="AB333" s="391"/>
      <c r="AC333" s="391"/>
      <c r="AD333" s="391"/>
      <c r="AE333" s="391"/>
      <c r="AF333" s="391"/>
      <c r="AG333" s="391"/>
      <c r="AH333" s="392"/>
      <c r="AI333" s="391"/>
      <c r="AJ333" s="391"/>
    </row>
    <row r="334" spans="1:36" ht="13.5" x14ac:dyDescent="0.25">
      <c r="A334" s="391"/>
      <c r="B334" s="391"/>
      <c r="C334" s="391"/>
      <c r="D334" s="391"/>
      <c r="E334" s="391"/>
      <c r="F334" s="391"/>
      <c r="G334" s="391"/>
      <c r="H334" s="391"/>
      <c r="I334" s="391"/>
      <c r="J334" s="391"/>
      <c r="K334" s="391"/>
      <c r="L334" s="391"/>
      <c r="M334" s="391"/>
      <c r="N334" s="391"/>
      <c r="O334" s="391"/>
      <c r="P334" s="391"/>
      <c r="Q334" s="391"/>
      <c r="R334" s="391"/>
      <c r="S334" s="391"/>
      <c r="T334" s="391"/>
      <c r="U334" s="391"/>
      <c r="V334" s="391"/>
      <c r="W334" s="391"/>
      <c r="X334" s="391"/>
      <c r="Y334" s="391"/>
      <c r="Z334" s="391"/>
      <c r="AA334" s="391"/>
      <c r="AB334" s="391"/>
      <c r="AC334" s="391"/>
      <c r="AD334" s="391"/>
      <c r="AE334" s="391"/>
      <c r="AF334" s="391"/>
      <c r="AG334" s="391"/>
      <c r="AH334" s="392"/>
      <c r="AI334" s="391"/>
      <c r="AJ334" s="391"/>
    </row>
    <row r="335" spans="1:36" ht="13.5" x14ac:dyDescent="0.25">
      <c r="A335" s="391"/>
      <c r="B335" s="391"/>
      <c r="C335" s="391"/>
      <c r="D335" s="391"/>
      <c r="E335" s="391"/>
      <c r="F335" s="391"/>
      <c r="G335" s="391"/>
      <c r="H335" s="391"/>
      <c r="I335" s="391"/>
      <c r="J335" s="391"/>
      <c r="K335" s="391"/>
      <c r="L335" s="391"/>
      <c r="M335" s="391"/>
      <c r="N335" s="391"/>
      <c r="O335" s="391"/>
      <c r="P335" s="391"/>
      <c r="Q335" s="391"/>
      <c r="R335" s="391"/>
      <c r="S335" s="391"/>
      <c r="T335" s="391"/>
      <c r="U335" s="391"/>
      <c r="V335" s="391"/>
      <c r="W335" s="391"/>
      <c r="X335" s="391"/>
      <c r="Y335" s="391"/>
      <c r="Z335" s="391"/>
      <c r="AA335" s="391"/>
      <c r="AB335" s="391"/>
      <c r="AC335" s="391"/>
      <c r="AD335" s="391"/>
      <c r="AE335" s="391"/>
      <c r="AF335" s="391"/>
      <c r="AG335" s="391"/>
      <c r="AH335" s="392"/>
      <c r="AI335" s="391"/>
      <c r="AJ335" s="391"/>
    </row>
    <row r="336" spans="1:36" ht="13.5" x14ac:dyDescent="0.25">
      <c r="A336" s="391"/>
      <c r="B336" s="391"/>
      <c r="C336" s="391"/>
      <c r="D336" s="391"/>
      <c r="E336" s="391"/>
      <c r="F336" s="391"/>
      <c r="G336" s="391"/>
      <c r="H336" s="391"/>
      <c r="I336" s="391"/>
      <c r="J336" s="391"/>
      <c r="K336" s="391"/>
      <c r="L336" s="391"/>
      <c r="M336" s="391"/>
      <c r="N336" s="391"/>
      <c r="O336" s="391"/>
      <c r="P336" s="391"/>
      <c r="Q336" s="391"/>
      <c r="R336" s="391"/>
      <c r="S336" s="391"/>
      <c r="T336" s="391"/>
      <c r="U336" s="391"/>
      <c r="V336" s="391"/>
      <c r="W336" s="391"/>
      <c r="X336" s="391"/>
      <c r="Y336" s="391"/>
      <c r="Z336" s="391"/>
      <c r="AA336" s="391"/>
      <c r="AB336" s="391"/>
      <c r="AC336" s="391"/>
      <c r="AD336" s="391"/>
      <c r="AE336" s="391"/>
      <c r="AF336" s="391"/>
      <c r="AG336" s="391"/>
      <c r="AH336" s="392"/>
      <c r="AI336" s="391"/>
      <c r="AJ336" s="391"/>
    </row>
    <row r="337" spans="1:36" ht="13.5" x14ac:dyDescent="0.25">
      <c r="A337" s="391"/>
      <c r="B337" s="391"/>
      <c r="C337" s="391"/>
      <c r="D337" s="391"/>
      <c r="E337" s="391"/>
      <c r="F337" s="391"/>
      <c r="G337" s="391"/>
      <c r="H337" s="391"/>
      <c r="I337" s="391"/>
      <c r="J337" s="391"/>
      <c r="K337" s="391"/>
      <c r="L337" s="391"/>
      <c r="M337" s="391"/>
      <c r="N337" s="391"/>
      <c r="O337" s="391"/>
      <c r="P337" s="391"/>
      <c r="Q337" s="391"/>
      <c r="R337" s="391"/>
      <c r="S337" s="391"/>
      <c r="T337" s="391"/>
      <c r="U337" s="391"/>
      <c r="V337" s="391"/>
      <c r="W337" s="391"/>
      <c r="X337" s="391"/>
      <c r="Y337" s="391"/>
      <c r="Z337" s="391"/>
      <c r="AA337" s="391"/>
      <c r="AB337" s="391"/>
      <c r="AC337" s="391"/>
      <c r="AD337" s="391"/>
      <c r="AE337" s="391"/>
      <c r="AF337" s="391"/>
      <c r="AG337" s="391"/>
      <c r="AH337" s="392"/>
      <c r="AI337" s="391"/>
      <c r="AJ337" s="391"/>
    </row>
    <row r="338" spans="1:36" ht="13.5" x14ac:dyDescent="0.25">
      <c r="A338" s="391"/>
      <c r="B338" s="391"/>
      <c r="C338" s="391"/>
      <c r="D338" s="391"/>
      <c r="E338" s="391"/>
      <c r="F338" s="391"/>
      <c r="G338" s="391"/>
      <c r="H338" s="391"/>
      <c r="I338" s="391"/>
      <c r="J338" s="391"/>
      <c r="K338" s="391"/>
      <c r="L338" s="391"/>
      <c r="M338" s="391"/>
      <c r="N338" s="391"/>
      <c r="O338" s="391"/>
      <c r="P338" s="391"/>
      <c r="Q338" s="391"/>
      <c r="R338" s="391"/>
      <c r="S338" s="391"/>
      <c r="T338" s="391"/>
      <c r="U338" s="391"/>
      <c r="V338" s="391"/>
      <c r="W338" s="391"/>
      <c r="X338" s="391"/>
      <c r="Y338" s="391"/>
      <c r="Z338" s="391"/>
      <c r="AA338" s="391"/>
      <c r="AB338" s="391"/>
      <c r="AC338" s="391"/>
      <c r="AD338" s="391"/>
      <c r="AE338" s="391"/>
      <c r="AF338" s="391"/>
      <c r="AG338" s="391"/>
      <c r="AH338" s="392"/>
      <c r="AI338" s="391"/>
      <c r="AJ338" s="391"/>
    </row>
    <row r="339" spans="1:36" ht="13.5" x14ac:dyDescent="0.25">
      <c r="A339" s="391"/>
      <c r="B339" s="391"/>
      <c r="C339" s="391"/>
      <c r="D339" s="391"/>
      <c r="E339" s="391"/>
      <c r="F339" s="391"/>
      <c r="G339" s="391"/>
      <c r="H339" s="391"/>
      <c r="I339" s="391"/>
      <c r="J339" s="391"/>
      <c r="K339" s="391"/>
      <c r="L339" s="391"/>
      <c r="M339" s="391"/>
      <c r="N339" s="391"/>
      <c r="O339" s="391"/>
      <c r="P339" s="391"/>
      <c r="Q339" s="391"/>
      <c r="R339" s="391"/>
      <c r="S339" s="391"/>
      <c r="T339" s="391"/>
      <c r="U339" s="391"/>
      <c r="V339" s="391"/>
      <c r="W339" s="391"/>
      <c r="X339" s="391"/>
      <c r="Y339" s="391"/>
      <c r="Z339" s="391"/>
      <c r="AA339" s="391"/>
      <c r="AB339" s="391"/>
      <c r="AC339" s="391"/>
      <c r="AD339" s="391"/>
      <c r="AE339" s="391"/>
      <c r="AF339" s="391"/>
      <c r="AG339" s="391"/>
      <c r="AH339" s="392"/>
      <c r="AI339" s="391"/>
      <c r="AJ339" s="391"/>
    </row>
    <row r="340" spans="1:36" ht="13.5" x14ac:dyDescent="0.25">
      <c r="A340" s="391"/>
      <c r="B340" s="391"/>
      <c r="C340" s="391"/>
      <c r="D340" s="391"/>
      <c r="E340" s="391"/>
      <c r="F340" s="391"/>
      <c r="G340" s="391"/>
      <c r="H340" s="391"/>
      <c r="I340" s="391"/>
      <c r="J340" s="391"/>
      <c r="K340" s="391"/>
      <c r="L340" s="391"/>
      <c r="M340" s="391"/>
      <c r="N340" s="391"/>
      <c r="O340" s="391"/>
      <c r="P340" s="391"/>
      <c r="Q340" s="391"/>
      <c r="R340" s="391"/>
      <c r="S340" s="391"/>
      <c r="T340" s="391"/>
      <c r="U340" s="391"/>
      <c r="V340" s="391"/>
      <c r="W340" s="391"/>
      <c r="X340" s="391"/>
      <c r="Y340" s="391"/>
      <c r="Z340" s="391"/>
      <c r="AA340" s="391"/>
      <c r="AB340" s="391"/>
      <c r="AC340" s="391"/>
      <c r="AD340" s="391"/>
      <c r="AE340" s="391"/>
      <c r="AF340" s="391"/>
      <c r="AG340" s="391"/>
      <c r="AH340" s="392"/>
      <c r="AI340" s="391"/>
      <c r="AJ340" s="391"/>
    </row>
    <row r="341" spans="1:36" ht="13.5" x14ac:dyDescent="0.25">
      <c r="A341" s="391"/>
      <c r="B341" s="391"/>
      <c r="C341" s="391"/>
      <c r="D341" s="391"/>
      <c r="E341" s="391"/>
      <c r="F341" s="391"/>
      <c r="G341" s="391"/>
      <c r="H341" s="391"/>
      <c r="I341" s="391"/>
      <c r="J341" s="391"/>
      <c r="K341" s="391"/>
      <c r="L341" s="391"/>
      <c r="M341" s="391"/>
      <c r="N341" s="391"/>
      <c r="O341" s="391"/>
      <c r="P341" s="391"/>
      <c r="Q341" s="391"/>
      <c r="R341" s="391"/>
      <c r="S341" s="391"/>
      <c r="T341" s="391"/>
      <c r="U341" s="391"/>
      <c r="V341" s="391"/>
      <c r="W341" s="391"/>
      <c r="X341" s="391"/>
      <c r="Y341" s="391"/>
      <c r="Z341" s="391"/>
      <c r="AA341" s="391"/>
      <c r="AB341" s="391"/>
      <c r="AC341" s="391"/>
      <c r="AD341" s="391"/>
      <c r="AE341" s="391"/>
      <c r="AF341" s="391"/>
      <c r="AG341" s="391"/>
      <c r="AH341" s="392"/>
      <c r="AI341" s="391"/>
      <c r="AJ341" s="391"/>
    </row>
    <row r="342" spans="1:36" ht="13.5" x14ac:dyDescent="0.25">
      <c r="A342" s="391"/>
      <c r="B342" s="391"/>
      <c r="C342" s="391"/>
      <c r="D342" s="391"/>
      <c r="E342" s="391"/>
      <c r="F342" s="391"/>
      <c r="G342" s="391"/>
      <c r="H342" s="391"/>
      <c r="I342" s="391"/>
      <c r="J342" s="391"/>
      <c r="K342" s="391"/>
      <c r="L342" s="391"/>
      <c r="M342" s="391"/>
      <c r="N342" s="391"/>
      <c r="O342" s="391"/>
      <c r="P342" s="391"/>
      <c r="Q342" s="391"/>
      <c r="R342" s="391"/>
      <c r="S342" s="391"/>
      <c r="T342" s="391"/>
      <c r="U342" s="391"/>
      <c r="V342" s="391"/>
      <c r="W342" s="391"/>
      <c r="X342" s="391"/>
      <c r="Y342" s="391"/>
      <c r="Z342" s="391"/>
      <c r="AA342" s="391"/>
      <c r="AB342" s="391"/>
      <c r="AC342" s="391"/>
      <c r="AD342" s="391"/>
      <c r="AE342" s="391"/>
      <c r="AF342" s="391"/>
      <c r="AG342" s="391"/>
      <c r="AH342" s="392"/>
      <c r="AI342" s="391"/>
      <c r="AJ342" s="391"/>
    </row>
    <row r="343" spans="1:36" ht="13.5" x14ac:dyDescent="0.25">
      <c r="A343" s="391"/>
      <c r="B343" s="391"/>
      <c r="C343" s="391"/>
      <c r="D343" s="391"/>
      <c r="E343" s="391"/>
      <c r="F343" s="391"/>
      <c r="G343" s="391"/>
      <c r="H343" s="391"/>
      <c r="I343" s="391"/>
      <c r="J343" s="391"/>
      <c r="K343" s="391"/>
      <c r="L343" s="391"/>
      <c r="M343" s="391"/>
      <c r="N343" s="391"/>
      <c r="O343" s="391"/>
      <c r="P343" s="391"/>
      <c r="Q343" s="391"/>
      <c r="R343" s="391"/>
      <c r="S343" s="391"/>
      <c r="T343" s="391"/>
      <c r="U343" s="391"/>
      <c r="V343" s="391"/>
      <c r="W343" s="391"/>
      <c r="X343" s="391"/>
      <c r="Y343" s="391"/>
      <c r="Z343" s="391"/>
      <c r="AA343" s="391"/>
      <c r="AB343" s="391"/>
      <c r="AC343" s="391"/>
      <c r="AD343" s="391"/>
      <c r="AE343" s="391"/>
      <c r="AF343" s="391"/>
      <c r="AG343" s="391"/>
      <c r="AH343" s="392"/>
      <c r="AI343" s="391"/>
      <c r="AJ343" s="391"/>
    </row>
    <row r="344" spans="1:36" ht="13.5" x14ac:dyDescent="0.25">
      <c r="A344" s="391"/>
      <c r="B344" s="391"/>
      <c r="C344" s="391"/>
      <c r="D344" s="391"/>
      <c r="E344" s="391"/>
      <c r="F344" s="391"/>
      <c r="G344" s="391"/>
      <c r="H344" s="391"/>
      <c r="I344" s="391"/>
      <c r="J344" s="391"/>
      <c r="K344" s="391"/>
      <c r="L344" s="391"/>
      <c r="M344" s="391"/>
      <c r="N344" s="391"/>
      <c r="O344" s="391"/>
      <c r="P344" s="391"/>
      <c r="Q344" s="391"/>
      <c r="R344" s="391"/>
      <c r="S344" s="391"/>
      <c r="T344" s="391"/>
      <c r="U344" s="391"/>
      <c r="V344" s="391"/>
      <c r="W344" s="391"/>
      <c r="X344" s="391"/>
      <c r="Y344" s="391"/>
      <c r="Z344" s="391"/>
      <c r="AA344" s="391"/>
      <c r="AB344" s="391"/>
      <c r="AC344" s="391"/>
      <c r="AD344" s="391"/>
      <c r="AE344" s="391"/>
      <c r="AF344" s="391"/>
      <c r="AG344" s="391"/>
      <c r="AH344" s="392"/>
      <c r="AI344" s="391"/>
      <c r="AJ344" s="391"/>
    </row>
    <row r="345" spans="1:36" ht="13.5" x14ac:dyDescent="0.25">
      <c r="A345" s="391"/>
      <c r="B345" s="391"/>
      <c r="C345" s="391"/>
      <c r="D345" s="391"/>
      <c r="E345" s="391"/>
      <c r="F345" s="391"/>
      <c r="G345" s="391"/>
      <c r="H345" s="391"/>
      <c r="I345" s="391"/>
      <c r="J345" s="391"/>
      <c r="K345" s="391"/>
      <c r="L345" s="391"/>
      <c r="M345" s="391"/>
      <c r="N345" s="391"/>
      <c r="O345" s="391"/>
      <c r="P345" s="391"/>
      <c r="Q345" s="391"/>
      <c r="R345" s="391"/>
      <c r="S345" s="391"/>
      <c r="T345" s="391"/>
      <c r="U345" s="391"/>
      <c r="V345" s="391"/>
      <c r="W345" s="391"/>
      <c r="X345" s="391"/>
      <c r="Y345" s="391"/>
      <c r="Z345" s="391"/>
      <c r="AA345" s="391"/>
      <c r="AB345" s="391"/>
      <c r="AC345" s="391"/>
      <c r="AD345" s="391"/>
      <c r="AE345" s="391"/>
      <c r="AF345" s="391"/>
      <c r="AG345" s="391"/>
      <c r="AH345" s="392"/>
      <c r="AI345" s="391"/>
      <c r="AJ345" s="391"/>
    </row>
    <row r="346" spans="1:36" ht="13.5" x14ac:dyDescent="0.25">
      <c r="A346" s="391"/>
      <c r="B346" s="391"/>
      <c r="C346" s="391"/>
      <c r="D346" s="391"/>
      <c r="E346" s="391"/>
      <c r="F346" s="391"/>
      <c r="G346" s="391"/>
      <c r="H346" s="391"/>
      <c r="I346" s="391"/>
      <c r="J346" s="391"/>
      <c r="K346" s="391"/>
      <c r="L346" s="391"/>
      <c r="M346" s="391"/>
      <c r="N346" s="391"/>
      <c r="O346" s="391"/>
      <c r="P346" s="391"/>
      <c r="Q346" s="391"/>
      <c r="R346" s="391"/>
      <c r="S346" s="391"/>
      <c r="T346" s="391"/>
      <c r="U346" s="391"/>
      <c r="V346" s="391"/>
      <c r="W346" s="391"/>
      <c r="X346" s="391"/>
      <c r="Y346" s="391"/>
      <c r="Z346" s="391"/>
      <c r="AA346" s="391"/>
      <c r="AB346" s="391"/>
      <c r="AC346" s="391"/>
      <c r="AD346" s="391"/>
      <c r="AE346" s="391"/>
      <c r="AF346" s="391"/>
      <c r="AG346" s="391"/>
      <c r="AH346" s="392"/>
      <c r="AI346" s="391"/>
      <c r="AJ346" s="391"/>
    </row>
    <row r="347" spans="1:36" ht="13.5" x14ac:dyDescent="0.25">
      <c r="A347" s="391"/>
      <c r="B347" s="391"/>
      <c r="C347" s="391"/>
      <c r="D347" s="391"/>
      <c r="E347" s="391"/>
      <c r="F347" s="391"/>
      <c r="G347" s="391"/>
      <c r="H347" s="391"/>
      <c r="I347" s="391"/>
      <c r="J347" s="391"/>
      <c r="K347" s="391"/>
      <c r="L347" s="391"/>
      <c r="M347" s="391"/>
      <c r="N347" s="391"/>
      <c r="O347" s="391"/>
      <c r="P347" s="391"/>
      <c r="Q347" s="391"/>
      <c r="R347" s="391"/>
      <c r="S347" s="391"/>
      <c r="T347" s="391"/>
      <c r="U347" s="391"/>
      <c r="V347" s="391"/>
      <c r="W347" s="391"/>
      <c r="X347" s="391"/>
      <c r="Y347" s="391"/>
      <c r="Z347" s="391"/>
      <c r="AA347" s="391"/>
      <c r="AB347" s="391"/>
      <c r="AC347" s="391"/>
      <c r="AD347" s="391"/>
      <c r="AE347" s="391"/>
      <c r="AF347" s="391"/>
      <c r="AG347" s="391"/>
      <c r="AH347" s="392"/>
      <c r="AI347" s="391"/>
      <c r="AJ347" s="391"/>
    </row>
    <row r="348" spans="1:36" ht="13.5" x14ac:dyDescent="0.25">
      <c r="A348" s="391"/>
      <c r="B348" s="391"/>
      <c r="C348" s="391"/>
      <c r="D348" s="391"/>
      <c r="E348" s="391"/>
      <c r="F348" s="391"/>
      <c r="G348" s="391"/>
      <c r="H348" s="391"/>
      <c r="I348" s="391"/>
      <c r="J348" s="391"/>
      <c r="K348" s="391"/>
      <c r="L348" s="391"/>
      <c r="M348" s="391"/>
      <c r="N348" s="391"/>
      <c r="O348" s="391"/>
      <c r="P348" s="391"/>
      <c r="Q348" s="391"/>
      <c r="R348" s="391"/>
      <c r="S348" s="391"/>
      <c r="T348" s="391"/>
      <c r="U348" s="391"/>
      <c r="V348" s="391"/>
      <c r="W348" s="391"/>
      <c r="X348" s="391"/>
      <c r="Y348" s="391"/>
      <c r="Z348" s="391"/>
      <c r="AA348" s="391"/>
      <c r="AB348" s="391"/>
      <c r="AC348" s="391"/>
      <c r="AD348" s="391"/>
      <c r="AE348" s="391"/>
      <c r="AF348" s="391"/>
      <c r="AG348" s="391"/>
      <c r="AH348" s="392"/>
      <c r="AI348" s="391"/>
      <c r="AJ348" s="391"/>
    </row>
    <row r="349" spans="1:36" ht="13.5" x14ac:dyDescent="0.25">
      <c r="A349" s="391"/>
      <c r="B349" s="391"/>
      <c r="C349" s="391"/>
      <c r="D349" s="391"/>
      <c r="E349" s="391"/>
      <c r="F349" s="391"/>
      <c r="G349" s="391"/>
      <c r="H349" s="391"/>
      <c r="I349" s="391"/>
      <c r="J349" s="391"/>
      <c r="K349" s="391"/>
      <c r="L349" s="391"/>
      <c r="M349" s="391"/>
      <c r="N349" s="391"/>
      <c r="O349" s="391"/>
      <c r="P349" s="391"/>
      <c r="Q349" s="391"/>
      <c r="R349" s="391"/>
      <c r="S349" s="391"/>
      <c r="T349" s="391"/>
      <c r="U349" s="391"/>
      <c r="V349" s="391"/>
      <c r="W349" s="391"/>
      <c r="X349" s="391"/>
      <c r="Y349" s="391"/>
      <c r="Z349" s="391"/>
      <c r="AA349" s="391"/>
      <c r="AB349" s="391"/>
      <c r="AC349" s="391"/>
      <c r="AD349" s="391"/>
      <c r="AE349" s="391"/>
      <c r="AF349" s="391"/>
      <c r="AG349" s="391"/>
      <c r="AH349" s="392"/>
      <c r="AI349" s="391"/>
      <c r="AJ349" s="391"/>
    </row>
    <row r="350" spans="1:36" ht="13.5" x14ac:dyDescent="0.25">
      <c r="A350" s="391"/>
      <c r="B350" s="391"/>
      <c r="C350" s="391"/>
      <c r="D350" s="391"/>
      <c r="E350" s="391"/>
      <c r="F350" s="391"/>
      <c r="G350" s="391"/>
      <c r="H350" s="391"/>
      <c r="I350" s="391"/>
      <c r="J350" s="391"/>
      <c r="K350" s="391"/>
      <c r="L350" s="391"/>
      <c r="M350" s="391"/>
      <c r="N350" s="391"/>
      <c r="O350" s="391"/>
      <c r="P350" s="391"/>
      <c r="Q350" s="391"/>
      <c r="R350" s="391"/>
      <c r="S350" s="391"/>
      <c r="T350" s="391"/>
      <c r="U350" s="391"/>
      <c r="V350" s="391"/>
      <c r="W350" s="391"/>
      <c r="X350" s="391"/>
      <c r="Y350" s="391"/>
      <c r="Z350" s="391"/>
      <c r="AA350" s="391"/>
      <c r="AB350" s="391"/>
      <c r="AC350" s="391"/>
      <c r="AD350" s="391"/>
      <c r="AE350" s="391"/>
      <c r="AF350" s="391"/>
      <c r="AG350" s="391"/>
      <c r="AH350" s="392"/>
      <c r="AI350" s="391"/>
      <c r="AJ350" s="391"/>
    </row>
    <row r="351" spans="1:36" ht="13.5" x14ac:dyDescent="0.25">
      <c r="A351" s="391"/>
      <c r="B351" s="391"/>
      <c r="C351" s="391"/>
      <c r="D351" s="391"/>
      <c r="E351" s="391"/>
      <c r="F351" s="391"/>
      <c r="G351" s="391"/>
      <c r="H351" s="391"/>
      <c r="I351" s="391"/>
      <c r="J351" s="391"/>
      <c r="K351" s="391"/>
      <c r="L351" s="391"/>
      <c r="M351" s="391"/>
      <c r="N351" s="391"/>
      <c r="O351" s="391"/>
      <c r="P351" s="391"/>
      <c r="Q351" s="391"/>
      <c r="R351" s="391"/>
      <c r="S351" s="391"/>
      <c r="T351" s="391"/>
      <c r="U351" s="391"/>
      <c r="V351" s="391"/>
      <c r="W351" s="391"/>
      <c r="X351" s="391"/>
      <c r="Y351" s="391"/>
      <c r="Z351" s="391"/>
      <c r="AA351" s="391"/>
      <c r="AB351" s="391"/>
      <c r="AC351" s="391"/>
      <c r="AD351" s="391"/>
      <c r="AE351" s="391"/>
      <c r="AF351" s="391"/>
      <c r="AG351" s="391"/>
      <c r="AH351" s="392"/>
      <c r="AI351" s="391"/>
      <c r="AJ351" s="391"/>
    </row>
    <row r="352" spans="1:36" ht="13.5" x14ac:dyDescent="0.25">
      <c r="A352" s="391"/>
      <c r="B352" s="391"/>
      <c r="C352" s="391"/>
      <c r="D352" s="391"/>
      <c r="E352" s="391"/>
      <c r="F352" s="391"/>
      <c r="G352" s="391"/>
      <c r="H352" s="391"/>
      <c r="I352" s="391"/>
      <c r="J352" s="391"/>
      <c r="K352" s="391"/>
      <c r="L352" s="391"/>
      <c r="M352" s="391"/>
      <c r="N352" s="391"/>
      <c r="O352" s="391"/>
      <c r="P352" s="391"/>
      <c r="Q352" s="391"/>
      <c r="R352" s="391"/>
      <c r="S352" s="391"/>
      <c r="T352" s="391"/>
      <c r="U352" s="391"/>
      <c r="V352" s="391"/>
      <c r="W352" s="391"/>
      <c r="X352" s="391"/>
      <c r="Y352" s="391"/>
      <c r="Z352" s="391"/>
      <c r="AA352" s="391"/>
      <c r="AB352" s="391"/>
      <c r="AC352" s="391"/>
      <c r="AD352" s="391"/>
      <c r="AE352" s="391"/>
      <c r="AF352" s="391"/>
      <c r="AG352" s="391"/>
      <c r="AH352" s="392"/>
      <c r="AI352" s="391"/>
      <c r="AJ352" s="391"/>
    </row>
    <row r="353" spans="1:36" ht="13.5" x14ac:dyDescent="0.25">
      <c r="A353" s="391"/>
      <c r="B353" s="391"/>
      <c r="C353" s="391"/>
      <c r="D353" s="391"/>
      <c r="E353" s="391"/>
      <c r="F353" s="391"/>
      <c r="G353" s="391"/>
      <c r="H353" s="391"/>
      <c r="I353" s="391"/>
      <c r="J353" s="391"/>
      <c r="K353" s="391"/>
      <c r="L353" s="391"/>
      <c r="M353" s="391"/>
      <c r="N353" s="391"/>
      <c r="O353" s="391"/>
      <c r="P353" s="391"/>
      <c r="Q353" s="391"/>
      <c r="R353" s="391"/>
      <c r="S353" s="391"/>
      <c r="T353" s="391"/>
      <c r="U353" s="391"/>
      <c r="V353" s="391"/>
      <c r="W353" s="391"/>
      <c r="X353" s="391"/>
      <c r="Y353" s="391"/>
      <c r="Z353" s="391"/>
      <c r="AA353" s="391"/>
      <c r="AB353" s="391"/>
      <c r="AC353" s="391"/>
      <c r="AD353" s="391"/>
      <c r="AE353" s="391"/>
      <c r="AF353" s="391"/>
      <c r="AG353" s="391"/>
      <c r="AH353" s="392"/>
      <c r="AI353" s="391"/>
      <c r="AJ353" s="391"/>
    </row>
    <row r="354" spans="1:36" ht="13.5" x14ac:dyDescent="0.25">
      <c r="A354" s="391"/>
      <c r="B354" s="391"/>
      <c r="C354" s="391"/>
      <c r="D354" s="391"/>
      <c r="E354" s="391"/>
      <c r="F354" s="391"/>
      <c r="G354" s="391"/>
      <c r="H354" s="391"/>
      <c r="I354" s="391"/>
      <c r="J354" s="391"/>
      <c r="K354" s="391"/>
      <c r="L354" s="391"/>
      <c r="M354" s="391"/>
      <c r="N354" s="391"/>
      <c r="O354" s="391"/>
      <c r="P354" s="391"/>
      <c r="Q354" s="391"/>
      <c r="R354" s="391"/>
      <c r="S354" s="391"/>
      <c r="T354" s="391"/>
      <c r="U354" s="391"/>
      <c r="V354" s="391"/>
      <c r="W354" s="391"/>
      <c r="X354" s="391"/>
      <c r="Y354" s="391"/>
      <c r="Z354" s="391"/>
      <c r="AA354" s="391"/>
      <c r="AB354" s="391"/>
      <c r="AC354" s="391"/>
      <c r="AD354" s="391"/>
      <c r="AE354" s="391"/>
      <c r="AF354" s="391"/>
      <c r="AG354" s="391"/>
      <c r="AH354" s="392"/>
      <c r="AI354" s="391"/>
      <c r="AJ354" s="391"/>
    </row>
    <row r="355" spans="1:36" ht="13.5" x14ac:dyDescent="0.25">
      <c r="A355" s="391"/>
      <c r="B355" s="391"/>
      <c r="C355" s="391"/>
      <c r="D355" s="391"/>
      <c r="E355" s="391"/>
      <c r="F355" s="391"/>
      <c r="G355" s="391"/>
      <c r="H355" s="391"/>
      <c r="I355" s="391"/>
      <c r="J355" s="391"/>
      <c r="K355" s="391"/>
      <c r="L355" s="391"/>
      <c r="M355" s="391"/>
      <c r="N355" s="391"/>
      <c r="O355" s="391"/>
      <c r="P355" s="391"/>
      <c r="Q355" s="391"/>
      <c r="R355" s="391"/>
      <c r="S355" s="391"/>
      <c r="T355" s="391"/>
      <c r="U355" s="391"/>
      <c r="V355" s="391"/>
      <c r="W355" s="391"/>
      <c r="X355" s="391"/>
      <c r="Y355" s="391"/>
      <c r="Z355" s="391"/>
      <c r="AA355" s="391"/>
      <c r="AB355" s="391"/>
      <c r="AC355" s="391"/>
      <c r="AD355" s="391"/>
      <c r="AE355" s="391"/>
      <c r="AF355" s="391"/>
      <c r="AG355" s="391"/>
      <c r="AH355" s="392"/>
      <c r="AI355" s="391"/>
      <c r="AJ355" s="391"/>
    </row>
    <row r="356" spans="1:36" ht="13.5" x14ac:dyDescent="0.25">
      <c r="A356" s="391"/>
      <c r="B356" s="391"/>
      <c r="C356" s="391"/>
      <c r="D356" s="391"/>
      <c r="E356" s="391"/>
      <c r="F356" s="391"/>
      <c r="G356" s="391"/>
      <c r="H356" s="391"/>
      <c r="I356" s="391"/>
      <c r="J356" s="391"/>
      <c r="K356" s="391"/>
      <c r="L356" s="391"/>
      <c r="M356" s="391"/>
      <c r="N356" s="391"/>
      <c r="O356" s="391"/>
      <c r="P356" s="391"/>
      <c r="Q356" s="391"/>
      <c r="R356" s="391"/>
      <c r="S356" s="391"/>
      <c r="T356" s="391"/>
      <c r="U356" s="391"/>
      <c r="V356" s="391"/>
      <c r="W356" s="391"/>
      <c r="X356" s="391"/>
      <c r="Y356" s="391"/>
      <c r="Z356" s="391"/>
      <c r="AA356" s="391"/>
      <c r="AB356" s="391"/>
      <c r="AC356" s="391"/>
      <c r="AD356" s="391"/>
      <c r="AE356" s="391"/>
      <c r="AF356" s="391"/>
      <c r="AG356" s="391"/>
      <c r="AH356" s="392"/>
      <c r="AI356" s="391"/>
      <c r="AJ356" s="391"/>
    </row>
    <row r="357" spans="1:36" ht="13.5" x14ac:dyDescent="0.25">
      <c r="A357" s="391"/>
      <c r="B357" s="391"/>
      <c r="C357" s="391"/>
      <c r="D357" s="391"/>
      <c r="E357" s="391"/>
      <c r="F357" s="391"/>
      <c r="G357" s="391"/>
      <c r="H357" s="391"/>
      <c r="I357" s="391"/>
      <c r="J357" s="391"/>
      <c r="K357" s="391"/>
      <c r="L357" s="391"/>
      <c r="M357" s="391"/>
      <c r="N357" s="391"/>
      <c r="O357" s="391"/>
      <c r="P357" s="391"/>
      <c r="Q357" s="391"/>
      <c r="R357" s="391"/>
      <c r="S357" s="391"/>
      <c r="T357" s="391"/>
      <c r="U357" s="391"/>
      <c r="V357" s="391"/>
      <c r="W357" s="391"/>
      <c r="X357" s="391"/>
      <c r="Y357" s="391"/>
      <c r="Z357" s="391"/>
      <c r="AA357" s="391"/>
      <c r="AB357" s="391"/>
      <c r="AC357" s="391"/>
      <c r="AD357" s="391"/>
      <c r="AE357" s="391"/>
      <c r="AF357" s="391"/>
      <c r="AG357" s="391"/>
      <c r="AH357" s="392"/>
      <c r="AI357" s="391"/>
      <c r="AJ357" s="391"/>
    </row>
    <row r="358" spans="1:36" ht="13.5" x14ac:dyDescent="0.25">
      <c r="A358" s="391"/>
      <c r="B358" s="391"/>
      <c r="C358" s="391"/>
      <c r="D358" s="391"/>
      <c r="E358" s="391"/>
      <c r="F358" s="391"/>
      <c r="G358" s="391"/>
      <c r="H358" s="391"/>
      <c r="I358" s="391"/>
      <c r="J358" s="391"/>
      <c r="K358" s="391"/>
      <c r="L358" s="391"/>
      <c r="M358" s="391"/>
      <c r="N358" s="391"/>
      <c r="O358" s="391"/>
      <c r="P358" s="391"/>
      <c r="Q358" s="391"/>
      <c r="R358" s="391"/>
      <c r="S358" s="391"/>
      <c r="T358" s="391"/>
      <c r="U358" s="391"/>
      <c r="V358" s="391"/>
      <c r="W358" s="391"/>
      <c r="X358" s="391"/>
      <c r="Y358" s="391"/>
      <c r="Z358" s="391"/>
      <c r="AA358" s="391"/>
      <c r="AB358" s="391"/>
      <c r="AC358" s="391"/>
      <c r="AD358" s="391"/>
      <c r="AE358" s="391"/>
      <c r="AF358" s="391"/>
      <c r="AG358" s="391"/>
      <c r="AH358" s="392"/>
      <c r="AI358" s="391"/>
      <c r="AJ358" s="391"/>
    </row>
    <row r="359" spans="1:36" ht="13.5" x14ac:dyDescent="0.25">
      <c r="A359" s="391"/>
      <c r="B359" s="391"/>
      <c r="C359" s="391"/>
      <c r="D359" s="391"/>
      <c r="E359" s="391"/>
      <c r="F359" s="391"/>
      <c r="G359" s="391"/>
      <c r="H359" s="391"/>
      <c r="I359" s="391"/>
      <c r="J359" s="391"/>
      <c r="K359" s="391"/>
      <c r="L359" s="391"/>
      <c r="M359" s="391"/>
      <c r="N359" s="391"/>
      <c r="O359" s="391"/>
      <c r="P359" s="391"/>
      <c r="Q359" s="391"/>
      <c r="R359" s="391"/>
      <c r="S359" s="391"/>
      <c r="T359" s="391"/>
      <c r="U359" s="391"/>
      <c r="V359" s="391"/>
      <c r="W359" s="391"/>
      <c r="X359" s="391"/>
      <c r="Y359" s="391"/>
      <c r="Z359" s="391"/>
      <c r="AA359" s="391"/>
      <c r="AB359" s="391"/>
      <c r="AC359" s="391"/>
      <c r="AD359" s="391"/>
      <c r="AE359" s="391"/>
      <c r="AF359" s="391"/>
      <c r="AG359" s="391"/>
      <c r="AH359" s="392"/>
      <c r="AI359" s="391"/>
      <c r="AJ359" s="391"/>
    </row>
    <row r="360" spans="1:36" ht="13.5" x14ac:dyDescent="0.25">
      <c r="A360" s="391"/>
      <c r="B360" s="391"/>
      <c r="C360" s="391"/>
      <c r="D360" s="391"/>
      <c r="E360" s="391"/>
      <c r="F360" s="391"/>
      <c r="G360" s="391"/>
      <c r="H360" s="391"/>
      <c r="I360" s="391"/>
      <c r="J360" s="391"/>
      <c r="K360" s="391"/>
      <c r="L360" s="391"/>
      <c r="M360" s="391"/>
      <c r="N360" s="391"/>
      <c r="O360" s="391"/>
      <c r="P360" s="391"/>
      <c r="Q360" s="391"/>
      <c r="R360" s="391"/>
      <c r="S360" s="391"/>
      <c r="T360" s="391"/>
      <c r="U360" s="391"/>
      <c r="V360" s="391"/>
      <c r="W360" s="391"/>
      <c r="X360" s="391"/>
      <c r="Y360" s="391"/>
      <c r="Z360" s="391"/>
      <c r="AA360" s="391"/>
      <c r="AB360" s="391"/>
      <c r="AC360" s="391"/>
      <c r="AD360" s="391"/>
      <c r="AE360" s="391"/>
      <c r="AF360" s="391"/>
      <c r="AG360" s="391"/>
      <c r="AH360" s="392"/>
      <c r="AI360" s="391"/>
      <c r="AJ360" s="391"/>
    </row>
    <row r="361" spans="1:36" ht="13.5" x14ac:dyDescent="0.25">
      <c r="A361" s="391"/>
      <c r="B361" s="391"/>
      <c r="C361" s="391"/>
      <c r="D361" s="391"/>
      <c r="E361" s="391"/>
      <c r="F361" s="391"/>
      <c r="G361" s="391"/>
      <c r="H361" s="391"/>
      <c r="I361" s="391"/>
      <c r="J361" s="391"/>
      <c r="K361" s="391"/>
      <c r="L361" s="391"/>
      <c r="M361" s="391"/>
      <c r="N361" s="391"/>
      <c r="O361" s="391"/>
      <c r="P361" s="391"/>
      <c r="Q361" s="391"/>
      <c r="R361" s="391"/>
      <c r="S361" s="391"/>
      <c r="T361" s="391"/>
      <c r="U361" s="391"/>
      <c r="V361" s="391"/>
      <c r="W361" s="391"/>
      <c r="X361" s="391"/>
      <c r="Y361" s="391"/>
      <c r="Z361" s="391"/>
      <c r="AA361" s="391"/>
      <c r="AB361" s="391"/>
      <c r="AC361" s="391"/>
      <c r="AD361" s="391"/>
      <c r="AE361" s="391"/>
      <c r="AF361" s="391"/>
      <c r="AG361" s="391"/>
      <c r="AH361" s="392"/>
      <c r="AI361" s="391"/>
      <c r="AJ361" s="391"/>
    </row>
    <row r="362" spans="1:36" ht="13.5" x14ac:dyDescent="0.25">
      <c r="A362" s="391"/>
      <c r="B362" s="391"/>
      <c r="C362" s="391"/>
      <c r="D362" s="391"/>
      <c r="E362" s="391"/>
      <c r="F362" s="391"/>
      <c r="G362" s="391"/>
      <c r="H362" s="391"/>
      <c r="I362" s="391"/>
      <c r="J362" s="391"/>
      <c r="K362" s="391"/>
      <c r="L362" s="391"/>
      <c r="M362" s="391"/>
      <c r="N362" s="391"/>
      <c r="O362" s="391"/>
      <c r="P362" s="391"/>
      <c r="Q362" s="391"/>
      <c r="R362" s="391"/>
      <c r="S362" s="391"/>
      <c r="T362" s="391"/>
      <c r="U362" s="391"/>
      <c r="V362" s="391"/>
      <c r="W362" s="391"/>
      <c r="X362" s="391"/>
      <c r="Y362" s="391"/>
      <c r="Z362" s="391"/>
      <c r="AA362" s="391"/>
      <c r="AB362" s="391"/>
      <c r="AC362" s="391"/>
      <c r="AD362" s="391"/>
      <c r="AE362" s="391"/>
      <c r="AF362" s="391"/>
      <c r="AG362" s="391"/>
      <c r="AH362" s="392"/>
      <c r="AI362" s="391"/>
      <c r="AJ362" s="391"/>
    </row>
    <row r="363" spans="1:36" ht="13.5" x14ac:dyDescent="0.25">
      <c r="A363" s="391"/>
      <c r="B363" s="391"/>
      <c r="C363" s="391"/>
      <c r="D363" s="391"/>
      <c r="E363" s="391"/>
      <c r="F363" s="391"/>
      <c r="G363" s="391"/>
      <c r="H363" s="391"/>
      <c r="I363" s="391"/>
      <c r="J363" s="391"/>
      <c r="K363" s="391"/>
      <c r="L363" s="391"/>
      <c r="M363" s="391"/>
      <c r="N363" s="391"/>
      <c r="O363" s="391"/>
      <c r="P363" s="391"/>
      <c r="Q363" s="391"/>
      <c r="R363" s="391"/>
      <c r="S363" s="391"/>
      <c r="T363" s="391"/>
      <c r="U363" s="391"/>
      <c r="V363" s="391"/>
      <c r="W363" s="391"/>
      <c r="X363" s="391"/>
      <c r="Y363" s="391"/>
      <c r="Z363" s="391"/>
      <c r="AA363" s="391"/>
      <c r="AB363" s="391"/>
      <c r="AC363" s="391"/>
      <c r="AD363" s="391"/>
      <c r="AE363" s="391"/>
      <c r="AF363" s="391"/>
      <c r="AG363" s="391"/>
      <c r="AH363" s="392"/>
      <c r="AI363" s="391"/>
      <c r="AJ363" s="391"/>
    </row>
    <row r="364" spans="1:36" ht="13.5" x14ac:dyDescent="0.25">
      <c r="A364" s="391"/>
      <c r="B364" s="391"/>
      <c r="C364" s="391"/>
      <c r="D364" s="391"/>
      <c r="E364" s="391"/>
      <c r="F364" s="391"/>
      <c r="G364" s="391"/>
      <c r="H364" s="391"/>
      <c r="I364" s="391"/>
      <c r="J364" s="391"/>
      <c r="K364" s="391"/>
      <c r="L364" s="391"/>
      <c r="M364" s="391"/>
      <c r="N364" s="391"/>
      <c r="O364" s="391"/>
      <c r="P364" s="391"/>
      <c r="Q364" s="391"/>
      <c r="R364" s="391"/>
      <c r="S364" s="391"/>
      <c r="T364" s="391"/>
      <c r="U364" s="391"/>
      <c r="V364" s="391"/>
      <c r="W364" s="391"/>
      <c r="X364" s="391"/>
      <c r="Y364" s="391"/>
      <c r="Z364" s="391"/>
      <c r="AA364" s="391"/>
      <c r="AB364" s="391"/>
      <c r="AC364" s="391"/>
      <c r="AD364" s="391"/>
      <c r="AE364" s="391"/>
      <c r="AF364" s="391"/>
      <c r="AG364" s="391"/>
      <c r="AH364" s="392"/>
      <c r="AI364" s="391"/>
      <c r="AJ364" s="391"/>
    </row>
    <row r="365" spans="1:36" ht="13.5" x14ac:dyDescent="0.25">
      <c r="A365" s="391"/>
      <c r="B365" s="391"/>
      <c r="C365" s="391"/>
      <c r="D365" s="391"/>
      <c r="E365" s="391"/>
      <c r="F365" s="391"/>
      <c r="G365" s="391"/>
      <c r="H365" s="391"/>
      <c r="I365" s="391"/>
      <c r="J365" s="391"/>
      <c r="K365" s="391"/>
      <c r="L365" s="391"/>
      <c r="M365" s="391"/>
      <c r="N365" s="391"/>
      <c r="O365" s="391"/>
      <c r="P365" s="391"/>
      <c r="Q365" s="391"/>
      <c r="R365" s="391"/>
      <c r="S365" s="391"/>
      <c r="T365" s="391"/>
      <c r="U365" s="391"/>
      <c r="V365" s="391"/>
      <c r="W365" s="391"/>
      <c r="X365" s="391"/>
      <c r="Y365" s="391"/>
      <c r="Z365" s="391"/>
      <c r="AA365" s="391"/>
      <c r="AB365" s="391"/>
      <c r="AC365" s="391"/>
      <c r="AD365" s="391"/>
      <c r="AE365" s="391"/>
      <c r="AF365" s="391"/>
      <c r="AG365" s="391"/>
      <c r="AH365" s="392"/>
      <c r="AI365" s="391"/>
      <c r="AJ365" s="391"/>
    </row>
    <row r="366" spans="1:36" ht="13.5" x14ac:dyDescent="0.25">
      <c r="A366" s="391"/>
      <c r="B366" s="391"/>
      <c r="C366" s="391"/>
      <c r="D366" s="391"/>
      <c r="E366" s="391"/>
      <c r="F366" s="391"/>
      <c r="G366" s="391"/>
      <c r="H366" s="391"/>
      <c r="I366" s="391"/>
      <c r="J366" s="391"/>
      <c r="K366" s="391"/>
      <c r="L366" s="391"/>
      <c r="M366" s="391"/>
      <c r="N366" s="391"/>
      <c r="O366" s="391"/>
      <c r="P366" s="391"/>
      <c r="Q366" s="391"/>
      <c r="R366" s="391"/>
      <c r="S366" s="391"/>
      <c r="T366" s="391"/>
      <c r="U366" s="391"/>
      <c r="V366" s="391"/>
      <c r="W366" s="391"/>
      <c r="X366" s="391"/>
      <c r="Y366" s="391"/>
      <c r="Z366" s="391"/>
      <c r="AA366" s="391"/>
      <c r="AB366" s="391"/>
      <c r="AC366" s="391"/>
      <c r="AD366" s="391"/>
      <c r="AE366" s="391"/>
      <c r="AF366" s="391"/>
      <c r="AG366" s="391"/>
      <c r="AH366" s="392"/>
      <c r="AI366" s="391"/>
      <c r="AJ366" s="391"/>
    </row>
    <row r="367" spans="1:36" ht="13.5" x14ac:dyDescent="0.25">
      <c r="A367" s="391"/>
      <c r="B367" s="391"/>
      <c r="C367" s="391"/>
      <c r="D367" s="391"/>
      <c r="E367" s="391"/>
      <c r="F367" s="391"/>
      <c r="G367" s="391"/>
      <c r="H367" s="391"/>
      <c r="I367" s="391"/>
      <c r="J367" s="391"/>
      <c r="K367" s="391"/>
      <c r="L367" s="391"/>
      <c r="M367" s="391"/>
      <c r="N367" s="391"/>
      <c r="O367" s="391"/>
      <c r="P367" s="391"/>
      <c r="Q367" s="391"/>
      <c r="R367" s="391"/>
      <c r="S367" s="391"/>
      <c r="T367" s="391"/>
      <c r="U367" s="391"/>
      <c r="V367" s="391"/>
      <c r="W367" s="391"/>
      <c r="X367" s="391"/>
      <c r="Y367" s="391"/>
      <c r="Z367" s="391"/>
      <c r="AA367" s="391"/>
      <c r="AB367" s="391"/>
      <c r="AC367" s="391"/>
      <c r="AD367" s="391"/>
      <c r="AE367" s="391"/>
      <c r="AF367" s="391"/>
      <c r="AG367" s="391"/>
      <c r="AH367" s="392"/>
      <c r="AI367" s="391"/>
      <c r="AJ367" s="391"/>
    </row>
    <row r="368" spans="1:36" ht="13.5" x14ac:dyDescent="0.25">
      <c r="A368" s="391"/>
      <c r="B368" s="391"/>
      <c r="C368" s="391"/>
      <c r="D368" s="391"/>
      <c r="E368" s="391"/>
      <c r="F368" s="391"/>
      <c r="G368" s="391"/>
      <c r="H368" s="391"/>
      <c r="I368" s="391"/>
      <c r="J368" s="391"/>
      <c r="K368" s="391"/>
      <c r="L368" s="391"/>
      <c r="M368" s="391"/>
      <c r="N368" s="391"/>
      <c r="O368" s="391"/>
      <c r="P368" s="391"/>
      <c r="Q368" s="391"/>
      <c r="R368" s="391"/>
      <c r="S368" s="391"/>
      <c r="T368" s="391"/>
      <c r="U368" s="391"/>
      <c r="V368" s="391"/>
      <c r="W368" s="391"/>
      <c r="X368" s="391"/>
      <c r="Y368" s="391"/>
      <c r="Z368" s="391"/>
      <c r="AA368" s="391"/>
      <c r="AB368" s="391"/>
      <c r="AC368" s="391"/>
      <c r="AD368" s="391"/>
      <c r="AE368" s="391"/>
      <c r="AF368" s="391"/>
      <c r="AG368" s="391"/>
      <c r="AH368" s="392"/>
      <c r="AI368" s="391"/>
      <c r="AJ368" s="391"/>
    </row>
    <row r="369" spans="1:36" ht="13.5" x14ac:dyDescent="0.25">
      <c r="A369" s="391"/>
      <c r="B369" s="391"/>
      <c r="C369" s="391"/>
      <c r="D369" s="391"/>
      <c r="E369" s="391"/>
      <c r="F369" s="391"/>
      <c r="G369" s="391"/>
      <c r="H369" s="391"/>
      <c r="I369" s="391"/>
      <c r="J369" s="391"/>
      <c r="K369" s="391"/>
      <c r="L369" s="391"/>
      <c r="M369" s="391"/>
      <c r="N369" s="391"/>
      <c r="O369" s="391"/>
      <c r="P369" s="391"/>
      <c r="Q369" s="391"/>
      <c r="R369" s="391"/>
      <c r="S369" s="391"/>
      <c r="T369" s="391"/>
      <c r="U369" s="391"/>
      <c r="V369" s="391"/>
      <c r="W369" s="391"/>
      <c r="X369" s="391"/>
      <c r="Y369" s="391"/>
      <c r="Z369" s="391"/>
      <c r="AA369" s="391"/>
      <c r="AB369" s="391"/>
      <c r="AC369" s="391"/>
      <c r="AD369" s="391"/>
      <c r="AE369" s="391"/>
      <c r="AF369" s="391"/>
      <c r="AG369" s="391"/>
      <c r="AH369" s="392"/>
      <c r="AI369" s="391"/>
      <c r="AJ369" s="391"/>
    </row>
    <row r="370" spans="1:36" ht="13.5" x14ac:dyDescent="0.25">
      <c r="A370" s="391"/>
      <c r="B370" s="391"/>
      <c r="C370" s="391"/>
      <c r="D370" s="391"/>
      <c r="E370" s="391"/>
      <c r="F370" s="391"/>
      <c r="G370" s="391"/>
      <c r="H370" s="391"/>
      <c r="I370" s="391"/>
      <c r="J370" s="391"/>
      <c r="K370" s="391"/>
      <c r="L370" s="391"/>
      <c r="M370" s="391"/>
      <c r="N370" s="391"/>
      <c r="O370" s="391"/>
      <c r="P370" s="391"/>
      <c r="Q370" s="391"/>
      <c r="R370" s="391"/>
      <c r="S370" s="391"/>
      <c r="T370" s="391"/>
      <c r="U370" s="391"/>
      <c r="V370" s="391"/>
      <c r="W370" s="391"/>
      <c r="X370" s="391"/>
      <c r="Y370" s="391"/>
      <c r="Z370" s="391"/>
      <c r="AA370" s="391"/>
      <c r="AB370" s="391"/>
      <c r="AC370" s="391"/>
      <c r="AD370" s="391"/>
      <c r="AE370" s="391"/>
      <c r="AF370" s="391"/>
      <c r="AG370" s="391"/>
      <c r="AH370" s="392"/>
      <c r="AI370" s="391"/>
      <c r="AJ370" s="391"/>
    </row>
    <row r="371" spans="1:36" ht="13.5" x14ac:dyDescent="0.25">
      <c r="A371" s="391"/>
      <c r="B371" s="391"/>
      <c r="C371" s="391"/>
      <c r="D371" s="391"/>
      <c r="E371" s="391"/>
      <c r="F371" s="391"/>
      <c r="G371" s="391"/>
      <c r="H371" s="391"/>
      <c r="I371" s="391"/>
      <c r="J371" s="391"/>
      <c r="K371" s="391"/>
      <c r="L371" s="391"/>
      <c r="M371" s="391"/>
      <c r="N371" s="391"/>
      <c r="O371" s="391"/>
      <c r="P371" s="391"/>
      <c r="Q371" s="391"/>
      <c r="R371" s="391"/>
      <c r="S371" s="391"/>
      <c r="T371" s="391"/>
      <c r="U371" s="391"/>
      <c r="V371" s="391"/>
      <c r="W371" s="391"/>
      <c r="X371" s="391"/>
      <c r="Y371" s="391"/>
      <c r="Z371" s="391"/>
      <c r="AA371" s="391"/>
      <c r="AB371" s="391"/>
      <c r="AC371" s="391"/>
      <c r="AD371" s="391"/>
      <c r="AE371" s="391"/>
      <c r="AF371" s="391"/>
      <c r="AG371" s="391"/>
      <c r="AH371" s="392"/>
      <c r="AI371" s="391"/>
      <c r="AJ371" s="391"/>
    </row>
    <row r="372" spans="1:36" ht="13.5" x14ac:dyDescent="0.25">
      <c r="A372" s="391"/>
      <c r="B372" s="391"/>
      <c r="C372" s="391"/>
      <c r="D372" s="391"/>
      <c r="E372" s="391"/>
      <c r="F372" s="391"/>
      <c r="G372" s="391"/>
      <c r="H372" s="391"/>
      <c r="I372" s="391"/>
      <c r="J372" s="391"/>
      <c r="K372" s="391"/>
      <c r="L372" s="391"/>
      <c r="M372" s="391"/>
      <c r="N372" s="391"/>
      <c r="O372" s="391"/>
      <c r="P372" s="391"/>
      <c r="Q372" s="391"/>
      <c r="R372" s="391"/>
      <c r="S372" s="391"/>
      <c r="T372" s="391"/>
      <c r="U372" s="391"/>
      <c r="V372" s="391"/>
      <c r="W372" s="391"/>
      <c r="X372" s="391"/>
      <c r="Y372" s="391"/>
      <c r="Z372" s="391"/>
      <c r="AA372" s="391"/>
      <c r="AB372" s="391"/>
      <c r="AC372" s="391"/>
      <c r="AD372" s="391"/>
      <c r="AE372" s="391"/>
      <c r="AF372" s="391"/>
      <c r="AG372" s="391"/>
      <c r="AH372" s="392"/>
      <c r="AI372" s="391"/>
      <c r="AJ372" s="391"/>
    </row>
    <row r="373" spans="1:36" ht="13.5" x14ac:dyDescent="0.25">
      <c r="A373" s="391"/>
      <c r="B373" s="391"/>
      <c r="C373" s="391"/>
      <c r="D373" s="391"/>
      <c r="E373" s="391"/>
      <c r="F373" s="391"/>
      <c r="G373" s="391"/>
      <c r="H373" s="391"/>
      <c r="I373" s="391"/>
      <c r="J373" s="391"/>
      <c r="K373" s="391"/>
      <c r="L373" s="391"/>
      <c r="M373" s="391"/>
      <c r="N373" s="391"/>
      <c r="O373" s="391"/>
      <c r="P373" s="391"/>
      <c r="Q373" s="391"/>
      <c r="R373" s="391"/>
      <c r="S373" s="391"/>
      <c r="T373" s="391"/>
      <c r="U373" s="391"/>
      <c r="V373" s="391"/>
      <c r="W373" s="391"/>
      <c r="X373" s="391"/>
      <c r="Y373" s="391"/>
      <c r="Z373" s="391"/>
      <c r="AA373" s="391"/>
      <c r="AB373" s="391"/>
      <c r="AC373" s="391"/>
      <c r="AD373" s="391"/>
      <c r="AE373" s="391"/>
      <c r="AF373" s="391"/>
      <c r="AG373" s="391"/>
      <c r="AH373" s="392"/>
      <c r="AI373" s="391"/>
      <c r="AJ373" s="391"/>
    </row>
    <row r="374" spans="1:36" ht="13.5" x14ac:dyDescent="0.25">
      <c r="A374" s="391"/>
      <c r="B374" s="391"/>
      <c r="C374" s="391"/>
      <c r="D374" s="391"/>
      <c r="E374" s="391"/>
      <c r="F374" s="391"/>
      <c r="G374" s="391"/>
      <c r="H374" s="391"/>
      <c r="I374" s="391"/>
      <c r="J374" s="391"/>
      <c r="K374" s="391"/>
      <c r="L374" s="391"/>
      <c r="M374" s="391"/>
      <c r="N374" s="391"/>
      <c r="O374" s="391"/>
      <c r="P374" s="391"/>
      <c r="Q374" s="391"/>
      <c r="R374" s="391"/>
      <c r="S374" s="391"/>
      <c r="T374" s="391"/>
      <c r="U374" s="391"/>
      <c r="V374" s="391"/>
      <c r="W374" s="391"/>
      <c r="X374" s="391"/>
      <c r="Y374" s="391"/>
      <c r="Z374" s="391"/>
      <c r="AA374" s="391"/>
      <c r="AB374" s="391"/>
      <c r="AC374" s="391"/>
      <c r="AD374" s="391"/>
      <c r="AE374" s="391"/>
      <c r="AF374" s="391"/>
      <c r="AG374" s="391"/>
      <c r="AH374" s="392"/>
      <c r="AI374" s="391"/>
      <c r="AJ374" s="391"/>
    </row>
    <row r="375" spans="1:36" ht="13.5" x14ac:dyDescent="0.25">
      <c r="A375" s="391"/>
      <c r="B375" s="391"/>
      <c r="C375" s="391"/>
      <c r="D375" s="391"/>
      <c r="E375" s="391"/>
      <c r="F375" s="391"/>
      <c r="G375" s="391"/>
      <c r="H375" s="391"/>
      <c r="I375" s="391"/>
      <c r="J375" s="391"/>
      <c r="K375" s="391"/>
      <c r="L375" s="391"/>
      <c r="M375" s="391"/>
      <c r="N375" s="391"/>
      <c r="O375" s="391"/>
      <c r="P375" s="391"/>
      <c r="Q375" s="391"/>
      <c r="R375" s="391"/>
      <c r="S375" s="391"/>
      <c r="T375" s="391"/>
      <c r="U375" s="391"/>
      <c r="V375" s="391"/>
      <c r="W375" s="391"/>
      <c r="X375" s="391"/>
      <c r="Y375" s="391"/>
      <c r="Z375" s="391"/>
      <c r="AA375" s="391"/>
      <c r="AB375" s="391"/>
      <c r="AC375" s="391"/>
      <c r="AD375" s="391"/>
      <c r="AE375" s="391"/>
      <c r="AF375" s="391"/>
      <c r="AG375" s="391"/>
      <c r="AH375" s="392"/>
      <c r="AI375" s="391"/>
      <c r="AJ375" s="391"/>
    </row>
    <row r="376" spans="1:36" ht="13.5" x14ac:dyDescent="0.25">
      <c r="A376" s="391"/>
      <c r="B376" s="391"/>
      <c r="C376" s="391"/>
      <c r="D376" s="391"/>
      <c r="E376" s="391"/>
      <c r="F376" s="391"/>
      <c r="G376" s="391"/>
      <c r="H376" s="391"/>
      <c r="I376" s="391"/>
      <c r="J376" s="391"/>
      <c r="K376" s="391"/>
      <c r="L376" s="391"/>
      <c r="M376" s="391"/>
      <c r="N376" s="391"/>
      <c r="O376" s="391"/>
      <c r="P376" s="391"/>
      <c r="Q376" s="391"/>
      <c r="R376" s="391"/>
      <c r="S376" s="391"/>
      <c r="T376" s="391"/>
      <c r="U376" s="391"/>
      <c r="V376" s="391"/>
      <c r="W376" s="391"/>
      <c r="X376" s="391"/>
      <c r="Y376" s="391"/>
      <c r="Z376" s="391"/>
      <c r="AA376" s="391"/>
      <c r="AB376" s="391"/>
      <c r="AC376" s="391"/>
      <c r="AD376" s="391"/>
      <c r="AE376" s="391"/>
      <c r="AF376" s="391"/>
      <c r="AG376" s="391"/>
      <c r="AH376" s="392"/>
      <c r="AI376" s="391"/>
      <c r="AJ376" s="391"/>
    </row>
    <row r="377" spans="1:36" ht="13.5" x14ac:dyDescent="0.25">
      <c r="A377" s="391"/>
      <c r="B377" s="391"/>
      <c r="C377" s="391"/>
      <c r="D377" s="391"/>
      <c r="E377" s="391"/>
      <c r="F377" s="391"/>
      <c r="G377" s="391"/>
      <c r="H377" s="391"/>
      <c r="I377" s="391"/>
      <c r="J377" s="391"/>
      <c r="K377" s="391"/>
      <c r="L377" s="391"/>
      <c r="M377" s="391"/>
      <c r="N377" s="391"/>
      <c r="O377" s="391"/>
      <c r="P377" s="391"/>
      <c r="Q377" s="391"/>
      <c r="R377" s="391"/>
      <c r="S377" s="391"/>
      <c r="T377" s="391"/>
      <c r="U377" s="391"/>
      <c r="V377" s="391"/>
      <c r="W377" s="391"/>
      <c r="X377" s="391"/>
      <c r="Y377" s="391"/>
      <c r="Z377" s="391"/>
      <c r="AA377" s="391"/>
      <c r="AB377" s="391"/>
      <c r="AC377" s="391"/>
      <c r="AD377" s="391"/>
      <c r="AE377" s="391"/>
      <c r="AF377" s="391"/>
      <c r="AG377" s="391"/>
      <c r="AH377" s="392"/>
      <c r="AI377" s="391"/>
      <c r="AJ377" s="391"/>
    </row>
    <row r="378" spans="1:36" ht="13.5" x14ac:dyDescent="0.25">
      <c r="A378" s="391"/>
      <c r="B378" s="391"/>
      <c r="C378" s="391"/>
      <c r="D378" s="391"/>
      <c r="E378" s="391"/>
      <c r="F378" s="391"/>
      <c r="G378" s="391"/>
      <c r="H378" s="391"/>
      <c r="I378" s="391"/>
      <c r="J378" s="391"/>
      <c r="K378" s="391"/>
      <c r="L378" s="391"/>
      <c r="M378" s="391"/>
      <c r="N378" s="391"/>
      <c r="O378" s="391"/>
      <c r="P378" s="391"/>
      <c r="Q378" s="391"/>
      <c r="R378" s="391"/>
      <c r="S378" s="391"/>
      <c r="T378" s="391"/>
      <c r="U378" s="391"/>
      <c r="V378" s="391"/>
      <c r="W378" s="391"/>
      <c r="X378" s="391"/>
      <c r="Y378" s="391"/>
      <c r="Z378" s="391"/>
      <c r="AA378" s="391"/>
      <c r="AB378" s="391"/>
      <c r="AC378" s="391"/>
      <c r="AD378" s="391"/>
      <c r="AE378" s="391"/>
      <c r="AF378" s="391"/>
      <c r="AG378" s="391"/>
      <c r="AH378" s="392"/>
      <c r="AI378" s="391"/>
      <c r="AJ378" s="391"/>
    </row>
    <row r="379" spans="1:36" ht="13.5" x14ac:dyDescent="0.25">
      <c r="A379" s="391"/>
      <c r="B379" s="391"/>
      <c r="C379" s="391"/>
      <c r="D379" s="391"/>
      <c r="E379" s="391"/>
      <c r="F379" s="391"/>
      <c r="G379" s="391"/>
      <c r="H379" s="391"/>
      <c r="I379" s="391"/>
      <c r="J379" s="391"/>
      <c r="K379" s="391"/>
      <c r="L379" s="391"/>
      <c r="M379" s="391"/>
      <c r="N379" s="391"/>
      <c r="O379" s="391"/>
      <c r="P379" s="391"/>
      <c r="Q379" s="391"/>
      <c r="R379" s="391"/>
      <c r="S379" s="391"/>
      <c r="T379" s="391"/>
      <c r="U379" s="391"/>
      <c r="V379" s="391"/>
      <c r="W379" s="391"/>
      <c r="X379" s="391"/>
      <c r="Y379" s="391"/>
      <c r="Z379" s="391"/>
      <c r="AA379" s="391"/>
      <c r="AB379" s="391"/>
      <c r="AC379" s="391"/>
      <c r="AD379" s="391"/>
      <c r="AE379" s="391"/>
      <c r="AF379" s="391"/>
      <c r="AG379" s="391"/>
      <c r="AH379" s="392"/>
      <c r="AI379" s="391"/>
      <c r="AJ379" s="391"/>
    </row>
    <row r="380" spans="1:36" ht="13.5" x14ac:dyDescent="0.25">
      <c r="A380" s="391"/>
      <c r="B380" s="391"/>
      <c r="C380" s="391"/>
      <c r="D380" s="391"/>
      <c r="E380" s="391"/>
      <c r="F380" s="391"/>
      <c r="G380" s="391"/>
      <c r="H380" s="391"/>
      <c r="I380" s="391"/>
      <c r="J380" s="391"/>
      <c r="K380" s="391"/>
      <c r="L380" s="391"/>
      <c r="M380" s="391"/>
      <c r="N380" s="391"/>
      <c r="O380" s="391"/>
      <c r="P380" s="391"/>
      <c r="Q380" s="391"/>
      <c r="R380" s="391"/>
      <c r="S380" s="391"/>
      <c r="T380" s="391"/>
      <c r="U380" s="391"/>
      <c r="V380" s="391"/>
      <c r="W380" s="391"/>
      <c r="X380" s="391"/>
      <c r="Y380" s="391"/>
      <c r="Z380" s="391"/>
      <c r="AA380" s="391"/>
      <c r="AB380" s="391"/>
      <c r="AC380" s="391"/>
      <c r="AD380" s="391"/>
      <c r="AE380" s="391"/>
      <c r="AF380" s="391"/>
      <c r="AG380" s="391"/>
      <c r="AH380" s="392"/>
      <c r="AI380" s="391"/>
      <c r="AJ380" s="391"/>
    </row>
    <row r="381" spans="1:36" ht="13.5" x14ac:dyDescent="0.25">
      <c r="A381" s="391"/>
      <c r="B381" s="391"/>
      <c r="C381" s="391"/>
      <c r="D381" s="391"/>
      <c r="E381" s="391"/>
      <c r="F381" s="391"/>
      <c r="G381" s="391"/>
      <c r="H381" s="391"/>
      <c r="I381" s="391"/>
      <c r="J381" s="391"/>
      <c r="K381" s="391"/>
      <c r="L381" s="391"/>
      <c r="M381" s="391"/>
      <c r="N381" s="391"/>
      <c r="O381" s="391"/>
      <c r="P381" s="391"/>
      <c r="Q381" s="391"/>
      <c r="R381" s="391"/>
      <c r="S381" s="391"/>
      <c r="T381" s="391"/>
      <c r="U381" s="391"/>
      <c r="V381" s="391"/>
      <c r="W381" s="391"/>
      <c r="X381" s="391"/>
      <c r="Y381" s="391"/>
      <c r="Z381" s="391"/>
      <c r="AA381" s="391"/>
      <c r="AB381" s="391"/>
      <c r="AC381" s="391"/>
      <c r="AD381" s="391"/>
      <c r="AE381" s="391"/>
      <c r="AF381" s="391"/>
      <c r="AG381" s="391"/>
      <c r="AH381" s="392"/>
      <c r="AI381" s="391"/>
      <c r="AJ381" s="391"/>
    </row>
    <row r="382" spans="1:36" ht="13.5" x14ac:dyDescent="0.25">
      <c r="A382" s="391"/>
      <c r="B382" s="391"/>
      <c r="C382" s="391"/>
      <c r="D382" s="391"/>
      <c r="E382" s="391"/>
      <c r="F382" s="391"/>
      <c r="G382" s="391"/>
      <c r="H382" s="391"/>
      <c r="I382" s="391"/>
      <c r="J382" s="391"/>
      <c r="K382" s="391"/>
      <c r="L382" s="391"/>
      <c r="M382" s="391"/>
      <c r="N382" s="391"/>
      <c r="O382" s="391"/>
      <c r="P382" s="391"/>
      <c r="Q382" s="391"/>
      <c r="R382" s="391"/>
      <c r="S382" s="391"/>
      <c r="T382" s="391"/>
      <c r="U382" s="391"/>
      <c r="V382" s="391"/>
      <c r="W382" s="391"/>
      <c r="X382" s="391"/>
      <c r="Y382" s="391"/>
      <c r="Z382" s="391"/>
      <c r="AA382" s="391"/>
      <c r="AB382" s="391"/>
      <c r="AC382" s="391"/>
      <c r="AD382" s="391"/>
      <c r="AE382" s="391"/>
      <c r="AF382" s="391"/>
      <c r="AG382" s="391"/>
      <c r="AH382" s="392"/>
      <c r="AI382" s="391"/>
      <c r="AJ382" s="391"/>
    </row>
    <row r="383" spans="1:36" ht="13.5" x14ac:dyDescent="0.25">
      <c r="A383" s="391"/>
      <c r="B383" s="391"/>
      <c r="C383" s="391"/>
      <c r="D383" s="391"/>
      <c r="E383" s="391"/>
      <c r="F383" s="391"/>
      <c r="G383" s="391"/>
      <c r="H383" s="391"/>
      <c r="I383" s="391"/>
      <c r="J383" s="391"/>
      <c r="K383" s="391"/>
      <c r="L383" s="391"/>
      <c r="M383" s="391"/>
      <c r="N383" s="391"/>
      <c r="O383" s="391"/>
      <c r="P383" s="391"/>
      <c r="Q383" s="391"/>
      <c r="R383" s="391"/>
      <c r="S383" s="391"/>
      <c r="T383" s="391"/>
      <c r="U383" s="391"/>
      <c r="V383" s="391"/>
      <c r="W383" s="391"/>
      <c r="X383" s="391"/>
      <c r="Y383" s="391"/>
      <c r="Z383" s="391"/>
      <c r="AA383" s="391"/>
      <c r="AB383" s="391"/>
      <c r="AC383" s="391"/>
      <c r="AD383" s="391"/>
      <c r="AE383" s="391"/>
      <c r="AF383" s="391"/>
      <c r="AG383" s="391"/>
      <c r="AH383" s="392"/>
      <c r="AI383" s="391"/>
      <c r="AJ383" s="391"/>
    </row>
    <row r="384" spans="1:36" ht="13.5" x14ac:dyDescent="0.25">
      <c r="A384" s="391"/>
      <c r="B384" s="391"/>
      <c r="C384" s="391"/>
      <c r="D384" s="391"/>
      <c r="E384" s="391"/>
      <c r="F384" s="391"/>
      <c r="G384" s="391"/>
      <c r="H384" s="391"/>
      <c r="I384" s="391"/>
      <c r="J384" s="391"/>
      <c r="K384" s="391"/>
      <c r="L384" s="391"/>
      <c r="M384" s="391"/>
      <c r="N384" s="391"/>
      <c r="O384" s="391"/>
      <c r="P384" s="391"/>
      <c r="Q384" s="391"/>
      <c r="R384" s="391"/>
      <c r="S384" s="391"/>
      <c r="T384" s="391"/>
      <c r="U384" s="391"/>
      <c r="V384" s="391"/>
      <c r="W384" s="391"/>
      <c r="X384" s="391"/>
      <c r="Y384" s="391"/>
      <c r="Z384" s="391"/>
      <c r="AA384" s="391"/>
      <c r="AB384" s="391"/>
      <c r="AC384" s="391"/>
      <c r="AD384" s="391"/>
      <c r="AE384" s="391"/>
      <c r="AF384" s="391"/>
      <c r="AG384" s="391"/>
      <c r="AH384" s="392"/>
      <c r="AI384" s="391"/>
      <c r="AJ384" s="391"/>
    </row>
    <row r="385" spans="1:36" ht="13.5" x14ac:dyDescent="0.25">
      <c r="A385" s="391"/>
      <c r="B385" s="391"/>
      <c r="C385" s="391"/>
      <c r="D385" s="391"/>
      <c r="E385" s="391"/>
      <c r="F385" s="391"/>
      <c r="G385" s="391"/>
      <c r="H385" s="391"/>
      <c r="I385" s="391"/>
      <c r="J385" s="391"/>
      <c r="K385" s="391"/>
      <c r="L385" s="391"/>
      <c r="M385" s="391"/>
      <c r="N385" s="391"/>
      <c r="O385" s="391"/>
      <c r="P385" s="391"/>
      <c r="Q385" s="391"/>
      <c r="R385" s="391"/>
      <c r="S385" s="391"/>
      <c r="T385" s="391"/>
      <c r="U385" s="391"/>
      <c r="V385" s="391"/>
      <c r="W385" s="391"/>
      <c r="X385" s="391"/>
      <c r="Y385" s="391"/>
      <c r="Z385" s="391"/>
      <c r="AA385" s="391"/>
      <c r="AB385" s="391"/>
      <c r="AC385" s="391"/>
      <c r="AD385" s="391"/>
      <c r="AE385" s="391"/>
      <c r="AF385" s="391"/>
      <c r="AG385" s="391"/>
      <c r="AH385" s="392"/>
      <c r="AI385" s="391"/>
      <c r="AJ385" s="391"/>
    </row>
    <row r="386" spans="1:36" ht="13.5" x14ac:dyDescent="0.25">
      <c r="A386" s="391"/>
      <c r="B386" s="391"/>
      <c r="C386" s="391"/>
      <c r="D386" s="391"/>
      <c r="E386" s="391"/>
      <c r="F386" s="391"/>
      <c r="G386" s="391"/>
      <c r="H386" s="391"/>
      <c r="I386" s="391"/>
      <c r="J386" s="391"/>
      <c r="K386" s="391"/>
      <c r="L386" s="391"/>
      <c r="M386" s="391"/>
      <c r="N386" s="391"/>
      <c r="O386" s="391"/>
      <c r="P386" s="391"/>
      <c r="Q386" s="391"/>
      <c r="R386" s="391"/>
      <c r="S386" s="391"/>
      <c r="T386" s="391"/>
      <c r="U386" s="391"/>
      <c r="V386" s="391"/>
      <c r="W386" s="391"/>
      <c r="X386" s="391"/>
      <c r="Y386" s="391"/>
      <c r="Z386" s="391"/>
      <c r="AA386" s="391"/>
      <c r="AB386" s="391"/>
      <c r="AC386" s="391"/>
      <c r="AD386" s="391"/>
      <c r="AE386" s="391"/>
      <c r="AF386" s="391"/>
      <c r="AG386" s="391"/>
      <c r="AH386" s="392"/>
      <c r="AI386" s="391"/>
      <c r="AJ386" s="391"/>
    </row>
    <row r="387" spans="1:36" ht="13.5" x14ac:dyDescent="0.25">
      <c r="A387" s="391"/>
      <c r="B387" s="391"/>
      <c r="C387" s="391"/>
      <c r="D387" s="391"/>
      <c r="E387" s="391"/>
      <c r="F387" s="391"/>
      <c r="G387" s="391"/>
      <c r="H387" s="391"/>
      <c r="I387" s="391"/>
      <c r="J387" s="391"/>
      <c r="K387" s="391"/>
      <c r="L387" s="391"/>
      <c r="M387" s="391"/>
      <c r="N387" s="391"/>
      <c r="O387" s="391"/>
      <c r="P387" s="391"/>
      <c r="Q387" s="391"/>
      <c r="R387" s="391"/>
      <c r="S387" s="391"/>
      <c r="T387" s="391"/>
      <c r="U387" s="391"/>
      <c r="V387" s="391"/>
      <c r="W387" s="391"/>
      <c r="X387" s="391"/>
      <c r="Y387" s="391"/>
      <c r="Z387" s="391"/>
      <c r="AA387" s="391"/>
      <c r="AB387" s="391"/>
      <c r="AC387" s="391"/>
      <c r="AD387" s="391"/>
      <c r="AE387" s="391"/>
      <c r="AF387" s="391"/>
      <c r="AG387" s="391"/>
      <c r="AH387" s="392"/>
      <c r="AI387" s="391"/>
      <c r="AJ387" s="391"/>
    </row>
    <row r="388" spans="1:36" ht="13.5" x14ac:dyDescent="0.25">
      <c r="A388" s="391"/>
      <c r="B388" s="391"/>
      <c r="C388" s="391"/>
      <c r="D388" s="391"/>
      <c r="E388" s="391"/>
      <c r="F388" s="391"/>
      <c r="G388" s="391"/>
      <c r="H388" s="391"/>
      <c r="I388" s="391"/>
      <c r="J388" s="391"/>
      <c r="K388" s="391"/>
      <c r="L388" s="391"/>
      <c r="M388" s="391"/>
      <c r="N388" s="391"/>
      <c r="O388" s="391"/>
      <c r="P388" s="391"/>
      <c r="Q388" s="391"/>
      <c r="R388" s="391"/>
      <c r="S388" s="391"/>
      <c r="T388" s="391"/>
      <c r="U388" s="391"/>
      <c r="V388" s="391"/>
      <c r="W388" s="391"/>
      <c r="X388" s="391"/>
      <c r="Y388" s="391"/>
      <c r="Z388" s="391"/>
      <c r="AA388" s="391"/>
      <c r="AB388" s="391"/>
      <c r="AC388" s="391"/>
      <c r="AD388" s="391"/>
      <c r="AE388" s="391"/>
      <c r="AF388" s="391"/>
      <c r="AG388" s="391"/>
      <c r="AH388" s="392"/>
      <c r="AI388" s="391"/>
      <c r="AJ388" s="391"/>
    </row>
    <row r="389" spans="1:36" ht="13.5" x14ac:dyDescent="0.25">
      <c r="A389" s="391"/>
      <c r="B389" s="391"/>
      <c r="C389" s="391"/>
      <c r="D389" s="391"/>
      <c r="E389" s="391"/>
      <c r="F389" s="391"/>
      <c r="G389" s="391"/>
      <c r="H389" s="391"/>
      <c r="I389" s="391"/>
      <c r="J389" s="391"/>
      <c r="K389" s="391"/>
      <c r="L389" s="391"/>
      <c r="M389" s="391"/>
      <c r="N389" s="391"/>
      <c r="O389" s="391"/>
      <c r="P389" s="391"/>
      <c r="Q389" s="391"/>
      <c r="R389" s="391"/>
      <c r="S389" s="391"/>
      <c r="T389" s="391"/>
      <c r="U389" s="391"/>
      <c r="V389" s="391"/>
      <c r="W389" s="391"/>
      <c r="X389" s="391"/>
      <c r="Y389" s="391"/>
      <c r="Z389" s="391"/>
      <c r="AA389" s="391"/>
      <c r="AB389" s="391"/>
      <c r="AC389" s="391"/>
      <c r="AD389" s="391"/>
      <c r="AE389" s="391"/>
      <c r="AF389" s="391"/>
      <c r="AG389" s="391"/>
      <c r="AH389" s="392"/>
      <c r="AI389" s="391"/>
      <c r="AJ389" s="391"/>
    </row>
    <row r="390" spans="1:36" ht="13.5" x14ac:dyDescent="0.25">
      <c r="A390" s="391"/>
      <c r="B390" s="391"/>
      <c r="C390" s="391"/>
      <c r="D390" s="391"/>
      <c r="E390" s="391"/>
      <c r="F390" s="391"/>
      <c r="G390" s="391"/>
      <c r="H390" s="391"/>
      <c r="I390" s="391"/>
      <c r="J390" s="391"/>
      <c r="K390" s="391"/>
      <c r="L390" s="391"/>
      <c r="M390" s="391"/>
      <c r="N390" s="391"/>
      <c r="O390" s="391"/>
      <c r="P390" s="391"/>
      <c r="Q390" s="391"/>
      <c r="R390" s="391"/>
      <c r="S390" s="391"/>
      <c r="T390" s="391"/>
      <c r="U390" s="391"/>
      <c r="V390" s="391"/>
      <c r="W390" s="391"/>
      <c r="X390" s="391"/>
      <c r="Y390" s="391"/>
      <c r="Z390" s="391"/>
      <c r="AA390" s="391"/>
      <c r="AB390" s="391"/>
      <c r="AC390" s="391"/>
      <c r="AD390" s="391"/>
      <c r="AE390" s="391"/>
      <c r="AF390" s="391"/>
      <c r="AG390" s="391"/>
      <c r="AH390" s="392"/>
      <c r="AI390" s="391"/>
      <c r="AJ390" s="391"/>
    </row>
    <row r="391" spans="1:36" ht="13.5" x14ac:dyDescent="0.25">
      <c r="A391" s="391"/>
      <c r="B391" s="391"/>
      <c r="C391" s="391"/>
      <c r="D391" s="391"/>
      <c r="E391" s="391"/>
      <c r="F391" s="391"/>
      <c r="G391" s="391"/>
      <c r="H391" s="391"/>
      <c r="I391" s="391"/>
      <c r="J391" s="391"/>
      <c r="K391" s="391"/>
      <c r="L391" s="391"/>
      <c r="M391" s="391"/>
      <c r="N391" s="391"/>
      <c r="O391" s="391"/>
      <c r="P391" s="391"/>
      <c r="Q391" s="391"/>
      <c r="R391" s="391"/>
      <c r="S391" s="391"/>
      <c r="T391" s="391"/>
      <c r="U391" s="391"/>
      <c r="V391" s="391"/>
      <c r="W391" s="391"/>
      <c r="X391" s="391"/>
      <c r="Y391" s="391"/>
      <c r="Z391" s="391"/>
      <c r="AA391" s="391"/>
      <c r="AB391" s="391"/>
      <c r="AC391" s="391"/>
      <c r="AD391" s="391"/>
      <c r="AE391" s="391"/>
      <c r="AF391" s="391"/>
      <c r="AG391" s="391"/>
      <c r="AH391" s="392"/>
      <c r="AI391" s="391"/>
      <c r="AJ391" s="391"/>
    </row>
    <row r="392" spans="1:36" ht="13.5" x14ac:dyDescent="0.25">
      <c r="A392" s="391"/>
      <c r="B392" s="391"/>
      <c r="C392" s="391"/>
      <c r="D392" s="391"/>
      <c r="E392" s="391"/>
      <c r="F392" s="391"/>
      <c r="G392" s="391"/>
      <c r="H392" s="391"/>
      <c r="I392" s="391"/>
      <c r="J392" s="391"/>
      <c r="K392" s="391"/>
      <c r="L392" s="391"/>
      <c r="M392" s="391"/>
      <c r="N392" s="391"/>
      <c r="O392" s="391"/>
      <c r="P392" s="391"/>
      <c r="Q392" s="391"/>
      <c r="R392" s="391"/>
      <c r="S392" s="391"/>
      <c r="T392" s="391"/>
      <c r="U392" s="391"/>
      <c r="V392" s="391"/>
      <c r="W392" s="391"/>
      <c r="X392" s="391"/>
      <c r="Y392" s="391"/>
      <c r="Z392" s="391"/>
      <c r="AA392" s="391"/>
      <c r="AB392" s="391"/>
      <c r="AC392" s="391"/>
      <c r="AD392" s="391"/>
      <c r="AE392" s="391"/>
      <c r="AF392" s="391"/>
      <c r="AG392" s="391"/>
      <c r="AH392" s="392"/>
      <c r="AI392" s="391"/>
      <c r="AJ392" s="391"/>
    </row>
    <row r="393" spans="1:36" ht="13.5" x14ac:dyDescent="0.25">
      <c r="A393" s="391"/>
      <c r="B393" s="391"/>
      <c r="C393" s="391"/>
      <c r="D393" s="391"/>
      <c r="E393" s="391"/>
      <c r="F393" s="391"/>
      <c r="G393" s="391"/>
      <c r="H393" s="391"/>
      <c r="I393" s="391"/>
      <c r="J393" s="391"/>
      <c r="K393" s="391"/>
      <c r="L393" s="391"/>
      <c r="M393" s="391"/>
      <c r="N393" s="391"/>
      <c r="O393" s="391"/>
      <c r="P393" s="391"/>
      <c r="Q393" s="391"/>
      <c r="R393" s="391"/>
      <c r="S393" s="391"/>
      <c r="T393" s="391"/>
      <c r="U393" s="391"/>
      <c r="V393" s="391"/>
      <c r="W393" s="391"/>
      <c r="X393" s="391"/>
      <c r="Y393" s="391"/>
      <c r="Z393" s="391"/>
      <c r="AA393" s="391"/>
      <c r="AB393" s="391"/>
      <c r="AC393" s="391"/>
      <c r="AD393" s="391"/>
      <c r="AE393" s="391"/>
      <c r="AF393" s="391"/>
      <c r="AG393" s="391"/>
      <c r="AH393" s="392"/>
      <c r="AI393" s="391"/>
      <c r="AJ393" s="391"/>
    </row>
    <row r="394" spans="1:36" ht="13.5" x14ac:dyDescent="0.25">
      <c r="A394" s="391"/>
      <c r="B394" s="391"/>
      <c r="C394" s="391"/>
      <c r="D394" s="391"/>
      <c r="E394" s="391"/>
      <c r="F394" s="391"/>
      <c r="G394" s="391"/>
      <c r="H394" s="391"/>
      <c r="I394" s="391"/>
      <c r="J394" s="391"/>
      <c r="K394" s="391"/>
      <c r="L394" s="391"/>
      <c r="M394" s="391"/>
      <c r="N394" s="391"/>
      <c r="O394" s="391"/>
      <c r="P394" s="391"/>
      <c r="Q394" s="391"/>
      <c r="R394" s="391"/>
      <c r="S394" s="391"/>
      <c r="T394" s="391"/>
      <c r="U394" s="391"/>
      <c r="V394" s="391"/>
      <c r="W394" s="391"/>
      <c r="X394" s="391"/>
      <c r="Y394" s="391"/>
      <c r="Z394" s="391"/>
      <c r="AA394" s="391"/>
      <c r="AB394" s="391"/>
      <c r="AC394" s="391"/>
      <c r="AD394" s="391"/>
      <c r="AE394" s="391"/>
      <c r="AF394" s="391"/>
      <c r="AG394" s="391"/>
      <c r="AH394" s="392"/>
      <c r="AI394" s="391"/>
      <c r="AJ394" s="391"/>
    </row>
    <row r="395" spans="1:36" ht="13.5" x14ac:dyDescent="0.25">
      <c r="A395" s="391"/>
      <c r="B395" s="391"/>
      <c r="C395" s="391"/>
      <c r="D395" s="391"/>
      <c r="E395" s="391"/>
      <c r="F395" s="391"/>
      <c r="G395" s="391"/>
      <c r="H395" s="391"/>
      <c r="I395" s="391"/>
      <c r="J395" s="391"/>
      <c r="K395" s="391"/>
      <c r="L395" s="391"/>
      <c r="M395" s="391"/>
      <c r="N395" s="391"/>
      <c r="O395" s="391"/>
      <c r="P395" s="391"/>
      <c r="Q395" s="391"/>
      <c r="R395" s="391"/>
      <c r="S395" s="391"/>
      <c r="T395" s="391"/>
      <c r="U395" s="391"/>
      <c r="V395" s="391"/>
      <c r="W395" s="391"/>
      <c r="X395" s="391"/>
      <c r="Y395" s="391"/>
      <c r="Z395" s="391"/>
      <c r="AA395" s="391"/>
      <c r="AB395" s="391"/>
      <c r="AC395" s="391"/>
      <c r="AD395" s="391"/>
      <c r="AE395" s="391"/>
      <c r="AF395" s="391"/>
      <c r="AG395" s="391"/>
      <c r="AH395" s="392"/>
      <c r="AI395" s="391"/>
      <c r="AJ395" s="391"/>
    </row>
    <row r="396" spans="1:36" ht="13.5" x14ac:dyDescent="0.25">
      <c r="A396" s="391"/>
      <c r="B396" s="391"/>
      <c r="C396" s="391"/>
      <c r="D396" s="391"/>
      <c r="E396" s="391"/>
      <c r="F396" s="391"/>
      <c r="G396" s="391"/>
      <c r="H396" s="391"/>
      <c r="I396" s="391"/>
      <c r="J396" s="391"/>
      <c r="K396" s="391"/>
      <c r="L396" s="391"/>
      <c r="M396" s="391"/>
      <c r="N396" s="391"/>
      <c r="O396" s="391"/>
      <c r="P396" s="391"/>
      <c r="Q396" s="391"/>
      <c r="R396" s="391"/>
      <c r="S396" s="391"/>
      <c r="T396" s="391"/>
      <c r="U396" s="391"/>
      <c r="V396" s="391"/>
      <c r="W396" s="391"/>
      <c r="X396" s="391"/>
      <c r="Y396" s="391"/>
      <c r="Z396" s="391"/>
      <c r="AA396" s="391"/>
      <c r="AB396" s="391"/>
      <c r="AC396" s="391"/>
      <c r="AD396" s="391"/>
      <c r="AE396" s="391"/>
      <c r="AF396" s="391"/>
      <c r="AG396" s="391"/>
      <c r="AH396" s="392"/>
      <c r="AI396" s="391"/>
      <c r="AJ396" s="391"/>
    </row>
    <row r="397" spans="1:36" ht="13.5" x14ac:dyDescent="0.25">
      <c r="A397" s="391"/>
      <c r="B397" s="391"/>
      <c r="C397" s="391"/>
      <c r="D397" s="391"/>
      <c r="E397" s="391"/>
      <c r="F397" s="391"/>
      <c r="G397" s="391"/>
      <c r="H397" s="391"/>
      <c r="I397" s="391"/>
      <c r="J397" s="391"/>
      <c r="K397" s="391"/>
      <c r="L397" s="391"/>
      <c r="M397" s="391"/>
      <c r="N397" s="391"/>
      <c r="O397" s="391"/>
      <c r="P397" s="391"/>
      <c r="Q397" s="391"/>
      <c r="R397" s="391"/>
      <c r="S397" s="391"/>
      <c r="T397" s="391"/>
      <c r="U397" s="391"/>
      <c r="V397" s="391"/>
      <c r="W397" s="391"/>
      <c r="X397" s="391"/>
      <c r="Y397" s="391"/>
      <c r="Z397" s="391"/>
      <c r="AA397" s="391"/>
      <c r="AB397" s="391"/>
      <c r="AC397" s="391"/>
      <c r="AD397" s="391"/>
      <c r="AE397" s="391"/>
      <c r="AF397" s="391"/>
      <c r="AG397" s="391"/>
      <c r="AH397" s="392"/>
      <c r="AI397" s="391"/>
      <c r="AJ397" s="391"/>
    </row>
    <row r="398" spans="1:36" ht="13.5" x14ac:dyDescent="0.25">
      <c r="A398" s="391"/>
      <c r="B398" s="391"/>
      <c r="C398" s="391"/>
      <c r="D398" s="391"/>
      <c r="E398" s="391"/>
      <c r="F398" s="391"/>
      <c r="G398" s="391"/>
      <c r="H398" s="391"/>
      <c r="I398" s="391"/>
      <c r="J398" s="391"/>
      <c r="K398" s="391"/>
      <c r="L398" s="391"/>
      <c r="M398" s="391"/>
      <c r="N398" s="391"/>
      <c r="O398" s="391"/>
      <c r="P398" s="391"/>
      <c r="Q398" s="391"/>
      <c r="R398" s="391"/>
      <c r="S398" s="391"/>
      <c r="T398" s="391"/>
      <c r="U398" s="391"/>
      <c r="V398" s="391"/>
      <c r="W398" s="391"/>
      <c r="X398" s="391"/>
      <c r="Y398" s="391"/>
      <c r="Z398" s="391"/>
      <c r="AA398" s="391"/>
      <c r="AB398" s="391"/>
      <c r="AC398" s="391"/>
      <c r="AD398" s="391"/>
      <c r="AE398" s="391"/>
      <c r="AF398" s="391"/>
      <c r="AG398" s="391"/>
      <c r="AH398" s="392"/>
      <c r="AI398" s="391"/>
      <c r="AJ398" s="391"/>
    </row>
    <row r="399" spans="1:36" ht="13.5" x14ac:dyDescent="0.25">
      <c r="A399" s="391"/>
      <c r="B399" s="391"/>
      <c r="C399" s="391"/>
      <c r="D399" s="391"/>
      <c r="E399" s="391"/>
      <c r="F399" s="391"/>
      <c r="G399" s="391"/>
      <c r="H399" s="391"/>
      <c r="I399" s="391"/>
      <c r="J399" s="391"/>
      <c r="K399" s="391"/>
      <c r="L399" s="391"/>
      <c r="M399" s="391"/>
      <c r="N399" s="391"/>
      <c r="O399" s="391"/>
      <c r="P399" s="391"/>
      <c r="Q399" s="391"/>
      <c r="R399" s="391"/>
      <c r="S399" s="391"/>
      <c r="T399" s="391"/>
      <c r="U399" s="391"/>
      <c r="V399" s="391"/>
      <c r="W399" s="391"/>
      <c r="X399" s="391"/>
      <c r="Y399" s="391"/>
      <c r="Z399" s="391"/>
      <c r="AA399" s="391"/>
      <c r="AB399" s="391"/>
      <c r="AC399" s="391"/>
      <c r="AD399" s="391"/>
      <c r="AE399" s="391"/>
      <c r="AF399" s="391"/>
      <c r="AG399" s="391"/>
      <c r="AH399" s="392"/>
      <c r="AI399" s="391"/>
      <c r="AJ399" s="391"/>
    </row>
    <row r="400" spans="1:36" ht="13.5" x14ac:dyDescent="0.25">
      <c r="A400" s="391"/>
      <c r="B400" s="391"/>
      <c r="C400" s="391"/>
      <c r="D400" s="391"/>
      <c r="E400" s="391"/>
      <c r="F400" s="391"/>
      <c r="G400" s="391"/>
      <c r="H400" s="391"/>
      <c r="I400" s="391"/>
      <c r="J400" s="391"/>
      <c r="K400" s="391"/>
      <c r="L400" s="391"/>
      <c r="M400" s="391"/>
      <c r="N400" s="391"/>
      <c r="O400" s="391"/>
      <c r="P400" s="391"/>
      <c r="Q400" s="391"/>
      <c r="R400" s="391"/>
      <c r="S400" s="391"/>
      <c r="T400" s="391"/>
      <c r="U400" s="391"/>
      <c r="V400" s="391"/>
      <c r="W400" s="391"/>
      <c r="X400" s="391"/>
      <c r="Y400" s="391"/>
      <c r="Z400" s="391"/>
      <c r="AA400" s="391"/>
      <c r="AB400" s="391"/>
      <c r="AC400" s="391"/>
      <c r="AD400" s="391"/>
      <c r="AE400" s="391"/>
      <c r="AF400" s="391"/>
      <c r="AG400" s="391"/>
      <c r="AH400" s="392"/>
      <c r="AI400" s="391"/>
      <c r="AJ400" s="391"/>
    </row>
    <row r="401" spans="1:36" ht="13.5" x14ac:dyDescent="0.25">
      <c r="A401" s="391"/>
      <c r="B401" s="391"/>
      <c r="C401" s="391"/>
      <c r="D401" s="391"/>
      <c r="E401" s="391"/>
      <c r="F401" s="391"/>
      <c r="G401" s="391"/>
      <c r="H401" s="391"/>
      <c r="I401" s="391"/>
      <c r="J401" s="391"/>
      <c r="K401" s="391"/>
      <c r="L401" s="391"/>
      <c r="M401" s="391"/>
      <c r="N401" s="391"/>
      <c r="O401" s="391"/>
      <c r="P401" s="391"/>
      <c r="Q401" s="391"/>
      <c r="R401" s="391"/>
      <c r="S401" s="391"/>
      <c r="T401" s="391"/>
      <c r="U401" s="391"/>
      <c r="V401" s="391"/>
      <c r="W401" s="391"/>
      <c r="X401" s="391"/>
      <c r="Y401" s="391"/>
      <c r="Z401" s="391"/>
      <c r="AA401" s="391"/>
      <c r="AB401" s="391"/>
      <c r="AC401" s="391"/>
      <c r="AD401" s="391"/>
      <c r="AE401" s="391"/>
      <c r="AF401" s="391"/>
      <c r="AG401" s="391"/>
      <c r="AH401" s="392"/>
      <c r="AI401" s="391"/>
      <c r="AJ401" s="391"/>
    </row>
    <row r="402" spans="1:36" ht="13.5" x14ac:dyDescent="0.25">
      <c r="A402" s="391"/>
      <c r="B402" s="391"/>
      <c r="C402" s="391"/>
      <c r="D402" s="391"/>
      <c r="E402" s="391"/>
      <c r="F402" s="391"/>
      <c r="G402" s="391"/>
      <c r="H402" s="391"/>
      <c r="I402" s="391"/>
      <c r="J402" s="391"/>
      <c r="K402" s="391"/>
      <c r="L402" s="391"/>
      <c r="M402" s="391"/>
      <c r="N402" s="391"/>
      <c r="O402" s="391"/>
      <c r="P402" s="391"/>
      <c r="Q402" s="391"/>
      <c r="R402" s="391"/>
      <c r="S402" s="391"/>
      <c r="T402" s="391"/>
      <c r="U402" s="391"/>
      <c r="V402" s="391"/>
      <c r="W402" s="391"/>
      <c r="X402" s="391"/>
      <c r="Y402" s="391"/>
      <c r="Z402" s="391"/>
      <c r="AA402" s="391"/>
      <c r="AB402" s="391"/>
      <c r="AC402" s="391"/>
      <c r="AD402" s="391"/>
      <c r="AE402" s="391"/>
      <c r="AF402" s="391"/>
      <c r="AG402" s="391"/>
      <c r="AH402" s="392"/>
      <c r="AI402" s="391"/>
      <c r="AJ402" s="391"/>
    </row>
    <row r="403" spans="1:36" ht="13.5" x14ac:dyDescent="0.25">
      <c r="A403" s="391"/>
      <c r="B403" s="391"/>
      <c r="C403" s="391"/>
      <c r="D403" s="391"/>
      <c r="E403" s="391"/>
      <c r="F403" s="391"/>
      <c r="G403" s="391"/>
      <c r="H403" s="391"/>
      <c r="I403" s="391"/>
      <c r="J403" s="391"/>
      <c r="K403" s="391"/>
      <c r="L403" s="391"/>
      <c r="M403" s="391"/>
      <c r="N403" s="391"/>
      <c r="O403" s="391"/>
      <c r="P403" s="391"/>
      <c r="Q403" s="391"/>
      <c r="R403" s="391"/>
      <c r="S403" s="391"/>
      <c r="T403" s="391"/>
      <c r="U403" s="391"/>
      <c r="V403" s="391"/>
      <c r="W403" s="391"/>
      <c r="X403" s="391"/>
      <c r="Y403" s="391"/>
      <c r="Z403" s="391"/>
      <c r="AA403" s="391"/>
      <c r="AB403" s="391"/>
      <c r="AC403" s="391"/>
      <c r="AD403" s="391"/>
      <c r="AE403" s="391"/>
      <c r="AF403" s="391"/>
      <c r="AG403" s="391"/>
      <c r="AH403" s="392"/>
      <c r="AI403" s="391"/>
      <c r="AJ403" s="391"/>
    </row>
    <row r="404" spans="1:36" ht="13.5" x14ac:dyDescent="0.25">
      <c r="A404" s="391"/>
      <c r="B404" s="391"/>
      <c r="C404" s="391"/>
      <c r="D404" s="391"/>
      <c r="E404" s="391"/>
      <c r="F404" s="391"/>
      <c r="G404" s="391"/>
      <c r="H404" s="391"/>
      <c r="I404" s="391"/>
      <c r="J404" s="391"/>
      <c r="K404" s="391"/>
      <c r="L404" s="391"/>
      <c r="M404" s="391"/>
      <c r="N404" s="391"/>
      <c r="O404" s="391"/>
      <c r="P404" s="391"/>
      <c r="Q404" s="391"/>
      <c r="R404" s="391"/>
      <c r="S404" s="391"/>
      <c r="T404" s="391"/>
      <c r="U404" s="391"/>
      <c r="V404" s="391"/>
      <c r="W404" s="391"/>
      <c r="X404" s="391"/>
      <c r="Y404" s="391"/>
      <c r="Z404" s="391"/>
      <c r="AA404" s="391"/>
      <c r="AB404" s="391"/>
      <c r="AC404" s="391"/>
      <c r="AD404" s="391"/>
      <c r="AE404" s="391"/>
      <c r="AF404" s="391"/>
      <c r="AG404" s="391"/>
      <c r="AH404" s="392"/>
      <c r="AI404" s="391"/>
      <c r="AJ404" s="391"/>
    </row>
    <row r="405" spans="1:36" ht="13.5" x14ac:dyDescent="0.25">
      <c r="A405" s="391"/>
      <c r="B405" s="391"/>
      <c r="C405" s="391"/>
      <c r="D405" s="391"/>
      <c r="E405" s="391"/>
      <c r="F405" s="391"/>
      <c r="G405" s="391"/>
      <c r="H405" s="391"/>
      <c r="I405" s="391"/>
      <c r="J405" s="391"/>
      <c r="K405" s="391"/>
      <c r="L405" s="391"/>
      <c r="M405" s="391"/>
      <c r="N405" s="391"/>
      <c r="O405" s="391"/>
      <c r="P405" s="391"/>
      <c r="Q405" s="391"/>
      <c r="R405" s="391"/>
      <c r="S405" s="391"/>
      <c r="T405" s="391"/>
      <c r="U405" s="391"/>
      <c r="V405" s="391"/>
      <c r="W405" s="391"/>
      <c r="X405" s="391"/>
      <c r="Y405" s="391"/>
      <c r="Z405" s="391"/>
      <c r="AA405" s="391"/>
      <c r="AB405" s="391"/>
      <c r="AC405" s="391"/>
      <c r="AD405" s="391"/>
      <c r="AE405" s="391"/>
      <c r="AF405" s="391"/>
      <c r="AG405" s="391"/>
      <c r="AH405" s="392"/>
      <c r="AI405" s="391"/>
      <c r="AJ405" s="391"/>
    </row>
    <row r="406" spans="1:36" ht="13.5" x14ac:dyDescent="0.25">
      <c r="A406" s="391"/>
      <c r="B406" s="391"/>
      <c r="C406" s="391"/>
      <c r="D406" s="391"/>
      <c r="E406" s="391"/>
      <c r="F406" s="391"/>
      <c r="G406" s="391"/>
      <c r="H406" s="391"/>
      <c r="I406" s="391"/>
      <c r="J406" s="391"/>
      <c r="K406" s="391"/>
      <c r="L406" s="391"/>
      <c r="M406" s="391"/>
      <c r="N406" s="391"/>
      <c r="O406" s="391"/>
      <c r="P406" s="391"/>
      <c r="Q406" s="391"/>
      <c r="R406" s="391"/>
      <c r="S406" s="391"/>
      <c r="T406" s="391"/>
      <c r="U406" s="391"/>
      <c r="V406" s="391"/>
      <c r="W406" s="391"/>
      <c r="X406" s="391"/>
      <c r="Y406" s="391"/>
      <c r="Z406" s="391"/>
      <c r="AA406" s="391"/>
      <c r="AB406" s="391"/>
      <c r="AC406" s="391"/>
      <c r="AD406" s="391"/>
      <c r="AE406" s="391"/>
      <c r="AF406" s="391"/>
      <c r="AG406" s="391"/>
      <c r="AH406" s="392"/>
      <c r="AI406" s="391"/>
      <c r="AJ406" s="391"/>
    </row>
    <row r="407" spans="1:36" ht="13.5" x14ac:dyDescent="0.25">
      <c r="A407" s="391"/>
      <c r="B407" s="391"/>
      <c r="C407" s="391"/>
      <c r="D407" s="391"/>
      <c r="E407" s="391"/>
      <c r="F407" s="391"/>
      <c r="G407" s="391"/>
      <c r="H407" s="391"/>
      <c r="I407" s="391"/>
      <c r="J407" s="391"/>
      <c r="K407" s="391"/>
      <c r="L407" s="391"/>
      <c r="M407" s="391"/>
      <c r="N407" s="391"/>
      <c r="O407" s="391"/>
      <c r="P407" s="391"/>
      <c r="Q407" s="391"/>
      <c r="R407" s="391"/>
      <c r="S407" s="391"/>
      <c r="T407" s="391"/>
      <c r="U407" s="391"/>
      <c r="V407" s="391"/>
      <c r="W407" s="391"/>
      <c r="X407" s="391"/>
      <c r="Y407" s="391"/>
      <c r="Z407" s="391"/>
      <c r="AA407" s="391"/>
      <c r="AB407" s="391"/>
      <c r="AC407" s="391"/>
      <c r="AD407" s="391"/>
      <c r="AE407" s="391"/>
      <c r="AF407" s="391"/>
      <c r="AG407" s="391"/>
      <c r="AH407" s="392"/>
      <c r="AI407" s="391"/>
      <c r="AJ407" s="391"/>
    </row>
    <row r="408" spans="1:36" ht="13.5" x14ac:dyDescent="0.25">
      <c r="A408" s="391"/>
      <c r="B408" s="391"/>
      <c r="C408" s="391"/>
      <c r="D408" s="391"/>
      <c r="E408" s="391"/>
      <c r="F408" s="391"/>
      <c r="G408" s="391"/>
      <c r="H408" s="391"/>
      <c r="I408" s="391"/>
      <c r="J408" s="391"/>
      <c r="K408" s="391"/>
      <c r="L408" s="391"/>
      <c r="M408" s="391"/>
      <c r="N408" s="391"/>
      <c r="O408" s="391"/>
      <c r="P408" s="391"/>
      <c r="Q408" s="391"/>
      <c r="R408" s="391"/>
      <c r="S408" s="391"/>
      <c r="T408" s="391"/>
      <c r="U408" s="391"/>
      <c r="V408" s="391"/>
      <c r="W408" s="391"/>
      <c r="X408" s="391"/>
      <c r="Y408" s="391"/>
      <c r="Z408" s="391"/>
      <c r="AA408" s="391"/>
      <c r="AB408" s="391"/>
      <c r="AC408" s="391"/>
      <c r="AD408" s="391"/>
      <c r="AE408" s="391"/>
      <c r="AF408" s="391"/>
      <c r="AG408" s="391"/>
      <c r="AH408" s="392"/>
      <c r="AI408" s="391"/>
      <c r="AJ408" s="391"/>
    </row>
    <row r="409" spans="1:36" ht="13.5" x14ac:dyDescent="0.25">
      <c r="A409" s="391"/>
      <c r="B409" s="391"/>
      <c r="C409" s="391"/>
      <c r="D409" s="391"/>
      <c r="E409" s="391"/>
      <c r="F409" s="391"/>
      <c r="G409" s="391"/>
      <c r="H409" s="391"/>
      <c r="I409" s="391"/>
      <c r="J409" s="391"/>
      <c r="K409" s="391"/>
      <c r="L409" s="391"/>
      <c r="M409" s="391"/>
      <c r="N409" s="391"/>
      <c r="O409" s="391"/>
      <c r="P409" s="391"/>
      <c r="Q409" s="391"/>
      <c r="R409" s="391"/>
      <c r="S409" s="391"/>
      <c r="T409" s="391"/>
      <c r="U409" s="391"/>
      <c r="V409" s="391"/>
      <c r="W409" s="391"/>
      <c r="X409" s="391"/>
      <c r="Y409" s="391"/>
      <c r="Z409" s="391"/>
      <c r="AA409" s="391"/>
      <c r="AB409" s="391"/>
      <c r="AC409" s="391"/>
      <c r="AD409" s="391"/>
      <c r="AE409" s="391"/>
      <c r="AF409" s="391"/>
      <c r="AG409" s="391"/>
      <c r="AH409" s="392"/>
      <c r="AI409" s="391"/>
      <c r="AJ409" s="391"/>
    </row>
    <row r="410" spans="1:36" ht="13.5" x14ac:dyDescent="0.25">
      <c r="A410" s="391"/>
      <c r="B410" s="391"/>
      <c r="C410" s="391"/>
      <c r="D410" s="391"/>
      <c r="E410" s="391"/>
      <c r="F410" s="391"/>
      <c r="G410" s="391"/>
      <c r="H410" s="391"/>
      <c r="I410" s="391"/>
      <c r="J410" s="391"/>
      <c r="K410" s="391"/>
      <c r="L410" s="391"/>
      <c r="M410" s="391"/>
      <c r="N410" s="391"/>
      <c r="O410" s="391"/>
      <c r="P410" s="391"/>
      <c r="Q410" s="391"/>
      <c r="R410" s="391"/>
      <c r="S410" s="391"/>
      <c r="T410" s="391"/>
      <c r="U410" s="391"/>
      <c r="V410" s="391"/>
      <c r="W410" s="391"/>
      <c r="X410" s="391"/>
      <c r="Y410" s="391"/>
      <c r="Z410" s="391"/>
      <c r="AA410" s="391"/>
      <c r="AB410" s="391"/>
      <c r="AC410" s="391"/>
      <c r="AD410" s="391"/>
      <c r="AE410" s="391"/>
      <c r="AF410" s="391"/>
      <c r="AG410" s="391"/>
      <c r="AH410" s="392"/>
      <c r="AI410" s="391"/>
      <c r="AJ410" s="391"/>
    </row>
    <row r="411" spans="1:36" ht="13.5" x14ac:dyDescent="0.25">
      <c r="A411" s="391"/>
      <c r="B411" s="391"/>
      <c r="C411" s="391"/>
      <c r="D411" s="391"/>
      <c r="E411" s="391"/>
      <c r="F411" s="391"/>
      <c r="G411" s="391"/>
      <c r="H411" s="391"/>
      <c r="I411" s="391"/>
      <c r="J411" s="391"/>
      <c r="K411" s="391"/>
      <c r="L411" s="391"/>
      <c r="M411" s="391"/>
      <c r="N411" s="391"/>
      <c r="O411" s="391"/>
      <c r="P411" s="391"/>
      <c r="Q411" s="391"/>
      <c r="R411" s="391"/>
      <c r="S411" s="391"/>
      <c r="T411" s="391"/>
      <c r="U411" s="391"/>
      <c r="V411" s="391"/>
      <c r="W411" s="391"/>
      <c r="X411" s="391"/>
      <c r="Y411" s="391"/>
      <c r="Z411" s="391"/>
      <c r="AA411" s="391"/>
      <c r="AB411" s="391"/>
      <c r="AC411" s="391"/>
      <c r="AD411" s="391"/>
      <c r="AE411" s="391"/>
      <c r="AF411" s="391"/>
      <c r="AG411" s="391"/>
      <c r="AH411" s="392"/>
      <c r="AI411" s="391"/>
      <c r="AJ411" s="391"/>
    </row>
    <row r="412" spans="1:36" ht="13.5" x14ac:dyDescent="0.25">
      <c r="A412" s="391"/>
      <c r="B412" s="391"/>
      <c r="C412" s="391"/>
      <c r="D412" s="391"/>
      <c r="E412" s="391"/>
      <c r="F412" s="391"/>
      <c r="G412" s="391"/>
      <c r="H412" s="391"/>
      <c r="I412" s="391"/>
      <c r="J412" s="391"/>
      <c r="K412" s="391"/>
      <c r="L412" s="391"/>
      <c r="M412" s="391"/>
      <c r="N412" s="391"/>
      <c r="O412" s="391"/>
      <c r="P412" s="391"/>
      <c r="Q412" s="391"/>
      <c r="R412" s="391"/>
      <c r="S412" s="391"/>
      <c r="T412" s="391"/>
      <c r="U412" s="391"/>
      <c r="V412" s="391"/>
      <c r="W412" s="391"/>
      <c r="X412" s="391"/>
      <c r="Y412" s="391"/>
      <c r="Z412" s="391"/>
      <c r="AA412" s="391"/>
      <c r="AB412" s="391"/>
      <c r="AC412" s="391"/>
      <c r="AD412" s="391"/>
      <c r="AE412" s="391"/>
      <c r="AF412" s="391"/>
      <c r="AG412" s="391"/>
      <c r="AH412" s="392"/>
      <c r="AI412" s="391"/>
      <c r="AJ412" s="391"/>
    </row>
    <row r="413" spans="1:36" ht="13.5" x14ac:dyDescent="0.25">
      <c r="A413" s="391"/>
      <c r="B413" s="391"/>
      <c r="C413" s="391"/>
      <c r="D413" s="391"/>
      <c r="E413" s="391"/>
      <c r="F413" s="391"/>
      <c r="G413" s="391"/>
      <c r="H413" s="391"/>
      <c r="I413" s="391"/>
      <c r="J413" s="391"/>
      <c r="K413" s="391"/>
      <c r="L413" s="391"/>
      <c r="M413" s="391"/>
      <c r="N413" s="391"/>
      <c r="O413" s="391"/>
      <c r="P413" s="391"/>
      <c r="Q413" s="391"/>
      <c r="R413" s="391"/>
      <c r="S413" s="391"/>
      <c r="T413" s="391"/>
      <c r="U413" s="391"/>
      <c r="V413" s="391"/>
      <c r="W413" s="391"/>
      <c r="X413" s="391"/>
      <c r="Y413" s="391"/>
      <c r="Z413" s="391"/>
      <c r="AA413" s="391"/>
      <c r="AB413" s="391"/>
      <c r="AC413" s="391"/>
      <c r="AD413" s="391"/>
      <c r="AE413" s="391"/>
      <c r="AF413" s="391"/>
      <c r="AG413" s="391"/>
      <c r="AH413" s="392"/>
      <c r="AI413" s="391"/>
      <c r="AJ413" s="391"/>
    </row>
    <row r="414" spans="1:36" ht="13.5" x14ac:dyDescent="0.25">
      <c r="A414" s="391"/>
      <c r="B414" s="391"/>
      <c r="C414" s="391"/>
      <c r="D414" s="391"/>
      <c r="E414" s="391"/>
      <c r="F414" s="391"/>
      <c r="G414" s="391"/>
      <c r="H414" s="391"/>
      <c r="I414" s="391"/>
      <c r="J414" s="391"/>
      <c r="K414" s="391"/>
      <c r="L414" s="391"/>
      <c r="M414" s="391"/>
      <c r="N414" s="391"/>
      <c r="O414" s="391"/>
      <c r="P414" s="391"/>
      <c r="Q414" s="391"/>
      <c r="R414" s="391"/>
      <c r="S414" s="391"/>
      <c r="T414" s="391"/>
      <c r="U414" s="391"/>
      <c r="V414" s="391"/>
      <c r="W414" s="391"/>
      <c r="X414" s="391"/>
      <c r="Y414" s="391"/>
      <c r="Z414" s="391"/>
      <c r="AA414" s="391"/>
      <c r="AB414" s="391"/>
      <c r="AC414" s="391"/>
      <c r="AD414" s="391"/>
      <c r="AE414" s="391"/>
      <c r="AF414" s="391"/>
      <c r="AG414" s="391"/>
      <c r="AH414" s="392"/>
      <c r="AI414" s="391"/>
      <c r="AJ414" s="391"/>
    </row>
    <row r="415" spans="1:36" ht="13.5" x14ac:dyDescent="0.25">
      <c r="A415" s="391"/>
      <c r="B415" s="391"/>
      <c r="C415" s="391"/>
      <c r="D415" s="391"/>
      <c r="E415" s="391"/>
      <c r="F415" s="391"/>
      <c r="G415" s="391"/>
      <c r="H415" s="391"/>
      <c r="I415" s="391"/>
      <c r="J415" s="391"/>
      <c r="K415" s="391"/>
      <c r="L415" s="391"/>
      <c r="M415" s="391"/>
      <c r="N415" s="391"/>
      <c r="O415" s="391"/>
      <c r="P415" s="391"/>
      <c r="Q415" s="391"/>
      <c r="R415" s="391"/>
      <c r="S415" s="391"/>
      <c r="T415" s="391"/>
      <c r="U415" s="391"/>
      <c r="V415" s="391"/>
      <c r="W415" s="391"/>
      <c r="X415" s="391"/>
      <c r="Y415" s="391"/>
      <c r="Z415" s="391"/>
      <c r="AA415" s="391"/>
      <c r="AB415" s="391"/>
      <c r="AC415" s="391"/>
      <c r="AD415" s="391"/>
      <c r="AE415" s="391"/>
      <c r="AF415" s="391"/>
      <c r="AG415" s="391"/>
      <c r="AH415" s="392"/>
      <c r="AI415" s="391"/>
      <c r="AJ415" s="391"/>
    </row>
    <row r="416" spans="1:36" ht="13.5" x14ac:dyDescent="0.25">
      <c r="A416" s="391"/>
      <c r="B416" s="391"/>
      <c r="C416" s="391"/>
      <c r="D416" s="391"/>
      <c r="E416" s="391"/>
      <c r="F416" s="391"/>
      <c r="G416" s="391"/>
      <c r="H416" s="391"/>
      <c r="I416" s="391"/>
      <c r="J416" s="391"/>
      <c r="K416" s="391"/>
      <c r="L416" s="391"/>
      <c r="M416" s="391"/>
      <c r="N416" s="391"/>
      <c r="O416" s="391"/>
      <c r="P416" s="391"/>
      <c r="Q416" s="391"/>
      <c r="R416" s="391"/>
      <c r="S416" s="391"/>
      <c r="T416" s="391"/>
      <c r="U416" s="391"/>
      <c r="V416" s="391"/>
      <c r="W416" s="391"/>
      <c r="X416" s="391"/>
      <c r="Y416" s="391"/>
      <c r="Z416" s="391"/>
      <c r="AA416" s="391"/>
      <c r="AB416" s="391"/>
      <c r="AC416" s="391"/>
      <c r="AD416" s="391"/>
      <c r="AE416" s="391"/>
      <c r="AF416" s="391"/>
      <c r="AG416" s="391"/>
      <c r="AH416" s="392"/>
      <c r="AI416" s="391"/>
      <c r="AJ416" s="391"/>
    </row>
    <row r="417" spans="1:36" ht="13.5" x14ac:dyDescent="0.25">
      <c r="A417" s="391"/>
      <c r="B417" s="391"/>
      <c r="C417" s="391"/>
      <c r="D417" s="391"/>
      <c r="E417" s="391"/>
      <c r="F417" s="391"/>
      <c r="G417" s="391"/>
      <c r="H417" s="391"/>
      <c r="I417" s="391"/>
      <c r="J417" s="391"/>
      <c r="K417" s="391"/>
      <c r="L417" s="391"/>
      <c r="M417" s="391"/>
      <c r="N417" s="391"/>
      <c r="O417" s="391"/>
      <c r="P417" s="391"/>
      <c r="Q417" s="391"/>
      <c r="R417" s="391"/>
      <c r="S417" s="391"/>
      <c r="T417" s="391"/>
      <c r="U417" s="391"/>
      <c r="V417" s="391"/>
      <c r="W417" s="391"/>
      <c r="X417" s="391"/>
      <c r="Y417" s="391"/>
      <c r="Z417" s="391"/>
      <c r="AA417" s="391"/>
      <c r="AB417" s="391"/>
      <c r="AC417" s="391"/>
      <c r="AD417" s="391"/>
      <c r="AE417" s="391"/>
      <c r="AF417" s="391"/>
      <c r="AG417" s="391"/>
      <c r="AH417" s="392"/>
      <c r="AI417" s="391"/>
      <c r="AJ417" s="391"/>
    </row>
    <row r="418" spans="1:36" ht="13.5" x14ac:dyDescent="0.25">
      <c r="A418" s="391"/>
      <c r="B418" s="391"/>
      <c r="C418" s="391"/>
      <c r="D418" s="391"/>
      <c r="E418" s="391"/>
      <c r="F418" s="391"/>
      <c r="G418" s="391"/>
      <c r="H418" s="391"/>
      <c r="I418" s="391"/>
      <c r="J418" s="391"/>
      <c r="K418" s="391"/>
      <c r="L418" s="391"/>
      <c r="M418" s="391"/>
      <c r="N418" s="391"/>
      <c r="O418" s="391"/>
      <c r="P418" s="391"/>
      <c r="Q418" s="391"/>
      <c r="R418" s="391"/>
      <c r="S418" s="391"/>
      <c r="T418" s="391"/>
      <c r="U418" s="391"/>
      <c r="V418" s="391"/>
      <c r="W418" s="391"/>
      <c r="X418" s="391"/>
      <c r="Y418" s="391"/>
      <c r="Z418" s="391"/>
      <c r="AA418" s="391"/>
      <c r="AB418" s="391"/>
      <c r="AC418" s="391"/>
      <c r="AD418" s="391"/>
      <c r="AE418" s="391"/>
      <c r="AF418" s="391"/>
      <c r="AG418" s="391"/>
      <c r="AH418" s="392"/>
      <c r="AI418" s="391"/>
      <c r="AJ418" s="391"/>
    </row>
    <row r="419" spans="1:36" ht="13.5" x14ac:dyDescent="0.25">
      <c r="A419" s="391"/>
      <c r="B419" s="391"/>
      <c r="C419" s="391"/>
      <c r="D419" s="391"/>
      <c r="E419" s="391"/>
      <c r="F419" s="391"/>
      <c r="G419" s="391"/>
      <c r="H419" s="391"/>
      <c r="I419" s="391"/>
      <c r="J419" s="391"/>
      <c r="K419" s="391"/>
      <c r="L419" s="391"/>
      <c r="M419" s="391"/>
      <c r="N419" s="391"/>
      <c r="O419" s="391"/>
      <c r="P419" s="391"/>
      <c r="Q419" s="391"/>
      <c r="R419" s="391"/>
      <c r="S419" s="391"/>
      <c r="T419" s="391"/>
      <c r="U419" s="391"/>
      <c r="V419" s="391"/>
      <c r="W419" s="391"/>
      <c r="X419" s="391"/>
      <c r="Y419" s="391"/>
      <c r="Z419" s="391"/>
      <c r="AA419" s="391"/>
      <c r="AB419" s="391"/>
      <c r="AC419" s="391"/>
      <c r="AD419" s="391"/>
      <c r="AE419" s="391"/>
      <c r="AF419" s="391"/>
      <c r="AG419" s="391"/>
      <c r="AH419" s="392"/>
      <c r="AI419" s="391"/>
      <c r="AJ419" s="391"/>
    </row>
    <row r="420" spans="1:36" ht="13.5" x14ac:dyDescent="0.25">
      <c r="A420" s="391"/>
      <c r="B420" s="391"/>
      <c r="C420" s="391"/>
      <c r="D420" s="391"/>
      <c r="E420" s="391"/>
      <c r="F420" s="391"/>
      <c r="G420" s="391"/>
      <c r="H420" s="391"/>
      <c r="I420" s="391"/>
      <c r="J420" s="391"/>
      <c r="K420" s="391"/>
      <c r="L420" s="391"/>
      <c r="M420" s="391"/>
      <c r="N420" s="391"/>
      <c r="O420" s="391"/>
      <c r="P420" s="391"/>
      <c r="Q420" s="391"/>
      <c r="R420" s="391"/>
      <c r="S420" s="391"/>
      <c r="T420" s="391"/>
      <c r="U420" s="391"/>
      <c r="V420" s="391"/>
      <c r="W420" s="391"/>
      <c r="X420" s="391"/>
      <c r="Y420" s="391"/>
      <c r="Z420" s="391"/>
      <c r="AA420" s="391"/>
      <c r="AB420" s="391"/>
      <c r="AC420" s="391"/>
      <c r="AD420" s="391"/>
      <c r="AE420" s="391"/>
      <c r="AF420" s="391"/>
      <c r="AG420" s="391"/>
      <c r="AH420" s="392"/>
      <c r="AI420" s="391"/>
      <c r="AJ420" s="391"/>
    </row>
    <row r="421" spans="1:36" ht="13.5" x14ac:dyDescent="0.25">
      <c r="A421" s="391"/>
      <c r="B421" s="391"/>
      <c r="C421" s="391"/>
      <c r="D421" s="391"/>
      <c r="E421" s="391"/>
      <c r="F421" s="391"/>
      <c r="G421" s="391"/>
      <c r="H421" s="391"/>
      <c r="I421" s="391"/>
      <c r="J421" s="391"/>
      <c r="K421" s="391"/>
      <c r="L421" s="391"/>
      <c r="M421" s="391"/>
      <c r="N421" s="391"/>
      <c r="O421" s="391"/>
      <c r="P421" s="391"/>
      <c r="Q421" s="391"/>
      <c r="R421" s="391"/>
      <c r="S421" s="391"/>
      <c r="T421" s="391"/>
      <c r="U421" s="391"/>
      <c r="V421" s="391"/>
      <c r="W421" s="391"/>
      <c r="X421" s="391"/>
      <c r="Y421" s="391"/>
      <c r="Z421" s="391"/>
      <c r="AA421" s="391"/>
      <c r="AB421" s="391"/>
      <c r="AC421" s="391"/>
      <c r="AD421" s="391"/>
      <c r="AE421" s="391"/>
      <c r="AF421" s="391"/>
      <c r="AG421" s="391"/>
      <c r="AH421" s="392"/>
      <c r="AI421" s="391"/>
      <c r="AJ421" s="391"/>
    </row>
    <row r="422" spans="1:36" ht="13.5" x14ac:dyDescent="0.25">
      <c r="A422" s="391"/>
      <c r="B422" s="391"/>
      <c r="C422" s="391"/>
      <c r="D422" s="391"/>
      <c r="E422" s="391"/>
      <c r="F422" s="391"/>
      <c r="G422" s="391"/>
      <c r="H422" s="391"/>
      <c r="I422" s="391"/>
      <c r="J422" s="391"/>
      <c r="K422" s="391"/>
      <c r="L422" s="391"/>
      <c r="M422" s="391"/>
      <c r="N422" s="391"/>
      <c r="O422" s="391"/>
      <c r="P422" s="391"/>
      <c r="Q422" s="391"/>
      <c r="R422" s="391"/>
      <c r="S422" s="391"/>
      <c r="T422" s="391"/>
      <c r="U422" s="391"/>
      <c r="V422" s="391"/>
      <c r="W422" s="391"/>
      <c r="X422" s="391"/>
      <c r="Y422" s="391"/>
      <c r="Z422" s="391"/>
      <c r="AA422" s="391"/>
      <c r="AB422" s="391"/>
      <c r="AC422" s="391"/>
      <c r="AD422" s="391"/>
      <c r="AE422" s="391"/>
      <c r="AF422" s="391"/>
      <c r="AG422" s="391"/>
      <c r="AH422" s="392"/>
      <c r="AI422" s="391"/>
      <c r="AJ422" s="391"/>
    </row>
    <row r="423" spans="1:36" ht="13.5" x14ac:dyDescent="0.25">
      <c r="A423" s="391"/>
      <c r="B423" s="391"/>
      <c r="C423" s="391"/>
      <c r="D423" s="391"/>
      <c r="E423" s="391"/>
      <c r="F423" s="391"/>
      <c r="G423" s="391"/>
      <c r="H423" s="391"/>
      <c r="I423" s="391"/>
      <c r="J423" s="391"/>
      <c r="K423" s="391"/>
      <c r="L423" s="391"/>
      <c r="M423" s="391"/>
      <c r="N423" s="391"/>
      <c r="O423" s="391"/>
      <c r="P423" s="391"/>
      <c r="Q423" s="391"/>
      <c r="R423" s="391"/>
      <c r="S423" s="391"/>
      <c r="T423" s="391"/>
      <c r="U423" s="391"/>
      <c r="V423" s="391"/>
      <c r="W423" s="391"/>
      <c r="X423" s="391"/>
      <c r="Y423" s="391"/>
      <c r="Z423" s="391"/>
      <c r="AA423" s="391"/>
      <c r="AB423" s="391"/>
      <c r="AC423" s="391"/>
      <c r="AD423" s="391"/>
      <c r="AE423" s="391"/>
      <c r="AF423" s="391"/>
      <c r="AG423" s="391"/>
      <c r="AH423" s="392"/>
      <c r="AI423" s="391"/>
      <c r="AJ423" s="391"/>
    </row>
    <row r="424" spans="1:36" ht="13.5" x14ac:dyDescent="0.25">
      <c r="A424" s="391"/>
      <c r="B424" s="391"/>
      <c r="C424" s="391"/>
      <c r="D424" s="391"/>
      <c r="E424" s="391"/>
      <c r="F424" s="391"/>
      <c r="G424" s="391"/>
      <c r="H424" s="391"/>
      <c r="I424" s="391"/>
      <c r="J424" s="391"/>
      <c r="K424" s="391"/>
      <c r="L424" s="391"/>
      <c r="M424" s="391"/>
      <c r="N424" s="391"/>
      <c r="O424" s="391"/>
      <c r="P424" s="391"/>
      <c r="Q424" s="391"/>
      <c r="R424" s="391"/>
      <c r="S424" s="391"/>
      <c r="T424" s="391"/>
      <c r="U424" s="391"/>
      <c r="V424" s="391"/>
      <c r="W424" s="391"/>
      <c r="X424" s="391"/>
      <c r="Y424" s="391"/>
      <c r="Z424" s="391"/>
      <c r="AA424" s="391"/>
      <c r="AB424" s="391"/>
      <c r="AC424" s="391"/>
      <c r="AD424" s="391"/>
      <c r="AE424" s="391"/>
      <c r="AF424" s="391"/>
      <c r="AG424" s="391"/>
      <c r="AH424" s="392"/>
      <c r="AI424" s="391"/>
      <c r="AJ424" s="391"/>
    </row>
    <row r="425" spans="1:36" ht="13.5" x14ac:dyDescent="0.25">
      <c r="A425" s="391"/>
      <c r="B425" s="391"/>
      <c r="C425" s="391"/>
      <c r="D425" s="391"/>
      <c r="E425" s="391"/>
      <c r="F425" s="391"/>
      <c r="G425" s="391"/>
      <c r="H425" s="391"/>
      <c r="I425" s="391"/>
      <c r="J425" s="391"/>
      <c r="K425" s="391"/>
      <c r="L425" s="391"/>
      <c r="M425" s="391"/>
      <c r="N425" s="391"/>
      <c r="O425" s="391"/>
      <c r="P425" s="391"/>
      <c r="Q425" s="391"/>
      <c r="R425" s="391"/>
      <c r="S425" s="391"/>
      <c r="T425" s="391"/>
      <c r="U425" s="391"/>
      <c r="V425" s="391"/>
      <c r="W425" s="391"/>
      <c r="X425" s="391"/>
      <c r="Y425" s="391"/>
      <c r="Z425" s="391"/>
      <c r="AA425" s="391"/>
      <c r="AB425" s="391"/>
      <c r="AC425" s="391"/>
      <c r="AD425" s="391"/>
      <c r="AE425" s="391"/>
      <c r="AF425" s="391"/>
      <c r="AG425" s="391"/>
      <c r="AH425" s="392"/>
      <c r="AI425" s="391"/>
      <c r="AJ425" s="391"/>
    </row>
    <row r="426" spans="1:36" ht="13.5" x14ac:dyDescent="0.25">
      <c r="A426" s="391"/>
      <c r="B426" s="391"/>
      <c r="C426" s="391"/>
      <c r="D426" s="391"/>
      <c r="E426" s="391"/>
      <c r="F426" s="391"/>
      <c r="G426" s="391"/>
      <c r="H426" s="391"/>
      <c r="I426" s="391"/>
      <c r="J426" s="391"/>
      <c r="K426" s="391"/>
      <c r="L426" s="391"/>
      <c r="M426" s="391"/>
      <c r="N426" s="391"/>
      <c r="O426" s="391"/>
      <c r="P426" s="391"/>
      <c r="Q426" s="391"/>
      <c r="R426" s="391"/>
      <c r="S426" s="391"/>
      <c r="T426" s="391"/>
      <c r="U426" s="391"/>
      <c r="V426" s="391"/>
      <c r="W426" s="391"/>
      <c r="X426" s="391"/>
      <c r="Y426" s="391"/>
      <c r="Z426" s="391"/>
      <c r="AA426" s="391"/>
      <c r="AB426" s="391"/>
      <c r="AC426" s="391"/>
      <c r="AD426" s="391"/>
      <c r="AE426" s="391"/>
      <c r="AF426" s="391"/>
      <c r="AG426" s="391"/>
      <c r="AH426" s="392"/>
      <c r="AI426" s="391"/>
      <c r="AJ426" s="391"/>
    </row>
    <row r="427" spans="1:36" ht="13.5" x14ac:dyDescent="0.25">
      <c r="A427" s="391"/>
      <c r="B427" s="391"/>
      <c r="C427" s="391"/>
      <c r="D427" s="391"/>
      <c r="E427" s="391"/>
      <c r="F427" s="391"/>
      <c r="G427" s="391"/>
      <c r="H427" s="391"/>
      <c r="I427" s="391"/>
      <c r="J427" s="391"/>
      <c r="K427" s="391"/>
      <c r="L427" s="391"/>
      <c r="M427" s="391"/>
      <c r="N427" s="391"/>
      <c r="O427" s="391"/>
      <c r="P427" s="391"/>
      <c r="Q427" s="391"/>
      <c r="R427" s="391"/>
      <c r="S427" s="391"/>
      <c r="T427" s="391"/>
      <c r="U427" s="391"/>
      <c r="V427" s="391"/>
      <c r="W427" s="391"/>
      <c r="X427" s="391"/>
      <c r="Y427" s="391"/>
      <c r="Z427" s="391"/>
      <c r="AA427" s="391"/>
      <c r="AB427" s="391"/>
      <c r="AC427" s="391"/>
      <c r="AD427" s="391"/>
      <c r="AE427" s="391"/>
      <c r="AF427" s="391"/>
      <c r="AG427" s="391"/>
      <c r="AH427" s="392"/>
      <c r="AI427" s="391"/>
      <c r="AJ427" s="391"/>
    </row>
    <row r="428" spans="1:36" ht="13.5" x14ac:dyDescent="0.25">
      <c r="A428" s="391"/>
      <c r="B428" s="391"/>
      <c r="C428" s="391"/>
      <c r="D428" s="391"/>
      <c r="E428" s="391"/>
      <c r="F428" s="391"/>
      <c r="G428" s="391"/>
      <c r="H428" s="391"/>
      <c r="I428" s="391"/>
      <c r="J428" s="391"/>
      <c r="K428" s="391"/>
      <c r="L428" s="391"/>
      <c r="M428" s="391"/>
      <c r="N428" s="391"/>
      <c r="O428" s="391"/>
      <c r="P428" s="391"/>
      <c r="Q428" s="391"/>
      <c r="R428" s="391"/>
      <c r="S428" s="391"/>
      <c r="T428" s="391"/>
      <c r="U428" s="391"/>
      <c r="V428" s="391"/>
      <c r="W428" s="391"/>
      <c r="X428" s="391"/>
      <c r="Y428" s="391"/>
      <c r="Z428" s="391"/>
      <c r="AA428" s="391"/>
      <c r="AB428" s="391"/>
      <c r="AC428" s="391"/>
      <c r="AD428" s="391"/>
      <c r="AE428" s="391"/>
      <c r="AF428" s="391"/>
      <c r="AG428" s="391"/>
      <c r="AH428" s="392"/>
      <c r="AI428" s="391"/>
      <c r="AJ428" s="391"/>
    </row>
    <row r="429" spans="1:36" ht="13.5" x14ac:dyDescent="0.25">
      <c r="A429" s="391"/>
      <c r="B429" s="391"/>
      <c r="C429" s="391"/>
      <c r="D429" s="391"/>
      <c r="E429" s="391"/>
      <c r="F429" s="391"/>
      <c r="G429" s="391"/>
      <c r="H429" s="391"/>
      <c r="I429" s="391"/>
      <c r="J429" s="391"/>
      <c r="K429" s="391"/>
      <c r="L429" s="391"/>
      <c r="M429" s="391"/>
      <c r="N429" s="391"/>
      <c r="O429" s="391"/>
      <c r="P429" s="391"/>
      <c r="Q429" s="391"/>
      <c r="R429" s="391"/>
      <c r="S429" s="391"/>
      <c r="T429" s="391"/>
      <c r="U429" s="391"/>
      <c r="V429" s="391"/>
      <c r="W429" s="391"/>
      <c r="X429" s="391"/>
      <c r="Y429" s="391"/>
      <c r="Z429" s="391"/>
      <c r="AA429" s="391"/>
      <c r="AB429" s="391"/>
      <c r="AC429" s="391"/>
      <c r="AD429" s="391"/>
      <c r="AE429" s="391"/>
      <c r="AF429" s="391"/>
      <c r="AG429" s="391"/>
      <c r="AH429" s="392"/>
      <c r="AI429" s="391"/>
      <c r="AJ429" s="391"/>
    </row>
    <row r="430" spans="1:36" ht="13.5" x14ac:dyDescent="0.25">
      <c r="A430" s="391"/>
      <c r="B430" s="391"/>
      <c r="C430" s="391"/>
      <c r="D430" s="391"/>
      <c r="E430" s="391"/>
      <c r="F430" s="391"/>
      <c r="G430" s="391"/>
      <c r="H430" s="391"/>
      <c r="I430" s="391"/>
      <c r="J430" s="391"/>
      <c r="K430" s="391"/>
      <c r="L430" s="391"/>
      <c r="M430" s="391"/>
      <c r="N430" s="391"/>
      <c r="O430" s="391"/>
      <c r="P430" s="391"/>
      <c r="Q430" s="391"/>
      <c r="R430" s="391"/>
      <c r="S430" s="391"/>
      <c r="T430" s="391"/>
      <c r="U430" s="391"/>
      <c r="V430" s="391"/>
      <c r="W430" s="391"/>
      <c r="X430" s="391"/>
      <c r="Y430" s="391"/>
      <c r="Z430" s="391"/>
      <c r="AA430" s="391"/>
      <c r="AB430" s="391"/>
      <c r="AC430" s="391"/>
      <c r="AD430" s="391"/>
      <c r="AE430" s="391"/>
      <c r="AF430" s="391"/>
      <c r="AG430" s="391"/>
      <c r="AH430" s="392"/>
      <c r="AI430" s="391"/>
      <c r="AJ430" s="391"/>
    </row>
    <row r="431" spans="1:36" ht="13.5" x14ac:dyDescent="0.25">
      <c r="A431" s="391"/>
      <c r="B431" s="391"/>
      <c r="C431" s="391"/>
      <c r="D431" s="391"/>
      <c r="E431" s="391"/>
      <c r="F431" s="391"/>
      <c r="G431" s="391"/>
      <c r="H431" s="391"/>
      <c r="I431" s="391"/>
      <c r="J431" s="391"/>
      <c r="K431" s="391"/>
      <c r="L431" s="391"/>
      <c r="M431" s="391"/>
      <c r="N431" s="391"/>
      <c r="O431" s="391"/>
      <c r="P431" s="391"/>
      <c r="Q431" s="391"/>
      <c r="R431" s="391"/>
      <c r="S431" s="391"/>
      <c r="T431" s="391"/>
      <c r="U431" s="391"/>
      <c r="V431" s="391"/>
      <c r="W431" s="391"/>
      <c r="X431" s="391"/>
      <c r="Y431" s="391"/>
      <c r="Z431" s="391"/>
      <c r="AA431" s="391"/>
      <c r="AB431" s="391"/>
      <c r="AC431" s="391"/>
      <c r="AD431" s="391"/>
      <c r="AE431" s="391"/>
      <c r="AF431" s="391"/>
      <c r="AG431" s="391"/>
      <c r="AH431" s="392"/>
      <c r="AI431" s="391"/>
      <c r="AJ431" s="391"/>
    </row>
    <row r="432" spans="1:36" ht="13.5" x14ac:dyDescent="0.25">
      <c r="A432" s="391"/>
      <c r="B432" s="391"/>
      <c r="C432" s="391"/>
      <c r="D432" s="391"/>
      <c r="E432" s="391"/>
      <c r="F432" s="391"/>
      <c r="G432" s="391"/>
      <c r="H432" s="391"/>
      <c r="I432" s="391"/>
      <c r="J432" s="391"/>
      <c r="K432" s="391"/>
      <c r="L432" s="391"/>
      <c r="M432" s="391"/>
      <c r="N432" s="391"/>
      <c r="O432" s="391"/>
      <c r="P432" s="391"/>
      <c r="Q432" s="391"/>
      <c r="R432" s="391"/>
      <c r="S432" s="391"/>
      <c r="T432" s="391"/>
      <c r="U432" s="391"/>
      <c r="V432" s="391"/>
      <c r="W432" s="391"/>
      <c r="X432" s="391"/>
      <c r="Y432" s="391"/>
      <c r="Z432" s="391"/>
      <c r="AA432" s="391"/>
      <c r="AB432" s="391"/>
      <c r="AC432" s="391"/>
      <c r="AD432" s="391"/>
      <c r="AE432" s="391"/>
      <c r="AF432" s="391"/>
      <c r="AG432" s="391"/>
      <c r="AH432" s="392"/>
      <c r="AI432" s="391"/>
      <c r="AJ432" s="391"/>
    </row>
    <row r="433" spans="1:36" ht="13.5" x14ac:dyDescent="0.25">
      <c r="A433" s="391"/>
      <c r="B433" s="391"/>
      <c r="C433" s="391"/>
      <c r="D433" s="391"/>
      <c r="E433" s="391"/>
      <c r="F433" s="391"/>
      <c r="G433" s="391"/>
      <c r="H433" s="391"/>
      <c r="I433" s="391"/>
      <c r="J433" s="391"/>
      <c r="K433" s="391"/>
      <c r="L433" s="391"/>
      <c r="M433" s="391"/>
      <c r="N433" s="391"/>
      <c r="O433" s="391"/>
      <c r="P433" s="391"/>
      <c r="Q433" s="391"/>
      <c r="R433" s="391"/>
      <c r="S433" s="391"/>
      <c r="T433" s="391"/>
      <c r="U433" s="391"/>
      <c r="V433" s="391"/>
      <c r="W433" s="391"/>
      <c r="X433" s="391"/>
      <c r="Y433" s="391"/>
      <c r="Z433" s="391"/>
      <c r="AA433" s="391"/>
      <c r="AB433" s="391"/>
      <c r="AC433" s="391"/>
      <c r="AD433" s="391"/>
      <c r="AE433" s="391"/>
      <c r="AF433" s="391"/>
      <c r="AG433" s="391"/>
      <c r="AH433" s="392"/>
      <c r="AI433" s="391"/>
      <c r="AJ433" s="391"/>
    </row>
    <row r="434" spans="1:36" ht="13.5" x14ac:dyDescent="0.25">
      <c r="A434" s="391"/>
      <c r="B434" s="391"/>
      <c r="C434" s="391"/>
      <c r="D434" s="391"/>
      <c r="E434" s="391"/>
      <c r="F434" s="391"/>
      <c r="G434" s="391"/>
      <c r="H434" s="391"/>
      <c r="I434" s="391"/>
      <c r="J434" s="391"/>
      <c r="K434" s="391"/>
      <c r="L434" s="391"/>
      <c r="M434" s="391"/>
      <c r="N434" s="391"/>
      <c r="O434" s="391"/>
      <c r="P434" s="391"/>
      <c r="Q434" s="391"/>
      <c r="R434" s="391"/>
      <c r="S434" s="391"/>
      <c r="T434" s="391"/>
      <c r="U434" s="391"/>
      <c r="V434" s="391"/>
      <c r="W434" s="391"/>
      <c r="X434" s="391"/>
      <c r="Y434" s="391"/>
      <c r="Z434" s="391"/>
      <c r="AA434" s="391"/>
      <c r="AB434" s="391"/>
      <c r="AC434" s="391"/>
      <c r="AD434" s="391"/>
      <c r="AE434" s="391"/>
      <c r="AF434" s="391"/>
      <c r="AG434" s="391"/>
      <c r="AH434" s="392"/>
      <c r="AI434" s="391"/>
      <c r="AJ434" s="391"/>
    </row>
    <row r="435" spans="1:36" ht="13.5" x14ac:dyDescent="0.25">
      <c r="A435" s="391"/>
      <c r="B435" s="391"/>
      <c r="C435" s="391"/>
      <c r="D435" s="391"/>
      <c r="E435" s="391"/>
      <c r="F435" s="391"/>
      <c r="G435" s="391"/>
      <c r="H435" s="391"/>
      <c r="I435" s="391"/>
      <c r="J435" s="391"/>
      <c r="K435" s="391"/>
      <c r="L435" s="391"/>
      <c r="M435" s="391"/>
      <c r="N435" s="391"/>
      <c r="O435" s="391"/>
      <c r="P435" s="391"/>
      <c r="Q435" s="391"/>
      <c r="R435" s="391"/>
      <c r="S435" s="391"/>
      <c r="T435" s="391"/>
      <c r="U435" s="391"/>
      <c r="V435" s="391"/>
      <c r="W435" s="391"/>
      <c r="X435" s="391"/>
      <c r="Y435" s="391"/>
      <c r="Z435" s="391"/>
      <c r="AA435" s="391"/>
      <c r="AB435" s="391"/>
      <c r="AC435" s="391"/>
      <c r="AD435" s="391"/>
      <c r="AE435" s="391"/>
      <c r="AF435" s="391"/>
      <c r="AG435" s="391"/>
      <c r="AH435" s="392"/>
      <c r="AI435" s="391"/>
      <c r="AJ435" s="391"/>
    </row>
    <row r="436" spans="1:36" ht="13.5" x14ac:dyDescent="0.25">
      <c r="A436" s="391"/>
      <c r="B436" s="391"/>
      <c r="C436" s="391"/>
      <c r="D436" s="391"/>
      <c r="E436" s="391"/>
      <c r="F436" s="391"/>
      <c r="G436" s="391"/>
      <c r="H436" s="391"/>
      <c r="I436" s="391"/>
      <c r="J436" s="391"/>
      <c r="K436" s="391"/>
      <c r="L436" s="391"/>
      <c r="M436" s="391"/>
      <c r="N436" s="391"/>
      <c r="O436" s="391"/>
      <c r="P436" s="391"/>
      <c r="Q436" s="391"/>
      <c r="R436" s="391"/>
      <c r="S436" s="391"/>
      <c r="T436" s="391"/>
      <c r="U436" s="391"/>
      <c r="V436" s="391"/>
      <c r="W436" s="391"/>
      <c r="X436" s="391"/>
      <c r="Y436" s="391"/>
      <c r="Z436" s="391"/>
      <c r="AA436" s="391"/>
      <c r="AB436" s="391"/>
      <c r="AC436" s="391"/>
      <c r="AD436" s="391"/>
      <c r="AE436" s="391"/>
      <c r="AF436" s="391"/>
      <c r="AG436" s="391"/>
      <c r="AH436" s="392"/>
      <c r="AI436" s="391"/>
      <c r="AJ436" s="391"/>
    </row>
    <row r="437" spans="1:36" ht="13.5" x14ac:dyDescent="0.25">
      <c r="A437" s="391"/>
      <c r="B437" s="391"/>
      <c r="C437" s="391"/>
      <c r="D437" s="391"/>
      <c r="E437" s="391"/>
      <c r="F437" s="391"/>
      <c r="G437" s="391"/>
      <c r="H437" s="391"/>
      <c r="I437" s="391"/>
      <c r="J437" s="391"/>
      <c r="K437" s="391"/>
      <c r="L437" s="391"/>
      <c r="M437" s="391"/>
      <c r="N437" s="391"/>
      <c r="O437" s="391"/>
      <c r="P437" s="391"/>
      <c r="Q437" s="391"/>
      <c r="R437" s="391"/>
      <c r="S437" s="391"/>
      <c r="T437" s="391"/>
      <c r="U437" s="391"/>
      <c r="V437" s="391"/>
      <c r="W437" s="391"/>
      <c r="X437" s="391"/>
      <c r="Y437" s="391"/>
      <c r="Z437" s="391"/>
      <c r="AA437" s="391"/>
      <c r="AB437" s="391"/>
      <c r="AC437" s="391"/>
      <c r="AD437" s="391"/>
      <c r="AE437" s="391"/>
      <c r="AF437" s="391"/>
      <c r="AG437" s="391"/>
      <c r="AH437" s="392"/>
      <c r="AI437" s="391"/>
      <c r="AJ437" s="391"/>
    </row>
    <row r="438" spans="1:36" ht="13.5" x14ac:dyDescent="0.25">
      <c r="A438" s="391"/>
      <c r="B438" s="391"/>
      <c r="C438" s="391"/>
      <c r="D438" s="391"/>
      <c r="E438" s="391"/>
      <c r="F438" s="391"/>
      <c r="G438" s="391"/>
      <c r="H438" s="391"/>
      <c r="I438" s="391"/>
      <c r="J438" s="391"/>
      <c r="K438" s="391"/>
      <c r="L438" s="391"/>
      <c r="M438" s="391"/>
      <c r="N438" s="391"/>
      <c r="O438" s="391"/>
      <c r="P438" s="391"/>
      <c r="Q438" s="391"/>
      <c r="R438" s="391"/>
      <c r="S438" s="391"/>
      <c r="T438" s="391"/>
      <c r="U438" s="391"/>
      <c r="V438" s="391"/>
      <c r="W438" s="391"/>
      <c r="X438" s="391"/>
      <c r="Y438" s="391"/>
      <c r="Z438" s="391"/>
      <c r="AA438" s="391"/>
      <c r="AB438" s="391"/>
      <c r="AC438" s="391"/>
      <c r="AD438" s="391"/>
      <c r="AE438" s="391"/>
      <c r="AF438" s="391"/>
      <c r="AG438" s="391"/>
      <c r="AH438" s="392"/>
      <c r="AI438" s="391"/>
      <c r="AJ438" s="391"/>
    </row>
    <row r="439" spans="1:36" ht="13.5" x14ac:dyDescent="0.25">
      <c r="A439" s="391"/>
      <c r="B439" s="391"/>
      <c r="C439" s="391"/>
      <c r="D439" s="391"/>
      <c r="E439" s="391"/>
      <c r="F439" s="391"/>
      <c r="G439" s="391"/>
      <c r="H439" s="391"/>
      <c r="I439" s="391"/>
      <c r="J439" s="391"/>
      <c r="K439" s="391"/>
      <c r="L439" s="391"/>
      <c r="M439" s="391"/>
      <c r="N439" s="391"/>
      <c r="O439" s="391"/>
      <c r="P439" s="391"/>
      <c r="Q439" s="391"/>
      <c r="R439" s="391"/>
      <c r="S439" s="391"/>
      <c r="T439" s="391"/>
      <c r="U439" s="391"/>
      <c r="V439" s="391"/>
      <c r="W439" s="391"/>
      <c r="X439" s="391"/>
      <c r="Y439" s="391"/>
      <c r="Z439" s="391"/>
      <c r="AA439" s="391"/>
      <c r="AB439" s="391"/>
      <c r="AC439" s="391"/>
      <c r="AD439" s="391"/>
      <c r="AE439" s="391"/>
      <c r="AF439" s="391"/>
      <c r="AG439" s="391"/>
      <c r="AH439" s="392"/>
      <c r="AI439" s="391"/>
      <c r="AJ439" s="391"/>
    </row>
    <row r="440" spans="1:36" ht="13.5" x14ac:dyDescent="0.25">
      <c r="A440" s="391"/>
      <c r="B440" s="391"/>
      <c r="C440" s="391"/>
      <c r="D440" s="391"/>
      <c r="E440" s="391"/>
      <c r="F440" s="391"/>
      <c r="G440" s="391"/>
      <c r="H440" s="391"/>
      <c r="I440" s="391"/>
      <c r="J440" s="391"/>
      <c r="K440" s="391"/>
      <c r="L440" s="391"/>
      <c r="M440" s="391"/>
      <c r="N440" s="391"/>
      <c r="O440" s="391"/>
      <c r="P440" s="391"/>
      <c r="Q440" s="391"/>
      <c r="R440" s="391"/>
      <c r="S440" s="391"/>
      <c r="T440" s="391"/>
      <c r="U440" s="391"/>
      <c r="V440" s="391"/>
      <c r="W440" s="391"/>
      <c r="X440" s="391"/>
      <c r="Y440" s="391"/>
      <c r="Z440" s="391"/>
      <c r="AA440" s="391"/>
      <c r="AB440" s="391"/>
      <c r="AC440" s="391"/>
      <c r="AD440" s="391"/>
      <c r="AE440" s="391"/>
      <c r="AF440" s="391"/>
      <c r="AG440" s="391"/>
      <c r="AH440" s="392"/>
      <c r="AI440" s="391"/>
      <c r="AJ440" s="391"/>
    </row>
    <row r="441" spans="1:36" ht="13.5" x14ac:dyDescent="0.25">
      <c r="A441" s="391"/>
      <c r="B441" s="391"/>
      <c r="C441" s="391"/>
      <c r="D441" s="391"/>
      <c r="E441" s="391"/>
      <c r="F441" s="391"/>
      <c r="G441" s="391"/>
      <c r="H441" s="391"/>
      <c r="I441" s="391"/>
      <c r="J441" s="391"/>
      <c r="K441" s="391"/>
      <c r="L441" s="391"/>
      <c r="M441" s="391"/>
      <c r="N441" s="391"/>
      <c r="O441" s="391"/>
      <c r="P441" s="391"/>
      <c r="Q441" s="391"/>
      <c r="R441" s="391"/>
      <c r="S441" s="391"/>
      <c r="T441" s="391"/>
      <c r="U441" s="391"/>
      <c r="V441" s="391"/>
      <c r="W441" s="391"/>
      <c r="X441" s="391"/>
      <c r="Y441" s="391"/>
      <c r="Z441" s="391"/>
      <c r="AA441" s="391"/>
      <c r="AB441" s="391"/>
      <c r="AC441" s="391"/>
      <c r="AD441" s="391"/>
      <c r="AE441" s="391"/>
      <c r="AF441" s="391"/>
      <c r="AG441" s="391"/>
      <c r="AH441" s="392"/>
      <c r="AI441" s="391"/>
      <c r="AJ441" s="391"/>
    </row>
    <row r="442" spans="1:36" ht="13.5" x14ac:dyDescent="0.25">
      <c r="A442" s="391"/>
      <c r="B442" s="391"/>
      <c r="C442" s="391"/>
      <c r="D442" s="391"/>
      <c r="E442" s="391"/>
      <c r="F442" s="391"/>
      <c r="G442" s="391"/>
      <c r="H442" s="391"/>
      <c r="I442" s="391"/>
      <c r="J442" s="391"/>
      <c r="K442" s="391"/>
      <c r="L442" s="391"/>
      <c r="M442" s="391"/>
      <c r="N442" s="391"/>
      <c r="O442" s="391"/>
      <c r="P442" s="391"/>
      <c r="Q442" s="391"/>
      <c r="R442" s="391"/>
      <c r="S442" s="391"/>
      <c r="T442" s="391"/>
      <c r="U442" s="391"/>
      <c r="V442" s="391"/>
      <c r="W442" s="391"/>
      <c r="X442" s="391"/>
      <c r="Y442" s="391"/>
      <c r="Z442" s="391"/>
      <c r="AA442" s="391"/>
      <c r="AB442" s="391"/>
      <c r="AC442" s="391"/>
      <c r="AD442" s="391"/>
      <c r="AE442" s="391"/>
      <c r="AF442" s="391"/>
      <c r="AG442" s="391"/>
      <c r="AH442" s="392"/>
      <c r="AI442" s="391"/>
      <c r="AJ442" s="391"/>
    </row>
    <row r="443" spans="1:36" ht="13.5" x14ac:dyDescent="0.25">
      <c r="A443" s="391"/>
      <c r="B443" s="391"/>
      <c r="C443" s="391"/>
      <c r="D443" s="391"/>
      <c r="E443" s="391"/>
      <c r="F443" s="391"/>
      <c r="G443" s="391"/>
      <c r="H443" s="391"/>
      <c r="I443" s="391"/>
      <c r="J443" s="391"/>
      <c r="K443" s="391"/>
      <c r="L443" s="391"/>
      <c r="M443" s="391"/>
      <c r="N443" s="391"/>
      <c r="O443" s="391"/>
      <c r="P443" s="391"/>
      <c r="Q443" s="391"/>
      <c r="R443" s="391"/>
      <c r="S443" s="391"/>
      <c r="T443" s="391"/>
      <c r="U443" s="391"/>
      <c r="V443" s="391"/>
      <c r="W443" s="391"/>
      <c r="X443" s="391"/>
      <c r="Y443" s="391"/>
      <c r="Z443" s="391"/>
      <c r="AA443" s="391"/>
      <c r="AB443" s="391"/>
      <c r="AC443" s="391"/>
      <c r="AD443" s="391"/>
      <c r="AE443" s="391"/>
      <c r="AF443" s="391"/>
      <c r="AG443" s="391"/>
      <c r="AH443" s="392"/>
      <c r="AI443" s="391"/>
      <c r="AJ443" s="391"/>
    </row>
    <row r="444" spans="1:36" ht="13.5" x14ac:dyDescent="0.25">
      <c r="A444" s="391"/>
      <c r="B444" s="391"/>
      <c r="C444" s="391"/>
      <c r="D444" s="391"/>
      <c r="E444" s="391"/>
      <c r="F444" s="391"/>
      <c r="G444" s="391"/>
      <c r="H444" s="391"/>
      <c r="I444" s="391"/>
      <c r="J444" s="391"/>
      <c r="K444" s="391"/>
      <c r="L444" s="391"/>
      <c r="M444" s="391"/>
      <c r="N444" s="391"/>
      <c r="O444" s="391"/>
      <c r="P444" s="391"/>
      <c r="Q444" s="391"/>
      <c r="R444" s="391"/>
      <c r="S444" s="391"/>
      <c r="T444" s="391"/>
      <c r="U444" s="391"/>
      <c r="V444" s="391"/>
      <c r="W444" s="391"/>
      <c r="X444" s="391"/>
      <c r="Y444" s="391"/>
      <c r="Z444" s="391"/>
      <c r="AA444" s="391"/>
      <c r="AB444" s="391"/>
      <c r="AC444" s="391"/>
      <c r="AD444" s="391"/>
      <c r="AE444" s="391"/>
      <c r="AF444" s="391"/>
      <c r="AG444" s="391"/>
      <c r="AH444" s="392"/>
      <c r="AI444" s="391"/>
      <c r="AJ444" s="391"/>
    </row>
    <row r="445" spans="1:36" ht="13.5" x14ac:dyDescent="0.25">
      <c r="A445" s="391"/>
      <c r="B445" s="391"/>
      <c r="C445" s="391"/>
      <c r="D445" s="391"/>
      <c r="E445" s="391"/>
      <c r="F445" s="391"/>
      <c r="G445" s="391"/>
      <c r="H445" s="391"/>
      <c r="I445" s="391"/>
      <c r="J445" s="391"/>
      <c r="K445" s="391"/>
      <c r="L445" s="391"/>
      <c r="M445" s="391"/>
      <c r="N445" s="391"/>
      <c r="O445" s="391"/>
      <c r="P445" s="391"/>
      <c r="Q445" s="391"/>
      <c r="R445" s="391"/>
      <c r="S445" s="391"/>
      <c r="T445" s="391"/>
      <c r="U445" s="391"/>
      <c r="V445" s="391"/>
      <c r="W445" s="391"/>
      <c r="X445" s="391"/>
      <c r="Y445" s="391"/>
      <c r="Z445" s="391"/>
      <c r="AA445" s="391"/>
      <c r="AB445" s="391"/>
      <c r="AC445" s="391"/>
      <c r="AD445" s="391"/>
      <c r="AE445" s="391"/>
      <c r="AF445" s="391"/>
      <c r="AG445" s="391"/>
      <c r="AH445" s="392"/>
      <c r="AI445" s="391"/>
      <c r="AJ445" s="391"/>
    </row>
    <row r="446" spans="1:36" ht="13.5" x14ac:dyDescent="0.25">
      <c r="A446" s="391"/>
      <c r="B446" s="391"/>
      <c r="C446" s="391"/>
      <c r="D446" s="391"/>
      <c r="E446" s="391"/>
      <c r="F446" s="391"/>
      <c r="G446" s="391"/>
      <c r="H446" s="391"/>
      <c r="I446" s="391"/>
      <c r="J446" s="391"/>
      <c r="K446" s="391"/>
      <c r="L446" s="391"/>
      <c r="M446" s="391"/>
      <c r="N446" s="391"/>
      <c r="O446" s="391"/>
      <c r="P446" s="391"/>
      <c r="Q446" s="391"/>
      <c r="R446" s="391"/>
      <c r="S446" s="391"/>
      <c r="T446" s="391"/>
      <c r="U446" s="391"/>
      <c r="V446" s="391"/>
      <c r="W446" s="391"/>
      <c r="X446" s="391"/>
      <c r="Y446" s="391"/>
      <c r="Z446" s="391"/>
      <c r="AA446" s="391"/>
      <c r="AB446" s="391"/>
      <c r="AC446" s="391"/>
      <c r="AD446" s="391"/>
      <c r="AE446" s="391"/>
      <c r="AF446" s="391"/>
      <c r="AG446" s="391"/>
      <c r="AH446" s="392"/>
      <c r="AI446" s="391"/>
      <c r="AJ446" s="391"/>
    </row>
    <row r="447" spans="1:36" ht="13.5" x14ac:dyDescent="0.25">
      <c r="A447" s="391"/>
      <c r="B447" s="391"/>
      <c r="C447" s="391"/>
      <c r="D447" s="391"/>
      <c r="E447" s="391"/>
      <c r="F447" s="391"/>
      <c r="G447" s="391"/>
      <c r="H447" s="391"/>
      <c r="I447" s="391"/>
      <c r="J447" s="391"/>
      <c r="K447" s="391"/>
      <c r="L447" s="391"/>
      <c r="M447" s="391"/>
      <c r="N447" s="391"/>
      <c r="O447" s="391"/>
      <c r="P447" s="391"/>
      <c r="Q447" s="391"/>
      <c r="R447" s="391"/>
      <c r="S447" s="391"/>
      <c r="T447" s="391"/>
      <c r="U447" s="391"/>
      <c r="V447" s="391"/>
      <c r="W447" s="391"/>
      <c r="X447" s="391"/>
      <c r="Y447" s="391"/>
      <c r="Z447" s="391"/>
      <c r="AA447" s="391"/>
      <c r="AB447" s="391"/>
      <c r="AC447" s="391"/>
      <c r="AD447" s="391"/>
      <c r="AE447" s="391"/>
      <c r="AF447" s="391"/>
      <c r="AG447" s="391"/>
      <c r="AH447" s="392"/>
      <c r="AI447" s="391"/>
      <c r="AJ447" s="391"/>
    </row>
    <row r="448" spans="1:36" ht="13.5" x14ac:dyDescent="0.25">
      <c r="A448" s="391"/>
      <c r="B448" s="391"/>
      <c r="C448" s="391"/>
      <c r="D448" s="391"/>
      <c r="E448" s="391"/>
      <c r="F448" s="391"/>
      <c r="G448" s="391"/>
      <c r="H448" s="391"/>
      <c r="I448" s="391"/>
      <c r="J448" s="391"/>
      <c r="K448" s="391"/>
      <c r="L448" s="391"/>
      <c r="M448" s="391"/>
      <c r="N448" s="391"/>
      <c r="O448" s="391"/>
      <c r="P448" s="391"/>
      <c r="Q448" s="391"/>
      <c r="R448" s="391"/>
      <c r="S448" s="391"/>
      <c r="T448" s="391"/>
      <c r="U448" s="391"/>
      <c r="V448" s="391"/>
      <c r="W448" s="391"/>
      <c r="X448" s="391"/>
      <c r="Y448" s="391"/>
      <c r="Z448" s="391"/>
      <c r="AA448" s="391"/>
      <c r="AB448" s="391"/>
      <c r="AC448" s="391"/>
      <c r="AD448" s="391"/>
      <c r="AE448" s="391"/>
      <c r="AF448" s="391"/>
      <c r="AG448" s="391"/>
      <c r="AH448" s="392"/>
      <c r="AI448" s="391"/>
      <c r="AJ448" s="391"/>
    </row>
    <row r="449" spans="1:36" ht="13.5" x14ac:dyDescent="0.25">
      <c r="A449" s="391"/>
      <c r="B449" s="391"/>
      <c r="C449" s="391"/>
      <c r="D449" s="391"/>
      <c r="E449" s="391"/>
      <c r="F449" s="391"/>
      <c r="G449" s="391"/>
      <c r="H449" s="391"/>
      <c r="I449" s="391"/>
      <c r="J449" s="391"/>
      <c r="K449" s="391"/>
      <c r="L449" s="391"/>
      <c r="M449" s="391"/>
      <c r="N449" s="391"/>
      <c r="O449" s="391"/>
      <c r="P449" s="391"/>
      <c r="Q449" s="391"/>
      <c r="R449" s="391"/>
      <c r="S449" s="391"/>
      <c r="T449" s="391"/>
      <c r="U449" s="391"/>
      <c r="V449" s="391"/>
      <c r="W449" s="391"/>
      <c r="X449" s="391"/>
      <c r="Y449" s="391"/>
      <c r="Z449" s="391"/>
      <c r="AA449" s="391"/>
      <c r="AB449" s="391"/>
      <c r="AC449" s="391"/>
      <c r="AD449" s="391"/>
      <c r="AE449" s="391"/>
      <c r="AF449" s="391"/>
      <c r="AG449" s="391"/>
      <c r="AH449" s="392"/>
      <c r="AI449" s="391"/>
      <c r="AJ449" s="391"/>
    </row>
    <row r="450" spans="1:36" ht="13.5" x14ac:dyDescent="0.25">
      <c r="A450" s="391"/>
      <c r="B450" s="391"/>
      <c r="C450" s="391"/>
      <c r="D450" s="391"/>
      <c r="E450" s="391"/>
      <c r="F450" s="391"/>
      <c r="G450" s="391"/>
      <c r="H450" s="391"/>
      <c r="I450" s="391"/>
      <c r="J450" s="391"/>
      <c r="K450" s="391"/>
      <c r="L450" s="391"/>
      <c r="M450" s="391"/>
      <c r="N450" s="391"/>
      <c r="O450" s="391"/>
      <c r="P450" s="391"/>
      <c r="Q450" s="391"/>
      <c r="R450" s="391"/>
      <c r="S450" s="391"/>
      <c r="T450" s="391"/>
      <c r="U450" s="391"/>
      <c r="V450" s="391"/>
      <c r="W450" s="391"/>
      <c r="X450" s="391"/>
      <c r="Y450" s="391"/>
      <c r="Z450" s="391"/>
      <c r="AA450" s="391"/>
      <c r="AB450" s="391"/>
      <c r="AC450" s="391"/>
      <c r="AD450" s="391"/>
      <c r="AE450" s="391"/>
      <c r="AF450" s="391"/>
      <c r="AG450" s="391"/>
      <c r="AH450" s="392"/>
      <c r="AI450" s="391"/>
      <c r="AJ450" s="391"/>
    </row>
    <row r="451" spans="1:36" ht="13.5" x14ac:dyDescent="0.25">
      <c r="A451" s="391"/>
      <c r="B451" s="391"/>
      <c r="C451" s="391"/>
      <c r="D451" s="391"/>
      <c r="E451" s="391"/>
      <c r="F451" s="391"/>
      <c r="G451" s="391"/>
      <c r="H451" s="391"/>
      <c r="I451" s="391"/>
      <c r="J451" s="391"/>
      <c r="K451" s="391"/>
      <c r="L451" s="391"/>
      <c r="M451" s="391"/>
      <c r="N451" s="391"/>
      <c r="O451" s="391"/>
      <c r="P451" s="391"/>
      <c r="Q451" s="391"/>
      <c r="R451" s="391"/>
      <c r="S451" s="391"/>
      <c r="T451" s="391"/>
      <c r="U451" s="391"/>
      <c r="V451" s="391"/>
      <c r="W451" s="391"/>
      <c r="X451" s="391"/>
      <c r="Y451" s="391"/>
      <c r="Z451" s="391"/>
      <c r="AA451" s="391"/>
      <c r="AB451" s="391"/>
      <c r="AC451" s="391"/>
      <c r="AD451" s="391"/>
      <c r="AE451" s="391"/>
      <c r="AF451" s="391"/>
      <c r="AG451" s="391"/>
      <c r="AH451" s="392"/>
      <c r="AI451" s="391"/>
      <c r="AJ451" s="391"/>
    </row>
    <row r="452" spans="1:36" ht="13.5" x14ac:dyDescent="0.25">
      <c r="A452" s="391"/>
      <c r="B452" s="391"/>
      <c r="C452" s="391"/>
      <c r="D452" s="391"/>
      <c r="E452" s="391"/>
      <c r="F452" s="391"/>
      <c r="G452" s="391"/>
      <c r="H452" s="391"/>
      <c r="I452" s="391"/>
      <c r="J452" s="391"/>
      <c r="K452" s="391"/>
      <c r="L452" s="391"/>
      <c r="M452" s="391"/>
      <c r="N452" s="391"/>
      <c r="O452" s="391"/>
      <c r="P452" s="391"/>
      <c r="Q452" s="391"/>
      <c r="R452" s="391"/>
      <c r="S452" s="391"/>
      <c r="T452" s="391"/>
      <c r="U452" s="391"/>
      <c r="V452" s="391"/>
      <c r="W452" s="391"/>
      <c r="X452" s="391"/>
      <c r="Y452" s="391"/>
      <c r="Z452" s="391"/>
      <c r="AA452" s="391"/>
      <c r="AB452" s="391"/>
      <c r="AC452" s="391"/>
      <c r="AD452" s="391"/>
      <c r="AE452" s="391"/>
      <c r="AF452" s="391"/>
      <c r="AG452" s="391"/>
      <c r="AH452" s="392"/>
      <c r="AI452" s="391"/>
      <c r="AJ452" s="391"/>
    </row>
    <row r="453" spans="1:36" ht="13.5" x14ac:dyDescent="0.25">
      <c r="A453" s="391"/>
      <c r="B453" s="391"/>
      <c r="C453" s="391"/>
      <c r="D453" s="391"/>
      <c r="E453" s="391"/>
      <c r="F453" s="391"/>
      <c r="G453" s="391"/>
      <c r="H453" s="391"/>
      <c r="I453" s="391"/>
      <c r="J453" s="391"/>
      <c r="K453" s="391"/>
      <c r="L453" s="391"/>
      <c r="M453" s="391"/>
      <c r="N453" s="391"/>
      <c r="O453" s="391"/>
      <c r="P453" s="391"/>
      <c r="Q453" s="391"/>
      <c r="R453" s="391"/>
      <c r="S453" s="391"/>
      <c r="T453" s="391"/>
      <c r="U453" s="391"/>
      <c r="V453" s="391"/>
      <c r="W453" s="391"/>
      <c r="X453" s="391"/>
      <c r="Y453" s="391"/>
      <c r="Z453" s="391"/>
      <c r="AA453" s="391"/>
      <c r="AB453" s="391"/>
      <c r="AC453" s="391"/>
      <c r="AD453" s="391"/>
      <c r="AE453" s="391"/>
      <c r="AF453" s="391"/>
      <c r="AG453" s="391"/>
      <c r="AH453" s="392"/>
      <c r="AI453" s="391"/>
      <c r="AJ453" s="391"/>
    </row>
    <row r="454" spans="1:36" ht="13.5" x14ac:dyDescent="0.25">
      <c r="A454" s="391"/>
      <c r="B454" s="391"/>
      <c r="C454" s="391"/>
      <c r="D454" s="391"/>
      <c r="E454" s="391"/>
      <c r="F454" s="391"/>
      <c r="G454" s="391"/>
      <c r="H454" s="391"/>
      <c r="I454" s="391"/>
      <c r="J454" s="391"/>
      <c r="K454" s="391"/>
      <c r="L454" s="391"/>
      <c r="M454" s="391"/>
      <c r="N454" s="391"/>
      <c r="O454" s="391"/>
      <c r="P454" s="391"/>
      <c r="Q454" s="391"/>
      <c r="R454" s="391"/>
      <c r="S454" s="391"/>
      <c r="T454" s="391"/>
      <c r="U454" s="391"/>
      <c r="V454" s="391"/>
      <c r="W454" s="391"/>
      <c r="X454" s="391"/>
      <c r="Y454" s="391"/>
      <c r="Z454" s="391"/>
      <c r="AA454" s="391"/>
      <c r="AB454" s="391"/>
      <c r="AC454" s="391"/>
      <c r="AD454" s="391"/>
      <c r="AE454" s="391"/>
      <c r="AF454" s="391"/>
      <c r="AG454" s="391"/>
      <c r="AH454" s="392"/>
      <c r="AI454" s="391"/>
      <c r="AJ454" s="391"/>
    </row>
    <row r="455" spans="1:36" ht="13.5" x14ac:dyDescent="0.25">
      <c r="A455" s="391"/>
      <c r="B455" s="391"/>
      <c r="C455" s="391"/>
      <c r="D455" s="391"/>
      <c r="E455" s="391"/>
      <c r="F455" s="391"/>
      <c r="G455" s="391"/>
      <c r="H455" s="391"/>
      <c r="I455" s="391"/>
      <c r="J455" s="391"/>
      <c r="K455" s="391"/>
      <c r="L455" s="391"/>
      <c r="M455" s="391"/>
      <c r="N455" s="391"/>
      <c r="O455" s="391"/>
      <c r="P455" s="391"/>
      <c r="Q455" s="391"/>
      <c r="R455" s="391"/>
      <c r="S455" s="391"/>
      <c r="T455" s="391"/>
      <c r="U455" s="391"/>
      <c r="V455" s="391"/>
      <c r="W455" s="391"/>
      <c r="X455" s="391"/>
      <c r="Y455" s="391"/>
      <c r="Z455" s="391"/>
      <c r="AA455" s="391"/>
      <c r="AB455" s="391"/>
      <c r="AC455" s="391"/>
      <c r="AD455" s="391"/>
      <c r="AE455" s="391"/>
      <c r="AF455" s="391"/>
      <c r="AG455" s="391"/>
      <c r="AH455" s="392"/>
      <c r="AI455" s="391"/>
      <c r="AJ455" s="391"/>
    </row>
    <row r="456" spans="1:36" ht="13.5" x14ac:dyDescent="0.25">
      <c r="A456" s="391"/>
      <c r="B456" s="391"/>
      <c r="C456" s="391"/>
      <c r="D456" s="391"/>
      <c r="E456" s="391"/>
      <c r="F456" s="391"/>
      <c r="G456" s="391"/>
      <c r="H456" s="391"/>
      <c r="I456" s="391"/>
      <c r="J456" s="391"/>
      <c r="K456" s="391"/>
      <c r="L456" s="391"/>
      <c r="M456" s="391"/>
      <c r="N456" s="391"/>
      <c r="O456" s="391"/>
      <c r="P456" s="391"/>
      <c r="Q456" s="391"/>
      <c r="R456" s="391"/>
      <c r="S456" s="391"/>
      <c r="T456" s="391"/>
      <c r="U456" s="391"/>
      <c r="V456" s="391"/>
      <c r="W456" s="391"/>
      <c r="X456" s="391"/>
      <c r="Y456" s="391"/>
      <c r="Z456" s="391"/>
      <c r="AA456" s="391"/>
      <c r="AB456" s="391"/>
      <c r="AC456" s="391"/>
      <c r="AD456" s="391"/>
      <c r="AE456" s="391"/>
      <c r="AF456" s="391"/>
      <c r="AG456" s="391"/>
      <c r="AH456" s="392"/>
      <c r="AI456" s="391"/>
      <c r="AJ456" s="391"/>
    </row>
    <row r="457" spans="1:36" ht="13.5" x14ac:dyDescent="0.25">
      <c r="A457" s="391"/>
      <c r="B457" s="391"/>
      <c r="C457" s="391"/>
      <c r="D457" s="391"/>
      <c r="E457" s="391"/>
      <c r="F457" s="391"/>
      <c r="G457" s="391"/>
      <c r="H457" s="391"/>
      <c r="I457" s="391"/>
      <c r="J457" s="391"/>
      <c r="K457" s="391"/>
      <c r="L457" s="391"/>
      <c r="M457" s="391"/>
      <c r="N457" s="391"/>
      <c r="O457" s="391"/>
      <c r="P457" s="391"/>
      <c r="Q457" s="391"/>
      <c r="R457" s="391"/>
      <c r="S457" s="391"/>
      <c r="T457" s="391"/>
      <c r="U457" s="391"/>
      <c r="V457" s="391"/>
      <c r="W457" s="391"/>
      <c r="X457" s="391"/>
      <c r="Y457" s="391"/>
      <c r="Z457" s="391"/>
      <c r="AA457" s="391"/>
      <c r="AB457" s="391"/>
      <c r="AC457" s="391"/>
      <c r="AD457" s="391"/>
      <c r="AE457" s="391"/>
      <c r="AF457" s="391"/>
      <c r="AG457" s="391"/>
      <c r="AH457" s="392"/>
      <c r="AI457" s="391"/>
      <c r="AJ457" s="391"/>
    </row>
    <row r="458" spans="1:36" ht="13.5" x14ac:dyDescent="0.25">
      <c r="A458" s="391"/>
      <c r="B458" s="391"/>
      <c r="C458" s="391"/>
      <c r="D458" s="391"/>
      <c r="E458" s="391"/>
      <c r="F458" s="391"/>
      <c r="G458" s="391"/>
      <c r="H458" s="391"/>
      <c r="I458" s="391"/>
      <c r="J458" s="391"/>
      <c r="K458" s="391"/>
      <c r="L458" s="391"/>
      <c r="M458" s="391"/>
      <c r="N458" s="391"/>
      <c r="O458" s="391"/>
      <c r="P458" s="391"/>
      <c r="Q458" s="391"/>
      <c r="R458" s="391"/>
      <c r="S458" s="391"/>
      <c r="T458" s="391"/>
      <c r="U458" s="391"/>
      <c r="V458" s="391"/>
      <c r="W458" s="391"/>
      <c r="X458" s="391"/>
      <c r="Y458" s="391"/>
      <c r="Z458" s="391"/>
      <c r="AA458" s="391"/>
      <c r="AB458" s="391"/>
      <c r="AC458" s="391"/>
      <c r="AD458" s="391"/>
      <c r="AE458" s="391"/>
      <c r="AF458" s="391"/>
      <c r="AG458" s="391"/>
      <c r="AH458" s="392"/>
      <c r="AI458" s="391"/>
      <c r="AJ458" s="391"/>
    </row>
    <row r="459" spans="1:36" ht="13.5" x14ac:dyDescent="0.25">
      <c r="A459" s="391"/>
      <c r="B459" s="391"/>
      <c r="C459" s="391"/>
      <c r="D459" s="391"/>
      <c r="E459" s="391"/>
      <c r="F459" s="391"/>
      <c r="G459" s="391"/>
      <c r="H459" s="391"/>
      <c r="I459" s="391"/>
      <c r="J459" s="391"/>
      <c r="K459" s="391"/>
      <c r="L459" s="391"/>
      <c r="M459" s="391"/>
      <c r="N459" s="391"/>
      <c r="O459" s="391"/>
      <c r="P459" s="391"/>
      <c r="Q459" s="391"/>
      <c r="R459" s="391"/>
      <c r="S459" s="391"/>
      <c r="T459" s="391"/>
      <c r="U459" s="391"/>
      <c r="V459" s="391"/>
      <c r="W459" s="391"/>
      <c r="X459" s="391"/>
      <c r="Y459" s="391"/>
      <c r="Z459" s="391"/>
      <c r="AA459" s="391"/>
      <c r="AB459" s="391"/>
      <c r="AC459" s="391"/>
      <c r="AD459" s="391"/>
      <c r="AE459" s="391"/>
      <c r="AF459" s="391"/>
      <c r="AG459" s="391"/>
      <c r="AH459" s="392"/>
      <c r="AI459" s="391"/>
      <c r="AJ459" s="391"/>
    </row>
    <row r="460" spans="1:36" ht="13.5" x14ac:dyDescent="0.25">
      <c r="A460" s="391"/>
      <c r="B460" s="391"/>
      <c r="C460" s="391"/>
      <c r="D460" s="391"/>
      <c r="E460" s="391"/>
      <c r="F460" s="391"/>
      <c r="G460" s="391"/>
      <c r="H460" s="391"/>
      <c r="I460" s="391"/>
      <c r="J460" s="391"/>
      <c r="K460" s="391"/>
      <c r="L460" s="391"/>
      <c r="M460" s="391"/>
      <c r="N460" s="391"/>
      <c r="O460" s="391"/>
      <c r="P460" s="391"/>
      <c r="Q460" s="391"/>
      <c r="R460" s="391"/>
      <c r="S460" s="391"/>
      <c r="T460" s="391"/>
      <c r="U460" s="391"/>
      <c r="V460" s="391"/>
      <c r="W460" s="391"/>
      <c r="X460" s="391"/>
      <c r="Y460" s="391"/>
      <c r="Z460" s="391"/>
      <c r="AA460" s="391"/>
      <c r="AB460" s="391"/>
      <c r="AC460" s="391"/>
      <c r="AD460" s="391"/>
      <c r="AE460" s="391"/>
      <c r="AF460" s="391"/>
      <c r="AG460" s="391"/>
      <c r="AH460" s="392"/>
      <c r="AI460" s="391"/>
      <c r="AJ460" s="391"/>
    </row>
    <row r="461" spans="1:36" ht="13.5" x14ac:dyDescent="0.25">
      <c r="A461" s="391"/>
      <c r="B461" s="391"/>
      <c r="C461" s="391"/>
      <c r="D461" s="391"/>
      <c r="E461" s="391"/>
      <c r="F461" s="391"/>
      <c r="G461" s="391"/>
      <c r="H461" s="391"/>
      <c r="I461" s="391"/>
      <c r="J461" s="391"/>
      <c r="K461" s="391"/>
      <c r="L461" s="391"/>
      <c r="M461" s="391"/>
      <c r="N461" s="391"/>
      <c r="O461" s="391"/>
      <c r="P461" s="391"/>
      <c r="Q461" s="391"/>
      <c r="R461" s="391"/>
      <c r="S461" s="391"/>
      <c r="T461" s="391"/>
      <c r="U461" s="391"/>
      <c r="V461" s="391"/>
      <c r="W461" s="391"/>
      <c r="X461" s="391"/>
      <c r="Y461" s="391"/>
      <c r="Z461" s="391"/>
      <c r="AA461" s="391"/>
      <c r="AB461" s="391"/>
      <c r="AC461" s="391"/>
      <c r="AD461" s="391"/>
      <c r="AE461" s="391"/>
      <c r="AF461" s="391"/>
      <c r="AG461" s="391"/>
      <c r="AH461" s="392"/>
      <c r="AI461" s="391"/>
      <c r="AJ461" s="391"/>
    </row>
    <row r="462" spans="1:36" ht="13.5" x14ac:dyDescent="0.25">
      <c r="A462" s="391"/>
      <c r="B462" s="391"/>
      <c r="C462" s="391"/>
      <c r="D462" s="391"/>
      <c r="E462" s="391"/>
      <c r="F462" s="391"/>
      <c r="G462" s="391"/>
      <c r="H462" s="391"/>
      <c r="I462" s="391"/>
      <c r="J462" s="391"/>
      <c r="K462" s="391"/>
      <c r="L462" s="391"/>
      <c r="M462" s="391"/>
      <c r="N462" s="391"/>
      <c r="O462" s="391"/>
      <c r="P462" s="391"/>
      <c r="Q462" s="391"/>
      <c r="R462" s="391"/>
      <c r="S462" s="391"/>
      <c r="T462" s="391"/>
      <c r="U462" s="391"/>
      <c r="V462" s="391"/>
      <c r="W462" s="391"/>
      <c r="X462" s="391"/>
      <c r="Y462" s="391"/>
      <c r="Z462" s="391"/>
      <c r="AA462" s="391"/>
      <c r="AB462" s="391"/>
      <c r="AC462" s="391"/>
      <c r="AD462" s="391"/>
      <c r="AE462" s="391"/>
      <c r="AF462" s="391"/>
      <c r="AG462" s="391"/>
      <c r="AH462" s="392"/>
      <c r="AI462" s="391"/>
      <c r="AJ462" s="391"/>
    </row>
    <row r="463" spans="1:36" ht="13.5" x14ac:dyDescent="0.25">
      <c r="A463" s="391"/>
      <c r="B463" s="391"/>
      <c r="C463" s="391"/>
      <c r="D463" s="391"/>
      <c r="E463" s="391"/>
      <c r="F463" s="391"/>
      <c r="G463" s="391"/>
      <c r="H463" s="391"/>
      <c r="I463" s="391"/>
      <c r="J463" s="391"/>
      <c r="K463" s="391"/>
      <c r="L463" s="391"/>
      <c r="M463" s="391"/>
      <c r="N463" s="391"/>
      <c r="O463" s="391"/>
      <c r="P463" s="391"/>
      <c r="Q463" s="391"/>
      <c r="R463" s="391"/>
      <c r="S463" s="391"/>
      <c r="T463" s="391"/>
      <c r="U463" s="391"/>
      <c r="V463" s="391"/>
      <c r="W463" s="391"/>
      <c r="X463" s="391"/>
      <c r="Y463" s="391"/>
      <c r="Z463" s="391"/>
      <c r="AA463" s="391"/>
      <c r="AB463" s="391"/>
      <c r="AC463" s="391"/>
      <c r="AD463" s="391"/>
      <c r="AE463" s="391"/>
      <c r="AF463" s="391"/>
      <c r="AG463" s="391"/>
      <c r="AH463" s="392"/>
      <c r="AI463" s="391"/>
      <c r="AJ463" s="391"/>
    </row>
    <row r="464" spans="1:36" ht="13.5" x14ac:dyDescent="0.25">
      <c r="A464" s="391"/>
      <c r="B464" s="391"/>
      <c r="C464" s="391"/>
      <c r="D464" s="391"/>
      <c r="E464" s="391"/>
      <c r="F464" s="391"/>
      <c r="G464" s="391"/>
      <c r="H464" s="391"/>
      <c r="I464" s="391"/>
      <c r="J464" s="391"/>
      <c r="K464" s="391"/>
      <c r="L464" s="391"/>
      <c r="M464" s="391"/>
      <c r="N464" s="391"/>
      <c r="O464" s="391"/>
      <c r="P464" s="391"/>
      <c r="Q464" s="391"/>
      <c r="R464" s="391"/>
      <c r="S464" s="391"/>
      <c r="T464" s="391"/>
      <c r="U464" s="391"/>
      <c r="V464" s="391"/>
      <c r="W464" s="391"/>
      <c r="X464" s="391"/>
      <c r="Y464" s="391"/>
      <c r="Z464" s="391"/>
      <c r="AA464" s="391"/>
      <c r="AB464" s="391"/>
      <c r="AC464" s="391"/>
      <c r="AD464" s="391"/>
      <c r="AE464" s="391"/>
      <c r="AF464" s="391"/>
      <c r="AG464" s="391"/>
      <c r="AH464" s="392"/>
      <c r="AI464" s="391"/>
      <c r="AJ464" s="391"/>
    </row>
    <row r="465" spans="1:36" ht="13.5" x14ac:dyDescent="0.25">
      <c r="A465" s="391"/>
      <c r="B465" s="391"/>
      <c r="C465" s="391"/>
      <c r="D465" s="391"/>
      <c r="E465" s="391"/>
      <c r="F465" s="391"/>
      <c r="G465" s="391"/>
      <c r="H465" s="391"/>
      <c r="I465" s="391"/>
      <c r="J465" s="391"/>
      <c r="K465" s="391"/>
      <c r="L465" s="391"/>
      <c r="M465" s="391"/>
      <c r="N465" s="391"/>
      <c r="O465" s="391"/>
      <c r="P465" s="391"/>
      <c r="Q465" s="391"/>
      <c r="R465" s="391"/>
      <c r="S465" s="391"/>
      <c r="T465" s="391"/>
      <c r="U465" s="391"/>
      <c r="V465" s="391"/>
      <c r="W465" s="391"/>
      <c r="X465" s="391"/>
      <c r="Y465" s="391"/>
      <c r="Z465" s="391"/>
      <c r="AA465" s="391"/>
      <c r="AB465" s="391"/>
      <c r="AC465" s="391"/>
      <c r="AD465" s="391"/>
      <c r="AE465" s="391"/>
      <c r="AF465" s="391"/>
      <c r="AG465" s="391"/>
      <c r="AH465" s="392"/>
      <c r="AI465" s="391"/>
      <c r="AJ465" s="391"/>
    </row>
    <row r="466" spans="1:36" ht="13.5" x14ac:dyDescent="0.25">
      <c r="A466" s="391"/>
      <c r="B466" s="391"/>
      <c r="C466" s="391"/>
      <c r="D466" s="391"/>
      <c r="E466" s="391"/>
      <c r="F466" s="391"/>
      <c r="G466" s="391"/>
      <c r="H466" s="391"/>
      <c r="I466" s="391"/>
      <c r="J466" s="391"/>
      <c r="K466" s="391"/>
      <c r="L466" s="391"/>
      <c r="M466" s="391"/>
      <c r="N466" s="391"/>
      <c r="O466" s="391"/>
      <c r="P466" s="391"/>
      <c r="Q466" s="391"/>
      <c r="R466" s="391"/>
      <c r="S466" s="391"/>
      <c r="T466" s="391"/>
      <c r="U466" s="391"/>
      <c r="V466" s="391"/>
      <c r="W466" s="391"/>
      <c r="X466" s="391"/>
      <c r="Y466" s="391"/>
      <c r="Z466" s="391"/>
      <c r="AA466" s="391"/>
      <c r="AB466" s="391"/>
      <c r="AC466" s="391"/>
      <c r="AD466" s="391"/>
      <c r="AE466" s="391"/>
      <c r="AF466" s="391"/>
      <c r="AG466" s="391"/>
      <c r="AH466" s="392"/>
      <c r="AI466" s="391"/>
      <c r="AJ466" s="391"/>
    </row>
    <row r="467" spans="1:36" ht="13.5" x14ac:dyDescent="0.25">
      <c r="A467" s="391"/>
      <c r="B467" s="391"/>
      <c r="C467" s="391"/>
      <c r="D467" s="391"/>
      <c r="E467" s="391"/>
      <c r="F467" s="391"/>
      <c r="G467" s="391"/>
      <c r="H467" s="391"/>
      <c r="I467" s="391"/>
      <c r="J467" s="391"/>
      <c r="K467" s="391"/>
      <c r="L467" s="391"/>
      <c r="M467" s="391"/>
      <c r="N467" s="391"/>
      <c r="O467" s="391"/>
      <c r="P467" s="391"/>
      <c r="Q467" s="391"/>
      <c r="R467" s="391"/>
      <c r="S467" s="391"/>
      <c r="T467" s="391"/>
      <c r="U467" s="391"/>
      <c r="V467" s="391"/>
      <c r="W467" s="391"/>
      <c r="X467" s="391"/>
      <c r="Y467" s="391"/>
      <c r="Z467" s="391"/>
      <c r="AA467" s="391"/>
      <c r="AB467" s="391"/>
      <c r="AC467" s="391"/>
      <c r="AD467" s="391"/>
      <c r="AE467" s="391"/>
      <c r="AF467" s="391"/>
      <c r="AG467" s="391"/>
      <c r="AH467" s="392"/>
      <c r="AI467" s="391"/>
      <c r="AJ467" s="391"/>
    </row>
    <row r="468" spans="1:36" ht="13.5" x14ac:dyDescent="0.25">
      <c r="A468" s="391"/>
      <c r="B468" s="391"/>
      <c r="C468" s="391"/>
      <c r="D468" s="391"/>
      <c r="E468" s="391"/>
      <c r="F468" s="391"/>
      <c r="G468" s="391"/>
      <c r="H468" s="391"/>
      <c r="I468" s="391"/>
      <c r="J468" s="391"/>
      <c r="K468" s="391"/>
      <c r="L468" s="391"/>
      <c r="M468" s="391"/>
      <c r="N468" s="391"/>
      <c r="O468" s="391"/>
      <c r="P468" s="391"/>
      <c r="Q468" s="391"/>
      <c r="R468" s="391"/>
      <c r="S468" s="391"/>
      <c r="T468" s="391"/>
      <c r="U468" s="391"/>
      <c r="V468" s="391"/>
      <c r="W468" s="391"/>
      <c r="X468" s="391"/>
      <c r="Y468" s="391"/>
      <c r="Z468" s="391"/>
      <c r="AA468" s="391"/>
      <c r="AB468" s="391"/>
      <c r="AC468" s="391"/>
      <c r="AD468" s="391"/>
      <c r="AE468" s="391"/>
      <c r="AF468" s="391"/>
      <c r="AG468" s="391"/>
      <c r="AH468" s="392"/>
      <c r="AI468" s="391"/>
      <c r="AJ468" s="391"/>
    </row>
    <row r="469" spans="1:36" ht="13.5" x14ac:dyDescent="0.25">
      <c r="A469" s="391"/>
      <c r="B469" s="391"/>
      <c r="C469" s="391"/>
      <c r="D469" s="391"/>
      <c r="E469" s="391"/>
      <c r="F469" s="391"/>
      <c r="G469" s="391"/>
      <c r="H469" s="391"/>
      <c r="I469" s="391"/>
      <c r="J469" s="391"/>
      <c r="K469" s="391"/>
      <c r="L469" s="391"/>
      <c r="M469" s="391"/>
      <c r="N469" s="391"/>
      <c r="O469" s="391"/>
      <c r="P469" s="391"/>
      <c r="Q469" s="391"/>
      <c r="R469" s="391"/>
      <c r="S469" s="391"/>
      <c r="T469" s="391"/>
      <c r="U469" s="391"/>
      <c r="V469" s="391"/>
      <c r="W469" s="391"/>
      <c r="X469" s="391"/>
      <c r="Y469" s="391"/>
      <c r="Z469" s="391"/>
      <c r="AA469" s="391"/>
      <c r="AB469" s="391"/>
      <c r="AC469" s="391"/>
      <c r="AD469" s="391"/>
      <c r="AE469" s="391"/>
      <c r="AF469" s="391"/>
      <c r="AG469" s="391"/>
      <c r="AH469" s="392"/>
      <c r="AI469" s="391"/>
      <c r="AJ469" s="391"/>
    </row>
    <row r="470" spans="1:36" ht="13.5" x14ac:dyDescent="0.25">
      <c r="A470" s="391"/>
      <c r="B470" s="391"/>
      <c r="C470" s="391"/>
      <c r="D470" s="391"/>
      <c r="E470" s="391"/>
      <c r="F470" s="391"/>
      <c r="G470" s="391"/>
      <c r="H470" s="391"/>
      <c r="I470" s="391"/>
      <c r="J470" s="391"/>
      <c r="K470" s="391"/>
      <c r="L470" s="391"/>
      <c r="M470" s="391"/>
      <c r="N470" s="391"/>
      <c r="O470" s="391"/>
      <c r="P470" s="391"/>
      <c r="Q470" s="391"/>
      <c r="R470" s="391"/>
      <c r="S470" s="391"/>
      <c r="T470" s="391"/>
      <c r="U470" s="391"/>
      <c r="V470" s="391"/>
      <c r="W470" s="391"/>
      <c r="X470" s="391"/>
      <c r="Y470" s="391"/>
      <c r="Z470" s="391"/>
      <c r="AA470" s="391"/>
      <c r="AB470" s="391"/>
      <c r="AC470" s="391"/>
      <c r="AD470" s="391"/>
      <c r="AE470" s="391"/>
      <c r="AF470" s="391"/>
      <c r="AG470" s="391"/>
      <c r="AH470" s="392"/>
      <c r="AI470" s="391"/>
      <c r="AJ470" s="391"/>
    </row>
    <row r="471" spans="1:36" ht="13.5" x14ac:dyDescent="0.25">
      <c r="A471" s="391"/>
      <c r="B471" s="391"/>
      <c r="C471" s="391"/>
      <c r="D471" s="391"/>
      <c r="E471" s="391"/>
      <c r="F471" s="391"/>
      <c r="G471" s="391"/>
      <c r="H471" s="391"/>
      <c r="I471" s="391"/>
      <c r="J471" s="391"/>
      <c r="K471" s="391"/>
      <c r="L471" s="391"/>
      <c r="M471" s="391"/>
      <c r="N471" s="391"/>
      <c r="O471" s="391"/>
      <c r="P471" s="391"/>
      <c r="Q471" s="391"/>
      <c r="R471" s="391"/>
      <c r="S471" s="391"/>
      <c r="T471" s="391"/>
      <c r="U471" s="391"/>
      <c r="V471" s="391"/>
      <c r="W471" s="391"/>
      <c r="X471" s="391"/>
      <c r="Y471" s="391"/>
      <c r="Z471" s="391"/>
      <c r="AA471" s="391"/>
      <c r="AB471" s="391"/>
      <c r="AC471" s="391"/>
      <c r="AD471" s="391"/>
      <c r="AE471" s="391"/>
      <c r="AF471" s="391"/>
      <c r="AG471" s="391"/>
      <c r="AH471" s="392"/>
      <c r="AI471" s="391"/>
      <c r="AJ471" s="391"/>
    </row>
    <row r="472" spans="1:36" ht="13.5" x14ac:dyDescent="0.25">
      <c r="A472" s="391"/>
      <c r="B472" s="391"/>
      <c r="C472" s="391"/>
      <c r="D472" s="391"/>
      <c r="E472" s="391"/>
      <c r="F472" s="391"/>
      <c r="G472" s="391"/>
      <c r="H472" s="391"/>
      <c r="I472" s="391"/>
      <c r="J472" s="391"/>
      <c r="K472" s="391"/>
      <c r="L472" s="391"/>
      <c r="M472" s="391"/>
      <c r="N472" s="391"/>
      <c r="O472" s="391"/>
      <c r="P472" s="391"/>
      <c r="Q472" s="391"/>
      <c r="R472" s="391"/>
      <c r="S472" s="391"/>
      <c r="T472" s="391"/>
      <c r="U472" s="391"/>
      <c r="V472" s="391"/>
      <c r="W472" s="391"/>
      <c r="X472" s="391"/>
      <c r="Y472" s="391"/>
      <c r="Z472" s="391"/>
      <c r="AA472" s="391"/>
      <c r="AB472" s="391"/>
      <c r="AC472" s="391"/>
      <c r="AD472" s="391"/>
      <c r="AE472" s="391"/>
      <c r="AF472" s="391"/>
      <c r="AG472" s="391"/>
      <c r="AH472" s="392"/>
      <c r="AI472" s="391"/>
      <c r="AJ472" s="391"/>
    </row>
    <row r="473" spans="1:36" ht="13.5" x14ac:dyDescent="0.25">
      <c r="A473" s="391"/>
      <c r="B473" s="391"/>
      <c r="C473" s="391"/>
      <c r="D473" s="391"/>
      <c r="E473" s="391"/>
      <c r="F473" s="391"/>
      <c r="G473" s="391"/>
      <c r="H473" s="391"/>
      <c r="I473" s="391"/>
      <c r="J473" s="391"/>
      <c r="K473" s="391"/>
      <c r="L473" s="391"/>
      <c r="M473" s="391"/>
      <c r="N473" s="391"/>
      <c r="O473" s="391"/>
      <c r="P473" s="391"/>
      <c r="Q473" s="391"/>
      <c r="R473" s="391"/>
      <c r="S473" s="391"/>
      <c r="T473" s="391"/>
      <c r="U473" s="391"/>
      <c r="V473" s="391"/>
      <c r="W473" s="391"/>
      <c r="X473" s="391"/>
      <c r="Y473" s="391"/>
      <c r="Z473" s="391"/>
      <c r="AA473" s="391"/>
      <c r="AB473" s="391"/>
      <c r="AC473" s="391"/>
      <c r="AD473" s="391"/>
      <c r="AE473" s="391"/>
      <c r="AF473" s="391"/>
      <c r="AG473" s="391"/>
      <c r="AH473" s="392"/>
      <c r="AI473" s="391"/>
      <c r="AJ473" s="391"/>
    </row>
    <row r="474" spans="1:36" ht="13.5" x14ac:dyDescent="0.25">
      <c r="A474" s="391"/>
      <c r="B474" s="391"/>
      <c r="C474" s="391"/>
      <c r="D474" s="391"/>
      <c r="E474" s="391"/>
      <c r="F474" s="391"/>
      <c r="G474" s="391"/>
      <c r="H474" s="391"/>
      <c r="I474" s="391"/>
      <c r="J474" s="391"/>
      <c r="K474" s="391"/>
      <c r="L474" s="391"/>
      <c r="M474" s="391"/>
      <c r="N474" s="391"/>
      <c r="O474" s="391"/>
      <c r="P474" s="391"/>
      <c r="Q474" s="391"/>
      <c r="R474" s="391"/>
      <c r="S474" s="391"/>
      <c r="T474" s="391"/>
      <c r="U474" s="391"/>
      <c r="V474" s="391"/>
      <c r="W474" s="391"/>
      <c r="X474" s="391"/>
      <c r="Y474" s="391"/>
      <c r="Z474" s="391"/>
      <c r="AA474" s="391"/>
      <c r="AB474" s="391"/>
      <c r="AC474" s="391"/>
      <c r="AD474" s="391"/>
      <c r="AE474" s="391"/>
      <c r="AF474" s="391"/>
      <c r="AG474" s="391"/>
      <c r="AH474" s="392"/>
      <c r="AI474" s="391"/>
      <c r="AJ474" s="391"/>
    </row>
    <row r="475" spans="1:36" ht="13.5" x14ac:dyDescent="0.25">
      <c r="A475" s="391"/>
      <c r="B475" s="391"/>
      <c r="C475" s="391"/>
      <c r="D475" s="391"/>
      <c r="E475" s="391"/>
      <c r="F475" s="391"/>
      <c r="G475" s="391"/>
      <c r="H475" s="391"/>
      <c r="I475" s="391"/>
      <c r="J475" s="391"/>
      <c r="K475" s="391"/>
      <c r="L475" s="391"/>
      <c r="M475" s="391"/>
      <c r="N475" s="391"/>
      <c r="O475" s="391"/>
      <c r="P475" s="391"/>
      <c r="Q475" s="391"/>
      <c r="R475" s="391"/>
      <c r="S475" s="391"/>
      <c r="T475" s="391"/>
      <c r="U475" s="391"/>
      <c r="V475" s="391"/>
      <c r="W475" s="391"/>
      <c r="X475" s="391"/>
      <c r="Y475" s="391"/>
      <c r="Z475" s="391"/>
      <c r="AA475" s="391"/>
      <c r="AB475" s="391"/>
      <c r="AC475" s="391"/>
      <c r="AD475" s="391"/>
      <c r="AE475" s="391"/>
      <c r="AF475" s="391"/>
      <c r="AG475" s="391"/>
      <c r="AH475" s="392"/>
      <c r="AI475" s="391"/>
      <c r="AJ475" s="391"/>
    </row>
    <row r="476" spans="1:36" ht="13.5" x14ac:dyDescent="0.25">
      <c r="A476" s="391"/>
      <c r="B476" s="391"/>
      <c r="C476" s="391"/>
      <c r="D476" s="391"/>
      <c r="E476" s="391"/>
      <c r="F476" s="391"/>
      <c r="G476" s="391"/>
      <c r="H476" s="391"/>
      <c r="I476" s="391"/>
      <c r="J476" s="391"/>
      <c r="K476" s="391"/>
      <c r="L476" s="391"/>
      <c r="M476" s="391"/>
      <c r="N476" s="391"/>
      <c r="O476" s="391"/>
      <c r="P476" s="391"/>
      <c r="Q476" s="391"/>
      <c r="R476" s="391"/>
      <c r="S476" s="391"/>
      <c r="T476" s="391"/>
      <c r="U476" s="391"/>
      <c r="V476" s="391"/>
      <c r="W476" s="391"/>
      <c r="X476" s="391"/>
      <c r="Y476" s="391"/>
      <c r="Z476" s="391"/>
      <c r="AA476" s="391"/>
      <c r="AB476" s="391"/>
      <c r="AC476" s="391"/>
      <c r="AD476" s="391"/>
      <c r="AE476" s="391"/>
      <c r="AF476" s="391"/>
      <c r="AG476" s="391"/>
      <c r="AH476" s="392"/>
      <c r="AI476" s="391"/>
      <c r="AJ476" s="391"/>
    </row>
    <row r="477" spans="1:36" ht="13.5" x14ac:dyDescent="0.25">
      <c r="A477" s="391"/>
      <c r="B477" s="391"/>
      <c r="C477" s="391"/>
      <c r="D477" s="391"/>
      <c r="E477" s="391"/>
      <c r="F477" s="391"/>
      <c r="G477" s="391"/>
      <c r="H477" s="391"/>
      <c r="I477" s="391"/>
      <c r="J477" s="391"/>
      <c r="K477" s="391"/>
      <c r="L477" s="391"/>
      <c r="M477" s="391"/>
      <c r="N477" s="391"/>
      <c r="O477" s="391"/>
      <c r="P477" s="391"/>
      <c r="Q477" s="391"/>
      <c r="R477" s="391"/>
      <c r="S477" s="391"/>
      <c r="T477" s="391"/>
      <c r="U477" s="391"/>
      <c r="V477" s="391"/>
      <c r="W477" s="391"/>
      <c r="X477" s="391"/>
      <c r="Y477" s="391"/>
      <c r="Z477" s="391"/>
      <c r="AA477" s="391"/>
      <c r="AB477" s="391"/>
      <c r="AC477" s="391"/>
      <c r="AD477" s="391"/>
      <c r="AE477" s="391"/>
      <c r="AF477" s="391"/>
      <c r="AG477" s="391"/>
      <c r="AH477" s="392"/>
      <c r="AI477" s="391"/>
      <c r="AJ477" s="391"/>
    </row>
    <row r="478" spans="1:36" ht="13.5" x14ac:dyDescent="0.25">
      <c r="A478" s="391"/>
      <c r="B478" s="391"/>
      <c r="C478" s="391"/>
      <c r="D478" s="391"/>
      <c r="E478" s="391"/>
      <c r="F478" s="391"/>
      <c r="G478" s="391"/>
      <c r="H478" s="391"/>
      <c r="I478" s="391"/>
      <c r="J478" s="391"/>
      <c r="K478" s="391"/>
      <c r="L478" s="391"/>
      <c r="M478" s="391"/>
      <c r="N478" s="391"/>
      <c r="O478" s="391"/>
      <c r="P478" s="391"/>
      <c r="Q478" s="391"/>
      <c r="R478" s="391"/>
      <c r="S478" s="391"/>
      <c r="T478" s="391"/>
      <c r="U478" s="391"/>
      <c r="V478" s="391"/>
      <c r="W478" s="391"/>
      <c r="X478" s="391"/>
      <c r="Y478" s="391"/>
      <c r="Z478" s="391"/>
      <c r="AA478" s="391"/>
      <c r="AB478" s="391"/>
      <c r="AC478" s="391"/>
      <c r="AD478" s="391"/>
      <c r="AE478" s="391"/>
      <c r="AF478" s="391"/>
      <c r="AG478" s="391"/>
      <c r="AH478" s="392"/>
      <c r="AI478" s="391"/>
      <c r="AJ478" s="391"/>
    </row>
    <row r="479" spans="1:36" ht="13.5" x14ac:dyDescent="0.25">
      <c r="A479" s="391"/>
      <c r="B479" s="391"/>
      <c r="C479" s="391"/>
      <c r="D479" s="391"/>
      <c r="E479" s="391"/>
      <c r="F479" s="391"/>
      <c r="G479" s="391"/>
      <c r="H479" s="391"/>
      <c r="I479" s="391"/>
      <c r="J479" s="391"/>
      <c r="K479" s="391"/>
      <c r="L479" s="391"/>
      <c r="M479" s="391"/>
      <c r="N479" s="391"/>
      <c r="O479" s="391"/>
      <c r="P479" s="391"/>
      <c r="Q479" s="391"/>
      <c r="R479" s="391"/>
      <c r="S479" s="391"/>
      <c r="T479" s="391"/>
      <c r="U479" s="391"/>
      <c r="V479" s="391"/>
      <c r="W479" s="391"/>
      <c r="X479" s="391"/>
      <c r="Y479" s="391"/>
      <c r="Z479" s="391"/>
      <c r="AA479" s="391"/>
      <c r="AB479" s="391"/>
      <c r="AC479" s="391"/>
      <c r="AD479" s="391"/>
      <c r="AE479" s="391"/>
      <c r="AF479" s="391"/>
      <c r="AG479" s="391"/>
      <c r="AH479" s="392"/>
      <c r="AI479" s="391"/>
      <c r="AJ479" s="391"/>
    </row>
    <row r="480" spans="1:36" ht="13.5" x14ac:dyDescent="0.25">
      <c r="A480" s="391"/>
      <c r="B480" s="391"/>
      <c r="C480" s="391"/>
      <c r="D480" s="391"/>
      <c r="E480" s="391"/>
      <c r="F480" s="391"/>
      <c r="G480" s="391"/>
      <c r="H480" s="391"/>
      <c r="I480" s="391"/>
      <c r="J480" s="391"/>
      <c r="K480" s="391"/>
      <c r="L480" s="391"/>
      <c r="M480" s="391"/>
      <c r="N480" s="391"/>
      <c r="O480" s="391"/>
      <c r="P480" s="391"/>
      <c r="Q480" s="391"/>
      <c r="R480" s="391"/>
      <c r="S480" s="391"/>
      <c r="T480" s="391"/>
      <c r="U480" s="391"/>
      <c r="V480" s="391"/>
      <c r="W480" s="391"/>
      <c r="X480" s="391"/>
      <c r="Y480" s="391"/>
      <c r="Z480" s="391"/>
      <c r="AA480" s="391"/>
      <c r="AB480" s="391"/>
      <c r="AC480" s="391"/>
      <c r="AD480" s="391"/>
      <c r="AE480" s="391"/>
      <c r="AF480" s="391"/>
      <c r="AG480" s="391"/>
      <c r="AH480" s="392"/>
      <c r="AI480" s="391"/>
      <c r="AJ480" s="391"/>
    </row>
    <row r="481" spans="1:36" ht="13.5" x14ac:dyDescent="0.25">
      <c r="A481" s="391"/>
      <c r="B481" s="391"/>
      <c r="C481" s="391"/>
      <c r="D481" s="391"/>
      <c r="E481" s="391"/>
      <c r="F481" s="391"/>
      <c r="G481" s="391"/>
      <c r="H481" s="391"/>
      <c r="I481" s="391"/>
      <c r="J481" s="391"/>
      <c r="K481" s="391"/>
      <c r="L481" s="391"/>
      <c r="M481" s="391"/>
      <c r="N481" s="391"/>
      <c r="O481" s="391"/>
      <c r="P481" s="391"/>
      <c r="Q481" s="391"/>
      <c r="R481" s="391"/>
      <c r="S481" s="391"/>
      <c r="T481" s="391"/>
      <c r="U481" s="391"/>
      <c r="V481" s="391"/>
      <c r="W481" s="391"/>
      <c r="X481" s="391"/>
      <c r="Y481" s="391"/>
      <c r="Z481" s="391"/>
      <c r="AA481" s="391"/>
      <c r="AB481" s="391"/>
      <c r="AC481" s="391"/>
      <c r="AD481" s="391"/>
      <c r="AE481" s="391"/>
      <c r="AF481" s="391"/>
      <c r="AG481" s="391"/>
      <c r="AH481" s="392"/>
      <c r="AI481" s="391"/>
      <c r="AJ481" s="391"/>
    </row>
    <row r="482" spans="1:36" ht="13.5" x14ac:dyDescent="0.25">
      <c r="A482" s="391"/>
      <c r="B482" s="391"/>
      <c r="C482" s="391"/>
      <c r="D482" s="391"/>
      <c r="E482" s="391"/>
      <c r="F482" s="391"/>
      <c r="G482" s="391"/>
      <c r="H482" s="391"/>
      <c r="I482" s="391"/>
      <c r="J482" s="391"/>
      <c r="K482" s="391"/>
      <c r="L482" s="391"/>
      <c r="M482" s="391"/>
      <c r="N482" s="391"/>
      <c r="O482" s="391"/>
      <c r="P482" s="391"/>
      <c r="Q482" s="391"/>
      <c r="R482" s="391"/>
      <c r="S482" s="391"/>
      <c r="T482" s="391"/>
      <c r="U482" s="391"/>
      <c r="V482" s="391"/>
      <c r="W482" s="391"/>
      <c r="X482" s="391"/>
      <c r="Y482" s="391"/>
      <c r="Z482" s="391"/>
      <c r="AA482" s="391"/>
      <c r="AB482" s="391"/>
      <c r="AC482" s="391"/>
      <c r="AD482" s="391"/>
      <c r="AE482" s="391"/>
      <c r="AF482" s="391"/>
      <c r="AG482" s="391"/>
      <c r="AH482" s="392"/>
      <c r="AI482" s="391"/>
      <c r="AJ482" s="391"/>
    </row>
    <row r="483" spans="1:36" ht="13.5" x14ac:dyDescent="0.25">
      <c r="A483" s="391"/>
      <c r="B483" s="391"/>
      <c r="C483" s="391"/>
      <c r="D483" s="391"/>
      <c r="E483" s="391"/>
      <c r="F483" s="391"/>
      <c r="G483" s="391"/>
      <c r="H483" s="391"/>
      <c r="I483" s="391"/>
      <c r="J483" s="391"/>
      <c r="K483" s="391"/>
      <c r="L483" s="391"/>
      <c r="M483" s="391"/>
      <c r="N483" s="391"/>
      <c r="O483" s="391"/>
      <c r="P483" s="391"/>
      <c r="Q483" s="391"/>
      <c r="R483" s="391"/>
      <c r="S483" s="391"/>
      <c r="T483" s="391"/>
      <c r="U483" s="391"/>
      <c r="V483" s="391"/>
      <c r="W483" s="391"/>
      <c r="X483" s="391"/>
      <c r="Y483" s="391"/>
      <c r="Z483" s="391"/>
      <c r="AA483" s="391"/>
      <c r="AB483" s="391"/>
      <c r="AC483" s="391"/>
      <c r="AD483" s="391"/>
      <c r="AE483" s="391"/>
      <c r="AF483" s="391"/>
      <c r="AG483" s="391"/>
      <c r="AH483" s="392"/>
      <c r="AI483" s="391"/>
      <c r="AJ483" s="391"/>
    </row>
    <row r="484" spans="1:36" ht="13.5" x14ac:dyDescent="0.25">
      <c r="A484" s="391"/>
      <c r="B484" s="391"/>
      <c r="C484" s="391"/>
      <c r="D484" s="391"/>
      <c r="E484" s="391"/>
      <c r="F484" s="391"/>
      <c r="G484" s="391"/>
      <c r="H484" s="391"/>
      <c r="I484" s="391"/>
      <c r="J484" s="391"/>
      <c r="K484" s="391"/>
      <c r="L484" s="391"/>
      <c r="M484" s="391"/>
      <c r="N484" s="391"/>
      <c r="O484" s="391"/>
      <c r="P484" s="391"/>
      <c r="Q484" s="391"/>
      <c r="R484" s="391"/>
      <c r="S484" s="391"/>
      <c r="T484" s="391"/>
      <c r="U484" s="391"/>
      <c r="V484" s="391"/>
      <c r="W484" s="391"/>
      <c r="X484" s="391"/>
      <c r="Y484" s="391"/>
      <c r="Z484" s="391"/>
      <c r="AA484" s="391"/>
      <c r="AB484" s="391"/>
      <c r="AC484" s="391"/>
      <c r="AD484" s="391"/>
      <c r="AE484" s="391"/>
      <c r="AF484" s="391"/>
      <c r="AG484" s="391"/>
      <c r="AH484" s="392"/>
      <c r="AI484" s="391"/>
      <c r="AJ484" s="391"/>
    </row>
    <row r="485" spans="1:36" ht="13.5" x14ac:dyDescent="0.25">
      <c r="A485" s="391"/>
      <c r="B485" s="391"/>
      <c r="C485" s="391"/>
      <c r="D485" s="391"/>
      <c r="E485" s="391"/>
      <c r="F485" s="391"/>
      <c r="G485" s="391"/>
      <c r="H485" s="391"/>
      <c r="I485" s="391"/>
      <c r="J485" s="391"/>
      <c r="K485" s="391"/>
      <c r="L485" s="391"/>
      <c r="M485" s="391"/>
      <c r="N485" s="391"/>
      <c r="O485" s="391"/>
      <c r="P485" s="391"/>
      <c r="Q485" s="391"/>
      <c r="R485" s="391"/>
      <c r="S485" s="391"/>
      <c r="T485" s="391"/>
      <c r="U485" s="391"/>
      <c r="V485" s="391"/>
      <c r="W485" s="391"/>
      <c r="X485" s="391"/>
      <c r="Y485" s="391"/>
      <c r="Z485" s="391"/>
      <c r="AA485" s="391"/>
      <c r="AB485" s="391"/>
      <c r="AC485" s="391"/>
      <c r="AD485" s="391"/>
      <c r="AE485" s="391"/>
      <c r="AF485" s="391"/>
      <c r="AG485" s="391"/>
      <c r="AH485" s="392"/>
      <c r="AI485" s="391"/>
      <c r="AJ485" s="391"/>
    </row>
    <row r="486" spans="1:36" ht="13.5" x14ac:dyDescent="0.25">
      <c r="A486" s="391"/>
      <c r="B486" s="391"/>
      <c r="C486" s="391"/>
      <c r="D486" s="391"/>
      <c r="E486" s="391"/>
      <c r="F486" s="391"/>
      <c r="G486" s="391"/>
      <c r="H486" s="391"/>
      <c r="I486" s="391"/>
      <c r="J486" s="391"/>
      <c r="K486" s="391"/>
      <c r="L486" s="391"/>
      <c r="M486" s="391"/>
      <c r="N486" s="391"/>
      <c r="O486" s="391"/>
      <c r="P486" s="391"/>
      <c r="Q486" s="391"/>
      <c r="R486" s="391"/>
      <c r="S486" s="391"/>
      <c r="T486" s="391"/>
      <c r="U486" s="391"/>
      <c r="V486" s="391"/>
      <c r="W486" s="391"/>
      <c r="X486" s="391"/>
      <c r="Y486" s="391"/>
      <c r="Z486" s="391"/>
      <c r="AA486" s="391"/>
      <c r="AB486" s="391"/>
      <c r="AC486" s="391"/>
      <c r="AD486" s="391"/>
      <c r="AE486" s="391"/>
      <c r="AF486" s="391"/>
      <c r="AG486" s="391"/>
      <c r="AH486" s="392"/>
      <c r="AI486" s="391"/>
      <c r="AJ486" s="391"/>
    </row>
    <row r="487" spans="1:36" ht="13.5" x14ac:dyDescent="0.25">
      <c r="A487" s="391"/>
      <c r="B487" s="391"/>
      <c r="C487" s="391"/>
      <c r="D487" s="391"/>
      <c r="E487" s="391"/>
      <c r="F487" s="391"/>
      <c r="G487" s="391"/>
      <c r="H487" s="391"/>
      <c r="I487" s="391"/>
      <c r="J487" s="391"/>
      <c r="K487" s="391"/>
      <c r="L487" s="391"/>
      <c r="M487" s="391"/>
      <c r="N487" s="391"/>
      <c r="O487" s="391"/>
      <c r="P487" s="391"/>
      <c r="Q487" s="391"/>
      <c r="R487" s="391"/>
      <c r="S487" s="391"/>
      <c r="T487" s="391"/>
      <c r="U487" s="391"/>
      <c r="V487" s="391"/>
      <c r="W487" s="391"/>
      <c r="X487" s="391"/>
      <c r="Y487" s="391"/>
      <c r="Z487" s="391"/>
      <c r="AA487" s="391"/>
      <c r="AB487" s="391"/>
      <c r="AC487" s="391"/>
      <c r="AD487" s="391"/>
      <c r="AE487" s="391"/>
      <c r="AF487" s="391"/>
      <c r="AG487" s="391"/>
      <c r="AH487" s="392"/>
      <c r="AI487" s="391"/>
      <c r="AJ487" s="391"/>
    </row>
    <row r="488" spans="1:36" ht="13.5" x14ac:dyDescent="0.25">
      <c r="A488" s="391"/>
      <c r="B488" s="391"/>
      <c r="C488" s="391"/>
      <c r="D488" s="391"/>
      <c r="E488" s="391"/>
      <c r="F488" s="391"/>
      <c r="G488" s="391"/>
      <c r="H488" s="391"/>
      <c r="I488" s="391"/>
      <c r="J488" s="391"/>
      <c r="K488" s="391"/>
      <c r="L488" s="391"/>
      <c r="M488" s="391"/>
      <c r="N488" s="391"/>
      <c r="O488" s="391"/>
      <c r="P488" s="391"/>
      <c r="Q488" s="391"/>
      <c r="R488" s="391"/>
      <c r="S488" s="391"/>
      <c r="T488" s="391"/>
      <c r="U488" s="391"/>
      <c r="V488" s="391"/>
      <c r="W488" s="391"/>
      <c r="X488" s="391"/>
      <c r="Y488" s="391"/>
      <c r="Z488" s="391"/>
      <c r="AA488" s="391"/>
      <c r="AB488" s="391"/>
      <c r="AC488" s="391"/>
      <c r="AD488" s="391"/>
      <c r="AE488" s="391"/>
      <c r="AF488" s="391"/>
      <c r="AG488" s="391"/>
      <c r="AH488" s="392"/>
      <c r="AI488" s="391"/>
      <c r="AJ488" s="391"/>
    </row>
    <row r="489" spans="1:36" ht="13.5" x14ac:dyDescent="0.25">
      <c r="A489" s="391"/>
      <c r="B489" s="391"/>
      <c r="C489" s="391"/>
      <c r="D489" s="391"/>
      <c r="E489" s="391"/>
      <c r="F489" s="391"/>
      <c r="G489" s="391"/>
      <c r="H489" s="391"/>
      <c r="I489" s="391"/>
      <c r="J489" s="391"/>
      <c r="K489" s="391"/>
      <c r="L489" s="391"/>
      <c r="M489" s="391"/>
      <c r="N489" s="391"/>
      <c r="O489" s="391"/>
      <c r="P489" s="391"/>
      <c r="Q489" s="391"/>
      <c r="R489" s="391"/>
      <c r="S489" s="391"/>
      <c r="T489" s="391"/>
      <c r="U489" s="391"/>
      <c r="V489" s="391"/>
      <c r="W489" s="391"/>
      <c r="X489" s="391"/>
      <c r="Y489" s="391"/>
      <c r="Z489" s="391"/>
      <c r="AA489" s="391"/>
      <c r="AB489" s="391"/>
      <c r="AC489" s="391"/>
      <c r="AD489" s="391"/>
      <c r="AE489" s="391"/>
      <c r="AF489" s="391"/>
      <c r="AG489" s="391"/>
      <c r="AH489" s="392"/>
      <c r="AI489" s="391"/>
      <c r="AJ489" s="391"/>
    </row>
    <row r="490" spans="1:36" ht="13.5" x14ac:dyDescent="0.25">
      <c r="A490" s="391"/>
      <c r="B490" s="391"/>
      <c r="C490" s="391"/>
      <c r="D490" s="391"/>
      <c r="E490" s="391"/>
      <c r="F490" s="391"/>
      <c r="G490" s="391"/>
      <c r="H490" s="391"/>
      <c r="I490" s="391"/>
      <c r="J490" s="391"/>
      <c r="K490" s="391"/>
      <c r="L490" s="391"/>
      <c r="M490" s="391"/>
      <c r="N490" s="391"/>
      <c r="O490" s="391"/>
      <c r="P490" s="391"/>
      <c r="Q490" s="391"/>
      <c r="R490" s="391"/>
      <c r="S490" s="391"/>
      <c r="T490" s="391"/>
      <c r="U490" s="391"/>
      <c r="V490" s="391"/>
      <c r="W490" s="391"/>
      <c r="X490" s="391"/>
      <c r="Y490" s="391"/>
      <c r="Z490" s="391"/>
      <c r="AA490" s="391"/>
      <c r="AB490" s="391"/>
      <c r="AC490" s="391"/>
      <c r="AD490" s="391"/>
      <c r="AE490" s="391"/>
      <c r="AF490" s="391"/>
      <c r="AG490" s="391"/>
      <c r="AH490" s="392"/>
      <c r="AI490" s="391"/>
      <c r="AJ490" s="391"/>
    </row>
    <row r="491" spans="1:36" ht="13.5" x14ac:dyDescent="0.25">
      <c r="A491" s="391"/>
      <c r="B491" s="391"/>
      <c r="C491" s="391"/>
      <c r="D491" s="391"/>
      <c r="E491" s="391"/>
      <c r="F491" s="391"/>
      <c r="G491" s="391"/>
      <c r="H491" s="391"/>
      <c r="I491" s="391"/>
      <c r="J491" s="391"/>
      <c r="K491" s="391"/>
      <c r="L491" s="391"/>
      <c r="M491" s="391"/>
      <c r="N491" s="391"/>
      <c r="O491" s="391"/>
      <c r="P491" s="391"/>
      <c r="Q491" s="391"/>
      <c r="R491" s="391"/>
      <c r="S491" s="391"/>
      <c r="T491" s="391"/>
      <c r="U491" s="391"/>
      <c r="V491" s="391"/>
      <c r="W491" s="391"/>
      <c r="X491" s="391"/>
      <c r="Y491" s="391"/>
      <c r="Z491" s="391"/>
      <c r="AA491" s="391"/>
      <c r="AB491" s="391"/>
      <c r="AC491" s="391"/>
      <c r="AD491" s="391"/>
      <c r="AE491" s="391"/>
      <c r="AF491" s="391"/>
      <c r="AG491" s="391"/>
      <c r="AH491" s="392"/>
      <c r="AI491" s="391"/>
      <c r="AJ491" s="391"/>
    </row>
    <row r="492" spans="1:36" ht="13.5" x14ac:dyDescent="0.25">
      <c r="A492" s="391"/>
      <c r="B492" s="391"/>
      <c r="C492" s="391"/>
      <c r="D492" s="391"/>
      <c r="E492" s="391"/>
      <c r="F492" s="391"/>
      <c r="G492" s="391"/>
      <c r="H492" s="391"/>
      <c r="I492" s="391"/>
      <c r="J492" s="391"/>
      <c r="K492" s="391"/>
      <c r="L492" s="391"/>
      <c r="M492" s="391"/>
      <c r="N492" s="391"/>
      <c r="O492" s="391"/>
      <c r="P492" s="391"/>
      <c r="Q492" s="391"/>
      <c r="R492" s="391"/>
      <c r="S492" s="391"/>
      <c r="T492" s="391"/>
      <c r="U492" s="391"/>
      <c r="V492" s="391"/>
      <c r="W492" s="391"/>
      <c r="X492" s="391"/>
      <c r="Y492" s="391"/>
      <c r="Z492" s="391"/>
      <c r="AA492" s="391"/>
      <c r="AB492" s="391"/>
      <c r="AC492" s="391"/>
      <c r="AD492" s="391"/>
      <c r="AE492" s="391"/>
      <c r="AF492" s="391"/>
      <c r="AG492" s="391"/>
      <c r="AH492" s="392"/>
      <c r="AI492" s="391"/>
      <c r="AJ492" s="391"/>
    </row>
    <row r="493" spans="1:36" ht="13.5" x14ac:dyDescent="0.25">
      <c r="A493" s="391"/>
      <c r="B493" s="391"/>
      <c r="C493" s="391"/>
      <c r="D493" s="391"/>
      <c r="E493" s="391"/>
      <c r="F493" s="391"/>
      <c r="G493" s="391"/>
      <c r="H493" s="391"/>
      <c r="I493" s="391"/>
      <c r="J493" s="391"/>
      <c r="K493" s="391"/>
      <c r="L493" s="391"/>
      <c r="M493" s="391"/>
      <c r="N493" s="391"/>
      <c r="O493" s="391"/>
      <c r="P493" s="391"/>
      <c r="Q493" s="391"/>
      <c r="R493" s="391"/>
      <c r="S493" s="391"/>
      <c r="T493" s="391"/>
      <c r="U493" s="391"/>
      <c r="V493" s="391"/>
      <c r="W493" s="391"/>
      <c r="X493" s="391"/>
      <c r="Y493" s="391"/>
      <c r="Z493" s="391"/>
      <c r="AA493" s="391"/>
      <c r="AB493" s="391"/>
      <c r="AC493" s="391"/>
      <c r="AD493" s="391"/>
      <c r="AE493" s="391"/>
      <c r="AF493" s="391"/>
      <c r="AG493" s="391"/>
      <c r="AH493" s="392"/>
      <c r="AI493" s="391"/>
      <c r="AJ493" s="391"/>
    </row>
    <row r="494" spans="1:36" ht="13.5" x14ac:dyDescent="0.25">
      <c r="A494" s="391"/>
      <c r="B494" s="391"/>
      <c r="C494" s="391"/>
      <c r="D494" s="391"/>
      <c r="E494" s="391"/>
      <c r="F494" s="391"/>
      <c r="G494" s="391"/>
      <c r="H494" s="391"/>
      <c r="I494" s="391"/>
      <c r="J494" s="391"/>
      <c r="K494" s="391"/>
      <c r="L494" s="391"/>
      <c r="M494" s="391"/>
      <c r="N494" s="391"/>
      <c r="O494" s="391"/>
      <c r="P494" s="391"/>
      <c r="Q494" s="391"/>
      <c r="R494" s="391"/>
      <c r="S494" s="391"/>
      <c r="T494" s="391"/>
      <c r="U494" s="391"/>
      <c r="V494" s="391"/>
      <c r="W494" s="391"/>
      <c r="X494" s="391"/>
      <c r="Y494" s="391"/>
      <c r="Z494" s="391"/>
      <c r="AA494" s="391"/>
      <c r="AB494" s="391"/>
      <c r="AC494" s="391"/>
      <c r="AD494" s="391"/>
      <c r="AE494" s="391"/>
      <c r="AF494" s="391"/>
      <c r="AG494" s="391"/>
      <c r="AH494" s="392"/>
      <c r="AI494" s="391"/>
      <c r="AJ494" s="391"/>
    </row>
    <row r="495" spans="1:36" ht="13.5" x14ac:dyDescent="0.25">
      <c r="A495" s="391"/>
      <c r="B495" s="391"/>
      <c r="C495" s="391"/>
      <c r="D495" s="391"/>
      <c r="E495" s="391"/>
      <c r="F495" s="391"/>
      <c r="G495" s="391"/>
      <c r="H495" s="391"/>
      <c r="I495" s="391"/>
      <c r="J495" s="391"/>
      <c r="K495" s="391"/>
      <c r="L495" s="391"/>
      <c r="M495" s="391"/>
      <c r="N495" s="391"/>
      <c r="O495" s="391"/>
      <c r="P495" s="391"/>
      <c r="Q495" s="391"/>
      <c r="R495" s="391"/>
      <c r="S495" s="391"/>
      <c r="T495" s="391"/>
      <c r="U495" s="391"/>
      <c r="V495" s="391"/>
      <c r="W495" s="391"/>
      <c r="X495" s="391"/>
      <c r="Y495" s="391"/>
      <c r="Z495" s="391"/>
      <c r="AA495" s="391"/>
      <c r="AB495" s="391"/>
      <c r="AC495" s="391"/>
      <c r="AD495" s="391"/>
      <c r="AE495" s="391"/>
      <c r="AF495" s="391"/>
      <c r="AG495" s="391"/>
      <c r="AH495" s="392"/>
      <c r="AI495" s="391"/>
      <c r="AJ495" s="391"/>
    </row>
    <row r="496" spans="1:36" ht="13.5" x14ac:dyDescent="0.25">
      <c r="A496" s="391"/>
      <c r="B496" s="391"/>
      <c r="C496" s="391"/>
      <c r="D496" s="391"/>
      <c r="E496" s="391"/>
      <c r="F496" s="391"/>
      <c r="G496" s="391"/>
      <c r="H496" s="391"/>
      <c r="I496" s="391"/>
      <c r="J496" s="391"/>
      <c r="K496" s="391"/>
      <c r="L496" s="391"/>
      <c r="M496" s="391"/>
      <c r="N496" s="391"/>
      <c r="O496" s="391"/>
      <c r="P496" s="391"/>
      <c r="Q496" s="391"/>
      <c r="R496" s="391"/>
      <c r="S496" s="391"/>
      <c r="T496" s="391"/>
      <c r="U496" s="391"/>
      <c r="V496" s="391"/>
      <c r="W496" s="391"/>
      <c r="X496" s="391"/>
      <c r="Y496" s="391"/>
      <c r="Z496" s="391"/>
      <c r="AA496" s="391"/>
      <c r="AB496" s="391"/>
      <c r="AC496" s="391"/>
      <c r="AD496" s="391"/>
      <c r="AE496" s="391"/>
      <c r="AF496" s="391"/>
      <c r="AG496" s="391"/>
      <c r="AH496" s="392"/>
      <c r="AI496" s="391"/>
      <c r="AJ496" s="391"/>
    </row>
    <row r="497" spans="1:36" ht="13.5" x14ac:dyDescent="0.25">
      <c r="A497" s="391"/>
      <c r="B497" s="391"/>
      <c r="C497" s="391"/>
      <c r="D497" s="391"/>
      <c r="E497" s="391"/>
      <c r="F497" s="391"/>
      <c r="G497" s="391"/>
      <c r="H497" s="391"/>
      <c r="I497" s="391"/>
      <c r="J497" s="391"/>
      <c r="K497" s="391"/>
      <c r="L497" s="391"/>
      <c r="M497" s="391"/>
      <c r="N497" s="391"/>
      <c r="O497" s="391"/>
      <c r="P497" s="391"/>
      <c r="Q497" s="391"/>
      <c r="R497" s="391"/>
      <c r="S497" s="391"/>
      <c r="T497" s="391"/>
      <c r="U497" s="391"/>
      <c r="V497" s="391"/>
      <c r="W497" s="391"/>
      <c r="X497" s="391"/>
      <c r="Y497" s="391"/>
      <c r="Z497" s="391"/>
      <c r="AA497" s="391"/>
      <c r="AB497" s="391"/>
      <c r="AC497" s="391"/>
      <c r="AD497" s="391"/>
      <c r="AE497" s="391"/>
      <c r="AF497" s="391"/>
      <c r="AG497" s="391"/>
      <c r="AH497" s="392"/>
      <c r="AI497" s="391"/>
      <c r="AJ497" s="391"/>
    </row>
    <row r="498" spans="1:36" ht="13.5" x14ac:dyDescent="0.25">
      <c r="A498" s="391"/>
      <c r="B498" s="391"/>
      <c r="C498" s="391"/>
      <c r="D498" s="391"/>
      <c r="E498" s="391"/>
      <c r="F498" s="391"/>
      <c r="G498" s="391"/>
      <c r="H498" s="391"/>
      <c r="I498" s="391"/>
      <c r="J498" s="391"/>
      <c r="K498" s="391"/>
      <c r="L498" s="391"/>
      <c r="M498" s="391"/>
      <c r="N498" s="391"/>
      <c r="O498" s="391"/>
      <c r="P498" s="391"/>
      <c r="Q498" s="391"/>
      <c r="R498" s="391"/>
      <c r="S498" s="391"/>
      <c r="T498" s="391"/>
      <c r="U498" s="391"/>
      <c r="V498" s="391"/>
      <c r="W498" s="391"/>
      <c r="X498" s="391"/>
      <c r="Y498" s="391"/>
      <c r="Z498" s="391"/>
      <c r="AA498" s="391"/>
      <c r="AB498" s="391"/>
      <c r="AC498" s="391"/>
      <c r="AD498" s="391"/>
      <c r="AE498" s="391"/>
      <c r="AF498" s="391"/>
      <c r="AG498" s="391"/>
      <c r="AH498" s="392"/>
      <c r="AI498" s="391"/>
      <c r="AJ498" s="391"/>
    </row>
    <row r="499" spans="1:36" ht="13.5" x14ac:dyDescent="0.25">
      <c r="A499" s="391"/>
      <c r="B499" s="391"/>
      <c r="C499" s="391"/>
      <c r="D499" s="391"/>
      <c r="E499" s="391"/>
      <c r="F499" s="391"/>
      <c r="G499" s="391"/>
      <c r="H499" s="391"/>
      <c r="I499" s="391"/>
      <c r="J499" s="391"/>
      <c r="K499" s="391"/>
      <c r="L499" s="391"/>
      <c r="M499" s="391"/>
      <c r="N499" s="391"/>
      <c r="O499" s="391"/>
      <c r="P499" s="391"/>
      <c r="Q499" s="391"/>
      <c r="R499" s="391"/>
      <c r="S499" s="391"/>
      <c r="T499" s="391"/>
      <c r="U499" s="391"/>
      <c r="V499" s="391"/>
      <c r="W499" s="391"/>
      <c r="X499" s="391"/>
      <c r="Y499" s="391"/>
      <c r="Z499" s="391"/>
      <c r="AA499" s="391"/>
      <c r="AB499" s="391"/>
      <c r="AC499" s="391"/>
      <c r="AD499" s="391"/>
      <c r="AE499" s="391"/>
      <c r="AF499" s="391"/>
      <c r="AG499" s="391"/>
      <c r="AH499" s="392"/>
      <c r="AI499" s="391"/>
      <c r="AJ499" s="391"/>
    </row>
    <row r="500" spans="1:36" ht="13.5" x14ac:dyDescent="0.25">
      <c r="A500" s="391"/>
      <c r="B500" s="391"/>
      <c r="C500" s="391"/>
      <c r="D500" s="391"/>
      <c r="E500" s="391"/>
      <c r="F500" s="391"/>
      <c r="G500" s="391"/>
      <c r="H500" s="391"/>
      <c r="I500" s="391"/>
      <c r="J500" s="391"/>
      <c r="K500" s="391"/>
      <c r="L500" s="391"/>
      <c r="M500" s="391"/>
      <c r="N500" s="391"/>
      <c r="O500" s="391"/>
      <c r="P500" s="391"/>
      <c r="Q500" s="391"/>
      <c r="R500" s="391"/>
      <c r="S500" s="391"/>
      <c r="T500" s="391"/>
      <c r="U500" s="391"/>
      <c r="V500" s="391"/>
      <c r="W500" s="391"/>
      <c r="X500" s="391"/>
      <c r="Y500" s="391"/>
      <c r="Z500" s="391"/>
      <c r="AA500" s="391"/>
      <c r="AB500" s="391"/>
      <c r="AC500" s="391"/>
      <c r="AD500" s="391"/>
      <c r="AE500" s="391"/>
      <c r="AF500" s="391"/>
      <c r="AG500" s="391"/>
      <c r="AH500" s="392"/>
      <c r="AI500" s="391"/>
      <c r="AJ500" s="391"/>
    </row>
    <row r="501" spans="1:36" ht="13.5" x14ac:dyDescent="0.25">
      <c r="A501" s="391"/>
      <c r="B501" s="391"/>
      <c r="C501" s="391"/>
      <c r="D501" s="391"/>
      <c r="E501" s="391"/>
      <c r="F501" s="391"/>
      <c r="G501" s="391"/>
      <c r="H501" s="391"/>
      <c r="I501" s="391"/>
      <c r="J501" s="391"/>
      <c r="K501" s="391"/>
      <c r="L501" s="391"/>
      <c r="M501" s="391"/>
      <c r="N501" s="391"/>
      <c r="O501" s="391"/>
      <c r="P501" s="391"/>
      <c r="Q501" s="391"/>
      <c r="R501" s="391"/>
      <c r="S501" s="391"/>
      <c r="T501" s="391"/>
      <c r="U501" s="391"/>
      <c r="V501" s="391"/>
      <c r="W501" s="391"/>
      <c r="X501" s="391"/>
      <c r="Y501" s="391"/>
      <c r="Z501" s="391"/>
      <c r="AA501" s="391"/>
      <c r="AB501" s="391"/>
      <c r="AC501" s="391"/>
      <c r="AD501" s="391"/>
      <c r="AE501" s="391"/>
      <c r="AF501" s="391"/>
      <c r="AG501" s="391"/>
      <c r="AH501" s="392"/>
      <c r="AI501" s="391"/>
      <c r="AJ501" s="391"/>
    </row>
    <row r="502" spans="1:36" ht="13.5" x14ac:dyDescent="0.25">
      <c r="A502" s="391"/>
      <c r="B502" s="391"/>
      <c r="C502" s="391"/>
      <c r="D502" s="391"/>
      <c r="E502" s="391"/>
      <c r="F502" s="391"/>
      <c r="G502" s="391"/>
      <c r="H502" s="391"/>
      <c r="I502" s="391"/>
      <c r="J502" s="391"/>
      <c r="K502" s="391"/>
      <c r="L502" s="391"/>
      <c r="M502" s="391"/>
      <c r="N502" s="391"/>
      <c r="O502" s="391"/>
      <c r="P502" s="391"/>
      <c r="Q502" s="391"/>
      <c r="R502" s="391"/>
      <c r="S502" s="391"/>
      <c r="T502" s="391"/>
      <c r="U502" s="391"/>
      <c r="V502" s="391"/>
      <c r="W502" s="391"/>
      <c r="X502" s="391"/>
      <c r="Y502" s="391"/>
      <c r="Z502" s="391"/>
      <c r="AA502" s="391"/>
      <c r="AB502" s="391"/>
      <c r="AC502" s="391"/>
      <c r="AD502" s="391"/>
      <c r="AE502" s="391"/>
      <c r="AF502" s="391"/>
      <c r="AG502" s="391"/>
      <c r="AH502" s="392"/>
      <c r="AI502" s="391"/>
      <c r="AJ502" s="391"/>
    </row>
    <row r="503" spans="1:36" ht="13.5" x14ac:dyDescent="0.25">
      <c r="A503" s="391"/>
      <c r="B503" s="391"/>
      <c r="C503" s="391"/>
      <c r="D503" s="391"/>
      <c r="E503" s="391"/>
      <c r="F503" s="391"/>
      <c r="G503" s="391"/>
      <c r="H503" s="391"/>
      <c r="I503" s="391"/>
      <c r="J503" s="391"/>
      <c r="K503" s="391"/>
      <c r="L503" s="391"/>
      <c r="M503" s="391"/>
      <c r="N503" s="391"/>
      <c r="O503" s="391"/>
      <c r="P503" s="391"/>
      <c r="Q503" s="391"/>
      <c r="R503" s="391"/>
      <c r="S503" s="391"/>
      <c r="T503" s="391"/>
      <c r="U503" s="391"/>
      <c r="V503" s="391"/>
      <c r="W503" s="391"/>
      <c r="X503" s="391"/>
      <c r="Y503" s="391"/>
      <c r="Z503" s="391"/>
      <c r="AA503" s="391"/>
      <c r="AB503" s="391"/>
      <c r="AC503" s="391"/>
      <c r="AD503" s="391"/>
      <c r="AE503" s="391"/>
      <c r="AF503" s="391"/>
      <c r="AG503" s="391"/>
      <c r="AH503" s="392"/>
      <c r="AI503" s="391"/>
      <c r="AJ503" s="391"/>
    </row>
    <row r="504" spans="1:36" ht="13.5" x14ac:dyDescent="0.25">
      <c r="A504" s="391"/>
      <c r="B504" s="391"/>
      <c r="C504" s="391"/>
      <c r="D504" s="391"/>
      <c r="E504" s="391"/>
      <c r="F504" s="391"/>
      <c r="G504" s="391"/>
      <c r="H504" s="391"/>
      <c r="I504" s="391"/>
      <c r="J504" s="391"/>
      <c r="K504" s="391"/>
      <c r="L504" s="391"/>
      <c r="M504" s="391"/>
      <c r="N504" s="391"/>
      <c r="O504" s="391"/>
      <c r="P504" s="391"/>
      <c r="Q504" s="391"/>
      <c r="R504" s="391"/>
      <c r="S504" s="391"/>
      <c r="T504" s="391"/>
      <c r="U504" s="391"/>
      <c r="V504" s="391"/>
      <c r="W504" s="391"/>
      <c r="X504" s="391"/>
      <c r="Y504" s="391"/>
      <c r="Z504" s="391"/>
      <c r="AA504" s="391"/>
      <c r="AB504" s="391"/>
      <c r="AC504" s="391"/>
      <c r="AD504" s="391"/>
      <c r="AE504" s="391"/>
      <c r="AF504" s="391"/>
      <c r="AG504" s="391"/>
      <c r="AH504" s="392"/>
      <c r="AI504" s="391"/>
      <c r="AJ504" s="391"/>
    </row>
    <row r="505" spans="1:36" ht="13.5" x14ac:dyDescent="0.25">
      <c r="A505" s="391"/>
      <c r="B505" s="391"/>
      <c r="C505" s="391"/>
      <c r="D505" s="391"/>
      <c r="E505" s="391"/>
      <c r="F505" s="391"/>
      <c r="G505" s="391"/>
      <c r="H505" s="391"/>
      <c r="I505" s="391"/>
      <c r="J505" s="391"/>
      <c r="K505" s="391"/>
      <c r="L505" s="391"/>
      <c r="M505" s="391"/>
      <c r="N505" s="391"/>
      <c r="O505" s="391"/>
      <c r="P505" s="391"/>
      <c r="Q505" s="391"/>
      <c r="R505" s="391"/>
      <c r="S505" s="391"/>
      <c r="T505" s="391"/>
      <c r="U505" s="391"/>
      <c r="V505" s="391"/>
      <c r="W505" s="391"/>
      <c r="X505" s="391"/>
      <c r="Y505" s="391"/>
      <c r="Z505" s="391"/>
      <c r="AA505" s="391"/>
      <c r="AB505" s="391"/>
      <c r="AC505" s="391"/>
      <c r="AD505" s="391"/>
      <c r="AE505" s="391"/>
      <c r="AF505" s="391"/>
      <c r="AG505" s="391"/>
      <c r="AH505" s="392"/>
      <c r="AI505" s="391"/>
      <c r="AJ505" s="391"/>
    </row>
    <row r="506" spans="1:36" ht="13.5" x14ac:dyDescent="0.25">
      <c r="A506" s="391"/>
      <c r="B506" s="391"/>
      <c r="C506" s="391"/>
      <c r="D506" s="391"/>
      <c r="E506" s="391"/>
      <c r="F506" s="391"/>
      <c r="G506" s="391"/>
      <c r="H506" s="391"/>
      <c r="I506" s="391"/>
      <c r="J506" s="391"/>
      <c r="K506" s="391"/>
      <c r="L506" s="391"/>
      <c r="M506" s="391"/>
      <c r="N506" s="391"/>
      <c r="O506" s="391"/>
      <c r="P506" s="391"/>
      <c r="Q506" s="391"/>
      <c r="R506" s="391"/>
      <c r="S506" s="391"/>
      <c r="T506" s="391"/>
      <c r="U506" s="391"/>
      <c r="V506" s="391"/>
      <c r="W506" s="391"/>
      <c r="X506" s="391"/>
      <c r="Y506" s="391"/>
      <c r="Z506" s="391"/>
      <c r="AA506" s="391"/>
      <c r="AB506" s="391"/>
      <c r="AC506" s="391"/>
      <c r="AD506" s="391"/>
      <c r="AE506" s="391"/>
      <c r="AF506" s="391"/>
      <c r="AG506" s="391"/>
      <c r="AH506" s="392"/>
      <c r="AI506" s="391"/>
      <c r="AJ506" s="391"/>
    </row>
    <row r="507" spans="1:36" ht="13.5" x14ac:dyDescent="0.25">
      <c r="A507" s="391"/>
      <c r="B507" s="391"/>
      <c r="C507" s="391"/>
      <c r="D507" s="391"/>
      <c r="E507" s="391"/>
      <c r="F507" s="391"/>
      <c r="G507" s="391"/>
      <c r="H507" s="391"/>
      <c r="I507" s="391"/>
      <c r="J507" s="391"/>
      <c r="K507" s="391"/>
      <c r="L507" s="391"/>
      <c r="M507" s="391"/>
      <c r="N507" s="391"/>
      <c r="O507" s="391"/>
      <c r="P507" s="391"/>
      <c r="Q507" s="391"/>
      <c r="R507" s="391"/>
      <c r="S507" s="391"/>
      <c r="T507" s="391"/>
      <c r="U507" s="391"/>
      <c r="V507" s="391"/>
      <c r="W507" s="391"/>
      <c r="X507" s="391"/>
      <c r="Y507" s="391"/>
      <c r="Z507" s="391"/>
      <c r="AA507" s="391"/>
      <c r="AB507" s="391"/>
      <c r="AC507" s="391"/>
      <c r="AD507" s="391"/>
      <c r="AE507" s="391"/>
      <c r="AF507" s="391"/>
      <c r="AG507" s="391"/>
      <c r="AH507" s="392"/>
      <c r="AI507" s="391"/>
      <c r="AJ507" s="391"/>
    </row>
    <row r="508" spans="1:36" ht="13.5" x14ac:dyDescent="0.25">
      <c r="A508" s="391"/>
      <c r="B508" s="391"/>
      <c r="C508" s="391"/>
      <c r="D508" s="391"/>
      <c r="E508" s="391"/>
      <c r="F508" s="391"/>
      <c r="G508" s="391"/>
      <c r="H508" s="391"/>
      <c r="I508" s="391"/>
      <c r="J508" s="391"/>
      <c r="K508" s="391"/>
      <c r="L508" s="391"/>
      <c r="M508" s="391"/>
      <c r="N508" s="391"/>
      <c r="O508" s="391"/>
      <c r="P508" s="391"/>
      <c r="Q508" s="391"/>
      <c r="R508" s="391"/>
      <c r="S508" s="391"/>
      <c r="T508" s="391"/>
      <c r="U508" s="391"/>
      <c r="V508" s="391"/>
      <c r="W508" s="391"/>
      <c r="X508" s="391"/>
      <c r="Y508" s="391"/>
      <c r="Z508" s="391"/>
      <c r="AA508" s="391"/>
      <c r="AB508" s="391"/>
      <c r="AC508" s="391"/>
      <c r="AD508" s="391"/>
      <c r="AE508" s="391"/>
      <c r="AF508" s="391"/>
      <c r="AG508" s="391"/>
      <c r="AH508" s="392"/>
      <c r="AI508" s="391"/>
      <c r="AJ508" s="391"/>
    </row>
    <row r="509" spans="1:36" ht="13.5" x14ac:dyDescent="0.25">
      <c r="A509" s="391"/>
      <c r="B509" s="391"/>
      <c r="C509" s="391"/>
      <c r="D509" s="391"/>
      <c r="E509" s="391"/>
      <c r="F509" s="391"/>
      <c r="G509" s="391"/>
      <c r="H509" s="391"/>
      <c r="I509" s="391"/>
      <c r="J509" s="391"/>
      <c r="K509" s="391"/>
      <c r="L509" s="391"/>
      <c r="M509" s="391"/>
      <c r="N509" s="391"/>
      <c r="O509" s="391"/>
      <c r="P509" s="391"/>
      <c r="Q509" s="391"/>
      <c r="R509" s="391"/>
      <c r="S509" s="391"/>
      <c r="T509" s="391"/>
      <c r="U509" s="391"/>
      <c r="V509" s="391"/>
      <c r="W509" s="391"/>
      <c r="X509" s="391"/>
      <c r="Y509" s="391"/>
      <c r="Z509" s="391"/>
      <c r="AA509" s="391"/>
      <c r="AB509" s="391"/>
      <c r="AC509" s="391"/>
      <c r="AD509" s="391"/>
      <c r="AE509" s="391"/>
      <c r="AF509" s="391"/>
      <c r="AG509" s="391"/>
      <c r="AH509" s="392"/>
      <c r="AI509" s="391"/>
      <c r="AJ509" s="391"/>
    </row>
    <row r="510" spans="1:36" ht="13.5" x14ac:dyDescent="0.25">
      <c r="A510" s="391"/>
      <c r="B510" s="391"/>
      <c r="C510" s="391"/>
      <c r="D510" s="391"/>
      <c r="E510" s="391"/>
      <c r="F510" s="391"/>
      <c r="G510" s="391"/>
      <c r="H510" s="391"/>
      <c r="I510" s="391"/>
      <c r="J510" s="391"/>
      <c r="K510" s="391"/>
      <c r="L510" s="391"/>
      <c r="M510" s="391"/>
      <c r="N510" s="391"/>
      <c r="O510" s="391"/>
      <c r="P510" s="391"/>
      <c r="Q510" s="391"/>
      <c r="R510" s="391"/>
      <c r="S510" s="391"/>
      <c r="T510" s="391"/>
      <c r="U510" s="391"/>
      <c r="V510" s="391"/>
      <c r="W510" s="391"/>
      <c r="X510" s="391"/>
      <c r="Y510" s="391"/>
      <c r="Z510" s="391"/>
      <c r="AA510" s="391"/>
      <c r="AB510" s="391"/>
      <c r="AC510" s="391"/>
      <c r="AD510" s="391"/>
      <c r="AE510" s="391"/>
      <c r="AF510" s="391"/>
      <c r="AG510" s="391"/>
      <c r="AH510" s="392"/>
      <c r="AI510" s="391"/>
      <c r="AJ510" s="391"/>
    </row>
    <row r="511" spans="1:36" ht="13.5" x14ac:dyDescent="0.25">
      <c r="A511" s="391"/>
      <c r="B511" s="391"/>
      <c r="C511" s="391"/>
      <c r="D511" s="391"/>
      <c r="E511" s="391"/>
      <c r="F511" s="391"/>
      <c r="G511" s="391"/>
      <c r="H511" s="391"/>
      <c r="I511" s="391"/>
      <c r="J511" s="391"/>
      <c r="K511" s="391"/>
      <c r="L511" s="391"/>
      <c r="M511" s="391"/>
      <c r="N511" s="391"/>
      <c r="O511" s="391"/>
      <c r="P511" s="391"/>
      <c r="Q511" s="391"/>
      <c r="R511" s="391"/>
      <c r="S511" s="391"/>
      <c r="T511" s="391"/>
      <c r="U511" s="391"/>
      <c r="V511" s="391"/>
      <c r="W511" s="391"/>
      <c r="X511" s="391"/>
      <c r="Y511" s="391"/>
      <c r="Z511" s="391"/>
      <c r="AA511" s="391"/>
      <c r="AB511" s="391"/>
      <c r="AC511" s="391"/>
      <c r="AD511" s="391"/>
      <c r="AE511" s="391"/>
      <c r="AF511" s="391"/>
      <c r="AG511" s="391"/>
      <c r="AH511" s="392"/>
      <c r="AI511" s="391"/>
      <c r="AJ511" s="391"/>
    </row>
    <row r="512" spans="1:36" ht="13.5" x14ac:dyDescent="0.25">
      <c r="A512" s="391"/>
      <c r="B512" s="391"/>
      <c r="C512" s="391"/>
      <c r="D512" s="391"/>
      <c r="E512" s="391"/>
      <c r="F512" s="391"/>
      <c r="G512" s="391"/>
      <c r="H512" s="391"/>
      <c r="I512" s="391"/>
      <c r="J512" s="391"/>
      <c r="K512" s="391"/>
      <c r="L512" s="391"/>
      <c r="M512" s="391"/>
      <c r="N512" s="391"/>
      <c r="O512" s="391"/>
      <c r="P512" s="391"/>
      <c r="Q512" s="391"/>
      <c r="R512" s="391"/>
      <c r="S512" s="391"/>
      <c r="T512" s="391"/>
      <c r="U512" s="391"/>
      <c r="V512" s="391"/>
      <c r="W512" s="391"/>
      <c r="X512" s="391"/>
      <c r="Y512" s="391"/>
      <c r="Z512" s="391"/>
      <c r="AA512" s="391"/>
      <c r="AB512" s="391"/>
      <c r="AC512" s="391"/>
      <c r="AD512" s="391"/>
      <c r="AE512" s="391"/>
      <c r="AF512" s="391"/>
      <c r="AG512" s="391"/>
      <c r="AH512" s="392"/>
      <c r="AI512" s="391"/>
      <c r="AJ512" s="391"/>
    </row>
    <row r="513" spans="1:36" ht="13.5" x14ac:dyDescent="0.25">
      <c r="A513" s="391"/>
      <c r="B513" s="391"/>
      <c r="C513" s="391"/>
      <c r="D513" s="391"/>
      <c r="E513" s="391"/>
      <c r="F513" s="391"/>
      <c r="G513" s="391"/>
      <c r="H513" s="391"/>
      <c r="I513" s="391"/>
      <c r="J513" s="391"/>
      <c r="K513" s="391"/>
      <c r="L513" s="391"/>
      <c r="M513" s="391"/>
      <c r="N513" s="391"/>
      <c r="O513" s="391"/>
      <c r="P513" s="391"/>
      <c r="Q513" s="391"/>
      <c r="R513" s="391"/>
      <c r="S513" s="391"/>
      <c r="T513" s="391"/>
      <c r="U513" s="391"/>
      <c r="V513" s="391"/>
      <c r="W513" s="391"/>
      <c r="X513" s="391"/>
      <c r="Y513" s="391"/>
      <c r="Z513" s="391"/>
      <c r="AA513" s="391"/>
      <c r="AB513" s="391"/>
      <c r="AC513" s="391"/>
      <c r="AD513" s="391"/>
      <c r="AE513" s="391"/>
      <c r="AF513" s="391"/>
      <c r="AG513" s="391"/>
      <c r="AH513" s="392"/>
      <c r="AI513" s="391"/>
      <c r="AJ513" s="391"/>
    </row>
    <row r="514" spans="1:36" ht="13.5" x14ac:dyDescent="0.25">
      <c r="A514" s="391"/>
      <c r="B514" s="391"/>
      <c r="C514" s="391"/>
      <c r="D514" s="391"/>
      <c r="E514" s="391"/>
      <c r="F514" s="391"/>
      <c r="G514" s="391"/>
      <c r="H514" s="391"/>
      <c r="I514" s="391"/>
      <c r="J514" s="391"/>
      <c r="K514" s="391"/>
      <c r="L514" s="391"/>
      <c r="M514" s="391"/>
      <c r="N514" s="391"/>
      <c r="O514" s="391"/>
      <c r="P514" s="391"/>
      <c r="Q514" s="391"/>
      <c r="R514" s="391"/>
      <c r="S514" s="391"/>
      <c r="T514" s="391"/>
      <c r="U514" s="391"/>
      <c r="V514" s="391"/>
      <c r="W514" s="391"/>
      <c r="X514" s="391"/>
      <c r="Y514" s="391"/>
      <c r="Z514" s="391"/>
      <c r="AA514" s="391"/>
      <c r="AB514" s="391"/>
      <c r="AC514" s="391"/>
      <c r="AD514" s="391"/>
      <c r="AE514" s="391"/>
      <c r="AF514" s="391"/>
      <c r="AG514" s="391"/>
      <c r="AH514" s="392"/>
      <c r="AI514" s="391"/>
      <c r="AJ514" s="391"/>
    </row>
    <row r="515" spans="1:36" ht="13.5" x14ac:dyDescent="0.25">
      <c r="A515" s="391"/>
      <c r="B515" s="391"/>
      <c r="C515" s="391"/>
      <c r="D515" s="391"/>
      <c r="E515" s="391"/>
      <c r="F515" s="391"/>
      <c r="G515" s="391"/>
      <c r="H515" s="391"/>
      <c r="I515" s="391"/>
      <c r="J515" s="391"/>
      <c r="K515" s="391"/>
      <c r="L515" s="391"/>
      <c r="M515" s="391"/>
      <c r="N515" s="391"/>
      <c r="O515" s="391"/>
      <c r="P515" s="391"/>
      <c r="Q515" s="391"/>
      <c r="R515" s="391"/>
      <c r="S515" s="391"/>
      <c r="T515" s="391"/>
      <c r="U515" s="391"/>
      <c r="V515" s="391"/>
      <c r="W515" s="391"/>
      <c r="X515" s="391"/>
      <c r="Y515" s="391"/>
      <c r="Z515" s="391"/>
      <c r="AA515" s="391"/>
      <c r="AB515" s="391"/>
      <c r="AC515" s="391"/>
      <c r="AD515" s="391"/>
      <c r="AE515" s="391"/>
      <c r="AF515" s="391"/>
      <c r="AG515" s="391"/>
      <c r="AH515" s="392"/>
      <c r="AI515" s="391"/>
      <c r="AJ515" s="391"/>
    </row>
    <row r="516" spans="1:36" ht="13.5" x14ac:dyDescent="0.25">
      <c r="A516" s="391"/>
      <c r="B516" s="391"/>
      <c r="C516" s="391"/>
      <c r="D516" s="391"/>
      <c r="E516" s="391"/>
      <c r="F516" s="391"/>
      <c r="G516" s="391"/>
      <c r="H516" s="391"/>
      <c r="I516" s="391"/>
      <c r="J516" s="391"/>
      <c r="K516" s="391"/>
      <c r="L516" s="391"/>
      <c r="M516" s="391"/>
      <c r="N516" s="391"/>
      <c r="O516" s="391"/>
      <c r="P516" s="391"/>
      <c r="Q516" s="391"/>
      <c r="R516" s="391"/>
      <c r="S516" s="391"/>
      <c r="T516" s="391"/>
      <c r="U516" s="391"/>
      <c r="V516" s="391"/>
      <c r="W516" s="391"/>
      <c r="X516" s="391"/>
      <c r="Y516" s="391"/>
      <c r="Z516" s="391"/>
      <c r="AA516" s="391"/>
      <c r="AB516" s="391"/>
      <c r="AC516" s="391"/>
      <c r="AD516" s="391"/>
      <c r="AE516" s="391"/>
      <c r="AF516" s="391"/>
      <c r="AG516" s="391"/>
      <c r="AH516" s="392"/>
      <c r="AI516" s="391"/>
      <c r="AJ516" s="391"/>
    </row>
    <row r="517" spans="1:36" ht="13.5" x14ac:dyDescent="0.25">
      <c r="A517" s="391"/>
      <c r="B517" s="391"/>
      <c r="C517" s="391"/>
      <c r="D517" s="391"/>
      <c r="E517" s="391"/>
      <c r="F517" s="391"/>
      <c r="G517" s="391"/>
      <c r="H517" s="391"/>
      <c r="I517" s="391"/>
      <c r="J517" s="391"/>
      <c r="K517" s="391"/>
      <c r="L517" s="391"/>
      <c r="M517" s="391"/>
      <c r="N517" s="391"/>
      <c r="O517" s="391"/>
      <c r="P517" s="391"/>
      <c r="Q517" s="391"/>
      <c r="R517" s="391"/>
      <c r="S517" s="391"/>
      <c r="T517" s="391"/>
      <c r="U517" s="391"/>
      <c r="V517" s="391"/>
      <c r="W517" s="391"/>
      <c r="X517" s="391"/>
      <c r="Y517" s="391"/>
      <c r="Z517" s="391"/>
      <c r="AA517" s="391"/>
      <c r="AB517" s="391"/>
      <c r="AC517" s="391"/>
      <c r="AD517" s="391"/>
      <c r="AE517" s="391"/>
      <c r="AF517" s="391"/>
      <c r="AG517" s="391"/>
      <c r="AH517" s="392"/>
      <c r="AI517" s="391"/>
      <c r="AJ517" s="391"/>
    </row>
    <row r="518" spans="1:36" ht="13.5" x14ac:dyDescent="0.25">
      <c r="A518" s="391"/>
      <c r="B518" s="391"/>
      <c r="C518" s="391"/>
      <c r="D518" s="391"/>
      <c r="E518" s="391"/>
      <c r="F518" s="391"/>
      <c r="G518" s="391"/>
      <c r="H518" s="391"/>
      <c r="I518" s="391"/>
      <c r="J518" s="391"/>
      <c r="K518" s="391"/>
      <c r="L518" s="391"/>
      <c r="M518" s="391"/>
      <c r="N518" s="391"/>
      <c r="O518" s="391"/>
      <c r="P518" s="391"/>
      <c r="Q518" s="391"/>
      <c r="R518" s="391"/>
      <c r="S518" s="391"/>
      <c r="T518" s="391"/>
      <c r="U518" s="391"/>
      <c r="V518" s="391"/>
      <c r="W518" s="391"/>
      <c r="X518" s="391"/>
      <c r="Y518" s="391"/>
      <c r="Z518" s="391"/>
      <c r="AA518" s="391"/>
      <c r="AB518" s="391"/>
      <c r="AC518" s="391"/>
      <c r="AD518" s="391"/>
      <c r="AE518" s="391"/>
      <c r="AF518" s="391"/>
      <c r="AG518" s="391"/>
      <c r="AH518" s="392"/>
      <c r="AI518" s="391"/>
      <c r="AJ518" s="391"/>
    </row>
    <row r="519" spans="1:36" ht="13.5" x14ac:dyDescent="0.25">
      <c r="A519" s="391"/>
      <c r="B519" s="391"/>
      <c r="C519" s="391"/>
      <c r="D519" s="391"/>
      <c r="E519" s="391"/>
      <c r="F519" s="391"/>
      <c r="G519" s="391"/>
      <c r="H519" s="391"/>
      <c r="I519" s="391"/>
      <c r="J519" s="391"/>
      <c r="K519" s="391"/>
      <c r="L519" s="391"/>
      <c r="M519" s="391"/>
      <c r="N519" s="391"/>
      <c r="O519" s="391"/>
      <c r="P519" s="391"/>
      <c r="Q519" s="391"/>
      <c r="R519" s="391"/>
      <c r="S519" s="391"/>
      <c r="T519" s="391"/>
      <c r="U519" s="391"/>
      <c r="V519" s="391"/>
      <c r="W519" s="391"/>
      <c r="X519" s="391"/>
      <c r="Y519" s="391"/>
      <c r="Z519" s="391"/>
      <c r="AA519" s="391"/>
      <c r="AB519" s="391"/>
      <c r="AC519" s="391"/>
      <c r="AD519" s="391"/>
      <c r="AE519" s="391"/>
      <c r="AF519" s="391"/>
      <c r="AG519" s="391"/>
      <c r="AH519" s="392"/>
      <c r="AI519" s="391"/>
      <c r="AJ519" s="391"/>
    </row>
    <row r="520" spans="1:36" ht="13.5" x14ac:dyDescent="0.25">
      <c r="A520" s="391"/>
      <c r="B520" s="391"/>
      <c r="C520" s="391"/>
      <c r="D520" s="391"/>
      <c r="E520" s="391"/>
      <c r="F520" s="391"/>
      <c r="G520" s="391"/>
      <c r="H520" s="391"/>
      <c r="I520" s="391"/>
      <c r="J520" s="391"/>
      <c r="K520" s="391"/>
      <c r="L520" s="391"/>
      <c r="M520" s="391"/>
      <c r="N520" s="391"/>
      <c r="O520" s="391"/>
      <c r="P520" s="391"/>
      <c r="Q520" s="391"/>
      <c r="R520" s="391"/>
      <c r="S520" s="391"/>
      <c r="T520" s="391"/>
      <c r="U520" s="391"/>
      <c r="V520" s="391"/>
      <c r="W520" s="391"/>
      <c r="X520" s="391"/>
      <c r="Y520" s="391"/>
      <c r="Z520" s="391"/>
      <c r="AA520" s="391"/>
      <c r="AB520" s="391"/>
      <c r="AC520" s="391"/>
      <c r="AD520" s="391"/>
      <c r="AE520" s="391"/>
      <c r="AF520" s="391"/>
      <c r="AG520" s="391"/>
      <c r="AH520" s="392"/>
      <c r="AI520" s="391"/>
      <c r="AJ520" s="391"/>
    </row>
    <row r="521" spans="1:36" ht="13.5" x14ac:dyDescent="0.25">
      <c r="A521" s="391"/>
      <c r="B521" s="391"/>
      <c r="C521" s="391"/>
      <c r="D521" s="391"/>
      <c r="E521" s="391"/>
      <c r="F521" s="391"/>
      <c r="G521" s="391"/>
      <c r="H521" s="391"/>
      <c r="I521" s="391"/>
      <c r="J521" s="391"/>
      <c r="K521" s="391"/>
      <c r="L521" s="391"/>
      <c r="M521" s="391"/>
      <c r="N521" s="391"/>
      <c r="O521" s="391"/>
      <c r="P521" s="391"/>
      <c r="Q521" s="391"/>
      <c r="R521" s="391"/>
      <c r="S521" s="391"/>
      <c r="T521" s="391"/>
      <c r="U521" s="391"/>
      <c r="V521" s="391"/>
      <c r="W521" s="391"/>
      <c r="X521" s="391"/>
      <c r="Y521" s="391"/>
      <c r="Z521" s="391"/>
      <c r="AA521" s="391"/>
      <c r="AB521" s="391"/>
      <c r="AC521" s="391"/>
      <c r="AD521" s="391"/>
      <c r="AE521" s="391"/>
      <c r="AF521" s="391"/>
      <c r="AG521" s="391"/>
      <c r="AH521" s="392"/>
      <c r="AI521" s="391"/>
      <c r="AJ521" s="391"/>
    </row>
    <row r="522" spans="1:36" ht="13.5" x14ac:dyDescent="0.25">
      <c r="A522" s="391"/>
      <c r="B522" s="391"/>
      <c r="C522" s="391"/>
      <c r="D522" s="391"/>
      <c r="E522" s="391"/>
      <c r="F522" s="391"/>
      <c r="G522" s="391"/>
      <c r="H522" s="391"/>
      <c r="I522" s="391"/>
      <c r="J522" s="391"/>
      <c r="K522" s="391"/>
      <c r="L522" s="391"/>
      <c r="M522" s="391"/>
      <c r="N522" s="391"/>
      <c r="O522" s="391"/>
      <c r="P522" s="391"/>
      <c r="Q522" s="391"/>
      <c r="R522" s="391"/>
      <c r="S522" s="391"/>
      <c r="T522" s="391"/>
      <c r="U522" s="391"/>
      <c r="V522" s="391"/>
      <c r="W522" s="391"/>
      <c r="X522" s="391"/>
      <c r="Y522" s="391"/>
      <c r="Z522" s="391"/>
      <c r="AA522" s="391"/>
      <c r="AB522" s="391"/>
      <c r="AC522" s="391"/>
      <c r="AD522" s="391"/>
      <c r="AE522" s="391"/>
      <c r="AF522" s="391"/>
      <c r="AG522" s="391"/>
      <c r="AH522" s="392"/>
      <c r="AI522" s="391"/>
      <c r="AJ522" s="391"/>
    </row>
    <row r="523" spans="1:36" ht="13.5" x14ac:dyDescent="0.25">
      <c r="A523" s="391"/>
      <c r="B523" s="391"/>
      <c r="C523" s="391"/>
      <c r="D523" s="391"/>
      <c r="E523" s="391"/>
      <c r="F523" s="391"/>
      <c r="G523" s="391"/>
      <c r="H523" s="391"/>
      <c r="I523" s="391"/>
      <c r="J523" s="391"/>
      <c r="K523" s="391"/>
      <c r="L523" s="391"/>
      <c r="M523" s="391"/>
      <c r="N523" s="391"/>
      <c r="O523" s="391"/>
      <c r="P523" s="391"/>
      <c r="Q523" s="391"/>
      <c r="R523" s="391"/>
      <c r="S523" s="391"/>
      <c r="T523" s="391"/>
      <c r="U523" s="391"/>
      <c r="V523" s="391"/>
      <c r="W523" s="391"/>
      <c r="X523" s="391"/>
      <c r="Y523" s="391"/>
      <c r="Z523" s="391"/>
      <c r="AA523" s="391"/>
      <c r="AB523" s="391"/>
      <c r="AC523" s="391"/>
      <c r="AD523" s="391"/>
      <c r="AE523" s="391"/>
      <c r="AF523" s="391"/>
      <c r="AG523" s="391"/>
      <c r="AH523" s="392"/>
      <c r="AI523" s="391"/>
      <c r="AJ523" s="391"/>
    </row>
    <row r="524" spans="1:36" ht="13.5" x14ac:dyDescent="0.25">
      <c r="A524" s="391"/>
      <c r="B524" s="391"/>
      <c r="C524" s="391"/>
      <c r="D524" s="391"/>
      <c r="E524" s="391"/>
      <c r="F524" s="391"/>
      <c r="G524" s="391"/>
      <c r="H524" s="391"/>
      <c r="I524" s="391"/>
      <c r="J524" s="391"/>
      <c r="K524" s="391"/>
      <c r="L524" s="391"/>
      <c r="M524" s="391"/>
      <c r="N524" s="391"/>
      <c r="O524" s="391"/>
      <c r="P524" s="391"/>
      <c r="Q524" s="391"/>
      <c r="R524" s="391"/>
      <c r="S524" s="391"/>
      <c r="T524" s="391"/>
      <c r="U524" s="391"/>
      <c r="V524" s="391"/>
      <c r="W524" s="391"/>
      <c r="X524" s="391"/>
      <c r="Y524" s="391"/>
      <c r="Z524" s="391"/>
      <c r="AA524" s="391"/>
      <c r="AB524" s="391"/>
      <c r="AC524" s="391"/>
      <c r="AD524" s="391"/>
      <c r="AE524" s="391"/>
      <c r="AF524" s="391"/>
      <c r="AG524" s="391"/>
      <c r="AH524" s="392"/>
      <c r="AI524" s="391"/>
      <c r="AJ524" s="391"/>
    </row>
    <row r="525" spans="1:36" ht="13.5" x14ac:dyDescent="0.25">
      <c r="A525" s="391"/>
      <c r="B525" s="391"/>
      <c r="C525" s="391"/>
      <c r="D525" s="391"/>
      <c r="E525" s="391"/>
      <c r="F525" s="391"/>
      <c r="G525" s="391"/>
      <c r="H525" s="391"/>
      <c r="I525" s="391"/>
      <c r="J525" s="391"/>
      <c r="K525" s="391"/>
      <c r="L525" s="391"/>
      <c r="M525" s="391"/>
      <c r="N525" s="391"/>
      <c r="O525" s="391"/>
      <c r="P525" s="391"/>
      <c r="Q525" s="391"/>
      <c r="R525" s="391"/>
      <c r="S525" s="391"/>
      <c r="T525" s="391"/>
      <c r="U525" s="391"/>
      <c r="V525" s="391"/>
      <c r="W525" s="391"/>
      <c r="X525" s="391"/>
      <c r="Y525" s="391"/>
      <c r="Z525" s="391"/>
      <c r="AA525" s="391"/>
      <c r="AB525" s="391"/>
      <c r="AC525" s="391"/>
      <c r="AD525" s="391"/>
      <c r="AE525" s="391"/>
      <c r="AF525" s="391"/>
      <c r="AG525" s="391"/>
      <c r="AH525" s="392"/>
      <c r="AI525" s="391"/>
      <c r="AJ525" s="391"/>
    </row>
    <row r="526" spans="1:36" ht="13.5" x14ac:dyDescent="0.25">
      <c r="A526" s="391"/>
      <c r="B526" s="391"/>
      <c r="C526" s="391"/>
      <c r="D526" s="391"/>
      <c r="E526" s="391"/>
      <c r="F526" s="391"/>
      <c r="G526" s="391"/>
      <c r="H526" s="391"/>
      <c r="I526" s="391"/>
      <c r="J526" s="391"/>
      <c r="K526" s="391"/>
      <c r="L526" s="391"/>
      <c r="M526" s="391"/>
      <c r="N526" s="391"/>
      <c r="O526" s="391"/>
      <c r="P526" s="391"/>
      <c r="Q526" s="391"/>
      <c r="R526" s="391"/>
      <c r="S526" s="391"/>
      <c r="T526" s="391"/>
      <c r="U526" s="391"/>
      <c r="V526" s="391"/>
      <c r="W526" s="391"/>
      <c r="X526" s="391"/>
      <c r="Y526" s="391"/>
      <c r="Z526" s="391"/>
      <c r="AA526" s="391"/>
      <c r="AB526" s="391"/>
      <c r="AC526" s="391"/>
      <c r="AD526" s="391"/>
      <c r="AE526" s="391"/>
      <c r="AF526" s="391"/>
      <c r="AG526" s="391"/>
      <c r="AH526" s="392"/>
      <c r="AI526" s="391"/>
      <c r="AJ526" s="391"/>
    </row>
    <row r="527" spans="1:36" ht="13.5" x14ac:dyDescent="0.25">
      <c r="A527" s="391"/>
      <c r="B527" s="391"/>
      <c r="C527" s="391"/>
      <c r="D527" s="391"/>
      <c r="E527" s="391"/>
      <c r="F527" s="391"/>
      <c r="G527" s="391"/>
      <c r="H527" s="391"/>
      <c r="I527" s="391"/>
      <c r="J527" s="391"/>
      <c r="K527" s="391"/>
      <c r="L527" s="391"/>
      <c r="M527" s="391"/>
      <c r="N527" s="391"/>
      <c r="O527" s="391"/>
      <c r="P527" s="391"/>
      <c r="Q527" s="391"/>
      <c r="R527" s="391"/>
      <c r="S527" s="391"/>
      <c r="T527" s="391"/>
      <c r="U527" s="391"/>
      <c r="V527" s="391"/>
      <c r="W527" s="391"/>
      <c r="X527" s="391"/>
      <c r="Y527" s="391"/>
      <c r="Z527" s="391"/>
      <c r="AA527" s="391"/>
      <c r="AB527" s="391"/>
      <c r="AC527" s="391"/>
      <c r="AD527" s="391"/>
      <c r="AE527" s="391"/>
      <c r="AF527" s="391"/>
      <c r="AG527" s="391"/>
      <c r="AH527" s="392"/>
      <c r="AI527" s="391"/>
      <c r="AJ527" s="391"/>
    </row>
    <row r="528" spans="1:36" ht="13.5" x14ac:dyDescent="0.25">
      <c r="A528" s="391"/>
      <c r="B528" s="391"/>
      <c r="C528" s="391"/>
      <c r="D528" s="391"/>
      <c r="E528" s="391"/>
      <c r="F528" s="391"/>
      <c r="G528" s="391"/>
      <c r="H528" s="391"/>
      <c r="I528" s="391"/>
      <c r="J528" s="391"/>
      <c r="K528" s="391"/>
      <c r="L528" s="391"/>
      <c r="M528" s="391"/>
      <c r="N528" s="391"/>
      <c r="O528" s="391"/>
      <c r="P528" s="391"/>
      <c r="Q528" s="391"/>
      <c r="R528" s="391"/>
      <c r="S528" s="391"/>
      <c r="T528" s="391"/>
      <c r="U528" s="391"/>
      <c r="V528" s="391"/>
      <c r="W528" s="391"/>
      <c r="X528" s="391"/>
      <c r="Y528" s="391"/>
      <c r="Z528" s="391"/>
      <c r="AA528" s="391"/>
      <c r="AB528" s="391"/>
      <c r="AC528" s="391"/>
      <c r="AD528" s="391"/>
      <c r="AE528" s="391"/>
      <c r="AF528" s="391"/>
      <c r="AG528" s="391"/>
      <c r="AH528" s="392"/>
      <c r="AI528" s="391"/>
      <c r="AJ528" s="391"/>
    </row>
    <row r="529" spans="1:36" ht="13.5" x14ac:dyDescent="0.25">
      <c r="A529" s="391"/>
      <c r="B529" s="391"/>
      <c r="C529" s="391"/>
      <c r="D529" s="391"/>
      <c r="E529" s="391"/>
      <c r="F529" s="391"/>
      <c r="G529" s="391"/>
      <c r="H529" s="391"/>
      <c r="I529" s="391"/>
      <c r="J529" s="391"/>
      <c r="K529" s="391"/>
      <c r="L529" s="391"/>
      <c r="M529" s="391"/>
      <c r="N529" s="391"/>
      <c r="O529" s="391"/>
      <c r="P529" s="391"/>
      <c r="Q529" s="391"/>
      <c r="R529" s="391"/>
      <c r="S529" s="391"/>
      <c r="T529" s="391"/>
      <c r="U529" s="391"/>
      <c r="V529" s="391"/>
      <c r="W529" s="391"/>
      <c r="X529" s="391"/>
      <c r="Y529" s="391"/>
      <c r="Z529" s="391"/>
      <c r="AA529" s="391"/>
      <c r="AB529" s="391"/>
      <c r="AC529" s="391"/>
      <c r="AD529" s="391"/>
      <c r="AE529" s="391"/>
      <c r="AF529" s="391"/>
      <c r="AG529" s="391"/>
      <c r="AH529" s="392"/>
      <c r="AI529" s="391"/>
      <c r="AJ529" s="391"/>
    </row>
    <row r="530" spans="1:36" ht="13.5" x14ac:dyDescent="0.25">
      <c r="A530" s="391"/>
      <c r="B530" s="391"/>
      <c r="C530" s="391"/>
      <c r="D530" s="391"/>
      <c r="E530" s="391"/>
      <c r="F530" s="391"/>
      <c r="G530" s="391"/>
      <c r="H530" s="391"/>
      <c r="I530" s="391"/>
      <c r="J530" s="391"/>
      <c r="K530" s="391"/>
      <c r="L530" s="391"/>
      <c r="M530" s="391"/>
      <c r="N530" s="391"/>
      <c r="O530" s="391"/>
      <c r="P530" s="391"/>
      <c r="Q530" s="391"/>
      <c r="R530" s="391"/>
      <c r="S530" s="391"/>
      <c r="T530" s="391"/>
      <c r="U530" s="391"/>
      <c r="V530" s="391"/>
      <c r="W530" s="391"/>
      <c r="X530" s="391"/>
      <c r="Y530" s="391"/>
      <c r="Z530" s="391"/>
      <c r="AA530" s="391"/>
      <c r="AB530" s="391"/>
      <c r="AC530" s="391"/>
      <c r="AD530" s="391"/>
      <c r="AE530" s="391"/>
      <c r="AF530" s="391"/>
      <c r="AG530" s="391"/>
      <c r="AH530" s="392"/>
      <c r="AI530" s="391"/>
      <c r="AJ530" s="391"/>
    </row>
    <row r="531" spans="1:36" ht="13.5" x14ac:dyDescent="0.25">
      <c r="A531" s="391"/>
      <c r="B531" s="391"/>
      <c r="C531" s="391"/>
      <c r="D531" s="391"/>
      <c r="E531" s="391"/>
      <c r="F531" s="391"/>
      <c r="G531" s="391"/>
      <c r="H531" s="391"/>
      <c r="I531" s="391"/>
      <c r="J531" s="391"/>
      <c r="K531" s="391"/>
      <c r="L531" s="391"/>
      <c r="M531" s="391"/>
      <c r="N531" s="391"/>
      <c r="O531" s="391"/>
      <c r="P531" s="391"/>
      <c r="Q531" s="391"/>
      <c r="R531" s="391"/>
      <c r="S531" s="391"/>
      <c r="T531" s="391"/>
      <c r="U531" s="391"/>
      <c r="V531" s="391"/>
      <c r="W531" s="391"/>
      <c r="X531" s="391"/>
      <c r="Y531" s="391"/>
      <c r="Z531" s="391"/>
      <c r="AA531" s="391"/>
      <c r="AB531" s="391"/>
      <c r="AC531" s="391"/>
      <c r="AD531" s="391"/>
      <c r="AE531" s="391"/>
      <c r="AF531" s="391"/>
      <c r="AG531" s="391"/>
      <c r="AH531" s="392"/>
      <c r="AI531" s="391"/>
      <c r="AJ531" s="391"/>
    </row>
    <row r="532" spans="1:36" ht="13.5" x14ac:dyDescent="0.25">
      <c r="A532" s="391"/>
      <c r="B532" s="391"/>
      <c r="C532" s="391"/>
      <c r="D532" s="391"/>
      <c r="E532" s="391"/>
      <c r="F532" s="391"/>
      <c r="G532" s="391"/>
      <c r="H532" s="391"/>
      <c r="I532" s="391"/>
      <c r="J532" s="391"/>
      <c r="K532" s="391"/>
      <c r="L532" s="391"/>
      <c r="M532" s="391"/>
      <c r="N532" s="391"/>
      <c r="O532" s="391"/>
      <c r="P532" s="391"/>
      <c r="Q532" s="391"/>
      <c r="R532" s="391"/>
      <c r="S532" s="391"/>
      <c r="T532" s="391"/>
      <c r="U532" s="391"/>
      <c r="V532" s="391"/>
      <c r="W532" s="391"/>
      <c r="X532" s="391"/>
      <c r="Y532" s="391"/>
      <c r="Z532" s="391"/>
      <c r="AA532" s="391"/>
      <c r="AB532" s="391"/>
      <c r="AC532" s="391"/>
      <c r="AD532" s="391"/>
      <c r="AE532" s="391"/>
      <c r="AF532" s="391"/>
      <c r="AG532" s="391"/>
      <c r="AH532" s="392"/>
      <c r="AI532" s="391"/>
      <c r="AJ532" s="391"/>
    </row>
    <row r="533" spans="1:36" ht="13.5" x14ac:dyDescent="0.25">
      <c r="A533" s="391"/>
      <c r="B533" s="391"/>
      <c r="C533" s="391"/>
      <c r="D533" s="391"/>
      <c r="E533" s="391"/>
      <c r="F533" s="391"/>
      <c r="G533" s="391"/>
      <c r="H533" s="391"/>
      <c r="I533" s="391"/>
      <c r="J533" s="391"/>
      <c r="K533" s="391"/>
      <c r="L533" s="391"/>
      <c r="M533" s="391"/>
      <c r="N533" s="391"/>
      <c r="O533" s="391"/>
      <c r="P533" s="391"/>
      <c r="Q533" s="391"/>
      <c r="R533" s="391"/>
      <c r="S533" s="391"/>
      <c r="T533" s="391"/>
      <c r="U533" s="391"/>
      <c r="V533" s="391"/>
      <c r="W533" s="391"/>
      <c r="X533" s="391"/>
      <c r="Y533" s="391"/>
      <c r="Z533" s="391"/>
      <c r="AA533" s="391"/>
      <c r="AB533" s="391"/>
      <c r="AC533" s="391"/>
      <c r="AD533" s="391"/>
      <c r="AE533" s="391"/>
      <c r="AF533" s="391"/>
      <c r="AG533" s="391"/>
      <c r="AH533" s="392"/>
      <c r="AI533" s="391"/>
      <c r="AJ533" s="391"/>
    </row>
    <row r="534" spans="1:36" ht="13.5" x14ac:dyDescent="0.25">
      <c r="A534" s="391"/>
      <c r="B534" s="391"/>
      <c r="C534" s="391"/>
      <c r="D534" s="391"/>
      <c r="E534" s="391"/>
      <c r="F534" s="391"/>
      <c r="G534" s="391"/>
      <c r="H534" s="391"/>
      <c r="I534" s="391"/>
      <c r="J534" s="391"/>
      <c r="K534" s="391"/>
      <c r="L534" s="391"/>
      <c r="M534" s="391"/>
      <c r="N534" s="391"/>
      <c r="O534" s="391"/>
      <c r="P534" s="391"/>
      <c r="Q534" s="391"/>
      <c r="R534" s="391"/>
      <c r="S534" s="391"/>
      <c r="T534" s="391"/>
      <c r="U534" s="391"/>
      <c r="V534" s="391"/>
      <c r="W534" s="391"/>
      <c r="X534" s="391"/>
      <c r="Y534" s="391"/>
      <c r="Z534" s="391"/>
      <c r="AA534" s="391"/>
      <c r="AB534" s="391"/>
      <c r="AC534" s="391"/>
      <c r="AD534" s="391"/>
      <c r="AE534" s="391"/>
      <c r="AF534" s="391"/>
      <c r="AG534" s="391"/>
      <c r="AH534" s="392"/>
      <c r="AI534" s="391"/>
      <c r="AJ534" s="391"/>
    </row>
    <row r="535" spans="1:36" ht="13.5" x14ac:dyDescent="0.25">
      <c r="A535" s="391"/>
      <c r="B535" s="391"/>
      <c r="C535" s="391"/>
      <c r="D535" s="391"/>
      <c r="E535" s="391"/>
      <c r="F535" s="391"/>
      <c r="G535" s="391"/>
      <c r="H535" s="391"/>
      <c r="I535" s="391"/>
      <c r="J535" s="391"/>
      <c r="K535" s="391"/>
      <c r="L535" s="391"/>
      <c r="M535" s="391"/>
      <c r="N535" s="391"/>
      <c r="O535" s="391"/>
      <c r="P535" s="391"/>
      <c r="Q535" s="391"/>
      <c r="R535" s="391"/>
      <c r="S535" s="391"/>
      <c r="T535" s="391"/>
      <c r="U535" s="391"/>
      <c r="V535" s="391"/>
      <c r="W535" s="391"/>
      <c r="X535" s="391"/>
      <c r="Y535" s="391"/>
      <c r="Z535" s="391"/>
      <c r="AA535" s="391"/>
      <c r="AB535" s="391"/>
      <c r="AC535" s="391"/>
      <c r="AD535" s="391"/>
      <c r="AE535" s="391"/>
      <c r="AF535" s="391"/>
      <c r="AG535" s="391"/>
      <c r="AH535" s="392"/>
      <c r="AI535" s="391"/>
      <c r="AJ535" s="391"/>
    </row>
    <row r="536" spans="1:36" ht="13.5" x14ac:dyDescent="0.25">
      <c r="A536" s="391"/>
      <c r="B536" s="391"/>
      <c r="C536" s="391"/>
      <c r="D536" s="391"/>
      <c r="E536" s="391"/>
      <c r="F536" s="391"/>
      <c r="G536" s="391"/>
      <c r="H536" s="391"/>
      <c r="I536" s="391"/>
      <c r="J536" s="391"/>
      <c r="K536" s="391"/>
      <c r="L536" s="391"/>
      <c r="M536" s="391"/>
      <c r="N536" s="391"/>
      <c r="O536" s="391"/>
      <c r="P536" s="391"/>
      <c r="Q536" s="391"/>
      <c r="R536" s="391"/>
      <c r="S536" s="391"/>
      <c r="T536" s="391"/>
      <c r="U536" s="391"/>
      <c r="V536" s="391"/>
      <c r="W536" s="391"/>
      <c r="X536" s="391"/>
      <c r="Y536" s="391"/>
      <c r="Z536" s="391"/>
      <c r="AA536" s="391"/>
      <c r="AB536" s="391"/>
      <c r="AC536" s="391"/>
      <c r="AD536" s="391"/>
      <c r="AE536" s="391"/>
      <c r="AF536" s="391"/>
      <c r="AG536" s="391"/>
      <c r="AH536" s="392"/>
      <c r="AI536" s="391"/>
      <c r="AJ536" s="391"/>
    </row>
    <row r="537" spans="1:36" ht="13.5" x14ac:dyDescent="0.25">
      <c r="A537" s="391"/>
      <c r="B537" s="391"/>
      <c r="C537" s="391"/>
      <c r="D537" s="391"/>
      <c r="E537" s="391"/>
      <c r="F537" s="391"/>
      <c r="G537" s="391"/>
      <c r="H537" s="391"/>
      <c r="I537" s="391"/>
      <c r="J537" s="391"/>
      <c r="K537" s="391"/>
      <c r="L537" s="391"/>
      <c r="M537" s="391"/>
      <c r="N537" s="391"/>
      <c r="O537" s="391"/>
      <c r="P537" s="391"/>
      <c r="Q537" s="391"/>
      <c r="R537" s="391"/>
      <c r="S537" s="391"/>
      <c r="T537" s="391"/>
      <c r="U537" s="391"/>
      <c r="V537" s="391"/>
      <c r="W537" s="391"/>
      <c r="X537" s="391"/>
      <c r="Y537" s="391"/>
      <c r="Z537" s="391"/>
      <c r="AA537" s="391"/>
      <c r="AB537" s="391"/>
      <c r="AC537" s="391"/>
      <c r="AD537" s="391"/>
      <c r="AE537" s="391"/>
      <c r="AF537" s="391"/>
      <c r="AG537" s="391"/>
      <c r="AH537" s="392"/>
      <c r="AI537" s="391"/>
      <c r="AJ537" s="391"/>
    </row>
    <row r="538" spans="1:36" ht="13.5" x14ac:dyDescent="0.25">
      <c r="A538" s="391"/>
      <c r="B538" s="391"/>
      <c r="C538" s="391"/>
      <c r="D538" s="391"/>
      <c r="E538" s="391"/>
      <c r="F538" s="391"/>
      <c r="G538" s="391"/>
      <c r="H538" s="391"/>
      <c r="I538" s="391"/>
      <c r="J538" s="391"/>
      <c r="K538" s="391"/>
      <c r="L538" s="391"/>
      <c r="M538" s="391"/>
      <c r="N538" s="391"/>
      <c r="O538" s="391"/>
      <c r="P538" s="391"/>
      <c r="Q538" s="391"/>
      <c r="R538" s="391"/>
      <c r="S538" s="391"/>
      <c r="T538" s="391"/>
      <c r="U538" s="391"/>
      <c r="V538" s="391"/>
      <c r="W538" s="391"/>
      <c r="X538" s="391"/>
      <c r="Y538" s="391"/>
      <c r="Z538" s="391"/>
      <c r="AA538" s="391"/>
      <c r="AB538" s="391"/>
      <c r="AC538" s="391"/>
      <c r="AD538" s="391"/>
      <c r="AE538" s="391"/>
      <c r="AF538" s="391"/>
      <c r="AG538" s="391"/>
      <c r="AH538" s="392"/>
      <c r="AI538" s="391"/>
      <c r="AJ538" s="391"/>
    </row>
    <row r="539" spans="1:36" ht="13.5" x14ac:dyDescent="0.25">
      <c r="A539" s="391"/>
      <c r="B539" s="391"/>
      <c r="C539" s="391"/>
      <c r="D539" s="391"/>
      <c r="E539" s="391"/>
      <c r="F539" s="391"/>
      <c r="G539" s="391"/>
      <c r="H539" s="391"/>
      <c r="I539" s="391"/>
      <c r="J539" s="391"/>
      <c r="K539" s="391"/>
      <c r="L539" s="391"/>
      <c r="M539" s="391"/>
      <c r="N539" s="391"/>
      <c r="O539" s="391"/>
      <c r="P539" s="391"/>
      <c r="Q539" s="391"/>
      <c r="R539" s="391"/>
      <c r="S539" s="391"/>
      <c r="T539" s="391"/>
      <c r="U539" s="391"/>
      <c r="V539" s="391"/>
      <c r="W539" s="391"/>
      <c r="X539" s="391"/>
      <c r="Y539" s="391"/>
      <c r="Z539" s="391"/>
      <c r="AA539" s="391"/>
      <c r="AB539" s="391"/>
      <c r="AC539" s="391"/>
      <c r="AD539" s="391"/>
      <c r="AE539" s="391"/>
      <c r="AF539" s="391"/>
      <c r="AG539" s="391"/>
      <c r="AH539" s="392"/>
      <c r="AI539" s="391"/>
      <c r="AJ539" s="391"/>
    </row>
    <row r="540" spans="1:36" ht="13.5" x14ac:dyDescent="0.25">
      <c r="A540" s="391"/>
      <c r="B540" s="391"/>
      <c r="C540" s="391"/>
      <c r="D540" s="391"/>
      <c r="E540" s="391"/>
      <c r="F540" s="391"/>
      <c r="G540" s="391"/>
      <c r="H540" s="391"/>
      <c r="I540" s="391"/>
      <c r="J540" s="391"/>
      <c r="K540" s="391"/>
      <c r="L540" s="391"/>
      <c r="M540" s="391"/>
      <c r="N540" s="391"/>
      <c r="O540" s="391"/>
      <c r="P540" s="391"/>
      <c r="Q540" s="391"/>
      <c r="R540" s="391"/>
      <c r="S540" s="391"/>
      <c r="T540" s="391"/>
      <c r="U540" s="391"/>
      <c r="V540" s="391"/>
      <c r="W540" s="391"/>
      <c r="X540" s="391"/>
      <c r="Y540" s="391"/>
      <c r="Z540" s="391"/>
      <c r="AA540" s="391"/>
      <c r="AB540" s="391"/>
      <c r="AC540" s="391"/>
      <c r="AD540" s="391"/>
      <c r="AE540" s="391"/>
      <c r="AF540" s="391"/>
      <c r="AG540" s="391"/>
      <c r="AH540" s="392"/>
      <c r="AI540" s="391"/>
      <c r="AJ540" s="391"/>
    </row>
    <row r="541" spans="1:36" ht="13.5" x14ac:dyDescent="0.25">
      <c r="A541" s="391"/>
      <c r="B541" s="391"/>
      <c r="C541" s="391"/>
      <c r="D541" s="391"/>
      <c r="E541" s="391"/>
      <c r="F541" s="391"/>
      <c r="G541" s="391"/>
      <c r="H541" s="391"/>
      <c r="I541" s="391"/>
      <c r="J541" s="391"/>
      <c r="K541" s="391"/>
      <c r="L541" s="391"/>
      <c r="M541" s="391"/>
      <c r="N541" s="391"/>
      <c r="O541" s="391"/>
      <c r="P541" s="391"/>
      <c r="Q541" s="391"/>
      <c r="R541" s="391"/>
      <c r="S541" s="391"/>
      <c r="T541" s="391"/>
      <c r="U541" s="391"/>
      <c r="V541" s="391"/>
      <c r="W541" s="391"/>
      <c r="X541" s="391"/>
      <c r="Y541" s="391"/>
      <c r="Z541" s="391"/>
      <c r="AA541" s="391"/>
      <c r="AB541" s="391"/>
      <c r="AC541" s="391"/>
      <c r="AD541" s="391"/>
      <c r="AE541" s="391"/>
      <c r="AF541" s="391"/>
      <c r="AG541" s="391"/>
      <c r="AH541" s="392"/>
      <c r="AI541" s="391"/>
      <c r="AJ541" s="391"/>
    </row>
    <row r="542" spans="1:36" ht="13.5" x14ac:dyDescent="0.25">
      <c r="A542" s="391"/>
      <c r="B542" s="391"/>
      <c r="C542" s="391"/>
      <c r="D542" s="391"/>
      <c r="E542" s="391"/>
      <c r="F542" s="391"/>
      <c r="G542" s="391"/>
      <c r="H542" s="391"/>
      <c r="I542" s="391"/>
      <c r="J542" s="391"/>
      <c r="K542" s="391"/>
      <c r="L542" s="391"/>
      <c r="M542" s="391"/>
      <c r="N542" s="391"/>
      <c r="O542" s="391"/>
      <c r="P542" s="391"/>
      <c r="Q542" s="391"/>
      <c r="R542" s="391"/>
      <c r="S542" s="391"/>
      <c r="T542" s="391"/>
      <c r="U542" s="391"/>
      <c r="V542" s="391"/>
      <c r="W542" s="391"/>
      <c r="X542" s="391"/>
      <c r="Y542" s="391"/>
      <c r="Z542" s="391"/>
      <c r="AA542" s="391"/>
      <c r="AB542" s="391"/>
      <c r="AC542" s="391"/>
      <c r="AD542" s="391"/>
      <c r="AE542" s="391"/>
      <c r="AF542" s="391"/>
      <c r="AG542" s="391"/>
      <c r="AH542" s="392"/>
      <c r="AI542" s="391"/>
      <c r="AJ542" s="391"/>
    </row>
    <row r="543" spans="1:36" ht="13.5" x14ac:dyDescent="0.25">
      <c r="A543" s="391"/>
      <c r="B543" s="391"/>
      <c r="C543" s="391"/>
      <c r="D543" s="391"/>
      <c r="E543" s="391"/>
      <c r="F543" s="391"/>
      <c r="G543" s="391"/>
      <c r="H543" s="391"/>
      <c r="I543" s="391"/>
      <c r="J543" s="391"/>
      <c r="K543" s="391"/>
      <c r="L543" s="391"/>
      <c r="M543" s="391"/>
      <c r="N543" s="391"/>
      <c r="O543" s="391"/>
      <c r="P543" s="391"/>
      <c r="Q543" s="391"/>
      <c r="R543" s="391"/>
      <c r="S543" s="391"/>
      <c r="T543" s="391"/>
      <c r="U543" s="391"/>
      <c r="V543" s="391"/>
      <c r="W543" s="391"/>
      <c r="X543" s="391"/>
      <c r="Y543" s="391"/>
      <c r="Z543" s="391"/>
      <c r="AA543" s="391"/>
      <c r="AB543" s="391"/>
      <c r="AC543" s="391"/>
      <c r="AD543" s="391"/>
      <c r="AE543" s="391"/>
      <c r="AF543" s="391"/>
      <c r="AG543" s="391"/>
      <c r="AH543" s="392"/>
      <c r="AI543" s="391"/>
      <c r="AJ543" s="391"/>
    </row>
    <row r="544" spans="1:36" ht="13.5" x14ac:dyDescent="0.25">
      <c r="A544" s="391"/>
      <c r="B544" s="391"/>
      <c r="C544" s="391"/>
      <c r="D544" s="391"/>
      <c r="E544" s="391"/>
      <c r="F544" s="391"/>
      <c r="G544" s="391"/>
      <c r="H544" s="391"/>
      <c r="I544" s="391"/>
      <c r="J544" s="391"/>
      <c r="K544" s="391"/>
      <c r="L544" s="391"/>
      <c r="M544" s="391"/>
      <c r="N544" s="391"/>
      <c r="O544" s="391"/>
      <c r="P544" s="391"/>
      <c r="Q544" s="391"/>
      <c r="R544" s="391"/>
      <c r="S544" s="391"/>
      <c r="T544" s="391"/>
      <c r="U544" s="391"/>
      <c r="V544" s="391"/>
      <c r="W544" s="391"/>
      <c r="X544" s="391"/>
      <c r="Y544" s="391"/>
      <c r="Z544" s="391"/>
      <c r="AA544" s="391"/>
      <c r="AB544" s="391"/>
      <c r="AC544" s="391"/>
      <c r="AD544" s="391"/>
      <c r="AE544" s="391"/>
      <c r="AF544" s="391"/>
      <c r="AG544" s="391"/>
      <c r="AH544" s="392"/>
      <c r="AI544" s="391"/>
      <c r="AJ544" s="391"/>
    </row>
    <row r="545" spans="1:36" ht="13.5" x14ac:dyDescent="0.25">
      <c r="A545" s="391"/>
      <c r="B545" s="391"/>
      <c r="C545" s="391"/>
      <c r="D545" s="391"/>
      <c r="E545" s="391"/>
      <c r="F545" s="391"/>
      <c r="G545" s="391"/>
      <c r="H545" s="391"/>
      <c r="I545" s="391"/>
      <c r="J545" s="391"/>
      <c r="K545" s="391"/>
      <c r="L545" s="391"/>
      <c r="M545" s="391"/>
      <c r="N545" s="391"/>
      <c r="O545" s="391"/>
      <c r="P545" s="391"/>
      <c r="Q545" s="391"/>
      <c r="R545" s="391"/>
      <c r="S545" s="391"/>
      <c r="T545" s="391"/>
      <c r="U545" s="391"/>
      <c r="V545" s="391"/>
      <c r="W545" s="391"/>
      <c r="X545" s="391"/>
      <c r="Y545" s="391"/>
      <c r="Z545" s="391"/>
      <c r="AA545" s="391"/>
      <c r="AB545" s="391"/>
      <c r="AC545" s="391"/>
      <c r="AD545" s="391"/>
      <c r="AE545" s="391"/>
      <c r="AF545" s="391"/>
      <c r="AG545" s="391"/>
      <c r="AH545" s="392"/>
      <c r="AI545" s="391"/>
      <c r="AJ545" s="391"/>
    </row>
    <row r="546" spans="1:36" ht="13.5" x14ac:dyDescent="0.25">
      <c r="A546" s="391"/>
      <c r="B546" s="391"/>
      <c r="C546" s="391"/>
      <c r="D546" s="391"/>
      <c r="E546" s="391"/>
      <c r="F546" s="391"/>
      <c r="G546" s="391"/>
      <c r="H546" s="391"/>
      <c r="I546" s="391"/>
      <c r="J546" s="391"/>
      <c r="K546" s="391"/>
      <c r="L546" s="391"/>
      <c r="M546" s="391"/>
      <c r="N546" s="391"/>
      <c r="O546" s="391"/>
      <c r="P546" s="391"/>
      <c r="Q546" s="391"/>
      <c r="R546" s="391"/>
      <c r="S546" s="391"/>
      <c r="T546" s="391"/>
      <c r="U546" s="391"/>
      <c r="V546" s="391"/>
      <c r="W546" s="391"/>
      <c r="X546" s="391"/>
      <c r="Y546" s="391"/>
      <c r="Z546" s="391"/>
      <c r="AA546" s="391"/>
      <c r="AB546" s="391"/>
      <c r="AC546" s="391"/>
      <c r="AD546" s="391"/>
      <c r="AE546" s="391"/>
      <c r="AF546" s="391"/>
      <c r="AG546" s="391"/>
      <c r="AH546" s="392"/>
      <c r="AI546" s="391"/>
      <c r="AJ546" s="391"/>
    </row>
    <row r="547" spans="1:36" ht="13.5" x14ac:dyDescent="0.25">
      <c r="A547" s="391"/>
      <c r="B547" s="391"/>
      <c r="C547" s="391"/>
      <c r="D547" s="391"/>
      <c r="E547" s="391"/>
      <c r="F547" s="391"/>
      <c r="G547" s="391"/>
      <c r="H547" s="391"/>
      <c r="I547" s="391"/>
      <c r="J547" s="391"/>
      <c r="K547" s="391"/>
      <c r="L547" s="391"/>
      <c r="M547" s="391"/>
      <c r="N547" s="391"/>
      <c r="O547" s="391"/>
      <c r="P547" s="391"/>
      <c r="Q547" s="391"/>
      <c r="R547" s="391"/>
      <c r="S547" s="391"/>
      <c r="T547" s="391"/>
      <c r="U547" s="391"/>
      <c r="V547" s="391"/>
      <c r="W547" s="391"/>
      <c r="X547" s="391"/>
      <c r="Y547" s="391"/>
      <c r="Z547" s="391"/>
      <c r="AA547" s="391"/>
      <c r="AB547" s="391"/>
      <c r="AC547" s="391"/>
      <c r="AD547" s="391"/>
      <c r="AE547" s="391"/>
      <c r="AF547" s="391"/>
      <c r="AG547" s="391"/>
      <c r="AH547" s="392"/>
      <c r="AI547" s="391"/>
      <c r="AJ547" s="391"/>
    </row>
    <row r="548" spans="1:36" ht="13.5" x14ac:dyDescent="0.25">
      <c r="A548" s="391"/>
      <c r="B548" s="391"/>
      <c r="C548" s="391"/>
      <c r="D548" s="391"/>
      <c r="E548" s="391"/>
      <c r="F548" s="391"/>
      <c r="G548" s="391"/>
      <c r="H548" s="391"/>
      <c r="I548" s="391"/>
      <c r="J548" s="391"/>
      <c r="K548" s="391"/>
      <c r="L548" s="391"/>
      <c r="M548" s="391"/>
      <c r="N548" s="391"/>
      <c r="O548" s="391"/>
      <c r="P548" s="391"/>
      <c r="Q548" s="391"/>
      <c r="R548" s="391"/>
      <c r="S548" s="391"/>
      <c r="T548" s="391"/>
      <c r="U548" s="391"/>
      <c r="V548" s="391"/>
      <c r="W548" s="391"/>
      <c r="X548" s="391"/>
      <c r="Y548" s="391"/>
      <c r="Z548" s="391"/>
      <c r="AA548" s="391"/>
      <c r="AB548" s="391"/>
      <c r="AC548" s="391"/>
      <c r="AD548" s="391"/>
      <c r="AE548" s="391"/>
      <c r="AF548" s="391"/>
      <c r="AG548" s="391"/>
      <c r="AH548" s="392"/>
      <c r="AI548" s="391"/>
      <c r="AJ548" s="391"/>
    </row>
    <row r="549" spans="1:36" ht="13.5" x14ac:dyDescent="0.25">
      <c r="A549" s="391"/>
      <c r="B549" s="391"/>
      <c r="C549" s="391"/>
      <c r="D549" s="391"/>
      <c r="E549" s="391"/>
      <c r="F549" s="391"/>
      <c r="G549" s="391"/>
      <c r="H549" s="391"/>
      <c r="I549" s="391"/>
      <c r="J549" s="391"/>
      <c r="K549" s="391"/>
      <c r="L549" s="391"/>
      <c r="M549" s="391"/>
      <c r="N549" s="391"/>
      <c r="O549" s="391"/>
      <c r="P549" s="391"/>
      <c r="Q549" s="391"/>
      <c r="R549" s="391"/>
      <c r="S549" s="391"/>
      <c r="T549" s="391"/>
      <c r="U549" s="391"/>
      <c r="V549" s="391"/>
      <c r="W549" s="391"/>
      <c r="X549" s="391"/>
      <c r="Y549" s="391"/>
      <c r="Z549" s="391"/>
      <c r="AA549" s="391"/>
      <c r="AB549" s="391"/>
      <c r="AC549" s="391"/>
      <c r="AD549" s="391"/>
      <c r="AE549" s="391"/>
      <c r="AF549" s="391"/>
      <c r="AG549" s="391"/>
      <c r="AH549" s="392"/>
      <c r="AI549" s="391"/>
      <c r="AJ549" s="391"/>
    </row>
    <row r="550" spans="1:36" ht="13.5" x14ac:dyDescent="0.25">
      <c r="A550" s="391"/>
      <c r="B550" s="391"/>
      <c r="C550" s="391"/>
      <c r="D550" s="391"/>
      <c r="E550" s="391"/>
      <c r="F550" s="391"/>
      <c r="G550" s="391"/>
      <c r="H550" s="391"/>
      <c r="I550" s="391"/>
      <c r="J550" s="391"/>
      <c r="K550" s="391"/>
      <c r="L550" s="391"/>
      <c r="M550" s="391"/>
      <c r="N550" s="391"/>
      <c r="O550" s="391"/>
      <c r="P550" s="391"/>
      <c r="Q550" s="391"/>
      <c r="R550" s="391"/>
      <c r="S550" s="391"/>
      <c r="T550" s="391"/>
      <c r="U550" s="391"/>
      <c r="V550" s="391"/>
      <c r="W550" s="391"/>
      <c r="X550" s="391"/>
      <c r="Y550" s="391"/>
      <c r="Z550" s="391"/>
      <c r="AA550" s="391"/>
      <c r="AB550" s="391"/>
      <c r="AC550" s="391"/>
      <c r="AD550" s="391"/>
      <c r="AE550" s="391"/>
      <c r="AF550" s="391"/>
      <c r="AG550" s="391"/>
      <c r="AH550" s="392"/>
      <c r="AI550" s="391"/>
      <c r="AJ550" s="391"/>
    </row>
    <row r="551" spans="1:36" ht="13.5" x14ac:dyDescent="0.25">
      <c r="A551" s="391"/>
      <c r="B551" s="391"/>
      <c r="C551" s="391"/>
      <c r="D551" s="391"/>
      <c r="E551" s="391"/>
      <c r="F551" s="391"/>
      <c r="G551" s="391"/>
      <c r="H551" s="391"/>
      <c r="I551" s="391"/>
      <c r="J551" s="391"/>
      <c r="K551" s="391"/>
      <c r="L551" s="391"/>
      <c r="M551" s="391"/>
      <c r="N551" s="391"/>
      <c r="O551" s="391"/>
      <c r="P551" s="391"/>
      <c r="Q551" s="391"/>
      <c r="R551" s="391"/>
      <c r="S551" s="391"/>
      <c r="T551" s="391"/>
      <c r="U551" s="391"/>
      <c r="V551" s="391"/>
      <c r="W551" s="391"/>
      <c r="X551" s="391"/>
      <c r="Y551" s="391"/>
      <c r="Z551" s="391"/>
      <c r="AA551" s="391"/>
      <c r="AB551" s="391"/>
      <c r="AC551" s="391"/>
      <c r="AD551" s="391"/>
      <c r="AE551" s="391"/>
      <c r="AF551" s="391"/>
      <c r="AG551" s="391"/>
      <c r="AH551" s="392"/>
      <c r="AI551" s="391"/>
      <c r="AJ551" s="391"/>
    </row>
    <row r="552" spans="1:36" ht="13.5" x14ac:dyDescent="0.25">
      <c r="A552" s="391"/>
      <c r="B552" s="391"/>
      <c r="C552" s="391"/>
      <c r="D552" s="391"/>
      <c r="E552" s="391"/>
      <c r="F552" s="391"/>
      <c r="G552" s="391"/>
      <c r="H552" s="391"/>
      <c r="I552" s="391"/>
      <c r="J552" s="391"/>
      <c r="K552" s="391"/>
      <c r="L552" s="391"/>
      <c r="M552" s="391"/>
      <c r="N552" s="391"/>
      <c r="O552" s="391"/>
      <c r="P552" s="391"/>
      <c r="Q552" s="391"/>
      <c r="R552" s="391"/>
      <c r="S552" s="391"/>
      <c r="T552" s="391"/>
      <c r="U552" s="391"/>
      <c r="V552" s="391"/>
      <c r="W552" s="391"/>
      <c r="X552" s="391"/>
      <c r="Y552" s="391"/>
      <c r="Z552" s="391"/>
      <c r="AA552" s="391"/>
      <c r="AB552" s="391"/>
      <c r="AC552" s="391"/>
      <c r="AD552" s="391"/>
      <c r="AE552" s="391"/>
      <c r="AF552" s="391"/>
      <c r="AG552" s="391"/>
      <c r="AH552" s="392"/>
      <c r="AI552" s="391"/>
      <c r="AJ552" s="391"/>
    </row>
    <row r="553" spans="1:36" ht="13.5" x14ac:dyDescent="0.25">
      <c r="A553" s="391"/>
      <c r="B553" s="391"/>
      <c r="C553" s="391"/>
      <c r="D553" s="391"/>
      <c r="E553" s="391"/>
      <c r="F553" s="391"/>
      <c r="G553" s="391"/>
      <c r="H553" s="391"/>
      <c r="I553" s="391"/>
      <c r="J553" s="391"/>
      <c r="K553" s="391"/>
      <c r="L553" s="391"/>
      <c r="M553" s="391"/>
      <c r="N553" s="391"/>
      <c r="O553" s="391"/>
      <c r="P553" s="391"/>
      <c r="Q553" s="391"/>
      <c r="R553" s="391"/>
      <c r="S553" s="391"/>
      <c r="T553" s="391"/>
      <c r="U553" s="391"/>
      <c r="V553" s="391"/>
      <c r="W553" s="391"/>
      <c r="X553" s="391"/>
      <c r="Y553" s="391"/>
      <c r="Z553" s="391"/>
      <c r="AA553" s="391"/>
      <c r="AB553" s="391"/>
      <c r="AC553" s="391"/>
      <c r="AD553" s="391"/>
      <c r="AE553" s="391"/>
      <c r="AF553" s="391"/>
      <c r="AG553" s="391"/>
      <c r="AH553" s="392"/>
      <c r="AI553" s="391"/>
      <c r="AJ553" s="391"/>
    </row>
    <row r="554" spans="1:36" ht="13.5" x14ac:dyDescent="0.25">
      <c r="A554" s="391"/>
      <c r="B554" s="391"/>
      <c r="C554" s="391"/>
      <c r="D554" s="391"/>
      <c r="E554" s="391"/>
      <c r="F554" s="391"/>
      <c r="G554" s="391"/>
      <c r="H554" s="391"/>
      <c r="I554" s="391"/>
      <c r="J554" s="391"/>
      <c r="K554" s="391"/>
      <c r="L554" s="391"/>
      <c r="M554" s="391"/>
      <c r="N554" s="391"/>
      <c r="O554" s="391"/>
      <c r="P554" s="391"/>
      <c r="Q554" s="391"/>
      <c r="R554" s="391"/>
      <c r="S554" s="391"/>
      <c r="T554" s="391"/>
      <c r="U554" s="391"/>
      <c r="V554" s="391"/>
      <c r="W554" s="391"/>
      <c r="X554" s="391"/>
      <c r="Y554" s="391"/>
      <c r="Z554" s="391"/>
      <c r="AA554" s="391"/>
      <c r="AB554" s="391"/>
      <c r="AC554" s="391"/>
      <c r="AD554" s="391"/>
      <c r="AE554" s="391"/>
      <c r="AF554" s="391"/>
      <c r="AG554" s="391"/>
      <c r="AH554" s="392"/>
      <c r="AI554" s="391"/>
      <c r="AJ554" s="391"/>
    </row>
    <row r="555" spans="1:36" ht="13.5" x14ac:dyDescent="0.25">
      <c r="A555" s="391"/>
      <c r="B555" s="391"/>
      <c r="C555" s="391"/>
      <c r="D555" s="391"/>
      <c r="E555" s="391"/>
      <c r="F555" s="391"/>
      <c r="G555" s="391"/>
      <c r="H555" s="391"/>
      <c r="I555" s="391"/>
      <c r="J555" s="391"/>
      <c r="K555" s="391"/>
      <c r="L555" s="391"/>
      <c r="M555" s="391"/>
      <c r="N555" s="391"/>
      <c r="O555" s="391"/>
      <c r="P555" s="391"/>
      <c r="Q555" s="391"/>
      <c r="R555" s="391"/>
      <c r="S555" s="391"/>
      <c r="T555" s="391"/>
      <c r="U555" s="391"/>
      <c r="V555" s="391"/>
      <c r="W555" s="391"/>
      <c r="X555" s="391"/>
      <c r="Y555" s="391"/>
      <c r="Z555" s="391"/>
      <c r="AA555" s="391"/>
      <c r="AB555" s="391"/>
      <c r="AC555" s="391"/>
      <c r="AD555" s="391"/>
      <c r="AE555" s="391"/>
      <c r="AF555" s="391"/>
      <c r="AG555" s="391"/>
      <c r="AH555" s="392"/>
      <c r="AI555" s="391"/>
      <c r="AJ555" s="391"/>
    </row>
    <row r="556" spans="1:36" ht="13.5" x14ac:dyDescent="0.25">
      <c r="A556" s="391"/>
      <c r="B556" s="391"/>
      <c r="C556" s="391"/>
      <c r="D556" s="391"/>
      <c r="E556" s="391"/>
      <c r="F556" s="391"/>
      <c r="G556" s="391"/>
      <c r="H556" s="391"/>
      <c r="I556" s="391"/>
      <c r="J556" s="391"/>
      <c r="K556" s="391"/>
      <c r="L556" s="391"/>
      <c r="M556" s="391"/>
      <c r="N556" s="391"/>
      <c r="O556" s="391"/>
      <c r="P556" s="391"/>
      <c r="Q556" s="391"/>
      <c r="R556" s="391"/>
      <c r="S556" s="391"/>
      <c r="T556" s="391"/>
      <c r="U556" s="391"/>
      <c r="V556" s="391"/>
      <c r="W556" s="391"/>
      <c r="X556" s="391"/>
      <c r="Y556" s="391"/>
      <c r="Z556" s="391"/>
      <c r="AA556" s="391"/>
      <c r="AB556" s="391"/>
      <c r="AC556" s="391"/>
      <c r="AD556" s="391"/>
      <c r="AE556" s="391"/>
      <c r="AF556" s="391"/>
      <c r="AG556" s="391"/>
      <c r="AH556" s="392"/>
      <c r="AI556" s="391"/>
      <c r="AJ556" s="391"/>
    </row>
    <row r="557" spans="1:36" ht="13.5" x14ac:dyDescent="0.25">
      <c r="A557" s="391"/>
      <c r="B557" s="391"/>
      <c r="C557" s="391"/>
      <c r="D557" s="391"/>
      <c r="E557" s="391"/>
      <c r="F557" s="391"/>
      <c r="G557" s="391"/>
      <c r="H557" s="391"/>
      <c r="I557" s="391"/>
      <c r="J557" s="391"/>
      <c r="K557" s="391"/>
      <c r="L557" s="391"/>
      <c r="M557" s="391"/>
      <c r="N557" s="391"/>
      <c r="O557" s="391"/>
      <c r="P557" s="391"/>
      <c r="Q557" s="391"/>
      <c r="R557" s="391"/>
      <c r="S557" s="391"/>
      <c r="T557" s="391"/>
      <c r="U557" s="391"/>
      <c r="V557" s="391"/>
      <c r="W557" s="391"/>
      <c r="X557" s="391"/>
      <c r="Y557" s="391"/>
      <c r="Z557" s="391"/>
      <c r="AA557" s="391"/>
      <c r="AB557" s="391"/>
      <c r="AC557" s="391"/>
      <c r="AD557" s="391"/>
      <c r="AE557" s="391"/>
      <c r="AF557" s="391"/>
      <c r="AG557" s="391"/>
      <c r="AH557" s="392"/>
      <c r="AI557" s="391"/>
      <c r="AJ557" s="391"/>
    </row>
    <row r="558" spans="1:36" ht="13.5" x14ac:dyDescent="0.25">
      <c r="A558" s="391"/>
      <c r="B558" s="391"/>
      <c r="C558" s="391"/>
      <c r="D558" s="391"/>
      <c r="E558" s="391"/>
      <c r="F558" s="391"/>
      <c r="G558" s="391"/>
      <c r="H558" s="391"/>
      <c r="I558" s="391"/>
      <c r="J558" s="391"/>
      <c r="K558" s="391"/>
      <c r="L558" s="391"/>
      <c r="M558" s="391"/>
      <c r="N558" s="391"/>
      <c r="O558" s="391"/>
      <c r="P558" s="391"/>
      <c r="Q558" s="391"/>
      <c r="R558" s="391"/>
      <c r="S558" s="391"/>
      <c r="T558" s="391"/>
      <c r="U558" s="391"/>
      <c r="V558" s="391"/>
      <c r="W558" s="391"/>
      <c r="X558" s="391"/>
      <c r="Y558" s="391"/>
      <c r="Z558" s="391"/>
      <c r="AA558" s="391"/>
      <c r="AB558" s="391"/>
      <c r="AC558" s="391"/>
      <c r="AD558" s="391"/>
      <c r="AE558" s="391"/>
      <c r="AF558" s="391"/>
      <c r="AG558" s="391"/>
      <c r="AH558" s="392"/>
      <c r="AI558" s="391"/>
      <c r="AJ558" s="391"/>
    </row>
    <row r="559" spans="1:36" ht="13.5" x14ac:dyDescent="0.25">
      <c r="A559" s="391"/>
      <c r="B559" s="391"/>
      <c r="C559" s="391"/>
      <c r="D559" s="391"/>
      <c r="E559" s="391"/>
      <c r="F559" s="391"/>
      <c r="G559" s="391"/>
      <c r="H559" s="391"/>
      <c r="I559" s="391"/>
      <c r="J559" s="391"/>
      <c r="K559" s="391"/>
      <c r="L559" s="391"/>
      <c r="M559" s="391"/>
      <c r="N559" s="391"/>
      <c r="O559" s="391"/>
      <c r="P559" s="391"/>
      <c r="Q559" s="391"/>
      <c r="R559" s="391"/>
      <c r="S559" s="391"/>
      <c r="T559" s="391"/>
      <c r="U559" s="391"/>
      <c r="V559" s="391"/>
      <c r="W559" s="391"/>
      <c r="X559" s="391"/>
      <c r="Y559" s="391"/>
      <c r="Z559" s="391"/>
      <c r="AA559" s="391"/>
      <c r="AB559" s="391"/>
      <c r="AC559" s="391"/>
      <c r="AD559" s="391"/>
      <c r="AE559" s="391"/>
      <c r="AF559" s="391"/>
      <c r="AG559" s="391"/>
      <c r="AH559" s="392"/>
      <c r="AI559" s="391"/>
      <c r="AJ559" s="391"/>
    </row>
    <row r="560" spans="1:36" ht="13.5" x14ac:dyDescent="0.25">
      <c r="A560" s="391"/>
      <c r="B560" s="391"/>
      <c r="C560" s="391"/>
      <c r="D560" s="391"/>
      <c r="E560" s="391"/>
      <c r="F560" s="391"/>
      <c r="G560" s="391"/>
      <c r="H560" s="391"/>
      <c r="I560" s="391"/>
      <c r="J560" s="391"/>
      <c r="K560" s="391"/>
      <c r="L560" s="391"/>
      <c r="M560" s="391"/>
      <c r="N560" s="391"/>
      <c r="O560" s="391"/>
      <c r="P560" s="391"/>
      <c r="Q560" s="391"/>
      <c r="R560" s="391"/>
      <c r="S560" s="391"/>
      <c r="T560" s="391"/>
      <c r="U560" s="391"/>
      <c r="V560" s="391"/>
      <c r="W560" s="391"/>
      <c r="X560" s="391"/>
      <c r="Y560" s="391"/>
      <c r="Z560" s="391"/>
      <c r="AA560" s="391"/>
      <c r="AB560" s="391"/>
      <c r="AC560" s="391"/>
      <c r="AD560" s="391"/>
      <c r="AE560" s="391"/>
      <c r="AF560" s="391"/>
      <c r="AG560" s="391"/>
      <c r="AH560" s="392"/>
      <c r="AI560" s="391"/>
      <c r="AJ560" s="391"/>
    </row>
    <row r="561" spans="1:36" ht="13.5" x14ac:dyDescent="0.25">
      <c r="A561" s="391"/>
      <c r="B561" s="391"/>
      <c r="C561" s="391"/>
      <c r="D561" s="391"/>
      <c r="E561" s="391"/>
      <c r="F561" s="391"/>
      <c r="G561" s="391"/>
      <c r="H561" s="391"/>
      <c r="I561" s="391"/>
      <c r="J561" s="391"/>
      <c r="K561" s="391"/>
      <c r="L561" s="391"/>
      <c r="M561" s="391"/>
      <c r="N561" s="391"/>
      <c r="O561" s="391"/>
      <c r="P561" s="391"/>
      <c r="Q561" s="391"/>
      <c r="R561" s="391"/>
      <c r="S561" s="391"/>
      <c r="T561" s="391"/>
      <c r="U561" s="391"/>
      <c r="V561" s="391"/>
      <c r="W561" s="391"/>
      <c r="X561" s="391"/>
      <c r="Y561" s="391"/>
      <c r="Z561" s="391"/>
      <c r="AA561" s="391"/>
      <c r="AB561" s="391"/>
      <c r="AC561" s="391"/>
      <c r="AD561" s="391"/>
      <c r="AE561" s="391"/>
      <c r="AF561" s="391"/>
      <c r="AG561" s="391"/>
      <c r="AH561" s="392"/>
      <c r="AI561" s="391"/>
      <c r="AJ561" s="391"/>
    </row>
    <row r="562" spans="1:36" ht="13.5" x14ac:dyDescent="0.25">
      <c r="A562" s="391"/>
      <c r="B562" s="391"/>
      <c r="C562" s="391"/>
      <c r="D562" s="391"/>
      <c r="E562" s="391"/>
      <c r="F562" s="391"/>
      <c r="G562" s="391"/>
      <c r="H562" s="391"/>
      <c r="I562" s="391"/>
      <c r="J562" s="391"/>
      <c r="K562" s="391"/>
      <c r="L562" s="391"/>
      <c r="M562" s="391"/>
      <c r="N562" s="391"/>
      <c r="O562" s="391"/>
      <c r="P562" s="391"/>
      <c r="Q562" s="391"/>
      <c r="R562" s="391"/>
      <c r="S562" s="391"/>
      <c r="T562" s="391"/>
      <c r="U562" s="391"/>
      <c r="V562" s="391"/>
      <c r="W562" s="391"/>
      <c r="X562" s="391"/>
      <c r="Y562" s="391"/>
      <c r="Z562" s="391"/>
      <c r="AA562" s="391"/>
      <c r="AB562" s="391"/>
      <c r="AC562" s="391"/>
      <c r="AD562" s="391"/>
      <c r="AE562" s="391"/>
      <c r="AF562" s="391"/>
      <c r="AG562" s="391"/>
      <c r="AH562" s="392"/>
      <c r="AI562" s="391"/>
      <c r="AJ562" s="391"/>
    </row>
    <row r="563" spans="1:36" ht="13.5" x14ac:dyDescent="0.25">
      <c r="A563" s="391"/>
      <c r="B563" s="391"/>
      <c r="C563" s="391"/>
      <c r="D563" s="391"/>
      <c r="E563" s="391"/>
      <c r="F563" s="391"/>
      <c r="G563" s="391"/>
      <c r="H563" s="391"/>
      <c r="I563" s="391"/>
      <c r="J563" s="391"/>
      <c r="K563" s="391"/>
      <c r="L563" s="391"/>
      <c r="M563" s="391"/>
      <c r="N563" s="391"/>
      <c r="O563" s="391"/>
      <c r="P563" s="391"/>
      <c r="Q563" s="391"/>
      <c r="R563" s="391"/>
      <c r="S563" s="391"/>
      <c r="T563" s="391"/>
      <c r="U563" s="391"/>
      <c r="V563" s="391"/>
      <c r="W563" s="391"/>
      <c r="X563" s="391"/>
      <c r="Y563" s="391"/>
      <c r="Z563" s="391"/>
      <c r="AA563" s="391"/>
      <c r="AB563" s="391"/>
      <c r="AC563" s="391"/>
      <c r="AD563" s="391"/>
      <c r="AE563" s="391"/>
      <c r="AF563" s="391"/>
      <c r="AG563" s="391"/>
      <c r="AH563" s="392"/>
      <c r="AI563" s="391"/>
      <c r="AJ563" s="391"/>
    </row>
    <row r="564" spans="1:36" ht="13.5" x14ac:dyDescent="0.25">
      <c r="A564" s="391"/>
      <c r="B564" s="391"/>
      <c r="C564" s="391"/>
      <c r="D564" s="391"/>
      <c r="E564" s="391"/>
      <c r="F564" s="391"/>
      <c r="G564" s="391"/>
      <c r="H564" s="391"/>
      <c r="I564" s="391"/>
      <c r="J564" s="391"/>
      <c r="K564" s="391"/>
      <c r="L564" s="391"/>
      <c r="M564" s="391"/>
      <c r="N564" s="391"/>
      <c r="O564" s="391"/>
      <c r="P564" s="391"/>
      <c r="Q564" s="391"/>
      <c r="R564" s="391"/>
      <c r="S564" s="391"/>
      <c r="T564" s="391"/>
      <c r="U564" s="391"/>
      <c r="V564" s="391"/>
      <c r="W564" s="391"/>
      <c r="X564" s="391"/>
      <c r="Y564" s="391"/>
      <c r="Z564" s="391"/>
      <c r="AA564" s="391"/>
      <c r="AB564" s="391"/>
      <c r="AC564" s="391"/>
      <c r="AD564" s="391"/>
      <c r="AE564" s="391"/>
      <c r="AF564" s="391"/>
      <c r="AG564" s="391"/>
      <c r="AH564" s="392"/>
      <c r="AI564" s="391"/>
      <c r="AJ564" s="391"/>
    </row>
    <row r="565" spans="1:36" ht="13.5" x14ac:dyDescent="0.25">
      <c r="A565" s="391"/>
      <c r="B565" s="391"/>
      <c r="C565" s="391"/>
      <c r="D565" s="391"/>
      <c r="E565" s="391"/>
      <c r="F565" s="391"/>
      <c r="G565" s="391"/>
      <c r="H565" s="391"/>
      <c r="I565" s="391"/>
      <c r="J565" s="391"/>
      <c r="K565" s="391"/>
      <c r="L565" s="391"/>
      <c r="M565" s="391"/>
      <c r="N565" s="391"/>
      <c r="O565" s="391"/>
      <c r="P565" s="391"/>
      <c r="Q565" s="391"/>
      <c r="R565" s="391"/>
      <c r="S565" s="391"/>
      <c r="T565" s="391"/>
      <c r="U565" s="391"/>
      <c r="V565" s="391"/>
      <c r="W565" s="391"/>
      <c r="X565" s="391"/>
      <c r="Y565" s="391"/>
      <c r="Z565" s="391"/>
      <c r="AA565" s="391"/>
      <c r="AB565" s="391"/>
      <c r="AC565" s="391"/>
      <c r="AD565" s="391"/>
      <c r="AE565" s="391"/>
      <c r="AF565" s="391"/>
      <c r="AG565" s="391"/>
      <c r="AH565" s="392"/>
      <c r="AI565" s="391"/>
      <c r="AJ565" s="391"/>
    </row>
    <row r="566" spans="1:36" ht="13.5" x14ac:dyDescent="0.25">
      <c r="A566" s="391"/>
      <c r="B566" s="391"/>
      <c r="C566" s="391"/>
      <c r="D566" s="391"/>
      <c r="E566" s="391"/>
      <c r="F566" s="391"/>
      <c r="G566" s="391"/>
      <c r="H566" s="391"/>
      <c r="I566" s="391"/>
      <c r="J566" s="391"/>
      <c r="K566" s="391"/>
      <c r="L566" s="391"/>
      <c r="M566" s="391"/>
      <c r="N566" s="391"/>
      <c r="O566" s="391"/>
      <c r="P566" s="391"/>
      <c r="Q566" s="391"/>
      <c r="R566" s="391"/>
      <c r="S566" s="391"/>
      <c r="T566" s="391"/>
      <c r="U566" s="391"/>
      <c r="V566" s="391"/>
      <c r="W566" s="391"/>
      <c r="X566" s="391"/>
      <c r="Y566" s="391"/>
      <c r="Z566" s="391"/>
      <c r="AA566" s="391"/>
      <c r="AB566" s="391"/>
      <c r="AC566" s="391"/>
      <c r="AD566" s="391"/>
      <c r="AE566" s="391"/>
      <c r="AF566" s="391"/>
      <c r="AG566" s="391"/>
      <c r="AH566" s="392"/>
      <c r="AI566" s="391"/>
      <c r="AJ566" s="391"/>
    </row>
    <row r="567" spans="1:36" ht="13.5" x14ac:dyDescent="0.25">
      <c r="A567" s="391"/>
      <c r="B567" s="391"/>
      <c r="C567" s="391"/>
      <c r="D567" s="391"/>
      <c r="E567" s="391"/>
      <c r="F567" s="391"/>
      <c r="G567" s="391"/>
      <c r="H567" s="391"/>
      <c r="I567" s="391"/>
      <c r="J567" s="391"/>
      <c r="K567" s="391"/>
      <c r="L567" s="391"/>
      <c r="M567" s="391"/>
      <c r="N567" s="391"/>
      <c r="O567" s="391"/>
      <c r="P567" s="391"/>
      <c r="Q567" s="391"/>
      <c r="R567" s="391"/>
      <c r="S567" s="391"/>
      <c r="T567" s="391"/>
      <c r="U567" s="391"/>
      <c r="V567" s="391"/>
      <c r="W567" s="391"/>
      <c r="X567" s="391"/>
      <c r="Y567" s="391"/>
      <c r="Z567" s="391"/>
      <c r="AA567" s="391"/>
      <c r="AB567" s="391"/>
      <c r="AC567" s="391"/>
      <c r="AD567" s="391"/>
      <c r="AE567" s="391"/>
      <c r="AF567" s="391"/>
      <c r="AG567" s="391"/>
      <c r="AH567" s="392"/>
      <c r="AI567" s="391"/>
      <c r="AJ567" s="391"/>
    </row>
    <row r="568" spans="1:36" ht="13.5" x14ac:dyDescent="0.25">
      <c r="A568" s="391"/>
      <c r="B568" s="391"/>
      <c r="C568" s="391"/>
      <c r="D568" s="391"/>
      <c r="E568" s="391"/>
      <c r="F568" s="391"/>
      <c r="G568" s="391"/>
      <c r="H568" s="391"/>
      <c r="I568" s="391"/>
      <c r="J568" s="391"/>
      <c r="K568" s="391"/>
      <c r="L568" s="391"/>
      <c r="M568" s="391"/>
      <c r="N568" s="391"/>
      <c r="O568" s="391"/>
      <c r="P568" s="391"/>
      <c r="Q568" s="391"/>
      <c r="R568" s="391"/>
      <c r="S568" s="391"/>
      <c r="T568" s="391"/>
      <c r="U568" s="391"/>
      <c r="V568" s="391"/>
      <c r="W568" s="391"/>
      <c r="X568" s="391"/>
      <c r="Y568" s="391"/>
      <c r="Z568" s="391"/>
      <c r="AA568" s="391"/>
      <c r="AB568" s="391"/>
      <c r="AC568" s="391"/>
      <c r="AD568" s="391"/>
      <c r="AE568" s="391"/>
      <c r="AF568" s="391"/>
      <c r="AG568" s="391"/>
      <c r="AH568" s="392"/>
      <c r="AI568" s="391"/>
      <c r="AJ568" s="391"/>
    </row>
    <row r="569" spans="1:36" ht="13.5" x14ac:dyDescent="0.25">
      <c r="A569" s="391"/>
      <c r="B569" s="391"/>
      <c r="C569" s="391"/>
      <c r="D569" s="391"/>
      <c r="E569" s="391"/>
      <c r="F569" s="391"/>
      <c r="G569" s="391"/>
      <c r="H569" s="391"/>
      <c r="I569" s="391"/>
      <c r="J569" s="391"/>
      <c r="K569" s="391"/>
      <c r="L569" s="391"/>
      <c r="M569" s="391"/>
      <c r="N569" s="391"/>
      <c r="O569" s="391"/>
      <c r="P569" s="391"/>
      <c r="Q569" s="391"/>
      <c r="R569" s="391"/>
      <c r="S569" s="391"/>
      <c r="T569" s="391"/>
      <c r="U569" s="391"/>
      <c r="V569" s="391"/>
      <c r="W569" s="391"/>
      <c r="X569" s="391"/>
      <c r="Y569" s="391"/>
      <c r="Z569" s="391"/>
      <c r="AA569" s="391"/>
      <c r="AB569" s="391"/>
      <c r="AC569" s="391"/>
      <c r="AD569" s="391"/>
      <c r="AE569" s="391"/>
      <c r="AF569" s="391"/>
      <c r="AG569" s="391"/>
      <c r="AH569" s="392"/>
      <c r="AI569" s="391"/>
      <c r="AJ569" s="391"/>
    </row>
    <row r="570" spans="1:36" ht="13.5" x14ac:dyDescent="0.25">
      <c r="A570" s="391"/>
      <c r="B570" s="391"/>
      <c r="C570" s="391"/>
      <c r="D570" s="391"/>
      <c r="E570" s="391"/>
      <c r="F570" s="391"/>
      <c r="G570" s="391"/>
      <c r="H570" s="391"/>
      <c r="I570" s="391"/>
      <c r="J570" s="391"/>
      <c r="K570" s="391"/>
      <c r="L570" s="391"/>
      <c r="M570" s="391"/>
      <c r="N570" s="391"/>
      <c r="O570" s="391"/>
      <c r="P570" s="391"/>
      <c r="Q570" s="391"/>
      <c r="R570" s="391"/>
      <c r="S570" s="391"/>
      <c r="T570" s="391"/>
      <c r="U570" s="391"/>
      <c r="V570" s="391"/>
      <c r="W570" s="391"/>
      <c r="X570" s="391"/>
      <c r="Y570" s="391"/>
      <c r="Z570" s="391"/>
      <c r="AA570" s="391"/>
      <c r="AB570" s="391"/>
      <c r="AC570" s="391"/>
      <c r="AD570" s="391"/>
      <c r="AE570" s="391"/>
      <c r="AF570" s="391"/>
      <c r="AG570" s="391"/>
      <c r="AH570" s="392"/>
      <c r="AI570" s="391"/>
      <c r="AJ570" s="391"/>
    </row>
    <row r="571" spans="1:36" ht="13.5" x14ac:dyDescent="0.25">
      <c r="A571" s="391"/>
      <c r="B571" s="391"/>
      <c r="C571" s="391"/>
      <c r="D571" s="391"/>
      <c r="E571" s="391"/>
      <c r="F571" s="391"/>
      <c r="G571" s="391"/>
      <c r="H571" s="391"/>
      <c r="I571" s="391"/>
      <c r="J571" s="391"/>
      <c r="K571" s="391"/>
      <c r="L571" s="391"/>
      <c r="M571" s="391"/>
      <c r="N571" s="391"/>
      <c r="O571" s="391"/>
      <c r="P571" s="391"/>
      <c r="Q571" s="391"/>
      <c r="R571" s="391"/>
      <c r="S571" s="391"/>
      <c r="T571" s="391"/>
      <c r="U571" s="391"/>
      <c r="V571" s="391"/>
      <c r="W571" s="391"/>
      <c r="X571" s="391"/>
      <c r="Y571" s="391"/>
      <c r="Z571" s="391"/>
      <c r="AA571" s="391"/>
      <c r="AB571" s="391"/>
      <c r="AC571" s="391"/>
      <c r="AD571" s="391"/>
      <c r="AE571" s="391"/>
      <c r="AF571" s="391"/>
      <c r="AG571" s="391"/>
      <c r="AH571" s="392"/>
      <c r="AI571" s="391"/>
      <c r="AJ571" s="391"/>
    </row>
    <row r="572" spans="1:36" ht="13.5" x14ac:dyDescent="0.25">
      <c r="A572" s="391"/>
      <c r="B572" s="391"/>
      <c r="C572" s="391"/>
      <c r="D572" s="391"/>
      <c r="E572" s="391"/>
      <c r="F572" s="391"/>
      <c r="G572" s="391"/>
      <c r="H572" s="391"/>
      <c r="I572" s="391"/>
      <c r="J572" s="391"/>
      <c r="K572" s="391"/>
      <c r="L572" s="391"/>
      <c r="M572" s="391"/>
      <c r="N572" s="391"/>
      <c r="O572" s="391"/>
      <c r="P572" s="391"/>
      <c r="Q572" s="391"/>
      <c r="R572" s="391"/>
      <c r="S572" s="391"/>
      <c r="T572" s="391"/>
      <c r="U572" s="391"/>
      <c r="V572" s="391"/>
      <c r="W572" s="391"/>
      <c r="X572" s="391"/>
      <c r="Y572" s="391"/>
      <c r="Z572" s="391"/>
      <c r="AA572" s="391"/>
      <c r="AB572" s="391"/>
      <c r="AC572" s="391"/>
      <c r="AD572" s="391"/>
      <c r="AE572" s="391"/>
      <c r="AF572" s="391"/>
      <c r="AG572" s="391"/>
      <c r="AH572" s="392"/>
      <c r="AI572" s="391"/>
      <c r="AJ572" s="391"/>
    </row>
    <row r="573" spans="1:36" ht="13.5" x14ac:dyDescent="0.25">
      <c r="A573" s="391"/>
      <c r="B573" s="391"/>
      <c r="C573" s="391"/>
      <c r="D573" s="391"/>
      <c r="E573" s="391"/>
      <c r="F573" s="391"/>
      <c r="G573" s="391"/>
      <c r="H573" s="391"/>
      <c r="I573" s="391"/>
      <c r="J573" s="391"/>
      <c r="K573" s="391"/>
      <c r="L573" s="391"/>
      <c r="M573" s="391"/>
      <c r="N573" s="391"/>
      <c r="O573" s="391"/>
      <c r="P573" s="391"/>
      <c r="Q573" s="391"/>
      <c r="R573" s="391"/>
      <c r="S573" s="391"/>
      <c r="T573" s="391"/>
      <c r="U573" s="391"/>
      <c r="V573" s="391"/>
      <c r="W573" s="391"/>
      <c r="X573" s="391"/>
      <c r="Y573" s="391"/>
      <c r="Z573" s="391"/>
      <c r="AA573" s="391"/>
      <c r="AB573" s="391"/>
      <c r="AC573" s="391"/>
      <c r="AD573" s="391"/>
      <c r="AE573" s="391"/>
      <c r="AF573" s="391"/>
      <c r="AG573" s="391"/>
      <c r="AH573" s="392"/>
      <c r="AI573" s="391"/>
      <c r="AJ573" s="391"/>
    </row>
    <row r="574" spans="1:36" ht="13.5" x14ac:dyDescent="0.25">
      <c r="A574" s="391"/>
      <c r="B574" s="391"/>
      <c r="C574" s="391"/>
      <c r="D574" s="391"/>
      <c r="E574" s="391"/>
      <c r="F574" s="391"/>
      <c r="G574" s="391"/>
      <c r="H574" s="391"/>
      <c r="I574" s="391"/>
      <c r="J574" s="391"/>
      <c r="K574" s="391"/>
      <c r="L574" s="391"/>
      <c r="M574" s="391"/>
      <c r="N574" s="391"/>
      <c r="O574" s="391"/>
      <c r="P574" s="391"/>
      <c r="Q574" s="391"/>
      <c r="R574" s="391"/>
      <c r="S574" s="391"/>
      <c r="T574" s="391"/>
      <c r="U574" s="391"/>
      <c r="V574" s="391"/>
      <c r="W574" s="391"/>
      <c r="X574" s="391"/>
      <c r="Y574" s="391"/>
      <c r="Z574" s="391"/>
      <c r="AA574" s="391"/>
      <c r="AB574" s="391"/>
      <c r="AC574" s="391"/>
      <c r="AD574" s="391"/>
      <c r="AE574" s="391"/>
      <c r="AF574" s="391"/>
      <c r="AG574" s="391"/>
      <c r="AH574" s="392"/>
      <c r="AI574" s="391"/>
      <c r="AJ574" s="391"/>
    </row>
    <row r="575" spans="1:36" ht="13.5" x14ac:dyDescent="0.25">
      <c r="A575" s="391"/>
      <c r="B575" s="391"/>
      <c r="C575" s="391"/>
      <c r="D575" s="391"/>
      <c r="E575" s="391"/>
      <c r="F575" s="391"/>
      <c r="G575" s="391"/>
      <c r="H575" s="391"/>
      <c r="I575" s="391"/>
      <c r="J575" s="391"/>
      <c r="K575" s="391"/>
      <c r="L575" s="391"/>
      <c r="M575" s="391"/>
      <c r="N575" s="391"/>
      <c r="O575" s="391"/>
      <c r="P575" s="391"/>
      <c r="Q575" s="391"/>
      <c r="R575" s="391"/>
      <c r="S575" s="391"/>
      <c r="T575" s="391"/>
      <c r="U575" s="391"/>
      <c r="V575" s="391"/>
      <c r="W575" s="391"/>
      <c r="X575" s="391"/>
      <c r="Y575" s="391"/>
      <c r="Z575" s="391"/>
      <c r="AA575" s="391"/>
      <c r="AB575" s="391"/>
      <c r="AC575" s="391"/>
      <c r="AD575" s="391"/>
      <c r="AE575" s="391"/>
      <c r="AF575" s="391"/>
      <c r="AG575" s="391"/>
      <c r="AH575" s="392"/>
      <c r="AI575" s="391"/>
      <c r="AJ575" s="391"/>
    </row>
    <row r="576" spans="1:36" ht="13.5" x14ac:dyDescent="0.25">
      <c r="A576" s="391"/>
      <c r="B576" s="391"/>
      <c r="C576" s="391"/>
      <c r="D576" s="391"/>
      <c r="E576" s="391"/>
      <c r="F576" s="391"/>
      <c r="G576" s="391"/>
      <c r="H576" s="391"/>
      <c r="I576" s="391"/>
      <c r="J576" s="391"/>
      <c r="K576" s="391"/>
      <c r="L576" s="391"/>
      <c r="M576" s="391"/>
      <c r="N576" s="391"/>
      <c r="O576" s="391"/>
      <c r="P576" s="391"/>
      <c r="Q576" s="391"/>
      <c r="R576" s="391"/>
      <c r="S576" s="391"/>
      <c r="T576" s="391"/>
      <c r="U576" s="391"/>
      <c r="V576" s="391"/>
      <c r="W576" s="391"/>
      <c r="X576" s="391"/>
      <c r="Y576" s="391"/>
      <c r="Z576" s="391"/>
      <c r="AA576" s="391"/>
      <c r="AB576" s="391"/>
      <c r="AC576" s="391"/>
      <c r="AD576" s="391"/>
      <c r="AE576" s="391"/>
      <c r="AF576" s="391"/>
      <c r="AG576" s="391"/>
      <c r="AH576" s="392"/>
      <c r="AI576" s="391"/>
      <c r="AJ576" s="391"/>
    </row>
    <row r="577" spans="1:36" ht="13.5" x14ac:dyDescent="0.25">
      <c r="A577" s="391"/>
      <c r="B577" s="391"/>
      <c r="C577" s="391"/>
      <c r="D577" s="391"/>
      <c r="E577" s="391"/>
      <c r="F577" s="391"/>
      <c r="G577" s="391"/>
      <c r="H577" s="391"/>
      <c r="I577" s="391"/>
      <c r="J577" s="391"/>
      <c r="K577" s="391"/>
      <c r="L577" s="391"/>
      <c r="M577" s="391"/>
      <c r="N577" s="391"/>
      <c r="O577" s="391"/>
      <c r="P577" s="391"/>
      <c r="Q577" s="391"/>
      <c r="R577" s="391"/>
      <c r="S577" s="391"/>
      <c r="T577" s="391"/>
      <c r="U577" s="391"/>
      <c r="V577" s="391"/>
      <c r="W577" s="391"/>
      <c r="X577" s="391"/>
      <c r="Y577" s="391"/>
      <c r="Z577" s="391"/>
      <c r="AA577" s="391"/>
      <c r="AB577" s="391"/>
      <c r="AC577" s="391"/>
      <c r="AD577" s="391"/>
      <c r="AE577" s="391"/>
      <c r="AF577" s="391"/>
      <c r="AG577" s="391"/>
      <c r="AH577" s="392"/>
      <c r="AI577" s="391"/>
      <c r="AJ577" s="391"/>
    </row>
    <row r="578" spans="1:36" ht="13.5" x14ac:dyDescent="0.25">
      <c r="A578" s="391"/>
      <c r="B578" s="391"/>
      <c r="C578" s="391"/>
      <c r="D578" s="391"/>
      <c r="E578" s="391"/>
      <c r="F578" s="391"/>
      <c r="G578" s="391"/>
      <c r="H578" s="391"/>
      <c r="I578" s="391"/>
      <c r="J578" s="391"/>
      <c r="K578" s="391"/>
      <c r="L578" s="391"/>
      <c r="M578" s="391"/>
      <c r="N578" s="391"/>
      <c r="O578" s="391"/>
      <c r="P578" s="391"/>
      <c r="Q578" s="391"/>
      <c r="R578" s="391"/>
      <c r="S578" s="391"/>
      <c r="T578" s="391"/>
      <c r="U578" s="391"/>
      <c r="V578" s="391"/>
      <c r="W578" s="391"/>
      <c r="X578" s="391"/>
      <c r="Y578" s="391"/>
      <c r="Z578" s="391"/>
      <c r="AA578" s="391"/>
      <c r="AB578" s="391"/>
      <c r="AC578" s="391"/>
      <c r="AD578" s="391"/>
      <c r="AE578" s="391"/>
      <c r="AF578" s="391"/>
      <c r="AG578" s="391"/>
      <c r="AH578" s="392"/>
      <c r="AI578" s="391"/>
      <c r="AJ578" s="391"/>
    </row>
    <row r="579" spans="1:36" ht="13.5" x14ac:dyDescent="0.25">
      <c r="A579" s="391"/>
      <c r="B579" s="391"/>
      <c r="C579" s="391"/>
      <c r="D579" s="391"/>
      <c r="E579" s="391"/>
      <c r="F579" s="391"/>
      <c r="G579" s="391"/>
      <c r="H579" s="391"/>
      <c r="I579" s="391"/>
      <c r="J579" s="391"/>
      <c r="K579" s="391"/>
      <c r="L579" s="391"/>
      <c r="M579" s="391"/>
      <c r="N579" s="391"/>
      <c r="O579" s="391"/>
      <c r="P579" s="391"/>
      <c r="Q579" s="391"/>
      <c r="R579" s="391"/>
      <c r="S579" s="391"/>
      <c r="T579" s="391"/>
      <c r="U579" s="391"/>
      <c r="V579" s="391"/>
      <c r="W579" s="391"/>
      <c r="X579" s="391"/>
      <c r="Y579" s="391"/>
      <c r="Z579" s="391"/>
      <c r="AA579" s="391"/>
      <c r="AB579" s="391"/>
      <c r="AC579" s="391"/>
      <c r="AD579" s="391"/>
      <c r="AE579" s="391"/>
      <c r="AF579" s="391"/>
      <c r="AG579" s="391"/>
      <c r="AH579" s="392"/>
      <c r="AI579" s="391"/>
      <c r="AJ579" s="391"/>
    </row>
    <row r="580" spans="1:36" ht="13.5" x14ac:dyDescent="0.25">
      <c r="A580" s="391"/>
      <c r="B580" s="391"/>
      <c r="C580" s="391"/>
      <c r="D580" s="391"/>
      <c r="E580" s="391"/>
      <c r="F580" s="391"/>
      <c r="G580" s="391"/>
      <c r="H580" s="391"/>
      <c r="I580" s="391"/>
      <c r="J580" s="391"/>
      <c r="K580" s="391"/>
      <c r="L580" s="391"/>
      <c r="M580" s="391"/>
      <c r="N580" s="391"/>
      <c r="O580" s="391"/>
      <c r="P580" s="391"/>
      <c r="Q580" s="391"/>
      <c r="R580" s="391"/>
      <c r="S580" s="391"/>
      <c r="T580" s="391"/>
      <c r="U580" s="391"/>
      <c r="V580" s="391"/>
      <c r="W580" s="391"/>
      <c r="X580" s="391"/>
      <c r="Y580" s="391"/>
      <c r="Z580" s="391"/>
      <c r="AA580" s="391"/>
      <c r="AB580" s="391"/>
      <c r="AC580" s="391"/>
      <c r="AD580" s="391"/>
      <c r="AE580" s="391"/>
      <c r="AF580" s="391"/>
      <c r="AG580" s="391"/>
      <c r="AH580" s="392"/>
      <c r="AI580" s="391"/>
      <c r="AJ580" s="391"/>
    </row>
    <row r="581" spans="1:36" ht="13.5" x14ac:dyDescent="0.25">
      <c r="A581" s="391"/>
      <c r="B581" s="391"/>
      <c r="C581" s="391"/>
      <c r="D581" s="391"/>
      <c r="E581" s="391"/>
      <c r="F581" s="391"/>
      <c r="G581" s="391"/>
      <c r="H581" s="391"/>
      <c r="I581" s="391"/>
      <c r="J581" s="391"/>
      <c r="K581" s="391"/>
      <c r="L581" s="391"/>
      <c r="M581" s="391"/>
      <c r="N581" s="391"/>
      <c r="O581" s="391"/>
      <c r="P581" s="391"/>
      <c r="Q581" s="391"/>
      <c r="R581" s="391"/>
      <c r="S581" s="391"/>
      <c r="T581" s="391"/>
      <c r="U581" s="391"/>
      <c r="V581" s="391"/>
      <c r="W581" s="391"/>
      <c r="X581" s="391"/>
      <c r="Y581" s="391"/>
      <c r="Z581" s="391"/>
      <c r="AA581" s="391"/>
      <c r="AB581" s="391"/>
      <c r="AC581" s="391"/>
      <c r="AD581" s="391"/>
      <c r="AE581" s="391"/>
      <c r="AF581" s="391"/>
      <c r="AG581" s="391"/>
      <c r="AH581" s="392"/>
      <c r="AI581" s="391"/>
      <c r="AJ581" s="391"/>
    </row>
    <row r="582" spans="1:36" ht="13.5" x14ac:dyDescent="0.25">
      <c r="A582" s="391"/>
      <c r="B582" s="391"/>
      <c r="C582" s="391"/>
      <c r="D582" s="391"/>
      <c r="E582" s="391"/>
      <c r="F582" s="391"/>
      <c r="G582" s="391"/>
      <c r="H582" s="391"/>
      <c r="I582" s="391"/>
      <c r="J582" s="391"/>
      <c r="K582" s="391"/>
      <c r="L582" s="391"/>
      <c r="M582" s="391"/>
      <c r="N582" s="391"/>
      <c r="O582" s="391"/>
      <c r="P582" s="391"/>
      <c r="Q582" s="391"/>
      <c r="R582" s="391"/>
      <c r="S582" s="391"/>
      <c r="T582" s="391"/>
      <c r="U582" s="391"/>
      <c r="V582" s="391"/>
      <c r="W582" s="391"/>
      <c r="X582" s="391"/>
      <c r="Y582" s="391"/>
      <c r="Z582" s="391"/>
      <c r="AA582" s="391"/>
      <c r="AB582" s="391"/>
      <c r="AC582" s="391"/>
      <c r="AD582" s="391"/>
      <c r="AE582" s="391"/>
      <c r="AF582" s="391"/>
      <c r="AG582" s="391"/>
      <c r="AH582" s="392"/>
      <c r="AI582" s="391"/>
      <c r="AJ582" s="391"/>
    </row>
    <row r="583" spans="1:36" ht="13.5" x14ac:dyDescent="0.25">
      <c r="A583" s="391"/>
      <c r="B583" s="391"/>
      <c r="C583" s="391"/>
      <c r="D583" s="391"/>
      <c r="E583" s="391"/>
      <c r="F583" s="391"/>
      <c r="G583" s="391"/>
      <c r="H583" s="391"/>
      <c r="I583" s="391"/>
      <c r="J583" s="391"/>
      <c r="K583" s="391"/>
      <c r="L583" s="391"/>
      <c r="M583" s="391"/>
      <c r="N583" s="391"/>
      <c r="O583" s="391"/>
      <c r="P583" s="391"/>
      <c r="Q583" s="391"/>
      <c r="R583" s="391"/>
      <c r="S583" s="391"/>
      <c r="T583" s="391"/>
      <c r="U583" s="391"/>
      <c r="V583" s="391"/>
      <c r="W583" s="391"/>
      <c r="X583" s="391"/>
      <c r="Y583" s="391"/>
      <c r="Z583" s="391"/>
      <c r="AA583" s="391"/>
      <c r="AB583" s="391"/>
      <c r="AC583" s="391"/>
      <c r="AD583" s="391"/>
      <c r="AE583" s="391"/>
      <c r="AF583" s="391"/>
      <c r="AG583" s="391"/>
      <c r="AH583" s="392"/>
      <c r="AI583" s="391"/>
      <c r="AJ583" s="391"/>
    </row>
    <row r="584" spans="1:36" ht="13.5" x14ac:dyDescent="0.25">
      <c r="A584" s="391"/>
      <c r="B584" s="391"/>
      <c r="C584" s="391"/>
      <c r="D584" s="391"/>
      <c r="E584" s="391"/>
      <c r="F584" s="391"/>
      <c r="G584" s="391"/>
      <c r="H584" s="391"/>
      <c r="I584" s="391"/>
      <c r="J584" s="391"/>
      <c r="K584" s="391"/>
      <c r="L584" s="391"/>
      <c r="M584" s="391"/>
      <c r="N584" s="391"/>
      <c r="O584" s="391"/>
      <c r="P584" s="391"/>
      <c r="Q584" s="391"/>
      <c r="R584" s="391"/>
      <c r="S584" s="391"/>
      <c r="T584" s="391"/>
      <c r="U584" s="391"/>
      <c r="V584" s="391"/>
      <c r="W584" s="391"/>
      <c r="X584" s="391"/>
      <c r="Y584" s="391"/>
      <c r="Z584" s="391"/>
      <c r="AA584" s="391"/>
      <c r="AB584" s="391"/>
      <c r="AC584" s="391"/>
      <c r="AD584" s="391"/>
      <c r="AE584" s="391"/>
      <c r="AF584" s="391"/>
      <c r="AG584" s="391"/>
      <c r="AH584" s="392"/>
      <c r="AI584" s="391"/>
      <c r="AJ584" s="391"/>
    </row>
    <row r="585" spans="1:36" ht="13.5" x14ac:dyDescent="0.25">
      <c r="A585" s="391"/>
      <c r="B585" s="391"/>
      <c r="C585" s="391"/>
      <c r="D585" s="391"/>
      <c r="E585" s="391"/>
      <c r="F585" s="391"/>
      <c r="G585" s="391"/>
      <c r="H585" s="391"/>
      <c r="I585" s="391"/>
      <c r="J585" s="391"/>
      <c r="K585" s="391"/>
      <c r="L585" s="391"/>
      <c r="M585" s="391"/>
      <c r="N585" s="391"/>
      <c r="O585" s="391"/>
      <c r="P585" s="391"/>
      <c r="Q585" s="391"/>
      <c r="R585" s="391"/>
      <c r="S585" s="391"/>
      <c r="T585" s="391"/>
      <c r="U585" s="391"/>
      <c r="V585" s="391"/>
      <c r="W585" s="391"/>
      <c r="X585" s="391"/>
      <c r="Y585" s="391"/>
      <c r="Z585" s="391"/>
      <c r="AA585" s="391"/>
      <c r="AB585" s="391"/>
      <c r="AC585" s="391"/>
      <c r="AD585" s="391"/>
      <c r="AE585" s="391"/>
      <c r="AF585" s="391"/>
      <c r="AG585" s="391"/>
      <c r="AH585" s="392"/>
      <c r="AI585" s="391"/>
      <c r="AJ585" s="391"/>
    </row>
    <row r="586" spans="1:36" ht="13.5" x14ac:dyDescent="0.25">
      <c r="A586" s="391"/>
      <c r="B586" s="391"/>
      <c r="C586" s="391"/>
      <c r="D586" s="391"/>
      <c r="E586" s="391"/>
      <c r="F586" s="391"/>
      <c r="G586" s="391"/>
      <c r="H586" s="391"/>
      <c r="I586" s="391"/>
      <c r="J586" s="391"/>
      <c r="K586" s="391"/>
      <c r="L586" s="391"/>
      <c r="M586" s="391"/>
      <c r="N586" s="391"/>
      <c r="O586" s="391"/>
      <c r="P586" s="391"/>
      <c r="Q586" s="391"/>
      <c r="R586" s="391"/>
      <c r="S586" s="391"/>
      <c r="T586" s="391"/>
      <c r="U586" s="391"/>
      <c r="V586" s="391"/>
      <c r="W586" s="391"/>
      <c r="X586" s="391"/>
      <c r="Y586" s="391"/>
      <c r="Z586" s="391"/>
      <c r="AA586" s="391"/>
      <c r="AB586" s="391"/>
      <c r="AC586" s="391"/>
      <c r="AD586" s="391"/>
      <c r="AE586" s="391"/>
      <c r="AF586" s="391"/>
      <c r="AG586" s="391"/>
      <c r="AH586" s="392"/>
      <c r="AI586" s="391"/>
      <c r="AJ586" s="391"/>
    </row>
    <row r="587" spans="1:36" ht="13.5" x14ac:dyDescent="0.25">
      <c r="A587" s="391"/>
      <c r="B587" s="391"/>
      <c r="C587" s="391"/>
      <c r="D587" s="391"/>
      <c r="E587" s="391"/>
      <c r="F587" s="391"/>
      <c r="G587" s="391"/>
      <c r="H587" s="391"/>
      <c r="I587" s="391"/>
      <c r="J587" s="391"/>
      <c r="K587" s="391"/>
      <c r="L587" s="391"/>
      <c r="M587" s="391"/>
      <c r="N587" s="391"/>
      <c r="O587" s="391"/>
      <c r="P587" s="391"/>
      <c r="Q587" s="391"/>
      <c r="R587" s="391"/>
      <c r="S587" s="391"/>
      <c r="T587" s="391"/>
      <c r="U587" s="391"/>
      <c r="V587" s="391"/>
      <c r="W587" s="391"/>
      <c r="X587" s="391"/>
      <c r="Y587" s="391"/>
      <c r="Z587" s="391"/>
      <c r="AA587" s="391"/>
      <c r="AB587" s="391"/>
      <c r="AC587" s="391"/>
      <c r="AD587" s="391"/>
      <c r="AE587" s="391"/>
      <c r="AF587" s="391"/>
      <c r="AG587" s="391"/>
      <c r="AH587" s="392"/>
      <c r="AI587" s="391"/>
      <c r="AJ587" s="391"/>
    </row>
    <row r="588" spans="1:36" ht="13.5" x14ac:dyDescent="0.25">
      <c r="A588" s="391"/>
      <c r="B588" s="391"/>
      <c r="C588" s="391"/>
      <c r="D588" s="391"/>
      <c r="E588" s="391"/>
      <c r="F588" s="391"/>
      <c r="G588" s="391"/>
      <c r="H588" s="391"/>
      <c r="I588" s="391"/>
      <c r="J588" s="391"/>
      <c r="K588" s="391"/>
      <c r="L588" s="391"/>
      <c r="M588" s="391"/>
      <c r="N588" s="391"/>
      <c r="O588" s="391"/>
      <c r="P588" s="391"/>
      <c r="Q588" s="391"/>
      <c r="R588" s="391"/>
      <c r="S588" s="391"/>
      <c r="T588" s="391"/>
      <c r="U588" s="391"/>
      <c r="V588" s="391"/>
      <c r="W588" s="391"/>
      <c r="X588" s="391"/>
      <c r="Y588" s="391"/>
      <c r="Z588" s="391"/>
      <c r="AA588" s="391"/>
      <c r="AB588" s="391"/>
      <c r="AC588" s="391"/>
      <c r="AD588" s="391"/>
      <c r="AE588" s="391"/>
      <c r="AF588" s="391"/>
      <c r="AG588" s="391"/>
      <c r="AH588" s="392"/>
      <c r="AI588" s="391"/>
      <c r="AJ588" s="391"/>
    </row>
    <row r="589" spans="1:36" ht="13.5" x14ac:dyDescent="0.25">
      <c r="A589" s="391"/>
      <c r="B589" s="391"/>
      <c r="C589" s="391"/>
      <c r="D589" s="391"/>
      <c r="E589" s="391"/>
      <c r="F589" s="391"/>
      <c r="G589" s="391"/>
      <c r="H589" s="391"/>
      <c r="I589" s="391"/>
      <c r="J589" s="391"/>
      <c r="K589" s="391"/>
      <c r="L589" s="391"/>
      <c r="M589" s="391"/>
      <c r="N589" s="391"/>
      <c r="O589" s="391"/>
      <c r="P589" s="391"/>
      <c r="Q589" s="391"/>
      <c r="R589" s="391"/>
      <c r="S589" s="391"/>
      <c r="T589" s="391"/>
      <c r="U589" s="391"/>
      <c r="V589" s="391"/>
      <c r="W589" s="391"/>
      <c r="X589" s="391"/>
      <c r="Y589" s="391"/>
      <c r="Z589" s="391"/>
      <c r="AA589" s="391"/>
      <c r="AB589" s="391"/>
      <c r="AC589" s="391"/>
      <c r="AD589" s="391"/>
      <c r="AE589" s="391"/>
      <c r="AF589" s="391"/>
      <c r="AG589" s="391"/>
      <c r="AH589" s="392"/>
      <c r="AI589" s="391"/>
      <c r="AJ589" s="391"/>
    </row>
    <row r="590" spans="1:36" ht="13.5" x14ac:dyDescent="0.25">
      <c r="A590" s="391"/>
      <c r="B590" s="391"/>
      <c r="C590" s="391"/>
      <c r="D590" s="391"/>
      <c r="E590" s="391"/>
      <c r="F590" s="391"/>
      <c r="G590" s="391"/>
      <c r="H590" s="391"/>
      <c r="I590" s="391"/>
      <c r="J590" s="391"/>
      <c r="K590" s="391"/>
      <c r="L590" s="391"/>
      <c r="M590" s="391"/>
      <c r="N590" s="391"/>
      <c r="O590" s="391"/>
      <c r="P590" s="391"/>
      <c r="Q590" s="391"/>
      <c r="R590" s="391"/>
      <c r="S590" s="391"/>
      <c r="T590" s="391"/>
      <c r="U590" s="391"/>
      <c r="V590" s="391"/>
      <c r="W590" s="391"/>
      <c r="X590" s="391"/>
      <c r="Y590" s="391"/>
      <c r="Z590" s="391"/>
      <c r="AA590" s="391"/>
      <c r="AB590" s="391"/>
      <c r="AC590" s="391"/>
      <c r="AD590" s="391"/>
      <c r="AE590" s="391"/>
      <c r="AF590" s="391"/>
      <c r="AG590" s="391"/>
      <c r="AH590" s="392"/>
      <c r="AI590" s="391"/>
      <c r="AJ590" s="391"/>
    </row>
    <row r="591" spans="1:36" ht="13.5" x14ac:dyDescent="0.25">
      <c r="A591" s="391"/>
      <c r="B591" s="391"/>
      <c r="C591" s="391"/>
      <c r="D591" s="391"/>
      <c r="E591" s="391"/>
      <c r="F591" s="391"/>
      <c r="G591" s="391"/>
      <c r="H591" s="391"/>
      <c r="I591" s="391"/>
      <c r="J591" s="391"/>
      <c r="K591" s="391"/>
      <c r="L591" s="391"/>
      <c r="M591" s="391"/>
      <c r="N591" s="391"/>
      <c r="O591" s="391"/>
      <c r="P591" s="391"/>
      <c r="Q591" s="391"/>
      <c r="R591" s="391"/>
      <c r="S591" s="391"/>
      <c r="T591" s="391"/>
      <c r="U591" s="391"/>
      <c r="V591" s="391"/>
      <c r="W591" s="391"/>
      <c r="X591" s="391"/>
      <c r="Y591" s="391"/>
      <c r="Z591" s="391"/>
      <c r="AA591" s="391"/>
      <c r="AB591" s="391"/>
      <c r="AC591" s="391"/>
      <c r="AD591" s="391"/>
      <c r="AE591" s="391"/>
      <c r="AF591" s="391"/>
      <c r="AG591" s="391"/>
      <c r="AH591" s="392"/>
      <c r="AI591" s="391"/>
      <c r="AJ591" s="391"/>
    </row>
    <row r="592" spans="1:36" ht="13.5" x14ac:dyDescent="0.25">
      <c r="A592" s="391"/>
      <c r="B592" s="391"/>
      <c r="C592" s="391"/>
      <c r="D592" s="391"/>
      <c r="E592" s="391"/>
      <c r="F592" s="391"/>
      <c r="G592" s="391"/>
      <c r="H592" s="391"/>
      <c r="I592" s="391"/>
      <c r="J592" s="391"/>
      <c r="K592" s="391"/>
      <c r="L592" s="391"/>
      <c r="M592" s="391"/>
      <c r="N592" s="391"/>
      <c r="O592" s="391"/>
      <c r="P592" s="391"/>
      <c r="Q592" s="391"/>
      <c r="R592" s="391"/>
      <c r="S592" s="391"/>
      <c r="T592" s="391"/>
      <c r="U592" s="391"/>
      <c r="V592" s="391"/>
      <c r="W592" s="391"/>
      <c r="X592" s="391"/>
      <c r="Y592" s="391"/>
      <c r="Z592" s="391"/>
      <c r="AA592" s="391"/>
      <c r="AB592" s="391"/>
      <c r="AC592" s="391"/>
      <c r="AD592" s="391"/>
      <c r="AE592" s="391"/>
      <c r="AF592" s="391"/>
      <c r="AG592" s="391"/>
      <c r="AH592" s="392"/>
      <c r="AI592" s="391"/>
      <c r="AJ592" s="391"/>
    </row>
    <row r="593" spans="1:36" ht="13.5" x14ac:dyDescent="0.25">
      <c r="A593" s="391"/>
      <c r="B593" s="391"/>
      <c r="C593" s="391"/>
      <c r="D593" s="391"/>
      <c r="E593" s="391"/>
      <c r="F593" s="391"/>
      <c r="G593" s="391"/>
      <c r="H593" s="391"/>
      <c r="I593" s="391"/>
      <c r="J593" s="391"/>
      <c r="K593" s="391"/>
      <c r="L593" s="391"/>
      <c r="M593" s="391"/>
      <c r="N593" s="391"/>
      <c r="O593" s="391"/>
      <c r="P593" s="391"/>
      <c r="Q593" s="391"/>
      <c r="R593" s="391"/>
      <c r="S593" s="391"/>
      <c r="T593" s="391"/>
      <c r="U593" s="391"/>
      <c r="V593" s="391"/>
      <c r="W593" s="391"/>
      <c r="X593" s="391"/>
      <c r="Y593" s="391"/>
      <c r="Z593" s="391"/>
      <c r="AA593" s="391"/>
      <c r="AB593" s="391"/>
      <c r="AC593" s="391"/>
      <c r="AD593" s="391"/>
      <c r="AE593" s="391"/>
      <c r="AF593" s="391"/>
      <c r="AG593" s="391"/>
      <c r="AH593" s="392"/>
      <c r="AI593" s="391"/>
      <c r="AJ593" s="391"/>
    </row>
    <row r="594" spans="1:36" ht="13.5" x14ac:dyDescent="0.25">
      <c r="A594" s="391"/>
      <c r="B594" s="391"/>
      <c r="C594" s="391"/>
      <c r="D594" s="391"/>
      <c r="E594" s="391"/>
      <c r="F594" s="391"/>
      <c r="G594" s="391"/>
      <c r="H594" s="391"/>
      <c r="I594" s="391"/>
      <c r="J594" s="391"/>
      <c r="K594" s="391"/>
      <c r="L594" s="391"/>
      <c r="M594" s="391"/>
      <c r="N594" s="391"/>
      <c r="O594" s="391"/>
      <c r="P594" s="391"/>
      <c r="Q594" s="391"/>
      <c r="R594" s="391"/>
      <c r="S594" s="391"/>
      <c r="T594" s="391"/>
      <c r="U594" s="391"/>
      <c r="V594" s="391"/>
      <c r="W594" s="391"/>
      <c r="X594" s="391"/>
      <c r="Y594" s="391"/>
      <c r="Z594" s="391"/>
      <c r="AA594" s="391"/>
      <c r="AB594" s="391"/>
      <c r="AC594" s="391"/>
      <c r="AD594" s="391"/>
      <c r="AE594" s="391"/>
      <c r="AF594" s="391"/>
      <c r="AG594" s="391"/>
      <c r="AH594" s="392"/>
      <c r="AI594" s="391"/>
      <c r="AJ594" s="391"/>
    </row>
    <row r="595" spans="1:36" ht="13.5" x14ac:dyDescent="0.25">
      <c r="A595" s="391"/>
      <c r="B595" s="391"/>
      <c r="C595" s="391"/>
      <c r="D595" s="391"/>
      <c r="E595" s="391"/>
      <c r="F595" s="391"/>
      <c r="G595" s="391"/>
      <c r="H595" s="391"/>
      <c r="I595" s="391"/>
      <c r="J595" s="391"/>
      <c r="K595" s="391"/>
      <c r="L595" s="391"/>
      <c r="M595" s="391"/>
      <c r="N595" s="391"/>
      <c r="O595" s="391"/>
      <c r="P595" s="391"/>
      <c r="Q595" s="391"/>
      <c r="R595" s="391"/>
      <c r="S595" s="391"/>
      <c r="T595" s="391"/>
      <c r="U595" s="391"/>
      <c r="V595" s="391"/>
      <c r="W595" s="391"/>
      <c r="X595" s="391"/>
      <c r="Y595" s="391"/>
      <c r="Z595" s="391"/>
      <c r="AA595" s="391"/>
      <c r="AB595" s="391"/>
      <c r="AC595" s="391"/>
      <c r="AD595" s="391"/>
      <c r="AE595" s="391"/>
      <c r="AF595" s="391"/>
      <c r="AG595" s="391"/>
      <c r="AH595" s="392"/>
      <c r="AI595" s="391"/>
      <c r="AJ595" s="391"/>
    </row>
    <row r="596" spans="1:36" ht="13.5" x14ac:dyDescent="0.25">
      <c r="A596" s="391"/>
      <c r="B596" s="391"/>
      <c r="C596" s="391"/>
      <c r="D596" s="391"/>
      <c r="E596" s="391"/>
      <c r="F596" s="391"/>
      <c r="G596" s="391"/>
      <c r="H596" s="391"/>
      <c r="I596" s="391"/>
      <c r="J596" s="391"/>
      <c r="K596" s="391"/>
      <c r="L596" s="391"/>
      <c r="M596" s="391"/>
      <c r="N596" s="391"/>
      <c r="O596" s="391"/>
      <c r="P596" s="391"/>
      <c r="Q596" s="391"/>
      <c r="R596" s="391"/>
      <c r="S596" s="391"/>
      <c r="T596" s="391"/>
      <c r="U596" s="391"/>
      <c r="V596" s="391"/>
      <c r="W596" s="391"/>
      <c r="X596" s="391"/>
      <c r="Y596" s="391"/>
      <c r="Z596" s="391"/>
      <c r="AA596" s="391"/>
      <c r="AB596" s="391"/>
      <c r="AC596" s="391"/>
      <c r="AD596" s="391"/>
      <c r="AE596" s="391"/>
      <c r="AF596" s="391"/>
      <c r="AG596" s="391"/>
      <c r="AH596" s="392"/>
      <c r="AI596" s="391"/>
      <c r="AJ596" s="391"/>
    </row>
    <row r="597" spans="1:36" ht="13.5" x14ac:dyDescent="0.25">
      <c r="A597" s="391"/>
      <c r="B597" s="391"/>
      <c r="C597" s="391"/>
      <c r="D597" s="391"/>
      <c r="E597" s="391"/>
      <c r="F597" s="391"/>
      <c r="G597" s="391"/>
      <c r="H597" s="391"/>
      <c r="I597" s="391"/>
      <c r="J597" s="391"/>
      <c r="K597" s="391"/>
      <c r="L597" s="391"/>
      <c r="M597" s="391"/>
      <c r="N597" s="391"/>
      <c r="O597" s="391"/>
      <c r="P597" s="391"/>
      <c r="Q597" s="391"/>
      <c r="R597" s="391"/>
      <c r="S597" s="391"/>
      <c r="T597" s="391"/>
      <c r="U597" s="391"/>
      <c r="V597" s="391"/>
      <c r="W597" s="391"/>
      <c r="X597" s="391"/>
      <c r="Y597" s="391"/>
      <c r="Z597" s="391"/>
      <c r="AA597" s="391"/>
      <c r="AB597" s="391"/>
      <c r="AC597" s="391"/>
      <c r="AD597" s="391"/>
      <c r="AE597" s="391"/>
      <c r="AF597" s="391"/>
      <c r="AG597" s="391"/>
      <c r="AH597" s="392"/>
      <c r="AI597" s="391"/>
      <c r="AJ597" s="391"/>
    </row>
    <row r="598" spans="1:36" ht="13.5" x14ac:dyDescent="0.25">
      <c r="A598" s="391"/>
      <c r="B598" s="391"/>
      <c r="C598" s="391"/>
      <c r="D598" s="391"/>
      <c r="E598" s="391"/>
      <c r="F598" s="391"/>
      <c r="G598" s="391"/>
      <c r="H598" s="391"/>
      <c r="I598" s="391"/>
      <c r="J598" s="391"/>
      <c r="K598" s="391"/>
      <c r="L598" s="391"/>
      <c r="M598" s="391"/>
      <c r="N598" s="391"/>
      <c r="O598" s="391"/>
      <c r="P598" s="391"/>
      <c r="Q598" s="391"/>
      <c r="R598" s="391"/>
      <c r="S598" s="391"/>
      <c r="T598" s="391"/>
      <c r="U598" s="391"/>
      <c r="V598" s="391"/>
      <c r="W598" s="391"/>
      <c r="X598" s="391"/>
      <c r="Y598" s="391"/>
      <c r="Z598" s="391"/>
      <c r="AA598" s="391"/>
      <c r="AB598" s="391"/>
      <c r="AC598" s="391"/>
      <c r="AD598" s="391"/>
      <c r="AE598" s="391"/>
      <c r="AF598" s="391"/>
      <c r="AG598" s="391"/>
      <c r="AH598" s="392"/>
      <c r="AI598" s="391"/>
      <c r="AJ598" s="391"/>
    </row>
    <row r="599" spans="1:36" ht="13.5" x14ac:dyDescent="0.25">
      <c r="A599" s="391"/>
      <c r="B599" s="391"/>
      <c r="C599" s="391"/>
      <c r="D599" s="391"/>
      <c r="E599" s="391"/>
      <c r="F599" s="391"/>
      <c r="G599" s="391"/>
      <c r="H599" s="391"/>
      <c r="I599" s="391"/>
      <c r="J599" s="391"/>
      <c r="K599" s="391"/>
      <c r="L599" s="391"/>
      <c r="M599" s="391"/>
      <c r="N599" s="391"/>
      <c r="O599" s="391"/>
      <c r="P599" s="391"/>
      <c r="Q599" s="391"/>
      <c r="R599" s="391"/>
      <c r="S599" s="391"/>
      <c r="T599" s="391"/>
      <c r="U599" s="391"/>
      <c r="V599" s="391"/>
      <c r="W599" s="391"/>
      <c r="X599" s="391"/>
      <c r="Y599" s="391"/>
      <c r="Z599" s="391"/>
      <c r="AA599" s="391"/>
      <c r="AB599" s="391"/>
      <c r="AC599" s="391"/>
      <c r="AD599" s="391"/>
      <c r="AE599" s="391"/>
      <c r="AF599" s="391"/>
      <c r="AG599" s="391"/>
      <c r="AH599" s="392"/>
      <c r="AI599" s="391"/>
      <c r="AJ599" s="391"/>
    </row>
    <row r="600" spans="1:36" ht="13.5" x14ac:dyDescent="0.25">
      <c r="A600" s="391"/>
      <c r="B600" s="391"/>
      <c r="C600" s="391"/>
      <c r="D600" s="391"/>
      <c r="E600" s="391"/>
      <c r="F600" s="391"/>
      <c r="G600" s="391"/>
      <c r="H600" s="391"/>
      <c r="I600" s="391"/>
      <c r="J600" s="391"/>
      <c r="K600" s="391"/>
      <c r="L600" s="391"/>
      <c r="M600" s="391"/>
      <c r="N600" s="391"/>
      <c r="O600" s="391"/>
      <c r="P600" s="391"/>
      <c r="Q600" s="391"/>
      <c r="R600" s="391"/>
      <c r="S600" s="391"/>
      <c r="T600" s="391"/>
      <c r="U600" s="391"/>
      <c r="V600" s="391"/>
      <c r="W600" s="391"/>
      <c r="X600" s="391"/>
      <c r="Y600" s="391"/>
      <c r="Z600" s="391"/>
      <c r="AA600" s="391"/>
      <c r="AB600" s="391"/>
      <c r="AC600" s="391"/>
      <c r="AD600" s="391"/>
      <c r="AE600" s="391"/>
      <c r="AF600" s="391"/>
      <c r="AG600" s="391"/>
      <c r="AH600" s="392"/>
      <c r="AI600" s="391"/>
      <c r="AJ600" s="391"/>
    </row>
    <row r="601" spans="1:36" ht="13.5" x14ac:dyDescent="0.25">
      <c r="A601" s="391"/>
      <c r="B601" s="391"/>
      <c r="C601" s="391"/>
      <c r="D601" s="391"/>
      <c r="E601" s="391"/>
      <c r="F601" s="391"/>
      <c r="G601" s="391"/>
      <c r="H601" s="391"/>
      <c r="I601" s="391"/>
      <c r="J601" s="391"/>
      <c r="K601" s="391"/>
      <c r="L601" s="391"/>
      <c r="M601" s="391"/>
      <c r="N601" s="391"/>
      <c r="O601" s="391"/>
      <c r="P601" s="391"/>
      <c r="Q601" s="391"/>
      <c r="R601" s="391"/>
      <c r="S601" s="391"/>
      <c r="T601" s="391"/>
      <c r="U601" s="391"/>
      <c r="V601" s="391"/>
      <c r="W601" s="391"/>
      <c r="X601" s="391"/>
      <c r="Y601" s="391"/>
      <c r="Z601" s="391"/>
      <c r="AA601" s="391"/>
      <c r="AB601" s="391"/>
      <c r="AC601" s="391"/>
      <c r="AD601" s="391"/>
      <c r="AE601" s="391"/>
      <c r="AF601" s="391"/>
      <c r="AG601" s="391"/>
      <c r="AH601" s="392"/>
      <c r="AI601" s="391"/>
      <c r="AJ601" s="391"/>
    </row>
    <row r="602" spans="1:36" ht="13.5" x14ac:dyDescent="0.25">
      <c r="A602" s="391"/>
      <c r="B602" s="391"/>
      <c r="C602" s="391"/>
      <c r="D602" s="391"/>
      <c r="E602" s="391"/>
      <c r="F602" s="391"/>
      <c r="G602" s="391"/>
      <c r="H602" s="391"/>
      <c r="I602" s="391"/>
      <c r="J602" s="391"/>
      <c r="K602" s="391"/>
      <c r="L602" s="391"/>
      <c r="M602" s="391"/>
      <c r="N602" s="391"/>
      <c r="O602" s="391"/>
      <c r="P602" s="391"/>
      <c r="Q602" s="391"/>
      <c r="R602" s="391"/>
      <c r="S602" s="391"/>
      <c r="T602" s="391"/>
      <c r="U602" s="391"/>
      <c r="V602" s="391"/>
      <c r="W602" s="391"/>
      <c r="X602" s="391"/>
      <c r="Y602" s="391"/>
      <c r="Z602" s="391"/>
      <c r="AA602" s="391"/>
      <c r="AB602" s="391"/>
      <c r="AC602" s="391"/>
      <c r="AD602" s="391"/>
      <c r="AE602" s="391"/>
      <c r="AF602" s="391"/>
      <c r="AG602" s="391"/>
      <c r="AH602" s="392"/>
      <c r="AI602" s="391"/>
      <c r="AJ602" s="391"/>
    </row>
    <row r="603" spans="1:36" ht="13.5" x14ac:dyDescent="0.25">
      <c r="A603" s="391"/>
      <c r="B603" s="391"/>
      <c r="C603" s="391"/>
      <c r="D603" s="391"/>
      <c r="E603" s="391"/>
      <c r="F603" s="391"/>
      <c r="G603" s="391"/>
      <c r="H603" s="391"/>
      <c r="I603" s="391"/>
      <c r="J603" s="391"/>
      <c r="K603" s="391"/>
      <c r="L603" s="391"/>
      <c r="M603" s="391"/>
      <c r="N603" s="391"/>
      <c r="O603" s="391"/>
      <c r="P603" s="391"/>
      <c r="Q603" s="391"/>
      <c r="R603" s="391"/>
      <c r="S603" s="391"/>
      <c r="T603" s="391"/>
      <c r="U603" s="391"/>
      <c r="V603" s="391"/>
      <c r="W603" s="391"/>
      <c r="X603" s="391"/>
      <c r="Y603" s="391"/>
      <c r="Z603" s="391"/>
      <c r="AA603" s="391"/>
      <c r="AB603" s="391"/>
      <c r="AC603" s="391"/>
      <c r="AD603" s="391"/>
      <c r="AE603" s="391"/>
      <c r="AF603" s="391"/>
      <c r="AG603" s="391"/>
      <c r="AH603" s="392"/>
      <c r="AI603" s="391"/>
      <c r="AJ603" s="391"/>
    </row>
    <row r="604" spans="1:36" ht="13.5" x14ac:dyDescent="0.25">
      <c r="A604" s="391"/>
      <c r="B604" s="391"/>
      <c r="C604" s="391"/>
      <c r="D604" s="391"/>
      <c r="E604" s="391"/>
      <c r="F604" s="391"/>
      <c r="G604" s="391"/>
      <c r="H604" s="391"/>
      <c r="I604" s="391"/>
      <c r="J604" s="391"/>
      <c r="K604" s="391"/>
      <c r="L604" s="391"/>
      <c r="M604" s="391"/>
      <c r="N604" s="391"/>
      <c r="O604" s="391"/>
      <c r="P604" s="391"/>
      <c r="Q604" s="391"/>
      <c r="R604" s="391"/>
      <c r="S604" s="391"/>
      <c r="T604" s="391"/>
      <c r="U604" s="391"/>
      <c r="V604" s="391"/>
      <c r="W604" s="391"/>
      <c r="X604" s="391"/>
      <c r="Y604" s="391"/>
      <c r="Z604" s="391"/>
      <c r="AA604" s="391"/>
      <c r="AB604" s="391"/>
      <c r="AC604" s="391"/>
      <c r="AD604" s="391"/>
      <c r="AE604" s="391"/>
      <c r="AF604" s="391"/>
      <c r="AG604" s="391"/>
      <c r="AH604" s="392"/>
      <c r="AI604" s="391"/>
      <c r="AJ604" s="391"/>
    </row>
    <row r="605" spans="1:36" ht="13.5" x14ac:dyDescent="0.25">
      <c r="A605" s="391"/>
      <c r="B605" s="391"/>
      <c r="C605" s="391"/>
      <c r="D605" s="391"/>
      <c r="E605" s="391"/>
      <c r="F605" s="391"/>
      <c r="G605" s="391"/>
      <c r="H605" s="391"/>
      <c r="I605" s="391"/>
      <c r="J605" s="391"/>
      <c r="K605" s="391"/>
      <c r="L605" s="391"/>
      <c r="M605" s="391"/>
      <c r="N605" s="391"/>
      <c r="O605" s="391"/>
      <c r="P605" s="391"/>
      <c r="Q605" s="391"/>
      <c r="R605" s="391"/>
      <c r="S605" s="391"/>
      <c r="T605" s="391"/>
      <c r="U605" s="391"/>
      <c r="V605" s="391"/>
      <c r="W605" s="391"/>
      <c r="X605" s="391"/>
      <c r="Y605" s="391"/>
      <c r="Z605" s="391"/>
      <c r="AA605" s="391"/>
      <c r="AB605" s="391"/>
      <c r="AC605" s="391"/>
      <c r="AD605" s="391"/>
      <c r="AE605" s="391"/>
      <c r="AF605" s="391"/>
      <c r="AG605" s="391"/>
      <c r="AH605" s="392"/>
      <c r="AI605" s="391"/>
      <c r="AJ605" s="391"/>
    </row>
    <row r="606" spans="1:36" ht="13.5" x14ac:dyDescent="0.25">
      <c r="A606" s="391"/>
      <c r="B606" s="391"/>
      <c r="C606" s="391"/>
      <c r="D606" s="391"/>
      <c r="E606" s="391"/>
      <c r="F606" s="391"/>
      <c r="G606" s="391"/>
      <c r="H606" s="391"/>
      <c r="I606" s="391"/>
      <c r="J606" s="391"/>
      <c r="K606" s="391"/>
      <c r="L606" s="391"/>
      <c r="M606" s="391"/>
      <c r="N606" s="391"/>
      <c r="O606" s="391"/>
      <c r="P606" s="391"/>
      <c r="Q606" s="391"/>
      <c r="R606" s="391"/>
      <c r="S606" s="391"/>
      <c r="T606" s="391"/>
      <c r="U606" s="391"/>
      <c r="V606" s="391"/>
      <c r="W606" s="391"/>
      <c r="X606" s="391"/>
      <c r="Y606" s="391"/>
      <c r="Z606" s="391"/>
      <c r="AA606" s="391"/>
      <c r="AB606" s="391"/>
      <c r="AC606" s="391"/>
      <c r="AD606" s="391"/>
      <c r="AE606" s="391"/>
      <c r="AF606" s="391"/>
      <c r="AG606" s="391"/>
      <c r="AH606" s="392"/>
      <c r="AI606" s="391"/>
      <c r="AJ606" s="391"/>
    </row>
    <row r="607" spans="1:36" ht="13.5" x14ac:dyDescent="0.25">
      <c r="A607" s="391"/>
      <c r="B607" s="391"/>
      <c r="C607" s="391"/>
      <c r="D607" s="391"/>
      <c r="E607" s="391"/>
      <c r="F607" s="391"/>
      <c r="G607" s="391"/>
      <c r="H607" s="391"/>
      <c r="I607" s="391"/>
      <c r="J607" s="391"/>
      <c r="K607" s="391"/>
      <c r="L607" s="391"/>
      <c r="M607" s="391"/>
      <c r="N607" s="391"/>
      <c r="O607" s="391"/>
      <c r="P607" s="391"/>
      <c r="Q607" s="391"/>
      <c r="R607" s="391"/>
      <c r="S607" s="391"/>
      <c r="T607" s="391"/>
      <c r="U607" s="391"/>
      <c r="V607" s="391"/>
      <c r="W607" s="391"/>
      <c r="X607" s="391"/>
      <c r="Y607" s="391"/>
      <c r="Z607" s="391"/>
      <c r="AA607" s="391"/>
      <c r="AB607" s="391"/>
      <c r="AC607" s="391"/>
      <c r="AD607" s="391"/>
      <c r="AE607" s="391"/>
      <c r="AF607" s="391"/>
      <c r="AG607" s="391"/>
      <c r="AH607" s="392"/>
      <c r="AI607" s="391"/>
      <c r="AJ607" s="391"/>
    </row>
    <row r="608" spans="1:36" ht="13.5" x14ac:dyDescent="0.25">
      <c r="A608" s="391"/>
      <c r="B608" s="391"/>
      <c r="C608" s="391"/>
      <c r="D608" s="391"/>
      <c r="E608" s="391"/>
      <c r="F608" s="391"/>
      <c r="G608" s="391"/>
      <c r="H608" s="391"/>
      <c r="I608" s="391"/>
      <c r="J608" s="391"/>
      <c r="K608" s="391"/>
      <c r="L608" s="391"/>
      <c r="M608" s="391"/>
      <c r="N608" s="391"/>
      <c r="O608" s="391"/>
      <c r="P608" s="391"/>
      <c r="Q608" s="391"/>
      <c r="R608" s="391"/>
      <c r="S608" s="391"/>
      <c r="T608" s="391"/>
      <c r="U608" s="391"/>
      <c r="V608" s="391"/>
      <c r="W608" s="391"/>
      <c r="X608" s="391"/>
      <c r="Y608" s="391"/>
      <c r="Z608" s="391"/>
      <c r="AA608" s="391"/>
      <c r="AB608" s="391"/>
      <c r="AC608" s="391"/>
      <c r="AD608" s="391"/>
      <c r="AE608" s="391"/>
      <c r="AF608" s="391"/>
      <c r="AG608" s="391"/>
      <c r="AH608" s="392"/>
      <c r="AI608" s="391"/>
      <c r="AJ608" s="391"/>
    </row>
    <row r="609" spans="1:36" ht="13.5" x14ac:dyDescent="0.25">
      <c r="A609" s="391"/>
      <c r="B609" s="391"/>
      <c r="C609" s="391"/>
      <c r="D609" s="391"/>
      <c r="E609" s="391"/>
      <c r="F609" s="391"/>
      <c r="G609" s="391"/>
      <c r="H609" s="391"/>
      <c r="I609" s="391"/>
      <c r="J609" s="391"/>
      <c r="K609" s="391"/>
      <c r="L609" s="391"/>
      <c r="M609" s="391"/>
      <c r="N609" s="391"/>
      <c r="O609" s="391"/>
      <c r="P609" s="391"/>
      <c r="Q609" s="391"/>
      <c r="R609" s="391"/>
      <c r="S609" s="391"/>
      <c r="T609" s="391"/>
      <c r="U609" s="391"/>
      <c r="V609" s="391"/>
      <c r="W609" s="391"/>
      <c r="X609" s="391"/>
      <c r="Y609" s="391"/>
      <c r="Z609" s="391"/>
      <c r="AA609" s="391"/>
      <c r="AB609" s="391"/>
      <c r="AC609" s="391"/>
      <c r="AD609" s="391"/>
      <c r="AE609" s="391"/>
      <c r="AF609" s="391"/>
      <c r="AG609" s="391"/>
      <c r="AH609" s="392"/>
      <c r="AI609" s="391"/>
      <c r="AJ609" s="391"/>
    </row>
    <row r="610" spans="1:36" ht="13.5" x14ac:dyDescent="0.25">
      <c r="A610" s="391"/>
      <c r="B610" s="391"/>
      <c r="C610" s="391"/>
      <c r="D610" s="391"/>
      <c r="E610" s="391"/>
      <c r="F610" s="391"/>
      <c r="G610" s="391"/>
      <c r="H610" s="391"/>
      <c r="I610" s="391"/>
      <c r="J610" s="391"/>
      <c r="K610" s="391"/>
      <c r="L610" s="391"/>
      <c r="M610" s="391"/>
      <c r="N610" s="391"/>
      <c r="O610" s="391"/>
      <c r="P610" s="391"/>
      <c r="Q610" s="391"/>
      <c r="R610" s="391"/>
      <c r="S610" s="391"/>
      <c r="T610" s="391"/>
      <c r="U610" s="391"/>
      <c r="V610" s="391"/>
      <c r="W610" s="391"/>
      <c r="X610" s="391"/>
      <c r="Y610" s="391"/>
      <c r="Z610" s="391"/>
      <c r="AA610" s="391"/>
      <c r="AB610" s="391"/>
      <c r="AC610" s="391"/>
      <c r="AD610" s="391"/>
      <c r="AE610" s="391"/>
      <c r="AF610" s="391"/>
      <c r="AG610" s="391"/>
      <c r="AH610" s="392"/>
      <c r="AI610" s="391"/>
      <c r="AJ610" s="391"/>
    </row>
    <row r="611" spans="1:36" ht="13.5" x14ac:dyDescent="0.25">
      <c r="A611" s="391"/>
      <c r="B611" s="391"/>
      <c r="C611" s="391"/>
      <c r="D611" s="391"/>
      <c r="E611" s="391"/>
      <c r="F611" s="391"/>
      <c r="G611" s="391"/>
      <c r="H611" s="391"/>
      <c r="I611" s="391"/>
      <c r="J611" s="391"/>
      <c r="K611" s="391"/>
      <c r="L611" s="391"/>
      <c r="M611" s="391"/>
      <c r="N611" s="391"/>
      <c r="O611" s="391"/>
      <c r="P611" s="391"/>
      <c r="Q611" s="391"/>
      <c r="R611" s="391"/>
      <c r="S611" s="391"/>
      <c r="T611" s="391"/>
      <c r="U611" s="391"/>
      <c r="V611" s="391"/>
      <c r="W611" s="391"/>
      <c r="X611" s="391"/>
      <c r="Y611" s="391"/>
      <c r="Z611" s="391"/>
      <c r="AA611" s="391"/>
      <c r="AB611" s="391"/>
      <c r="AC611" s="391"/>
      <c r="AD611" s="391"/>
      <c r="AE611" s="391"/>
      <c r="AF611" s="391"/>
      <c r="AG611" s="391"/>
      <c r="AH611" s="392"/>
      <c r="AI611" s="391"/>
      <c r="AJ611" s="391"/>
    </row>
    <row r="612" spans="1:36" ht="13.5" x14ac:dyDescent="0.25">
      <c r="A612" s="391"/>
      <c r="B612" s="391"/>
      <c r="C612" s="391"/>
      <c r="D612" s="391"/>
      <c r="E612" s="391"/>
      <c r="F612" s="391"/>
      <c r="G612" s="391"/>
      <c r="H612" s="391"/>
      <c r="I612" s="391"/>
      <c r="J612" s="391"/>
      <c r="K612" s="391"/>
      <c r="L612" s="391"/>
      <c r="M612" s="391"/>
      <c r="N612" s="391"/>
      <c r="O612" s="391"/>
      <c r="P612" s="391"/>
      <c r="Q612" s="391"/>
      <c r="R612" s="391"/>
      <c r="S612" s="391"/>
      <c r="T612" s="391"/>
      <c r="U612" s="391"/>
      <c r="V612" s="391"/>
      <c r="W612" s="391"/>
      <c r="X612" s="391"/>
      <c r="Y612" s="391"/>
      <c r="Z612" s="391"/>
      <c r="AA612" s="391"/>
      <c r="AB612" s="391"/>
      <c r="AC612" s="391"/>
      <c r="AD612" s="391"/>
      <c r="AE612" s="391"/>
      <c r="AF612" s="391"/>
      <c r="AG612" s="391"/>
      <c r="AH612" s="392"/>
      <c r="AI612" s="391"/>
      <c r="AJ612" s="391"/>
    </row>
    <row r="613" spans="1:36" ht="13.5" x14ac:dyDescent="0.25">
      <c r="A613" s="391"/>
      <c r="B613" s="391"/>
      <c r="C613" s="391"/>
      <c r="D613" s="391"/>
      <c r="E613" s="391"/>
      <c r="F613" s="391"/>
      <c r="G613" s="391"/>
      <c r="H613" s="391"/>
      <c r="I613" s="391"/>
      <c r="J613" s="391"/>
      <c r="K613" s="391"/>
      <c r="L613" s="391"/>
      <c r="M613" s="391"/>
      <c r="N613" s="391"/>
      <c r="O613" s="391"/>
      <c r="P613" s="391"/>
      <c r="Q613" s="391"/>
      <c r="R613" s="391"/>
      <c r="S613" s="391"/>
      <c r="T613" s="391"/>
      <c r="U613" s="391"/>
      <c r="V613" s="391"/>
      <c r="W613" s="391"/>
      <c r="X613" s="391"/>
      <c r="Y613" s="391"/>
      <c r="Z613" s="391"/>
      <c r="AA613" s="391"/>
      <c r="AB613" s="391"/>
      <c r="AC613" s="391"/>
      <c r="AD613" s="391"/>
      <c r="AE613" s="391"/>
      <c r="AF613" s="391"/>
      <c r="AG613" s="391"/>
      <c r="AH613" s="392"/>
      <c r="AI613" s="391"/>
      <c r="AJ613" s="391"/>
    </row>
    <row r="614" spans="1:36" ht="13.5" x14ac:dyDescent="0.25">
      <c r="A614" s="391"/>
      <c r="B614" s="391"/>
      <c r="C614" s="391"/>
      <c r="D614" s="391"/>
      <c r="E614" s="391"/>
      <c r="F614" s="391"/>
      <c r="G614" s="391"/>
      <c r="H614" s="391"/>
      <c r="I614" s="391"/>
      <c r="J614" s="391"/>
      <c r="K614" s="391"/>
      <c r="L614" s="391"/>
      <c r="M614" s="391"/>
      <c r="N614" s="391"/>
      <c r="O614" s="391"/>
      <c r="P614" s="391"/>
      <c r="Q614" s="391"/>
      <c r="R614" s="391"/>
      <c r="S614" s="391"/>
      <c r="T614" s="391"/>
      <c r="U614" s="391"/>
      <c r="V614" s="391"/>
      <c r="W614" s="391"/>
      <c r="X614" s="391"/>
      <c r="Y614" s="391"/>
      <c r="Z614" s="391"/>
      <c r="AA614" s="391"/>
      <c r="AB614" s="391"/>
      <c r="AC614" s="391"/>
      <c r="AD614" s="391"/>
      <c r="AE614" s="391"/>
      <c r="AF614" s="391"/>
      <c r="AG614" s="391"/>
      <c r="AH614" s="392"/>
      <c r="AI614" s="391"/>
      <c r="AJ614" s="391"/>
    </row>
    <row r="615" spans="1:36" ht="13.5" x14ac:dyDescent="0.25">
      <c r="A615" s="391"/>
      <c r="B615" s="391"/>
      <c r="C615" s="391"/>
      <c r="D615" s="391"/>
      <c r="E615" s="391"/>
      <c r="F615" s="391"/>
      <c r="G615" s="391"/>
      <c r="H615" s="391"/>
      <c r="I615" s="391"/>
      <c r="J615" s="391"/>
      <c r="K615" s="391"/>
      <c r="L615" s="391"/>
      <c r="M615" s="391"/>
      <c r="N615" s="391"/>
      <c r="O615" s="391"/>
      <c r="P615" s="391"/>
      <c r="Q615" s="391"/>
      <c r="R615" s="391"/>
      <c r="S615" s="391"/>
      <c r="T615" s="391"/>
      <c r="U615" s="391"/>
      <c r="V615" s="391"/>
      <c r="W615" s="391"/>
      <c r="X615" s="391"/>
      <c r="Y615" s="391"/>
      <c r="Z615" s="391"/>
      <c r="AA615" s="391"/>
      <c r="AB615" s="391"/>
      <c r="AC615" s="391"/>
      <c r="AD615" s="391"/>
      <c r="AE615" s="391"/>
      <c r="AF615" s="391"/>
      <c r="AG615" s="391"/>
      <c r="AH615" s="392"/>
      <c r="AI615" s="391"/>
      <c r="AJ615" s="391"/>
    </row>
    <row r="616" spans="1:36" ht="13.5" x14ac:dyDescent="0.25">
      <c r="A616" s="391"/>
      <c r="B616" s="391"/>
      <c r="C616" s="391"/>
      <c r="D616" s="391"/>
      <c r="E616" s="391"/>
      <c r="F616" s="391"/>
      <c r="G616" s="391"/>
      <c r="H616" s="391"/>
      <c r="I616" s="391"/>
      <c r="J616" s="391"/>
      <c r="K616" s="391"/>
      <c r="L616" s="391"/>
      <c r="M616" s="391"/>
      <c r="N616" s="391"/>
      <c r="O616" s="391"/>
      <c r="P616" s="391"/>
      <c r="Q616" s="391"/>
      <c r="R616" s="391"/>
      <c r="S616" s="391"/>
      <c r="T616" s="391"/>
      <c r="U616" s="391"/>
      <c r="V616" s="391"/>
      <c r="W616" s="391"/>
      <c r="X616" s="391"/>
      <c r="Y616" s="391"/>
      <c r="Z616" s="391"/>
      <c r="AA616" s="391"/>
      <c r="AB616" s="391"/>
      <c r="AC616" s="391"/>
      <c r="AD616" s="391"/>
      <c r="AE616" s="391"/>
      <c r="AF616" s="391"/>
      <c r="AG616" s="391"/>
      <c r="AH616" s="392"/>
      <c r="AI616" s="391"/>
      <c r="AJ616" s="391"/>
    </row>
    <row r="617" spans="1:36" ht="13.5" x14ac:dyDescent="0.25">
      <c r="A617" s="391"/>
      <c r="B617" s="391"/>
      <c r="C617" s="391"/>
      <c r="D617" s="391"/>
      <c r="E617" s="391"/>
      <c r="F617" s="391"/>
      <c r="G617" s="391"/>
      <c r="H617" s="391"/>
      <c r="I617" s="391"/>
      <c r="J617" s="391"/>
      <c r="K617" s="391"/>
      <c r="L617" s="391"/>
      <c r="M617" s="391"/>
      <c r="N617" s="391"/>
      <c r="O617" s="391"/>
      <c r="P617" s="391"/>
      <c r="Q617" s="391"/>
      <c r="R617" s="391"/>
      <c r="S617" s="391"/>
      <c r="T617" s="391"/>
      <c r="U617" s="391"/>
      <c r="V617" s="391"/>
      <c r="W617" s="391"/>
      <c r="X617" s="391"/>
      <c r="Y617" s="391"/>
      <c r="Z617" s="391"/>
      <c r="AA617" s="391"/>
      <c r="AB617" s="391"/>
      <c r="AC617" s="391"/>
      <c r="AD617" s="391"/>
      <c r="AE617" s="391"/>
      <c r="AF617" s="391"/>
      <c r="AG617" s="391"/>
      <c r="AH617" s="392"/>
      <c r="AI617" s="391"/>
      <c r="AJ617" s="391"/>
    </row>
    <row r="618" spans="1:36" ht="13.5" x14ac:dyDescent="0.25">
      <c r="A618" s="391"/>
      <c r="B618" s="391"/>
      <c r="C618" s="391"/>
      <c r="D618" s="391"/>
      <c r="E618" s="391"/>
      <c r="F618" s="391"/>
      <c r="G618" s="391"/>
      <c r="H618" s="391"/>
      <c r="I618" s="391"/>
      <c r="J618" s="391"/>
      <c r="K618" s="391"/>
      <c r="L618" s="391"/>
      <c r="M618" s="391"/>
      <c r="N618" s="391"/>
      <c r="O618" s="391"/>
      <c r="P618" s="391"/>
      <c r="Q618" s="391"/>
      <c r="R618" s="391"/>
      <c r="S618" s="391"/>
      <c r="T618" s="391"/>
      <c r="U618" s="391"/>
      <c r="V618" s="391"/>
      <c r="W618" s="391"/>
      <c r="X618" s="391"/>
      <c r="Y618" s="391"/>
      <c r="Z618" s="391"/>
      <c r="AA618" s="391"/>
      <c r="AB618" s="391"/>
      <c r="AC618" s="391"/>
      <c r="AD618" s="391"/>
      <c r="AE618" s="391"/>
      <c r="AF618" s="391"/>
      <c r="AG618" s="391"/>
      <c r="AH618" s="392"/>
      <c r="AI618" s="391"/>
      <c r="AJ618" s="391"/>
    </row>
    <row r="619" spans="1:36" ht="13.5" x14ac:dyDescent="0.25">
      <c r="A619" s="391"/>
      <c r="B619" s="391"/>
      <c r="C619" s="391"/>
      <c r="D619" s="391"/>
      <c r="E619" s="391"/>
      <c r="F619" s="391"/>
      <c r="G619" s="391"/>
      <c r="H619" s="391"/>
      <c r="I619" s="391"/>
      <c r="J619" s="391"/>
      <c r="K619" s="391"/>
      <c r="L619" s="391"/>
      <c r="M619" s="391"/>
      <c r="N619" s="391"/>
      <c r="O619" s="391"/>
      <c r="P619" s="391"/>
      <c r="Q619" s="391"/>
      <c r="R619" s="391"/>
      <c r="S619" s="391"/>
      <c r="T619" s="391"/>
      <c r="U619" s="391"/>
      <c r="V619" s="391"/>
      <c r="W619" s="391"/>
      <c r="X619" s="391"/>
      <c r="Y619" s="391"/>
      <c r="Z619" s="391"/>
      <c r="AA619" s="391"/>
      <c r="AB619" s="391"/>
      <c r="AC619" s="391"/>
      <c r="AD619" s="391"/>
      <c r="AE619" s="391"/>
      <c r="AF619" s="391"/>
      <c r="AG619" s="391"/>
      <c r="AH619" s="392"/>
      <c r="AI619" s="391"/>
      <c r="AJ619" s="391"/>
    </row>
    <row r="620" spans="1:36" ht="13.5" x14ac:dyDescent="0.25">
      <c r="A620" s="391"/>
      <c r="B620" s="391"/>
      <c r="C620" s="391"/>
      <c r="D620" s="391"/>
      <c r="E620" s="391"/>
      <c r="F620" s="391"/>
      <c r="G620" s="391"/>
      <c r="H620" s="391"/>
      <c r="I620" s="391"/>
      <c r="J620" s="391"/>
      <c r="K620" s="391"/>
      <c r="L620" s="391"/>
      <c r="M620" s="391"/>
      <c r="N620" s="391"/>
      <c r="O620" s="391"/>
      <c r="P620" s="391"/>
      <c r="Q620" s="391"/>
      <c r="R620" s="391"/>
      <c r="S620" s="391"/>
      <c r="T620" s="391"/>
      <c r="U620" s="391"/>
      <c r="V620" s="391"/>
      <c r="W620" s="391"/>
      <c r="X620" s="391"/>
      <c r="Y620" s="391"/>
      <c r="Z620" s="391"/>
      <c r="AA620" s="391"/>
      <c r="AB620" s="391"/>
      <c r="AC620" s="391"/>
      <c r="AD620" s="391"/>
      <c r="AE620" s="391"/>
      <c r="AF620" s="391"/>
      <c r="AG620" s="391"/>
      <c r="AH620" s="392"/>
      <c r="AI620" s="391"/>
      <c r="AJ620" s="391"/>
    </row>
    <row r="621" spans="1:36" ht="13.5" x14ac:dyDescent="0.25">
      <c r="A621" s="391"/>
      <c r="B621" s="391"/>
      <c r="C621" s="391"/>
      <c r="D621" s="391"/>
      <c r="E621" s="391"/>
      <c r="F621" s="391"/>
      <c r="G621" s="391"/>
      <c r="H621" s="391"/>
      <c r="I621" s="391"/>
      <c r="J621" s="391"/>
      <c r="K621" s="391"/>
      <c r="L621" s="391"/>
      <c r="M621" s="391"/>
      <c r="N621" s="391"/>
      <c r="O621" s="391"/>
      <c r="P621" s="391"/>
      <c r="Q621" s="391"/>
      <c r="R621" s="391"/>
      <c r="S621" s="391"/>
      <c r="T621" s="391"/>
      <c r="U621" s="391"/>
      <c r="V621" s="391"/>
      <c r="W621" s="391"/>
      <c r="X621" s="391"/>
      <c r="Y621" s="391"/>
      <c r="Z621" s="391"/>
      <c r="AA621" s="391"/>
      <c r="AB621" s="391"/>
      <c r="AC621" s="391"/>
      <c r="AD621" s="391"/>
      <c r="AE621" s="391"/>
      <c r="AF621" s="391"/>
      <c r="AG621" s="391"/>
      <c r="AH621" s="392"/>
      <c r="AI621" s="391"/>
      <c r="AJ621" s="391"/>
    </row>
    <row r="622" spans="1:36" ht="13.5" x14ac:dyDescent="0.25">
      <c r="A622" s="391"/>
      <c r="B622" s="391"/>
      <c r="C622" s="391"/>
      <c r="D622" s="391"/>
      <c r="E622" s="391"/>
      <c r="F622" s="391"/>
      <c r="G622" s="391"/>
      <c r="H622" s="391"/>
      <c r="I622" s="391"/>
      <c r="J622" s="391"/>
      <c r="K622" s="391"/>
      <c r="L622" s="391"/>
      <c r="M622" s="391"/>
      <c r="N622" s="391"/>
      <c r="O622" s="391"/>
      <c r="P622" s="391"/>
      <c r="Q622" s="391"/>
      <c r="R622" s="391"/>
      <c r="S622" s="391"/>
      <c r="T622" s="391"/>
      <c r="U622" s="391"/>
      <c r="V622" s="391"/>
      <c r="W622" s="391"/>
      <c r="X622" s="391"/>
      <c r="Y622" s="391"/>
      <c r="Z622" s="391"/>
      <c r="AA622" s="391"/>
      <c r="AB622" s="391"/>
      <c r="AC622" s="391"/>
      <c r="AD622" s="391"/>
      <c r="AE622" s="391"/>
      <c r="AF622" s="391"/>
      <c r="AG622" s="391"/>
      <c r="AH622" s="392"/>
      <c r="AI622" s="391"/>
      <c r="AJ622" s="391"/>
    </row>
    <row r="623" spans="1:36" ht="13.5" x14ac:dyDescent="0.25">
      <c r="A623" s="391"/>
      <c r="B623" s="391"/>
      <c r="C623" s="391"/>
      <c r="D623" s="391"/>
      <c r="E623" s="391"/>
      <c r="F623" s="391"/>
      <c r="G623" s="391"/>
      <c r="H623" s="391"/>
      <c r="I623" s="391"/>
      <c r="J623" s="391"/>
      <c r="K623" s="391"/>
      <c r="L623" s="391"/>
      <c r="M623" s="391"/>
      <c r="N623" s="391"/>
      <c r="O623" s="391"/>
      <c r="P623" s="391"/>
      <c r="Q623" s="391"/>
      <c r="R623" s="391"/>
      <c r="S623" s="391"/>
      <c r="T623" s="391"/>
      <c r="U623" s="391"/>
      <c r="V623" s="391"/>
      <c r="W623" s="391"/>
      <c r="X623" s="391"/>
      <c r="Y623" s="391"/>
      <c r="Z623" s="391"/>
      <c r="AA623" s="391"/>
      <c r="AB623" s="391"/>
      <c r="AC623" s="391"/>
      <c r="AD623" s="391"/>
      <c r="AE623" s="391"/>
      <c r="AF623" s="391"/>
      <c r="AG623" s="391"/>
      <c r="AH623" s="392"/>
      <c r="AI623" s="391"/>
      <c r="AJ623" s="391"/>
    </row>
    <row r="624" spans="1:36" ht="13.5" x14ac:dyDescent="0.25">
      <c r="A624" s="391"/>
      <c r="B624" s="391"/>
      <c r="C624" s="391"/>
      <c r="D624" s="391"/>
      <c r="E624" s="391"/>
      <c r="F624" s="391"/>
      <c r="G624" s="391"/>
      <c r="H624" s="391"/>
      <c r="I624" s="391"/>
      <c r="J624" s="391"/>
      <c r="K624" s="391"/>
      <c r="L624" s="391"/>
      <c r="M624" s="391"/>
      <c r="N624" s="391"/>
      <c r="O624" s="391"/>
      <c r="P624" s="391"/>
      <c r="Q624" s="391"/>
      <c r="R624" s="391"/>
      <c r="S624" s="391"/>
      <c r="T624" s="391"/>
      <c r="U624" s="391"/>
      <c r="V624" s="391"/>
      <c r="W624" s="391"/>
      <c r="X624" s="391"/>
      <c r="Y624" s="391"/>
      <c r="Z624" s="391"/>
      <c r="AA624" s="391"/>
      <c r="AB624" s="391"/>
      <c r="AC624" s="391"/>
      <c r="AD624" s="391"/>
      <c r="AE624" s="391"/>
      <c r="AF624" s="391"/>
      <c r="AG624" s="391"/>
      <c r="AH624" s="392"/>
      <c r="AI624" s="391"/>
      <c r="AJ624" s="391"/>
    </row>
    <row r="625" spans="1:36" ht="13.5" x14ac:dyDescent="0.25">
      <c r="A625" s="391"/>
      <c r="B625" s="391"/>
      <c r="C625" s="391"/>
      <c r="D625" s="391"/>
      <c r="E625" s="391"/>
      <c r="F625" s="391"/>
      <c r="G625" s="391"/>
      <c r="H625" s="391"/>
      <c r="I625" s="391"/>
      <c r="J625" s="391"/>
      <c r="K625" s="391"/>
      <c r="L625" s="391"/>
      <c r="M625" s="391"/>
      <c r="N625" s="391"/>
      <c r="O625" s="391"/>
      <c r="P625" s="391"/>
      <c r="Q625" s="391"/>
      <c r="R625" s="391"/>
      <c r="S625" s="391"/>
      <c r="T625" s="391"/>
      <c r="U625" s="391"/>
      <c r="V625" s="391"/>
      <c r="W625" s="391"/>
      <c r="X625" s="391"/>
      <c r="Y625" s="391"/>
      <c r="Z625" s="391"/>
      <c r="AA625" s="391"/>
      <c r="AB625" s="391"/>
      <c r="AC625" s="391"/>
      <c r="AD625" s="391"/>
      <c r="AE625" s="391"/>
      <c r="AF625" s="391"/>
      <c r="AG625" s="391"/>
      <c r="AH625" s="392"/>
      <c r="AI625" s="391"/>
      <c r="AJ625" s="391"/>
    </row>
    <row r="626" spans="1:36" ht="13.5" x14ac:dyDescent="0.25">
      <c r="A626" s="391"/>
      <c r="B626" s="391"/>
      <c r="C626" s="391"/>
      <c r="D626" s="391"/>
      <c r="E626" s="391"/>
      <c r="F626" s="391"/>
      <c r="G626" s="391"/>
      <c r="H626" s="391"/>
      <c r="I626" s="391"/>
      <c r="J626" s="391"/>
      <c r="K626" s="391"/>
      <c r="L626" s="391"/>
      <c r="M626" s="391"/>
      <c r="N626" s="391"/>
      <c r="O626" s="391"/>
      <c r="P626" s="391"/>
      <c r="Q626" s="391"/>
      <c r="R626" s="391"/>
      <c r="S626" s="391"/>
      <c r="T626" s="391"/>
      <c r="U626" s="391"/>
      <c r="V626" s="391"/>
      <c r="W626" s="391"/>
      <c r="X626" s="391"/>
      <c r="Y626" s="391"/>
      <c r="Z626" s="391"/>
      <c r="AA626" s="391"/>
      <c r="AB626" s="391"/>
      <c r="AC626" s="391"/>
      <c r="AD626" s="391"/>
      <c r="AE626" s="391"/>
      <c r="AF626" s="391"/>
      <c r="AG626" s="391"/>
      <c r="AH626" s="392"/>
      <c r="AI626" s="391"/>
      <c r="AJ626" s="391"/>
    </row>
    <row r="627" spans="1:36" ht="13.5" x14ac:dyDescent="0.25">
      <c r="A627" s="391"/>
      <c r="B627" s="391"/>
      <c r="C627" s="391"/>
      <c r="D627" s="391"/>
      <c r="E627" s="391"/>
      <c r="F627" s="391"/>
      <c r="G627" s="391"/>
      <c r="H627" s="391"/>
      <c r="I627" s="391"/>
      <c r="J627" s="391"/>
      <c r="K627" s="391"/>
      <c r="L627" s="391"/>
      <c r="M627" s="391"/>
      <c r="N627" s="391"/>
      <c r="O627" s="391"/>
      <c r="P627" s="391"/>
      <c r="Q627" s="391"/>
      <c r="R627" s="391"/>
      <c r="S627" s="391"/>
      <c r="T627" s="391"/>
      <c r="U627" s="391"/>
      <c r="V627" s="391"/>
      <c r="W627" s="391"/>
      <c r="X627" s="391"/>
      <c r="Y627" s="391"/>
      <c r="Z627" s="391"/>
      <c r="AA627" s="391"/>
      <c r="AB627" s="391"/>
      <c r="AC627" s="391"/>
      <c r="AD627" s="391"/>
      <c r="AE627" s="391"/>
      <c r="AF627" s="391"/>
      <c r="AG627" s="391"/>
      <c r="AH627" s="392"/>
      <c r="AI627" s="391"/>
      <c r="AJ627" s="391"/>
    </row>
    <row r="628" spans="1:36" ht="13.5" x14ac:dyDescent="0.25">
      <c r="A628" s="391"/>
      <c r="B628" s="391"/>
      <c r="C628" s="391"/>
      <c r="D628" s="391"/>
      <c r="E628" s="391"/>
      <c r="F628" s="391"/>
      <c r="G628" s="391"/>
      <c r="H628" s="391"/>
      <c r="I628" s="391"/>
      <c r="J628" s="391"/>
      <c r="K628" s="391"/>
      <c r="L628" s="391"/>
      <c r="M628" s="391"/>
      <c r="N628" s="391"/>
      <c r="O628" s="391"/>
      <c r="P628" s="391"/>
      <c r="Q628" s="391"/>
      <c r="R628" s="391"/>
      <c r="S628" s="391"/>
      <c r="T628" s="391"/>
      <c r="U628" s="391"/>
      <c r="V628" s="391"/>
      <c r="W628" s="391"/>
      <c r="X628" s="391"/>
      <c r="Y628" s="391"/>
      <c r="Z628" s="391"/>
      <c r="AA628" s="391"/>
      <c r="AB628" s="391"/>
      <c r="AC628" s="391"/>
      <c r="AD628" s="391"/>
      <c r="AE628" s="391"/>
      <c r="AF628" s="391"/>
      <c r="AG628" s="391"/>
      <c r="AH628" s="392"/>
      <c r="AI628" s="391"/>
      <c r="AJ628" s="391"/>
    </row>
    <row r="629" spans="1:36" ht="13.5" x14ac:dyDescent="0.25">
      <c r="A629" s="391"/>
      <c r="B629" s="391"/>
      <c r="C629" s="391"/>
      <c r="D629" s="391"/>
      <c r="E629" s="391"/>
      <c r="F629" s="391"/>
      <c r="G629" s="391"/>
      <c r="H629" s="391"/>
      <c r="I629" s="391"/>
      <c r="J629" s="391"/>
      <c r="K629" s="391"/>
      <c r="L629" s="391"/>
      <c r="M629" s="391"/>
      <c r="N629" s="391"/>
      <c r="O629" s="391"/>
      <c r="P629" s="391"/>
      <c r="Q629" s="391"/>
      <c r="R629" s="391"/>
      <c r="S629" s="391"/>
      <c r="T629" s="391"/>
      <c r="U629" s="391"/>
      <c r="V629" s="391"/>
      <c r="W629" s="391"/>
      <c r="X629" s="391"/>
      <c r="Y629" s="391"/>
      <c r="Z629" s="391"/>
      <c r="AA629" s="391"/>
      <c r="AB629" s="391"/>
      <c r="AC629" s="391"/>
      <c r="AD629" s="391"/>
      <c r="AE629" s="391"/>
      <c r="AF629" s="391"/>
      <c r="AG629" s="391"/>
      <c r="AH629" s="392"/>
      <c r="AI629" s="391"/>
      <c r="AJ629" s="391"/>
    </row>
    <row r="630" spans="1:36" ht="13.5" x14ac:dyDescent="0.25">
      <c r="A630" s="391"/>
      <c r="B630" s="391"/>
      <c r="C630" s="391"/>
      <c r="D630" s="391"/>
      <c r="E630" s="391"/>
      <c r="F630" s="391"/>
      <c r="G630" s="391"/>
      <c r="H630" s="391"/>
      <c r="I630" s="391"/>
      <c r="J630" s="391"/>
      <c r="K630" s="391"/>
      <c r="L630" s="391"/>
      <c r="M630" s="391"/>
      <c r="N630" s="391"/>
      <c r="O630" s="391"/>
      <c r="P630" s="391"/>
      <c r="Q630" s="391"/>
      <c r="R630" s="391"/>
      <c r="S630" s="391"/>
      <c r="T630" s="391"/>
      <c r="U630" s="391"/>
      <c r="V630" s="391"/>
      <c r="W630" s="391"/>
      <c r="X630" s="391"/>
      <c r="Y630" s="391"/>
      <c r="Z630" s="391"/>
      <c r="AA630" s="391"/>
      <c r="AB630" s="391"/>
      <c r="AC630" s="391"/>
      <c r="AD630" s="391"/>
      <c r="AE630" s="391"/>
      <c r="AF630" s="391"/>
      <c r="AG630" s="391"/>
      <c r="AH630" s="392"/>
      <c r="AI630" s="391"/>
      <c r="AJ630" s="391"/>
    </row>
    <row r="631" spans="1:36" ht="13.5" x14ac:dyDescent="0.25">
      <c r="A631" s="391"/>
      <c r="B631" s="391"/>
      <c r="C631" s="391"/>
      <c r="D631" s="391"/>
      <c r="E631" s="391"/>
      <c r="F631" s="391"/>
      <c r="G631" s="391"/>
      <c r="H631" s="391"/>
      <c r="I631" s="391"/>
      <c r="J631" s="391"/>
      <c r="K631" s="391"/>
      <c r="L631" s="391"/>
      <c r="M631" s="391"/>
      <c r="N631" s="391"/>
      <c r="O631" s="391"/>
      <c r="P631" s="391"/>
      <c r="Q631" s="391"/>
      <c r="R631" s="391"/>
      <c r="S631" s="391"/>
      <c r="T631" s="391"/>
      <c r="U631" s="391"/>
      <c r="V631" s="391"/>
      <c r="W631" s="391"/>
      <c r="X631" s="391"/>
      <c r="Y631" s="391"/>
      <c r="Z631" s="391"/>
      <c r="AA631" s="391"/>
      <c r="AB631" s="391"/>
      <c r="AC631" s="391"/>
      <c r="AD631" s="391"/>
      <c r="AE631" s="391"/>
      <c r="AF631" s="391"/>
      <c r="AG631" s="391"/>
      <c r="AH631" s="392"/>
      <c r="AI631" s="391"/>
      <c r="AJ631" s="391"/>
    </row>
    <row r="632" spans="1:36" ht="13.5" x14ac:dyDescent="0.25">
      <c r="A632" s="391"/>
      <c r="B632" s="391"/>
      <c r="C632" s="391"/>
      <c r="D632" s="391"/>
      <c r="E632" s="391"/>
      <c r="F632" s="391"/>
      <c r="G632" s="391"/>
      <c r="H632" s="391"/>
      <c r="I632" s="391"/>
      <c r="J632" s="391"/>
      <c r="K632" s="391"/>
      <c r="L632" s="391"/>
      <c r="M632" s="391"/>
      <c r="N632" s="391"/>
      <c r="O632" s="391"/>
      <c r="P632" s="391"/>
      <c r="Q632" s="391"/>
      <c r="R632" s="391"/>
      <c r="S632" s="391"/>
      <c r="T632" s="391"/>
      <c r="U632" s="391"/>
      <c r="V632" s="391"/>
      <c r="W632" s="391"/>
      <c r="X632" s="391"/>
      <c r="Y632" s="391"/>
      <c r="Z632" s="391"/>
      <c r="AA632" s="391"/>
      <c r="AB632" s="391"/>
      <c r="AC632" s="391"/>
      <c r="AD632" s="391"/>
      <c r="AE632" s="391"/>
      <c r="AF632" s="391"/>
      <c r="AG632" s="391"/>
      <c r="AH632" s="392"/>
      <c r="AI632" s="391"/>
      <c r="AJ632" s="391"/>
    </row>
    <row r="633" spans="1:36" ht="13.5" x14ac:dyDescent="0.25">
      <c r="A633" s="391"/>
      <c r="B633" s="391"/>
      <c r="C633" s="391"/>
      <c r="D633" s="391"/>
      <c r="E633" s="391"/>
      <c r="F633" s="391"/>
      <c r="G633" s="391"/>
      <c r="H633" s="391"/>
      <c r="I633" s="391"/>
      <c r="J633" s="391"/>
      <c r="K633" s="391"/>
      <c r="L633" s="391"/>
      <c r="M633" s="391"/>
      <c r="N633" s="391"/>
      <c r="O633" s="391"/>
      <c r="P633" s="391"/>
      <c r="Q633" s="391"/>
      <c r="R633" s="391"/>
      <c r="S633" s="391"/>
      <c r="T633" s="391"/>
      <c r="U633" s="391"/>
      <c r="V633" s="391"/>
      <c r="W633" s="391"/>
      <c r="X633" s="391"/>
      <c r="Y633" s="391"/>
      <c r="Z633" s="391"/>
      <c r="AA633" s="391"/>
      <c r="AB633" s="391"/>
      <c r="AC633" s="391"/>
      <c r="AD633" s="391"/>
      <c r="AE633" s="391"/>
      <c r="AF633" s="391"/>
      <c r="AG633" s="391"/>
      <c r="AH633" s="392"/>
      <c r="AI633" s="391"/>
      <c r="AJ633" s="391"/>
    </row>
    <row r="634" spans="1:36" ht="13.5" x14ac:dyDescent="0.25">
      <c r="A634" s="391"/>
      <c r="B634" s="391"/>
      <c r="C634" s="391"/>
      <c r="D634" s="391"/>
      <c r="E634" s="391"/>
      <c r="F634" s="391"/>
      <c r="G634" s="391"/>
      <c r="H634" s="391"/>
      <c r="I634" s="391"/>
      <c r="J634" s="391"/>
      <c r="K634" s="391"/>
      <c r="L634" s="391"/>
      <c r="M634" s="391"/>
      <c r="N634" s="391"/>
      <c r="O634" s="391"/>
      <c r="P634" s="391"/>
      <c r="Q634" s="391"/>
      <c r="R634" s="391"/>
      <c r="S634" s="391"/>
      <c r="T634" s="391"/>
      <c r="U634" s="391"/>
      <c r="V634" s="391"/>
      <c r="W634" s="391"/>
      <c r="X634" s="391"/>
      <c r="Y634" s="391"/>
      <c r="Z634" s="391"/>
      <c r="AA634" s="391"/>
      <c r="AB634" s="391"/>
      <c r="AC634" s="391"/>
      <c r="AD634" s="391"/>
      <c r="AE634" s="391"/>
      <c r="AF634" s="391"/>
      <c r="AG634" s="391"/>
      <c r="AH634" s="392"/>
      <c r="AI634" s="391"/>
      <c r="AJ634" s="391"/>
    </row>
    <row r="635" spans="1:36" ht="13.5" x14ac:dyDescent="0.25">
      <c r="A635" s="391"/>
      <c r="B635" s="391"/>
      <c r="C635" s="391"/>
      <c r="D635" s="391"/>
      <c r="E635" s="391"/>
      <c r="F635" s="391"/>
      <c r="G635" s="391"/>
      <c r="H635" s="391"/>
      <c r="I635" s="391"/>
      <c r="J635" s="391"/>
      <c r="K635" s="391"/>
      <c r="L635" s="391"/>
      <c r="M635" s="391"/>
      <c r="N635" s="391"/>
      <c r="O635" s="391"/>
      <c r="P635" s="391"/>
      <c r="Q635" s="391"/>
      <c r="R635" s="391"/>
      <c r="S635" s="391"/>
      <c r="T635" s="391"/>
      <c r="U635" s="391"/>
      <c r="V635" s="391"/>
      <c r="W635" s="391"/>
      <c r="X635" s="391"/>
      <c r="Y635" s="391"/>
      <c r="Z635" s="391"/>
      <c r="AA635" s="391"/>
      <c r="AB635" s="391"/>
      <c r="AC635" s="391"/>
      <c r="AD635" s="391"/>
      <c r="AE635" s="391"/>
      <c r="AF635" s="391"/>
      <c r="AG635" s="391"/>
      <c r="AH635" s="392"/>
      <c r="AI635" s="391"/>
      <c r="AJ635" s="391"/>
    </row>
    <row r="636" spans="1:36" ht="13.5" x14ac:dyDescent="0.25">
      <c r="A636" s="391"/>
      <c r="B636" s="391"/>
      <c r="C636" s="391"/>
      <c r="D636" s="391"/>
      <c r="E636" s="391"/>
      <c r="F636" s="391"/>
      <c r="G636" s="391"/>
      <c r="H636" s="391"/>
      <c r="I636" s="391"/>
      <c r="J636" s="391"/>
      <c r="K636" s="391"/>
      <c r="L636" s="391"/>
      <c r="M636" s="391"/>
      <c r="N636" s="391"/>
      <c r="O636" s="391"/>
      <c r="P636" s="391"/>
      <c r="Q636" s="391"/>
      <c r="R636" s="391"/>
      <c r="S636" s="391"/>
      <c r="T636" s="391"/>
      <c r="U636" s="391"/>
      <c r="V636" s="391"/>
      <c r="W636" s="391"/>
      <c r="X636" s="391"/>
      <c r="Y636" s="391"/>
      <c r="Z636" s="391"/>
      <c r="AA636" s="391"/>
      <c r="AB636" s="391"/>
      <c r="AC636" s="391"/>
      <c r="AD636" s="391"/>
      <c r="AE636" s="391"/>
      <c r="AF636" s="391"/>
      <c r="AG636" s="391"/>
      <c r="AH636" s="392"/>
      <c r="AI636" s="391"/>
      <c r="AJ636" s="391"/>
    </row>
    <row r="637" spans="1:36" ht="13.5" x14ac:dyDescent="0.25">
      <c r="A637" s="391"/>
      <c r="B637" s="391"/>
      <c r="C637" s="391"/>
      <c r="D637" s="391"/>
      <c r="E637" s="391"/>
      <c r="F637" s="391"/>
      <c r="G637" s="391"/>
      <c r="H637" s="391"/>
      <c r="I637" s="391"/>
      <c r="J637" s="391"/>
      <c r="K637" s="391"/>
      <c r="L637" s="391"/>
      <c r="M637" s="391"/>
      <c r="N637" s="391"/>
      <c r="O637" s="391"/>
      <c r="P637" s="391"/>
      <c r="Q637" s="391"/>
      <c r="R637" s="391"/>
      <c r="S637" s="391"/>
      <c r="T637" s="391"/>
      <c r="U637" s="391"/>
      <c r="V637" s="391"/>
      <c r="W637" s="391"/>
      <c r="X637" s="391"/>
      <c r="Y637" s="391"/>
      <c r="Z637" s="391"/>
      <c r="AA637" s="391"/>
      <c r="AB637" s="391"/>
      <c r="AC637" s="391"/>
      <c r="AD637" s="391"/>
      <c r="AE637" s="391"/>
      <c r="AF637" s="391"/>
      <c r="AG637" s="391"/>
      <c r="AH637" s="392"/>
      <c r="AI637" s="391"/>
      <c r="AJ637" s="391"/>
    </row>
    <row r="638" spans="1:36" ht="13.5" x14ac:dyDescent="0.25">
      <c r="A638" s="391"/>
      <c r="B638" s="391"/>
      <c r="C638" s="391"/>
      <c r="D638" s="391"/>
      <c r="E638" s="391"/>
      <c r="F638" s="391"/>
      <c r="G638" s="391"/>
      <c r="H638" s="391"/>
      <c r="I638" s="391"/>
      <c r="J638" s="391"/>
      <c r="K638" s="391"/>
      <c r="L638" s="391"/>
      <c r="M638" s="391"/>
      <c r="N638" s="391"/>
      <c r="O638" s="391"/>
      <c r="P638" s="391"/>
      <c r="Q638" s="391"/>
      <c r="R638" s="391"/>
      <c r="S638" s="391"/>
      <c r="T638" s="391"/>
      <c r="U638" s="391"/>
      <c r="V638" s="391"/>
      <c r="W638" s="391"/>
      <c r="X638" s="391"/>
      <c r="Y638" s="391"/>
      <c r="Z638" s="391"/>
      <c r="AA638" s="391"/>
      <c r="AB638" s="391"/>
      <c r="AC638" s="391"/>
      <c r="AD638" s="391"/>
      <c r="AE638" s="391"/>
      <c r="AF638" s="391"/>
      <c r="AG638" s="391"/>
      <c r="AH638" s="392"/>
      <c r="AI638" s="391"/>
      <c r="AJ638" s="391"/>
    </row>
    <row r="639" spans="1:36" ht="13.5" x14ac:dyDescent="0.25">
      <c r="A639" s="391"/>
      <c r="B639" s="391"/>
      <c r="C639" s="391"/>
      <c r="D639" s="391"/>
      <c r="E639" s="391"/>
      <c r="F639" s="391"/>
      <c r="G639" s="391"/>
      <c r="H639" s="391"/>
      <c r="I639" s="391"/>
      <c r="J639" s="391"/>
      <c r="K639" s="391"/>
      <c r="L639" s="391"/>
      <c r="M639" s="391"/>
      <c r="N639" s="391"/>
      <c r="O639" s="391"/>
      <c r="P639" s="391"/>
      <c r="Q639" s="391"/>
      <c r="R639" s="391"/>
      <c r="S639" s="391"/>
      <c r="T639" s="391"/>
      <c r="U639" s="391"/>
      <c r="V639" s="391"/>
      <c r="W639" s="391"/>
      <c r="X639" s="391"/>
      <c r="Y639" s="391"/>
      <c r="Z639" s="391"/>
      <c r="AA639" s="391"/>
      <c r="AB639" s="391"/>
      <c r="AC639" s="391"/>
      <c r="AD639" s="391"/>
      <c r="AE639" s="391"/>
      <c r="AF639" s="391"/>
      <c r="AG639" s="391"/>
      <c r="AH639" s="392"/>
      <c r="AI639" s="391"/>
      <c r="AJ639" s="391"/>
    </row>
    <row r="640" spans="1:36" ht="13.5" x14ac:dyDescent="0.25">
      <c r="A640" s="391"/>
      <c r="B640" s="391"/>
      <c r="C640" s="391"/>
      <c r="D640" s="391"/>
      <c r="E640" s="391"/>
      <c r="F640" s="391"/>
      <c r="G640" s="391"/>
      <c r="H640" s="391"/>
      <c r="I640" s="391"/>
      <c r="J640" s="391"/>
      <c r="K640" s="391"/>
      <c r="L640" s="391"/>
      <c r="M640" s="391"/>
      <c r="N640" s="391"/>
      <c r="O640" s="391"/>
      <c r="P640" s="391"/>
      <c r="Q640" s="391"/>
      <c r="R640" s="391"/>
      <c r="S640" s="391"/>
      <c r="T640" s="391"/>
      <c r="U640" s="391"/>
      <c r="V640" s="391"/>
      <c r="W640" s="391"/>
      <c r="X640" s="391"/>
      <c r="Y640" s="391"/>
      <c r="Z640" s="391"/>
      <c r="AA640" s="391"/>
      <c r="AB640" s="391"/>
      <c r="AC640" s="391"/>
      <c r="AD640" s="391"/>
      <c r="AE640" s="391"/>
      <c r="AF640" s="391"/>
      <c r="AG640" s="391"/>
      <c r="AH640" s="392"/>
      <c r="AI640" s="391"/>
      <c r="AJ640" s="391"/>
    </row>
    <row r="641" spans="1:36" ht="13.5" x14ac:dyDescent="0.25">
      <c r="A641" s="391"/>
      <c r="B641" s="391"/>
      <c r="C641" s="391"/>
      <c r="D641" s="391"/>
      <c r="E641" s="391"/>
      <c r="F641" s="391"/>
      <c r="G641" s="391"/>
      <c r="H641" s="391"/>
      <c r="I641" s="391"/>
      <c r="J641" s="391"/>
      <c r="K641" s="391"/>
      <c r="L641" s="391"/>
      <c r="M641" s="391"/>
      <c r="N641" s="391"/>
      <c r="O641" s="391"/>
      <c r="P641" s="391"/>
      <c r="Q641" s="391"/>
      <c r="R641" s="391"/>
      <c r="S641" s="391"/>
      <c r="T641" s="391"/>
      <c r="U641" s="391"/>
      <c r="V641" s="391"/>
      <c r="W641" s="391"/>
      <c r="X641" s="391"/>
      <c r="Y641" s="391"/>
      <c r="Z641" s="391"/>
      <c r="AA641" s="391"/>
      <c r="AB641" s="391"/>
      <c r="AC641" s="391"/>
      <c r="AD641" s="391"/>
      <c r="AE641" s="391"/>
      <c r="AF641" s="391"/>
      <c r="AG641" s="391"/>
      <c r="AH641" s="392"/>
      <c r="AI641" s="391"/>
      <c r="AJ641" s="391"/>
    </row>
    <row r="642" spans="1:36" ht="13.5" x14ac:dyDescent="0.25">
      <c r="A642" s="391"/>
      <c r="B642" s="391"/>
      <c r="C642" s="391"/>
      <c r="D642" s="391"/>
      <c r="E642" s="391"/>
      <c r="F642" s="391"/>
      <c r="G642" s="391"/>
      <c r="H642" s="391"/>
      <c r="I642" s="391"/>
      <c r="J642" s="391"/>
      <c r="K642" s="391"/>
      <c r="L642" s="391"/>
      <c r="M642" s="391"/>
      <c r="N642" s="391"/>
      <c r="O642" s="391"/>
      <c r="P642" s="391"/>
      <c r="Q642" s="391"/>
      <c r="R642" s="391"/>
      <c r="S642" s="391"/>
      <c r="T642" s="391"/>
      <c r="U642" s="391"/>
      <c r="V642" s="391"/>
      <c r="W642" s="391"/>
      <c r="X642" s="391"/>
      <c r="Y642" s="391"/>
      <c r="Z642" s="391"/>
      <c r="AA642" s="391"/>
      <c r="AB642" s="391"/>
      <c r="AC642" s="391"/>
      <c r="AD642" s="391"/>
      <c r="AE642" s="391"/>
      <c r="AF642" s="391"/>
      <c r="AG642" s="391"/>
      <c r="AH642" s="392"/>
      <c r="AI642" s="391"/>
      <c r="AJ642" s="391"/>
    </row>
    <row r="643" spans="1:36" ht="13.5" x14ac:dyDescent="0.25">
      <c r="A643" s="391"/>
      <c r="B643" s="391"/>
      <c r="C643" s="391"/>
      <c r="D643" s="391"/>
      <c r="E643" s="391"/>
      <c r="F643" s="391"/>
      <c r="G643" s="391"/>
      <c r="H643" s="391"/>
      <c r="I643" s="391"/>
      <c r="J643" s="391"/>
      <c r="K643" s="391"/>
      <c r="L643" s="391"/>
      <c r="M643" s="391"/>
      <c r="N643" s="391"/>
      <c r="O643" s="391"/>
      <c r="P643" s="391"/>
      <c r="Q643" s="391"/>
      <c r="R643" s="391"/>
      <c r="S643" s="391"/>
      <c r="T643" s="391"/>
      <c r="U643" s="391"/>
      <c r="V643" s="391"/>
      <c r="W643" s="391"/>
      <c r="X643" s="391"/>
      <c r="Y643" s="391"/>
      <c r="Z643" s="391"/>
      <c r="AA643" s="391"/>
      <c r="AB643" s="391"/>
      <c r="AC643" s="391"/>
      <c r="AD643" s="391"/>
      <c r="AE643" s="391"/>
      <c r="AF643" s="391"/>
      <c r="AG643" s="391"/>
      <c r="AH643" s="392"/>
      <c r="AI643" s="391"/>
      <c r="AJ643" s="391"/>
    </row>
    <row r="644" spans="1:36" ht="13.5" x14ac:dyDescent="0.25">
      <c r="A644" s="391"/>
      <c r="B644" s="391"/>
      <c r="C644" s="391"/>
      <c r="D644" s="391"/>
      <c r="E644" s="391"/>
      <c r="F644" s="391"/>
      <c r="G644" s="391"/>
      <c r="H644" s="391"/>
      <c r="I644" s="391"/>
      <c r="J644" s="391"/>
      <c r="K644" s="391"/>
      <c r="L644" s="391"/>
      <c r="M644" s="391"/>
      <c r="N644" s="391"/>
      <c r="O644" s="391"/>
      <c r="P644" s="391"/>
      <c r="Q644" s="391"/>
      <c r="R644" s="391"/>
      <c r="S644" s="391"/>
      <c r="T644" s="391"/>
      <c r="U644" s="391"/>
      <c r="V644" s="391"/>
      <c r="W644" s="391"/>
      <c r="X644" s="391"/>
      <c r="Y644" s="391"/>
      <c r="Z644" s="391"/>
      <c r="AA644" s="391"/>
      <c r="AB644" s="391"/>
      <c r="AC644" s="391"/>
      <c r="AD644" s="391"/>
      <c r="AE644" s="391"/>
      <c r="AF644" s="391"/>
      <c r="AG644" s="391"/>
      <c r="AH644" s="392"/>
      <c r="AI644" s="391"/>
      <c r="AJ644" s="391"/>
    </row>
    <row r="645" spans="1:36" ht="13.5" x14ac:dyDescent="0.25">
      <c r="A645" s="391"/>
      <c r="B645" s="391"/>
      <c r="C645" s="391"/>
      <c r="D645" s="391"/>
      <c r="E645" s="391"/>
      <c r="F645" s="391"/>
      <c r="G645" s="391"/>
      <c r="H645" s="391"/>
      <c r="I645" s="391"/>
      <c r="J645" s="391"/>
      <c r="K645" s="391"/>
      <c r="L645" s="391"/>
      <c r="M645" s="391"/>
      <c r="N645" s="391"/>
      <c r="O645" s="391"/>
      <c r="P645" s="391"/>
      <c r="Q645" s="391"/>
      <c r="R645" s="391"/>
      <c r="S645" s="391"/>
      <c r="T645" s="391"/>
      <c r="U645" s="391"/>
      <c r="V645" s="391"/>
      <c r="W645" s="391"/>
      <c r="X645" s="391"/>
      <c r="Y645" s="391"/>
      <c r="Z645" s="391"/>
      <c r="AA645" s="391"/>
      <c r="AB645" s="391"/>
      <c r="AC645" s="391"/>
      <c r="AD645" s="391"/>
      <c r="AE645" s="391"/>
      <c r="AF645" s="391"/>
      <c r="AG645" s="391"/>
      <c r="AH645" s="392"/>
      <c r="AI645" s="391"/>
      <c r="AJ645" s="391"/>
    </row>
    <row r="646" spans="1:36" ht="13.5" x14ac:dyDescent="0.25">
      <c r="A646" s="391"/>
      <c r="B646" s="391"/>
      <c r="C646" s="391"/>
      <c r="D646" s="391"/>
      <c r="E646" s="391"/>
      <c r="F646" s="391"/>
      <c r="G646" s="391"/>
      <c r="H646" s="391"/>
      <c r="I646" s="391"/>
      <c r="J646" s="391"/>
      <c r="K646" s="391"/>
      <c r="L646" s="391"/>
      <c r="M646" s="391"/>
      <c r="N646" s="391"/>
      <c r="O646" s="391"/>
      <c r="P646" s="391"/>
      <c r="Q646" s="391"/>
      <c r="R646" s="391"/>
      <c r="S646" s="391"/>
      <c r="T646" s="391"/>
      <c r="U646" s="391"/>
      <c r="V646" s="391"/>
      <c r="W646" s="391"/>
      <c r="X646" s="391"/>
      <c r="Y646" s="391"/>
      <c r="Z646" s="391"/>
      <c r="AA646" s="391"/>
      <c r="AB646" s="391"/>
      <c r="AC646" s="391"/>
      <c r="AD646" s="391"/>
      <c r="AE646" s="391"/>
      <c r="AF646" s="391"/>
      <c r="AG646" s="391"/>
      <c r="AH646" s="392"/>
      <c r="AI646" s="391"/>
      <c r="AJ646" s="391"/>
    </row>
    <row r="647" spans="1:36" ht="13.5" x14ac:dyDescent="0.25">
      <c r="A647" s="391"/>
      <c r="B647" s="391"/>
      <c r="C647" s="391"/>
      <c r="D647" s="391"/>
      <c r="E647" s="391"/>
      <c r="F647" s="391"/>
      <c r="G647" s="391"/>
      <c r="H647" s="391"/>
      <c r="I647" s="391"/>
      <c r="J647" s="391"/>
      <c r="K647" s="391"/>
      <c r="L647" s="391"/>
      <c r="M647" s="391"/>
      <c r="N647" s="391"/>
      <c r="O647" s="391"/>
      <c r="P647" s="391"/>
      <c r="Q647" s="391"/>
      <c r="R647" s="391"/>
      <c r="S647" s="391"/>
      <c r="T647" s="391"/>
      <c r="U647" s="391"/>
      <c r="V647" s="391"/>
      <c r="W647" s="391"/>
      <c r="X647" s="391"/>
      <c r="Y647" s="391"/>
      <c r="Z647" s="391"/>
      <c r="AA647" s="391"/>
      <c r="AB647" s="391"/>
      <c r="AC647" s="391"/>
      <c r="AD647" s="391"/>
      <c r="AE647" s="391"/>
      <c r="AF647" s="391"/>
      <c r="AG647" s="391"/>
      <c r="AH647" s="392"/>
      <c r="AI647" s="391"/>
      <c r="AJ647" s="391"/>
    </row>
    <row r="648" spans="1:36" ht="13.5" x14ac:dyDescent="0.25">
      <c r="A648" s="391"/>
      <c r="B648" s="391"/>
      <c r="C648" s="391"/>
      <c r="D648" s="391"/>
      <c r="E648" s="391"/>
      <c r="F648" s="391"/>
      <c r="G648" s="391"/>
      <c r="H648" s="391"/>
      <c r="I648" s="391"/>
      <c r="J648" s="391"/>
      <c r="K648" s="391"/>
      <c r="L648" s="391"/>
      <c r="M648" s="391"/>
      <c r="N648" s="391"/>
      <c r="O648" s="391"/>
      <c r="P648" s="391"/>
      <c r="Q648" s="391"/>
      <c r="R648" s="391"/>
      <c r="S648" s="391"/>
      <c r="T648" s="391"/>
      <c r="U648" s="391"/>
      <c r="V648" s="391"/>
      <c r="W648" s="391"/>
      <c r="X648" s="391"/>
      <c r="Y648" s="391"/>
      <c r="Z648" s="391"/>
      <c r="AA648" s="391"/>
      <c r="AB648" s="391"/>
      <c r="AC648" s="391"/>
      <c r="AD648" s="391"/>
      <c r="AE648" s="391"/>
      <c r="AF648" s="391"/>
      <c r="AG648" s="391"/>
      <c r="AH648" s="392"/>
      <c r="AI648" s="391"/>
      <c r="AJ648" s="391"/>
    </row>
    <row r="649" spans="1:36" ht="13.5" x14ac:dyDescent="0.25">
      <c r="A649" s="391"/>
      <c r="B649" s="391"/>
      <c r="C649" s="391"/>
      <c r="D649" s="391"/>
      <c r="E649" s="391"/>
      <c r="F649" s="391"/>
      <c r="G649" s="391"/>
      <c r="H649" s="391"/>
      <c r="I649" s="391"/>
      <c r="J649" s="391"/>
      <c r="K649" s="391"/>
      <c r="L649" s="391"/>
      <c r="M649" s="391"/>
      <c r="N649" s="391"/>
      <c r="O649" s="391"/>
      <c r="P649" s="391"/>
      <c r="Q649" s="391"/>
      <c r="R649" s="391"/>
      <c r="S649" s="391"/>
      <c r="T649" s="391"/>
      <c r="U649" s="391"/>
      <c r="V649" s="391"/>
      <c r="W649" s="391"/>
      <c r="X649" s="391"/>
      <c r="Y649" s="391"/>
      <c r="Z649" s="391"/>
      <c r="AA649" s="391"/>
      <c r="AB649" s="391"/>
      <c r="AC649" s="391"/>
      <c r="AD649" s="391"/>
      <c r="AE649" s="391"/>
      <c r="AF649" s="391"/>
      <c r="AG649" s="391"/>
      <c r="AH649" s="392"/>
      <c r="AI649" s="391"/>
      <c r="AJ649" s="391"/>
    </row>
    <row r="650" spans="1:36" ht="13.5" x14ac:dyDescent="0.25">
      <c r="A650" s="391"/>
      <c r="B650" s="391"/>
      <c r="C650" s="391"/>
      <c r="D650" s="391"/>
      <c r="E650" s="391"/>
      <c r="F650" s="391"/>
      <c r="G650" s="391"/>
      <c r="H650" s="391"/>
      <c r="I650" s="391"/>
      <c r="J650" s="391"/>
      <c r="K650" s="391"/>
      <c r="L650" s="391"/>
      <c r="M650" s="391"/>
      <c r="N650" s="391"/>
      <c r="O650" s="391"/>
      <c r="P650" s="391"/>
      <c r="Q650" s="391"/>
      <c r="R650" s="391"/>
      <c r="S650" s="391"/>
      <c r="T650" s="391"/>
      <c r="U650" s="391"/>
      <c r="V650" s="391"/>
      <c r="W650" s="391"/>
      <c r="X650" s="391"/>
      <c r="Y650" s="391"/>
      <c r="Z650" s="391"/>
      <c r="AA650" s="391"/>
      <c r="AB650" s="391"/>
      <c r="AC650" s="391"/>
      <c r="AD650" s="391"/>
      <c r="AE650" s="391"/>
      <c r="AF650" s="391"/>
      <c r="AG650" s="391"/>
      <c r="AH650" s="392"/>
      <c r="AI650" s="391"/>
      <c r="AJ650" s="391"/>
    </row>
    <row r="651" spans="1:36" ht="13.5" x14ac:dyDescent="0.25">
      <c r="A651" s="391"/>
      <c r="B651" s="391"/>
      <c r="C651" s="391"/>
      <c r="D651" s="391"/>
      <c r="E651" s="391"/>
      <c r="F651" s="391"/>
      <c r="G651" s="391"/>
      <c r="H651" s="391"/>
      <c r="I651" s="391"/>
      <c r="J651" s="391"/>
      <c r="K651" s="391"/>
      <c r="L651" s="391"/>
      <c r="M651" s="391"/>
      <c r="N651" s="391"/>
      <c r="O651" s="391"/>
      <c r="P651" s="391"/>
      <c r="Q651" s="391"/>
      <c r="R651" s="391"/>
      <c r="S651" s="391"/>
      <c r="T651" s="391"/>
      <c r="U651" s="391"/>
      <c r="V651" s="391"/>
      <c r="W651" s="391"/>
      <c r="X651" s="391"/>
      <c r="Y651" s="391"/>
      <c r="Z651" s="391"/>
      <c r="AA651" s="391"/>
      <c r="AB651" s="391"/>
      <c r="AC651" s="391"/>
      <c r="AD651" s="391"/>
      <c r="AE651" s="391"/>
      <c r="AF651" s="391"/>
      <c r="AG651" s="391"/>
      <c r="AH651" s="392"/>
      <c r="AI651" s="391"/>
      <c r="AJ651" s="391"/>
    </row>
    <row r="652" spans="1:36" ht="13.5" x14ac:dyDescent="0.25">
      <c r="A652" s="391"/>
      <c r="B652" s="391"/>
      <c r="C652" s="391"/>
      <c r="D652" s="391"/>
      <c r="E652" s="391"/>
      <c r="F652" s="391"/>
      <c r="G652" s="391"/>
      <c r="H652" s="391"/>
      <c r="I652" s="391"/>
      <c r="J652" s="391"/>
      <c r="K652" s="391"/>
      <c r="L652" s="391"/>
      <c r="M652" s="391"/>
      <c r="N652" s="391"/>
      <c r="O652" s="391"/>
      <c r="P652" s="391"/>
      <c r="Q652" s="391"/>
      <c r="R652" s="391"/>
      <c r="S652" s="391"/>
      <c r="T652" s="391"/>
      <c r="U652" s="391"/>
      <c r="V652" s="391"/>
      <c r="W652" s="391"/>
      <c r="X652" s="391"/>
      <c r="Y652" s="391"/>
      <c r="Z652" s="391"/>
      <c r="AA652" s="391"/>
      <c r="AB652" s="391"/>
      <c r="AC652" s="391"/>
      <c r="AD652" s="391"/>
      <c r="AE652" s="391"/>
      <c r="AF652" s="391"/>
      <c r="AG652" s="391"/>
      <c r="AH652" s="392"/>
      <c r="AI652" s="391"/>
      <c r="AJ652" s="391"/>
    </row>
    <row r="653" spans="1:36" ht="13.5" x14ac:dyDescent="0.25">
      <c r="A653" s="391"/>
      <c r="B653" s="391"/>
      <c r="C653" s="391"/>
      <c r="D653" s="391"/>
      <c r="E653" s="391"/>
      <c r="F653" s="391"/>
      <c r="G653" s="391"/>
      <c r="H653" s="391"/>
      <c r="I653" s="391"/>
      <c r="J653" s="391"/>
      <c r="K653" s="391"/>
      <c r="L653" s="391"/>
      <c r="M653" s="391"/>
      <c r="N653" s="391"/>
      <c r="O653" s="391"/>
      <c r="P653" s="391"/>
      <c r="Q653" s="391"/>
      <c r="R653" s="391"/>
      <c r="S653" s="391"/>
      <c r="T653" s="391"/>
      <c r="U653" s="391"/>
      <c r="V653" s="391"/>
      <c r="W653" s="391"/>
      <c r="X653" s="391"/>
      <c r="Y653" s="391"/>
      <c r="Z653" s="391"/>
      <c r="AA653" s="391"/>
      <c r="AB653" s="391"/>
      <c r="AC653" s="391"/>
      <c r="AD653" s="391"/>
      <c r="AE653" s="391"/>
      <c r="AF653" s="391"/>
      <c r="AG653" s="391"/>
      <c r="AH653" s="392"/>
      <c r="AI653" s="391"/>
      <c r="AJ653" s="391"/>
    </row>
    <row r="654" spans="1:36" ht="13.5" x14ac:dyDescent="0.25">
      <c r="A654" s="391"/>
      <c r="B654" s="391"/>
      <c r="C654" s="391"/>
      <c r="D654" s="391"/>
      <c r="E654" s="391"/>
      <c r="F654" s="391"/>
      <c r="G654" s="391"/>
      <c r="H654" s="391"/>
      <c r="I654" s="391"/>
      <c r="J654" s="391"/>
      <c r="K654" s="391"/>
      <c r="L654" s="391"/>
      <c r="M654" s="391"/>
      <c r="N654" s="391"/>
      <c r="O654" s="391"/>
      <c r="P654" s="391"/>
      <c r="Q654" s="391"/>
      <c r="R654" s="391"/>
      <c r="S654" s="391"/>
      <c r="T654" s="391"/>
      <c r="U654" s="391"/>
      <c r="V654" s="391"/>
      <c r="W654" s="391"/>
      <c r="X654" s="391"/>
      <c r="Y654" s="391"/>
      <c r="Z654" s="391"/>
      <c r="AA654" s="391"/>
      <c r="AB654" s="391"/>
      <c r="AC654" s="391"/>
      <c r="AD654" s="391"/>
      <c r="AE654" s="391"/>
      <c r="AF654" s="391"/>
      <c r="AG654" s="391"/>
      <c r="AH654" s="392"/>
      <c r="AI654" s="391"/>
      <c r="AJ654" s="391"/>
    </row>
    <row r="655" spans="1:36" ht="13.5" x14ac:dyDescent="0.25">
      <c r="A655" s="391"/>
      <c r="B655" s="391"/>
      <c r="C655" s="391"/>
      <c r="D655" s="391"/>
      <c r="E655" s="391"/>
      <c r="F655" s="391"/>
      <c r="G655" s="391"/>
      <c r="H655" s="391"/>
      <c r="I655" s="391"/>
      <c r="J655" s="391"/>
      <c r="K655" s="391"/>
      <c r="L655" s="391"/>
      <c r="M655" s="391"/>
      <c r="N655" s="391"/>
      <c r="O655" s="391"/>
      <c r="P655" s="391"/>
      <c r="Q655" s="391"/>
      <c r="R655" s="391"/>
      <c r="S655" s="391"/>
      <c r="T655" s="391"/>
      <c r="U655" s="391"/>
      <c r="V655" s="391"/>
      <c r="W655" s="391"/>
      <c r="X655" s="391"/>
      <c r="Y655" s="391"/>
      <c r="Z655" s="391"/>
      <c r="AA655" s="391"/>
      <c r="AB655" s="391"/>
      <c r="AC655" s="391"/>
      <c r="AD655" s="391"/>
      <c r="AE655" s="391"/>
      <c r="AF655" s="391"/>
      <c r="AG655" s="391"/>
      <c r="AH655" s="392"/>
      <c r="AI655" s="391"/>
      <c r="AJ655" s="391"/>
    </row>
    <row r="656" spans="1:36" ht="13.5" x14ac:dyDescent="0.25">
      <c r="A656" s="391"/>
      <c r="B656" s="391"/>
      <c r="C656" s="391"/>
      <c r="D656" s="391"/>
      <c r="E656" s="391"/>
      <c r="F656" s="391"/>
      <c r="G656" s="391"/>
      <c r="H656" s="391"/>
      <c r="I656" s="391"/>
      <c r="J656" s="391"/>
      <c r="K656" s="391"/>
      <c r="L656" s="391"/>
      <c r="M656" s="391"/>
      <c r="N656" s="391"/>
      <c r="O656" s="391"/>
      <c r="P656" s="391"/>
      <c r="Q656" s="391"/>
      <c r="R656" s="391"/>
      <c r="S656" s="391"/>
      <c r="T656" s="391"/>
      <c r="U656" s="391"/>
      <c r="V656" s="391"/>
      <c r="W656" s="391"/>
      <c r="X656" s="391"/>
      <c r="Y656" s="391"/>
      <c r="Z656" s="391"/>
      <c r="AA656" s="391"/>
      <c r="AB656" s="391"/>
      <c r="AC656" s="391"/>
      <c r="AD656" s="391"/>
      <c r="AE656" s="391"/>
      <c r="AF656" s="391"/>
      <c r="AG656" s="391"/>
      <c r="AH656" s="392"/>
      <c r="AI656" s="391"/>
      <c r="AJ656" s="391"/>
    </row>
    <row r="657" spans="1:36" ht="13.5" x14ac:dyDescent="0.25">
      <c r="A657" s="391"/>
      <c r="B657" s="391"/>
      <c r="C657" s="391"/>
      <c r="D657" s="391"/>
      <c r="E657" s="391"/>
      <c r="F657" s="391"/>
      <c r="G657" s="391"/>
      <c r="H657" s="391"/>
      <c r="I657" s="391"/>
      <c r="J657" s="391"/>
      <c r="K657" s="391"/>
      <c r="L657" s="391"/>
      <c r="M657" s="391"/>
      <c r="N657" s="391"/>
      <c r="O657" s="391"/>
      <c r="P657" s="391"/>
      <c r="Q657" s="391"/>
      <c r="R657" s="391"/>
      <c r="S657" s="391"/>
      <c r="T657" s="391"/>
      <c r="U657" s="391"/>
      <c r="V657" s="391"/>
      <c r="W657" s="391"/>
      <c r="X657" s="391"/>
      <c r="Y657" s="391"/>
      <c r="Z657" s="391"/>
      <c r="AA657" s="391"/>
      <c r="AB657" s="391"/>
      <c r="AC657" s="391"/>
      <c r="AD657" s="391"/>
      <c r="AE657" s="391"/>
      <c r="AF657" s="391"/>
      <c r="AG657" s="391"/>
      <c r="AH657" s="392"/>
      <c r="AI657" s="391"/>
      <c r="AJ657" s="391"/>
    </row>
    <row r="658" spans="1:36" ht="13.5" x14ac:dyDescent="0.25">
      <c r="A658" s="391"/>
      <c r="B658" s="391"/>
      <c r="C658" s="391"/>
      <c r="D658" s="391"/>
      <c r="E658" s="391"/>
      <c r="F658" s="391"/>
      <c r="G658" s="391"/>
      <c r="H658" s="391"/>
      <c r="I658" s="391"/>
      <c r="J658" s="391"/>
      <c r="K658" s="391"/>
      <c r="L658" s="391"/>
      <c r="M658" s="391"/>
      <c r="N658" s="391"/>
      <c r="O658" s="391"/>
      <c r="P658" s="391"/>
      <c r="Q658" s="391"/>
      <c r="R658" s="391"/>
      <c r="S658" s="391"/>
      <c r="T658" s="391"/>
      <c r="U658" s="391"/>
      <c r="V658" s="391"/>
      <c r="W658" s="391"/>
      <c r="X658" s="391"/>
      <c r="Y658" s="391"/>
      <c r="Z658" s="391"/>
      <c r="AA658" s="391"/>
      <c r="AB658" s="391"/>
      <c r="AC658" s="391"/>
      <c r="AD658" s="391"/>
      <c r="AE658" s="391"/>
      <c r="AF658" s="391"/>
      <c r="AG658" s="391"/>
      <c r="AH658" s="392"/>
      <c r="AI658" s="391"/>
      <c r="AJ658" s="391"/>
    </row>
    <row r="659" spans="1:36" ht="13.5" x14ac:dyDescent="0.25">
      <c r="A659" s="391"/>
      <c r="B659" s="391"/>
      <c r="C659" s="391"/>
      <c r="D659" s="391"/>
      <c r="E659" s="391"/>
      <c r="F659" s="391"/>
      <c r="G659" s="391"/>
      <c r="H659" s="391"/>
      <c r="I659" s="391"/>
      <c r="J659" s="391"/>
      <c r="K659" s="391"/>
      <c r="L659" s="391"/>
      <c r="M659" s="391"/>
      <c r="N659" s="391"/>
      <c r="O659" s="391"/>
      <c r="P659" s="391"/>
      <c r="Q659" s="391"/>
      <c r="R659" s="391"/>
      <c r="S659" s="391"/>
      <c r="T659" s="391"/>
      <c r="U659" s="391"/>
      <c r="V659" s="391"/>
      <c r="W659" s="391"/>
      <c r="X659" s="391"/>
      <c r="Y659" s="391"/>
      <c r="Z659" s="391"/>
      <c r="AA659" s="391"/>
      <c r="AB659" s="391"/>
      <c r="AC659" s="391"/>
      <c r="AD659" s="391"/>
      <c r="AE659" s="391"/>
      <c r="AF659" s="391"/>
      <c r="AG659" s="391"/>
      <c r="AH659" s="392"/>
      <c r="AI659" s="391"/>
      <c r="AJ659" s="391"/>
    </row>
    <row r="660" spans="1:36" ht="13.5" x14ac:dyDescent="0.25">
      <c r="A660" s="391"/>
      <c r="B660" s="391"/>
      <c r="C660" s="391"/>
      <c r="D660" s="391"/>
      <c r="E660" s="391"/>
      <c r="F660" s="391"/>
      <c r="G660" s="391"/>
      <c r="H660" s="391"/>
      <c r="I660" s="391"/>
      <c r="J660" s="391"/>
      <c r="K660" s="391"/>
      <c r="L660" s="391"/>
      <c r="M660" s="391"/>
      <c r="N660" s="391"/>
      <c r="O660" s="391"/>
      <c r="P660" s="391"/>
      <c r="Q660" s="391"/>
      <c r="R660" s="391"/>
      <c r="S660" s="391"/>
      <c r="T660" s="391"/>
      <c r="U660" s="391"/>
      <c r="V660" s="391"/>
      <c r="W660" s="391"/>
      <c r="X660" s="391"/>
      <c r="Y660" s="391"/>
      <c r="Z660" s="391"/>
      <c r="AA660" s="391"/>
      <c r="AB660" s="391"/>
      <c r="AC660" s="391"/>
      <c r="AD660" s="391"/>
      <c r="AE660" s="391"/>
      <c r="AF660" s="391"/>
      <c r="AG660" s="391"/>
      <c r="AH660" s="392"/>
      <c r="AI660" s="391"/>
      <c r="AJ660" s="391"/>
    </row>
    <row r="661" spans="1:36" ht="13.5" x14ac:dyDescent="0.25">
      <c r="A661" s="391"/>
      <c r="B661" s="391"/>
      <c r="C661" s="391"/>
      <c r="D661" s="391"/>
      <c r="E661" s="391"/>
      <c r="F661" s="391"/>
      <c r="G661" s="391"/>
      <c r="H661" s="391"/>
      <c r="I661" s="391"/>
      <c r="J661" s="391"/>
      <c r="K661" s="391"/>
      <c r="L661" s="391"/>
      <c r="M661" s="391"/>
      <c r="N661" s="391"/>
      <c r="O661" s="391"/>
      <c r="P661" s="391"/>
      <c r="Q661" s="391"/>
      <c r="R661" s="391"/>
      <c r="S661" s="391"/>
      <c r="T661" s="391"/>
      <c r="U661" s="391"/>
      <c r="V661" s="391"/>
      <c r="W661" s="391"/>
      <c r="X661" s="391"/>
      <c r="Y661" s="391"/>
      <c r="Z661" s="391"/>
      <c r="AA661" s="391"/>
      <c r="AB661" s="391"/>
      <c r="AC661" s="391"/>
      <c r="AD661" s="391"/>
      <c r="AE661" s="391"/>
      <c r="AF661" s="391"/>
      <c r="AG661" s="391"/>
      <c r="AH661" s="392"/>
      <c r="AI661" s="391"/>
      <c r="AJ661" s="391"/>
    </row>
    <row r="662" spans="1:36" ht="13.5" x14ac:dyDescent="0.25">
      <c r="A662" s="391"/>
      <c r="B662" s="391"/>
      <c r="C662" s="391"/>
      <c r="D662" s="391"/>
      <c r="E662" s="391"/>
      <c r="F662" s="391"/>
      <c r="G662" s="391"/>
      <c r="H662" s="391"/>
      <c r="I662" s="391"/>
      <c r="J662" s="391"/>
      <c r="K662" s="391"/>
      <c r="L662" s="391"/>
      <c r="M662" s="391"/>
      <c r="N662" s="391"/>
      <c r="O662" s="391"/>
      <c r="P662" s="391"/>
      <c r="Q662" s="391"/>
      <c r="R662" s="391"/>
      <c r="S662" s="391"/>
      <c r="T662" s="391"/>
      <c r="U662" s="391"/>
      <c r="V662" s="391"/>
      <c r="W662" s="391"/>
      <c r="X662" s="391"/>
      <c r="Y662" s="391"/>
      <c r="Z662" s="391"/>
      <c r="AA662" s="391"/>
      <c r="AB662" s="391"/>
      <c r="AC662" s="391"/>
      <c r="AD662" s="391"/>
      <c r="AE662" s="391"/>
      <c r="AF662" s="391"/>
      <c r="AG662" s="391"/>
      <c r="AH662" s="392"/>
      <c r="AI662" s="391"/>
      <c r="AJ662" s="391"/>
    </row>
    <row r="663" spans="1:36" ht="13.5" x14ac:dyDescent="0.25">
      <c r="A663" s="391"/>
      <c r="B663" s="391"/>
      <c r="C663" s="391"/>
      <c r="D663" s="391"/>
      <c r="E663" s="391"/>
      <c r="F663" s="391"/>
      <c r="G663" s="391"/>
      <c r="H663" s="391"/>
      <c r="I663" s="391"/>
      <c r="J663" s="391"/>
      <c r="K663" s="391"/>
      <c r="L663" s="391"/>
      <c r="M663" s="391"/>
      <c r="N663" s="391"/>
      <c r="O663" s="391"/>
      <c r="P663" s="391"/>
      <c r="Q663" s="391"/>
      <c r="R663" s="391"/>
      <c r="S663" s="391"/>
      <c r="T663" s="391"/>
      <c r="U663" s="391"/>
      <c r="V663" s="391"/>
      <c r="W663" s="391"/>
      <c r="X663" s="391"/>
      <c r="Y663" s="391"/>
      <c r="Z663" s="391"/>
      <c r="AA663" s="391"/>
      <c r="AB663" s="391"/>
      <c r="AC663" s="391"/>
      <c r="AD663" s="391"/>
      <c r="AE663" s="391"/>
      <c r="AF663" s="391"/>
      <c r="AG663" s="391"/>
      <c r="AH663" s="392"/>
      <c r="AI663" s="391"/>
      <c r="AJ663" s="391"/>
    </row>
    <row r="664" spans="1:36" ht="13.5" x14ac:dyDescent="0.25">
      <c r="A664" s="391"/>
      <c r="B664" s="391"/>
      <c r="C664" s="391"/>
      <c r="D664" s="391"/>
      <c r="E664" s="391"/>
      <c r="F664" s="391"/>
      <c r="G664" s="391"/>
      <c r="H664" s="391"/>
      <c r="I664" s="391"/>
      <c r="J664" s="391"/>
      <c r="K664" s="391"/>
      <c r="L664" s="391"/>
      <c r="M664" s="391"/>
      <c r="N664" s="391"/>
      <c r="O664" s="391"/>
      <c r="P664" s="391"/>
      <c r="Q664" s="391"/>
      <c r="R664" s="391"/>
      <c r="S664" s="391"/>
      <c r="T664" s="391"/>
      <c r="U664" s="391"/>
      <c r="V664" s="391"/>
      <c r="W664" s="391"/>
      <c r="X664" s="391"/>
      <c r="Y664" s="391"/>
      <c r="Z664" s="391"/>
      <c r="AA664" s="391"/>
      <c r="AB664" s="391"/>
      <c r="AC664" s="391"/>
      <c r="AD664" s="391"/>
      <c r="AE664" s="391"/>
      <c r="AF664" s="391"/>
      <c r="AG664" s="391"/>
      <c r="AH664" s="392"/>
      <c r="AI664" s="391"/>
      <c r="AJ664" s="391"/>
    </row>
    <row r="665" spans="1:36" ht="13.5" x14ac:dyDescent="0.25">
      <c r="A665" s="391"/>
      <c r="B665" s="391"/>
      <c r="C665" s="391"/>
      <c r="D665" s="391"/>
      <c r="E665" s="391"/>
      <c r="F665" s="391"/>
      <c r="G665" s="391"/>
      <c r="H665" s="391"/>
      <c r="I665" s="391"/>
      <c r="J665" s="391"/>
      <c r="K665" s="391"/>
      <c r="L665" s="391"/>
      <c r="M665" s="391"/>
      <c r="N665" s="391"/>
      <c r="O665" s="391"/>
      <c r="P665" s="391"/>
      <c r="Q665" s="391"/>
      <c r="R665" s="391"/>
      <c r="S665" s="391"/>
      <c r="T665" s="391"/>
      <c r="U665" s="391"/>
      <c r="V665" s="391"/>
      <c r="W665" s="391"/>
      <c r="X665" s="391"/>
      <c r="Y665" s="391"/>
      <c r="Z665" s="391"/>
      <c r="AA665" s="391"/>
      <c r="AB665" s="391"/>
      <c r="AC665" s="391"/>
      <c r="AD665" s="391"/>
      <c r="AE665" s="391"/>
      <c r="AF665" s="391"/>
      <c r="AG665" s="391"/>
      <c r="AH665" s="392"/>
      <c r="AI665" s="391"/>
      <c r="AJ665" s="391"/>
    </row>
    <row r="666" spans="1:36" ht="13.5" x14ac:dyDescent="0.25">
      <c r="A666" s="391"/>
      <c r="B666" s="391"/>
      <c r="C666" s="391"/>
      <c r="D666" s="391"/>
      <c r="E666" s="391"/>
      <c r="F666" s="391"/>
      <c r="G666" s="391"/>
      <c r="H666" s="391"/>
      <c r="I666" s="391"/>
      <c r="J666" s="391"/>
      <c r="K666" s="391"/>
      <c r="L666" s="391"/>
      <c r="M666" s="391"/>
      <c r="N666" s="391"/>
      <c r="O666" s="391"/>
      <c r="P666" s="391"/>
      <c r="Q666" s="391"/>
      <c r="R666" s="391"/>
      <c r="S666" s="391"/>
      <c r="T666" s="391"/>
      <c r="U666" s="391"/>
      <c r="V666" s="391"/>
      <c r="W666" s="391"/>
      <c r="X666" s="391"/>
      <c r="Y666" s="391"/>
      <c r="Z666" s="391"/>
      <c r="AA666" s="391"/>
      <c r="AB666" s="391"/>
      <c r="AC666" s="391"/>
      <c r="AD666" s="391"/>
      <c r="AE666" s="391"/>
      <c r="AF666" s="391"/>
      <c r="AG666" s="391"/>
      <c r="AH666" s="392"/>
      <c r="AI666" s="391"/>
      <c r="AJ666" s="391"/>
    </row>
    <row r="667" spans="1:36" ht="13.5" x14ac:dyDescent="0.25">
      <c r="A667" s="391"/>
      <c r="B667" s="391"/>
      <c r="C667" s="391"/>
      <c r="D667" s="391"/>
      <c r="E667" s="391"/>
      <c r="F667" s="391"/>
      <c r="G667" s="391"/>
      <c r="H667" s="391"/>
      <c r="I667" s="391"/>
      <c r="J667" s="391"/>
      <c r="K667" s="391"/>
      <c r="L667" s="391"/>
      <c r="M667" s="391"/>
      <c r="N667" s="391"/>
      <c r="O667" s="391"/>
      <c r="P667" s="391"/>
      <c r="Q667" s="391"/>
      <c r="R667" s="391"/>
      <c r="S667" s="391"/>
      <c r="T667" s="391"/>
      <c r="U667" s="391"/>
      <c r="V667" s="391"/>
      <c r="W667" s="391"/>
      <c r="X667" s="391"/>
      <c r="Y667" s="391"/>
      <c r="Z667" s="391"/>
      <c r="AA667" s="391"/>
      <c r="AB667" s="391"/>
      <c r="AC667" s="391"/>
      <c r="AD667" s="391"/>
      <c r="AE667" s="391"/>
      <c r="AF667" s="391"/>
      <c r="AG667" s="391"/>
      <c r="AH667" s="392"/>
      <c r="AI667" s="391"/>
      <c r="AJ667" s="391"/>
    </row>
    <row r="668" spans="1:36" ht="13.5" x14ac:dyDescent="0.25">
      <c r="A668" s="391"/>
      <c r="B668" s="391"/>
      <c r="C668" s="391"/>
      <c r="D668" s="391"/>
      <c r="E668" s="391"/>
      <c r="F668" s="391"/>
      <c r="G668" s="391"/>
      <c r="H668" s="391"/>
      <c r="I668" s="391"/>
      <c r="J668" s="391"/>
      <c r="K668" s="391"/>
      <c r="L668" s="391"/>
      <c r="M668" s="391"/>
      <c r="N668" s="391"/>
      <c r="O668" s="391"/>
      <c r="P668" s="391"/>
      <c r="Q668" s="391"/>
      <c r="R668" s="391"/>
      <c r="S668" s="391"/>
      <c r="T668" s="391"/>
      <c r="U668" s="391"/>
      <c r="V668" s="391"/>
      <c r="W668" s="391"/>
      <c r="X668" s="391"/>
      <c r="Y668" s="391"/>
      <c r="Z668" s="391"/>
      <c r="AA668" s="391"/>
      <c r="AB668" s="391"/>
      <c r="AC668" s="391"/>
      <c r="AD668" s="391"/>
      <c r="AE668" s="391"/>
      <c r="AF668" s="391"/>
      <c r="AG668" s="391"/>
      <c r="AH668" s="392"/>
      <c r="AI668" s="391"/>
      <c r="AJ668" s="391"/>
    </row>
    <row r="669" spans="1:36" ht="13.5" x14ac:dyDescent="0.25">
      <c r="A669" s="391"/>
      <c r="B669" s="391"/>
      <c r="C669" s="391"/>
      <c r="D669" s="391"/>
      <c r="E669" s="391"/>
      <c r="F669" s="391"/>
      <c r="G669" s="391"/>
      <c r="H669" s="391"/>
      <c r="I669" s="391"/>
      <c r="J669" s="391"/>
      <c r="K669" s="391"/>
      <c r="L669" s="391"/>
      <c r="M669" s="391"/>
      <c r="N669" s="391"/>
      <c r="O669" s="391"/>
      <c r="P669" s="391"/>
      <c r="Q669" s="391"/>
      <c r="R669" s="391"/>
      <c r="S669" s="391"/>
      <c r="T669" s="391"/>
      <c r="U669" s="391"/>
      <c r="V669" s="391"/>
      <c r="W669" s="391"/>
      <c r="X669" s="391"/>
      <c r="Y669" s="391"/>
      <c r="Z669" s="391"/>
      <c r="AA669" s="391"/>
      <c r="AB669" s="391"/>
      <c r="AC669" s="391"/>
      <c r="AD669" s="391"/>
      <c r="AE669" s="391"/>
      <c r="AF669" s="391"/>
      <c r="AG669" s="391"/>
      <c r="AH669" s="392"/>
      <c r="AI669" s="391"/>
      <c r="AJ669" s="391"/>
    </row>
    <row r="670" spans="1:36" ht="13.5" x14ac:dyDescent="0.25">
      <c r="A670" s="391"/>
      <c r="B670" s="391"/>
      <c r="C670" s="391"/>
      <c r="D670" s="391"/>
      <c r="E670" s="391"/>
      <c r="F670" s="391"/>
      <c r="G670" s="391"/>
      <c r="H670" s="391"/>
      <c r="I670" s="391"/>
      <c r="J670" s="391"/>
      <c r="K670" s="391"/>
      <c r="L670" s="391"/>
      <c r="M670" s="391"/>
      <c r="N670" s="391"/>
      <c r="O670" s="391"/>
      <c r="P670" s="391"/>
      <c r="Q670" s="391"/>
      <c r="R670" s="391"/>
      <c r="S670" s="391"/>
      <c r="T670" s="391"/>
      <c r="U670" s="391"/>
      <c r="V670" s="391"/>
      <c r="W670" s="391"/>
      <c r="X670" s="391"/>
      <c r="Y670" s="391"/>
      <c r="Z670" s="391"/>
      <c r="AA670" s="391"/>
      <c r="AB670" s="391"/>
      <c r="AC670" s="391"/>
      <c r="AD670" s="391"/>
      <c r="AE670" s="391"/>
      <c r="AF670" s="391"/>
      <c r="AG670" s="391"/>
      <c r="AH670" s="392"/>
      <c r="AI670" s="391"/>
      <c r="AJ670" s="391"/>
    </row>
    <row r="671" spans="1:36" ht="13.5" x14ac:dyDescent="0.25">
      <c r="A671" s="391"/>
      <c r="B671" s="391"/>
      <c r="C671" s="391"/>
      <c r="D671" s="391"/>
      <c r="E671" s="391"/>
      <c r="F671" s="391"/>
      <c r="G671" s="391"/>
      <c r="H671" s="391"/>
      <c r="I671" s="391"/>
      <c r="J671" s="391"/>
      <c r="K671" s="391"/>
      <c r="L671" s="391"/>
      <c r="M671" s="391"/>
      <c r="N671" s="391"/>
      <c r="O671" s="391"/>
      <c r="P671" s="391"/>
      <c r="Q671" s="391"/>
      <c r="R671" s="391"/>
      <c r="S671" s="391"/>
      <c r="T671" s="391"/>
      <c r="U671" s="391"/>
      <c r="V671" s="391"/>
      <c r="W671" s="391"/>
      <c r="X671" s="391"/>
      <c r="Y671" s="391"/>
      <c r="Z671" s="391"/>
      <c r="AA671" s="391"/>
      <c r="AB671" s="391"/>
      <c r="AC671" s="391"/>
      <c r="AD671" s="391"/>
      <c r="AE671" s="391"/>
      <c r="AF671" s="391"/>
      <c r="AG671" s="391"/>
      <c r="AH671" s="392"/>
      <c r="AI671" s="391"/>
      <c r="AJ671" s="391"/>
    </row>
    <row r="672" spans="1:36" ht="13.5" x14ac:dyDescent="0.25">
      <c r="A672" s="391"/>
      <c r="B672" s="391"/>
      <c r="C672" s="391"/>
      <c r="D672" s="391"/>
      <c r="E672" s="391"/>
      <c r="F672" s="391"/>
      <c r="G672" s="391"/>
      <c r="H672" s="391"/>
      <c r="I672" s="391"/>
      <c r="J672" s="391"/>
      <c r="K672" s="391"/>
      <c r="L672" s="391"/>
      <c r="M672" s="391"/>
      <c r="N672" s="391"/>
      <c r="O672" s="391"/>
      <c r="P672" s="391"/>
      <c r="Q672" s="391"/>
      <c r="R672" s="391"/>
      <c r="S672" s="391"/>
      <c r="T672" s="391"/>
      <c r="U672" s="391"/>
      <c r="V672" s="391"/>
      <c r="W672" s="391"/>
      <c r="X672" s="391"/>
      <c r="Y672" s="391"/>
      <c r="Z672" s="391"/>
      <c r="AA672" s="391"/>
      <c r="AB672" s="391"/>
      <c r="AC672" s="391"/>
      <c r="AD672" s="391"/>
      <c r="AE672" s="391"/>
      <c r="AF672" s="391"/>
      <c r="AG672" s="391"/>
      <c r="AH672" s="392"/>
      <c r="AI672" s="391"/>
      <c r="AJ672" s="391"/>
    </row>
    <row r="673" spans="1:36" ht="13.5" x14ac:dyDescent="0.25">
      <c r="A673" s="391"/>
      <c r="B673" s="391"/>
      <c r="C673" s="391"/>
      <c r="D673" s="391"/>
      <c r="E673" s="391"/>
      <c r="F673" s="391"/>
      <c r="G673" s="391"/>
      <c r="H673" s="391"/>
      <c r="I673" s="391"/>
      <c r="J673" s="391"/>
      <c r="K673" s="391"/>
      <c r="L673" s="391"/>
      <c r="M673" s="391"/>
      <c r="N673" s="391"/>
      <c r="O673" s="391"/>
      <c r="P673" s="391"/>
      <c r="Q673" s="391"/>
      <c r="R673" s="391"/>
      <c r="S673" s="391"/>
      <c r="T673" s="391"/>
      <c r="U673" s="391"/>
      <c r="V673" s="391"/>
      <c r="W673" s="391"/>
      <c r="X673" s="391"/>
      <c r="Y673" s="391"/>
      <c r="Z673" s="391"/>
      <c r="AA673" s="391"/>
      <c r="AB673" s="391"/>
      <c r="AC673" s="391"/>
      <c r="AD673" s="391"/>
      <c r="AE673" s="391"/>
      <c r="AF673" s="391"/>
      <c r="AG673" s="391"/>
      <c r="AH673" s="392"/>
      <c r="AI673" s="391"/>
      <c r="AJ673" s="391"/>
    </row>
    <row r="674" spans="1:36" ht="13.5" x14ac:dyDescent="0.25">
      <c r="A674" s="391"/>
      <c r="B674" s="391"/>
      <c r="C674" s="391"/>
      <c r="D674" s="391"/>
      <c r="E674" s="391"/>
      <c r="F674" s="391"/>
      <c r="G674" s="391"/>
      <c r="H674" s="391"/>
      <c r="I674" s="391"/>
      <c r="J674" s="391"/>
      <c r="K674" s="391"/>
      <c r="L674" s="391"/>
      <c r="M674" s="391"/>
      <c r="N674" s="391"/>
      <c r="O674" s="391"/>
      <c r="P674" s="391"/>
      <c r="Q674" s="391"/>
      <c r="R674" s="391"/>
      <c r="S674" s="391"/>
      <c r="T674" s="391"/>
      <c r="U674" s="391"/>
      <c r="V674" s="391"/>
      <c r="W674" s="391"/>
      <c r="X674" s="391"/>
      <c r="Y674" s="391"/>
      <c r="Z674" s="391"/>
      <c r="AA674" s="391"/>
      <c r="AB674" s="391"/>
      <c r="AC674" s="391"/>
      <c r="AD674" s="391"/>
      <c r="AE674" s="391"/>
      <c r="AF674" s="391"/>
      <c r="AG674" s="391"/>
      <c r="AH674" s="392"/>
      <c r="AI674" s="391"/>
      <c r="AJ674" s="391"/>
    </row>
    <row r="675" spans="1:36" ht="13.5" x14ac:dyDescent="0.25">
      <c r="A675" s="391"/>
      <c r="B675" s="391"/>
      <c r="C675" s="391"/>
      <c r="D675" s="391"/>
      <c r="E675" s="391"/>
      <c r="F675" s="391"/>
      <c r="G675" s="391"/>
      <c r="H675" s="391"/>
      <c r="I675" s="391"/>
      <c r="J675" s="391"/>
      <c r="K675" s="391"/>
      <c r="L675" s="391"/>
      <c r="M675" s="391"/>
      <c r="N675" s="391"/>
      <c r="O675" s="391"/>
      <c r="P675" s="391"/>
      <c r="Q675" s="391"/>
      <c r="R675" s="391"/>
      <c r="S675" s="391"/>
      <c r="T675" s="391"/>
      <c r="U675" s="391"/>
      <c r="V675" s="391"/>
      <c r="W675" s="391"/>
      <c r="X675" s="391"/>
      <c r="Y675" s="391"/>
      <c r="Z675" s="391"/>
      <c r="AA675" s="391"/>
      <c r="AB675" s="391"/>
      <c r="AC675" s="391"/>
      <c r="AD675" s="391"/>
      <c r="AE675" s="391"/>
      <c r="AF675" s="391"/>
      <c r="AG675" s="391"/>
      <c r="AH675" s="392"/>
      <c r="AI675" s="391"/>
      <c r="AJ675" s="391"/>
    </row>
    <row r="676" spans="1:36" ht="13.5" x14ac:dyDescent="0.25">
      <c r="A676" s="391"/>
      <c r="B676" s="391"/>
      <c r="C676" s="391"/>
      <c r="D676" s="391"/>
      <c r="E676" s="391"/>
      <c r="F676" s="391"/>
      <c r="G676" s="391"/>
      <c r="H676" s="391"/>
      <c r="I676" s="391"/>
      <c r="J676" s="391"/>
      <c r="K676" s="391"/>
      <c r="L676" s="391"/>
      <c r="M676" s="391"/>
      <c r="N676" s="391"/>
      <c r="O676" s="391"/>
      <c r="P676" s="391"/>
      <c r="Q676" s="391"/>
      <c r="R676" s="391"/>
      <c r="S676" s="391"/>
      <c r="T676" s="391"/>
      <c r="U676" s="391"/>
      <c r="V676" s="391"/>
      <c r="W676" s="391"/>
      <c r="X676" s="391"/>
      <c r="Y676" s="391"/>
      <c r="Z676" s="391"/>
      <c r="AA676" s="391"/>
      <c r="AB676" s="391"/>
      <c r="AC676" s="391"/>
      <c r="AD676" s="391"/>
      <c r="AE676" s="391"/>
      <c r="AF676" s="391"/>
      <c r="AG676" s="391"/>
      <c r="AH676" s="392"/>
      <c r="AI676" s="391"/>
      <c r="AJ676" s="391"/>
    </row>
    <row r="677" spans="1:36" ht="13.5" x14ac:dyDescent="0.25">
      <c r="A677" s="391"/>
      <c r="B677" s="391"/>
      <c r="C677" s="391"/>
      <c r="D677" s="391"/>
      <c r="E677" s="391"/>
      <c r="F677" s="391"/>
      <c r="G677" s="391"/>
      <c r="H677" s="391"/>
      <c r="I677" s="391"/>
      <c r="J677" s="391"/>
      <c r="K677" s="391"/>
      <c r="L677" s="391"/>
      <c r="M677" s="391"/>
      <c r="N677" s="391"/>
      <c r="O677" s="391"/>
      <c r="P677" s="391"/>
      <c r="Q677" s="391"/>
      <c r="R677" s="391"/>
      <c r="S677" s="391"/>
      <c r="T677" s="391"/>
      <c r="U677" s="391"/>
      <c r="V677" s="391"/>
      <c r="W677" s="391"/>
      <c r="X677" s="391"/>
      <c r="Y677" s="391"/>
      <c r="Z677" s="391"/>
      <c r="AA677" s="391"/>
      <c r="AB677" s="391"/>
      <c r="AC677" s="391"/>
      <c r="AD677" s="391"/>
      <c r="AE677" s="391"/>
      <c r="AF677" s="391"/>
      <c r="AG677" s="391"/>
      <c r="AH677" s="392"/>
      <c r="AI677" s="391"/>
      <c r="AJ677" s="391"/>
    </row>
    <row r="678" spans="1:36" ht="13.5" x14ac:dyDescent="0.25">
      <c r="A678" s="391"/>
      <c r="B678" s="391"/>
      <c r="C678" s="391"/>
      <c r="D678" s="391"/>
      <c r="E678" s="391"/>
      <c r="F678" s="391"/>
      <c r="G678" s="391"/>
      <c r="H678" s="391"/>
      <c r="I678" s="391"/>
      <c r="J678" s="391"/>
      <c r="K678" s="391"/>
      <c r="L678" s="391"/>
      <c r="M678" s="391"/>
      <c r="N678" s="391"/>
      <c r="O678" s="391"/>
      <c r="P678" s="391"/>
      <c r="Q678" s="391"/>
      <c r="R678" s="391"/>
      <c r="S678" s="391"/>
      <c r="T678" s="391"/>
      <c r="U678" s="391"/>
      <c r="V678" s="391"/>
      <c r="W678" s="391"/>
      <c r="X678" s="391"/>
      <c r="Y678" s="391"/>
      <c r="Z678" s="391"/>
      <c r="AA678" s="391"/>
      <c r="AB678" s="391"/>
      <c r="AC678" s="391"/>
      <c r="AD678" s="391"/>
      <c r="AE678" s="391"/>
      <c r="AF678" s="391"/>
      <c r="AG678" s="391"/>
      <c r="AH678" s="392"/>
      <c r="AI678" s="391"/>
      <c r="AJ678" s="391"/>
    </row>
    <row r="679" spans="1:36" ht="13.5" x14ac:dyDescent="0.25">
      <c r="A679" s="391"/>
      <c r="B679" s="391"/>
      <c r="C679" s="391"/>
      <c r="D679" s="391"/>
      <c r="E679" s="391"/>
      <c r="F679" s="391"/>
      <c r="G679" s="391"/>
      <c r="H679" s="391"/>
      <c r="I679" s="391"/>
      <c r="J679" s="391"/>
      <c r="K679" s="391"/>
      <c r="L679" s="391"/>
      <c r="M679" s="391"/>
      <c r="N679" s="391"/>
      <c r="O679" s="391"/>
      <c r="P679" s="391"/>
      <c r="Q679" s="391"/>
      <c r="R679" s="391"/>
      <c r="S679" s="391"/>
      <c r="T679" s="391"/>
      <c r="U679" s="391"/>
      <c r="V679" s="391"/>
      <c r="W679" s="391"/>
      <c r="X679" s="391"/>
      <c r="Y679" s="391"/>
      <c r="Z679" s="391"/>
      <c r="AA679" s="391"/>
      <c r="AB679" s="391"/>
      <c r="AC679" s="391"/>
      <c r="AD679" s="391"/>
      <c r="AE679" s="391"/>
      <c r="AF679" s="391"/>
      <c r="AG679" s="391"/>
      <c r="AH679" s="392"/>
      <c r="AI679" s="391"/>
      <c r="AJ679" s="391"/>
    </row>
    <row r="680" spans="1:36" ht="13.5" x14ac:dyDescent="0.25">
      <c r="A680" s="391"/>
      <c r="B680" s="391"/>
      <c r="C680" s="391"/>
      <c r="D680" s="391"/>
      <c r="E680" s="391"/>
      <c r="F680" s="391"/>
      <c r="G680" s="391"/>
      <c r="H680" s="391"/>
      <c r="I680" s="391"/>
      <c r="J680" s="391"/>
      <c r="K680" s="391"/>
      <c r="L680" s="391"/>
      <c r="M680" s="391"/>
      <c r="N680" s="391"/>
      <c r="O680" s="391"/>
      <c r="P680" s="391"/>
      <c r="Q680" s="391"/>
      <c r="R680" s="391"/>
      <c r="S680" s="391"/>
      <c r="T680" s="391"/>
      <c r="U680" s="391"/>
      <c r="V680" s="391"/>
      <c r="W680" s="391"/>
      <c r="X680" s="391"/>
      <c r="Y680" s="391"/>
      <c r="Z680" s="391"/>
      <c r="AA680" s="391"/>
      <c r="AB680" s="391"/>
      <c r="AC680" s="391"/>
      <c r="AD680" s="391"/>
      <c r="AE680" s="391"/>
      <c r="AF680" s="391"/>
      <c r="AG680" s="391"/>
      <c r="AH680" s="392"/>
      <c r="AI680" s="391"/>
      <c r="AJ680" s="391"/>
    </row>
    <row r="681" spans="1:36" ht="13.5" x14ac:dyDescent="0.25">
      <c r="A681" s="391"/>
      <c r="B681" s="391"/>
      <c r="C681" s="391"/>
      <c r="D681" s="391"/>
      <c r="E681" s="391"/>
      <c r="F681" s="391"/>
      <c r="G681" s="391"/>
      <c r="H681" s="391"/>
      <c r="I681" s="391"/>
      <c r="J681" s="391"/>
      <c r="K681" s="391"/>
      <c r="L681" s="391"/>
      <c r="M681" s="391"/>
      <c r="N681" s="391"/>
      <c r="O681" s="391"/>
      <c r="P681" s="391"/>
      <c r="Q681" s="391"/>
      <c r="R681" s="391"/>
      <c r="S681" s="391"/>
      <c r="T681" s="391"/>
      <c r="U681" s="391"/>
      <c r="V681" s="391"/>
      <c r="W681" s="391"/>
      <c r="X681" s="391"/>
      <c r="Y681" s="391"/>
      <c r="Z681" s="391"/>
      <c r="AA681" s="391"/>
      <c r="AB681" s="391"/>
      <c r="AC681" s="391"/>
      <c r="AD681" s="391"/>
      <c r="AE681" s="391"/>
      <c r="AF681" s="391"/>
      <c r="AG681" s="391"/>
      <c r="AH681" s="392"/>
      <c r="AI681" s="391"/>
      <c r="AJ681" s="391"/>
    </row>
    <row r="682" spans="1:36" ht="13.5" x14ac:dyDescent="0.25">
      <c r="A682" s="391"/>
      <c r="B682" s="391"/>
      <c r="C682" s="391"/>
      <c r="D682" s="391"/>
      <c r="E682" s="391"/>
      <c r="F682" s="391"/>
      <c r="G682" s="391"/>
      <c r="H682" s="391"/>
      <c r="I682" s="391"/>
      <c r="J682" s="391"/>
      <c r="K682" s="391"/>
      <c r="L682" s="391"/>
      <c r="M682" s="391"/>
      <c r="N682" s="391"/>
      <c r="O682" s="391"/>
      <c r="P682" s="391"/>
      <c r="Q682" s="391"/>
      <c r="R682" s="391"/>
      <c r="S682" s="391"/>
      <c r="T682" s="391"/>
      <c r="U682" s="391"/>
      <c r="V682" s="391"/>
      <c r="W682" s="391"/>
      <c r="X682" s="391"/>
      <c r="Y682" s="391"/>
      <c r="Z682" s="391"/>
      <c r="AA682" s="391"/>
      <c r="AB682" s="391"/>
      <c r="AC682" s="391"/>
      <c r="AD682" s="391"/>
      <c r="AE682" s="391"/>
      <c r="AF682" s="391"/>
      <c r="AG682" s="391"/>
      <c r="AH682" s="392"/>
      <c r="AI682" s="391"/>
      <c r="AJ682" s="391"/>
    </row>
    <row r="683" spans="1:36" ht="13.5" x14ac:dyDescent="0.25">
      <c r="A683" s="391"/>
      <c r="B683" s="391"/>
      <c r="C683" s="391"/>
      <c r="D683" s="391"/>
      <c r="E683" s="391"/>
      <c r="F683" s="391"/>
      <c r="G683" s="391"/>
      <c r="H683" s="391"/>
      <c r="I683" s="391"/>
      <c r="J683" s="391"/>
      <c r="K683" s="391"/>
      <c r="L683" s="391"/>
      <c r="M683" s="391"/>
      <c r="N683" s="391"/>
      <c r="O683" s="391"/>
      <c r="P683" s="391"/>
      <c r="Q683" s="391"/>
      <c r="R683" s="391"/>
      <c r="S683" s="391"/>
      <c r="T683" s="391"/>
      <c r="U683" s="391"/>
      <c r="V683" s="391"/>
      <c r="W683" s="391"/>
      <c r="X683" s="391"/>
      <c r="Y683" s="391"/>
      <c r="Z683" s="391"/>
      <c r="AA683" s="391"/>
      <c r="AB683" s="391"/>
      <c r="AC683" s="391"/>
      <c r="AD683" s="391"/>
      <c r="AE683" s="391"/>
      <c r="AF683" s="391"/>
      <c r="AG683" s="391"/>
      <c r="AH683" s="392"/>
      <c r="AI683" s="391"/>
      <c r="AJ683" s="391"/>
    </row>
    <row r="684" spans="1:36" ht="13.5" x14ac:dyDescent="0.25">
      <c r="A684" s="391"/>
      <c r="B684" s="391"/>
      <c r="C684" s="391"/>
      <c r="D684" s="391"/>
      <c r="E684" s="391"/>
      <c r="F684" s="391"/>
      <c r="G684" s="391"/>
      <c r="H684" s="391"/>
      <c r="I684" s="391"/>
      <c r="J684" s="391"/>
      <c r="K684" s="391"/>
      <c r="L684" s="391"/>
      <c r="M684" s="391"/>
      <c r="N684" s="391"/>
      <c r="O684" s="391"/>
      <c r="P684" s="391"/>
      <c r="Q684" s="391"/>
      <c r="R684" s="391"/>
      <c r="S684" s="391"/>
      <c r="T684" s="391"/>
      <c r="U684" s="391"/>
      <c r="V684" s="391"/>
      <c r="W684" s="391"/>
      <c r="X684" s="391"/>
      <c r="Y684" s="391"/>
      <c r="Z684" s="391"/>
      <c r="AA684" s="391"/>
      <c r="AB684" s="391"/>
      <c r="AC684" s="391"/>
      <c r="AD684" s="391"/>
      <c r="AE684" s="391"/>
      <c r="AF684" s="391"/>
      <c r="AG684" s="391"/>
      <c r="AH684" s="392"/>
      <c r="AI684" s="391"/>
      <c r="AJ684" s="391"/>
    </row>
    <row r="685" spans="1:36" ht="13.5" x14ac:dyDescent="0.25">
      <c r="A685" s="391"/>
      <c r="B685" s="391"/>
      <c r="C685" s="391"/>
      <c r="D685" s="391"/>
      <c r="E685" s="391"/>
      <c r="F685" s="391"/>
      <c r="G685" s="391"/>
      <c r="H685" s="391"/>
      <c r="I685" s="391"/>
      <c r="J685" s="391"/>
      <c r="K685" s="391"/>
      <c r="L685" s="391"/>
      <c r="M685" s="391"/>
      <c r="N685" s="391"/>
      <c r="O685" s="391"/>
      <c r="P685" s="391"/>
      <c r="Q685" s="391"/>
      <c r="R685" s="391"/>
      <c r="S685" s="391"/>
      <c r="T685" s="391"/>
      <c r="U685" s="391"/>
      <c r="V685" s="391"/>
      <c r="W685" s="391"/>
      <c r="X685" s="391"/>
      <c r="Y685" s="391"/>
      <c r="Z685" s="391"/>
      <c r="AA685" s="391"/>
      <c r="AB685" s="391"/>
      <c r="AC685" s="391"/>
      <c r="AD685" s="391"/>
      <c r="AE685" s="391"/>
      <c r="AF685" s="391"/>
      <c r="AG685" s="391"/>
      <c r="AH685" s="392"/>
      <c r="AI685" s="391"/>
      <c r="AJ685" s="391"/>
    </row>
    <row r="686" spans="1:36" ht="13.5" x14ac:dyDescent="0.25">
      <c r="A686" s="391"/>
      <c r="B686" s="391"/>
      <c r="C686" s="391"/>
      <c r="D686" s="391"/>
      <c r="E686" s="391"/>
      <c r="F686" s="391"/>
      <c r="G686" s="391"/>
      <c r="H686" s="391"/>
      <c r="I686" s="391"/>
      <c r="J686" s="391"/>
      <c r="K686" s="391"/>
      <c r="L686" s="391"/>
      <c r="M686" s="391"/>
      <c r="N686" s="391"/>
      <c r="O686" s="391"/>
      <c r="P686" s="391"/>
      <c r="Q686" s="391"/>
      <c r="R686" s="391"/>
      <c r="S686" s="391"/>
      <c r="T686" s="391"/>
      <c r="U686" s="391"/>
      <c r="V686" s="391"/>
      <c r="W686" s="391"/>
      <c r="X686" s="391"/>
      <c r="Y686" s="391"/>
      <c r="Z686" s="391"/>
      <c r="AA686" s="391"/>
      <c r="AB686" s="391"/>
      <c r="AC686" s="391"/>
      <c r="AD686" s="391"/>
      <c r="AE686" s="391"/>
      <c r="AF686" s="391"/>
      <c r="AG686" s="391"/>
      <c r="AH686" s="392"/>
      <c r="AI686" s="391"/>
      <c r="AJ686" s="391"/>
    </row>
    <row r="687" spans="1:36" ht="13.5" x14ac:dyDescent="0.25">
      <c r="A687" s="391"/>
      <c r="B687" s="391"/>
      <c r="C687" s="391"/>
      <c r="D687" s="391"/>
      <c r="E687" s="391"/>
      <c r="F687" s="391"/>
      <c r="G687" s="391"/>
      <c r="H687" s="391"/>
      <c r="I687" s="391"/>
      <c r="J687" s="391"/>
      <c r="K687" s="391"/>
      <c r="L687" s="391"/>
      <c r="M687" s="391"/>
      <c r="N687" s="391"/>
      <c r="O687" s="391"/>
      <c r="P687" s="391"/>
      <c r="Q687" s="391"/>
      <c r="R687" s="391"/>
      <c r="S687" s="391"/>
      <c r="T687" s="391"/>
      <c r="U687" s="391"/>
      <c r="V687" s="391"/>
      <c r="W687" s="391"/>
      <c r="X687" s="391"/>
      <c r="Y687" s="391"/>
      <c r="Z687" s="391"/>
      <c r="AA687" s="391"/>
      <c r="AB687" s="391"/>
      <c r="AC687" s="391"/>
      <c r="AD687" s="391"/>
      <c r="AE687" s="391"/>
      <c r="AF687" s="391"/>
      <c r="AG687" s="391"/>
      <c r="AH687" s="392"/>
      <c r="AI687" s="391"/>
      <c r="AJ687" s="391"/>
    </row>
    <row r="688" spans="1:36" ht="13.5" x14ac:dyDescent="0.25">
      <c r="A688" s="391"/>
      <c r="B688" s="391"/>
      <c r="C688" s="391"/>
      <c r="D688" s="391"/>
      <c r="E688" s="391"/>
      <c r="F688" s="391"/>
      <c r="G688" s="391"/>
      <c r="H688" s="391"/>
      <c r="I688" s="391"/>
      <c r="J688" s="391"/>
      <c r="K688" s="391"/>
      <c r="L688" s="391"/>
      <c r="M688" s="391"/>
      <c r="N688" s="391"/>
      <c r="O688" s="391"/>
      <c r="P688" s="391"/>
      <c r="Q688" s="391"/>
      <c r="R688" s="391"/>
      <c r="S688" s="391"/>
      <c r="T688" s="391"/>
      <c r="U688" s="391"/>
      <c r="V688" s="391"/>
      <c r="W688" s="391"/>
      <c r="X688" s="391"/>
      <c r="Y688" s="391"/>
      <c r="Z688" s="391"/>
      <c r="AA688" s="391"/>
      <c r="AB688" s="391"/>
      <c r="AC688" s="391"/>
      <c r="AD688" s="391"/>
      <c r="AE688" s="391"/>
      <c r="AF688" s="391"/>
      <c r="AG688" s="391"/>
      <c r="AH688" s="392"/>
      <c r="AI688" s="391"/>
      <c r="AJ688" s="391"/>
    </row>
    <row r="689" spans="1:36" ht="13.5" x14ac:dyDescent="0.25">
      <c r="A689" s="391"/>
      <c r="B689" s="391"/>
      <c r="C689" s="391"/>
      <c r="D689" s="391"/>
      <c r="E689" s="391"/>
      <c r="F689" s="391"/>
      <c r="G689" s="391"/>
      <c r="H689" s="391"/>
      <c r="I689" s="391"/>
      <c r="J689" s="391"/>
      <c r="K689" s="391"/>
      <c r="L689" s="391"/>
      <c r="M689" s="391"/>
      <c r="N689" s="391"/>
      <c r="O689" s="391"/>
      <c r="P689" s="391"/>
      <c r="Q689" s="391"/>
      <c r="R689" s="391"/>
      <c r="S689" s="391"/>
      <c r="T689" s="391"/>
      <c r="U689" s="391"/>
      <c r="V689" s="391"/>
      <c r="W689" s="391"/>
      <c r="X689" s="391"/>
      <c r="Y689" s="391"/>
      <c r="Z689" s="391"/>
      <c r="AA689" s="391"/>
      <c r="AB689" s="391"/>
      <c r="AC689" s="391"/>
      <c r="AD689" s="391"/>
      <c r="AE689" s="391"/>
      <c r="AF689" s="391"/>
      <c r="AG689" s="391"/>
      <c r="AH689" s="392"/>
      <c r="AI689" s="391"/>
      <c r="AJ689" s="391"/>
    </row>
    <row r="690" spans="1:36" ht="13.5" x14ac:dyDescent="0.25">
      <c r="A690" s="391"/>
      <c r="B690" s="391"/>
      <c r="C690" s="391"/>
      <c r="D690" s="391"/>
      <c r="E690" s="391"/>
      <c r="F690" s="391"/>
      <c r="G690" s="391"/>
      <c r="H690" s="391"/>
      <c r="I690" s="391"/>
      <c r="J690" s="391"/>
      <c r="K690" s="391"/>
      <c r="L690" s="391"/>
      <c r="M690" s="391"/>
      <c r="N690" s="391"/>
      <c r="O690" s="391"/>
      <c r="P690" s="391"/>
      <c r="Q690" s="391"/>
      <c r="R690" s="391"/>
      <c r="S690" s="391"/>
      <c r="T690" s="391"/>
      <c r="U690" s="391"/>
      <c r="V690" s="391"/>
      <c r="W690" s="391"/>
      <c r="X690" s="391"/>
      <c r="Y690" s="391"/>
      <c r="Z690" s="391"/>
      <c r="AA690" s="391"/>
      <c r="AB690" s="391"/>
      <c r="AC690" s="391"/>
      <c r="AD690" s="391"/>
      <c r="AE690" s="391"/>
      <c r="AF690" s="391"/>
      <c r="AG690" s="391"/>
      <c r="AH690" s="392"/>
      <c r="AI690" s="391"/>
      <c r="AJ690" s="391"/>
    </row>
    <row r="691" spans="1:36" ht="13.5" x14ac:dyDescent="0.25">
      <c r="A691" s="391"/>
      <c r="B691" s="391"/>
      <c r="C691" s="391"/>
      <c r="D691" s="391"/>
      <c r="E691" s="391"/>
      <c r="F691" s="391"/>
      <c r="G691" s="391"/>
      <c r="H691" s="391"/>
      <c r="I691" s="391"/>
      <c r="J691" s="391"/>
      <c r="K691" s="391"/>
      <c r="L691" s="391"/>
      <c r="M691" s="391"/>
      <c r="N691" s="391"/>
      <c r="O691" s="391"/>
      <c r="P691" s="391"/>
      <c r="Q691" s="391"/>
      <c r="R691" s="391"/>
      <c r="S691" s="391"/>
      <c r="T691" s="391"/>
      <c r="U691" s="391"/>
      <c r="V691" s="391"/>
      <c r="W691" s="391"/>
      <c r="X691" s="391"/>
      <c r="Y691" s="391"/>
      <c r="Z691" s="391"/>
      <c r="AA691" s="391"/>
      <c r="AB691" s="391"/>
      <c r="AC691" s="391"/>
      <c r="AD691" s="391"/>
      <c r="AE691" s="391"/>
      <c r="AF691" s="391"/>
      <c r="AG691" s="391"/>
      <c r="AH691" s="392"/>
      <c r="AI691" s="391"/>
      <c r="AJ691" s="391"/>
    </row>
    <row r="692" spans="1:36" ht="13.5" x14ac:dyDescent="0.25">
      <c r="A692" s="391"/>
      <c r="B692" s="391"/>
      <c r="C692" s="391"/>
      <c r="D692" s="391"/>
      <c r="E692" s="391"/>
      <c r="F692" s="391"/>
      <c r="G692" s="391"/>
      <c r="H692" s="391"/>
      <c r="I692" s="391"/>
      <c r="J692" s="391"/>
      <c r="K692" s="391"/>
      <c r="L692" s="391"/>
      <c r="M692" s="391"/>
      <c r="N692" s="391"/>
      <c r="O692" s="391"/>
      <c r="P692" s="391"/>
      <c r="Q692" s="391"/>
      <c r="R692" s="391"/>
      <c r="S692" s="391"/>
      <c r="T692" s="391"/>
      <c r="U692" s="391"/>
      <c r="V692" s="391"/>
      <c r="W692" s="391"/>
      <c r="X692" s="391"/>
      <c r="Y692" s="391"/>
      <c r="Z692" s="391"/>
      <c r="AA692" s="391"/>
      <c r="AB692" s="391"/>
      <c r="AC692" s="391"/>
      <c r="AD692" s="391"/>
      <c r="AE692" s="391"/>
      <c r="AF692" s="391"/>
      <c r="AG692" s="391"/>
      <c r="AH692" s="392"/>
      <c r="AI692" s="391"/>
      <c r="AJ692" s="391"/>
    </row>
    <row r="693" spans="1:36" ht="13.5" x14ac:dyDescent="0.25">
      <c r="A693" s="391"/>
      <c r="B693" s="391"/>
      <c r="C693" s="391"/>
      <c r="D693" s="391"/>
      <c r="E693" s="391"/>
      <c r="F693" s="391"/>
      <c r="G693" s="391"/>
      <c r="H693" s="391"/>
      <c r="I693" s="391"/>
      <c r="J693" s="391"/>
      <c r="K693" s="391"/>
      <c r="L693" s="391"/>
      <c r="M693" s="391"/>
      <c r="N693" s="391"/>
      <c r="O693" s="391"/>
      <c r="P693" s="391"/>
      <c r="Q693" s="391"/>
      <c r="R693" s="391"/>
      <c r="S693" s="391"/>
      <c r="T693" s="391"/>
      <c r="U693" s="391"/>
      <c r="V693" s="391"/>
      <c r="W693" s="391"/>
      <c r="X693" s="391"/>
      <c r="Y693" s="391"/>
      <c r="Z693" s="391"/>
      <c r="AA693" s="391"/>
      <c r="AB693" s="391"/>
      <c r="AC693" s="391"/>
      <c r="AD693" s="391"/>
      <c r="AE693" s="391"/>
      <c r="AF693" s="391"/>
      <c r="AG693" s="391"/>
      <c r="AH693" s="392"/>
      <c r="AI693" s="391"/>
      <c r="AJ693" s="391"/>
    </row>
    <row r="694" spans="1:36" ht="13.5" x14ac:dyDescent="0.25">
      <c r="A694" s="391"/>
      <c r="B694" s="391"/>
      <c r="C694" s="391"/>
      <c r="D694" s="391"/>
      <c r="E694" s="391"/>
      <c r="F694" s="391"/>
      <c r="G694" s="391"/>
      <c r="H694" s="391"/>
      <c r="I694" s="391"/>
      <c r="J694" s="391"/>
      <c r="K694" s="391"/>
      <c r="L694" s="391"/>
      <c r="M694" s="391"/>
      <c r="N694" s="391"/>
      <c r="O694" s="391"/>
      <c r="P694" s="391"/>
      <c r="Q694" s="391"/>
      <c r="R694" s="391"/>
      <c r="S694" s="391"/>
      <c r="T694" s="391"/>
      <c r="U694" s="391"/>
      <c r="V694" s="391"/>
      <c r="W694" s="391"/>
      <c r="X694" s="391"/>
      <c r="Y694" s="391"/>
      <c r="Z694" s="391"/>
      <c r="AA694" s="391"/>
      <c r="AB694" s="391"/>
      <c r="AC694" s="391"/>
      <c r="AD694" s="391"/>
      <c r="AE694" s="391"/>
      <c r="AF694" s="391"/>
      <c r="AG694" s="391"/>
      <c r="AH694" s="392"/>
      <c r="AI694" s="391"/>
      <c r="AJ694" s="391"/>
    </row>
    <row r="695" spans="1:36" ht="13.5" x14ac:dyDescent="0.25">
      <c r="A695" s="391"/>
      <c r="B695" s="391"/>
      <c r="C695" s="391"/>
      <c r="D695" s="391"/>
      <c r="E695" s="391"/>
      <c r="F695" s="391"/>
      <c r="G695" s="391"/>
      <c r="H695" s="391"/>
      <c r="I695" s="391"/>
      <c r="J695" s="391"/>
      <c r="K695" s="391"/>
      <c r="L695" s="391"/>
      <c r="M695" s="391"/>
      <c r="N695" s="391"/>
      <c r="O695" s="391"/>
      <c r="P695" s="391"/>
      <c r="Q695" s="391"/>
      <c r="R695" s="391"/>
      <c r="S695" s="391"/>
      <c r="T695" s="391"/>
      <c r="U695" s="391"/>
      <c r="V695" s="391"/>
      <c r="W695" s="391"/>
      <c r="X695" s="391"/>
      <c r="Y695" s="391"/>
      <c r="Z695" s="391"/>
      <c r="AA695" s="391"/>
      <c r="AB695" s="391"/>
      <c r="AC695" s="391"/>
      <c r="AD695" s="391"/>
      <c r="AE695" s="391"/>
      <c r="AF695" s="391"/>
      <c r="AG695" s="391"/>
      <c r="AH695" s="392"/>
      <c r="AI695" s="391"/>
      <c r="AJ695" s="391"/>
    </row>
    <row r="696" spans="1:36" ht="13.5" x14ac:dyDescent="0.25">
      <c r="A696" s="391"/>
      <c r="B696" s="391"/>
      <c r="C696" s="391"/>
      <c r="D696" s="391"/>
      <c r="E696" s="391"/>
      <c r="F696" s="391"/>
      <c r="G696" s="391"/>
      <c r="H696" s="391"/>
      <c r="I696" s="391"/>
      <c r="J696" s="391"/>
      <c r="K696" s="391"/>
      <c r="L696" s="391"/>
      <c r="M696" s="391"/>
      <c r="N696" s="391"/>
      <c r="O696" s="391"/>
      <c r="P696" s="391"/>
      <c r="Q696" s="391"/>
      <c r="R696" s="391"/>
      <c r="S696" s="391"/>
      <c r="T696" s="391"/>
      <c r="U696" s="391"/>
      <c r="V696" s="391"/>
      <c r="W696" s="391"/>
      <c r="X696" s="391"/>
      <c r="Y696" s="391"/>
      <c r="Z696" s="391"/>
      <c r="AA696" s="391"/>
      <c r="AB696" s="391"/>
      <c r="AC696" s="391"/>
      <c r="AD696" s="391"/>
      <c r="AE696" s="391"/>
      <c r="AF696" s="391"/>
      <c r="AG696" s="391"/>
      <c r="AH696" s="392"/>
      <c r="AI696" s="391"/>
      <c r="AJ696" s="391"/>
    </row>
    <row r="697" spans="1:36" ht="13.5" x14ac:dyDescent="0.25">
      <c r="A697" s="391"/>
      <c r="B697" s="391"/>
      <c r="C697" s="391"/>
      <c r="D697" s="391"/>
      <c r="E697" s="391"/>
      <c r="F697" s="391"/>
      <c r="G697" s="391"/>
      <c r="H697" s="391"/>
      <c r="I697" s="391"/>
      <c r="J697" s="391"/>
      <c r="K697" s="391"/>
      <c r="L697" s="391"/>
      <c r="M697" s="391"/>
      <c r="N697" s="391"/>
      <c r="O697" s="391"/>
      <c r="P697" s="391"/>
      <c r="Q697" s="391"/>
      <c r="R697" s="391"/>
      <c r="S697" s="391"/>
      <c r="T697" s="391"/>
      <c r="U697" s="391"/>
      <c r="V697" s="391"/>
      <c r="W697" s="391"/>
      <c r="X697" s="391"/>
      <c r="Y697" s="391"/>
      <c r="Z697" s="391"/>
      <c r="AA697" s="391"/>
      <c r="AB697" s="391"/>
      <c r="AC697" s="391"/>
      <c r="AD697" s="391"/>
      <c r="AE697" s="391"/>
      <c r="AF697" s="391"/>
      <c r="AG697" s="391"/>
      <c r="AH697" s="392"/>
      <c r="AI697" s="391"/>
      <c r="AJ697" s="391"/>
    </row>
    <row r="698" spans="1:36" ht="13.5" x14ac:dyDescent="0.25">
      <c r="A698" s="391"/>
      <c r="B698" s="391"/>
      <c r="C698" s="391"/>
      <c r="D698" s="391"/>
      <c r="E698" s="391"/>
      <c r="F698" s="391"/>
      <c r="G698" s="391"/>
      <c r="H698" s="391"/>
      <c r="I698" s="391"/>
      <c r="J698" s="391"/>
      <c r="K698" s="391"/>
      <c r="L698" s="391"/>
      <c r="M698" s="391"/>
      <c r="N698" s="391"/>
      <c r="O698" s="391"/>
      <c r="P698" s="391"/>
      <c r="Q698" s="391"/>
      <c r="R698" s="391"/>
      <c r="S698" s="391"/>
      <c r="T698" s="391"/>
      <c r="U698" s="391"/>
      <c r="V698" s="391"/>
      <c r="W698" s="391"/>
      <c r="X698" s="391"/>
      <c r="Y698" s="391"/>
      <c r="Z698" s="391"/>
      <c r="AA698" s="391"/>
      <c r="AB698" s="391"/>
      <c r="AC698" s="391"/>
      <c r="AD698" s="391"/>
      <c r="AE698" s="391"/>
      <c r="AF698" s="391"/>
      <c r="AG698" s="391"/>
      <c r="AH698" s="392"/>
      <c r="AI698" s="391"/>
      <c r="AJ698" s="391"/>
    </row>
    <row r="699" spans="1:36" ht="13.5" x14ac:dyDescent="0.25">
      <c r="A699" s="391"/>
      <c r="B699" s="391"/>
      <c r="C699" s="391"/>
      <c r="D699" s="391"/>
      <c r="E699" s="391"/>
      <c r="F699" s="391"/>
      <c r="G699" s="391"/>
      <c r="H699" s="391"/>
      <c r="I699" s="391"/>
      <c r="J699" s="391"/>
      <c r="K699" s="391"/>
      <c r="L699" s="391"/>
      <c r="M699" s="391"/>
      <c r="N699" s="391"/>
      <c r="O699" s="391"/>
      <c r="P699" s="391"/>
      <c r="Q699" s="391"/>
      <c r="R699" s="391"/>
      <c r="S699" s="391"/>
      <c r="T699" s="391"/>
      <c r="U699" s="391"/>
      <c r="V699" s="391"/>
      <c r="W699" s="391"/>
      <c r="X699" s="391"/>
      <c r="Y699" s="391"/>
      <c r="Z699" s="391"/>
      <c r="AA699" s="391"/>
      <c r="AB699" s="391"/>
      <c r="AC699" s="391"/>
      <c r="AD699" s="391"/>
      <c r="AE699" s="391"/>
      <c r="AF699" s="391"/>
      <c r="AG699" s="391"/>
      <c r="AH699" s="392"/>
      <c r="AI699" s="391"/>
      <c r="AJ699" s="391"/>
    </row>
    <row r="700" spans="1:36" ht="13.5" x14ac:dyDescent="0.25">
      <c r="A700" s="391"/>
      <c r="B700" s="391"/>
      <c r="C700" s="391"/>
      <c r="D700" s="391"/>
      <c r="E700" s="391"/>
      <c r="F700" s="391"/>
      <c r="G700" s="391"/>
      <c r="H700" s="391"/>
      <c r="I700" s="391"/>
      <c r="J700" s="391"/>
      <c r="K700" s="391"/>
      <c r="L700" s="391"/>
      <c r="M700" s="391"/>
      <c r="N700" s="391"/>
      <c r="O700" s="391"/>
      <c r="P700" s="391"/>
      <c r="Q700" s="391"/>
      <c r="R700" s="391"/>
      <c r="S700" s="391"/>
      <c r="T700" s="391"/>
      <c r="U700" s="391"/>
      <c r="V700" s="391"/>
      <c r="W700" s="391"/>
      <c r="X700" s="391"/>
      <c r="Y700" s="391"/>
      <c r="Z700" s="391"/>
      <c r="AA700" s="391"/>
      <c r="AB700" s="391"/>
      <c r="AC700" s="391"/>
      <c r="AD700" s="391"/>
      <c r="AE700" s="391"/>
      <c r="AF700" s="391"/>
      <c r="AG700" s="391"/>
      <c r="AH700" s="392"/>
      <c r="AI700" s="391"/>
      <c r="AJ700" s="391"/>
    </row>
    <row r="701" spans="1:36" ht="13.5" x14ac:dyDescent="0.25">
      <c r="A701" s="391"/>
      <c r="B701" s="391"/>
      <c r="C701" s="391"/>
      <c r="D701" s="391"/>
      <c r="E701" s="391"/>
      <c r="F701" s="391"/>
      <c r="G701" s="391"/>
      <c r="H701" s="391"/>
      <c r="I701" s="391"/>
      <c r="J701" s="391"/>
      <c r="K701" s="391"/>
      <c r="L701" s="391"/>
      <c r="M701" s="391"/>
      <c r="N701" s="391"/>
      <c r="O701" s="391"/>
      <c r="P701" s="391"/>
      <c r="Q701" s="391"/>
      <c r="R701" s="391"/>
      <c r="S701" s="391"/>
      <c r="T701" s="391"/>
      <c r="U701" s="391"/>
      <c r="V701" s="391"/>
      <c r="W701" s="391"/>
      <c r="X701" s="391"/>
      <c r="Y701" s="391"/>
      <c r="Z701" s="391"/>
      <c r="AA701" s="391"/>
      <c r="AB701" s="391"/>
      <c r="AC701" s="391"/>
      <c r="AD701" s="391"/>
      <c r="AE701" s="391"/>
      <c r="AF701" s="391"/>
      <c r="AG701" s="391"/>
      <c r="AH701" s="392"/>
      <c r="AI701" s="391"/>
      <c r="AJ701" s="391"/>
    </row>
    <row r="702" spans="1:36" ht="13.5" x14ac:dyDescent="0.25">
      <c r="A702" s="391"/>
      <c r="B702" s="391"/>
      <c r="C702" s="391"/>
      <c r="D702" s="391"/>
      <c r="E702" s="391"/>
      <c r="F702" s="391"/>
      <c r="G702" s="391"/>
      <c r="H702" s="391"/>
      <c r="I702" s="391"/>
      <c r="J702" s="391"/>
      <c r="K702" s="391"/>
      <c r="L702" s="391"/>
      <c r="M702" s="391"/>
      <c r="N702" s="391"/>
      <c r="O702" s="391"/>
      <c r="P702" s="391"/>
      <c r="Q702" s="391"/>
      <c r="R702" s="391"/>
      <c r="S702" s="391"/>
      <c r="T702" s="391"/>
      <c r="U702" s="391"/>
      <c r="V702" s="391"/>
      <c r="W702" s="391"/>
      <c r="X702" s="391"/>
      <c r="Y702" s="391"/>
      <c r="Z702" s="391"/>
      <c r="AA702" s="391"/>
      <c r="AB702" s="391"/>
      <c r="AC702" s="391"/>
      <c r="AD702" s="391"/>
      <c r="AE702" s="391"/>
      <c r="AF702" s="391"/>
      <c r="AG702" s="391"/>
      <c r="AH702" s="392"/>
      <c r="AI702" s="391"/>
      <c r="AJ702" s="391"/>
    </row>
    <row r="703" spans="1:36" ht="13.5" x14ac:dyDescent="0.25">
      <c r="A703" s="391"/>
      <c r="B703" s="391"/>
      <c r="C703" s="391"/>
      <c r="D703" s="391"/>
      <c r="E703" s="391"/>
      <c r="F703" s="391"/>
      <c r="G703" s="391"/>
      <c r="H703" s="391"/>
      <c r="I703" s="391"/>
      <c r="J703" s="391"/>
      <c r="K703" s="391"/>
      <c r="L703" s="391"/>
      <c r="M703" s="391"/>
      <c r="N703" s="391"/>
      <c r="O703" s="391"/>
      <c r="P703" s="391"/>
      <c r="Q703" s="391"/>
      <c r="R703" s="391"/>
      <c r="S703" s="391"/>
      <c r="T703" s="391"/>
      <c r="U703" s="391"/>
      <c r="V703" s="391"/>
      <c r="W703" s="391"/>
      <c r="X703" s="391"/>
      <c r="Y703" s="391"/>
      <c r="Z703" s="391"/>
      <c r="AA703" s="391"/>
      <c r="AB703" s="391"/>
      <c r="AC703" s="391"/>
      <c r="AD703" s="391"/>
      <c r="AE703" s="391"/>
      <c r="AF703" s="391"/>
      <c r="AG703" s="391"/>
      <c r="AH703" s="392"/>
      <c r="AI703" s="391"/>
      <c r="AJ703" s="391"/>
    </row>
    <row r="704" spans="1:36" ht="13.5" x14ac:dyDescent="0.25">
      <c r="A704" s="391"/>
      <c r="B704" s="391"/>
      <c r="C704" s="391"/>
      <c r="D704" s="391"/>
      <c r="E704" s="391"/>
      <c r="F704" s="391"/>
      <c r="G704" s="391"/>
      <c r="H704" s="391"/>
      <c r="I704" s="391"/>
      <c r="J704" s="391"/>
      <c r="K704" s="391"/>
      <c r="L704" s="391"/>
      <c r="M704" s="391"/>
      <c r="N704" s="391"/>
      <c r="O704" s="391"/>
      <c r="P704" s="391"/>
      <c r="Q704" s="391"/>
      <c r="R704" s="391"/>
      <c r="S704" s="391"/>
      <c r="T704" s="391"/>
      <c r="U704" s="391"/>
      <c r="V704" s="391"/>
      <c r="W704" s="391"/>
      <c r="X704" s="391"/>
      <c r="Y704" s="391"/>
      <c r="Z704" s="391"/>
      <c r="AA704" s="391"/>
      <c r="AB704" s="391"/>
      <c r="AC704" s="391"/>
      <c r="AD704" s="391"/>
      <c r="AE704" s="391"/>
      <c r="AF704" s="391"/>
      <c r="AG704" s="391"/>
      <c r="AH704" s="392"/>
      <c r="AI704" s="391"/>
      <c r="AJ704" s="391"/>
    </row>
    <row r="705" spans="1:36" ht="13.5" x14ac:dyDescent="0.25">
      <c r="A705" s="391"/>
      <c r="B705" s="391"/>
      <c r="C705" s="391"/>
      <c r="D705" s="391"/>
      <c r="E705" s="391"/>
      <c r="F705" s="391"/>
      <c r="G705" s="391"/>
      <c r="H705" s="391"/>
      <c r="I705" s="391"/>
      <c r="J705" s="391"/>
      <c r="K705" s="391"/>
      <c r="L705" s="391"/>
      <c r="M705" s="391"/>
      <c r="N705" s="391"/>
      <c r="O705" s="391"/>
      <c r="P705" s="391"/>
      <c r="Q705" s="391"/>
      <c r="R705" s="391"/>
      <c r="S705" s="391"/>
      <c r="T705" s="391"/>
      <c r="U705" s="391"/>
      <c r="V705" s="391"/>
      <c r="W705" s="391"/>
      <c r="X705" s="391"/>
      <c r="Y705" s="391"/>
      <c r="Z705" s="391"/>
      <c r="AA705" s="391"/>
      <c r="AB705" s="391"/>
      <c r="AC705" s="391"/>
      <c r="AD705" s="391"/>
      <c r="AE705" s="391"/>
      <c r="AF705" s="391"/>
      <c r="AG705" s="391"/>
      <c r="AH705" s="392"/>
      <c r="AI705" s="391"/>
      <c r="AJ705" s="391"/>
    </row>
    <row r="706" spans="1:36" ht="13.5" x14ac:dyDescent="0.25">
      <c r="A706" s="391"/>
      <c r="B706" s="391"/>
      <c r="C706" s="391"/>
      <c r="D706" s="391"/>
      <c r="E706" s="391"/>
      <c r="F706" s="391"/>
      <c r="G706" s="391"/>
      <c r="H706" s="391"/>
      <c r="I706" s="391"/>
      <c r="J706" s="391"/>
      <c r="K706" s="391"/>
      <c r="L706" s="391"/>
      <c r="M706" s="391"/>
      <c r="N706" s="391"/>
      <c r="O706" s="391"/>
      <c r="P706" s="391"/>
      <c r="Q706" s="391"/>
      <c r="R706" s="391"/>
      <c r="S706" s="391"/>
      <c r="T706" s="391"/>
      <c r="U706" s="391"/>
      <c r="V706" s="391"/>
      <c r="W706" s="391"/>
      <c r="X706" s="391"/>
      <c r="Y706" s="391"/>
      <c r="Z706" s="391"/>
      <c r="AA706" s="391"/>
      <c r="AB706" s="391"/>
      <c r="AC706" s="391"/>
      <c r="AD706" s="391"/>
      <c r="AE706" s="391"/>
      <c r="AF706" s="391"/>
      <c r="AG706" s="391"/>
      <c r="AH706" s="392"/>
      <c r="AI706" s="391"/>
      <c r="AJ706" s="391"/>
    </row>
    <row r="707" spans="1:36" ht="13.5" x14ac:dyDescent="0.25">
      <c r="A707" s="391"/>
      <c r="B707" s="391"/>
      <c r="C707" s="391"/>
      <c r="D707" s="391"/>
      <c r="E707" s="391"/>
      <c r="F707" s="391"/>
      <c r="G707" s="391"/>
      <c r="H707" s="391"/>
      <c r="I707" s="391"/>
      <c r="J707" s="391"/>
      <c r="K707" s="391"/>
      <c r="L707" s="391"/>
      <c r="M707" s="391"/>
      <c r="N707" s="391"/>
      <c r="O707" s="391"/>
      <c r="P707" s="391"/>
      <c r="Q707" s="391"/>
      <c r="R707" s="391"/>
      <c r="S707" s="391"/>
      <c r="T707" s="391"/>
      <c r="U707" s="391"/>
      <c r="V707" s="391"/>
      <c r="W707" s="391"/>
      <c r="X707" s="391"/>
      <c r="Y707" s="391"/>
      <c r="Z707" s="391"/>
      <c r="AA707" s="391"/>
      <c r="AB707" s="391"/>
      <c r="AC707" s="391"/>
      <c r="AD707" s="391"/>
      <c r="AE707" s="391"/>
      <c r="AF707" s="391"/>
      <c r="AG707" s="391"/>
      <c r="AH707" s="392"/>
      <c r="AI707" s="391"/>
      <c r="AJ707" s="391"/>
    </row>
    <row r="708" spans="1:36" ht="13.5" x14ac:dyDescent="0.25">
      <c r="A708" s="391"/>
      <c r="B708" s="391"/>
      <c r="C708" s="391"/>
      <c r="D708" s="391"/>
      <c r="E708" s="391"/>
      <c r="F708" s="391"/>
      <c r="G708" s="391"/>
      <c r="H708" s="391"/>
      <c r="I708" s="391"/>
      <c r="J708" s="391"/>
      <c r="K708" s="391"/>
      <c r="L708" s="391"/>
      <c r="M708" s="391"/>
      <c r="N708" s="391"/>
      <c r="O708" s="391"/>
      <c r="P708" s="391"/>
      <c r="Q708" s="391"/>
      <c r="R708" s="391"/>
      <c r="S708" s="391"/>
      <c r="T708" s="391"/>
      <c r="U708" s="391"/>
      <c r="V708" s="391"/>
      <c r="W708" s="391"/>
      <c r="X708" s="391"/>
      <c r="Y708" s="391"/>
      <c r="Z708" s="391"/>
      <c r="AA708" s="391"/>
      <c r="AB708" s="391"/>
      <c r="AC708" s="391"/>
      <c r="AD708" s="391"/>
      <c r="AE708" s="391"/>
      <c r="AF708" s="391"/>
      <c r="AG708" s="391"/>
      <c r="AH708" s="392"/>
      <c r="AI708" s="391"/>
      <c r="AJ708" s="391"/>
    </row>
    <row r="709" spans="1:36" ht="13.5" x14ac:dyDescent="0.25">
      <c r="A709" s="391"/>
      <c r="B709" s="391"/>
      <c r="C709" s="391"/>
      <c r="D709" s="391"/>
      <c r="E709" s="391"/>
      <c r="F709" s="391"/>
      <c r="G709" s="391"/>
      <c r="H709" s="391"/>
      <c r="I709" s="391"/>
      <c r="J709" s="391"/>
      <c r="K709" s="391"/>
      <c r="L709" s="391"/>
      <c r="M709" s="391"/>
      <c r="N709" s="391"/>
      <c r="O709" s="391"/>
      <c r="P709" s="391"/>
      <c r="Q709" s="391"/>
      <c r="R709" s="391"/>
      <c r="S709" s="391"/>
      <c r="T709" s="391"/>
      <c r="U709" s="391"/>
      <c r="V709" s="391"/>
      <c r="W709" s="391"/>
      <c r="X709" s="391"/>
      <c r="Y709" s="391"/>
      <c r="Z709" s="391"/>
      <c r="AA709" s="391"/>
      <c r="AB709" s="391"/>
      <c r="AC709" s="391"/>
      <c r="AD709" s="391"/>
      <c r="AE709" s="391"/>
      <c r="AF709" s="391"/>
      <c r="AG709" s="391"/>
      <c r="AH709" s="392"/>
      <c r="AI709" s="391"/>
      <c r="AJ709" s="391"/>
    </row>
    <row r="710" spans="1:36" ht="13.5" x14ac:dyDescent="0.25">
      <c r="A710" s="391"/>
      <c r="B710" s="391"/>
      <c r="C710" s="391"/>
      <c r="D710" s="391"/>
      <c r="E710" s="391"/>
      <c r="F710" s="391"/>
      <c r="G710" s="391"/>
      <c r="H710" s="391"/>
      <c r="I710" s="391"/>
      <c r="J710" s="391"/>
      <c r="K710" s="391"/>
      <c r="L710" s="391"/>
      <c r="M710" s="391"/>
      <c r="N710" s="391"/>
      <c r="O710" s="391"/>
      <c r="P710" s="391"/>
      <c r="Q710" s="391"/>
      <c r="R710" s="391"/>
      <c r="S710" s="391"/>
      <c r="T710" s="391"/>
      <c r="U710" s="391"/>
      <c r="V710" s="391"/>
      <c r="W710" s="391"/>
      <c r="X710" s="391"/>
      <c r="Y710" s="391"/>
      <c r="Z710" s="391"/>
      <c r="AA710" s="391"/>
      <c r="AB710" s="391"/>
      <c r="AC710" s="391"/>
      <c r="AD710" s="391"/>
      <c r="AE710" s="391"/>
      <c r="AF710" s="391"/>
      <c r="AG710" s="391"/>
      <c r="AH710" s="392"/>
      <c r="AI710" s="391"/>
      <c r="AJ710" s="391"/>
    </row>
    <row r="711" spans="1:36" ht="13.5" x14ac:dyDescent="0.25">
      <c r="A711" s="391"/>
      <c r="B711" s="391"/>
      <c r="C711" s="391"/>
      <c r="D711" s="391"/>
      <c r="E711" s="391"/>
      <c r="F711" s="391"/>
      <c r="G711" s="391"/>
      <c r="H711" s="391"/>
      <c r="I711" s="391"/>
      <c r="J711" s="391"/>
      <c r="K711" s="391"/>
      <c r="L711" s="391"/>
      <c r="M711" s="391"/>
      <c r="N711" s="391"/>
      <c r="O711" s="391"/>
      <c r="P711" s="391"/>
      <c r="Q711" s="391"/>
      <c r="R711" s="391"/>
      <c r="S711" s="391"/>
      <c r="T711" s="391"/>
      <c r="U711" s="391"/>
      <c r="V711" s="391"/>
      <c r="W711" s="391"/>
      <c r="X711" s="391"/>
      <c r="Y711" s="391"/>
      <c r="Z711" s="391"/>
      <c r="AA711" s="391"/>
      <c r="AB711" s="391"/>
      <c r="AC711" s="391"/>
      <c r="AD711" s="391"/>
      <c r="AE711" s="391"/>
      <c r="AF711" s="391"/>
      <c r="AG711" s="391"/>
      <c r="AH711" s="392"/>
      <c r="AI711" s="391"/>
      <c r="AJ711" s="391"/>
    </row>
    <row r="712" spans="1:36" ht="13.5" x14ac:dyDescent="0.25">
      <c r="A712" s="391"/>
      <c r="B712" s="391"/>
      <c r="C712" s="391"/>
      <c r="D712" s="391"/>
      <c r="E712" s="391"/>
      <c r="F712" s="391"/>
      <c r="G712" s="391"/>
      <c r="H712" s="391"/>
      <c r="I712" s="391"/>
      <c r="J712" s="391"/>
      <c r="K712" s="391"/>
      <c r="L712" s="391"/>
      <c r="M712" s="391"/>
      <c r="N712" s="391"/>
      <c r="O712" s="391"/>
      <c r="P712" s="391"/>
      <c r="Q712" s="391"/>
      <c r="R712" s="391"/>
      <c r="S712" s="391"/>
      <c r="T712" s="391"/>
      <c r="U712" s="391"/>
      <c r="V712" s="391"/>
      <c r="W712" s="391"/>
      <c r="X712" s="391"/>
      <c r="Y712" s="391"/>
      <c r="Z712" s="391"/>
      <c r="AA712" s="391"/>
      <c r="AB712" s="391"/>
      <c r="AC712" s="391"/>
      <c r="AD712" s="391"/>
      <c r="AE712" s="391"/>
      <c r="AF712" s="391"/>
      <c r="AG712" s="391"/>
      <c r="AH712" s="392"/>
      <c r="AI712" s="391"/>
      <c r="AJ712" s="391"/>
    </row>
    <row r="713" spans="1:36" ht="13.5" x14ac:dyDescent="0.25">
      <c r="A713" s="391"/>
      <c r="B713" s="391"/>
      <c r="C713" s="391"/>
      <c r="D713" s="391"/>
      <c r="E713" s="391"/>
      <c r="F713" s="391"/>
      <c r="G713" s="391"/>
      <c r="H713" s="391"/>
      <c r="I713" s="391"/>
      <c r="J713" s="391"/>
      <c r="K713" s="391"/>
      <c r="L713" s="391"/>
      <c r="M713" s="391"/>
      <c r="N713" s="391"/>
      <c r="O713" s="391"/>
      <c r="P713" s="391"/>
      <c r="Q713" s="391"/>
      <c r="R713" s="391"/>
      <c r="S713" s="391"/>
      <c r="T713" s="391"/>
      <c r="U713" s="391"/>
      <c r="V713" s="391"/>
      <c r="W713" s="391"/>
      <c r="X713" s="391"/>
      <c r="Y713" s="391"/>
      <c r="Z713" s="391"/>
      <c r="AA713" s="391"/>
      <c r="AB713" s="391"/>
      <c r="AC713" s="391"/>
      <c r="AD713" s="391"/>
      <c r="AE713" s="391"/>
      <c r="AF713" s="391"/>
      <c r="AG713" s="391"/>
      <c r="AH713" s="392"/>
      <c r="AI713" s="391"/>
      <c r="AJ713" s="391"/>
    </row>
    <row r="714" spans="1:36" ht="13.5" x14ac:dyDescent="0.25">
      <c r="A714" s="391"/>
      <c r="B714" s="391"/>
      <c r="C714" s="391"/>
      <c r="D714" s="391"/>
      <c r="E714" s="391"/>
      <c r="F714" s="391"/>
      <c r="G714" s="391"/>
      <c r="H714" s="391"/>
      <c r="I714" s="391"/>
      <c r="J714" s="391"/>
      <c r="K714" s="391"/>
      <c r="L714" s="391"/>
      <c r="M714" s="391"/>
      <c r="N714" s="391"/>
      <c r="O714" s="391"/>
      <c r="P714" s="391"/>
      <c r="Q714" s="391"/>
      <c r="R714" s="391"/>
      <c r="S714" s="391"/>
      <c r="T714" s="391"/>
      <c r="U714" s="391"/>
      <c r="V714" s="391"/>
      <c r="W714" s="391"/>
      <c r="X714" s="391"/>
      <c r="Y714" s="391"/>
      <c r="Z714" s="391"/>
      <c r="AA714" s="391"/>
      <c r="AB714" s="391"/>
      <c r="AC714" s="391"/>
      <c r="AD714" s="391"/>
      <c r="AE714" s="391"/>
      <c r="AF714" s="391"/>
      <c r="AG714" s="391"/>
      <c r="AH714" s="392"/>
      <c r="AI714" s="391"/>
      <c r="AJ714" s="391"/>
    </row>
    <row r="715" spans="1:36" ht="13.5" x14ac:dyDescent="0.25">
      <c r="A715" s="391"/>
      <c r="B715" s="391"/>
      <c r="C715" s="391"/>
      <c r="D715" s="391"/>
      <c r="E715" s="391"/>
      <c r="F715" s="391"/>
      <c r="G715" s="391"/>
      <c r="H715" s="391"/>
      <c r="I715" s="391"/>
      <c r="J715" s="391"/>
      <c r="K715" s="391"/>
      <c r="L715" s="391"/>
      <c r="M715" s="391"/>
      <c r="N715" s="391"/>
      <c r="O715" s="391"/>
      <c r="P715" s="391"/>
      <c r="Q715" s="391"/>
      <c r="R715" s="391"/>
      <c r="S715" s="391"/>
      <c r="T715" s="391"/>
      <c r="U715" s="391"/>
      <c r="V715" s="391"/>
      <c r="W715" s="391"/>
      <c r="X715" s="391"/>
      <c r="Y715" s="391"/>
      <c r="Z715" s="391"/>
      <c r="AA715" s="391"/>
      <c r="AB715" s="391"/>
      <c r="AC715" s="391"/>
      <c r="AD715" s="391"/>
      <c r="AE715" s="391"/>
      <c r="AF715" s="391"/>
      <c r="AG715" s="391"/>
      <c r="AH715" s="392"/>
      <c r="AI715" s="391"/>
      <c r="AJ715" s="391"/>
    </row>
    <row r="716" spans="1:36" ht="13.5" x14ac:dyDescent="0.25">
      <c r="A716" s="391"/>
      <c r="B716" s="391"/>
      <c r="C716" s="391"/>
      <c r="D716" s="391"/>
      <c r="E716" s="391"/>
      <c r="F716" s="391"/>
      <c r="G716" s="391"/>
      <c r="H716" s="391"/>
      <c r="I716" s="391"/>
      <c r="J716" s="391"/>
      <c r="K716" s="391"/>
      <c r="L716" s="391"/>
      <c r="M716" s="391"/>
      <c r="N716" s="391"/>
      <c r="O716" s="391"/>
      <c r="P716" s="391"/>
      <c r="Q716" s="391"/>
      <c r="R716" s="391"/>
      <c r="S716" s="391"/>
      <c r="T716" s="391"/>
      <c r="U716" s="391"/>
      <c r="V716" s="391"/>
      <c r="W716" s="391"/>
      <c r="X716" s="391"/>
      <c r="Y716" s="391"/>
      <c r="Z716" s="391"/>
      <c r="AA716" s="391"/>
      <c r="AB716" s="391"/>
      <c r="AC716" s="391"/>
      <c r="AD716" s="391"/>
      <c r="AE716" s="391"/>
      <c r="AF716" s="391"/>
      <c r="AG716" s="391"/>
      <c r="AH716" s="392"/>
      <c r="AI716" s="391"/>
      <c r="AJ716" s="391"/>
    </row>
    <row r="717" spans="1:36" ht="13.5" x14ac:dyDescent="0.25">
      <c r="A717" s="391"/>
      <c r="B717" s="391"/>
      <c r="C717" s="391"/>
      <c r="D717" s="391"/>
      <c r="E717" s="391"/>
      <c r="F717" s="391"/>
      <c r="G717" s="391"/>
      <c r="H717" s="391"/>
      <c r="I717" s="391"/>
      <c r="J717" s="391"/>
      <c r="K717" s="391"/>
      <c r="L717" s="391"/>
      <c r="M717" s="391"/>
      <c r="N717" s="391"/>
      <c r="O717" s="391"/>
      <c r="P717" s="391"/>
      <c r="Q717" s="391"/>
      <c r="R717" s="391"/>
      <c r="S717" s="391"/>
      <c r="T717" s="391"/>
      <c r="U717" s="391"/>
      <c r="V717" s="391"/>
      <c r="W717" s="391"/>
      <c r="X717" s="391"/>
      <c r="Y717" s="391"/>
      <c r="Z717" s="391"/>
      <c r="AA717" s="391"/>
      <c r="AB717" s="391"/>
      <c r="AC717" s="391"/>
      <c r="AD717" s="391"/>
      <c r="AE717" s="391"/>
      <c r="AF717" s="391"/>
      <c r="AG717" s="391"/>
      <c r="AH717" s="392"/>
      <c r="AI717" s="391"/>
      <c r="AJ717" s="391"/>
    </row>
    <row r="718" spans="1:36" ht="13.5" x14ac:dyDescent="0.25">
      <c r="A718" s="391"/>
      <c r="B718" s="391"/>
      <c r="C718" s="391"/>
      <c r="D718" s="391"/>
      <c r="E718" s="391"/>
      <c r="F718" s="391"/>
      <c r="G718" s="391"/>
      <c r="H718" s="391"/>
      <c r="I718" s="391"/>
      <c r="J718" s="391"/>
      <c r="K718" s="391"/>
      <c r="L718" s="391"/>
      <c r="M718" s="391"/>
      <c r="N718" s="391"/>
      <c r="O718" s="391"/>
      <c r="P718" s="391"/>
      <c r="Q718" s="391"/>
      <c r="R718" s="391"/>
      <c r="S718" s="391"/>
      <c r="T718" s="391"/>
      <c r="U718" s="391"/>
      <c r="V718" s="391"/>
      <c r="W718" s="391"/>
      <c r="X718" s="391"/>
      <c r="Y718" s="391"/>
      <c r="Z718" s="391"/>
      <c r="AA718" s="391"/>
      <c r="AB718" s="391"/>
      <c r="AC718" s="391"/>
      <c r="AD718" s="391"/>
      <c r="AE718" s="391"/>
      <c r="AF718" s="391"/>
      <c r="AG718" s="391"/>
      <c r="AH718" s="392"/>
      <c r="AI718" s="391"/>
      <c r="AJ718" s="391"/>
    </row>
    <row r="719" spans="1:36" ht="13.5" x14ac:dyDescent="0.25">
      <c r="A719" s="391"/>
      <c r="B719" s="391"/>
      <c r="C719" s="391"/>
      <c r="D719" s="391"/>
      <c r="E719" s="391"/>
      <c r="F719" s="391"/>
      <c r="G719" s="391"/>
      <c r="H719" s="391"/>
      <c r="I719" s="391"/>
      <c r="J719" s="391"/>
      <c r="K719" s="391"/>
      <c r="L719" s="391"/>
      <c r="M719" s="391"/>
      <c r="N719" s="391"/>
      <c r="O719" s="391"/>
      <c r="P719" s="391"/>
      <c r="Q719" s="391"/>
      <c r="R719" s="391"/>
      <c r="S719" s="391"/>
      <c r="T719" s="391"/>
      <c r="U719" s="391"/>
      <c r="V719" s="391"/>
      <c r="W719" s="391"/>
      <c r="X719" s="391"/>
      <c r="Y719" s="391"/>
      <c r="Z719" s="391"/>
      <c r="AA719" s="391"/>
      <c r="AB719" s="391"/>
      <c r="AC719" s="391"/>
      <c r="AD719" s="391"/>
      <c r="AE719" s="391"/>
      <c r="AF719" s="391"/>
      <c r="AG719" s="391"/>
      <c r="AH719" s="392"/>
      <c r="AI719" s="391"/>
      <c r="AJ719" s="391"/>
    </row>
    <row r="720" spans="1:36" ht="13.5" x14ac:dyDescent="0.25">
      <c r="A720" s="391"/>
      <c r="B720" s="391"/>
      <c r="C720" s="391"/>
      <c r="D720" s="391"/>
      <c r="E720" s="391"/>
      <c r="F720" s="391"/>
      <c r="G720" s="391"/>
      <c r="H720" s="391"/>
      <c r="I720" s="391"/>
      <c r="J720" s="391"/>
      <c r="K720" s="391"/>
      <c r="L720" s="391"/>
      <c r="M720" s="391"/>
      <c r="N720" s="391"/>
      <c r="O720" s="391"/>
      <c r="P720" s="391"/>
      <c r="Q720" s="391"/>
      <c r="R720" s="391"/>
      <c r="S720" s="391"/>
      <c r="T720" s="391"/>
      <c r="U720" s="391"/>
      <c r="V720" s="391"/>
      <c r="W720" s="391"/>
      <c r="X720" s="391"/>
      <c r="Y720" s="391"/>
      <c r="Z720" s="391"/>
      <c r="AA720" s="391"/>
      <c r="AB720" s="391"/>
      <c r="AC720" s="391"/>
      <c r="AD720" s="391"/>
      <c r="AE720" s="391"/>
      <c r="AF720" s="391"/>
      <c r="AG720" s="391"/>
      <c r="AH720" s="392"/>
      <c r="AI720" s="391"/>
      <c r="AJ720" s="391"/>
    </row>
    <row r="721" spans="1:36" ht="13.5" x14ac:dyDescent="0.25">
      <c r="A721" s="391"/>
      <c r="B721" s="391"/>
      <c r="C721" s="391"/>
      <c r="D721" s="391"/>
      <c r="E721" s="391"/>
      <c r="F721" s="391"/>
      <c r="G721" s="391"/>
      <c r="H721" s="391"/>
      <c r="I721" s="391"/>
      <c r="J721" s="391"/>
      <c r="K721" s="391"/>
      <c r="L721" s="391"/>
      <c r="M721" s="391"/>
      <c r="N721" s="391"/>
      <c r="O721" s="391"/>
      <c r="P721" s="391"/>
      <c r="Q721" s="391"/>
      <c r="R721" s="391"/>
      <c r="S721" s="391"/>
      <c r="T721" s="391"/>
      <c r="U721" s="391"/>
      <c r="V721" s="391"/>
      <c r="W721" s="391"/>
      <c r="X721" s="391"/>
      <c r="Y721" s="391"/>
      <c r="Z721" s="391"/>
      <c r="AA721" s="391"/>
      <c r="AB721" s="391"/>
      <c r="AC721" s="391"/>
      <c r="AD721" s="391"/>
      <c r="AE721" s="391"/>
      <c r="AF721" s="391"/>
      <c r="AG721" s="391"/>
      <c r="AH721" s="392"/>
      <c r="AI721" s="391"/>
      <c r="AJ721" s="391"/>
    </row>
    <row r="722" spans="1:36" ht="13.5" x14ac:dyDescent="0.25">
      <c r="A722" s="391"/>
      <c r="B722" s="391"/>
      <c r="C722" s="391"/>
      <c r="D722" s="391"/>
      <c r="E722" s="391"/>
      <c r="F722" s="391"/>
      <c r="G722" s="391"/>
      <c r="H722" s="391"/>
      <c r="I722" s="391"/>
      <c r="J722" s="391"/>
      <c r="K722" s="391"/>
      <c r="L722" s="391"/>
      <c r="M722" s="391"/>
      <c r="N722" s="391"/>
      <c r="O722" s="391"/>
      <c r="P722" s="391"/>
      <c r="Q722" s="391"/>
      <c r="R722" s="391"/>
      <c r="S722" s="391"/>
      <c r="T722" s="391"/>
      <c r="U722" s="391"/>
      <c r="V722" s="391"/>
      <c r="W722" s="391"/>
      <c r="X722" s="391"/>
      <c r="Y722" s="391"/>
      <c r="Z722" s="391"/>
      <c r="AA722" s="391"/>
      <c r="AB722" s="391"/>
      <c r="AC722" s="391"/>
      <c r="AD722" s="391"/>
      <c r="AE722" s="391"/>
      <c r="AF722" s="391"/>
      <c r="AG722" s="391"/>
      <c r="AH722" s="392"/>
      <c r="AI722" s="391"/>
      <c r="AJ722" s="391"/>
    </row>
    <row r="723" spans="1:36" ht="13.5" x14ac:dyDescent="0.25">
      <c r="A723" s="391"/>
      <c r="B723" s="391"/>
      <c r="C723" s="391"/>
      <c r="D723" s="391"/>
      <c r="E723" s="391"/>
      <c r="F723" s="391"/>
      <c r="G723" s="391"/>
      <c r="H723" s="391"/>
      <c r="I723" s="391"/>
      <c r="J723" s="391"/>
      <c r="K723" s="391"/>
      <c r="L723" s="391"/>
      <c r="M723" s="391"/>
      <c r="N723" s="391"/>
      <c r="O723" s="391"/>
      <c r="P723" s="391"/>
      <c r="Q723" s="391"/>
      <c r="R723" s="391"/>
      <c r="S723" s="391"/>
      <c r="T723" s="391"/>
      <c r="U723" s="391"/>
      <c r="V723" s="391"/>
      <c r="W723" s="391"/>
      <c r="X723" s="391"/>
      <c r="Y723" s="391"/>
      <c r="Z723" s="391"/>
      <c r="AA723" s="391"/>
      <c r="AB723" s="391"/>
      <c r="AC723" s="391"/>
      <c r="AD723" s="391"/>
      <c r="AE723" s="391"/>
      <c r="AF723" s="391"/>
      <c r="AG723" s="391"/>
      <c r="AH723" s="392"/>
      <c r="AI723" s="391"/>
      <c r="AJ723" s="391"/>
    </row>
    <row r="724" spans="1:36" ht="13.5" x14ac:dyDescent="0.25">
      <c r="A724" s="391"/>
      <c r="B724" s="391"/>
      <c r="C724" s="391"/>
      <c r="D724" s="391"/>
      <c r="E724" s="391"/>
      <c r="F724" s="391"/>
      <c r="G724" s="391"/>
      <c r="H724" s="391"/>
      <c r="I724" s="391"/>
      <c r="J724" s="391"/>
      <c r="K724" s="391"/>
      <c r="L724" s="391"/>
      <c r="M724" s="391"/>
      <c r="N724" s="391"/>
      <c r="O724" s="391"/>
      <c r="P724" s="391"/>
      <c r="Q724" s="391"/>
      <c r="R724" s="391"/>
      <c r="S724" s="391"/>
      <c r="T724" s="391"/>
      <c r="U724" s="391"/>
      <c r="V724" s="391"/>
      <c r="W724" s="391"/>
      <c r="X724" s="391"/>
      <c r="Y724" s="391"/>
      <c r="Z724" s="391"/>
      <c r="AA724" s="391"/>
      <c r="AB724" s="391"/>
      <c r="AC724" s="391"/>
      <c r="AD724" s="391"/>
      <c r="AE724" s="391"/>
      <c r="AF724" s="391"/>
      <c r="AG724" s="391"/>
      <c r="AH724" s="392"/>
      <c r="AI724" s="391"/>
      <c r="AJ724" s="391"/>
    </row>
    <row r="725" spans="1:36" ht="13.5" x14ac:dyDescent="0.25">
      <c r="A725" s="391"/>
      <c r="B725" s="391"/>
      <c r="C725" s="391"/>
      <c r="D725" s="391"/>
      <c r="E725" s="391"/>
      <c r="F725" s="391"/>
      <c r="G725" s="391"/>
      <c r="H725" s="391"/>
      <c r="I725" s="391"/>
      <c r="J725" s="391"/>
      <c r="K725" s="391"/>
      <c r="L725" s="391"/>
      <c r="M725" s="391"/>
      <c r="N725" s="391"/>
      <c r="O725" s="391"/>
      <c r="P725" s="391"/>
      <c r="Q725" s="391"/>
      <c r="R725" s="391"/>
      <c r="S725" s="391"/>
      <c r="T725" s="391"/>
      <c r="U725" s="391"/>
      <c r="V725" s="391"/>
      <c r="W725" s="391"/>
      <c r="X725" s="391"/>
      <c r="Y725" s="391"/>
      <c r="Z725" s="391"/>
      <c r="AA725" s="391"/>
      <c r="AB725" s="391"/>
      <c r="AC725" s="391"/>
      <c r="AD725" s="391"/>
      <c r="AE725" s="391"/>
      <c r="AF725" s="391"/>
      <c r="AG725" s="391"/>
      <c r="AH725" s="392"/>
      <c r="AI725" s="391"/>
      <c r="AJ725" s="391"/>
    </row>
    <row r="726" spans="1:36" ht="13.5" x14ac:dyDescent="0.25">
      <c r="A726" s="391"/>
      <c r="B726" s="391"/>
      <c r="C726" s="391"/>
      <c r="D726" s="391"/>
      <c r="E726" s="391"/>
      <c r="F726" s="391"/>
      <c r="G726" s="391"/>
      <c r="H726" s="391"/>
      <c r="I726" s="391"/>
      <c r="J726" s="391"/>
      <c r="K726" s="391"/>
      <c r="L726" s="391"/>
      <c r="M726" s="391"/>
      <c r="N726" s="391"/>
      <c r="O726" s="391"/>
      <c r="P726" s="391"/>
      <c r="Q726" s="391"/>
      <c r="R726" s="391"/>
      <c r="S726" s="391"/>
      <c r="T726" s="391"/>
      <c r="U726" s="391"/>
      <c r="V726" s="391"/>
      <c r="W726" s="391"/>
      <c r="X726" s="391"/>
      <c r="Y726" s="391"/>
      <c r="Z726" s="391"/>
      <c r="AA726" s="391"/>
      <c r="AB726" s="391"/>
      <c r="AC726" s="391"/>
      <c r="AD726" s="391"/>
      <c r="AE726" s="391"/>
      <c r="AF726" s="391"/>
      <c r="AG726" s="391"/>
      <c r="AH726" s="392"/>
      <c r="AI726" s="391"/>
      <c r="AJ726" s="391"/>
    </row>
    <row r="727" spans="1:36" ht="13.5" x14ac:dyDescent="0.25">
      <c r="A727" s="391"/>
      <c r="B727" s="391"/>
      <c r="C727" s="391"/>
      <c r="D727" s="391"/>
      <c r="E727" s="391"/>
      <c r="F727" s="391"/>
      <c r="G727" s="391"/>
      <c r="H727" s="391"/>
      <c r="I727" s="391"/>
      <c r="J727" s="391"/>
      <c r="K727" s="391"/>
      <c r="L727" s="391"/>
      <c r="M727" s="391"/>
      <c r="N727" s="391"/>
      <c r="O727" s="391"/>
      <c r="P727" s="391"/>
      <c r="Q727" s="391"/>
      <c r="R727" s="391"/>
      <c r="S727" s="391"/>
      <c r="T727" s="391"/>
      <c r="U727" s="391"/>
      <c r="V727" s="391"/>
      <c r="W727" s="391"/>
      <c r="X727" s="391"/>
      <c r="Y727" s="391"/>
      <c r="Z727" s="391"/>
      <c r="AA727" s="391"/>
      <c r="AB727" s="391"/>
      <c r="AC727" s="391"/>
      <c r="AD727" s="391"/>
      <c r="AE727" s="391"/>
      <c r="AF727" s="391"/>
      <c r="AG727" s="391"/>
      <c r="AH727" s="392"/>
      <c r="AI727" s="391"/>
      <c r="AJ727" s="391"/>
    </row>
    <row r="728" spans="1:36" ht="13.5" x14ac:dyDescent="0.25">
      <c r="A728" s="391"/>
      <c r="B728" s="391"/>
      <c r="C728" s="391"/>
      <c r="D728" s="391"/>
      <c r="E728" s="391"/>
      <c r="F728" s="391"/>
      <c r="G728" s="391"/>
      <c r="H728" s="391"/>
      <c r="I728" s="391"/>
      <c r="J728" s="391"/>
      <c r="K728" s="391"/>
      <c r="L728" s="391"/>
      <c r="M728" s="391"/>
      <c r="N728" s="391"/>
      <c r="O728" s="391"/>
      <c r="P728" s="391"/>
      <c r="Q728" s="391"/>
      <c r="R728" s="391"/>
      <c r="S728" s="391"/>
      <c r="T728" s="391"/>
      <c r="U728" s="391"/>
      <c r="V728" s="391"/>
      <c r="W728" s="391"/>
      <c r="X728" s="391"/>
      <c r="Y728" s="391"/>
      <c r="Z728" s="391"/>
      <c r="AA728" s="391"/>
      <c r="AB728" s="391"/>
      <c r="AC728" s="391"/>
      <c r="AD728" s="391"/>
      <c r="AE728" s="391"/>
      <c r="AF728" s="391"/>
      <c r="AG728" s="391"/>
      <c r="AH728" s="392"/>
      <c r="AI728" s="391"/>
      <c r="AJ728" s="391"/>
    </row>
    <row r="729" spans="1:36" ht="13.5" x14ac:dyDescent="0.25">
      <c r="A729" s="391"/>
      <c r="B729" s="391"/>
      <c r="C729" s="391"/>
      <c r="D729" s="391"/>
      <c r="E729" s="391"/>
      <c r="F729" s="391"/>
      <c r="G729" s="391"/>
      <c r="H729" s="391"/>
      <c r="I729" s="391"/>
      <c r="J729" s="391"/>
      <c r="K729" s="391"/>
      <c r="L729" s="391"/>
      <c r="M729" s="391"/>
      <c r="N729" s="391"/>
      <c r="O729" s="391"/>
      <c r="P729" s="391"/>
      <c r="Q729" s="391"/>
      <c r="R729" s="391"/>
      <c r="S729" s="391"/>
      <c r="T729" s="391"/>
      <c r="U729" s="391"/>
      <c r="V729" s="391"/>
      <c r="W729" s="391"/>
      <c r="X729" s="391"/>
      <c r="Y729" s="391"/>
      <c r="Z729" s="391"/>
      <c r="AA729" s="391"/>
      <c r="AB729" s="391"/>
      <c r="AC729" s="391"/>
      <c r="AD729" s="391"/>
      <c r="AE729" s="391"/>
      <c r="AF729" s="391"/>
      <c r="AG729" s="391"/>
      <c r="AH729" s="392"/>
      <c r="AI729" s="391"/>
      <c r="AJ729" s="391"/>
    </row>
    <row r="730" spans="1:36" ht="13.5" x14ac:dyDescent="0.25">
      <c r="A730" s="391"/>
      <c r="B730" s="391"/>
      <c r="C730" s="391"/>
      <c r="D730" s="391"/>
      <c r="E730" s="391"/>
      <c r="F730" s="391"/>
      <c r="G730" s="391"/>
      <c r="H730" s="391"/>
      <c r="I730" s="391"/>
      <c r="J730" s="391"/>
      <c r="K730" s="391"/>
      <c r="L730" s="391"/>
      <c r="M730" s="391"/>
      <c r="N730" s="391"/>
      <c r="O730" s="391"/>
      <c r="P730" s="391"/>
      <c r="Q730" s="391"/>
      <c r="R730" s="391"/>
      <c r="S730" s="391"/>
      <c r="T730" s="391"/>
      <c r="U730" s="391"/>
      <c r="V730" s="391"/>
      <c r="W730" s="391"/>
      <c r="X730" s="391"/>
      <c r="Y730" s="391"/>
      <c r="Z730" s="391"/>
      <c r="AA730" s="391"/>
      <c r="AB730" s="391"/>
      <c r="AC730" s="391"/>
      <c r="AD730" s="391"/>
      <c r="AE730" s="391"/>
      <c r="AF730" s="391"/>
      <c r="AG730" s="391"/>
      <c r="AH730" s="392"/>
      <c r="AI730" s="391"/>
      <c r="AJ730" s="391"/>
    </row>
    <row r="731" spans="1:36" ht="13.5" x14ac:dyDescent="0.25">
      <c r="A731" s="391"/>
      <c r="B731" s="391"/>
      <c r="C731" s="391"/>
      <c r="D731" s="391"/>
      <c r="E731" s="391"/>
      <c r="F731" s="391"/>
      <c r="G731" s="391"/>
      <c r="H731" s="391"/>
      <c r="I731" s="391"/>
      <c r="J731" s="391"/>
      <c r="K731" s="391"/>
      <c r="L731" s="391"/>
      <c r="M731" s="391"/>
      <c r="N731" s="391"/>
      <c r="O731" s="391"/>
      <c r="P731" s="391"/>
      <c r="Q731" s="391"/>
      <c r="R731" s="391"/>
      <c r="S731" s="391"/>
      <c r="T731" s="391"/>
      <c r="U731" s="391"/>
      <c r="V731" s="391"/>
      <c r="W731" s="391"/>
      <c r="X731" s="391"/>
      <c r="Y731" s="391"/>
      <c r="Z731" s="391"/>
      <c r="AA731" s="391"/>
      <c r="AB731" s="391"/>
      <c r="AC731" s="391"/>
      <c r="AD731" s="391"/>
      <c r="AE731" s="391"/>
      <c r="AF731" s="391"/>
      <c r="AG731" s="391"/>
      <c r="AH731" s="392"/>
      <c r="AI731" s="391"/>
      <c r="AJ731" s="391"/>
    </row>
    <row r="732" spans="1:36" ht="13.5" x14ac:dyDescent="0.25">
      <c r="A732" s="391"/>
      <c r="B732" s="391"/>
      <c r="C732" s="391"/>
      <c r="D732" s="391"/>
      <c r="E732" s="391"/>
      <c r="F732" s="391"/>
      <c r="G732" s="391"/>
      <c r="H732" s="391"/>
      <c r="I732" s="391"/>
      <c r="J732" s="391"/>
      <c r="K732" s="391"/>
      <c r="L732" s="391"/>
      <c r="M732" s="391"/>
      <c r="N732" s="391"/>
      <c r="O732" s="391"/>
      <c r="P732" s="391"/>
      <c r="Q732" s="391"/>
      <c r="R732" s="391"/>
      <c r="S732" s="391"/>
      <c r="T732" s="391"/>
      <c r="U732" s="391"/>
      <c r="V732" s="391"/>
      <c r="W732" s="391"/>
      <c r="X732" s="391"/>
      <c r="Y732" s="391"/>
      <c r="Z732" s="391"/>
      <c r="AA732" s="391"/>
      <c r="AB732" s="391"/>
      <c r="AC732" s="391"/>
      <c r="AD732" s="391"/>
      <c r="AE732" s="391"/>
      <c r="AF732" s="391"/>
      <c r="AG732" s="391"/>
      <c r="AH732" s="392"/>
      <c r="AI732" s="391"/>
      <c r="AJ732" s="391"/>
    </row>
    <row r="733" spans="1:36" ht="13.5" x14ac:dyDescent="0.25">
      <c r="A733" s="391"/>
      <c r="B733" s="391"/>
      <c r="C733" s="391"/>
      <c r="D733" s="391"/>
      <c r="E733" s="391"/>
      <c r="F733" s="391"/>
      <c r="G733" s="391"/>
      <c r="H733" s="391"/>
      <c r="I733" s="391"/>
      <c r="J733" s="391"/>
      <c r="K733" s="391"/>
      <c r="L733" s="391"/>
      <c r="M733" s="391"/>
      <c r="N733" s="391"/>
      <c r="O733" s="391"/>
      <c r="P733" s="391"/>
      <c r="Q733" s="391"/>
      <c r="R733" s="391"/>
      <c r="S733" s="391"/>
      <c r="T733" s="391"/>
      <c r="U733" s="391"/>
      <c r="V733" s="391"/>
      <c r="W733" s="391"/>
      <c r="X733" s="391"/>
      <c r="Y733" s="391"/>
      <c r="Z733" s="391"/>
      <c r="AA733" s="391"/>
      <c r="AB733" s="391"/>
      <c r="AC733" s="391"/>
      <c r="AD733" s="391"/>
      <c r="AE733" s="391"/>
      <c r="AF733" s="391"/>
      <c r="AG733" s="391"/>
      <c r="AH733" s="392"/>
      <c r="AI733" s="391"/>
      <c r="AJ733" s="391"/>
    </row>
    <row r="734" spans="1:36" ht="13.5" x14ac:dyDescent="0.25">
      <c r="A734" s="391"/>
      <c r="B734" s="391"/>
      <c r="C734" s="391"/>
      <c r="D734" s="391"/>
      <c r="E734" s="391"/>
      <c r="F734" s="391"/>
      <c r="G734" s="391"/>
      <c r="H734" s="391"/>
      <c r="I734" s="391"/>
      <c r="J734" s="391"/>
      <c r="K734" s="391"/>
      <c r="L734" s="391"/>
      <c r="M734" s="391"/>
      <c r="N734" s="391"/>
      <c r="O734" s="391"/>
      <c r="P734" s="391"/>
      <c r="Q734" s="391"/>
      <c r="R734" s="391"/>
      <c r="S734" s="391"/>
      <c r="T734" s="391"/>
      <c r="U734" s="391"/>
      <c r="V734" s="391"/>
      <c r="W734" s="391"/>
      <c r="X734" s="391"/>
      <c r="Y734" s="391"/>
      <c r="Z734" s="391"/>
      <c r="AA734" s="391"/>
      <c r="AB734" s="391"/>
      <c r="AC734" s="391"/>
      <c r="AD734" s="391"/>
      <c r="AE734" s="391"/>
      <c r="AF734" s="391"/>
      <c r="AG734" s="391"/>
      <c r="AH734" s="392"/>
      <c r="AI734" s="391"/>
      <c r="AJ734" s="391"/>
    </row>
    <row r="735" spans="1:36" ht="13.5" x14ac:dyDescent="0.25">
      <c r="A735" s="391"/>
      <c r="B735" s="391"/>
      <c r="C735" s="391"/>
      <c r="D735" s="391"/>
      <c r="E735" s="391"/>
      <c r="F735" s="391"/>
      <c r="G735" s="391"/>
      <c r="H735" s="391"/>
      <c r="I735" s="391"/>
      <c r="J735" s="391"/>
      <c r="K735" s="391"/>
      <c r="L735" s="391"/>
      <c r="M735" s="391"/>
      <c r="N735" s="391"/>
      <c r="O735" s="391"/>
      <c r="P735" s="391"/>
      <c r="Q735" s="391"/>
      <c r="R735" s="391"/>
      <c r="S735" s="391"/>
      <c r="T735" s="391"/>
      <c r="U735" s="391"/>
      <c r="V735" s="391"/>
      <c r="W735" s="391"/>
      <c r="X735" s="391"/>
      <c r="Y735" s="391"/>
      <c r="Z735" s="391"/>
      <c r="AA735" s="391"/>
      <c r="AB735" s="391"/>
      <c r="AC735" s="391"/>
      <c r="AD735" s="391"/>
      <c r="AE735" s="391"/>
      <c r="AF735" s="391"/>
      <c r="AG735" s="391"/>
      <c r="AH735" s="392"/>
      <c r="AI735" s="391"/>
      <c r="AJ735" s="391"/>
    </row>
    <row r="736" spans="1:36" ht="13.5" x14ac:dyDescent="0.25">
      <c r="A736" s="391"/>
      <c r="B736" s="391"/>
      <c r="C736" s="391"/>
      <c r="D736" s="391"/>
      <c r="E736" s="391"/>
      <c r="F736" s="391"/>
      <c r="G736" s="391"/>
      <c r="H736" s="391"/>
      <c r="I736" s="391"/>
      <c r="J736" s="391"/>
      <c r="K736" s="391"/>
      <c r="L736" s="391"/>
      <c r="M736" s="391"/>
      <c r="N736" s="391"/>
      <c r="O736" s="391"/>
      <c r="P736" s="391"/>
      <c r="Q736" s="391"/>
      <c r="R736" s="391"/>
      <c r="S736" s="391"/>
      <c r="T736" s="391"/>
      <c r="U736" s="391"/>
      <c r="V736" s="391"/>
      <c r="W736" s="391"/>
      <c r="X736" s="391"/>
      <c r="Y736" s="391"/>
      <c r="Z736" s="391"/>
      <c r="AA736" s="391"/>
      <c r="AB736" s="391"/>
      <c r="AC736" s="391"/>
      <c r="AD736" s="391"/>
      <c r="AE736" s="391"/>
      <c r="AF736" s="391"/>
      <c r="AG736" s="391"/>
      <c r="AH736" s="392"/>
      <c r="AI736" s="391"/>
      <c r="AJ736" s="391"/>
    </row>
    <row r="737" spans="1:36" ht="13.5" x14ac:dyDescent="0.25">
      <c r="A737" s="391"/>
      <c r="B737" s="391"/>
      <c r="C737" s="391"/>
      <c r="D737" s="391"/>
      <c r="E737" s="391"/>
      <c r="F737" s="391"/>
      <c r="G737" s="391"/>
      <c r="H737" s="391"/>
      <c r="I737" s="391"/>
      <c r="J737" s="391"/>
      <c r="K737" s="391"/>
      <c r="L737" s="391"/>
      <c r="M737" s="391"/>
      <c r="N737" s="391"/>
      <c r="O737" s="391"/>
      <c r="P737" s="391"/>
      <c r="Q737" s="391"/>
      <c r="R737" s="391"/>
      <c r="S737" s="391"/>
      <c r="T737" s="391"/>
      <c r="U737" s="391"/>
      <c r="V737" s="391"/>
      <c r="W737" s="391"/>
      <c r="X737" s="391"/>
      <c r="Y737" s="391"/>
      <c r="Z737" s="391"/>
      <c r="AA737" s="391"/>
      <c r="AB737" s="391"/>
      <c r="AC737" s="391"/>
      <c r="AD737" s="391"/>
      <c r="AE737" s="391"/>
      <c r="AF737" s="391"/>
      <c r="AG737" s="391"/>
      <c r="AH737" s="392"/>
      <c r="AI737" s="391"/>
      <c r="AJ737" s="391"/>
    </row>
    <row r="738" spans="1:36" ht="13.5" x14ac:dyDescent="0.25">
      <c r="A738" s="391"/>
      <c r="B738" s="391"/>
      <c r="C738" s="391"/>
      <c r="D738" s="391"/>
      <c r="E738" s="391"/>
      <c r="F738" s="391"/>
      <c r="G738" s="391"/>
      <c r="H738" s="391"/>
      <c r="I738" s="391"/>
      <c r="J738" s="391"/>
      <c r="K738" s="391"/>
      <c r="L738" s="391"/>
      <c r="M738" s="391"/>
      <c r="N738" s="391"/>
      <c r="O738" s="391"/>
      <c r="P738" s="391"/>
      <c r="Q738" s="391"/>
      <c r="R738" s="391"/>
      <c r="S738" s="391"/>
      <c r="T738" s="391"/>
      <c r="U738" s="391"/>
      <c r="V738" s="391"/>
      <c r="W738" s="391"/>
      <c r="X738" s="391"/>
      <c r="Y738" s="391"/>
      <c r="Z738" s="391"/>
      <c r="AA738" s="391"/>
      <c r="AB738" s="391"/>
      <c r="AC738" s="391"/>
      <c r="AD738" s="391"/>
      <c r="AE738" s="391"/>
      <c r="AF738" s="391"/>
      <c r="AG738" s="391"/>
      <c r="AH738" s="392"/>
      <c r="AI738" s="391"/>
      <c r="AJ738" s="391"/>
    </row>
    <row r="739" spans="1:36" ht="13.5" x14ac:dyDescent="0.25">
      <c r="A739" s="391"/>
      <c r="B739" s="391"/>
      <c r="C739" s="391"/>
      <c r="D739" s="391"/>
      <c r="E739" s="391"/>
      <c r="F739" s="391"/>
      <c r="G739" s="391"/>
      <c r="H739" s="391"/>
      <c r="I739" s="391"/>
      <c r="J739" s="391"/>
      <c r="K739" s="391"/>
      <c r="L739" s="391"/>
      <c r="M739" s="391"/>
      <c r="N739" s="391"/>
      <c r="O739" s="391"/>
      <c r="P739" s="391"/>
      <c r="Q739" s="391"/>
      <c r="R739" s="391"/>
      <c r="S739" s="391"/>
      <c r="T739" s="391"/>
      <c r="U739" s="391"/>
      <c r="V739" s="391"/>
      <c r="W739" s="391"/>
      <c r="X739" s="391"/>
      <c r="Y739" s="391"/>
      <c r="Z739" s="391"/>
      <c r="AA739" s="391"/>
      <c r="AB739" s="391"/>
      <c r="AC739" s="391"/>
      <c r="AD739" s="391"/>
      <c r="AE739" s="391"/>
      <c r="AF739" s="391"/>
      <c r="AG739" s="391"/>
      <c r="AH739" s="392"/>
      <c r="AI739" s="391"/>
      <c r="AJ739" s="391"/>
    </row>
    <row r="740" spans="1:36" ht="13.5" x14ac:dyDescent="0.25">
      <c r="A740" s="391"/>
      <c r="B740" s="391"/>
      <c r="C740" s="391"/>
      <c r="D740" s="391"/>
      <c r="E740" s="391"/>
      <c r="F740" s="391"/>
      <c r="G740" s="391"/>
      <c r="H740" s="391"/>
      <c r="I740" s="391"/>
      <c r="J740" s="391"/>
      <c r="K740" s="391"/>
      <c r="L740" s="391"/>
      <c r="M740" s="391"/>
      <c r="N740" s="391"/>
      <c r="O740" s="391"/>
      <c r="P740" s="391"/>
      <c r="Q740" s="391"/>
      <c r="R740" s="391"/>
      <c r="S740" s="391"/>
      <c r="T740" s="391"/>
      <c r="U740" s="391"/>
      <c r="V740" s="391"/>
      <c r="W740" s="391"/>
      <c r="X740" s="391"/>
      <c r="Y740" s="391"/>
      <c r="Z740" s="391"/>
      <c r="AA740" s="391"/>
      <c r="AB740" s="391"/>
      <c r="AC740" s="391"/>
      <c r="AD740" s="391"/>
      <c r="AE740" s="391"/>
      <c r="AF740" s="391"/>
      <c r="AG740" s="391"/>
      <c r="AH740" s="392"/>
      <c r="AI740" s="391"/>
      <c r="AJ740" s="391"/>
    </row>
    <row r="741" spans="1:36" ht="13.5" x14ac:dyDescent="0.25">
      <c r="A741" s="391"/>
      <c r="B741" s="391"/>
      <c r="C741" s="391"/>
      <c r="D741" s="391"/>
      <c r="E741" s="391"/>
      <c r="F741" s="391"/>
      <c r="G741" s="391"/>
      <c r="H741" s="391"/>
      <c r="I741" s="391"/>
      <c r="J741" s="391"/>
      <c r="K741" s="391"/>
      <c r="L741" s="391"/>
      <c r="M741" s="391"/>
      <c r="N741" s="391"/>
      <c r="O741" s="391"/>
      <c r="P741" s="391"/>
      <c r="Q741" s="391"/>
      <c r="R741" s="391"/>
      <c r="S741" s="391"/>
      <c r="T741" s="391"/>
      <c r="U741" s="391"/>
      <c r="V741" s="391"/>
      <c r="W741" s="391"/>
      <c r="X741" s="391"/>
      <c r="Y741" s="391"/>
      <c r="Z741" s="391"/>
      <c r="AA741" s="391"/>
      <c r="AB741" s="391"/>
      <c r="AC741" s="391"/>
      <c r="AD741" s="391"/>
      <c r="AE741" s="391"/>
      <c r="AF741" s="391"/>
      <c r="AG741" s="391"/>
      <c r="AH741" s="392"/>
      <c r="AI741" s="391"/>
      <c r="AJ741" s="391"/>
    </row>
    <row r="742" spans="1:36" ht="13.5" x14ac:dyDescent="0.25">
      <c r="A742" s="391"/>
      <c r="B742" s="391"/>
      <c r="C742" s="391"/>
      <c r="D742" s="391"/>
      <c r="E742" s="391"/>
      <c r="F742" s="391"/>
      <c r="G742" s="391"/>
      <c r="H742" s="391"/>
      <c r="I742" s="391"/>
      <c r="J742" s="391"/>
      <c r="K742" s="391"/>
      <c r="L742" s="391"/>
      <c r="M742" s="391"/>
      <c r="N742" s="391"/>
      <c r="O742" s="391"/>
      <c r="P742" s="391"/>
      <c r="Q742" s="391"/>
      <c r="R742" s="391"/>
      <c r="S742" s="391"/>
      <c r="T742" s="391"/>
      <c r="U742" s="391"/>
      <c r="V742" s="391"/>
      <c r="W742" s="391"/>
      <c r="X742" s="391"/>
      <c r="Y742" s="391"/>
      <c r="Z742" s="391"/>
      <c r="AA742" s="391"/>
      <c r="AB742" s="391"/>
      <c r="AC742" s="391"/>
      <c r="AD742" s="391"/>
      <c r="AE742" s="391"/>
      <c r="AF742" s="391"/>
      <c r="AG742" s="391"/>
      <c r="AH742" s="392"/>
      <c r="AI742" s="391"/>
      <c r="AJ742" s="391"/>
    </row>
    <row r="743" spans="1:36" ht="13.5" x14ac:dyDescent="0.25">
      <c r="A743" s="391"/>
      <c r="B743" s="391"/>
      <c r="C743" s="391"/>
      <c r="D743" s="391"/>
      <c r="E743" s="391"/>
      <c r="F743" s="391"/>
      <c r="G743" s="391"/>
      <c r="H743" s="391"/>
      <c r="I743" s="391"/>
      <c r="J743" s="391"/>
      <c r="K743" s="391"/>
      <c r="L743" s="391"/>
      <c r="M743" s="391"/>
      <c r="N743" s="391"/>
      <c r="O743" s="391"/>
      <c r="P743" s="391"/>
      <c r="Q743" s="391"/>
      <c r="R743" s="391"/>
      <c r="S743" s="391"/>
      <c r="T743" s="391"/>
      <c r="U743" s="391"/>
      <c r="V743" s="391"/>
      <c r="W743" s="391"/>
      <c r="X743" s="391"/>
      <c r="Y743" s="391"/>
      <c r="Z743" s="391"/>
      <c r="AA743" s="391"/>
      <c r="AB743" s="391"/>
      <c r="AC743" s="391"/>
      <c r="AD743" s="391"/>
      <c r="AE743" s="391"/>
      <c r="AF743" s="391"/>
      <c r="AG743" s="391"/>
      <c r="AH743" s="392"/>
      <c r="AI743" s="391"/>
      <c r="AJ743" s="391"/>
    </row>
    <row r="744" spans="1:36" ht="13.5" x14ac:dyDescent="0.25">
      <c r="A744" s="391"/>
      <c r="B744" s="391"/>
      <c r="C744" s="391"/>
      <c r="D744" s="391"/>
      <c r="E744" s="391"/>
      <c r="F744" s="391"/>
      <c r="G744" s="391"/>
      <c r="H744" s="391"/>
      <c r="I744" s="391"/>
      <c r="J744" s="391"/>
      <c r="K744" s="391"/>
      <c r="L744" s="391"/>
      <c r="M744" s="391"/>
      <c r="N744" s="391"/>
      <c r="O744" s="391"/>
      <c r="P744" s="391"/>
      <c r="Q744" s="391"/>
      <c r="R744" s="391"/>
      <c r="S744" s="391"/>
      <c r="T744" s="391"/>
      <c r="U744" s="391"/>
      <c r="V744" s="391"/>
      <c r="W744" s="391"/>
      <c r="X744" s="391"/>
      <c r="Y744" s="391"/>
      <c r="Z744" s="391"/>
      <c r="AA744" s="391"/>
      <c r="AB744" s="391"/>
      <c r="AC744" s="391"/>
      <c r="AD744" s="391"/>
      <c r="AE744" s="391"/>
      <c r="AF744" s="391"/>
      <c r="AG744" s="391"/>
      <c r="AH744" s="392"/>
      <c r="AI744" s="391"/>
      <c r="AJ744" s="391"/>
    </row>
    <row r="745" spans="1:36" ht="13.5" x14ac:dyDescent="0.25">
      <c r="A745" s="391"/>
      <c r="B745" s="391"/>
      <c r="C745" s="391"/>
      <c r="D745" s="391"/>
      <c r="E745" s="391"/>
      <c r="F745" s="391"/>
      <c r="G745" s="391"/>
      <c r="H745" s="391"/>
      <c r="I745" s="391"/>
      <c r="J745" s="391"/>
      <c r="K745" s="391"/>
      <c r="L745" s="391"/>
      <c r="M745" s="391"/>
      <c r="N745" s="391"/>
      <c r="O745" s="391"/>
      <c r="P745" s="391"/>
      <c r="Q745" s="391"/>
      <c r="R745" s="391"/>
      <c r="S745" s="391"/>
      <c r="T745" s="391"/>
      <c r="U745" s="391"/>
      <c r="V745" s="391"/>
      <c r="W745" s="391"/>
      <c r="X745" s="391"/>
      <c r="Y745" s="391"/>
      <c r="Z745" s="391"/>
      <c r="AA745" s="391"/>
      <c r="AB745" s="391"/>
      <c r="AC745" s="391"/>
      <c r="AD745" s="391"/>
      <c r="AE745" s="391"/>
      <c r="AF745" s="391"/>
      <c r="AG745" s="391"/>
      <c r="AH745" s="392"/>
      <c r="AI745" s="391"/>
      <c r="AJ745" s="391"/>
    </row>
    <row r="746" spans="1:36" ht="13.5" x14ac:dyDescent="0.25">
      <c r="A746" s="391"/>
      <c r="B746" s="391"/>
      <c r="C746" s="391"/>
      <c r="D746" s="391"/>
      <c r="E746" s="391"/>
      <c r="F746" s="391"/>
      <c r="G746" s="391"/>
      <c r="H746" s="391"/>
      <c r="I746" s="391"/>
      <c r="J746" s="391"/>
      <c r="K746" s="391"/>
      <c r="L746" s="391"/>
      <c r="M746" s="391"/>
      <c r="N746" s="391"/>
      <c r="O746" s="391"/>
      <c r="P746" s="391"/>
      <c r="Q746" s="391"/>
      <c r="R746" s="391"/>
      <c r="S746" s="391"/>
      <c r="T746" s="391"/>
      <c r="U746" s="391"/>
      <c r="V746" s="391"/>
      <c r="W746" s="391"/>
      <c r="X746" s="391"/>
      <c r="Y746" s="391"/>
      <c r="Z746" s="391"/>
      <c r="AA746" s="391"/>
      <c r="AB746" s="391"/>
      <c r="AC746" s="391"/>
      <c r="AD746" s="391"/>
      <c r="AE746" s="391"/>
      <c r="AF746" s="391"/>
      <c r="AG746" s="391"/>
      <c r="AH746" s="392"/>
      <c r="AI746" s="391"/>
      <c r="AJ746" s="391"/>
    </row>
    <row r="747" spans="1:36" ht="13.5" x14ac:dyDescent="0.25">
      <c r="A747" s="391"/>
      <c r="B747" s="391"/>
      <c r="C747" s="391"/>
      <c r="D747" s="391"/>
      <c r="E747" s="391"/>
      <c r="F747" s="391"/>
      <c r="G747" s="391"/>
      <c r="H747" s="391"/>
      <c r="I747" s="391"/>
      <c r="J747" s="391"/>
      <c r="K747" s="391"/>
      <c r="L747" s="391"/>
      <c r="M747" s="391"/>
      <c r="N747" s="391"/>
      <c r="O747" s="391"/>
      <c r="P747" s="391"/>
      <c r="Q747" s="391"/>
      <c r="R747" s="391"/>
      <c r="S747" s="391"/>
      <c r="T747" s="391"/>
      <c r="U747" s="391"/>
      <c r="V747" s="391"/>
      <c r="W747" s="391"/>
      <c r="X747" s="391"/>
      <c r="Y747" s="391"/>
      <c r="Z747" s="391"/>
      <c r="AA747" s="391"/>
      <c r="AB747" s="391"/>
      <c r="AC747" s="391"/>
      <c r="AD747" s="391"/>
      <c r="AE747" s="391"/>
      <c r="AF747" s="391"/>
      <c r="AG747" s="391"/>
      <c r="AH747" s="392"/>
      <c r="AI747" s="391"/>
      <c r="AJ747" s="391"/>
    </row>
    <row r="748" spans="1:36" ht="13.5" x14ac:dyDescent="0.25">
      <c r="A748" s="391"/>
      <c r="B748" s="391"/>
      <c r="C748" s="391"/>
      <c r="D748" s="391"/>
      <c r="E748" s="391"/>
      <c r="F748" s="391"/>
      <c r="G748" s="391"/>
      <c r="H748" s="391"/>
      <c r="I748" s="391"/>
      <c r="J748" s="391"/>
      <c r="K748" s="391"/>
      <c r="L748" s="391"/>
      <c r="M748" s="391"/>
      <c r="N748" s="391"/>
      <c r="O748" s="391"/>
      <c r="P748" s="391"/>
      <c r="Q748" s="391"/>
      <c r="R748" s="391"/>
      <c r="S748" s="391"/>
      <c r="T748" s="391"/>
      <c r="U748" s="391"/>
      <c r="V748" s="391"/>
      <c r="W748" s="391"/>
      <c r="X748" s="391"/>
      <c r="Y748" s="391"/>
      <c r="Z748" s="391"/>
      <c r="AA748" s="391"/>
      <c r="AB748" s="391"/>
      <c r="AC748" s="391"/>
      <c r="AD748" s="391"/>
      <c r="AE748" s="391"/>
      <c r="AF748" s="391"/>
      <c r="AG748" s="391"/>
      <c r="AH748" s="392"/>
      <c r="AI748" s="391"/>
      <c r="AJ748" s="391"/>
    </row>
    <row r="749" spans="1:36" ht="13.5" x14ac:dyDescent="0.25">
      <c r="A749" s="391"/>
      <c r="B749" s="391"/>
      <c r="C749" s="391"/>
      <c r="D749" s="391"/>
      <c r="E749" s="391"/>
      <c r="F749" s="391"/>
      <c r="G749" s="391"/>
      <c r="H749" s="391"/>
      <c r="I749" s="391"/>
      <c r="J749" s="391"/>
      <c r="K749" s="391"/>
      <c r="L749" s="391"/>
      <c r="M749" s="391"/>
      <c r="N749" s="391"/>
      <c r="O749" s="391"/>
      <c r="P749" s="391"/>
      <c r="Q749" s="391"/>
      <c r="R749" s="391"/>
      <c r="S749" s="391"/>
      <c r="T749" s="391"/>
      <c r="U749" s="391"/>
      <c r="V749" s="391"/>
      <c r="W749" s="391"/>
      <c r="X749" s="391"/>
      <c r="Y749" s="391"/>
      <c r="Z749" s="391"/>
      <c r="AA749" s="391"/>
      <c r="AB749" s="391"/>
      <c r="AC749" s="391"/>
      <c r="AD749" s="391"/>
      <c r="AE749" s="391"/>
      <c r="AF749" s="391"/>
      <c r="AG749" s="391"/>
      <c r="AH749" s="392"/>
      <c r="AI749" s="391"/>
      <c r="AJ749" s="391"/>
    </row>
    <row r="750" spans="1:36" ht="13.5" x14ac:dyDescent="0.25">
      <c r="A750" s="391"/>
      <c r="B750" s="391"/>
      <c r="C750" s="391"/>
      <c r="D750" s="391"/>
      <c r="E750" s="391"/>
      <c r="F750" s="391"/>
      <c r="G750" s="391"/>
      <c r="H750" s="391"/>
      <c r="I750" s="391"/>
      <c r="J750" s="391"/>
      <c r="K750" s="391"/>
      <c r="L750" s="391"/>
      <c r="M750" s="391"/>
      <c r="N750" s="391"/>
      <c r="O750" s="391"/>
      <c r="P750" s="391"/>
      <c r="Q750" s="391"/>
      <c r="R750" s="391"/>
      <c r="S750" s="391"/>
      <c r="T750" s="391"/>
      <c r="U750" s="391"/>
      <c r="V750" s="391"/>
      <c r="W750" s="391"/>
      <c r="X750" s="391"/>
      <c r="Y750" s="391"/>
      <c r="Z750" s="391"/>
      <c r="AA750" s="391"/>
      <c r="AB750" s="391"/>
      <c r="AC750" s="391"/>
      <c r="AD750" s="391"/>
      <c r="AE750" s="391"/>
      <c r="AF750" s="391"/>
      <c r="AG750" s="391"/>
      <c r="AH750" s="392"/>
      <c r="AI750" s="391"/>
      <c r="AJ750" s="391"/>
    </row>
    <row r="751" spans="1:36" ht="13.5" x14ac:dyDescent="0.25">
      <c r="A751" s="391"/>
      <c r="B751" s="391"/>
      <c r="C751" s="391"/>
      <c r="D751" s="391"/>
      <c r="E751" s="391"/>
      <c r="F751" s="391"/>
      <c r="G751" s="391"/>
      <c r="H751" s="391"/>
      <c r="I751" s="391"/>
      <c r="J751" s="391"/>
      <c r="K751" s="391"/>
      <c r="L751" s="391"/>
      <c r="M751" s="391"/>
      <c r="N751" s="391"/>
      <c r="O751" s="391"/>
      <c r="P751" s="391"/>
      <c r="Q751" s="391"/>
      <c r="R751" s="391"/>
      <c r="S751" s="391"/>
      <c r="T751" s="391"/>
      <c r="U751" s="391"/>
      <c r="V751" s="391"/>
      <c r="W751" s="391"/>
      <c r="X751" s="391"/>
      <c r="Y751" s="391"/>
      <c r="Z751" s="391"/>
      <c r="AA751" s="391"/>
      <c r="AB751" s="391"/>
      <c r="AC751" s="391"/>
      <c r="AD751" s="391"/>
      <c r="AE751" s="391"/>
      <c r="AF751" s="391"/>
      <c r="AG751" s="391"/>
      <c r="AH751" s="392"/>
      <c r="AI751" s="391"/>
      <c r="AJ751" s="391"/>
    </row>
    <row r="752" spans="1:36" ht="13.5" x14ac:dyDescent="0.25">
      <c r="A752" s="391"/>
      <c r="B752" s="391"/>
      <c r="C752" s="391"/>
      <c r="D752" s="391"/>
      <c r="E752" s="391"/>
      <c r="F752" s="391"/>
      <c r="G752" s="391"/>
      <c r="H752" s="391"/>
      <c r="I752" s="391"/>
      <c r="J752" s="391"/>
      <c r="K752" s="391"/>
      <c r="L752" s="391"/>
      <c r="M752" s="391"/>
      <c r="N752" s="391"/>
      <c r="O752" s="391"/>
      <c r="P752" s="391"/>
      <c r="Q752" s="391"/>
      <c r="R752" s="391"/>
      <c r="S752" s="391"/>
      <c r="T752" s="391"/>
      <c r="U752" s="391"/>
      <c r="V752" s="391"/>
      <c r="W752" s="391"/>
      <c r="X752" s="391"/>
      <c r="Y752" s="391"/>
      <c r="Z752" s="391"/>
      <c r="AA752" s="391"/>
      <c r="AB752" s="391"/>
      <c r="AC752" s="391"/>
      <c r="AD752" s="391"/>
      <c r="AE752" s="391"/>
      <c r="AF752" s="391"/>
      <c r="AG752" s="391"/>
      <c r="AH752" s="392"/>
      <c r="AI752" s="391"/>
      <c r="AJ752" s="391"/>
    </row>
    <row r="753" spans="1:36" ht="13.5" x14ac:dyDescent="0.25">
      <c r="A753" s="391"/>
      <c r="B753" s="391"/>
      <c r="C753" s="391"/>
      <c r="D753" s="391"/>
      <c r="E753" s="391"/>
      <c r="F753" s="391"/>
      <c r="G753" s="391"/>
      <c r="H753" s="391"/>
      <c r="I753" s="391"/>
      <c r="J753" s="391"/>
      <c r="K753" s="391"/>
      <c r="L753" s="391"/>
      <c r="M753" s="391"/>
      <c r="N753" s="391"/>
      <c r="O753" s="391"/>
      <c r="P753" s="391"/>
      <c r="Q753" s="391"/>
      <c r="R753" s="391"/>
      <c r="S753" s="391"/>
      <c r="T753" s="391"/>
      <c r="U753" s="391"/>
      <c r="V753" s="391"/>
      <c r="W753" s="391"/>
      <c r="X753" s="391"/>
      <c r="Y753" s="391"/>
      <c r="Z753" s="391"/>
      <c r="AA753" s="391"/>
      <c r="AB753" s="391"/>
      <c r="AC753" s="391"/>
      <c r="AD753" s="391"/>
      <c r="AE753" s="391"/>
      <c r="AF753" s="391"/>
      <c r="AG753" s="391"/>
      <c r="AH753" s="392"/>
      <c r="AI753" s="391"/>
      <c r="AJ753" s="391"/>
    </row>
    <row r="754" spans="1:36" ht="13.5" x14ac:dyDescent="0.25">
      <c r="A754" s="391"/>
      <c r="B754" s="391"/>
      <c r="C754" s="391"/>
      <c r="D754" s="391"/>
      <c r="E754" s="391"/>
      <c r="F754" s="391"/>
      <c r="G754" s="391"/>
      <c r="H754" s="391"/>
      <c r="I754" s="391"/>
      <c r="J754" s="391"/>
      <c r="K754" s="391"/>
      <c r="L754" s="391"/>
      <c r="M754" s="391"/>
      <c r="N754" s="391"/>
      <c r="O754" s="391"/>
      <c r="P754" s="391"/>
      <c r="Q754" s="391"/>
      <c r="R754" s="391"/>
      <c r="S754" s="391"/>
      <c r="T754" s="391"/>
      <c r="U754" s="391"/>
      <c r="V754" s="391"/>
      <c r="W754" s="391"/>
      <c r="X754" s="391"/>
      <c r="Y754" s="391"/>
      <c r="Z754" s="391"/>
      <c r="AA754" s="391"/>
      <c r="AB754" s="391"/>
      <c r="AC754" s="391"/>
      <c r="AD754" s="391"/>
      <c r="AE754" s="391"/>
      <c r="AF754" s="391"/>
      <c r="AG754" s="391"/>
      <c r="AH754" s="392"/>
      <c r="AI754" s="391"/>
      <c r="AJ754" s="391"/>
    </row>
    <row r="755" spans="1:36" ht="13.5" x14ac:dyDescent="0.25">
      <c r="A755" s="391"/>
      <c r="B755" s="391"/>
      <c r="C755" s="391"/>
      <c r="D755" s="391"/>
      <c r="E755" s="391"/>
      <c r="F755" s="391"/>
      <c r="G755" s="391"/>
      <c r="H755" s="391"/>
      <c r="I755" s="391"/>
      <c r="J755" s="391"/>
      <c r="K755" s="391"/>
      <c r="L755" s="391"/>
      <c r="M755" s="391"/>
      <c r="N755" s="391"/>
      <c r="O755" s="391"/>
      <c r="P755" s="391"/>
      <c r="Q755" s="391"/>
      <c r="R755" s="391"/>
      <c r="S755" s="391"/>
      <c r="T755" s="391"/>
      <c r="U755" s="391"/>
      <c r="V755" s="391"/>
      <c r="W755" s="391"/>
      <c r="X755" s="391"/>
      <c r="Y755" s="391"/>
      <c r="Z755" s="391"/>
      <c r="AA755" s="391"/>
      <c r="AB755" s="391"/>
      <c r="AC755" s="391"/>
      <c r="AD755" s="391"/>
      <c r="AE755" s="391"/>
      <c r="AF755" s="391"/>
      <c r="AG755" s="391"/>
      <c r="AH755" s="392"/>
      <c r="AI755" s="391"/>
      <c r="AJ755" s="391"/>
    </row>
    <row r="756" spans="1:36" ht="13.5" x14ac:dyDescent="0.25">
      <c r="A756" s="391"/>
      <c r="B756" s="391"/>
      <c r="C756" s="391"/>
      <c r="D756" s="391"/>
      <c r="E756" s="391"/>
      <c r="F756" s="391"/>
      <c r="G756" s="391"/>
      <c r="H756" s="391"/>
      <c r="I756" s="391"/>
      <c r="J756" s="391"/>
      <c r="K756" s="391"/>
      <c r="L756" s="391"/>
      <c r="M756" s="391"/>
      <c r="N756" s="391"/>
      <c r="O756" s="391"/>
      <c r="P756" s="391"/>
      <c r="Q756" s="391"/>
      <c r="R756" s="391"/>
      <c r="S756" s="391"/>
      <c r="T756" s="391"/>
      <c r="U756" s="391"/>
      <c r="V756" s="391"/>
      <c r="W756" s="391"/>
      <c r="X756" s="391"/>
      <c r="Y756" s="391"/>
      <c r="Z756" s="391"/>
      <c r="AA756" s="391"/>
      <c r="AB756" s="391"/>
      <c r="AC756" s="391"/>
      <c r="AD756" s="391"/>
      <c r="AE756" s="391"/>
      <c r="AF756" s="391"/>
      <c r="AG756" s="391"/>
      <c r="AH756" s="392"/>
      <c r="AI756" s="391"/>
      <c r="AJ756" s="391"/>
    </row>
    <row r="757" spans="1:36" ht="13.5" x14ac:dyDescent="0.25">
      <c r="A757" s="391"/>
      <c r="B757" s="391"/>
      <c r="C757" s="391"/>
      <c r="D757" s="391"/>
      <c r="E757" s="391"/>
      <c r="F757" s="391"/>
      <c r="G757" s="391"/>
      <c r="H757" s="391"/>
      <c r="I757" s="391"/>
      <c r="J757" s="391"/>
      <c r="K757" s="391"/>
      <c r="L757" s="391"/>
      <c r="M757" s="391"/>
      <c r="N757" s="391"/>
      <c r="O757" s="391"/>
      <c r="P757" s="391"/>
      <c r="Q757" s="391"/>
      <c r="R757" s="391"/>
      <c r="S757" s="391"/>
      <c r="T757" s="391"/>
      <c r="U757" s="391"/>
      <c r="V757" s="391"/>
      <c r="W757" s="391"/>
      <c r="X757" s="391"/>
      <c r="Y757" s="391"/>
      <c r="Z757" s="391"/>
      <c r="AA757" s="391"/>
      <c r="AB757" s="391"/>
      <c r="AC757" s="391"/>
      <c r="AD757" s="391"/>
      <c r="AE757" s="391"/>
      <c r="AF757" s="391"/>
      <c r="AG757" s="391"/>
      <c r="AH757" s="392"/>
      <c r="AI757" s="391"/>
      <c r="AJ757" s="391"/>
    </row>
    <row r="758" spans="1:36" ht="13.5" x14ac:dyDescent="0.25">
      <c r="A758" s="391"/>
      <c r="B758" s="391"/>
      <c r="C758" s="391"/>
      <c r="D758" s="391"/>
      <c r="E758" s="391"/>
      <c r="F758" s="391"/>
      <c r="G758" s="391"/>
      <c r="H758" s="391"/>
      <c r="I758" s="391"/>
      <c r="J758" s="391"/>
      <c r="K758" s="391"/>
      <c r="L758" s="391"/>
      <c r="M758" s="391"/>
      <c r="N758" s="391"/>
      <c r="O758" s="391"/>
      <c r="P758" s="391"/>
      <c r="Q758" s="391"/>
      <c r="R758" s="391"/>
      <c r="S758" s="391"/>
      <c r="T758" s="391"/>
      <c r="U758" s="391"/>
      <c r="V758" s="391"/>
      <c r="W758" s="391"/>
      <c r="X758" s="391"/>
      <c r="Y758" s="391"/>
      <c r="Z758" s="391"/>
      <c r="AA758" s="391"/>
      <c r="AB758" s="391"/>
      <c r="AC758" s="391"/>
      <c r="AD758" s="391"/>
      <c r="AE758" s="391"/>
      <c r="AF758" s="391"/>
      <c r="AG758" s="391"/>
      <c r="AH758" s="392"/>
      <c r="AI758" s="391"/>
      <c r="AJ758" s="391"/>
    </row>
    <row r="759" spans="1:36" ht="13.5" x14ac:dyDescent="0.25">
      <c r="A759" s="391"/>
      <c r="B759" s="391"/>
      <c r="C759" s="391"/>
      <c r="D759" s="391"/>
      <c r="E759" s="391"/>
      <c r="F759" s="391"/>
      <c r="G759" s="391"/>
      <c r="H759" s="391"/>
      <c r="I759" s="391"/>
      <c r="J759" s="391"/>
      <c r="K759" s="391"/>
      <c r="L759" s="391"/>
      <c r="M759" s="391"/>
      <c r="N759" s="391"/>
      <c r="O759" s="391"/>
      <c r="P759" s="391"/>
      <c r="Q759" s="391"/>
      <c r="R759" s="391"/>
      <c r="S759" s="391"/>
      <c r="T759" s="391"/>
      <c r="U759" s="391"/>
      <c r="V759" s="391"/>
      <c r="W759" s="391"/>
      <c r="X759" s="391"/>
      <c r="Y759" s="391"/>
      <c r="Z759" s="391"/>
      <c r="AA759" s="391"/>
      <c r="AB759" s="391"/>
      <c r="AC759" s="391"/>
      <c r="AD759" s="391"/>
      <c r="AE759" s="391"/>
      <c r="AF759" s="391"/>
      <c r="AG759" s="391"/>
      <c r="AH759" s="392"/>
      <c r="AI759" s="391"/>
      <c r="AJ759" s="391"/>
    </row>
    <row r="760" spans="1:36" ht="13.5" x14ac:dyDescent="0.25">
      <c r="A760" s="391"/>
      <c r="B760" s="391"/>
      <c r="C760" s="391"/>
      <c r="D760" s="391"/>
      <c r="E760" s="391"/>
      <c r="F760" s="391"/>
      <c r="G760" s="391"/>
      <c r="H760" s="391"/>
      <c r="I760" s="391"/>
      <c r="J760" s="391"/>
      <c r="K760" s="391"/>
      <c r="L760" s="391"/>
      <c r="M760" s="391"/>
      <c r="N760" s="391"/>
      <c r="O760" s="391"/>
      <c r="P760" s="391"/>
      <c r="Q760" s="391"/>
      <c r="R760" s="391"/>
      <c r="S760" s="391"/>
      <c r="T760" s="391"/>
      <c r="U760" s="391"/>
      <c r="V760" s="391"/>
      <c r="W760" s="391"/>
      <c r="X760" s="391"/>
      <c r="Y760" s="391"/>
      <c r="Z760" s="391"/>
      <c r="AA760" s="391"/>
      <c r="AB760" s="391"/>
      <c r="AC760" s="391"/>
      <c r="AD760" s="391"/>
      <c r="AE760" s="391"/>
      <c r="AF760" s="391"/>
      <c r="AG760" s="391"/>
      <c r="AH760" s="392"/>
      <c r="AI760" s="391"/>
      <c r="AJ760" s="391"/>
    </row>
    <row r="761" spans="1:36" ht="13.5" x14ac:dyDescent="0.25">
      <c r="A761" s="391"/>
      <c r="B761" s="391"/>
      <c r="C761" s="391"/>
      <c r="D761" s="391"/>
      <c r="E761" s="391"/>
      <c r="F761" s="391"/>
      <c r="G761" s="391"/>
      <c r="H761" s="391"/>
      <c r="I761" s="391"/>
      <c r="J761" s="391"/>
      <c r="K761" s="391"/>
      <c r="L761" s="391"/>
      <c r="M761" s="391"/>
      <c r="N761" s="391"/>
      <c r="O761" s="391"/>
      <c r="P761" s="391"/>
      <c r="Q761" s="391"/>
      <c r="R761" s="391"/>
      <c r="S761" s="391"/>
      <c r="T761" s="391"/>
      <c r="U761" s="391"/>
      <c r="V761" s="391"/>
      <c r="W761" s="391"/>
      <c r="X761" s="391"/>
      <c r="Y761" s="391"/>
      <c r="Z761" s="391"/>
      <c r="AA761" s="391"/>
      <c r="AB761" s="391"/>
      <c r="AC761" s="391"/>
      <c r="AD761" s="391"/>
      <c r="AE761" s="391"/>
      <c r="AF761" s="391"/>
      <c r="AG761" s="391"/>
      <c r="AH761" s="392"/>
      <c r="AI761" s="391"/>
      <c r="AJ761" s="391"/>
    </row>
    <row r="762" spans="1:36" ht="13.5" x14ac:dyDescent="0.25">
      <c r="A762" s="391"/>
      <c r="B762" s="391"/>
      <c r="C762" s="391"/>
      <c r="D762" s="391"/>
      <c r="E762" s="391"/>
      <c r="F762" s="391"/>
      <c r="G762" s="391"/>
      <c r="H762" s="391"/>
      <c r="I762" s="391"/>
      <c r="J762" s="391"/>
      <c r="K762" s="391"/>
      <c r="L762" s="391"/>
      <c r="M762" s="391"/>
      <c r="N762" s="391"/>
      <c r="O762" s="391"/>
      <c r="P762" s="391"/>
      <c r="Q762" s="391"/>
      <c r="R762" s="391"/>
      <c r="S762" s="391"/>
      <c r="T762" s="391"/>
      <c r="U762" s="391"/>
      <c r="V762" s="391"/>
      <c r="W762" s="391"/>
      <c r="X762" s="391"/>
      <c r="Y762" s="391"/>
      <c r="Z762" s="391"/>
      <c r="AA762" s="391"/>
      <c r="AB762" s="391"/>
      <c r="AC762" s="391"/>
      <c r="AD762" s="391"/>
      <c r="AE762" s="391"/>
      <c r="AF762" s="391"/>
      <c r="AG762" s="391"/>
      <c r="AH762" s="392"/>
      <c r="AI762" s="391"/>
      <c r="AJ762" s="391"/>
    </row>
    <row r="763" spans="1:36" ht="13.5" x14ac:dyDescent="0.25">
      <c r="A763" s="391"/>
      <c r="B763" s="391"/>
      <c r="C763" s="391"/>
      <c r="D763" s="391"/>
      <c r="E763" s="391"/>
      <c r="F763" s="391"/>
      <c r="G763" s="391"/>
      <c r="H763" s="391"/>
      <c r="I763" s="391"/>
      <c r="J763" s="391"/>
      <c r="K763" s="391"/>
      <c r="L763" s="391"/>
      <c r="M763" s="391"/>
      <c r="N763" s="391"/>
      <c r="O763" s="391"/>
      <c r="P763" s="391"/>
      <c r="Q763" s="391"/>
      <c r="R763" s="391"/>
      <c r="S763" s="391"/>
      <c r="T763" s="391"/>
      <c r="U763" s="391"/>
      <c r="V763" s="391"/>
      <c r="W763" s="391"/>
      <c r="X763" s="391"/>
      <c r="Y763" s="391"/>
      <c r="Z763" s="391"/>
      <c r="AA763" s="391"/>
      <c r="AB763" s="391"/>
      <c r="AC763" s="391"/>
      <c r="AD763" s="391"/>
      <c r="AE763" s="391"/>
      <c r="AF763" s="391"/>
      <c r="AG763" s="391"/>
      <c r="AH763" s="392"/>
      <c r="AI763" s="391"/>
      <c r="AJ763" s="391"/>
    </row>
    <row r="764" spans="1:36" ht="13.5" x14ac:dyDescent="0.25">
      <c r="A764" s="391"/>
      <c r="B764" s="391"/>
      <c r="C764" s="391"/>
      <c r="D764" s="391"/>
      <c r="E764" s="391"/>
      <c r="F764" s="391"/>
      <c r="G764" s="391"/>
      <c r="H764" s="391"/>
      <c r="I764" s="391"/>
      <c r="J764" s="391"/>
      <c r="K764" s="391"/>
      <c r="L764" s="391"/>
      <c r="M764" s="391"/>
      <c r="N764" s="391"/>
      <c r="O764" s="391"/>
      <c r="P764" s="391"/>
      <c r="Q764" s="391"/>
      <c r="R764" s="391"/>
      <c r="S764" s="391"/>
      <c r="T764" s="391"/>
      <c r="U764" s="391"/>
      <c r="V764" s="391"/>
      <c r="W764" s="391"/>
      <c r="X764" s="391"/>
      <c r="Y764" s="391"/>
      <c r="Z764" s="391"/>
      <c r="AA764" s="391"/>
      <c r="AB764" s="391"/>
      <c r="AC764" s="391"/>
      <c r="AD764" s="391"/>
      <c r="AE764" s="391"/>
      <c r="AF764" s="391"/>
      <c r="AG764" s="391"/>
      <c r="AH764" s="392"/>
      <c r="AI764" s="391"/>
      <c r="AJ764" s="391"/>
    </row>
    <row r="765" spans="1:36" ht="13.5" x14ac:dyDescent="0.25">
      <c r="A765" s="391"/>
      <c r="B765" s="391"/>
      <c r="C765" s="391"/>
      <c r="D765" s="391"/>
      <c r="E765" s="391"/>
      <c r="F765" s="391"/>
      <c r="G765" s="391"/>
      <c r="H765" s="391"/>
      <c r="I765" s="391"/>
      <c r="J765" s="391"/>
      <c r="K765" s="391"/>
      <c r="L765" s="391"/>
      <c r="M765" s="391"/>
      <c r="N765" s="391"/>
      <c r="O765" s="391"/>
      <c r="P765" s="391"/>
      <c r="Q765" s="391"/>
      <c r="R765" s="391"/>
      <c r="S765" s="391"/>
      <c r="T765" s="391"/>
      <c r="U765" s="391"/>
      <c r="V765" s="391"/>
      <c r="W765" s="391"/>
      <c r="X765" s="391"/>
      <c r="Y765" s="391"/>
      <c r="Z765" s="391"/>
      <c r="AA765" s="391"/>
      <c r="AB765" s="391"/>
      <c r="AC765" s="391"/>
      <c r="AD765" s="391"/>
      <c r="AE765" s="391"/>
      <c r="AF765" s="391"/>
      <c r="AG765" s="391"/>
      <c r="AH765" s="392"/>
      <c r="AI765" s="391"/>
      <c r="AJ765" s="391"/>
    </row>
    <row r="766" spans="1:36" ht="13.5" x14ac:dyDescent="0.25">
      <c r="A766" s="391"/>
      <c r="B766" s="391"/>
      <c r="C766" s="391"/>
      <c r="D766" s="391"/>
      <c r="E766" s="391"/>
      <c r="F766" s="391"/>
      <c r="G766" s="391"/>
      <c r="H766" s="391"/>
      <c r="I766" s="391"/>
      <c r="J766" s="391"/>
      <c r="K766" s="391"/>
      <c r="L766" s="391"/>
      <c r="M766" s="391"/>
      <c r="N766" s="391"/>
      <c r="O766" s="391"/>
      <c r="P766" s="391"/>
      <c r="Q766" s="391"/>
      <c r="R766" s="391"/>
      <c r="S766" s="391"/>
      <c r="T766" s="391"/>
      <c r="U766" s="391"/>
      <c r="V766" s="391"/>
      <c r="W766" s="391"/>
      <c r="X766" s="391"/>
      <c r="Y766" s="391"/>
      <c r="Z766" s="391"/>
      <c r="AA766" s="391"/>
      <c r="AB766" s="391"/>
      <c r="AC766" s="391"/>
      <c r="AD766" s="391"/>
      <c r="AE766" s="391"/>
      <c r="AF766" s="391"/>
      <c r="AG766" s="391"/>
      <c r="AH766" s="392"/>
      <c r="AI766" s="391"/>
      <c r="AJ766" s="391"/>
    </row>
    <row r="767" spans="1:36" ht="13.5" x14ac:dyDescent="0.25">
      <c r="A767" s="391"/>
      <c r="B767" s="391"/>
      <c r="C767" s="391"/>
      <c r="D767" s="391"/>
      <c r="E767" s="391"/>
      <c r="F767" s="391"/>
      <c r="G767" s="391"/>
      <c r="H767" s="391"/>
      <c r="I767" s="391"/>
      <c r="J767" s="391"/>
      <c r="K767" s="391"/>
      <c r="L767" s="391"/>
      <c r="M767" s="391"/>
      <c r="N767" s="391"/>
      <c r="O767" s="391"/>
      <c r="P767" s="391"/>
      <c r="Q767" s="391"/>
      <c r="R767" s="391"/>
      <c r="S767" s="391"/>
      <c r="T767" s="391"/>
      <c r="U767" s="391"/>
      <c r="V767" s="391"/>
      <c r="W767" s="391"/>
      <c r="X767" s="391"/>
      <c r="Y767" s="391"/>
      <c r="Z767" s="391"/>
      <c r="AA767" s="391"/>
      <c r="AB767" s="391"/>
      <c r="AC767" s="391"/>
      <c r="AD767" s="391"/>
      <c r="AE767" s="391"/>
      <c r="AF767" s="391"/>
      <c r="AG767" s="391"/>
      <c r="AH767" s="392"/>
      <c r="AI767" s="391"/>
      <c r="AJ767" s="391"/>
    </row>
    <row r="768" spans="1:36" ht="13.5" x14ac:dyDescent="0.25">
      <c r="A768" s="391"/>
      <c r="B768" s="391"/>
      <c r="C768" s="391"/>
      <c r="D768" s="391"/>
      <c r="E768" s="391"/>
      <c r="F768" s="391"/>
      <c r="G768" s="391"/>
      <c r="H768" s="391"/>
      <c r="I768" s="391"/>
      <c r="J768" s="391"/>
      <c r="K768" s="391"/>
      <c r="L768" s="391"/>
      <c r="M768" s="391"/>
      <c r="N768" s="391"/>
      <c r="O768" s="391"/>
      <c r="P768" s="391"/>
      <c r="Q768" s="391"/>
      <c r="R768" s="391"/>
      <c r="S768" s="391"/>
      <c r="T768" s="391"/>
      <c r="U768" s="391"/>
      <c r="V768" s="391"/>
      <c r="W768" s="391"/>
      <c r="X768" s="391"/>
      <c r="Y768" s="391"/>
      <c r="Z768" s="391"/>
      <c r="AA768" s="391"/>
      <c r="AB768" s="391"/>
      <c r="AC768" s="391"/>
      <c r="AD768" s="391"/>
      <c r="AE768" s="391"/>
      <c r="AF768" s="391"/>
      <c r="AG768" s="391"/>
      <c r="AH768" s="392"/>
      <c r="AI768" s="391"/>
      <c r="AJ768" s="391"/>
    </row>
    <row r="769" spans="1:36" ht="13.5" x14ac:dyDescent="0.25">
      <c r="A769" s="391"/>
      <c r="B769" s="391"/>
      <c r="C769" s="391"/>
      <c r="D769" s="391"/>
      <c r="E769" s="391"/>
      <c r="F769" s="391"/>
      <c r="G769" s="391"/>
      <c r="H769" s="391"/>
      <c r="I769" s="391"/>
      <c r="J769" s="391"/>
      <c r="K769" s="391"/>
      <c r="L769" s="391"/>
      <c r="M769" s="391"/>
      <c r="N769" s="391"/>
      <c r="O769" s="391"/>
      <c r="P769" s="391"/>
      <c r="Q769" s="391"/>
      <c r="R769" s="391"/>
      <c r="S769" s="391"/>
      <c r="T769" s="391"/>
      <c r="U769" s="391"/>
      <c r="V769" s="391"/>
      <c r="W769" s="391"/>
      <c r="X769" s="391"/>
      <c r="Y769" s="391"/>
      <c r="Z769" s="391"/>
      <c r="AA769" s="391"/>
      <c r="AB769" s="391"/>
      <c r="AC769" s="391"/>
      <c r="AD769" s="391"/>
      <c r="AE769" s="391"/>
      <c r="AF769" s="391"/>
      <c r="AG769" s="391"/>
      <c r="AH769" s="392"/>
      <c r="AI769" s="391"/>
      <c r="AJ769" s="391"/>
    </row>
    <row r="770" spans="1:36" ht="13.5" x14ac:dyDescent="0.25">
      <c r="A770" s="391"/>
      <c r="B770" s="391"/>
      <c r="C770" s="391"/>
      <c r="D770" s="391"/>
      <c r="E770" s="391"/>
      <c r="F770" s="391"/>
      <c r="G770" s="391"/>
      <c r="H770" s="391"/>
      <c r="I770" s="391"/>
      <c r="J770" s="391"/>
      <c r="K770" s="391"/>
      <c r="L770" s="391"/>
      <c r="M770" s="391"/>
      <c r="N770" s="391"/>
      <c r="O770" s="391"/>
      <c r="P770" s="391"/>
      <c r="Q770" s="391"/>
      <c r="R770" s="391"/>
      <c r="S770" s="391"/>
      <c r="T770" s="391"/>
      <c r="U770" s="391"/>
      <c r="V770" s="391"/>
      <c r="W770" s="391"/>
      <c r="X770" s="391"/>
      <c r="Y770" s="391"/>
      <c r="Z770" s="391"/>
      <c r="AA770" s="391"/>
      <c r="AB770" s="391"/>
      <c r="AC770" s="391"/>
      <c r="AD770" s="391"/>
      <c r="AE770" s="391"/>
      <c r="AF770" s="391"/>
      <c r="AG770" s="391"/>
      <c r="AH770" s="392"/>
      <c r="AI770" s="391"/>
      <c r="AJ770" s="391"/>
    </row>
    <row r="771" spans="1:36" ht="13.5" x14ac:dyDescent="0.25">
      <c r="A771" s="391"/>
      <c r="B771" s="391"/>
      <c r="C771" s="391"/>
      <c r="D771" s="391"/>
      <c r="E771" s="391"/>
      <c r="F771" s="391"/>
      <c r="G771" s="391"/>
      <c r="H771" s="391"/>
      <c r="I771" s="391"/>
      <c r="J771" s="391"/>
      <c r="K771" s="391"/>
      <c r="L771" s="391"/>
      <c r="M771" s="391"/>
      <c r="N771" s="391"/>
      <c r="O771" s="391"/>
      <c r="P771" s="391"/>
      <c r="Q771" s="391"/>
      <c r="R771" s="391"/>
      <c r="S771" s="391"/>
      <c r="T771" s="391"/>
      <c r="U771" s="391"/>
      <c r="V771" s="391"/>
      <c r="W771" s="391"/>
      <c r="X771" s="391"/>
      <c r="Y771" s="391"/>
      <c r="Z771" s="391"/>
      <c r="AA771" s="391"/>
      <c r="AB771" s="391"/>
      <c r="AC771" s="391"/>
      <c r="AD771" s="391"/>
      <c r="AE771" s="391"/>
      <c r="AF771" s="391"/>
      <c r="AG771" s="391"/>
      <c r="AH771" s="392"/>
      <c r="AI771" s="391"/>
      <c r="AJ771" s="391"/>
    </row>
    <row r="772" spans="1:36" ht="13.5" x14ac:dyDescent="0.25">
      <c r="A772" s="391"/>
      <c r="B772" s="391"/>
      <c r="C772" s="391"/>
      <c r="D772" s="391"/>
      <c r="E772" s="391"/>
      <c r="F772" s="391"/>
      <c r="G772" s="391"/>
      <c r="H772" s="391"/>
      <c r="I772" s="391"/>
      <c r="J772" s="391"/>
      <c r="K772" s="391"/>
      <c r="L772" s="391"/>
      <c r="M772" s="391"/>
      <c r="N772" s="391"/>
      <c r="O772" s="391"/>
      <c r="P772" s="391"/>
      <c r="Q772" s="391"/>
      <c r="R772" s="391"/>
      <c r="S772" s="391"/>
      <c r="T772" s="391"/>
      <c r="U772" s="391"/>
      <c r="V772" s="391"/>
      <c r="W772" s="391"/>
      <c r="X772" s="391"/>
      <c r="Y772" s="391"/>
      <c r="Z772" s="391"/>
      <c r="AA772" s="391"/>
      <c r="AB772" s="391"/>
      <c r="AC772" s="391"/>
      <c r="AD772" s="391"/>
      <c r="AE772" s="391"/>
      <c r="AF772" s="391"/>
      <c r="AG772" s="391"/>
      <c r="AH772" s="392"/>
      <c r="AI772" s="391"/>
      <c r="AJ772" s="391"/>
    </row>
    <row r="773" spans="1:36" ht="13.5" x14ac:dyDescent="0.25">
      <c r="A773" s="391"/>
      <c r="B773" s="391"/>
      <c r="C773" s="391"/>
      <c r="D773" s="391"/>
      <c r="E773" s="391"/>
      <c r="F773" s="391"/>
      <c r="G773" s="391"/>
      <c r="H773" s="391"/>
      <c r="I773" s="391"/>
      <c r="J773" s="391"/>
      <c r="K773" s="391"/>
      <c r="L773" s="391"/>
      <c r="M773" s="391"/>
      <c r="N773" s="391"/>
      <c r="O773" s="391"/>
      <c r="P773" s="391"/>
      <c r="Q773" s="391"/>
      <c r="R773" s="391"/>
      <c r="S773" s="391"/>
      <c r="T773" s="391"/>
      <c r="U773" s="391"/>
      <c r="V773" s="391"/>
      <c r="W773" s="391"/>
      <c r="X773" s="391"/>
      <c r="Y773" s="391"/>
      <c r="Z773" s="391"/>
      <c r="AA773" s="391"/>
      <c r="AB773" s="391"/>
      <c r="AC773" s="391"/>
      <c r="AD773" s="391"/>
      <c r="AE773" s="391"/>
      <c r="AF773" s="391"/>
      <c r="AG773" s="391"/>
      <c r="AH773" s="392"/>
      <c r="AI773" s="391"/>
      <c r="AJ773" s="391"/>
    </row>
    <row r="774" spans="1:36" ht="13.5" x14ac:dyDescent="0.25">
      <c r="A774" s="391"/>
      <c r="B774" s="391"/>
      <c r="C774" s="391"/>
      <c r="D774" s="391"/>
      <c r="E774" s="391"/>
      <c r="F774" s="391"/>
      <c r="G774" s="391"/>
      <c r="H774" s="391"/>
      <c r="I774" s="391"/>
      <c r="J774" s="391"/>
      <c r="K774" s="391"/>
      <c r="L774" s="391"/>
      <c r="M774" s="391"/>
      <c r="N774" s="391"/>
      <c r="O774" s="391"/>
      <c r="P774" s="391"/>
      <c r="Q774" s="391"/>
      <c r="R774" s="391"/>
      <c r="S774" s="391"/>
      <c r="T774" s="391"/>
      <c r="U774" s="391"/>
      <c r="V774" s="391"/>
      <c r="W774" s="391"/>
      <c r="X774" s="391"/>
      <c r="Y774" s="391"/>
      <c r="Z774" s="391"/>
      <c r="AA774" s="391"/>
      <c r="AB774" s="391"/>
      <c r="AC774" s="391"/>
      <c r="AD774" s="391"/>
      <c r="AE774" s="391"/>
      <c r="AF774" s="391"/>
      <c r="AG774" s="391"/>
      <c r="AH774" s="392"/>
      <c r="AI774" s="391"/>
      <c r="AJ774" s="391"/>
    </row>
    <row r="775" spans="1:36" ht="13.5" x14ac:dyDescent="0.25">
      <c r="A775" s="391"/>
      <c r="B775" s="391"/>
      <c r="C775" s="391"/>
      <c r="D775" s="391"/>
      <c r="E775" s="391"/>
      <c r="F775" s="391"/>
      <c r="G775" s="391"/>
      <c r="H775" s="391"/>
      <c r="I775" s="391"/>
      <c r="J775" s="391"/>
      <c r="K775" s="391"/>
      <c r="L775" s="391"/>
      <c r="M775" s="391"/>
      <c r="N775" s="391"/>
      <c r="O775" s="391"/>
      <c r="P775" s="391"/>
      <c r="Q775" s="391"/>
      <c r="R775" s="391"/>
      <c r="S775" s="391"/>
      <c r="T775" s="391"/>
      <c r="U775" s="391"/>
      <c r="V775" s="391"/>
      <c r="W775" s="391"/>
      <c r="X775" s="391"/>
      <c r="Y775" s="391"/>
      <c r="Z775" s="391"/>
      <c r="AA775" s="391"/>
      <c r="AB775" s="391"/>
      <c r="AC775" s="391"/>
      <c r="AD775" s="391"/>
      <c r="AE775" s="391"/>
      <c r="AF775" s="391"/>
      <c r="AG775" s="391"/>
      <c r="AH775" s="392"/>
      <c r="AI775" s="391"/>
      <c r="AJ775" s="391"/>
    </row>
    <row r="776" spans="1:36" ht="13.5" x14ac:dyDescent="0.25">
      <c r="A776" s="391"/>
      <c r="B776" s="391"/>
      <c r="C776" s="391"/>
      <c r="D776" s="391"/>
      <c r="E776" s="391"/>
      <c r="F776" s="391"/>
      <c r="G776" s="391"/>
      <c r="H776" s="391"/>
      <c r="I776" s="391"/>
      <c r="J776" s="391"/>
      <c r="K776" s="391"/>
      <c r="L776" s="391"/>
      <c r="M776" s="391"/>
      <c r="N776" s="391"/>
      <c r="O776" s="391"/>
      <c r="P776" s="391"/>
      <c r="Q776" s="391"/>
      <c r="R776" s="391"/>
      <c r="S776" s="391"/>
      <c r="T776" s="391"/>
      <c r="U776" s="391"/>
      <c r="V776" s="391"/>
      <c r="W776" s="391"/>
      <c r="X776" s="391"/>
      <c r="Y776" s="391"/>
      <c r="Z776" s="391"/>
      <c r="AA776" s="391"/>
      <c r="AB776" s="391"/>
      <c r="AC776" s="391"/>
      <c r="AD776" s="391"/>
      <c r="AE776" s="391"/>
      <c r="AF776" s="391"/>
      <c r="AG776" s="391"/>
      <c r="AH776" s="392"/>
      <c r="AI776" s="391"/>
      <c r="AJ776" s="391"/>
    </row>
    <row r="777" spans="1:36" ht="13.5" x14ac:dyDescent="0.25">
      <c r="A777" s="391"/>
      <c r="B777" s="391"/>
      <c r="C777" s="391"/>
      <c r="D777" s="391"/>
      <c r="E777" s="391"/>
      <c r="F777" s="391"/>
      <c r="G777" s="391"/>
      <c r="H777" s="391"/>
      <c r="I777" s="391"/>
      <c r="J777" s="391"/>
      <c r="K777" s="391"/>
      <c r="L777" s="391"/>
      <c r="M777" s="391"/>
      <c r="N777" s="391"/>
      <c r="O777" s="391"/>
      <c r="P777" s="391"/>
      <c r="Q777" s="391"/>
      <c r="R777" s="391"/>
      <c r="S777" s="391"/>
      <c r="T777" s="391"/>
      <c r="U777" s="391"/>
      <c r="V777" s="391"/>
      <c r="W777" s="391"/>
      <c r="X777" s="391"/>
      <c r="Y777" s="391"/>
      <c r="Z777" s="391"/>
      <c r="AA777" s="391"/>
      <c r="AB777" s="391"/>
      <c r="AC777" s="391"/>
      <c r="AD777" s="391"/>
      <c r="AE777" s="391"/>
      <c r="AF777" s="391"/>
      <c r="AG777" s="391"/>
      <c r="AH777" s="392"/>
      <c r="AI777" s="391"/>
      <c r="AJ777" s="391"/>
    </row>
    <row r="778" spans="1:36" ht="13.5" x14ac:dyDescent="0.25">
      <c r="A778" s="391"/>
      <c r="B778" s="391"/>
      <c r="C778" s="391"/>
      <c r="D778" s="391"/>
      <c r="E778" s="391"/>
      <c r="F778" s="391"/>
      <c r="G778" s="391"/>
      <c r="H778" s="391"/>
      <c r="I778" s="391"/>
      <c r="J778" s="391"/>
      <c r="K778" s="391"/>
      <c r="L778" s="391"/>
      <c r="M778" s="391"/>
      <c r="N778" s="391"/>
      <c r="O778" s="391"/>
      <c r="P778" s="391"/>
      <c r="Q778" s="391"/>
      <c r="R778" s="391"/>
      <c r="S778" s="391"/>
      <c r="T778" s="391"/>
      <c r="U778" s="391"/>
      <c r="V778" s="391"/>
      <c r="W778" s="391"/>
      <c r="X778" s="391"/>
      <c r="Y778" s="391"/>
      <c r="Z778" s="391"/>
      <c r="AA778" s="391"/>
      <c r="AB778" s="391"/>
      <c r="AC778" s="391"/>
      <c r="AD778" s="391"/>
      <c r="AE778" s="391"/>
      <c r="AF778" s="391"/>
      <c r="AG778" s="391"/>
      <c r="AH778" s="392"/>
      <c r="AI778" s="391"/>
      <c r="AJ778" s="391"/>
    </row>
    <row r="779" spans="1:36" ht="13.5" x14ac:dyDescent="0.25">
      <c r="A779" s="391"/>
      <c r="B779" s="391"/>
      <c r="C779" s="391"/>
      <c r="D779" s="391"/>
      <c r="E779" s="391"/>
      <c r="F779" s="391"/>
      <c r="G779" s="391"/>
      <c r="H779" s="391"/>
      <c r="I779" s="391"/>
      <c r="J779" s="391"/>
      <c r="K779" s="391"/>
      <c r="L779" s="391"/>
      <c r="M779" s="391"/>
      <c r="N779" s="391"/>
      <c r="O779" s="391"/>
      <c r="P779" s="391"/>
      <c r="Q779" s="391"/>
      <c r="R779" s="391"/>
      <c r="S779" s="391"/>
      <c r="T779" s="391"/>
      <c r="U779" s="391"/>
      <c r="V779" s="391"/>
      <c r="W779" s="391"/>
      <c r="X779" s="391"/>
      <c r="Y779" s="391"/>
      <c r="Z779" s="391"/>
      <c r="AA779" s="391"/>
      <c r="AB779" s="391"/>
      <c r="AC779" s="391"/>
      <c r="AD779" s="391"/>
      <c r="AE779" s="391"/>
      <c r="AF779" s="391"/>
      <c r="AG779" s="391"/>
      <c r="AH779" s="392"/>
      <c r="AI779" s="391"/>
      <c r="AJ779" s="391"/>
    </row>
    <row r="780" spans="1:36" ht="13.5" x14ac:dyDescent="0.25">
      <c r="A780" s="391"/>
      <c r="B780" s="391"/>
      <c r="C780" s="391"/>
      <c r="D780" s="391"/>
      <c r="E780" s="391"/>
      <c r="F780" s="391"/>
      <c r="G780" s="391"/>
      <c r="H780" s="391"/>
      <c r="I780" s="391"/>
      <c r="J780" s="391"/>
      <c r="K780" s="391"/>
      <c r="L780" s="391"/>
      <c r="M780" s="391"/>
      <c r="N780" s="391"/>
      <c r="O780" s="391"/>
      <c r="P780" s="391"/>
      <c r="Q780" s="391"/>
      <c r="R780" s="391"/>
      <c r="S780" s="391"/>
      <c r="T780" s="391"/>
      <c r="U780" s="391"/>
      <c r="V780" s="391"/>
      <c r="W780" s="391"/>
      <c r="X780" s="391"/>
      <c r="Y780" s="391"/>
      <c r="Z780" s="391"/>
      <c r="AA780" s="391"/>
      <c r="AB780" s="391"/>
      <c r="AC780" s="391"/>
      <c r="AD780" s="391"/>
      <c r="AE780" s="391"/>
      <c r="AF780" s="391"/>
      <c r="AG780" s="391"/>
      <c r="AH780" s="392"/>
      <c r="AI780" s="391"/>
      <c r="AJ780" s="391"/>
    </row>
    <row r="781" spans="1:36" ht="13.5" x14ac:dyDescent="0.25">
      <c r="A781" s="391"/>
      <c r="B781" s="391"/>
      <c r="C781" s="391"/>
      <c r="D781" s="391"/>
      <c r="E781" s="391"/>
      <c r="F781" s="391"/>
      <c r="G781" s="391"/>
      <c r="H781" s="391"/>
      <c r="I781" s="391"/>
      <c r="J781" s="391"/>
      <c r="K781" s="391"/>
      <c r="L781" s="391"/>
      <c r="M781" s="391"/>
      <c r="N781" s="391"/>
      <c r="O781" s="391"/>
      <c r="P781" s="391"/>
      <c r="Q781" s="391"/>
      <c r="R781" s="391"/>
      <c r="S781" s="391"/>
      <c r="T781" s="391"/>
      <c r="U781" s="391"/>
      <c r="V781" s="391"/>
      <c r="W781" s="391"/>
      <c r="X781" s="391"/>
      <c r="Y781" s="391"/>
      <c r="Z781" s="391"/>
      <c r="AA781" s="391"/>
      <c r="AB781" s="391"/>
      <c r="AC781" s="391"/>
      <c r="AD781" s="391"/>
      <c r="AE781" s="391"/>
      <c r="AF781" s="391"/>
      <c r="AG781" s="391"/>
      <c r="AH781" s="392"/>
      <c r="AI781" s="391"/>
      <c r="AJ781" s="391"/>
    </row>
    <row r="782" spans="1:36" ht="13.5" x14ac:dyDescent="0.25">
      <c r="A782" s="391"/>
      <c r="B782" s="391"/>
      <c r="C782" s="391"/>
      <c r="D782" s="391"/>
      <c r="E782" s="391"/>
      <c r="F782" s="391"/>
      <c r="G782" s="391"/>
      <c r="H782" s="391"/>
      <c r="I782" s="391"/>
      <c r="J782" s="391"/>
      <c r="K782" s="391"/>
      <c r="L782" s="391"/>
      <c r="M782" s="391"/>
      <c r="N782" s="391"/>
      <c r="O782" s="391"/>
      <c r="P782" s="391"/>
      <c r="Q782" s="391"/>
      <c r="R782" s="391"/>
      <c r="S782" s="391"/>
      <c r="T782" s="391"/>
      <c r="U782" s="391"/>
      <c r="V782" s="391"/>
      <c r="W782" s="391"/>
      <c r="X782" s="391"/>
      <c r="Y782" s="391"/>
      <c r="Z782" s="391"/>
      <c r="AA782" s="391"/>
      <c r="AB782" s="391"/>
      <c r="AC782" s="391"/>
      <c r="AD782" s="391"/>
      <c r="AE782" s="391"/>
      <c r="AF782" s="391"/>
      <c r="AG782" s="391"/>
      <c r="AH782" s="392"/>
      <c r="AI782" s="391"/>
      <c r="AJ782" s="391"/>
    </row>
    <row r="783" spans="1:36" ht="13.5" x14ac:dyDescent="0.25">
      <c r="A783" s="391"/>
      <c r="B783" s="391"/>
      <c r="C783" s="391"/>
      <c r="D783" s="391"/>
      <c r="E783" s="391"/>
      <c r="F783" s="391"/>
      <c r="G783" s="391"/>
      <c r="H783" s="391"/>
      <c r="I783" s="391"/>
      <c r="J783" s="391"/>
      <c r="K783" s="391"/>
      <c r="L783" s="391"/>
      <c r="M783" s="391"/>
      <c r="N783" s="391"/>
      <c r="O783" s="391"/>
      <c r="P783" s="391"/>
      <c r="Q783" s="391"/>
      <c r="R783" s="391"/>
      <c r="S783" s="391"/>
      <c r="T783" s="391"/>
      <c r="U783" s="391"/>
      <c r="V783" s="391"/>
      <c r="W783" s="391"/>
      <c r="X783" s="391"/>
      <c r="Y783" s="391"/>
      <c r="Z783" s="391"/>
      <c r="AA783" s="391"/>
      <c r="AB783" s="391"/>
      <c r="AC783" s="391"/>
      <c r="AD783" s="391"/>
      <c r="AE783" s="391"/>
      <c r="AF783" s="391"/>
      <c r="AG783" s="391"/>
      <c r="AH783" s="392"/>
      <c r="AI783" s="391"/>
      <c r="AJ783" s="391"/>
    </row>
    <row r="784" spans="1:36" ht="13.5" x14ac:dyDescent="0.25">
      <c r="A784" s="391"/>
      <c r="B784" s="391"/>
      <c r="C784" s="391"/>
      <c r="D784" s="391"/>
      <c r="E784" s="391"/>
      <c r="F784" s="391"/>
      <c r="G784" s="391"/>
      <c r="H784" s="391"/>
      <c r="I784" s="391"/>
      <c r="J784" s="391"/>
      <c r="K784" s="391"/>
      <c r="L784" s="391"/>
      <c r="M784" s="391"/>
      <c r="N784" s="391"/>
      <c r="O784" s="391"/>
      <c r="P784" s="391"/>
      <c r="Q784" s="391"/>
      <c r="R784" s="391"/>
      <c r="S784" s="391"/>
      <c r="T784" s="391"/>
      <c r="U784" s="391"/>
      <c r="V784" s="391"/>
      <c r="W784" s="391"/>
      <c r="X784" s="391"/>
      <c r="Y784" s="391"/>
      <c r="Z784" s="391"/>
      <c r="AA784" s="391"/>
      <c r="AB784" s="391"/>
      <c r="AC784" s="391"/>
      <c r="AD784" s="391"/>
      <c r="AE784" s="391"/>
      <c r="AF784" s="391"/>
      <c r="AG784" s="391"/>
      <c r="AH784" s="392"/>
      <c r="AI784" s="391"/>
      <c r="AJ784" s="391"/>
    </row>
    <row r="785" spans="1:36" ht="13.5" x14ac:dyDescent="0.25">
      <c r="A785" s="391"/>
      <c r="B785" s="391"/>
      <c r="C785" s="391"/>
      <c r="D785" s="391"/>
      <c r="E785" s="391"/>
      <c r="F785" s="391"/>
      <c r="G785" s="391"/>
      <c r="H785" s="391"/>
      <c r="I785" s="391"/>
      <c r="J785" s="391"/>
      <c r="K785" s="391"/>
      <c r="L785" s="391"/>
      <c r="M785" s="391"/>
      <c r="N785" s="391"/>
      <c r="O785" s="391"/>
      <c r="P785" s="391"/>
      <c r="Q785" s="391"/>
      <c r="R785" s="391"/>
      <c r="S785" s="391"/>
      <c r="T785" s="391"/>
      <c r="U785" s="391"/>
      <c r="V785" s="391"/>
      <c r="W785" s="391"/>
      <c r="X785" s="391"/>
      <c r="Y785" s="391"/>
      <c r="Z785" s="391"/>
      <c r="AA785" s="391"/>
      <c r="AB785" s="391"/>
      <c r="AC785" s="391"/>
      <c r="AD785" s="391"/>
      <c r="AE785" s="391"/>
      <c r="AF785" s="391"/>
      <c r="AG785" s="391"/>
      <c r="AH785" s="392"/>
      <c r="AI785" s="391"/>
      <c r="AJ785" s="391"/>
    </row>
    <row r="786" spans="1:36" ht="13.5" x14ac:dyDescent="0.25">
      <c r="A786" s="391"/>
      <c r="B786" s="391"/>
      <c r="C786" s="391"/>
      <c r="D786" s="391"/>
      <c r="E786" s="391"/>
      <c r="F786" s="391"/>
      <c r="G786" s="391"/>
      <c r="H786" s="391"/>
      <c r="I786" s="391"/>
      <c r="J786" s="391"/>
      <c r="K786" s="391"/>
      <c r="L786" s="391"/>
      <c r="M786" s="391"/>
      <c r="N786" s="391"/>
      <c r="O786" s="391"/>
      <c r="P786" s="391"/>
      <c r="Q786" s="391"/>
      <c r="R786" s="391"/>
      <c r="S786" s="391"/>
      <c r="T786" s="391"/>
      <c r="U786" s="391"/>
      <c r="V786" s="391"/>
      <c r="W786" s="391"/>
      <c r="X786" s="391"/>
      <c r="Y786" s="391"/>
      <c r="Z786" s="391"/>
      <c r="AA786" s="391"/>
      <c r="AB786" s="391"/>
      <c r="AC786" s="391"/>
      <c r="AD786" s="391"/>
      <c r="AE786" s="391"/>
      <c r="AF786" s="391"/>
      <c r="AG786" s="391"/>
      <c r="AH786" s="392"/>
      <c r="AI786" s="391"/>
      <c r="AJ786" s="391"/>
    </row>
    <row r="787" spans="1:36" ht="13.5" x14ac:dyDescent="0.25">
      <c r="A787" s="391"/>
      <c r="B787" s="391"/>
      <c r="C787" s="391"/>
      <c r="D787" s="391"/>
      <c r="E787" s="391"/>
      <c r="F787" s="391"/>
      <c r="G787" s="391"/>
      <c r="H787" s="391"/>
      <c r="I787" s="391"/>
      <c r="J787" s="391"/>
      <c r="K787" s="391"/>
      <c r="L787" s="391"/>
      <c r="M787" s="391"/>
      <c r="N787" s="391"/>
      <c r="O787" s="391"/>
      <c r="P787" s="391"/>
      <c r="Q787" s="391"/>
      <c r="R787" s="391"/>
      <c r="S787" s="391"/>
      <c r="T787" s="391"/>
      <c r="U787" s="391"/>
      <c r="V787" s="391"/>
      <c r="W787" s="391"/>
      <c r="X787" s="391"/>
      <c r="Y787" s="391"/>
      <c r="Z787" s="391"/>
      <c r="AA787" s="391"/>
      <c r="AB787" s="391"/>
      <c r="AC787" s="391"/>
      <c r="AD787" s="391"/>
      <c r="AE787" s="391"/>
      <c r="AF787" s="391"/>
      <c r="AG787" s="391"/>
      <c r="AH787" s="392"/>
      <c r="AI787" s="391"/>
      <c r="AJ787" s="391"/>
    </row>
    <row r="788" spans="1:36" ht="13.5" x14ac:dyDescent="0.25">
      <c r="A788" s="391"/>
      <c r="B788" s="391"/>
      <c r="C788" s="391"/>
      <c r="D788" s="391"/>
      <c r="E788" s="391"/>
      <c r="F788" s="391"/>
      <c r="G788" s="391"/>
      <c r="H788" s="391"/>
      <c r="I788" s="391"/>
      <c r="J788" s="391"/>
      <c r="K788" s="391"/>
      <c r="L788" s="391"/>
      <c r="M788" s="391"/>
      <c r="N788" s="391"/>
      <c r="O788" s="391"/>
      <c r="P788" s="391"/>
      <c r="Q788" s="391"/>
      <c r="R788" s="391"/>
      <c r="S788" s="391"/>
      <c r="T788" s="391"/>
      <c r="U788" s="391"/>
      <c r="V788" s="391"/>
      <c r="W788" s="391"/>
      <c r="X788" s="391"/>
      <c r="Y788" s="391"/>
      <c r="Z788" s="391"/>
      <c r="AA788" s="391"/>
      <c r="AB788" s="391"/>
      <c r="AC788" s="391"/>
      <c r="AD788" s="391"/>
      <c r="AE788" s="391"/>
      <c r="AF788" s="391"/>
      <c r="AG788" s="391"/>
      <c r="AH788" s="392"/>
      <c r="AI788" s="391"/>
      <c r="AJ788" s="391"/>
    </row>
    <row r="789" spans="1:36" ht="13.5" x14ac:dyDescent="0.25">
      <c r="A789" s="391"/>
      <c r="B789" s="391"/>
      <c r="C789" s="391"/>
      <c r="D789" s="391"/>
      <c r="E789" s="391"/>
      <c r="F789" s="391"/>
      <c r="G789" s="391"/>
      <c r="H789" s="391"/>
      <c r="I789" s="391"/>
      <c r="J789" s="391"/>
      <c r="K789" s="391"/>
      <c r="L789" s="391"/>
      <c r="M789" s="391"/>
      <c r="N789" s="391"/>
      <c r="O789" s="391"/>
      <c r="P789" s="391"/>
      <c r="Q789" s="391"/>
      <c r="R789" s="391"/>
      <c r="S789" s="391"/>
      <c r="T789" s="391"/>
      <c r="U789" s="391"/>
      <c r="V789" s="391"/>
      <c r="W789" s="391"/>
      <c r="X789" s="391"/>
      <c r="Y789" s="391"/>
      <c r="Z789" s="391"/>
      <c r="AA789" s="391"/>
      <c r="AB789" s="391"/>
      <c r="AC789" s="391"/>
      <c r="AD789" s="391"/>
      <c r="AE789" s="391"/>
      <c r="AF789" s="391"/>
      <c r="AG789" s="391"/>
      <c r="AH789" s="392"/>
      <c r="AI789" s="391"/>
      <c r="AJ789" s="391"/>
    </row>
    <row r="790" spans="1:36" ht="13.5" x14ac:dyDescent="0.25">
      <c r="A790" s="391"/>
      <c r="B790" s="391"/>
      <c r="C790" s="391"/>
      <c r="D790" s="391"/>
      <c r="E790" s="391"/>
      <c r="F790" s="391"/>
      <c r="G790" s="391"/>
      <c r="H790" s="391"/>
      <c r="I790" s="391"/>
      <c r="J790" s="391"/>
      <c r="K790" s="391"/>
      <c r="L790" s="391"/>
      <c r="M790" s="391"/>
      <c r="N790" s="391"/>
      <c r="O790" s="391"/>
      <c r="P790" s="391"/>
      <c r="Q790" s="391"/>
      <c r="R790" s="391"/>
      <c r="S790" s="391"/>
      <c r="T790" s="391"/>
      <c r="U790" s="391"/>
      <c r="V790" s="391"/>
      <c r="W790" s="391"/>
      <c r="X790" s="391"/>
      <c r="Y790" s="391"/>
      <c r="Z790" s="391"/>
      <c r="AA790" s="391"/>
      <c r="AB790" s="391"/>
      <c r="AC790" s="391"/>
      <c r="AD790" s="391"/>
      <c r="AE790" s="391"/>
      <c r="AF790" s="391"/>
      <c r="AG790" s="391"/>
      <c r="AH790" s="392"/>
      <c r="AI790" s="391"/>
      <c r="AJ790" s="391"/>
    </row>
    <row r="791" spans="1:36" ht="13.5" x14ac:dyDescent="0.25">
      <c r="A791" s="391"/>
      <c r="B791" s="391"/>
      <c r="C791" s="391"/>
      <c r="D791" s="391"/>
      <c r="E791" s="391"/>
      <c r="F791" s="391"/>
      <c r="G791" s="391"/>
      <c r="H791" s="391"/>
      <c r="I791" s="391"/>
      <c r="J791" s="391"/>
      <c r="K791" s="391"/>
      <c r="L791" s="391"/>
      <c r="M791" s="391"/>
      <c r="N791" s="391"/>
      <c r="O791" s="391"/>
      <c r="P791" s="391"/>
      <c r="Q791" s="391"/>
      <c r="R791" s="391"/>
      <c r="S791" s="391"/>
      <c r="T791" s="391"/>
      <c r="U791" s="391"/>
      <c r="V791" s="391"/>
      <c r="W791" s="391"/>
      <c r="X791" s="391"/>
      <c r="Y791" s="391"/>
      <c r="Z791" s="391"/>
      <c r="AA791" s="391"/>
      <c r="AB791" s="391"/>
      <c r="AC791" s="391"/>
      <c r="AD791" s="391"/>
      <c r="AE791" s="391"/>
      <c r="AF791" s="391"/>
      <c r="AG791" s="391"/>
      <c r="AH791" s="392"/>
      <c r="AI791" s="391"/>
      <c r="AJ791" s="391"/>
    </row>
    <row r="792" spans="1:36" ht="13.5" x14ac:dyDescent="0.25">
      <c r="A792" s="391"/>
      <c r="B792" s="391"/>
      <c r="C792" s="391"/>
      <c r="D792" s="391"/>
      <c r="E792" s="391"/>
      <c r="F792" s="391"/>
      <c r="G792" s="391"/>
      <c r="H792" s="391"/>
      <c r="I792" s="391"/>
      <c r="J792" s="391"/>
      <c r="K792" s="391"/>
      <c r="L792" s="391"/>
      <c r="M792" s="391"/>
      <c r="N792" s="391"/>
      <c r="O792" s="391"/>
      <c r="P792" s="391"/>
      <c r="Q792" s="391"/>
      <c r="R792" s="391"/>
      <c r="S792" s="391"/>
      <c r="T792" s="391"/>
      <c r="U792" s="391"/>
      <c r="V792" s="391"/>
      <c r="W792" s="391"/>
      <c r="X792" s="391"/>
      <c r="Y792" s="391"/>
      <c r="Z792" s="391"/>
      <c r="AA792" s="391"/>
      <c r="AB792" s="391"/>
      <c r="AC792" s="391"/>
      <c r="AD792" s="391"/>
      <c r="AE792" s="391"/>
      <c r="AF792" s="391"/>
      <c r="AG792" s="391"/>
      <c r="AH792" s="392"/>
      <c r="AI792" s="391"/>
      <c r="AJ792" s="391"/>
    </row>
    <row r="793" spans="1:36" ht="13.5" x14ac:dyDescent="0.25">
      <c r="A793" s="391"/>
      <c r="B793" s="391"/>
      <c r="C793" s="391"/>
      <c r="D793" s="391"/>
      <c r="E793" s="391"/>
      <c r="F793" s="391"/>
      <c r="G793" s="391"/>
      <c r="H793" s="391"/>
      <c r="I793" s="391"/>
      <c r="J793" s="391"/>
      <c r="K793" s="391"/>
      <c r="L793" s="391"/>
      <c r="M793" s="391"/>
      <c r="N793" s="391"/>
      <c r="O793" s="391"/>
      <c r="P793" s="391"/>
      <c r="Q793" s="391"/>
      <c r="R793" s="391"/>
      <c r="S793" s="391"/>
      <c r="T793" s="391"/>
      <c r="U793" s="391"/>
      <c r="V793" s="391"/>
      <c r="W793" s="391"/>
      <c r="X793" s="391"/>
      <c r="Y793" s="391"/>
      <c r="Z793" s="391"/>
      <c r="AA793" s="391"/>
      <c r="AB793" s="391"/>
      <c r="AC793" s="391"/>
      <c r="AD793" s="391"/>
      <c r="AE793" s="391"/>
      <c r="AF793" s="391"/>
      <c r="AG793" s="391"/>
      <c r="AH793" s="392"/>
      <c r="AI793" s="391"/>
      <c r="AJ793" s="391"/>
    </row>
    <row r="794" spans="1:36" ht="13.5" x14ac:dyDescent="0.25">
      <c r="A794" s="391"/>
      <c r="B794" s="391"/>
      <c r="C794" s="391"/>
      <c r="D794" s="391"/>
      <c r="E794" s="391"/>
      <c r="F794" s="391"/>
      <c r="G794" s="391"/>
      <c r="H794" s="391"/>
      <c r="I794" s="391"/>
      <c r="J794" s="391"/>
      <c r="K794" s="391"/>
      <c r="L794" s="391"/>
      <c r="M794" s="391"/>
      <c r="N794" s="391"/>
      <c r="O794" s="391"/>
      <c r="P794" s="391"/>
      <c r="Q794" s="391"/>
      <c r="R794" s="391"/>
      <c r="S794" s="391"/>
      <c r="T794" s="391"/>
      <c r="U794" s="391"/>
      <c r="V794" s="391"/>
      <c r="W794" s="391"/>
      <c r="X794" s="391"/>
      <c r="Y794" s="391"/>
      <c r="Z794" s="391"/>
      <c r="AA794" s="391"/>
      <c r="AB794" s="391"/>
      <c r="AC794" s="391"/>
      <c r="AD794" s="391"/>
      <c r="AE794" s="391"/>
      <c r="AF794" s="391"/>
      <c r="AG794" s="391"/>
      <c r="AH794" s="392"/>
      <c r="AI794" s="391"/>
      <c r="AJ794" s="391"/>
    </row>
    <row r="795" spans="1:36" ht="13.5" x14ac:dyDescent="0.25">
      <c r="A795" s="391"/>
      <c r="B795" s="391"/>
      <c r="C795" s="391"/>
      <c r="D795" s="391"/>
      <c r="E795" s="391"/>
      <c r="F795" s="391"/>
      <c r="G795" s="391"/>
      <c r="H795" s="391"/>
      <c r="I795" s="391"/>
      <c r="J795" s="391"/>
      <c r="K795" s="391"/>
      <c r="L795" s="391"/>
      <c r="M795" s="391"/>
      <c r="N795" s="391"/>
      <c r="O795" s="391"/>
      <c r="P795" s="391"/>
      <c r="Q795" s="391"/>
      <c r="R795" s="391"/>
      <c r="S795" s="391"/>
      <c r="T795" s="391"/>
      <c r="U795" s="391"/>
      <c r="V795" s="391"/>
      <c r="W795" s="391"/>
      <c r="X795" s="391"/>
      <c r="Y795" s="391"/>
      <c r="Z795" s="391"/>
      <c r="AA795" s="391"/>
      <c r="AB795" s="391"/>
      <c r="AC795" s="391"/>
      <c r="AD795" s="391"/>
      <c r="AE795" s="391"/>
      <c r="AF795" s="391"/>
      <c r="AG795" s="391"/>
      <c r="AH795" s="392"/>
      <c r="AI795" s="391"/>
      <c r="AJ795" s="391"/>
    </row>
    <row r="796" spans="1:36" ht="13.5" x14ac:dyDescent="0.25">
      <c r="A796" s="391"/>
      <c r="B796" s="391"/>
      <c r="C796" s="391"/>
      <c r="D796" s="391"/>
      <c r="E796" s="391"/>
      <c r="F796" s="391"/>
      <c r="G796" s="391"/>
      <c r="H796" s="391"/>
      <c r="I796" s="391"/>
      <c r="J796" s="391"/>
      <c r="K796" s="391"/>
      <c r="L796" s="391"/>
      <c r="M796" s="391"/>
      <c r="N796" s="391"/>
      <c r="O796" s="391"/>
      <c r="P796" s="391"/>
      <c r="Q796" s="391"/>
      <c r="R796" s="391"/>
      <c r="S796" s="391"/>
      <c r="T796" s="391"/>
      <c r="U796" s="391"/>
      <c r="V796" s="391"/>
      <c r="W796" s="391"/>
      <c r="X796" s="391"/>
      <c r="Y796" s="391"/>
      <c r="Z796" s="391"/>
      <c r="AA796" s="391"/>
      <c r="AB796" s="391"/>
      <c r="AC796" s="391"/>
      <c r="AD796" s="391"/>
      <c r="AE796" s="391"/>
      <c r="AF796" s="391"/>
      <c r="AG796" s="391"/>
      <c r="AH796" s="392"/>
      <c r="AI796" s="391"/>
      <c r="AJ796" s="391"/>
    </row>
    <row r="797" spans="1:36" ht="13.5" x14ac:dyDescent="0.25">
      <c r="A797" s="391"/>
      <c r="B797" s="391"/>
      <c r="C797" s="391"/>
      <c r="D797" s="391"/>
      <c r="E797" s="391"/>
      <c r="F797" s="391"/>
      <c r="G797" s="391"/>
      <c r="H797" s="391"/>
      <c r="I797" s="391"/>
      <c r="J797" s="391"/>
      <c r="K797" s="391"/>
      <c r="L797" s="391"/>
      <c r="M797" s="391"/>
      <c r="N797" s="391"/>
      <c r="O797" s="391"/>
      <c r="P797" s="391"/>
      <c r="Q797" s="391"/>
      <c r="R797" s="391"/>
      <c r="S797" s="391"/>
      <c r="T797" s="391"/>
      <c r="U797" s="391"/>
      <c r="V797" s="391"/>
      <c r="W797" s="391"/>
      <c r="X797" s="391"/>
      <c r="Y797" s="391"/>
      <c r="Z797" s="391"/>
      <c r="AA797" s="391"/>
      <c r="AB797" s="391"/>
      <c r="AC797" s="391"/>
      <c r="AD797" s="391"/>
      <c r="AE797" s="391"/>
      <c r="AF797" s="391"/>
      <c r="AG797" s="391"/>
      <c r="AH797" s="392"/>
      <c r="AI797" s="391"/>
      <c r="AJ797" s="391"/>
    </row>
    <row r="798" spans="1:36" ht="13.5" x14ac:dyDescent="0.25">
      <c r="A798" s="391"/>
      <c r="B798" s="391"/>
      <c r="C798" s="391"/>
      <c r="D798" s="391"/>
      <c r="E798" s="391"/>
      <c r="F798" s="391"/>
      <c r="G798" s="391"/>
      <c r="H798" s="391"/>
      <c r="I798" s="391"/>
      <c r="J798" s="391"/>
      <c r="K798" s="391"/>
      <c r="L798" s="391"/>
      <c r="M798" s="391"/>
      <c r="N798" s="391"/>
      <c r="O798" s="391"/>
      <c r="P798" s="391"/>
      <c r="Q798" s="391"/>
      <c r="R798" s="391"/>
      <c r="S798" s="391"/>
      <c r="T798" s="391"/>
      <c r="U798" s="391"/>
      <c r="V798" s="391"/>
      <c r="W798" s="391"/>
      <c r="X798" s="391"/>
      <c r="Y798" s="391"/>
      <c r="Z798" s="391"/>
      <c r="AA798" s="391"/>
      <c r="AB798" s="391"/>
      <c r="AC798" s="391"/>
      <c r="AD798" s="391"/>
      <c r="AE798" s="391"/>
      <c r="AF798" s="391"/>
      <c r="AG798" s="391"/>
      <c r="AH798" s="392"/>
      <c r="AI798" s="391"/>
      <c r="AJ798" s="391"/>
    </row>
    <row r="799" spans="1:36" ht="13.5" x14ac:dyDescent="0.25">
      <c r="A799" s="391"/>
      <c r="B799" s="391"/>
      <c r="C799" s="391"/>
      <c r="D799" s="391"/>
      <c r="E799" s="391"/>
      <c r="F799" s="391"/>
      <c r="G799" s="391"/>
      <c r="H799" s="391"/>
      <c r="I799" s="391"/>
      <c r="J799" s="391"/>
      <c r="K799" s="391"/>
      <c r="L799" s="391"/>
      <c r="M799" s="391"/>
      <c r="N799" s="391"/>
      <c r="O799" s="391"/>
      <c r="P799" s="391"/>
      <c r="Q799" s="391"/>
      <c r="R799" s="391"/>
      <c r="S799" s="391"/>
      <c r="T799" s="391"/>
      <c r="U799" s="391"/>
      <c r="V799" s="391"/>
      <c r="W799" s="391"/>
      <c r="X799" s="391"/>
      <c r="Y799" s="391"/>
      <c r="Z799" s="391"/>
      <c r="AA799" s="391"/>
      <c r="AB799" s="391"/>
      <c r="AC799" s="391"/>
      <c r="AD799" s="391"/>
      <c r="AE799" s="391"/>
      <c r="AF799" s="391"/>
      <c r="AG799" s="391"/>
      <c r="AH799" s="392"/>
      <c r="AI799" s="391"/>
      <c r="AJ799" s="391"/>
    </row>
    <row r="800" spans="1:36" ht="13.5" x14ac:dyDescent="0.25">
      <c r="A800" s="391"/>
      <c r="B800" s="391"/>
      <c r="C800" s="391"/>
      <c r="D800" s="391"/>
      <c r="E800" s="391"/>
      <c r="F800" s="391"/>
      <c r="G800" s="391"/>
      <c r="H800" s="391"/>
      <c r="I800" s="391"/>
      <c r="J800" s="391"/>
      <c r="K800" s="391"/>
      <c r="L800" s="391"/>
      <c r="M800" s="391"/>
      <c r="N800" s="391"/>
      <c r="O800" s="391"/>
      <c r="P800" s="391"/>
      <c r="Q800" s="391"/>
      <c r="R800" s="391"/>
      <c r="S800" s="391"/>
      <c r="T800" s="391"/>
      <c r="U800" s="391"/>
      <c r="V800" s="391"/>
      <c r="W800" s="391"/>
      <c r="X800" s="391"/>
      <c r="Y800" s="391"/>
      <c r="Z800" s="391"/>
      <c r="AA800" s="391"/>
      <c r="AB800" s="391"/>
      <c r="AC800" s="391"/>
      <c r="AD800" s="391"/>
      <c r="AE800" s="391"/>
      <c r="AF800" s="391"/>
      <c r="AG800" s="391"/>
      <c r="AH800" s="392"/>
      <c r="AI800" s="391"/>
      <c r="AJ800" s="391"/>
    </row>
    <row r="801" spans="1:36" ht="13.5" x14ac:dyDescent="0.25">
      <c r="A801" s="391"/>
      <c r="B801" s="391"/>
      <c r="C801" s="391"/>
      <c r="D801" s="391"/>
      <c r="E801" s="391"/>
      <c r="F801" s="391"/>
      <c r="G801" s="391"/>
      <c r="H801" s="391"/>
      <c r="I801" s="391"/>
      <c r="J801" s="391"/>
      <c r="K801" s="391"/>
      <c r="L801" s="391"/>
      <c r="M801" s="391"/>
      <c r="N801" s="391"/>
      <c r="O801" s="391"/>
      <c r="P801" s="391"/>
      <c r="Q801" s="391"/>
      <c r="R801" s="391"/>
      <c r="S801" s="391"/>
      <c r="T801" s="391"/>
      <c r="U801" s="391"/>
      <c r="V801" s="391"/>
      <c r="W801" s="391"/>
      <c r="X801" s="391"/>
      <c r="Y801" s="391"/>
      <c r="Z801" s="391"/>
      <c r="AA801" s="391"/>
      <c r="AB801" s="391"/>
      <c r="AC801" s="391"/>
      <c r="AD801" s="391"/>
      <c r="AE801" s="391"/>
      <c r="AF801" s="391"/>
      <c r="AG801" s="391"/>
      <c r="AH801" s="392"/>
      <c r="AI801" s="391"/>
      <c r="AJ801" s="391"/>
    </row>
    <row r="802" spans="1:36" ht="13.5" x14ac:dyDescent="0.25">
      <c r="A802" s="391"/>
      <c r="B802" s="391"/>
      <c r="C802" s="391"/>
      <c r="D802" s="391"/>
      <c r="E802" s="391"/>
      <c r="F802" s="391"/>
      <c r="G802" s="391"/>
      <c r="H802" s="391"/>
      <c r="I802" s="391"/>
      <c r="J802" s="391"/>
      <c r="K802" s="391"/>
      <c r="L802" s="391"/>
      <c r="M802" s="391"/>
      <c r="N802" s="391"/>
      <c r="O802" s="391"/>
      <c r="P802" s="391"/>
      <c r="Q802" s="391"/>
      <c r="R802" s="391"/>
      <c r="S802" s="391"/>
      <c r="T802" s="391"/>
      <c r="U802" s="391"/>
      <c r="V802" s="391"/>
      <c r="W802" s="391"/>
      <c r="X802" s="391"/>
      <c r="Y802" s="391"/>
      <c r="Z802" s="391"/>
      <c r="AA802" s="391"/>
      <c r="AB802" s="391"/>
      <c r="AC802" s="391"/>
      <c r="AD802" s="391"/>
      <c r="AE802" s="391"/>
      <c r="AF802" s="391"/>
      <c r="AG802" s="391"/>
      <c r="AH802" s="392"/>
      <c r="AI802" s="391"/>
      <c r="AJ802" s="391"/>
    </row>
    <row r="803" spans="1:36" ht="13.5" x14ac:dyDescent="0.25">
      <c r="A803" s="391"/>
      <c r="B803" s="391"/>
      <c r="C803" s="391"/>
      <c r="D803" s="391"/>
      <c r="E803" s="391"/>
      <c r="F803" s="391"/>
      <c r="G803" s="391"/>
      <c r="H803" s="391"/>
      <c r="I803" s="391"/>
      <c r="J803" s="391"/>
      <c r="K803" s="391"/>
      <c r="L803" s="391"/>
      <c r="M803" s="391"/>
      <c r="N803" s="391"/>
      <c r="O803" s="391"/>
      <c r="P803" s="391"/>
      <c r="Q803" s="391"/>
      <c r="R803" s="391"/>
      <c r="S803" s="391"/>
      <c r="T803" s="391"/>
      <c r="U803" s="391"/>
      <c r="V803" s="391"/>
      <c r="W803" s="391"/>
      <c r="X803" s="391"/>
      <c r="Y803" s="391"/>
      <c r="Z803" s="391"/>
      <c r="AA803" s="391"/>
      <c r="AB803" s="391"/>
      <c r="AC803" s="391"/>
      <c r="AD803" s="391"/>
      <c r="AE803" s="391"/>
      <c r="AF803" s="391"/>
      <c r="AG803" s="391"/>
      <c r="AH803" s="392"/>
      <c r="AI803" s="391"/>
      <c r="AJ803" s="391"/>
    </row>
    <row r="804" spans="1:36" ht="13.5" x14ac:dyDescent="0.25">
      <c r="A804" s="391"/>
      <c r="B804" s="391"/>
      <c r="C804" s="391"/>
      <c r="D804" s="391"/>
      <c r="E804" s="391"/>
      <c r="F804" s="391"/>
      <c r="G804" s="391"/>
      <c r="H804" s="391"/>
      <c r="I804" s="391"/>
      <c r="J804" s="391"/>
      <c r="K804" s="391"/>
      <c r="L804" s="391"/>
      <c r="M804" s="391"/>
      <c r="N804" s="391"/>
      <c r="O804" s="391"/>
      <c r="P804" s="391"/>
      <c r="Q804" s="391"/>
      <c r="R804" s="391"/>
      <c r="S804" s="391"/>
      <c r="T804" s="391"/>
      <c r="U804" s="391"/>
      <c r="V804" s="391"/>
      <c r="W804" s="391"/>
      <c r="X804" s="391"/>
      <c r="Y804" s="391"/>
      <c r="Z804" s="391"/>
      <c r="AA804" s="391"/>
      <c r="AB804" s="391"/>
      <c r="AC804" s="391"/>
      <c r="AD804" s="391"/>
      <c r="AE804" s="391"/>
      <c r="AF804" s="391"/>
      <c r="AG804" s="391"/>
      <c r="AH804" s="392"/>
      <c r="AI804" s="391"/>
      <c r="AJ804" s="391"/>
    </row>
    <row r="805" spans="1:36" ht="13.5" x14ac:dyDescent="0.25">
      <c r="A805" s="391"/>
      <c r="B805" s="391"/>
      <c r="C805" s="391"/>
      <c r="D805" s="391"/>
      <c r="E805" s="391"/>
      <c r="F805" s="391"/>
      <c r="G805" s="391"/>
      <c r="H805" s="391"/>
      <c r="I805" s="391"/>
      <c r="J805" s="391"/>
      <c r="K805" s="391"/>
      <c r="L805" s="391"/>
      <c r="M805" s="391"/>
      <c r="N805" s="391"/>
      <c r="O805" s="391"/>
      <c r="P805" s="391"/>
      <c r="Q805" s="391"/>
      <c r="R805" s="391"/>
      <c r="S805" s="391"/>
      <c r="T805" s="391"/>
      <c r="U805" s="391"/>
      <c r="V805" s="391"/>
      <c r="W805" s="391"/>
      <c r="X805" s="391"/>
      <c r="Y805" s="391"/>
      <c r="Z805" s="391"/>
      <c r="AA805" s="391"/>
      <c r="AB805" s="391"/>
      <c r="AC805" s="391"/>
      <c r="AD805" s="391"/>
      <c r="AE805" s="391"/>
      <c r="AF805" s="391"/>
      <c r="AG805" s="391"/>
      <c r="AH805" s="392"/>
      <c r="AI805" s="391"/>
      <c r="AJ805" s="391"/>
    </row>
    <row r="806" spans="1:36" ht="13.5" x14ac:dyDescent="0.25">
      <c r="A806" s="391"/>
      <c r="B806" s="391"/>
      <c r="C806" s="391"/>
      <c r="D806" s="391"/>
      <c r="E806" s="391"/>
      <c r="F806" s="391"/>
      <c r="G806" s="391"/>
      <c r="H806" s="391"/>
      <c r="I806" s="391"/>
      <c r="J806" s="391"/>
      <c r="K806" s="391"/>
      <c r="L806" s="391"/>
      <c r="M806" s="391"/>
      <c r="N806" s="391"/>
      <c r="O806" s="391"/>
      <c r="P806" s="391"/>
      <c r="Q806" s="391"/>
      <c r="R806" s="391"/>
      <c r="S806" s="391"/>
      <c r="T806" s="391"/>
      <c r="U806" s="391"/>
      <c r="V806" s="391"/>
      <c r="W806" s="391"/>
      <c r="X806" s="391"/>
      <c r="Y806" s="391"/>
      <c r="Z806" s="391"/>
      <c r="AA806" s="391"/>
      <c r="AB806" s="391"/>
      <c r="AC806" s="391"/>
      <c r="AD806" s="391"/>
      <c r="AE806" s="391"/>
      <c r="AF806" s="391"/>
      <c r="AG806" s="391"/>
      <c r="AH806" s="392"/>
      <c r="AI806" s="391"/>
      <c r="AJ806" s="391"/>
    </row>
    <row r="807" spans="1:36" ht="13.5" x14ac:dyDescent="0.25">
      <c r="A807" s="391"/>
      <c r="B807" s="391"/>
      <c r="C807" s="391"/>
      <c r="D807" s="391"/>
      <c r="E807" s="391"/>
      <c r="F807" s="391"/>
      <c r="G807" s="391"/>
      <c r="H807" s="391"/>
      <c r="I807" s="391"/>
      <c r="J807" s="391"/>
      <c r="K807" s="391"/>
      <c r="L807" s="391"/>
      <c r="M807" s="391"/>
      <c r="N807" s="391"/>
      <c r="O807" s="391"/>
      <c r="P807" s="391"/>
      <c r="Q807" s="391"/>
      <c r="R807" s="391"/>
      <c r="S807" s="391"/>
      <c r="T807" s="391"/>
      <c r="U807" s="391"/>
      <c r="V807" s="391"/>
      <c r="W807" s="391"/>
      <c r="X807" s="391"/>
      <c r="Y807" s="391"/>
      <c r="Z807" s="391"/>
      <c r="AA807" s="391"/>
      <c r="AB807" s="391"/>
      <c r="AC807" s="391"/>
      <c r="AD807" s="391"/>
      <c r="AE807" s="391"/>
      <c r="AF807" s="391"/>
      <c r="AG807" s="391"/>
      <c r="AH807" s="392"/>
      <c r="AI807" s="391"/>
      <c r="AJ807" s="391"/>
    </row>
    <row r="808" spans="1:36" ht="13.5" x14ac:dyDescent="0.25">
      <c r="A808" s="391"/>
      <c r="B808" s="391"/>
      <c r="C808" s="391"/>
      <c r="D808" s="391"/>
      <c r="E808" s="391"/>
      <c r="F808" s="391"/>
      <c r="G808" s="391"/>
      <c r="H808" s="391"/>
      <c r="I808" s="391"/>
      <c r="J808" s="391"/>
      <c r="K808" s="391"/>
      <c r="L808" s="391"/>
      <c r="M808" s="391"/>
      <c r="N808" s="391"/>
      <c r="O808" s="391"/>
      <c r="P808" s="391"/>
      <c r="Q808" s="391"/>
      <c r="R808" s="391"/>
      <c r="S808" s="391"/>
      <c r="T808" s="391"/>
      <c r="U808" s="391"/>
      <c r="V808" s="391"/>
      <c r="W808" s="391"/>
      <c r="X808" s="391"/>
      <c r="Y808" s="391"/>
      <c r="Z808" s="391"/>
      <c r="AA808" s="391"/>
      <c r="AB808" s="391"/>
      <c r="AC808" s="391"/>
      <c r="AD808" s="391"/>
      <c r="AE808" s="391"/>
      <c r="AF808" s="391"/>
      <c r="AG808" s="391"/>
      <c r="AH808" s="392"/>
      <c r="AI808" s="391"/>
      <c r="AJ808" s="391"/>
    </row>
    <row r="809" spans="1:36" ht="13.5" x14ac:dyDescent="0.25">
      <c r="A809" s="391"/>
      <c r="B809" s="391"/>
      <c r="C809" s="391"/>
      <c r="D809" s="391"/>
      <c r="E809" s="391"/>
      <c r="F809" s="391"/>
      <c r="G809" s="391"/>
      <c r="H809" s="391"/>
      <c r="I809" s="391"/>
      <c r="J809" s="391"/>
      <c r="K809" s="391"/>
      <c r="L809" s="391"/>
      <c r="M809" s="391"/>
      <c r="N809" s="391"/>
      <c r="O809" s="391"/>
      <c r="P809" s="391"/>
      <c r="Q809" s="391"/>
      <c r="R809" s="391"/>
      <c r="S809" s="391"/>
      <c r="T809" s="391"/>
      <c r="U809" s="391"/>
      <c r="V809" s="391"/>
      <c r="W809" s="391"/>
      <c r="X809" s="391"/>
      <c r="Y809" s="391"/>
      <c r="Z809" s="391"/>
      <c r="AA809" s="391"/>
      <c r="AB809" s="391"/>
      <c r="AC809" s="391"/>
      <c r="AD809" s="391"/>
      <c r="AE809" s="391"/>
      <c r="AF809" s="391"/>
      <c r="AG809" s="391"/>
      <c r="AH809" s="392"/>
      <c r="AI809" s="391"/>
      <c r="AJ809" s="391"/>
    </row>
    <row r="810" spans="1:36" ht="13.5" x14ac:dyDescent="0.25">
      <c r="A810" s="391"/>
      <c r="B810" s="391"/>
      <c r="C810" s="391"/>
      <c r="D810" s="391"/>
      <c r="E810" s="391"/>
      <c r="F810" s="391"/>
      <c r="G810" s="391"/>
      <c r="H810" s="391"/>
      <c r="I810" s="391"/>
      <c r="J810" s="391"/>
      <c r="K810" s="391"/>
      <c r="L810" s="391"/>
      <c r="M810" s="391"/>
      <c r="N810" s="391"/>
      <c r="O810" s="391"/>
      <c r="P810" s="391"/>
      <c r="Q810" s="391"/>
      <c r="R810" s="391"/>
      <c r="S810" s="391"/>
      <c r="T810" s="391"/>
      <c r="U810" s="391"/>
      <c r="V810" s="391"/>
      <c r="W810" s="391"/>
      <c r="X810" s="391"/>
      <c r="Y810" s="391"/>
      <c r="Z810" s="391"/>
      <c r="AA810" s="391"/>
      <c r="AB810" s="391"/>
      <c r="AC810" s="391"/>
      <c r="AD810" s="391"/>
      <c r="AE810" s="391"/>
      <c r="AF810" s="391"/>
      <c r="AG810" s="391"/>
      <c r="AH810" s="392"/>
      <c r="AI810" s="391"/>
      <c r="AJ810" s="391"/>
    </row>
    <row r="811" spans="1:36" ht="13.5" x14ac:dyDescent="0.25">
      <c r="A811" s="391"/>
      <c r="B811" s="391"/>
      <c r="C811" s="391"/>
      <c r="D811" s="391"/>
      <c r="E811" s="391"/>
      <c r="F811" s="391"/>
      <c r="G811" s="391"/>
      <c r="H811" s="391"/>
      <c r="I811" s="391"/>
      <c r="J811" s="391"/>
      <c r="K811" s="391"/>
      <c r="L811" s="391"/>
      <c r="M811" s="391"/>
      <c r="N811" s="391"/>
      <c r="O811" s="391"/>
      <c r="P811" s="391"/>
      <c r="Q811" s="391"/>
      <c r="R811" s="391"/>
      <c r="S811" s="391"/>
      <c r="T811" s="391"/>
      <c r="U811" s="391"/>
      <c r="V811" s="391"/>
      <c r="W811" s="391"/>
      <c r="X811" s="391"/>
      <c r="Y811" s="391"/>
      <c r="Z811" s="391"/>
      <c r="AA811" s="391"/>
      <c r="AB811" s="391"/>
      <c r="AC811" s="391"/>
      <c r="AD811" s="391"/>
      <c r="AE811" s="391"/>
      <c r="AF811" s="391"/>
      <c r="AG811" s="391"/>
      <c r="AH811" s="392"/>
      <c r="AI811" s="391"/>
      <c r="AJ811" s="391"/>
    </row>
    <row r="812" spans="1:36" ht="13.5" x14ac:dyDescent="0.25">
      <c r="A812" s="391"/>
      <c r="B812" s="391"/>
      <c r="C812" s="391"/>
      <c r="D812" s="391"/>
      <c r="E812" s="391"/>
      <c r="F812" s="391"/>
      <c r="G812" s="391"/>
      <c r="H812" s="391"/>
      <c r="I812" s="391"/>
      <c r="J812" s="391"/>
      <c r="K812" s="391"/>
      <c r="L812" s="391"/>
      <c r="M812" s="391"/>
      <c r="N812" s="391"/>
      <c r="O812" s="391"/>
      <c r="P812" s="391"/>
      <c r="Q812" s="391"/>
      <c r="R812" s="391"/>
      <c r="S812" s="391"/>
      <c r="T812" s="391"/>
      <c r="U812" s="391"/>
      <c r="V812" s="391"/>
      <c r="W812" s="391"/>
      <c r="X812" s="391"/>
      <c r="Y812" s="391"/>
      <c r="Z812" s="391"/>
      <c r="AA812" s="391"/>
      <c r="AB812" s="391"/>
      <c r="AC812" s="391"/>
      <c r="AD812" s="391"/>
      <c r="AE812" s="391"/>
      <c r="AF812" s="391"/>
      <c r="AG812" s="391"/>
      <c r="AH812" s="392"/>
      <c r="AI812" s="391"/>
      <c r="AJ812" s="391"/>
    </row>
    <row r="813" spans="1:36" ht="13.5" x14ac:dyDescent="0.25">
      <c r="A813" s="391"/>
      <c r="B813" s="391"/>
      <c r="C813" s="391"/>
      <c r="D813" s="391"/>
      <c r="E813" s="391"/>
      <c r="F813" s="391"/>
      <c r="G813" s="391"/>
      <c r="H813" s="391"/>
      <c r="I813" s="391"/>
      <c r="J813" s="391"/>
      <c r="K813" s="391"/>
      <c r="L813" s="391"/>
      <c r="M813" s="391"/>
      <c r="N813" s="391"/>
      <c r="O813" s="391"/>
      <c r="P813" s="391"/>
      <c r="Q813" s="391"/>
      <c r="R813" s="391"/>
      <c r="S813" s="391"/>
      <c r="T813" s="391"/>
      <c r="U813" s="391"/>
      <c r="V813" s="391"/>
      <c r="W813" s="391"/>
      <c r="X813" s="391"/>
      <c r="Y813" s="391"/>
      <c r="Z813" s="391"/>
      <c r="AA813" s="391"/>
      <c r="AB813" s="391"/>
      <c r="AC813" s="391"/>
      <c r="AD813" s="391"/>
      <c r="AE813" s="391"/>
      <c r="AF813" s="391"/>
      <c r="AG813" s="391"/>
      <c r="AH813" s="392"/>
      <c r="AI813" s="391"/>
      <c r="AJ813" s="391"/>
    </row>
    <row r="814" spans="1:36" ht="13.5" x14ac:dyDescent="0.25">
      <c r="A814" s="391"/>
      <c r="B814" s="391"/>
      <c r="C814" s="391"/>
      <c r="D814" s="391"/>
      <c r="E814" s="391"/>
      <c r="F814" s="391"/>
      <c r="G814" s="391"/>
      <c r="H814" s="391"/>
      <c r="I814" s="391"/>
      <c r="J814" s="391"/>
      <c r="K814" s="391"/>
      <c r="L814" s="391"/>
      <c r="M814" s="391"/>
      <c r="N814" s="391"/>
      <c r="O814" s="391"/>
      <c r="P814" s="391"/>
      <c r="Q814" s="391"/>
      <c r="R814" s="391"/>
      <c r="S814" s="391"/>
      <c r="T814" s="391"/>
      <c r="U814" s="391"/>
      <c r="V814" s="391"/>
      <c r="W814" s="391"/>
      <c r="X814" s="391"/>
      <c r="Y814" s="391"/>
      <c r="Z814" s="391"/>
      <c r="AA814" s="391"/>
      <c r="AB814" s="391"/>
      <c r="AC814" s="391"/>
      <c r="AD814" s="391"/>
      <c r="AE814" s="391"/>
      <c r="AF814" s="391"/>
      <c r="AG814" s="391"/>
      <c r="AH814" s="392"/>
      <c r="AI814" s="391"/>
      <c r="AJ814" s="391"/>
    </row>
    <row r="815" spans="1:36" ht="13.5" x14ac:dyDescent="0.25">
      <c r="A815" s="391"/>
      <c r="B815" s="391"/>
      <c r="C815" s="391"/>
      <c r="D815" s="391"/>
      <c r="E815" s="391"/>
      <c r="F815" s="391"/>
      <c r="G815" s="391"/>
      <c r="H815" s="391"/>
      <c r="I815" s="391"/>
      <c r="J815" s="391"/>
      <c r="K815" s="391"/>
      <c r="L815" s="391"/>
      <c r="M815" s="391"/>
      <c r="N815" s="391"/>
      <c r="O815" s="391"/>
      <c r="P815" s="391"/>
      <c r="Q815" s="391"/>
      <c r="R815" s="391"/>
      <c r="S815" s="391"/>
      <c r="T815" s="391"/>
      <c r="U815" s="391"/>
      <c r="V815" s="391"/>
      <c r="W815" s="391"/>
      <c r="X815" s="391"/>
      <c r="Y815" s="391"/>
      <c r="Z815" s="391"/>
      <c r="AA815" s="391"/>
      <c r="AB815" s="391"/>
      <c r="AC815" s="391"/>
      <c r="AD815" s="391"/>
      <c r="AE815" s="391"/>
      <c r="AF815" s="391"/>
      <c r="AG815" s="391"/>
      <c r="AH815" s="392"/>
      <c r="AI815" s="391"/>
      <c r="AJ815" s="391"/>
    </row>
    <row r="816" spans="1:36" ht="13.5" x14ac:dyDescent="0.25">
      <c r="A816" s="391"/>
      <c r="B816" s="391"/>
      <c r="C816" s="391"/>
      <c r="D816" s="391"/>
      <c r="E816" s="391"/>
      <c r="F816" s="391"/>
      <c r="G816" s="391"/>
      <c r="H816" s="391"/>
      <c r="I816" s="391"/>
      <c r="J816" s="391"/>
      <c r="K816" s="391"/>
      <c r="L816" s="391"/>
      <c r="M816" s="391"/>
      <c r="N816" s="391"/>
      <c r="O816" s="391"/>
      <c r="P816" s="391"/>
      <c r="Q816" s="391"/>
      <c r="R816" s="391"/>
      <c r="S816" s="391"/>
      <c r="T816" s="391"/>
      <c r="U816" s="391"/>
      <c r="V816" s="391"/>
      <c r="W816" s="391"/>
      <c r="X816" s="391"/>
      <c r="Y816" s="391"/>
      <c r="Z816" s="391"/>
      <c r="AA816" s="391"/>
      <c r="AB816" s="391"/>
      <c r="AC816" s="391"/>
      <c r="AD816" s="391"/>
      <c r="AE816" s="391"/>
      <c r="AF816" s="391"/>
      <c r="AG816" s="391"/>
      <c r="AH816" s="392"/>
      <c r="AI816" s="391"/>
      <c r="AJ816" s="391"/>
    </row>
    <row r="817" spans="1:36" ht="13.5" x14ac:dyDescent="0.25">
      <c r="A817" s="391"/>
      <c r="B817" s="391"/>
      <c r="C817" s="391"/>
      <c r="D817" s="391"/>
      <c r="E817" s="391"/>
      <c r="F817" s="391"/>
      <c r="G817" s="391"/>
      <c r="H817" s="391"/>
      <c r="I817" s="391"/>
      <c r="J817" s="391"/>
      <c r="K817" s="391"/>
      <c r="L817" s="391"/>
      <c r="M817" s="391"/>
      <c r="N817" s="391"/>
      <c r="O817" s="391"/>
      <c r="P817" s="391"/>
      <c r="Q817" s="391"/>
      <c r="R817" s="391"/>
      <c r="S817" s="391"/>
      <c r="T817" s="391"/>
      <c r="U817" s="391"/>
      <c r="V817" s="391"/>
      <c r="W817" s="391"/>
      <c r="X817" s="391"/>
      <c r="Y817" s="391"/>
      <c r="Z817" s="391"/>
      <c r="AA817" s="391"/>
      <c r="AB817" s="391"/>
      <c r="AC817" s="391"/>
      <c r="AD817" s="391"/>
      <c r="AE817" s="391"/>
      <c r="AF817" s="391"/>
      <c r="AG817" s="391"/>
      <c r="AH817" s="392"/>
      <c r="AI817" s="391"/>
      <c r="AJ817" s="391"/>
    </row>
    <row r="818" spans="1:36" ht="13.5" x14ac:dyDescent="0.25">
      <c r="A818" s="391"/>
      <c r="B818" s="391"/>
      <c r="C818" s="391"/>
      <c r="D818" s="391"/>
      <c r="E818" s="391"/>
      <c r="F818" s="391"/>
      <c r="G818" s="391"/>
      <c r="H818" s="391"/>
      <c r="I818" s="391"/>
      <c r="J818" s="391"/>
      <c r="K818" s="391"/>
      <c r="L818" s="391"/>
      <c r="M818" s="391"/>
      <c r="N818" s="391"/>
      <c r="O818" s="391"/>
      <c r="P818" s="391"/>
      <c r="Q818" s="391"/>
      <c r="R818" s="391"/>
      <c r="S818" s="391"/>
      <c r="T818" s="391"/>
      <c r="U818" s="391"/>
      <c r="V818" s="391"/>
      <c r="W818" s="391"/>
      <c r="X818" s="391"/>
      <c r="Y818" s="391"/>
      <c r="Z818" s="391"/>
      <c r="AA818" s="391"/>
      <c r="AB818" s="391"/>
      <c r="AC818" s="391"/>
      <c r="AD818" s="391"/>
      <c r="AE818" s="391"/>
      <c r="AF818" s="391"/>
      <c r="AG818" s="391"/>
      <c r="AH818" s="392"/>
      <c r="AI818" s="391"/>
      <c r="AJ818" s="391"/>
    </row>
    <row r="819" spans="1:36" ht="13.5" x14ac:dyDescent="0.25">
      <c r="A819" s="391"/>
      <c r="B819" s="391"/>
      <c r="C819" s="391"/>
      <c r="D819" s="391"/>
      <c r="E819" s="391"/>
      <c r="F819" s="391"/>
      <c r="G819" s="391"/>
      <c r="H819" s="391"/>
      <c r="I819" s="391"/>
      <c r="J819" s="391"/>
      <c r="K819" s="391"/>
      <c r="L819" s="391"/>
      <c r="M819" s="391"/>
      <c r="N819" s="391"/>
      <c r="O819" s="391"/>
      <c r="P819" s="391"/>
      <c r="Q819" s="391"/>
      <c r="R819" s="391"/>
      <c r="S819" s="391"/>
      <c r="T819" s="391"/>
      <c r="U819" s="391"/>
      <c r="V819" s="391"/>
      <c r="W819" s="391"/>
      <c r="X819" s="391"/>
      <c r="Y819" s="391"/>
      <c r="Z819" s="391"/>
      <c r="AA819" s="391"/>
      <c r="AB819" s="391"/>
      <c r="AC819" s="391"/>
      <c r="AD819" s="391"/>
      <c r="AE819" s="391"/>
      <c r="AF819" s="391"/>
      <c r="AG819" s="391"/>
      <c r="AH819" s="392"/>
      <c r="AI819" s="391"/>
      <c r="AJ819" s="391"/>
    </row>
    <row r="820" spans="1:36" ht="13.5" x14ac:dyDescent="0.25">
      <c r="A820" s="391"/>
      <c r="B820" s="391"/>
      <c r="C820" s="391"/>
      <c r="D820" s="391"/>
      <c r="E820" s="391"/>
      <c r="F820" s="391"/>
      <c r="G820" s="391"/>
      <c r="H820" s="391"/>
      <c r="I820" s="391"/>
      <c r="J820" s="391"/>
      <c r="K820" s="391"/>
      <c r="L820" s="391"/>
      <c r="M820" s="391"/>
      <c r="N820" s="391"/>
      <c r="O820" s="391"/>
      <c r="P820" s="391"/>
      <c r="Q820" s="391"/>
      <c r="R820" s="391"/>
      <c r="S820" s="391"/>
      <c r="T820" s="391"/>
      <c r="U820" s="391"/>
      <c r="V820" s="391"/>
      <c r="W820" s="391"/>
      <c r="X820" s="391"/>
      <c r="Y820" s="391"/>
      <c r="Z820" s="391"/>
      <c r="AA820" s="391"/>
      <c r="AB820" s="391"/>
      <c r="AC820" s="391"/>
      <c r="AD820" s="391"/>
      <c r="AE820" s="391"/>
      <c r="AF820" s="391"/>
      <c r="AG820" s="391"/>
      <c r="AH820" s="392"/>
      <c r="AI820" s="391"/>
      <c r="AJ820" s="391"/>
    </row>
    <row r="821" spans="1:36" ht="13.5" x14ac:dyDescent="0.25">
      <c r="A821" s="391"/>
      <c r="B821" s="391"/>
      <c r="C821" s="391"/>
      <c r="D821" s="391"/>
      <c r="E821" s="391"/>
      <c r="F821" s="391"/>
      <c r="G821" s="391"/>
      <c r="H821" s="391"/>
      <c r="I821" s="391"/>
      <c r="J821" s="391"/>
      <c r="K821" s="391"/>
      <c r="L821" s="391"/>
      <c r="M821" s="391"/>
      <c r="N821" s="391"/>
      <c r="O821" s="391"/>
      <c r="P821" s="391"/>
      <c r="Q821" s="391"/>
      <c r="R821" s="391"/>
      <c r="S821" s="391"/>
      <c r="T821" s="391"/>
      <c r="U821" s="391"/>
      <c r="V821" s="391"/>
      <c r="W821" s="391"/>
      <c r="X821" s="391"/>
      <c r="Y821" s="391"/>
      <c r="Z821" s="391"/>
      <c r="AA821" s="391"/>
      <c r="AB821" s="391"/>
      <c r="AC821" s="391"/>
      <c r="AD821" s="391"/>
      <c r="AE821" s="391"/>
      <c r="AF821" s="391"/>
      <c r="AG821" s="391"/>
      <c r="AH821" s="392"/>
      <c r="AI821" s="391"/>
      <c r="AJ821" s="391"/>
    </row>
    <row r="822" spans="1:36" ht="13.5" x14ac:dyDescent="0.25">
      <c r="A822" s="391"/>
      <c r="B822" s="391"/>
      <c r="C822" s="391"/>
      <c r="D822" s="391"/>
      <c r="E822" s="391"/>
      <c r="F822" s="391"/>
      <c r="G822" s="391"/>
      <c r="H822" s="391"/>
      <c r="I822" s="391"/>
      <c r="J822" s="391"/>
      <c r="K822" s="391"/>
      <c r="L822" s="391"/>
      <c r="M822" s="391"/>
      <c r="N822" s="391"/>
      <c r="O822" s="391"/>
      <c r="P822" s="391"/>
      <c r="Q822" s="391"/>
      <c r="R822" s="391"/>
      <c r="S822" s="391"/>
      <c r="T822" s="391"/>
      <c r="U822" s="391"/>
      <c r="V822" s="391"/>
      <c r="W822" s="391"/>
      <c r="X822" s="391"/>
      <c r="Y822" s="391"/>
      <c r="Z822" s="391"/>
      <c r="AA822" s="391"/>
      <c r="AB822" s="391"/>
      <c r="AC822" s="391"/>
      <c r="AD822" s="391"/>
      <c r="AE822" s="391"/>
      <c r="AF822" s="391"/>
      <c r="AG822" s="391"/>
      <c r="AH822" s="392"/>
      <c r="AI822" s="391"/>
      <c r="AJ822" s="391"/>
    </row>
    <row r="823" spans="1:36" ht="13.5" x14ac:dyDescent="0.25">
      <c r="A823" s="391"/>
      <c r="B823" s="391"/>
      <c r="C823" s="391"/>
      <c r="D823" s="391"/>
      <c r="E823" s="391"/>
      <c r="F823" s="391"/>
      <c r="G823" s="391"/>
      <c r="H823" s="391"/>
      <c r="I823" s="391"/>
      <c r="J823" s="391"/>
      <c r="K823" s="391"/>
      <c r="L823" s="391"/>
      <c r="M823" s="391"/>
      <c r="N823" s="391"/>
      <c r="O823" s="391"/>
      <c r="P823" s="391"/>
      <c r="Q823" s="391"/>
      <c r="R823" s="391"/>
      <c r="S823" s="391"/>
      <c r="T823" s="391"/>
      <c r="U823" s="391"/>
      <c r="V823" s="391"/>
      <c r="W823" s="391"/>
      <c r="X823" s="391"/>
      <c r="Y823" s="391"/>
      <c r="Z823" s="391"/>
      <c r="AA823" s="391"/>
      <c r="AB823" s="391"/>
      <c r="AC823" s="391"/>
      <c r="AD823" s="391"/>
      <c r="AE823" s="391"/>
      <c r="AF823" s="391"/>
      <c r="AG823" s="391"/>
      <c r="AH823" s="392"/>
      <c r="AI823" s="391"/>
      <c r="AJ823" s="391"/>
    </row>
    <row r="824" spans="1:36" ht="13.5" x14ac:dyDescent="0.25">
      <c r="A824" s="391"/>
      <c r="B824" s="391"/>
      <c r="C824" s="391"/>
      <c r="D824" s="391"/>
      <c r="E824" s="391"/>
      <c r="F824" s="391"/>
      <c r="G824" s="391"/>
      <c r="H824" s="391"/>
      <c r="I824" s="391"/>
      <c r="J824" s="391"/>
      <c r="K824" s="391"/>
      <c r="L824" s="391"/>
      <c r="M824" s="391"/>
      <c r="N824" s="391"/>
      <c r="O824" s="391"/>
      <c r="P824" s="391"/>
      <c r="Q824" s="391"/>
      <c r="R824" s="391"/>
      <c r="S824" s="391"/>
      <c r="T824" s="391"/>
      <c r="U824" s="391"/>
      <c r="V824" s="391"/>
      <c r="W824" s="391"/>
      <c r="X824" s="391"/>
      <c r="Y824" s="391"/>
      <c r="Z824" s="391"/>
      <c r="AA824" s="391"/>
      <c r="AB824" s="391"/>
      <c r="AC824" s="391"/>
      <c r="AD824" s="391"/>
      <c r="AE824" s="391"/>
      <c r="AF824" s="391"/>
      <c r="AG824" s="391"/>
      <c r="AH824" s="392"/>
      <c r="AI824" s="391"/>
      <c r="AJ824" s="391"/>
    </row>
    <row r="825" spans="1:36" ht="13.5" x14ac:dyDescent="0.25">
      <c r="A825" s="391"/>
      <c r="B825" s="391"/>
      <c r="C825" s="391"/>
      <c r="D825" s="391"/>
      <c r="E825" s="391"/>
      <c r="F825" s="391"/>
      <c r="G825" s="391"/>
      <c r="H825" s="391"/>
      <c r="I825" s="391"/>
      <c r="J825" s="391"/>
      <c r="K825" s="391"/>
      <c r="L825" s="391"/>
      <c r="M825" s="391"/>
      <c r="N825" s="391"/>
      <c r="O825" s="391"/>
      <c r="P825" s="391"/>
      <c r="Q825" s="391"/>
      <c r="R825" s="391"/>
      <c r="S825" s="391"/>
      <c r="T825" s="391"/>
      <c r="U825" s="391"/>
      <c r="V825" s="391"/>
      <c r="W825" s="391"/>
      <c r="X825" s="391"/>
      <c r="Y825" s="391"/>
      <c r="Z825" s="391"/>
      <c r="AA825" s="391"/>
      <c r="AB825" s="391"/>
      <c r="AC825" s="391"/>
      <c r="AD825" s="391"/>
      <c r="AE825" s="391"/>
      <c r="AF825" s="391"/>
      <c r="AG825" s="391"/>
      <c r="AH825" s="392"/>
      <c r="AI825" s="391"/>
      <c r="AJ825" s="391"/>
    </row>
    <row r="826" spans="1:36" ht="13.5" x14ac:dyDescent="0.25">
      <c r="A826" s="391"/>
      <c r="B826" s="391"/>
      <c r="C826" s="391"/>
      <c r="D826" s="391"/>
      <c r="E826" s="391"/>
      <c r="F826" s="391"/>
      <c r="G826" s="391"/>
      <c r="H826" s="391"/>
      <c r="I826" s="391"/>
      <c r="J826" s="391"/>
      <c r="K826" s="391"/>
      <c r="L826" s="391"/>
      <c r="M826" s="391"/>
      <c r="N826" s="391"/>
      <c r="O826" s="391"/>
      <c r="P826" s="391"/>
      <c r="Q826" s="391"/>
      <c r="R826" s="391"/>
      <c r="S826" s="391"/>
      <c r="T826" s="391"/>
      <c r="U826" s="391"/>
      <c r="V826" s="391"/>
      <c r="W826" s="391"/>
      <c r="X826" s="391"/>
      <c r="Y826" s="391"/>
      <c r="Z826" s="391"/>
      <c r="AA826" s="391"/>
      <c r="AB826" s="391"/>
      <c r="AC826" s="391"/>
      <c r="AD826" s="391"/>
      <c r="AE826" s="391"/>
      <c r="AF826" s="391"/>
      <c r="AG826" s="391"/>
      <c r="AH826" s="392"/>
      <c r="AI826" s="391"/>
      <c r="AJ826" s="391"/>
    </row>
    <row r="827" spans="1:36" ht="13.5" x14ac:dyDescent="0.25">
      <c r="A827" s="391"/>
      <c r="B827" s="391"/>
      <c r="C827" s="391"/>
      <c r="D827" s="391"/>
      <c r="E827" s="391"/>
      <c r="F827" s="391"/>
      <c r="G827" s="391"/>
      <c r="H827" s="391"/>
      <c r="I827" s="391"/>
      <c r="J827" s="391"/>
      <c r="K827" s="391"/>
      <c r="L827" s="391"/>
      <c r="M827" s="391"/>
      <c r="N827" s="391"/>
      <c r="O827" s="391"/>
      <c r="P827" s="391"/>
      <c r="Q827" s="391"/>
      <c r="R827" s="391"/>
      <c r="S827" s="391"/>
      <c r="T827" s="391"/>
      <c r="U827" s="391"/>
      <c r="V827" s="391"/>
      <c r="W827" s="391"/>
      <c r="X827" s="391"/>
      <c r="Y827" s="391"/>
      <c r="Z827" s="391"/>
      <c r="AA827" s="391"/>
      <c r="AB827" s="391"/>
      <c r="AC827" s="391"/>
      <c r="AD827" s="391"/>
      <c r="AE827" s="391"/>
      <c r="AF827" s="391"/>
      <c r="AG827" s="391"/>
      <c r="AH827" s="392"/>
      <c r="AI827" s="391"/>
      <c r="AJ827" s="391"/>
    </row>
    <row r="828" spans="1:36" ht="13.5" x14ac:dyDescent="0.25">
      <c r="A828" s="391"/>
      <c r="B828" s="391"/>
      <c r="C828" s="391"/>
      <c r="D828" s="391"/>
      <c r="E828" s="391"/>
      <c r="F828" s="391"/>
      <c r="G828" s="391"/>
      <c r="H828" s="391"/>
      <c r="I828" s="391"/>
      <c r="J828" s="391"/>
      <c r="K828" s="391"/>
      <c r="L828" s="391"/>
      <c r="M828" s="391"/>
      <c r="N828" s="391"/>
      <c r="O828" s="391"/>
      <c r="P828" s="391"/>
      <c r="Q828" s="391"/>
      <c r="R828" s="391"/>
      <c r="S828" s="391"/>
      <c r="T828" s="391"/>
      <c r="U828" s="391"/>
      <c r="V828" s="391"/>
      <c r="W828" s="391"/>
      <c r="X828" s="391"/>
      <c r="Y828" s="391"/>
      <c r="Z828" s="391"/>
      <c r="AA828" s="391"/>
      <c r="AB828" s="391"/>
      <c r="AC828" s="391"/>
      <c r="AD828" s="391"/>
      <c r="AE828" s="391"/>
      <c r="AF828" s="391"/>
      <c r="AG828" s="391"/>
      <c r="AH828" s="392"/>
      <c r="AI828" s="391"/>
      <c r="AJ828" s="391"/>
    </row>
    <row r="829" spans="1:36" ht="13.5" x14ac:dyDescent="0.25">
      <c r="A829" s="391"/>
      <c r="B829" s="391"/>
      <c r="C829" s="391"/>
      <c r="D829" s="391"/>
      <c r="E829" s="391"/>
      <c r="F829" s="391"/>
      <c r="G829" s="391"/>
      <c r="H829" s="391"/>
      <c r="I829" s="391"/>
      <c r="J829" s="391"/>
      <c r="K829" s="391"/>
      <c r="L829" s="391"/>
      <c r="M829" s="391"/>
      <c r="N829" s="391"/>
      <c r="O829" s="391"/>
      <c r="P829" s="391"/>
      <c r="Q829" s="391"/>
      <c r="R829" s="391"/>
      <c r="S829" s="391"/>
      <c r="T829" s="391"/>
      <c r="U829" s="391"/>
      <c r="V829" s="391"/>
      <c r="W829" s="391"/>
      <c r="X829" s="391"/>
      <c r="Y829" s="391"/>
      <c r="Z829" s="391"/>
      <c r="AA829" s="391"/>
      <c r="AB829" s="391"/>
      <c r="AC829" s="391"/>
      <c r="AD829" s="391"/>
      <c r="AE829" s="391"/>
      <c r="AF829" s="391"/>
      <c r="AG829" s="391"/>
      <c r="AH829" s="392"/>
      <c r="AI829" s="391"/>
      <c r="AJ829" s="391"/>
    </row>
    <row r="830" spans="1:36" ht="13.5" x14ac:dyDescent="0.25">
      <c r="A830" s="391"/>
      <c r="B830" s="391"/>
      <c r="C830" s="391"/>
      <c r="D830" s="391"/>
      <c r="E830" s="391"/>
      <c r="F830" s="391"/>
      <c r="G830" s="391"/>
      <c r="H830" s="391"/>
      <c r="I830" s="391"/>
      <c r="J830" s="391"/>
      <c r="K830" s="391"/>
      <c r="L830" s="391"/>
      <c r="M830" s="391"/>
      <c r="N830" s="391"/>
      <c r="O830" s="391"/>
      <c r="P830" s="391"/>
      <c r="Q830" s="391"/>
      <c r="R830" s="391"/>
      <c r="S830" s="391"/>
      <c r="T830" s="391"/>
      <c r="U830" s="391"/>
      <c r="V830" s="391"/>
      <c r="W830" s="391"/>
      <c r="X830" s="391"/>
      <c r="Y830" s="391"/>
      <c r="Z830" s="391"/>
      <c r="AA830" s="391"/>
      <c r="AB830" s="391"/>
      <c r="AC830" s="391"/>
      <c r="AD830" s="391"/>
      <c r="AE830" s="391"/>
      <c r="AF830" s="391"/>
      <c r="AG830" s="391"/>
      <c r="AH830" s="392"/>
      <c r="AI830" s="391"/>
      <c r="AJ830" s="391"/>
    </row>
    <row r="831" spans="1:36" ht="13.5" x14ac:dyDescent="0.25">
      <c r="A831" s="391"/>
      <c r="B831" s="391"/>
      <c r="C831" s="391"/>
      <c r="D831" s="391"/>
      <c r="E831" s="391"/>
      <c r="F831" s="391"/>
      <c r="G831" s="391"/>
      <c r="H831" s="391"/>
      <c r="I831" s="391"/>
      <c r="J831" s="391"/>
      <c r="K831" s="391"/>
      <c r="L831" s="391"/>
      <c r="M831" s="391"/>
      <c r="N831" s="391"/>
      <c r="O831" s="391"/>
      <c r="P831" s="391"/>
      <c r="Q831" s="391"/>
      <c r="R831" s="391"/>
      <c r="S831" s="391"/>
      <c r="T831" s="391"/>
      <c r="U831" s="391"/>
      <c r="V831" s="391"/>
      <c r="W831" s="391"/>
      <c r="X831" s="391"/>
      <c r="Y831" s="391"/>
      <c r="Z831" s="391"/>
      <c r="AA831" s="391"/>
      <c r="AB831" s="391"/>
      <c r="AC831" s="391"/>
      <c r="AD831" s="391"/>
      <c r="AE831" s="391"/>
      <c r="AF831" s="391"/>
      <c r="AG831" s="391"/>
      <c r="AH831" s="392"/>
      <c r="AI831" s="391"/>
      <c r="AJ831" s="391"/>
    </row>
    <row r="832" spans="1:36" ht="13.5" x14ac:dyDescent="0.25">
      <c r="A832" s="391"/>
      <c r="B832" s="391"/>
      <c r="C832" s="391"/>
      <c r="D832" s="391"/>
      <c r="E832" s="391"/>
      <c r="F832" s="391"/>
      <c r="G832" s="391"/>
      <c r="H832" s="391"/>
      <c r="I832" s="391"/>
      <c r="J832" s="391"/>
      <c r="K832" s="391"/>
      <c r="L832" s="391"/>
      <c r="M832" s="391"/>
      <c r="N832" s="391"/>
      <c r="O832" s="391"/>
      <c r="P832" s="391"/>
      <c r="Q832" s="391"/>
      <c r="R832" s="391"/>
      <c r="S832" s="391"/>
      <c r="T832" s="391"/>
      <c r="U832" s="391"/>
      <c r="V832" s="391"/>
      <c r="W832" s="391"/>
      <c r="X832" s="391"/>
      <c r="Y832" s="391"/>
      <c r="Z832" s="391"/>
      <c r="AA832" s="391"/>
      <c r="AB832" s="391"/>
      <c r="AC832" s="391"/>
      <c r="AD832" s="391"/>
      <c r="AE832" s="391"/>
      <c r="AF832" s="391"/>
      <c r="AG832" s="391"/>
      <c r="AH832" s="392"/>
      <c r="AI832" s="391"/>
      <c r="AJ832" s="391"/>
    </row>
    <row r="833" spans="1:36" ht="13.5" x14ac:dyDescent="0.25">
      <c r="A833" s="391"/>
      <c r="B833" s="391"/>
      <c r="C833" s="391"/>
      <c r="D833" s="391"/>
      <c r="E833" s="391"/>
      <c r="F833" s="391"/>
      <c r="G833" s="391"/>
      <c r="H833" s="391"/>
      <c r="I833" s="391"/>
      <c r="J833" s="391"/>
      <c r="K833" s="391"/>
      <c r="L833" s="391"/>
      <c r="M833" s="391"/>
      <c r="N833" s="391"/>
      <c r="O833" s="391"/>
      <c r="P833" s="391"/>
      <c r="Q833" s="391"/>
      <c r="R833" s="391"/>
      <c r="S833" s="391"/>
      <c r="T833" s="391"/>
      <c r="U833" s="391"/>
      <c r="V833" s="391"/>
      <c r="W833" s="391"/>
      <c r="X833" s="391"/>
      <c r="Y833" s="391"/>
      <c r="Z833" s="391"/>
      <c r="AA833" s="391"/>
      <c r="AB833" s="391"/>
      <c r="AC833" s="391"/>
      <c r="AD833" s="391"/>
      <c r="AE833" s="391"/>
      <c r="AF833" s="391"/>
      <c r="AG833" s="391"/>
      <c r="AH833" s="392"/>
      <c r="AI833" s="391"/>
      <c r="AJ833" s="391"/>
    </row>
    <row r="834" spans="1:36" ht="13.5" x14ac:dyDescent="0.25">
      <c r="A834" s="391"/>
      <c r="B834" s="391"/>
      <c r="C834" s="391"/>
      <c r="D834" s="391"/>
      <c r="E834" s="391"/>
      <c r="F834" s="391"/>
      <c r="G834" s="391"/>
      <c r="H834" s="391"/>
      <c r="I834" s="391"/>
      <c r="J834" s="391"/>
      <c r="K834" s="391"/>
      <c r="L834" s="391"/>
      <c r="M834" s="391"/>
      <c r="N834" s="391"/>
      <c r="O834" s="391"/>
      <c r="P834" s="391"/>
      <c r="Q834" s="391"/>
      <c r="R834" s="391"/>
      <c r="S834" s="391"/>
      <c r="T834" s="391"/>
      <c r="U834" s="391"/>
      <c r="V834" s="391"/>
      <c r="W834" s="391"/>
      <c r="X834" s="391"/>
      <c r="Y834" s="391"/>
      <c r="Z834" s="391"/>
      <c r="AA834" s="391"/>
      <c r="AB834" s="391"/>
      <c r="AC834" s="391"/>
      <c r="AD834" s="391"/>
      <c r="AE834" s="391"/>
      <c r="AF834" s="391"/>
      <c r="AG834" s="391"/>
      <c r="AH834" s="392"/>
      <c r="AI834" s="391"/>
      <c r="AJ834" s="391"/>
    </row>
    <row r="835" spans="1:36" ht="13.5" x14ac:dyDescent="0.25">
      <c r="A835" s="391"/>
      <c r="B835" s="391"/>
      <c r="C835" s="391"/>
      <c r="D835" s="391"/>
      <c r="E835" s="391"/>
      <c r="F835" s="391"/>
      <c r="G835" s="391"/>
      <c r="H835" s="391"/>
      <c r="I835" s="391"/>
      <c r="J835" s="391"/>
      <c r="K835" s="391"/>
      <c r="L835" s="391"/>
      <c r="M835" s="391"/>
      <c r="N835" s="391"/>
      <c r="O835" s="391"/>
      <c r="P835" s="391"/>
      <c r="Q835" s="391"/>
      <c r="R835" s="391"/>
      <c r="S835" s="391"/>
      <c r="T835" s="391"/>
      <c r="U835" s="391"/>
      <c r="V835" s="391"/>
      <c r="W835" s="391"/>
      <c r="X835" s="391"/>
      <c r="Y835" s="391"/>
      <c r="Z835" s="391"/>
      <c r="AA835" s="391"/>
      <c r="AB835" s="391"/>
      <c r="AC835" s="391"/>
      <c r="AD835" s="391"/>
      <c r="AE835" s="391"/>
      <c r="AF835" s="391"/>
      <c r="AG835" s="391"/>
      <c r="AH835" s="392"/>
      <c r="AI835" s="391"/>
      <c r="AJ835" s="391"/>
    </row>
    <row r="836" spans="1:36" ht="13.5" x14ac:dyDescent="0.25">
      <c r="A836" s="391"/>
      <c r="B836" s="391"/>
      <c r="C836" s="391"/>
      <c r="D836" s="391"/>
      <c r="E836" s="391"/>
      <c r="F836" s="391"/>
      <c r="G836" s="391"/>
      <c r="H836" s="391"/>
      <c r="I836" s="391"/>
      <c r="J836" s="391"/>
      <c r="K836" s="391"/>
      <c r="L836" s="391"/>
      <c r="M836" s="391"/>
      <c r="N836" s="391"/>
      <c r="O836" s="391"/>
      <c r="P836" s="391"/>
      <c r="Q836" s="391"/>
      <c r="R836" s="391"/>
      <c r="S836" s="391"/>
      <c r="T836" s="391"/>
      <c r="U836" s="391"/>
      <c r="V836" s="391"/>
      <c r="W836" s="391"/>
      <c r="X836" s="391"/>
      <c r="Y836" s="391"/>
      <c r="Z836" s="391"/>
      <c r="AA836" s="391"/>
      <c r="AB836" s="391"/>
      <c r="AC836" s="391"/>
      <c r="AD836" s="391"/>
      <c r="AE836" s="391"/>
      <c r="AF836" s="391"/>
      <c r="AG836" s="391"/>
      <c r="AH836" s="392"/>
      <c r="AI836" s="391"/>
      <c r="AJ836" s="391"/>
    </row>
    <row r="837" spans="1:36" ht="13.5" x14ac:dyDescent="0.25">
      <c r="A837" s="391"/>
      <c r="B837" s="391"/>
      <c r="C837" s="391"/>
      <c r="D837" s="391"/>
      <c r="E837" s="391"/>
      <c r="F837" s="391"/>
      <c r="G837" s="391"/>
      <c r="H837" s="391"/>
      <c r="I837" s="391"/>
      <c r="J837" s="391"/>
      <c r="K837" s="391"/>
      <c r="L837" s="391"/>
      <c r="M837" s="391"/>
      <c r="N837" s="391"/>
      <c r="O837" s="391"/>
      <c r="P837" s="391"/>
      <c r="Q837" s="391"/>
      <c r="R837" s="391"/>
      <c r="S837" s="391"/>
      <c r="T837" s="391"/>
      <c r="U837" s="391"/>
      <c r="V837" s="391"/>
      <c r="W837" s="391"/>
      <c r="X837" s="391"/>
      <c r="Y837" s="391"/>
      <c r="Z837" s="391"/>
      <c r="AA837" s="391"/>
      <c r="AB837" s="391"/>
      <c r="AC837" s="391"/>
      <c r="AD837" s="391"/>
      <c r="AE837" s="391"/>
      <c r="AF837" s="391"/>
      <c r="AG837" s="391"/>
      <c r="AH837" s="392"/>
      <c r="AI837" s="391"/>
      <c r="AJ837" s="391"/>
    </row>
    <row r="838" spans="1:36" ht="13.5" x14ac:dyDescent="0.25">
      <c r="A838" s="391"/>
      <c r="B838" s="391"/>
      <c r="C838" s="391"/>
      <c r="D838" s="391"/>
      <c r="E838" s="391"/>
      <c r="F838" s="391"/>
      <c r="G838" s="391"/>
      <c r="H838" s="391"/>
      <c r="I838" s="391"/>
      <c r="J838" s="391"/>
      <c r="K838" s="391"/>
      <c r="L838" s="391"/>
      <c r="M838" s="391"/>
      <c r="N838" s="391"/>
      <c r="O838" s="391"/>
      <c r="P838" s="391"/>
      <c r="Q838" s="391"/>
      <c r="R838" s="391"/>
      <c r="S838" s="391"/>
      <c r="T838" s="391"/>
      <c r="U838" s="391"/>
      <c r="V838" s="391"/>
      <c r="W838" s="391"/>
      <c r="X838" s="391"/>
      <c r="Y838" s="391"/>
      <c r="Z838" s="391"/>
      <c r="AA838" s="391"/>
      <c r="AB838" s="391"/>
      <c r="AC838" s="391"/>
      <c r="AD838" s="391"/>
      <c r="AE838" s="391"/>
      <c r="AF838" s="391"/>
      <c r="AG838" s="391"/>
      <c r="AH838" s="392"/>
      <c r="AI838" s="391"/>
      <c r="AJ838" s="391"/>
    </row>
    <row r="839" spans="1:36" ht="13.5" x14ac:dyDescent="0.25">
      <c r="A839" s="391"/>
      <c r="B839" s="391"/>
      <c r="C839" s="391"/>
      <c r="D839" s="391"/>
      <c r="E839" s="391"/>
      <c r="F839" s="391"/>
      <c r="G839" s="391"/>
      <c r="H839" s="391"/>
      <c r="I839" s="391"/>
      <c r="J839" s="391"/>
      <c r="K839" s="391"/>
      <c r="L839" s="391"/>
      <c r="M839" s="391"/>
      <c r="N839" s="391"/>
      <c r="O839" s="391"/>
      <c r="P839" s="391"/>
      <c r="Q839" s="391"/>
      <c r="R839" s="391"/>
      <c r="S839" s="391"/>
      <c r="T839" s="391"/>
      <c r="U839" s="391"/>
      <c r="V839" s="391"/>
      <c r="W839" s="391"/>
      <c r="X839" s="391"/>
      <c r="Y839" s="391"/>
      <c r="Z839" s="391"/>
      <c r="AA839" s="391"/>
      <c r="AB839" s="391"/>
      <c r="AC839" s="391"/>
      <c r="AD839" s="391"/>
      <c r="AE839" s="391"/>
      <c r="AF839" s="391"/>
      <c r="AG839" s="391"/>
      <c r="AH839" s="392"/>
      <c r="AI839" s="391"/>
      <c r="AJ839" s="391"/>
    </row>
    <row r="840" spans="1:36" ht="13.5" x14ac:dyDescent="0.25">
      <c r="A840" s="391"/>
      <c r="B840" s="391"/>
      <c r="C840" s="391"/>
      <c r="D840" s="391"/>
      <c r="E840" s="391"/>
      <c r="F840" s="391"/>
      <c r="G840" s="391"/>
      <c r="H840" s="391"/>
      <c r="I840" s="391"/>
      <c r="J840" s="391"/>
      <c r="K840" s="391"/>
      <c r="L840" s="391"/>
      <c r="M840" s="391"/>
      <c r="N840" s="391"/>
      <c r="O840" s="391"/>
      <c r="P840" s="391"/>
      <c r="Q840" s="391"/>
      <c r="R840" s="391"/>
      <c r="S840" s="391"/>
      <c r="T840" s="391"/>
      <c r="U840" s="391"/>
      <c r="V840" s="391"/>
      <c r="W840" s="391"/>
      <c r="X840" s="391"/>
      <c r="Y840" s="391"/>
      <c r="Z840" s="391"/>
      <c r="AA840" s="391"/>
      <c r="AB840" s="391"/>
      <c r="AC840" s="391"/>
      <c r="AD840" s="391"/>
      <c r="AE840" s="391"/>
      <c r="AF840" s="391"/>
      <c r="AG840" s="391"/>
      <c r="AH840" s="392"/>
      <c r="AI840" s="391"/>
      <c r="AJ840" s="391"/>
    </row>
    <row r="841" spans="1:36" ht="13.5" x14ac:dyDescent="0.25">
      <c r="A841" s="391"/>
      <c r="B841" s="391"/>
      <c r="C841" s="391"/>
      <c r="D841" s="391"/>
      <c r="E841" s="391"/>
      <c r="F841" s="391"/>
      <c r="G841" s="391"/>
      <c r="H841" s="391"/>
      <c r="I841" s="391"/>
      <c r="J841" s="391"/>
      <c r="K841" s="391"/>
      <c r="L841" s="391"/>
      <c r="M841" s="391"/>
      <c r="N841" s="391"/>
      <c r="O841" s="391"/>
      <c r="P841" s="391"/>
      <c r="Q841" s="391"/>
      <c r="R841" s="391"/>
      <c r="S841" s="391"/>
      <c r="T841" s="391"/>
      <c r="U841" s="391"/>
      <c r="V841" s="391"/>
      <c r="W841" s="391"/>
      <c r="X841" s="391"/>
      <c r="Y841" s="391"/>
      <c r="Z841" s="391"/>
      <c r="AA841" s="391"/>
      <c r="AB841" s="391"/>
      <c r="AC841" s="391"/>
      <c r="AD841" s="391"/>
      <c r="AE841" s="391"/>
      <c r="AF841" s="391"/>
      <c r="AG841" s="391"/>
      <c r="AH841" s="392"/>
      <c r="AI841" s="391"/>
      <c r="AJ841" s="391"/>
    </row>
    <row r="842" spans="1:36" ht="13.5" x14ac:dyDescent="0.25">
      <c r="A842" s="391"/>
      <c r="B842" s="391"/>
      <c r="C842" s="391"/>
      <c r="D842" s="391"/>
      <c r="E842" s="391"/>
      <c r="F842" s="391"/>
      <c r="G842" s="391"/>
      <c r="H842" s="391"/>
      <c r="I842" s="391"/>
      <c r="J842" s="391"/>
      <c r="K842" s="391"/>
      <c r="L842" s="391"/>
      <c r="M842" s="391"/>
      <c r="N842" s="391"/>
      <c r="O842" s="391"/>
      <c r="P842" s="391"/>
      <c r="Q842" s="391"/>
      <c r="R842" s="391"/>
      <c r="S842" s="391"/>
      <c r="T842" s="391"/>
      <c r="U842" s="391"/>
      <c r="V842" s="391"/>
      <c r="W842" s="391"/>
      <c r="X842" s="391"/>
      <c r="Y842" s="391"/>
      <c r="Z842" s="391"/>
      <c r="AA842" s="391"/>
      <c r="AB842" s="391"/>
      <c r="AC842" s="391"/>
      <c r="AD842" s="391"/>
      <c r="AE842" s="391"/>
      <c r="AF842" s="391"/>
      <c r="AG842" s="391"/>
      <c r="AH842" s="392"/>
      <c r="AI842" s="391"/>
      <c r="AJ842" s="391"/>
    </row>
    <row r="843" spans="1:36" ht="13.5" x14ac:dyDescent="0.25">
      <c r="A843" s="391"/>
      <c r="B843" s="391"/>
      <c r="C843" s="391"/>
      <c r="D843" s="391"/>
      <c r="E843" s="391"/>
      <c r="F843" s="391"/>
      <c r="G843" s="391"/>
      <c r="H843" s="391"/>
      <c r="I843" s="391"/>
      <c r="J843" s="391"/>
      <c r="K843" s="391"/>
      <c r="L843" s="391"/>
      <c r="M843" s="391"/>
      <c r="N843" s="391"/>
      <c r="O843" s="391"/>
      <c r="P843" s="391"/>
      <c r="Q843" s="391"/>
      <c r="R843" s="391"/>
      <c r="S843" s="391"/>
      <c r="T843" s="391"/>
      <c r="U843" s="391"/>
      <c r="V843" s="391"/>
      <c r="W843" s="391"/>
      <c r="X843" s="391"/>
      <c r="Y843" s="391"/>
      <c r="Z843" s="391"/>
      <c r="AA843" s="391"/>
      <c r="AB843" s="391"/>
      <c r="AC843" s="391"/>
      <c r="AD843" s="391"/>
      <c r="AE843" s="391"/>
      <c r="AF843" s="391"/>
      <c r="AG843" s="391"/>
      <c r="AH843" s="392"/>
      <c r="AI843" s="391"/>
      <c r="AJ843" s="391"/>
    </row>
    <row r="844" spans="1:36" ht="13.5" x14ac:dyDescent="0.25">
      <c r="A844" s="391"/>
      <c r="B844" s="391"/>
      <c r="C844" s="391"/>
      <c r="D844" s="391"/>
      <c r="E844" s="391"/>
      <c r="F844" s="391"/>
      <c r="G844" s="391"/>
      <c r="H844" s="391"/>
      <c r="I844" s="391"/>
      <c r="J844" s="391"/>
      <c r="K844" s="391"/>
      <c r="L844" s="391"/>
      <c r="M844" s="391"/>
      <c r="N844" s="391"/>
      <c r="O844" s="391"/>
      <c r="P844" s="391"/>
      <c r="Q844" s="391"/>
      <c r="R844" s="391"/>
      <c r="S844" s="391"/>
      <c r="T844" s="391"/>
      <c r="U844" s="391"/>
      <c r="V844" s="391"/>
      <c r="W844" s="391"/>
      <c r="X844" s="391"/>
      <c r="Y844" s="391"/>
      <c r="Z844" s="391"/>
      <c r="AA844" s="391"/>
      <c r="AB844" s="391"/>
      <c r="AC844" s="391"/>
      <c r="AD844" s="391"/>
      <c r="AE844" s="391"/>
      <c r="AF844" s="391"/>
      <c r="AG844" s="391"/>
      <c r="AH844" s="392"/>
      <c r="AI844" s="391"/>
      <c r="AJ844" s="391"/>
    </row>
    <row r="845" spans="1:36" ht="13.5" x14ac:dyDescent="0.25">
      <c r="A845" s="391"/>
      <c r="B845" s="391"/>
      <c r="C845" s="391"/>
      <c r="D845" s="391"/>
      <c r="E845" s="391"/>
      <c r="F845" s="391"/>
      <c r="G845" s="391"/>
      <c r="H845" s="391"/>
      <c r="I845" s="391"/>
      <c r="J845" s="391"/>
      <c r="K845" s="391"/>
      <c r="L845" s="391"/>
      <c r="M845" s="391"/>
      <c r="N845" s="391"/>
      <c r="O845" s="391"/>
      <c r="P845" s="391"/>
      <c r="Q845" s="391"/>
      <c r="R845" s="391"/>
      <c r="S845" s="391"/>
      <c r="T845" s="391"/>
      <c r="U845" s="391"/>
      <c r="V845" s="391"/>
      <c r="W845" s="391"/>
      <c r="X845" s="391"/>
      <c r="Y845" s="391"/>
      <c r="Z845" s="391"/>
      <c r="AA845" s="391"/>
      <c r="AB845" s="391"/>
      <c r="AC845" s="391"/>
      <c r="AD845" s="391"/>
      <c r="AE845" s="391"/>
      <c r="AF845" s="391"/>
      <c r="AG845" s="391"/>
      <c r="AH845" s="392"/>
      <c r="AI845" s="391"/>
      <c r="AJ845" s="391"/>
    </row>
    <row r="846" spans="1:36" ht="13.5" x14ac:dyDescent="0.25">
      <c r="A846" s="391"/>
      <c r="B846" s="391"/>
      <c r="C846" s="391"/>
      <c r="D846" s="391"/>
      <c r="E846" s="391"/>
      <c r="F846" s="391"/>
      <c r="G846" s="391"/>
      <c r="H846" s="391"/>
      <c r="I846" s="391"/>
      <c r="J846" s="391"/>
      <c r="K846" s="391"/>
      <c r="L846" s="391"/>
      <c r="M846" s="391"/>
      <c r="N846" s="391"/>
      <c r="O846" s="391"/>
      <c r="P846" s="391"/>
      <c r="Q846" s="391"/>
      <c r="R846" s="391"/>
      <c r="S846" s="391"/>
      <c r="T846" s="391"/>
      <c r="U846" s="391"/>
      <c r="V846" s="391"/>
      <c r="W846" s="391"/>
      <c r="X846" s="391"/>
      <c r="Y846" s="391"/>
      <c r="Z846" s="391"/>
      <c r="AA846" s="391"/>
      <c r="AB846" s="391"/>
      <c r="AC846" s="391"/>
      <c r="AD846" s="391"/>
      <c r="AE846" s="391"/>
      <c r="AF846" s="391"/>
      <c r="AG846" s="391"/>
      <c r="AH846" s="392"/>
      <c r="AI846" s="391"/>
      <c r="AJ846" s="391"/>
    </row>
    <row r="847" spans="1:36" ht="13.5" x14ac:dyDescent="0.25">
      <c r="A847" s="391"/>
      <c r="B847" s="391"/>
      <c r="C847" s="391"/>
      <c r="D847" s="391"/>
      <c r="E847" s="391"/>
      <c r="F847" s="391"/>
      <c r="G847" s="391"/>
      <c r="H847" s="391"/>
      <c r="I847" s="391"/>
      <c r="J847" s="391"/>
      <c r="K847" s="391"/>
      <c r="L847" s="391"/>
      <c r="M847" s="391"/>
      <c r="N847" s="391"/>
      <c r="O847" s="391"/>
      <c r="P847" s="391"/>
      <c r="Q847" s="391"/>
      <c r="R847" s="391"/>
      <c r="S847" s="391"/>
      <c r="T847" s="391"/>
      <c r="U847" s="391"/>
      <c r="V847" s="391"/>
      <c r="W847" s="391"/>
      <c r="X847" s="391"/>
      <c r="Y847" s="391"/>
      <c r="Z847" s="391"/>
      <c r="AA847" s="391"/>
      <c r="AB847" s="391"/>
      <c r="AC847" s="391"/>
      <c r="AD847" s="391"/>
      <c r="AE847" s="391"/>
      <c r="AF847" s="391"/>
      <c r="AG847" s="391"/>
      <c r="AH847" s="392"/>
      <c r="AI847" s="391"/>
      <c r="AJ847" s="391"/>
    </row>
    <row r="848" spans="1:36" ht="13.5" x14ac:dyDescent="0.25">
      <c r="A848" s="391"/>
      <c r="B848" s="391"/>
      <c r="C848" s="391"/>
      <c r="D848" s="391"/>
      <c r="E848" s="391"/>
      <c r="F848" s="391"/>
      <c r="G848" s="391"/>
      <c r="H848" s="391"/>
      <c r="I848" s="391"/>
      <c r="J848" s="391"/>
      <c r="K848" s="391"/>
      <c r="L848" s="391"/>
      <c r="M848" s="391"/>
      <c r="N848" s="391"/>
      <c r="O848" s="391"/>
      <c r="P848" s="391"/>
      <c r="Q848" s="391"/>
      <c r="R848" s="391"/>
      <c r="S848" s="391"/>
      <c r="T848" s="391"/>
      <c r="U848" s="391"/>
      <c r="V848" s="391"/>
      <c r="W848" s="391"/>
      <c r="X848" s="391"/>
      <c r="Y848" s="391"/>
      <c r="Z848" s="391"/>
      <c r="AA848" s="391"/>
      <c r="AB848" s="391"/>
      <c r="AC848" s="391"/>
      <c r="AD848" s="391"/>
      <c r="AE848" s="391"/>
      <c r="AF848" s="391"/>
      <c r="AG848" s="391"/>
      <c r="AH848" s="392"/>
      <c r="AI848" s="391"/>
      <c r="AJ848" s="391"/>
    </row>
    <row r="849" spans="1:36" ht="13.5" x14ac:dyDescent="0.25">
      <c r="A849" s="391"/>
      <c r="B849" s="391"/>
      <c r="C849" s="391"/>
      <c r="D849" s="391"/>
      <c r="E849" s="391"/>
      <c r="F849" s="391"/>
      <c r="G849" s="391"/>
      <c r="H849" s="391"/>
      <c r="I849" s="391"/>
      <c r="J849" s="391"/>
      <c r="K849" s="391"/>
      <c r="L849" s="391"/>
      <c r="M849" s="391"/>
      <c r="N849" s="391"/>
      <c r="O849" s="391"/>
      <c r="P849" s="391"/>
      <c r="Q849" s="391"/>
      <c r="R849" s="391"/>
      <c r="S849" s="391"/>
      <c r="T849" s="391"/>
      <c r="U849" s="391"/>
      <c r="V849" s="391"/>
      <c r="W849" s="391"/>
      <c r="X849" s="391"/>
      <c r="Y849" s="391"/>
      <c r="Z849" s="391"/>
      <c r="AA849" s="391"/>
      <c r="AB849" s="391"/>
      <c r="AC849" s="391"/>
      <c r="AD849" s="391"/>
      <c r="AE849" s="391"/>
      <c r="AF849" s="391"/>
      <c r="AG849" s="391"/>
      <c r="AH849" s="392"/>
      <c r="AI849" s="391"/>
      <c r="AJ849" s="391"/>
    </row>
    <row r="850" spans="1:36" ht="13.5" x14ac:dyDescent="0.25">
      <c r="A850" s="391"/>
      <c r="B850" s="391"/>
      <c r="C850" s="391"/>
      <c r="D850" s="391"/>
      <c r="E850" s="391"/>
      <c r="F850" s="391"/>
      <c r="G850" s="391"/>
      <c r="H850" s="391"/>
      <c r="I850" s="391"/>
      <c r="J850" s="391"/>
      <c r="K850" s="391"/>
      <c r="L850" s="391"/>
      <c r="M850" s="391"/>
      <c r="N850" s="391"/>
      <c r="O850" s="391"/>
      <c r="P850" s="391"/>
      <c r="Q850" s="391"/>
      <c r="R850" s="391"/>
      <c r="S850" s="391"/>
      <c r="T850" s="391"/>
      <c r="U850" s="391"/>
      <c r="V850" s="391"/>
      <c r="W850" s="391"/>
      <c r="X850" s="391"/>
      <c r="Y850" s="391"/>
      <c r="Z850" s="391"/>
      <c r="AA850" s="391"/>
      <c r="AB850" s="391"/>
      <c r="AC850" s="391"/>
      <c r="AD850" s="391"/>
      <c r="AE850" s="391"/>
      <c r="AF850" s="391"/>
      <c r="AG850" s="391"/>
      <c r="AH850" s="392"/>
      <c r="AI850" s="391"/>
      <c r="AJ850" s="391"/>
    </row>
    <row r="851" spans="1:36" ht="13.5" x14ac:dyDescent="0.25">
      <c r="A851" s="391"/>
      <c r="B851" s="391"/>
      <c r="C851" s="391"/>
      <c r="D851" s="391"/>
      <c r="E851" s="391"/>
      <c r="F851" s="391"/>
      <c r="G851" s="391"/>
      <c r="H851" s="391"/>
      <c r="I851" s="391"/>
      <c r="J851" s="391"/>
      <c r="K851" s="391"/>
      <c r="L851" s="391"/>
      <c r="M851" s="391"/>
      <c r="N851" s="391"/>
      <c r="O851" s="391"/>
      <c r="P851" s="391"/>
      <c r="Q851" s="391"/>
      <c r="R851" s="391"/>
      <c r="S851" s="391"/>
      <c r="T851" s="391"/>
      <c r="U851" s="391"/>
      <c r="V851" s="391"/>
      <c r="W851" s="391"/>
      <c r="X851" s="391"/>
      <c r="Y851" s="391"/>
      <c r="Z851" s="391"/>
      <c r="AA851" s="391"/>
      <c r="AB851" s="391"/>
      <c r="AC851" s="391"/>
      <c r="AD851" s="391"/>
      <c r="AE851" s="391"/>
      <c r="AF851" s="391"/>
      <c r="AG851" s="391"/>
      <c r="AH851" s="392"/>
      <c r="AI851" s="391"/>
      <c r="AJ851" s="391"/>
    </row>
    <row r="852" spans="1:36" ht="13.5" x14ac:dyDescent="0.25">
      <c r="A852" s="391"/>
      <c r="B852" s="391"/>
      <c r="C852" s="391"/>
      <c r="D852" s="391"/>
      <c r="E852" s="391"/>
      <c r="F852" s="391"/>
      <c r="G852" s="391"/>
      <c r="H852" s="391"/>
      <c r="I852" s="391"/>
      <c r="J852" s="391"/>
      <c r="K852" s="391"/>
      <c r="L852" s="391"/>
      <c r="M852" s="391"/>
      <c r="N852" s="391"/>
      <c r="O852" s="391"/>
      <c r="P852" s="391"/>
      <c r="Q852" s="391"/>
      <c r="R852" s="391"/>
      <c r="S852" s="391"/>
      <c r="T852" s="391"/>
      <c r="U852" s="391"/>
      <c r="V852" s="391"/>
      <c r="W852" s="391"/>
      <c r="X852" s="391"/>
      <c r="Y852" s="391"/>
      <c r="Z852" s="391"/>
      <c r="AA852" s="391"/>
      <c r="AB852" s="391"/>
      <c r="AC852" s="391"/>
      <c r="AD852" s="391"/>
      <c r="AE852" s="391"/>
      <c r="AF852" s="391"/>
      <c r="AG852" s="391"/>
      <c r="AH852" s="392"/>
      <c r="AI852" s="391"/>
      <c r="AJ852" s="391"/>
    </row>
    <row r="853" spans="1:36" ht="13.5" x14ac:dyDescent="0.25">
      <c r="A853" s="391"/>
      <c r="B853" s="391"/>
      <c r="C853" s="391"/>
      <c r="D853" s="391"/>
      <c r="E853" s="391"/>
      <c r="F853" s="391"/>
      <c r="G853" s="391"/>
      <c r="H853" s="391"/>
      <c r="I853" s="391"/>
      <c r="J853" s="391"/>
      <c r="K853" s="391"/>
      <c r="L853" s="391"/>
      <c r="M853" s="391"/>
      <c r="N853" s="391"/>
      <c r="O853" s="391"/>
      <c r="P853" s="391"/>
      <c r="Q853" s="391"/>
      <c r="R853" s="391"/>
      <c r="S853" s="391"/>
      <c r="T853" s="391"/>
      <c r="U853" s="391"/>
      <c r="V853" s="391"/>
      <c r="W853" s="391"/>
      <c r="X853" s="391"/>
      <c r="Y853" s="391"/>
      <c r="Z853" s="391"/>
      <c r="AA853" s="391"/>
      <c r="AB853" s="391"/>
      <c r="AC853" s="391"/>
      <c r="AD853" s="391"/>
      <c r="AE853" s="391"/>
      <c r="AF853" s="391"/>
      <c r="AG853" s="391"/>
      <c r="AH853" s="392"/>
      <c r="AI853" s="391"/>
      <c r="AJ853" s="391"/>
    </row>
    <row r="854" spans="1:36" ht="13.5" x14ac:dyDescent="0.25">
      <c r="A854" s="391"/>
      <c r="B854" s="391"/>
      <c r="C854" s="391"/>
      <c r="D854" s="391"/>
      <c r="E854" s="391"/>
      <c r="F854" s="391"/>
      <c r="G854" s="391"/>
      <c r="H854" s="391"/>
      <c r="I854" s="391"/>
      <c r="J854" s="391"/>
      <c r="K854" s="391"/>
      <c r="L854" s="391"/>
      <c r="M854" s="391"/>
      <c r="N854" s="391"/>
      <c r="O854" s="391"/>
      <c r="P854" s="391"/>
      <c r="Q854" s="391"/>
      <c r="R854" s="391"/>
      <c r="S854" s="391"/>
      <c r="T854" s="391"/>
      <c r="U854" s="391"/>
      <c r="V854" s="391"/>
      <c r="W854" s="391"/>
      <c r="X854" s="391"/>
      <c r="Y854" s="391"/>
      <c r="Z854" s="391"/>
      <c r="AA854" s="391"/>
      <c r="AB854" s="391"/>
      <c r="AC854" s="391"/>
      <c r="AD854" s="391"/>
      <c r="AE854" s="391"/>
      <c r="AF854" s="391"/>
      <c r="AG854" s="391"/>
      <c r="AH854" s="392"/>
      <c r="AI854" s="391"/>
      <c r="AJ854" s="391"/>
    </row>
    <row r="855" spans="1:36" ht="13.5" x14ac:dyDescent="0.25">
      <c r="A855" s="391"/>
      <c r="B855" s="391"/>
      <c r="C855" s="391"/>
      <c r="D855" s="391"/>
      <c r="E855" s="391"/>
      <c r="F855" s="391"/>
      <c r="G855" s="391"/>
      <c r="H855" s="391"/>
      <c r="I855" s="391"/>
      <c r="J855" s="391"/>
      <c r="K855" s="391"/>
      <c r="L855" s="391"/>
      <c r="M855" s="391"/>
      <c r="N855" s="391"/>
      <c r="O855" s="391"/>
      <c r="P855" s="391"/>
      <c r="Q855" s="391"/>
      <c r="R855" s="391"/>
      <c r="S855" s="391"/>
      <c r="T855" s="391"/>
      <c r="U855" s="391"/>
      <c r="V855" s="391"/>
      <c r="W855" s="391"/>
      <c r="X855" s="391"/>
      <c r="Y855" s="391"/>
      <c r="Z855" s="391"/>
      <c r="AA855" s="391"/>
      <c r="AB855" s="391"/>
      <c r="AC855" s="391"/>
      <c r="AD855" s="391"/>
      <c r="AE855" s="391"/>
      <c r="AF855" s="391"/>
      <c r="AG855" s="391"/>
      <c r="AH855" s="392"/>
      <c r="AI855" s="391"/>
      <c r="AJ855" s="391"/>
    </row>
    <row r="856" spans="1:36" ht="13.5" x14ac:dyDescent="0.25">
      <c r="A856" s="391"/>
      <c r="B856" s="391"/>
      <c r="C856" s="391"/>
      <c r="D856" s="391"/>
      <c r="E856" s="391"/>
      <c r="F856" s="391"/>
      <c r="G856" s="391"/>
      <c r="H856" s="391"/>
      <c r="I856" s="391"/>
      <c r="J856" s="391"/>
      <c r="K856" s="391"/>
      <c r="L856" s="391"/>
      <c r="M856" s="391"/>
      <c r="N856" s="391"/>
      <c r="O856" s="391"/>
      <c r="P856" s="391"/>
      <c r="Q856" s="391"/>
      <c r="R856" s="391"/>
      <c r="S856" s="391"/>
      <c r="T856" s="391"/>
      <c r="U856" s="391"/>
      <c r="V856" s="391"/>
      <c r="W856" s="391"/>
      <c r="X856" s="391"/>
      <c r="Y856" s="391"/>
      <c r="Z856" s="391"/>
      <c r="AA856" s="391"/>
      <c r="AB856" s="391"/>
      <c r="AC856" s="391"/>
      <c r="AD856" s="391"/>
      <c r="AE856" s="391"/>
      <c r="AF856" s="391"/>
      <c r="AG856" s="391"/>
      <c r="AH856" s="392"/>
      <c r="AI856" s="391"/>
      <c r="AJ856" s="391"/>
    </row>
    <row r="857" spans="1:36" ht="13.5" x14ac:dyDescent="0.25">
      <c r="A857" s="391"/>
      <c r="B857" s="391"/>
      <c r="C857" s="391"/>
      <c r="D857" s="391"/>
      <c r="E857" s="391"/>
      <c r="F857" s="391"/>
      <c r="G857" s="391"/>
      <c r="H857" s="391"/>
      <c r="I857" s="391"/>
      <c r="J857" s="391"/>
      <c r="K857" s="391"/>
      <c r="L857" s="391"/>
      <c r="M857" s="391"/>
      <c r="N857" s="391"/>
      <c r="O857" s="391"/>
      <c r="P857" s="391"/>
      <c r="Q857" s="391"/>
      <c r="R857" s="391"/>
      <c r="S857" s="391"/>
      <c r="T857" s="391"/>
      <c r="U857" s="391"/>
      <c r="V857" s="391"/>
      <c r="W857" s="391"/>
      <c r="X857" s="391"/>
      <c r="Y857" s="391"/>
      <c r="Z857" s="391"/>
      <c r="AA857" s="391"/>
      <c r="AB857" s="391"/>
      <c r="AC857" s="391"/>
      <c r="AD857" s="391"/>
      <c r="AE857" s="391"/>
      <c r="AF857" s="391"/>
      <c r="AG857" s="391"/>
      <c r="AH857" s="392"/>
      <c r="AI857" s="391"/>
      <c r="AJ857" s="391"/>
    </row>
    <row r="858" spans="1:36" ht="13.5" x14ac:dyDescent="0.25">
      <c r="A858" s="391"/>
      <c r="B858" s="391"/>
      <c r="C858" s="391"/>
      <c r="D858" s="391"/>
      <c r="E858" s="391"/>
      <c r="F858" s="391"/>
      <c r="G858" s="391"/>
      <c r="H858" s="391"/>
      <c r="I858" s="391"/>
      <c r="J858" s="391"/>
      <c r="K858" s="391"/>
      <c r="L858" s="391"/>
      <c r="M858" s="391"/>
      <c r="N858" s="391"/>
      <c r="O858" s="391"/>
      <c r="P858" s="391"/>
      <c r="Q858" s="391"/>
      <c r="R858" s="391"/>
      <c r="S858" s="391"/>
      <c r="T858" s="391"/>
      <c r="U858" s="391"/>
      <c r="V858" s="391"/>
      <c r="W858" s="391"/>
      <c r="X858" s="391"/>
      <c r="Y858" s="391"/>
      <c r="Z858" s="391"/>
      <c r="AA858" s="391"/>
      <c r="AB858" s="391"/>
      <c r="AC858" s="391"/>
      <c r="AD858" s="391"/>
      <c r="AE858" s="391"/>
      <c r="AF858" s="391"/>
      <c r="AG858" s="391"/>
      <c r="AH858" s="392"/>
      <c r="AI858" s="391"/>
      <c r="AJ858" s="391"/>
    </row>
    <row r="859" spans="1:36" ht="13.5" x14ac:dyDescent="0.25">
      <c r="A859" s="391"/>
      <c r="B859" s="391"/>
      <c r="C859" s="391"/>
      <c r="D859" s="391"/>
      <c r="E859" s="391"/>
      <c r="F859" s="391"/>
      <c r="G859" s="391"/>
      <c r="H859" s="391"/>
      <c r="I859" s="391"/>
      <c r="J859" s="391"/>
      <c r="K859" s="391"/>
      <c r="L859" s="391"/>
      <c r="M859" s="391"/>
      <c r="N859" s="391"/>
      <c r="O859" s="391"/>
      <c r="P859" s="391"/>
      <c r="Q859" s="391"/>
      <c r="R859" s="391"/>
      <c r="S859" s="391"/>
      <c r="T859" s="391"/>
      <c r="U859" s="391"/>
      <c r="V859" s="391"/>
      <c r="W859" s="391"/>
      <c r="X859" s="391"/>
      <c r="Y859" s="391"/>
      <c r="Z859" s="391"/>
      <c r="AA859" s="391"/>
      <c r="AB859" s="391"/>
      <c r="AC859" s="391"/>
      <c r="AD859" s="391"/>
      <c r="AE859" s="391"/>
      <c r="AF859" s="391"/>
      <c r="AG859" s="391"/>
      <c r="AH859" s="392"/>
      <c r="AI859" s="391"/>
      <c r="AJ859" s="391"/>
    </row>
    <row r="860" spans="1:36" ht="13.5" x14ac:dyDescent="0.25">
      <c r="A860" s="391"/>
      <c r="B860" s="391"/>
      <c r="C860" s="391"/>
      <c r="D860" s="391"/>
      <c r="E860" s="391"/>
      <c r="F860" s="391"/>
      <c r="G860" s="391"/>
      <c r="H860" s="391"/>
      <c r="I860" s="391"/>
      <c r="J860" s="391"/>
      <c r="K860" s="391"/>
      <c r="L860" s="391"/>
      <c r="M860" s="391"/>
      <c r="N860" s="391"/>
      <c r="O860" s="391"/>
      <c r="P860" s="391"/>
      <c r="Q860" s="391"/>
      <c r="R860" s="391"/>
      <c r="S860" s="391"/>
      <c r="T860" s="391"/>
      <c r="U860" s="391"/>
      <c r="V860" s="391"/>
      <c r="W860" s="391"/>
      <c r="X860" s="391"/>
      <c r="Y860" s="391"/>
      <c r="Z860" s="391"/>
      <c r="AA860" s="391"/>
      <c r="AB860" s="391"/>
      <c r="AC860" s="391"/>
      <c r="AD860" s="391"/>
      <c r="AE860" s="391"/>
      <c r="AF860" s="391"/>
      <c r="AG860" s="391"/>
      <c r="AH860" s="392"/>
      <c r="AI860" s="391"/>
      <c r="AJ860" s="391"/>
    </row>
    <row r="861" spans="1:36" ht="13.5" x14ac:dyDescent="0.25">
      <c r="A861" s="391"/>
      <c r="B861" s="391"/>
      <c r="C861" s="391"/>
      <c r="D861" s="391"/>
      <c r="E861" s="391"/>
      <c r="F861" s="391"/>
      <c r="G861" s="391"/>
      <c r="H861" s="391"/>
      <c r="I861" s="391"/>
      <c r="J861" s="391"/>
      <c r="K861" s="391"/>
      <c r="L861" s="391"/>
      <c r="M861" s="391"/>
      <c r="N861" s="391"/>
      <c r="O861" s="391"/>
      <c r="P861" s="391"/>
      <c r="Q861" s="391"/>
      <c r="R861" s="391"/>
      <c r="S861" s="391"/>
      <c r="T861" s="391"/>
      <c r="U861" s="391"/>
      <c r="V861" s="391"/>
      <c r="W861" s="391"/>
      <c r="X861" s="391"/>
      <c r="Y861" s="391"/>
      <c r="Z861" s="391"/>
      <c r="AA861" s="391"/>
      <c r="AB861" s="391"/>
      <c r="AC861" s="391"/>
      <c r="AD861" s="391"/>
      <c r="AE861" s="391"/>
      <c r="AF861" s="391"/>
      <c r="AG861" s="391"/>
      <c r="AH861" s="392"/>
      <c r="AI861" s="391"/>
      <c r="AJ861" s="391"/>
    </row>
    <row r="862" spans="1:36" ht="13.5" x14ac:dyDescent="0.25">
      <c r="A862" s="391"/>
      <c r="B862" s="391"/>
      <c r="C862" s="391"/>
      <c r="D862" s="391"/>
      <c r="E862" s="391"/>
      <c r="F862" s="391"/>
      <c r="G862" s="391"/>
      <c r="H862" s="391"/>
      <c r="I862" s="391"/>
      <c r="J862" s="391"/>
      <c r="K862" s="391"/>
      <c r="L862" s="391"/>
      <c r="M862" s="391"/>
      <c r="N862" s="391"/>
      <c r="O862" s="391"/>
      <c r="P862" s="391"/>
      <c r="Q862" s="391"/>
      <c r="R862" s="391"/>
      <c r="S862" s="391"/>
      <c r="T862" s="391"/>
      <c r="U862" s="391"/>
      <c r="V862" s="391"/>
      <c r="W862" s="391"/>
      <c r="X862" s="391"/>
      <c r="Y862" s="391"/>
      <c r="Z862" s="391"/>
      <c r="AA862" s="391"/>
      <c r="AB862" s="391"/>
      <c r="AC862" s="391"/>
      <c r="AD862" s="391"/>
      <c r="AE862" s="391"/>
      <c r="AF862" s="391"/>
      <c r="AG862" s="391"/>
      <c r="AH862" s="392"/>
      <c r="AI862" s="391"/>
      <c r="AJ862" s="391"/>
    </row>
    <row r="863" spans="1:36" ht="13.5" x14ac:dyDescent="0.25">
      <c r="A863" s="391"/>
      <c r="B863" s="391"/>
      <c r="C863" s="391"/>
      <c r="D863" s="391"/>
      <c r="E863" s="391"/>
      <c r="F863" s="391"/>
      <c r="G863" s="391"/>
      <c r="H863" s="391"/>
      <c r="I863" s="391"/>
      <c r="J863" s="391"/>
      <c r="K863" s="391"/>
      <c r="L863" s="391"/>
      <c r="M863" s="391"/>
      <c r="N863" s="391"/>
      <c r="O863" s="391"/>
      <c r="P863" s="391"/>
      <c r="Q863" s="391"/>
      <c r="R863" s="391"/>
      <c r="S863" s="391"/>
      <c r="T863" s="391"/>
      <c r="U863" s="391"/>
      <c r="V863" s="391"/>
      <c r="W863" s="391"/>
      <c r="X863" s="391"/>
      <c r="Y863" s="391"/>
      <c r="Z863" s="391"/>
      <c r="AA863" s="391"/>
      <c r="AB863" s="391"/>
      <c r="AC863" s="391"/>
      <c r="AD863" s="391"/>
      <c r="AE863" s="391"/>
      <c r="AF863" s="391"/>
      <c r="AG863" s="391"/>
      <c r="AH863" s="392"/>
      <c r="AI863" s="391"/>
      <c r="AJ863" s="391"/>
    </row>
    <row r="864" spans="1:36" ht="13.5" x14ac:dyDescent="0.25">
      <c r="A864" s="391"/>
      <c r="B864" s="391"/>
      <c r="C864" s="391"/>
      <c r="D864" s="391"/>
      <c r="E864" s="391"/>
      <c r="F864" s="391"/>
      <c r="G864" s="391"/>
      <c r="H864" s="391"/>
      <c r="I864" s="391"/>
      <c r="J864" s="391"/>
      <c r="K864" s="391"/>
      <c r="L864" s="391"/>
      <c r="M864" s="391"/>
      <c r="N864" s="391"/>
      <c r="O864" s="391"/>
      <c r="P864" s="391"/>
      <c r="Q864" s="391"/>
      <c r="R864" s="391"/>
      <c r="S864" s="391"/>
      <c r="T864" s="391"/>
      <c r="U864" s="391"/>
      <c r="V864" s="391"/>
      <c r="W864" s="391"/>
      <c r="X864" s="391"/>
      <c r="Y864" s="391"/>
      <c r="Z864" s="391"/>
      <c r="AA864" s="391"/>
      <c r="AB864" s="391"/>
      <c r="AC864" s="391"/>
      <c r="AD864" s="391"/>
      <c r="AE864" s="391"/>
      <c r="AF864" s="391"/>
      <c r="AG864" s="391"/>
      <c r="AH864" s="392"/>
      <c r="AI864" s="391"/>
      <c r="AJ864" s="391"/>
    </row>
    <row r="865" spans="1:36" ht="13.5" x14ac:dyDescent="0.25">
      <c r="A865" s="391"/>
      <c r="B865" s="391"/>
      <c r="C865" s="391"/>
      <c r="D865" s="391"/>
      <c r="E865" s="391"/>
      <c r="F865" s="391"/>
      <c r="G865" s="391"/>
      <c r="H865" s="391"/>
      <c r="I865" s="391"/>
      <c r="J865" s="391"/>
      <c r="K865" s="391"/>
      <c r="L865" s="391"/>
      <c r="M865" s="391"/>
      <c r="N865" s="391"/>
      <c r="O865" s="391"/>
      <c r="P865" s="391"/>
      <c r="Q865" s="391"/>
      <c r="R865" s="391"/>
      <c r="S865" s="391"/>
      <c r="T865" s="391"/>
      <c r="U865" s="391"/>
      <c r="V865" s="391"/>
      <c r="W865" s="391"/>
      <c r="X865" s="391"/>
      <c r="Y865" s="391"/>
      <c r="Z865" s="391"/>
      <c r="AA865" s="391"/>
      <c r="AB865" s="391"/>
      <c r="AC865" s="391"/>
      <c r="AD865" s="391"/>
      <c r="AE865" s="391"/>
      <c r="AF865" s="391"/>
      <c r="AG865" s="391"/>
      <c r="AH865" s="392"/>
      <c r="AI865" s="391"/>
      <c r="AJ865" s="391"/>
    </row>
    <row r="866" spans="1:36" ht="13.5" x14ac:dyDescent="0.25">
      <c r="A866" s="391"/>
      <c r="B866" s="391"/>
      <c r="C866" s="391"/>
      <c r="D866" s="391"/>
      <c r="E866" s="391"/>
      <c r="F866" s="391"/>
      <c r="G866" s="391"/>
      <c r="H866" s="391"/>
      <c r="I866" s="391"/>
      <c r="J866" s="391"/>
      <c r="K866" s="391"/>
      <c r="L866" s="391"/>
      <c r="M866" s="391"/>
      <c r="N866" s="391"/>
      <c r="O866" s="391"/>
      <c r="P866" s="391"/>
      <c r="Q866" s="391"/>
      <c r="R866" s="391"/>
      <c r="S866" s="391"/>
      <c r="T866" s="391"/>
      <c r="U866" s="391"/>
      <c r="V866" s="391"/>
      <c r="W866" s="391"/>
      <c r="X866" s="391"/>
      <c r="Y866" s="391"/>
      <c r="Z866" s="391"/>
      <c r="AA866" s="391"/>
      <c r="AB866" s="391"/>
      <c r="AC866" s="391"/>
      <c r="AD866" s="391"/>
      <c r="AE866" s="391"/>
      <c r="AF866" s="391"/>
      <c r="AG866" s="391"/>
      <c r="AH866" s="392"/>
      <c r="AI866" s="391"/>
      <c r="AJ866" s="391"/>
    </row>
    <row r="867" spans="1:36" ht="13.5" x14ac:dyDescent="0.25">
      <c r="A867" s="391"/>
      <c r="B867" s="391"/>
      <c r="C867" s="391"/>
      <c r="D867" s="391"/>
      <c r="E867" s="391"/>
      <c r="F867" s="391"/>
      <c r="G867" s="391"/>
      <c r="H867" s="391"/>
      <c r="I867" s="391"/>
      <c r="J867" s="391"/>
      <c r="K867" s="391"/>
      <c r="L867" s="391"/>
      <c r="M867" s="391"/>
      <c r="N867" s="391"/>
      <c r="O867" s="391"/>
      <c r="P867" s="391"/>
      <c r="Q867" s="391"/>
      <c r="R867" s="391"/>
      <c r="S867" s="391"/>
      <c r="T867" s="391"/>
      <c r="U867" s="391"/>
      <c r="V867" s="391"/>
      <c r="W867" s="391"/>
      <c r="X867" s="391"/>
      <c r="Y867" s="391"/>
      <c r="Z867" s="391"/>
      <c r="AA867" s="391"/>
      <c r="AB867" s="391"/>
      <c r="AC867" s="391"/>
      <c r="AD867" s="391"/>
      <c r="AE867" s="391"/>
      <c r="AF867" s="391"/>
      <c r="AG867" s="391"/>
      <c r="AH867" s="392"/>
      <c r="AI867" s="391"/>
      <c r="AJ867" s="391"/>
    </row>
    <row r="868" spans="1:36" ht="13.5" x14ac:dyDescent="0.25">
      <c r="A868" s="391"/>
      <c r="B868" s="391"/>
      <c r="C868" s="391"/>
      <c r="D868" s="391"/>
      <c r="E868" s="391"/>
      <c r="F868" s="391"/>
      <c r="G868" s="391"/>
      <c r="H868" s="391"/>
      <c r="I868" s="391"/>
      <c r="J868" s="391"/>
      <c r="K868" s="391"/>
      <c r="L868" s="391"/>
      <c r="M868" s="391"/>
      <c r="N868" s="391"/>
      <c r="O868" s="391"/>
      <c r="P868" s="391"/>
      <c r="Q868" s="391"/>
      <c r="R868" s="391"/>
      <c r="S868" s="391"/>
      <c r="T868" s="391"/>
      <c r="U868" s="391"/>
      <c r="V868" s="391"/>
      <c r="W868" s="391"/>
      <c r="X868" s="391"/>
      <c r="Y868" s="391"/>
      <c r="Z868" s="391"/>
      <c r="AA868" s="391"/>
      <c r="AB868" s="391"/>
      <c r="AC868" s="391"/>
      <c r="AD868" s="391"/>
      <c r="AE868" s="391"/>
      <c r="AF868" s="391"/>
      <c r="AG868" s="391"/>
      <c r="AH868" s="392"/>
      <c r="AI868" s="391"/>
      <c r="AJ868" s="391"/>
    </row>
    <row r="869" spans="1:36" ht="13.5" x14ac:dyDescent="0.25">
      <c r="A869" s="391"/>
      <c r="B869" s="391"/>
      <c r="C869" s="391"/>
      <c r="D869" s="391"/>
      <c r="E869" s="391"/>
      <c r="F869" s="391"/>
      <c r="G869" s="391"/>
      <c r="H869" s="391"/>
      <c r="I869" s="391"/>
      <c r="J869" s="391"/>
      <c r="K869" s="391"/>
      <c r="L869" s="391"/>
      <c r="M869" s="391"/>
      <c r="N869" s="391"/>
      <c r="O869" s="391"/>
      <c r="P869" s="391"/>
      <c r="Q869" s="391"/>
      <c r="R869" s="391"/>
      <c r="S869" s="391"/>
      <c r="T869" s="391"/>
      <c r="U869" s="391"/>
      <c r="V869" s="391"/>
      <c r="W869" s="391"/>
      <c r="X869" s="391"/>
      <c r="Y869" s="391"/>
      <c r="Z869" s="391"/>
      <c r="AA869" s="391"/>
      <c r="AB869" s="391"/>
      <c r="AC869" s="391"/>
      <c r="AD869" s="391"/>
      <c r="AE869" s="391"/>
      <c r="AF869" s="391"/>
      <c r="AG869" s="391"/>
      <c r="AH869" s="392"/>
      <c r="AI869" s="391"/>
      <c r="AJ869" s="391"/>
    </row>
    <row r="870" spans="1:36" ht="13.5" x14ac:dyDescent="0.25">
      <c r="A870" s="391"/>
      <c r="B870" s="391"/>
      <c r="C870" s="391"/>
      <c r="D870" s="391"/>
      <c r="E870" s="391"/>
      <c r="F870" s="391"/>
      <c r="G870" s="391"/>
      <c r="H870" s="391"/>
      <c r="I870" s="391"/>
      <c r="J870" s="391"/>
      <c r="K870" s="391"/>
      <c r="L870" s="391"/>
      <c r="M870" s="391"/>
      <c r="N870" s="391"/>
      <c r="O870" s="391"/>
      <c r="P870" s="391"/>
      <c r="Q870" s="391"/>
      <c r="R870" s="391"/>
      <c r="S870" s="391"/>
      <c r="T870" s="391"/>
      <c r="U870" s="391"/>
      <c r="V870" s="391"/>
      <c r="W870" s="391"/>
      <c r="X870" s="391"/>
      <c r="Y870" s="391"/>
      <c r="Z870" s="391"/>
      <c r="AA870" s="391"/>
      <c r="AB870" s="391"/>
      <c r="AC870" s="391"/>
      <c r="AD870" s="391"/>
      <c r="AE870" s="391"/>
      <c r="AF870" s="391"/>
      <c r="AG870" s="391"/>
      <c r="AH870" s="392"/>
      <c r="AI870" s="391"/>
      <c r="AJ870" s="391"/>
    </row>
    <row r="871" spans="1:36" ht="13.5" x14ac:dyDescent="0.25">
      <c r="A871" s="391"/>
      <c r="B871" s="391"/>
      <c r="C871" s="391"/>
      <c r="D871" s="391"/>
      <c r="E871" s="391"/>
      <c r="F871" s="391"/>
      <c r="G871" s="391"/>
      <c r="H871" s="391"/>
      <c r="I871" s="391"/>
      <c r="J871" s="391"/>
      <c r="K871" s="391"/>
      <c r="L871" s="391"/>
      <c r="M871" s="391"/>
      <c r="N871" s="391"/>
      <c r="O871" s="391"/>
      <c r="P871" s="391"/>
      <c r="Q871" s="391"/>
      <c r="R871" s="391"/>
      <c r="S871" s="391"/>
      <c r="T871" s="391"/>
      <c r="U871" s="391"/>
      <c r="V871" s="391"/>
      <c r="W871" s="391"/>
      <c r="X871" s="391"/>
      <c r="Y871" s="391"/>
      <c r="Z871" s="391"/>
      <c r="AA871" s="391"/>
      <c r="AB871" s="391"/>
      <c r="AC871" s="391"/>
      <c r="AD871" s="391"/>
      <c r="AE871" s="391"/>
      <c r="AF871" s="391"/>
      <c r="AG871" s="391"/>
      <c r="AH871" s="392"/>
      <c r="AI871" s="391"/>
      <c r="AJ871" s="391"/>
    </row>
    <row r="872" spans="1:36" ht="13.5" x14ac:dyDescent="0.25">
      <c r="A872" s="391"/>
      <c r="B872" s="391"/>
      <c r="C872" s="391"/>
      <c r="D872" s="391"/>
      <c r="E872" s="391"/>
      <c r="F872" s="391"/>
      <c r="G872" s="391"/>
      <c r="H872" s="391"/>
      <c r="I872" s="391"/>
      <c r="J872" s="391"/>
      <c r="K872" s="391"/>
      <c r="L872" s="391"/>
      <c r="M872" s="391"/>
      <c r="N872" s="391"/>
      <c r="O872" s="391"/>
      <c r="P872" s="391"/>
      <c r="Q872" s="391"/>
      <c r="R872" s="391"/>
      <c r="S872" s="391"/>
      <c r="T872" s="391"/>
      <c r="U872" s="391"/>
      <c r="V872" s="391"/>
      <c r="W872" s="391"/>
      <c r="X872" s="391"/>
      <c r="Y872" s="391"/>
      <c r="Z872" s="391"/>
      <c r="AA872" s="391"/>
      <c r="AB872" s="391"/>
      <c r="AC872" s="391"/>
      <c r="AD872" s="391"/>
      <c r="AE872" s="391"/>
      <c r="AF872" s="391"/>
      <c r="AG872" s="391"/>
      <c r="AH872" s="392"/>
      <c r="AI872" s="391"/>
      <c r="AJ872" s="391"/>
    </row>
    <row r="873" spans="1:36" ht="13.5" x14ac:dyDescent="0.25">
      <c r="A873" s="391"/>
      <c r="B873" s="391"/>
      <c r="C873" s="391"/>
      <c r="D873" s="391"/>
      <c r="E873" s="391"/>
      <c r="F873" s="391"/>
      <c r="G873" s="391"/>
      <c r="H873" s="391"/>
      <c r="I873" s="391"/>
      <c r="J873" s="391"/>
      <c r="K873" s="391"/>
      <c r="L873" s="391"/>
      <c r="M873" s="391"/>
      <c r="N873" s="391"/>
      <c r="O873" s="391"/>
      <c r="P873" s="391"/>
      <c r="Q873" s="391"/>
      <c r="R873" s="391"/>
      <c r="S873" s="391"/>
      <c r="T873" s="391"/>
      <c r="U873" s="391"/>
      <c r="V873" s="391"/>
      <c r="W873" s="391"/>
      <c r="X873" s="391"/>
      <c r="Y873" s="391"/>
      <c r="Z873" s="391"/>
      <c r="AA873" s="391"/>
      <c r="AB873" s="391"/>
      <c r="AC873" s="391"/>
      <c r="AD873" s="391"/>
      <c r="AE873" s="391"/>
      <c r="AF873" s="391"/>
      <c r="AG873" s="391"/>
      <c r="AH873" s="392"/>
      <c r="AI873" s="391"/>
      <c r="AJ873" s="391"/>
    </row>
    <row r="874" spans="1:36" ht="13.5" x14ac:dyDescent="0.25">
      <c r="A874" s="391"/>
      <c r="B874" s="391"/>
      <c r="C874" s="391"/>
      <c r="D874" s="391"/>
      <c r="E874" s="391"/>
      <c r="F874" s="391"/>
      <c r="G874" s="391"/>
      <c r="H874" s="391"/>
      <c r="I874" s="391"/>
      <c r="J874" s="391"/>
      <c r="K874" s="391"/>
      <c r="L874" s="391"/>
      <c r="M874" s="391"/>
      <c r="N874" s="391"/>
      <c r="O874" s="391"/>
      <c r="P874" s="391"/>
      <c r="Q874" s="391"/>
      <c r="R874" s="391"/>
      <c r="S874" s="391"/>
      <c r="T874" s="391"/>
      <c r="U874" s="391"/>
      <c r="V874" s="391"/>
      <c r="W874" s="391"/>
      <c r="X874" s="391"/>
      <c r="Y874" s="391"/>
      <c r="Z874" s="391"/>
      <c r="AA874" s="391"/>
      <c r="AB874" s="391"/>
      <c r="AC874" s="391"/>
      <c r="AD874" s="391"/>
      <c r="AE874" s="391"/>
      <c r="AF874" s="391"/>
      <c r="AG874" s="391"/>
      <c r="AH874" s="392"/>
      <c r="AI874" s="391"/>
      <c r="AJ874" s="391"/>
    </row>
    <row r="875" spans="1:36" ht="13.5" x14ac:dyDescent="0.25">
      <c r="A875" s="391"/>
      <c r="B875" s="391"/>
      <c r="C875" s="391"/>
      <c r="D875" s="391"/>
      <c r="E875" s="391"/>
      <c r="F875" s="391"/>
      <c r="G875" s="391"/>
      <c r="H875" s="391"/>
      <c r="I875" s="391"/>
      <c r="J875" s="391"/>
      <c r="K875" s="391"/>
      <c r="L875" s="391"/>
      <c r="M875" s="391"/>
      <c r="N875" s="391"/>
      <c r="O875" s="391"/>
      <c r="P875" s="391"/>
      <c r="Q875" s="391"/>
      <c r="R875" s="391"/>
      <c r="S875" s="391"/>
      <c r="T875" s="391"/>
      <c r="U875" s="391"/>
      <c r="V875" s="391"/>
      <c r="W875" s="391"/>
      <c r="X875" s="391"/>
      <c r="Y875" s="391"/>
      <c r="Z875" s="391"/>
      <c r="AA875" s="391"/>
      <c r="AB875" s="391"/>
      <c r="AC875" s="391"/>
      <c r="AD875" s="391"/>
      <c r="AE875" s="391"/>
      <c r="AF875" s="391"/>
      <c r="AG875" s="391"/>
      <c r="AH875" s="392"/>
      <c r="AI875" s="391"/>
      <c r="AJ875" s="391"/>
    </row>
    <row r="876" spans="1:36" ht="13.5" x14ac:dyDescent="0.25">
      <c r="A876" s="391"/>
      <c r="B876" s="391"/>
      <c r="C876" s="391"/>
      <c r="D876" s="391"/>
      <c r="E876" s="391"/>
      <c r="F876" s="391"/>
      <c r="G876" s="391"/>
      <c r="H876" s="391"/>
      <c r="I876" s="391"/>
      <c r="J876" s="391"/>
      <c r="K876" s="391"/>
      <c r="L876" s="391"/>
      <c r="M876" s="391"/>
      <c r="N876" s="391"/>
      <c r="O876" s="391"/>
      <c r="P876" s="391"/>
      <c r="Q876" s="391"/>
      <c r="R876" s="391"/>
      <c r="S876" s="391"/>
      <c r="T876" s="391"/>
      <c r="U876" s="391"/>
      <c r="V876" s="391"/>
      <c r="W876" s="391"/>
      <c r="X876" s="391"/>
      <c r="Y876" s="391"/>
      <c r="Z876" s="391"/>
      <c r="AA876" s="391"/>
      <c r="AB876" s="391"/>
      <c r="AC876" s="391"/>
      <c r="AD876" s="391"/>
      <c r="AE876" s="391"/>
      <c r="AF876" s="391"/>
      <c r="AG876" s="391"/>
      <c r="AH876" s="392"/>
      <c r="AI876" s="391"/>
      <c r="AJ876" s="391"/>
    </row>
    <row r="877" spans="1:36" ht="13.5" x14ac:dyDescent="0.25">
      <c r="A877" s="391"/>
      <c r="B877" s="391"/>
      <c r="C877" s="391"/>
      <c r="D877" s="391"/>
      <c r="E877" s="391"/>
      <c r="F877" s="391"/>
      <c r="G877" s="391"/>
      <c r="H877" s="391"/>
      <c r="I877" s="391"/>
      <c r="J877" s="391"/>
      <c r="K877" s="391"/>
      <c r="L877" s="391"/>
      <c r="M877" s="391"/>
      <c r="N877" s="391"/>
      <c r="O877" s="391"/>
      <c r="P877" s="391"/>
      <c r="Q877" s="391"/>
      <c r="R877" s="391"/>
      <c r="S877" s="391"/>
      <c r="T877" s="391"/>
      <c r="U877" s="391"/>
      <c r="V877" s="391"/>
      <c r="W877" s="391"/>
      <c r="X877" s="391"/>
      <c r="Y877" s="391"/>
      <c r="Z877" s="391"/>
      <c r="AA877" s="391"/>
      <c r="AB877" s="391"/>
      <c r="AC877" s="391"/>
      <c r="AD877" s="391"/>
      <c r="AE877" s="391"/>
      <c r="AF877" s="391"/>
      <c r="AG877" s="391"/>
      <c r="AH877" s="392"/>
      <c r="AI877" s="391"/>
      <c r="AJ877" s="391"/>
    </row>
    <row r="878" spans="1:36" ht="13.5" x14ac:dyDescent="0.25">
      <c r="A878" s="391"/>
      <c r="B878" s="391"/>
      <c r="C878" s="391"/>
      <c r="D878" s="391"/>
      <c r="E878" s="391"/>
      <c r="F878" s="391"/>
      <c r="G878" s="391"/>
      <c r="H878" s="391"/>
      <c r="I878" s="391"/>
      <c r="J878" s="391"/>
      <c r="K878" s="391"/>
      <c r="L878" s="391"/>
      <c r="M878" s="391"/>
      <c r="N878" s="391"/>
      <c r="O878" s="391"/>
      <c r="P878" s="391"/>
      <c r="Q878" s="391"/>
      <c r="R878" s="391"/>
      <c r="S878" s="391"/>
      <c r="T878" s="391"/>
      <c r="U878" s="391"/>
      <c r="V878" s="391"/>
      <c r="W878" s="391"/>
      <c r="X878" s="391"/>
      <c r="Y878" s="391"/>
      <c r="Z878" s="391"/>
      <c r="AA878" s="391"/>
      <c r="AB878" s="391"/>
      <c r="AC878" s="391"/>
      <c r="AD878" s="391"/>
      <c r="AE878" s="391"/>
      <c r="AF878" s="391"/>
      <c r="AG878" s="391"/>
      <c r="AH878" s="392"/>
      <c r="AI878" s="391"/>
      <c r="AJ878" s="391"/>
    </row>
    <row r="879" spans="1:36" ht="13.5" x14ac:dyDescent="0.25">
      <c r="A879" s="391"/>
      <c r="B879" s="391"/>
      <c r="C879" s="391"/>
      <c r="D879" s="391"/>
      <c r="E879" s="391"/>
      <c r="F879" s="391"/>
      <c r="G879" s="391"/>
      <c r="H879" s="391"/>
      <c r="I879" s="391"/>
      <c r="J879" s="391"/>
      <c r="K879" s="391"/>
      <c r="L879" s="391"/>
      <c r="M879" s="391"/>
      <c r="N879" s="391"/>
      <c r="O879" s="391"/>
      <c r="P879" s="391"/>
      <c r="Q879" s="391"/>
      <c r="R879" s="391"/>
      <c r="S879" s="391"/>
      <c r="T879" s="391"/>
      <c r="U879" s="391"/>
      <c r="V879" s="391"/>
      <c r="W879" s="391"/>
      <c r="X879" s="391"/>
      <c r="Y879" s="391"/>
      <c r="Z879" s="391"/>
      <c r="AA879" s="391"/>
      <c r="AB879" s="391"/>
      <c r="AC879" s="391"/>
      <c r="AD879" s="391"/>
      <c r="AE879" s="391"/>
      <c r="AF879" s="391"/>
      <c r="AG879" s="391"/>
      <c r="AH879" s="392"/>
      <c r="AI879" s="391"/>
      <c r="AJ879" s="391"/>
    </row>
    <row r="880" spans="1:36" ht="13.5" x14ac:dyDescent="0.25">
      <c r="A880" s="391"/>
      <c r="B880" s="391"/>
      <c r="C880" s="391"/>
      <c r="D880" s="391"/>
      <c r="E880" s="391"/>
      <c r="F880" s="391"/>
      <c r="G880" s="391"/>
      <c r="H880" s="391"/>
      <c r="I880" s="391"/>
      <c r="J880" s="391"/>
      <c r="K880" s="391"/>
      <c r="L880" s="391"/>
      <c r="M880" s="391"/>
      <c r="N880" s="391"/>
      <c r="O880" s="391"/>
      <c r="P880" s="391"/>
      <c r="Q880" s="391"/>
      <c r="R880" s="391"/>
      <c r="S880" s="391"/>
      <c r="T880" s="391"/>
      <c r="U880" s="391"/>
      <c r="V880" s="391"/>
      <c r="W880" s="391"/>
      <c r="X880" s="391"/>
      <c r="Y880" s="391"/>
      <c r="Z880" s="391"/>
      <c r="AA880" s="391"/>
      <c r="AB880" s="391"/>
      <c r="AC880" s="391"/>
      <c r="AD880" s="391"/>
      <c r="AE880" s="391"/>
      <c r="AF880" s="391"/>
      <c r="AG880" s="391"/>
      <c r="AH880" s="392"/>
      <c r="AI880" s="391"/>
      <c r="AJ880" s="391"/>
    </row>
    <row r="881" spans="1:36" ht="13.5" x14ac:dyDescent="0.25">
      <c r="A881" s="391"/>
      <c r="B881" s="391"/>
      <c r="C881" s="391"/>
      <c r="D881" s="391"/>
      <c r="E881" s="391"/>
      <c r="F881" s="391"/>
      <c r="G881" s="391"/>
      <c r="H881" s="391"/>
      <c r="I881" s="391"/>
      <c r="J881" s="391"/>
      <c r="K881" s="391"/>
      <c r="L881" s="391"/>
      <c r="M881" s="391"/>
      <c r="N881" s="391"/>
      <c r="O881" s="391"/>
      <c r="P881" s="391"/>
      <c r="Q881" s="391"/>
      <c r="R881" s="391"/>
      <c r="S881" s="391"/>
      <c r="T881" s="391"/>
      <c r="U881" s="391"/>
      <c r="V881" s="391"/>
      <c r="W881" s="391"/>
      <c r="X881" s="391"/>
      <c r="Y881" s="391"/>
      <c r="Z881" s="391"/>
      <c r="AA881" s="391"/>
      <c r="AB881" s="391"/>
      <c r="AC881" s="391"/>
      <c r="AD881" s="391"/>
      <c r="AE881" s="391"/>
      <c r="AF881" s="391"/>
      <c r="AG881" s="391"/>
      <c r="AH881" s="392"/>
      <c r="AI881" s="391"/>
      <c r="AJ881" s="391"/>
    </row>
    <row r="882" spans="1:36" ht="13.5" x14ac:dyDescent="0.25">
      <c r="A882" s="391"/>
      <c r="B882" s="391"/>
      <c r="C882" s="391"/>
      <c r="D882" s="391"/>
      <c r="E882" s="391"/>
      <c r="F882" s="391"/>
      <c r="G882" s="391"/>
      <c r="H882" s="391"/>
      <c r="I882" s="391"/>
      <c r="J882" s="391"/>
      <c r="K882" s="391"/>
      <c r="L882" s="391"/>
      <c r="M882" s="391"/>
      <c r="N882" s="391"/>
      <c r="O882" s="391"/>
      <c r="P882" s="391"/>
      <c r="Q882" s="391"/>
      <c r="R882" s="391"/>
      <c r="S882" s="391"/>
      <c r="T882" s="391"/>
      <c r="U882" s="391"/>
      <c r="V882" s="391"/>
      <c r="W882" s="391"/>
      <c r="X882" s="391"/>
      <c r="Y882" s="391"/>
      <c r="Z882" s="391"/>
      <c r="AA882" s="391"/>
      <c r="AB882" s="391"/>
      <c r="AC882" s="391"/>
      <c r="AD882" s="391"/>
      <c r="AE882" s="391"/>
      <c r="AF882" s="391"/>
      <c r="AG882" s="391"/>
      <c r="AH882" s="392"/>
      <c r="AI882" s="391"/>
      <c r="AJ882" s="391"/>
    </row>
    <row r="883" spans="1:36" ht="13.5" x14ac:dyDescent="0.25">
      <c r="A883" s="391"/>
      <c r="B883" s="391"/>
      <c r="C883" s="391"/>
      <c r="D883" s="391"/>
      <c r="E883" s="391"/>
      <c r="F883" s="391"/>
      <c r="G883" s="391"/>
      <c r="H883" s="391"/>
      <c r="I883" s="391"/>
      <c r="J883" s="391"/>
      <c r="K883" s="391"/>
      <c r="L883" s="391"/>
      <c r="M883" s="391"/>
      <c r="N883" s="391"/>
      <c r="O883" s="391"/>
      <c r="P883" s="391"/>
      <c r="Q883" s="391"/>
      <c r="R883" s="391"/>
      <c r="S883" s="391"/>
      <c r="T883" s="391"/>
      <c r="U883" s="391"/>
      <c r="V883" s="391"/>
      <c r="W883" s="391"/>
      <c r="X883" s="391"/>
      <c r="Y883" s="391"/>
      <c r="Z883" s="391"/>
      <c r="AA883" s="391"/>
      <c r="AB883" s="391"/>
      <c r="AC883" s="391"/>
      <c r="AD883" s="391"/>
      <c r="AE883" s="391"/>
      <c r="AF883" s="391"/>
      <c r="AG883" s="391"/>
      <c r="AH883" s="392"/>
      <c r="AI883" s="391"/>
      <c r="AJ883" s="391"/>
    </row>
    <row r="884" spans="1:36" ht="13.5" x14ac:dyDescent="0.25">
      <c r="A884" s="391"/>
      <c r="B884" s="391"/>
      <c r="C884" s="391"/>
      <c r="D884" s="391"/>
      <c r="E884" s="391"/>
      <c r="F884" s="391"/>
      <c r="G884" s="391"/>
      <c r="H884" s="391"/>
      <c r="I884" s="391"/>
      <c r="J884" s="391"/>
      <c r="K884" s="391"/>
      <c r="L884" s="391"/>
      <c r="M884" s="391"/>
      <c r="N884" s="391"/>
      <c r="O884" s="391"/>
      <c r="P884" s="391"/>
      <c r="Q884" s="391"/>
      <c r="R884" s="391"/>
      <c r="S884" s="391"/>
      <c r="T884" s="391"/>
      <c r="U884" s="391"/>
      <c r="V884" s="391"/>
      <c r="W884" s="391"/>
      <c r="X884" s="391"/>
      <c r="Y884" s="391"/>
      <c r="Z884" s="391"/>
      <c r="AA884" s="391"/>
      <c r="AB884" s="391"/>
      <c r="AC884" s="391"/>
      <c r="AD884" s="391"/>
      <c r="AE884" s="391"/>
      <c r="AF884" s="391"/>
      <c r="AG884" s="391"/>
      <c r="AH884" s="392"/>
      <c r="AI884" s="391"/>
      <c r="AJ884" s="391"/>
    </row>
    <row r="885" spans="1:36" ht="13.5" x14ac:dyDescent="0.25">
      <c r="A885" s="391"/>
      <c r="B885" s="391"/>
      <c r="C885" s="391"/>
      <c r="D885" s="391"/>
      <c r="E885" s="391"/>
      <c r="F885" s="391"/>
      <c r="G885" s="391"/>
      <c r="H885" s="391"/>
      <c r="I885" s="391"/>
      <c r="J885" s="391"/>
      <c r="K885" s="391"/>
      <c r="L885" s="391"/>
      <c r="M885" s="391"/>
      <c r="N885" s="391"/>
      <c r="O885" s="391"/>
      <c r="P885" s="391"/>
      <c r="Q885" s="391"/>
      <c r="R885" s="391"/>
      <c r="S885" s="391"/>
      <c r="T885" s="391"/>
      <c r="U885" s="391"/>
      <c r="V885" s="391"/>
      <c r="W885" s="391"/>
      <c r="X885" s="391"/>
      <c r="Y885" s="391"/>
      <c r="Z885" s="391"/>
      <c r="AA885" s="391"/>
      <c r="AB885" s="391"/>
      <c r="AC885" s="391"/>
      <c r="AD885" s="391"/>
      <c r="AE885" s="391"/>
      <c r="AF885" s="391"/>
      <c r="AG885" s="391"/>
      <c r="AH885" s="392"/>
      <c r="AI885" s="391"/>
      <c r="AJ885" s="391"/>
    </row>
    <row r="886" spans="1:36" ht="13.5" x14ac:dyDescent="0.25">
      <c r="A886" s="391"/>
      <c r="B886" s="391"/>
      <c r="C886" s="391"/>
      <c r="D886" s="391"/>
      <c r="E886" s="391"/>
      <c r="F886" s="391"/>
      <c r="G886" s="391"/>
      <c r="H886" s="391"/>
      <c r="I886" s="391"/>
      <c r="J886" s="391"/>
      <c r="K886" s="391"/>
      <c r="L886" s="391"/>
      <c r="M886" s="391"/>
      <c r="N886" s="391"/>
      <c r="O886" s="391"/>
      <c r="P886" s="391"/>
      <c r="Q886" s="391"/>
      <c r="R886" s="391"/>
      <c r="S886" s="391"/>
      <c r="T886" s="391"/>
      <c r="U886" s="391"/>
      <c r="V886" s="391"/>
      <c r="W886" s="391"/>
      <c r="X886" s="391"/>
      <c r="Y886" s="391"/>
      <c r="Z886" s="391"/>
      <c r="AA886" s="391"/>
      <c r="AB886" s="391"/>
      <c r="AC886" s="391"/>
      <c r="AD886" s="391"/>
      <c r="AE886" s="391"/>
      <c r="AF886" s="391"/>
      <c r="AG886" s="391"/>
      <c r="AH886" s="392"/>
      <c r="AI886" s="391"/>
      <c r="AJ886" s="391"/>
    </row>
    <row r="887" spans="1:36" ht="13.5" x14ac:dyDescent="0.25">
      <c r="A887" s="391"/>
      <c r="B887" s="391"/>
      <c r="C887" s="391"/>
      <c r="D887" s="391"/>
      <c r="E887" s="391"/>
      <c r="F887" s="391"/>
      <c r="G887" s="391"/>
      <c r="H887" s="391"/>
      <c r="I887" s="391"/>
      <c r="J887" s="391"/>
      <c r="K887" s="391"/>
      <c r="L887" s="391"/>
      <c r="M887" s="391"/>
      <c r="N887" s="391"/>
      <c r="O887" s="391"/>
      <c r="P887" s="391"/>
      <c r="Q887" s="391"/>
      <c r="R887" s="391"/>
      <c r="S887" s="391"/>
      <c r="T887" s="391"/>
      <c r="U887" s="391"/>
      <c r="V887" s="391"/>
      <c r="W887" s="391"/>
      <c r="X887" s="391"/>
      <c r="Y887" s="391"/>
      <c r="Z887" s="391"/>
      <c r="AA887" s="391"/>
      <c r="AB887" s="391"/>
      <c r="AC887" s="391"/>
      <c r="AD887" s="391"/>
      <c r="AE887" s="391"/>
      <c r="AF887" s="391"/>
      <c r="AG887" s="391"/>
      <c r="AH887" s="392"/>
      <c r="AI887" s="391"/>
      <c r="AJ887" s="391"/>
    </row>
    <row r="888" spans="1:36" ht="13.5" x14ac:dyDescent="0.25">
      <c r="A888" s="391"/>
      <c r="B888" s="391"/>
      <c r="C888" s="391"/>
      <c r="D888" s="391"/>
      <c r="E888" s="391"/>
      <c r="F888" s="391"/>
      <c r="G888" s="391"/>
      <c r="H888" s="391"/>
      <c r="I888" s="391"/>
      <c r="J888" s="391"/>
      <c r="K888" s="391"/>
      <c r="L888" s="391"/>
      <c r="M888" s="391"/>
      <c r="N888" s="391"/>
      <c r="O888" s="391"/>
      <c r="P888" s="391"/>
      <c r="Q888" s="391"/>
      <c r="R888" s="391"/>
      <c r="S888" s="391"/>
      <c r="T888" s="391"/>
      <c r="U888" s="391"/>
      <c r="V888" s="391"/>
      <c r="W888" s="391"/>
      <c r="X888" s="391"/>
      <c r="Y888" s="391"/>
      <c r="Z888" s="391"/>
      <c r="AA888" s="391"/>
      <c r="AB888" s="391"/>
      <c r="AC888" s="391"/>
      <c r="AD888" s="391"/>
      <c r="AE888" s="391"/>
      <c r="AF888" s="391"/>
      <c r="AG888" s="391"/>
      <c r="AH888" s="392"/>
      <c r="AI888" s="391"/>
      <c r="AJ888" s="391"/>
    </row>
    <row r="889" spans="1:36" ht="13.5" x14ac:dyDescent="0.25">
      <c r="A889" s="391"/>
      <c r="B889" s="391"/>
      <c r="C889" s="391"/>
      <c r="D889" s="391"/>
      <c r="E889" s="391"/>
      <c r="F889" s="391"/>
      <c r="G889" s="391"/>
      <c r="H889" s="391"/>
      <c r="I889" s="391"/>
      <c r="J889" s="391"/>
      <c r="K889" s="391"/>
      <c r="L889" s="391"/>
      <c r="M889" s="391"/>
      <c r="N889" s="391"/>
      <c r="O889" s="391"/>
      <c r="P889" s="391"/>
      <c r="Q889" s="391"/>
      <c r="R889" s="391"/>
      <c r="S889" s="391"/>
      <c r="T889" s="391"/>
      <c r="U889" s="391"/>
      <c r="V889" s="391"/>
      <c r="W889" s="391"/>
      <c r="X889" s="391"/>
      <c r="Y889" s="391"/>
      <c r="Z889" s="391"/>
      <c r="AA889" s="391"/>
      <c r="AB889" s="391"/>
      <c r="AC889" s="391"/>
      <c r="AD889" s="391"/>
      <c r="AE889" s="391"/>
      <c r="AF889" s="391"/>
      <c r="AG889" s="391"/>
      <c r="AH889" s="392"/>
      <c r="AI889" s="391"/>
      <c r="AJ889" s="391"/>
    </row>
    <row r="890" spans="1:36" ht="13.5" x14ac:dyDescent="0.25">
      <c r="A890" s="391"/>
      <c r="B890" s="391"/>
      <c r="C890" s="391"/>
      <c r="D890" s="391"/>
      <c r="E890" s="391"/>
      <c r="F890" s="391"/>
      <c r="G890" s="391"/>
      <c r="H890" s="391"/>
      <c r="I890" s="391"/>
      <c r="J890" s="391"/>
      <c r="K890" s="391"/>
      <c r="L890" s="391"/>
      <c r="M890" s="391"/>
      <c r="N890" s="391"/>
      <c r="O890" s="391"/>
      <c r="P890" s="391"/>
      <c r="Q890" s="391"/>
      <c r="R890" s="391"/>
      <c r="S890" s="391"/>
      <c r="T890" s="391"/>
      <c r="U890" s="391"/>
      <c r="V890" s="391"/>
      <c r="W890" s="391"/>
      <c r="X890" s="391"/>
      <c r="Y890" s="391"/>
      <c r="Z890" s="391"/>
      <c r="AA890" s="391"/>
      <c r="AB890" s="391"/>
      <c r="AC890" s="391"/>
      <c r="AD890" s="391"/>
      <c r="AE890" s="391"/>
      <c r="AF890" s="391"/>
      <c r="AG890" s="391"/>
      <c r="AH890" s="392"/>
      <c r="AI890" s="391"/>
      <c r="AJ890" s="391"/>
    </row>
    <row r="891" spans="1:36" ht="13.5" x14ac:dyDescent="0.25">
      <c r="A891" s="391"/>
      <c r="B891" s="391"/>
      <c r="C891" s="391"/>
      <c r="D891" s="391"/>
      <c r="E891" s="391"/>
      <c r="F891" s="391"/>
      <c r="G891" s="391"/>
      <c r="H891" s="391"/>
      <c r="I891" s="391"/>
      <c r="J891" s="391"/>
      <c r="K891" s="391"/>
      <c r="L891" s="391"/>
      <c r="M891" s="391"/>
      <c r="N891" s="391"/>
      <c r="O891" s="391"/>
      <c r="P891" s="391"/>
      <c r="Q891" s="391"/>
      <c r="R891" s="391"/>
      <c r="S891" s="391"/>
      <c r="T891" s="391"/>
      <c r="U891" s="391"/>
      <c r="V891" s="391"/>
      <c r="W891" s="391"/>
      <c r="X891" s="391"/>
      <c r="Y891" s="391"/>
      <c r="Z891" s="391"/>
      <c r="AA891" s="391"/>
      <c r="AB891" s="391"/>
      <c r="AC891" s="391"/>
      <c r="AD891" s="391"/>
      <c r="AE891" s="391"/>
      <c r="AF891" s="391"/>
      <c r="AG891" s="391"/>
      <c r="AH891" s="392"/>
      <c r="AI891" s="391"/>
      <c r="AJ891" s="391"/>
    </row>
    <row r="892" spans="1:36" ht="13.5" x14ac:dyDescent="0.25">
      <c r="A892" s="391"/>
      <c r="B892" s="391"/>
      <c r="C892" s="391"/>
      <c r="D892" s="391"/>
      <c r="E892" s="391"/>
      <c r="F892" s="391"/>
      <c r="G892" s="391"/>
      <c r="H892" s="391"/>
      <c r="I892" s="391"/>
      <c r="J892" s="391"/>
      <c r="K892" s="391"/>
      <c r="L892" s="391"/>
      <c r="M892" s="391"/>
      <c r="N892" s="391"/>
      <c r="O892" s="391"/>
      <c r="P892" s="391"/>
      <c r="Q892" s="391"/>
      <c r="R892" s="391"/>
      <c r="S892" s="391"/>
      <c r="T892" s="391"/>
      <c r="U892" s="391"/>
      <c r="V892" s="391"/>
      <c r="W892" s="391"/>
      <c r="X892" s="391"/>
      <c r="Y892" s="391"/>
      <c r="Z892" s="391"/>
      <c r="AA892" s="391"/>
      <c r="AB892" s="391"/>
      <c r="AC892" s="391"/>
      <c r="AD892" s="391"/>
      <c r="AE892" s="391"/>
      <c r="AF892" s="391"/>
      <c r="AG892" s="391"/>
      <c r="AH892" s="392"/>
      <c r="AI892" s="391"/>
      <c r="AJ892" s="391"/>
    </row>
    <row r="893" spans="1:36" ht="13.5" x14ac:dyDescent="0.25">
      <c r="A893" s="391"/>
      <c r="B893" s="391"/>
      <c r="C893" s="391"/>
      <c r="D893" s="391"/>
      <c r="E893" s="391"/>
      <c r="F893" s="391"/>
      <c r="G893" s="391"/>
      <c r="H893" s="391"/>
      <c r="I893" s="391"/>
      <c r="J893" s="391"/>
      <c r="K893" s="391"/>
      <c r="L893" s="391"/>
      <c r="M893" s="391"/>
      <c r="N893" s="391"/>
      <c r="O893" s="391"/>
      <c r="P893" s="391"/>
      <c r="Q893" s="391"/>
      <c r="R893" s="391"/>
      <c r="S893" s="391"/>
      <c r="T893" s="391"/>
      <c r="U893" s="391"/>
      <c r="V893" s="391"/>
      <c r="W893" s="391"/>
      <c r="X893" s="391"/>
      <c r="Y893" s="391"/>
      <c r="Z893" s="391"/>
      <c r="AA893" s="391"/>
      <c r="AB893" s="391"/>
      <c r="AC893" s="391"/>
      <c r="AD893" s="391"/>
      <c r="AE893" s="391"/>
      <c r="AF893" s="391"/>
      <c r="AG893" s="391"/>
      <c r="AH893" s="392"/>
      <c r="AI893" s="391"/>
      <c r="AJ893" s="391"/>
    </row>
    <row r="894" spans="1:36" ht="13.5" x14ac:dyDescent="0.25">
      <c r="A894" s="391"/>
      <c r="B894" s="391"/>
      <c r="C894" s="391"/>
      <c r="D894" s="391"/>
      <c r="E894" s="391"/>
      <c r="F894" s="391"/>
      <c r="G894" s="391"/>
      <c r="H894" s="391"/>
      <c r="I894" s="391"/>
      <c r="J894" s="391"/>
      <c r="K894" s="391"/>
      <c r="L894" s="391"/>
      <c r="M894" s="391"/>
      <c r="N894" s="391"/>
      <c r="O894" s="391"/>
      <c r="P894" s="391"/>
      <c r="Q894" s="391"/>
      <c r="R894" s="391"/>
      <c r="S894" s="391"/>
      <c r="T894" s="391"/>
      <c r="U894" s="391"/>
      <c r="V894" s="391"/>
      <c r="W894" s="391"/>
      <c r="X894" s="391"/>
      <c r="Y894" s="391"/>
      <c r="Z894" s="391"/>
      <c r="AA894" s="391"/>
      <c r="AB894" s="391"/>
      <c r="AC894" s="391"/>
      <c r="AD894" s="391"/>
      <c r="AE894" s="391"/>
      <c r="AF894" s="391"/>
      <c r="AG894" s="391"/>
      <c r="AH894" s="392"/>
      <c r="AI894" s="391"/>
      <c r="AJ894" s="391"/>
    </row>
    <row r="895" spans="1:36" ht="13.5" x14ac:dyDescent="0.25">
      <c r="A895" s="391"/>
      <c r="B895" s="391"/>
      <c r="C895" s="391"/>
      <c r="D895" s="391"/>
      <c r="E895" s="391"/>
      <c r="F895" s="391"/>
      <c r="G895" s="391"/>
      <c r="H895" s="391"/>
      <c r="I895" s="391"/>
      <c r="J895" s="391"/>
      <c r="K895" s="391"/>
      <c r="L895" s="391"/>
      <c r="M895" s="391"/>
      <c r="N895" s="391"/>
      <c r="O895" s="391"/>
      <c r="P895" s="391"/>
      <c r="Q895" s="391"/>
      <c r="R895" s="391"/>
      <c r="S895" s="391"/>
      <c r="T895" s="391"/>
      <c r="U895" s="391"/>
      <c r="V895" s="391"/>
      <c r="W895" s="391"/>
      <c r="X895" s="391"/>
      <c r="Y895" s="391"/>
      <c r="Z895" s="391"/>
      <c r="AA895" s="391"/>
      <c r="AB895" s="391"/>
      <c r="AC895" s="391"/>
      <c r="AD895" s="391"/>
      <c r="AE895" s="391"/>
      <c r="AF895" s="391"/>
      <c r="AG895" s="391"/>
      <c r="AH895" s="392"/>
      <c r="AI895" s="391"/>
      <c r="AJ895" s="391"/>
    </row>
    <row r="896" spans="1:36" ht="13.5" x14ac:dyDescent="0.25">
      <c r="A896" s="391"/>
      <c r="B896" s="391"/>
      <c r="C896" s="391"/>
      <c r="D896" s="391"/>
      <c r="E896" s="391"/>
      <c r="F896" s="391"/>
      <c r="G896" s="391"/>
      <c r="H896" s="391"/>
      <c r="I896" s="391"/>
      <c r="J896" s="391"/>
      <c r="K896" s="391"/>
      <c r="L896" s="391"/>
      <c r="M896" s="391"/>
      <c r="N896" s="391"/>
      <c r="O896" s="391"/>
      <c r="P896" s="391"/>
      <c r="Q896" s="391"/>
      <c r="R896" s="391"/>
      <c r="S896" s="391"/>
      <c r="T896" s="391"/>
      <c r="U896" s="391"/>
      <c r="V896" s="391"/>
      <c r="W896" s="391"/>
      <c r="X896" s="391"/>
      <c r="Y896" s="391"/>
      <c r="Z896" s="391"/>
      <c r="AA896" s="391"/>
      <c r="AB896" s="391"/>
      <c r="AC896" s="391"/>
      <c r="AD896" s="391"/>
      <c r="AE896" s="391"/>
      <c r="AF896" s="391"/>
      <c r="AG896" s="391"/>
      <c r="AH896" s="392"/>
      <c r="AI896" s="391"/>
      <c r="AJ896" s="391"/>
    </row>
    <row r="897" spans="1:36" ht="13.5" x14ac:dyDescent="0.25">
      <c r="A897" s="391"/>
      <c r="B897" s="391"/>
      <c r="C897" s="391"/>
      <c r="D897" s="391"/>
      <c r="E897" s="391"/>
      <c r="F897" s="391"/>
      <c r="G897" s="391"/>
      <c r="H897" s="391"/>
      <c r="I897" s="391"/>
      <c r="J897" s="391"/>
      <c r="K897" s="391"/>
      <c r="L897" s="391"/>
      <c r="M897" s="391"/>
      <c r="N897" s="391"/>
      <c r="O897" s="391"/>
      <c r="P897" s="391"/>
      <c r="Q897" s="391"/>
      <c r="R897" s="391"/>
      <c r="S897" s="391"/>
      <c r="T897" s="391"/>
      <c r="U897" s="391"/>
      <c r="V897" s="391"/>
      <c r="W897" s="391"/>
      <c r="X897" s="391"/>
      <c r="Y897" s="391"/>
      <c r="Z897" s="391"/>
      <c r="AA897" s="391"/>
      <c r="AB897" s="391"/>
      <c r="AC897" s="391"/>
      <c r="AD897" s="391"/>
      <c r="AE897" s="391"/>
      <c r="AF897" s="391"/>
      <c r="AG897" s="391"/>
      <c r="AH897" s="392"/>
      <c r="AI897" s="391"/>
      <c r="AJ897" s="391"/>
    </row>
    <row r="898" spans="1:36" ht="13.5" x14ac:dyDescent="0.25">
      <c r="A898" s="391"/>
      <c r="B898" s="391"/>
      <c r="C898" s="391"/>
      <c r="D898" s="391"/>
      <c r="E898" s="391"/>
      <c r="F898" s="391"/>
      <c r="G898" s="391"/>
      <c r="H898" s="391"/>
      <c r="I898" s="391"/>
      <c r="J898" s="391"/>
      <c r="K898" s="391"/>
      <c r="L898" s="391"/>
      <c r="M898" s="391"/>
      <c r="N898" s="391"/>
      <c r="O898" s="391"/>
      <c r="P898" s="391"/>
      <c r="Q898" s="391"/>
      <c r="R898" s="391"/>
      <c r="S898" s="391"/>
      <c r="T898" s="391"/>
      <c r="U898" s="391"/>
      <c r="V898" s="391"/>
      <c r="W898" s="391"/>
      <c r="X898" s="391"/>
      <c r="Y898" s="391"/>
      <c r="Z898" s="391"/>
      <c r="AA898" s="391"/>
      <c r="AB898" s="391"/>
      <c r="AC898" s="391"/>
      <c r="AD898" s="391"/>
      <c r="AE898" s="391"/>
      <c r="AF898" s="391"/>
      <c r="AG898" s="391"/>
      <c r="AH898" s="392"/>
      <c r="AI898" s="391"/>
      <c r="AJ898" s="391"/>
    </row>
    <row r="899" spans="1:36" ht="13.5" x14ac:dyDescent="0.25">
      <c r="A899" s="391"/>
      <c r="B899" s="391"/>
      <c r="C899" s="391"/>
      <c r="D899" s="391"/>
      <c r="E899" s="391"/>
      <c r="F899" s="391"/>
      <c r="G899" s="391"/>
      <c r="H899" s="391"/>
      <c r="I899" s="391"/>
      <c r="J899" s="391"/>
      <c r="K899" s="391"/>
      <c r="L899" s="391"/>
      <c r="M899" s="391"/>
      <c r="N899" s="391"/>
      <c r="O899" s="391"/>
      <c r="P899" s="391"/>
      <c r="Q899" s="391"/>
      <c r="R899" s="391"/>
      <c r="S899" s="391"/>
      <c r="T899" s="391"/>
      <c r="U899" s="391"/>
      <c r="V899" s="391"/>
      <c r="W899" s="391"/>
      <c r="X899" s="391"/>
      <c r="Y899" s="391"/>
      <c r="Z899" s="391"/>
      <c r="AA899" s="391"/>
      <c r="AB899" s="391"/>
      <c r="AC899" s="391"/>
      <c r="AD899" s="391"/>
      <c r="AE899" s="391"/>
      <c r="AF899" s="391"/>
      <c r="AG899" s="391"/>
      <c r="AH899" s="392"/>
      <c r="AI899" s="391"/>
      <c r="AJ899" s="391"/>
    </row>
    <row r="900" spans="1:36" ht="13.5" x14ac:dyDescent="0.25">
      <c r="A900" s="391"/>
      <c r="B900" s="391"/>
      <c r="C900" s="391"/>
      <c r="D900" s="391"/>
      <c r="E900" s="391"/>
      <c r="F900" s="391"/>
      <c r="G900" s="391"/>
      <c r="H900" s="391"/>
      <c r="I900" s="391"/>
      <c r="J900" s="391"/>
      <c r="K900" s="391"/>
      <c r="L900" s="391"/>
      <c r="M900" s="391"/>
      <c r="N900" s="391"/>
      <c r="O900" s="391"/>
      <c r="P900" s="391"/>
      <c r="Q900" s="391"/>
      <c r="R900" s="391"/>
      <c r="S900" s="391"/>
      <c r="T900" s="391"/>
      <c r="U900" s="391"/>
      <c r="V900" s="391"/>
      <c r="W900" s="391"/>
      <c r="X900" s="391"/>
      <c r="Y900" s="391"/>
      <c r="Z900" s="391"/>
      <c r="AA900" s="391"/>
      <c r="AB900" s="391"/>
      <c r="AC900" s="391"/>
      <c r="AD900" s="391"/>
      <c r="AE900" s="391"/>
      <c r="AF900" s="391"/>
      <c r="AG900" s="391"/>
      <c r="AH900" s="392"/>
      <c r="AI900" s="391"/>
      <c r="AJ900" s="391"/>
    </row>
    <row r="901" spans="1:36" ht="13.5" x14ac:dyDescent="0.25">
      <c r="A901" s="391"/>
      <c r="B901" s="391"/>
      <c r="C901" s="391"/>
      <c r="D901" s="391"/>
      <c r="E901" s="391"/>
      <c r="F901" s="391"/>
      <c r="G901" s="391"/>
      <c r="H901" s="391"/>
      <c r="I901" s="391"/>
      <c r="J901" s="391"/>
      <c r="K901" s="391"/>
      <c r="L901" s="391"/>
      <c r="M901" s="391"/>
      <c r="N901" s="391"/>
      <c r="O901" s="391"/>
      <c r="P901" s="391"/>
      <c r="Q901" s="391"/>
      <c r="R901" s="391"/>
      <c r="S901" s="391"/>
      <c r="T901" s="391"/>
      <c r="U901" s="391"/>
      <c r="V901" s="391"/>
      <c r="W901" s="391"/>
      <c r="X901" s="391"/>
      <c r="Y901" s="391"/>
      <c r="Z901" s="391"/>
      <c r="AA901" s="391"/>
      <c r="AB901" s="391"/>
      <c r="AC901" s="391"/>
      <c r="AD901" s="391"/>
      <c r="AE901" s="391"/>
      <c r="AF901" s="391"/>
      <c r="AG901" s="391"/>
      <c r="AH901" s="392"/>
      <c r="AI901" s="391"/>
      <c r="AJ901" s="391"/>
    </row>
    <row r="902" spans="1:36" ht="13.5" x14ac:dyDescent="0.25">
      <c r="A902" s="391"/>
      <c r="B902" s="391"/>
      <c r="C902" s="391"/>
      <c r="D902" s="391"/>
      <c r="E902" s="391"/>
      <c r="F902" s="391"/>
      <c r="G902" s="391"/>
      <c r="H902" s="391"/>
      <c r="I902" s="391"/>
      <c r="J902" s="391"/>
      <c r="K902" s="391"/>
      <c r="L902" s="391"/>
      <c r="M902" s="391"/>
      <c r="N902" s="391"/>
      <c r="O902" s="391"/>
      <c r="P902" s="391"/>
      <c r="Q902" s="391"/>
      <c r="R902" s="391"/>
      <c r="S902" s="391"/>
      <c r="T902" s="391"/>
      <c r="U902" s="391"/>
      <c r="V902" s="391"/>
      <c r="W902" s="391"/>
      <c r="X902" s="391"/>
      <c r="Y902" s="391"/>
      <c r="Z902" s="391"/>
      <c r="AA902" s="391"/>
      <c r="AB902" s="391"/>
      <c r="AC902" s="391"/>
      <c r="AD902" s="391"/>
      <c r="AE902" s="391"/>
      <c r="AF902" s="391"/>
      <c r="AG902" s="391"/>
      <c r="AH902" s="392"/>
      <c r="AI902" s="391"/>
      <c r="AJ902" s="391"/>
    </row>
    <row r="903" spans="1:36" ht="13.5" x14ac:dyDescent="0.25">
      <c r="A903" s="391"/>
      <c r="B903" s="391"/>
      <c r="C903" s="391"/>
      <c r="D903" s="391"/>
      <c r="E903" s="391"/>
      <c r="F903" s="391"/>
      <c r="G903" s="391"/>
      <c r="H903" s="391"/>
      <c r="I903" s="391"/>
      <c r="J903" s="391"/>
      <c r="K903" s="391"/>
      <c r="L903" s="391"/>
      <c r="M903" s="391"/>
      <c r="N903" s="391"/>
      <c r="O903" s="391"/>
      <c r="P903" s="391"/>
      <c r="Q903" s="391"/>
      <c r="R903" s="391"/>
      <c r="S903" s="391"/>
      <c r="T903" s="391"/>
      <c r="U903" s="391"/>
      <c r="V903" s="391"/>
      <c r="W903" s="391"/>
      <c r="X903" s="391"/>
      <c r="Y903" s="391"/>
      <c r="Z903" s="391"/>
      <c r="AA903" s="391"/>
      <c r="AB903" s="391"/>
      <c r="AC903" s="391"/>
      <c r="AD903" s="391"/>
      <c r="AE903" s="391"/>
      <c r="AF903" s="391"/>
      <c r="AG903" s="391"/>
      <c r="AH903" s="392"/>
      <c r="AI903" s="391"/>
      <c r="AJ903" s="391"/>
    </row>
    <row r="904" spans="1:36" ht="13.5" x14ac:dyDescent="0.25">
      <c r="A904" s="391"/>
      <c r="B904" s="391"/>
      <c r="C904" s="391"/>
      <c r="D904" s="391"/>
      <c r="E904" s="391"/>
      <c r="F904" s="391"/>
      <c r="G904" s="391"/>
      <c r="H904" s="391"/>
      <c r="I904" s="391"/>
      <c r="J904" s="391"/>
      <c r="K904" s="391"/>
      <c r="L904" s="391"/>
      <c r="M904" s="391"/>
      <c r="N904" s="391"/>
      <c r="O904" s="391"/>
      <c r="P904" s="391"/>
      <c r="Q904" s="391"/>
      <c r="R904" s="391"/>
      <c r="S904" s="391"/>
      <c r="T904" s="391"/>
      <c r="U904" s="391"/>
      <c r="V904" s="391"/>
      <c r="W904" s="391"/>
      <c r="X904" s="391"/>
      <c r="Y904" s="391"/>
      <c r="Z904" s="391"/>
      <c r="AA904" s="391"/>
      <c r="AB904" s="391"/>
      <c r="AC904" s="391"/>
      <c r="AD904" s="391"/>
      <c r="AE904" s="391"/>
      <c r="AF904" s="391"/>
      <c r="AG904" s="391"/>
      <c r="AH904" s="392"/>
      <c r="AI904" s="391"/>
      <c r="AJ904" s="391"/>
    </row>
    <row r="905" spans="1:36" ht="13.5" x14ac:dyDescent="0.25">
      <c r="A905" s="391"/>
      <c r="B905" s="391"/>
      <c r="C905" s="391"/>
      <c r="D905" s="391"/>
      <c r="E905" s="391"/>
      <c r="F905" s="391"/>
      <c r="G905" s="391"/>
      <c r="H905" s="391"/>
      <c r="I905" s="391"/>
      <c r="J905" s="391"/>
      <c r="K905" s="391"/>
      <c r="L905" s="391"/>
      <c r="M905" s="391"/>
      <c r="N905" s="391"/>
      <c r="O905" s="391"/>
      <c r="P905" s="391"/>
      <c r="Q905" s="391"/>
      <c r="R905" s="391"/>
      <c r="S905" s="391"/>
      <c r="T905" s="391"/>
      <c r="U905" s="391"/>
      <c r="V905" s="391"/>
      <c r="W905" s="391"/>
      <c r="X905" s="391"/>
      <c r="Y905" s="391"/>
      <c r="Z905" s="391"/>
      <c r="AA905" s="391"/>
      <c r="AB905" s="391"/>
      <c r="AC905" s="391"/>
      <c r="AD905" s="391"/>
      <c r="AE905" s="391"/>
      <c r="AF905" s="391"/>
      <c r="AG905" s="391"/>
      <c r="AH905" s="392"/>
      <c r="AI905" s="391"/>
      <c r="AJ905" s="391"/>
    </row>
    <row r="906" spans="1:36" ht="13.5" x14ac:dyDescent="0.25">
      <c r="A906" s="391"/>
      <c r="B906" s="391"/>
      <c r="C906" s="391"/>
      <c r="D906" s="391"/>
      <c r="E906" s="391"/>
      <c r="F906" s="391"/>
      <c r="G906" s="391"/>
      <c r="H906" s="391"/>
      <c r="I906" s="391"/>
      <c r="J906" s="391"/>
      <c r="K906" s="391"/>
      <c r="L906" s="391"/>
      <c r="M906" s="391"/>
      <c r="N906" s="391"/>
      <c r="O906" s="391"/>
      <c r="P906" s="391"/>
      <c r="Q906" s="391"/>
      <c r="R906" s="391"/>
      <c r="S906" s="391"/>
      <c r="T906" s="391"/>
      <c r="U906" s="391"/>
      <c r="V906" s="391"/>
      <c r="W906" s="391"/>
      <c r="X906" s="391"/>
      <c r="Y906" s="391"/>
      <c r="Z906" s="391"/>
      <c r="AA906" s="391"/>
      <c r="AB906" s="391"/>
      <c r="AC906" s="391"/>
      <c r="AD906" s="391"/>
      <c r="AE906" s="391"/>
      <c r="AF906" s="391"/>
      <c r="AG906" s="391"/>
      <c r="AH906" s="392"/>
      <c r="AI906" s="391"/>
      <c r="AJ906" s="391"/>
    </row>
    <row r="907" spans="1:36" ht="13.5" x14ac:dyDescent="0.25">
      <c r="A907" s="391"/>
      <c r="B907" s="391"/>
      <c r="C907" s="391"/>
      <c r="D907" s="391"/>
      <c r="E907" s="391"/>
      <c r="F907" s="391"/>
      <c r="G907" s="391"/>
      <c r="H907" s="391"/>
      <c r="I907" s="391"/>
      <c r="J907" s="391"/>
      <c r="K907" s="391"/>
      <c r="L907" s="391"/>
      <c r="M907" s="391"/>
      <c r="N907" s="391"/>
      <c r="O907" s="391"/>
      <c r="P907" s="391"/>
      <c r="Q907" s="391"/>
      <c r="R907" s="391"/>
      <c r="S907" s="391"/>
      <c r="T907" s="391"/>
      <c r="U907" s="391"/>
      <c r="V907" s="391"/>
      <c r="W907" s="391"/>
      <c r="X907" s="391"/>
      <c r="Y907" s="391"/>
      <c r="Z907" s="391"/>
      <c r="AA907" s="391"/>
      <c r="AB907" s="391"/>
      <c r="AC907" s="391"/>
      <c r="AD907" s="391"/>
      <c r="AE907" s="391"/>
      <c r="AF907" s="391"/>
      <c r="AG907" s="391"/>
      <c r="AH907" s="392"/>
      <c r="AI907" s="391"/>
      <c r="AJ907" s="391"/>
    </row>
    <row r="908" spans="1:36" ht="13.5" x14ac:dyDescent="0.25">
      <c r="A908" s="391"/>
      <c r="B908" s="391"/>
      <c r="C908" s="391"/>
      <c r="D908" s="391"/>
      <c r="E908" s="391"/>
      <c r="F908" s="391"/>
      <c r="G908" s="391"/>
      <c r="H908" s="391"/>
      <c r="I908" s="391"/>
      <c r="J908" s="391"/>
      <c r="K908" s="391"/>
      <c r="L908" s="391"/>
      <c r="M908" s="391"/>
      <c r="N908" s="391"/>
      <c r="O908" s="391"/>
      <c r="P908" s="391"/>
      <c r="Q908" s="391"/>
      <c r="R908" s="391"/>
      <c r="S908" s="391"/>
      <c r="T908" s="391"/>
      <c r="U908" s="391"/>
      <c r="V908" s="391"/>
      <c r="W908" s="391"/>
      <c r="X908" s="391"/>
      <c r="Y908" s="391"/>
      <c r="Z908" s="391"/>
      <c r="AA908" s="391"/>
      <c r="AB908" s="391"/>
      <c r="AC908" s="391"/>
      <c r="AD908" s="391"/>
      <c r="AE908" s="391"/>
      <c r="AF908" s="391"/>
      <c r="AG908" s="391"/>
      <c r="AH908" s="392"/>
      <c r="AI908" s="391"/>
      <c r="AJ908" s="391"/>
    </row>
    <row r="909" spans="1:36" ht="13.5" x14ac:dyDescent="0.25">
      <c r="A909" s="391"/>
      <c r="B909" s="391"/>
      <c r="C909" s="391"/>
      <c r="D909" s="391"/>
      <c r="E909" s="391"/>
      <c r="F909" s="391"/>
      <c r="G909" s="391"/>
      <c r="H909" s="391"/>
      <c r="I909" s="391"/>
      <c r="J909" s="391"/>
      <c r="K909" s="391"/>
      <c r="L909" s="391"/>
      <c r="M909" s="391"/>
      <c r="N909" s="391"/>
      <c r="O909" s="391"/>
      <c r="P909" s="391"/>
      <c r="Q909" s="391"/>
      <c r="R909" s="391"/>
      <c r="S909" s="391"/>
      <c r="T909" s="391"/>
      <c r="U909" s="391"/>
      <c r="V909" s="391"/>
      <c r="W909" s="391"/>
      <c r="X909" s="391"/>
      <c r="Y909" s="391"/>
      <c r="Z909" s="391"/>
      <c r="AA909" s="391"/>
      <c r="AB909" s="391"/>
      <c r="AC909" s="391"/>
      <c r="AD909" s="391"/>
      <c r="AE909" s="391"/>
      <c r="AF909" s="391"/>
      <c r="AG909" s="391"/>
      <c r="AH909" s="392"/>
      <c r="AI909" s="391"/>
      <c r="AJ909" s="391"/>
    </row>
    <row r="910" spans="1:36" ht="13.5" x14ac:dyDescent="0.25">
      <c r="A910" s="391"/>
      <c r="B910" s="391"/>
      <c r="C910" s="391"/>
      <c r="D910" s="391"/>
      <c r="E910" s="391"/>
      <c r="F910" s="391"/>
      <c r="G910" s="391"/>
      <c r="H910" s="391"/>
      <c r="I910" s="391"/>
      <c r="J910" s="391"/>
      <c r="K910" s="391"/>
      <c r="L910" s="391"/>
      <c r="M910" s="391"/>
      <c r="N910" s="391"/>
      <c r="O910" s="391"/>
      <c r="P910" s="391"/>
      <c r="Q910" s="391"/>
      <c r="R910" s="391"/>
      <c r="S910" s="391"/>
      <c r="T910" s="391"/>
      <c r="U910" s="391"/>
      <c r="V910" s="391"/>
      <c r="W910" s="391"/>
      <c r="X910" s="391"/>
      <c r="Y910" s="391"/>
      <c r="Z910" s="391"/>
      <c r="AA910" s="391"/>
      <c r="AB910" s="391"/>
      <c r="AC910" s="391"/>
      <c r="AD910" s="391"/>
      <c r="AE910" s="391"/>
      <c r="AF910" s="391"/>
      <c r="AG910" s="391"/>
      <c r="AH910" s="392"/>
      <c r="AI910" s="391"/>
      <c r="AJ910" s="391"/>
    </row>
    <row r="911" spans="1:36" ht="13.5" x14ac:dyDescent="0.25">
      <c r="A911" s="391"/>
      <c r="B911" s="391"/>
      <c r="C911" s="391"/>
      <c r="D911" s="391"/>
      <c r="E911" s="391"/>
      <c r="F911" s="391"/>
      <c r="G911" s="391"/>
      <c r="H911" s="391"/>
      <c r="I911" s="391"/>
      <c r="J911" s="391"/>
      <c r="K911" s="391"/>
      <c r="L911" s="391"/>
      <c r="M911" s="391"/>
      <c r="N911" s="391"/>
      <c r="O911" s="391"/>
      <c r="P911" s="391"/>
      <c r="Q911" s="391"/>
      <c r="R911" s="391"/>
      <c r="S911" s="391"/>
      <c r="T911" s="391"/>
      <c r="U911" s="391"/>
      <c r="V911" s="391"/>
      <c r="W911" s="391"/>
      <c r="X911" s="391"/>
      <c r="Y911" s="391"/>
      <c r="Z911" s="391"/>
      <c r="AA911" s="391"/>
      <c r="AB911" s="391"/>
      <c r="AC911" s="391"/>
      <c r="AD911" s="391"/>
      <c r="AE911" s="391"/>
      <c r="AF911" s="391"/>
      <c r="AG911" s="391"/>
      <c r="AH911" s="392"/>
      <c r="AI911" s="391"/>
      <c r="AJ911" s="391"/>
    </row>
    <row r="912" spans="1:36" ht="13.5" x14ac:dyDescent="0.25">
      <c r="A912" s="391"/>
      <c r="B912" s="391"/>
      <c r="C912" s="391"/>
      <c r="D912" s="391"/>
      <c r="E912" s="391"/>
      <c r="F912" s="391"/>
      <c r="G912" s="391"/>
      <c r="H912" s="391"/>
      <c r="I912" s="391"/>
      <c r="J912" s="391"/>
      <c r="K912" s="391"/>
      <c r="L912" s="391"/>
      <c r="M912" s="391"/>
      <c r="N912" s="391"/>
      <c r="O912" s="391"/>
      <c r="P912" s="391"/>
      <c r="Q912" s="391"/>
      <c r="R912" s="391"/>
      <c r="S912" s="391"/>
      <c r="T912" s="391"/>
      <c r="U912" s="391"/>
      <c r="V912" s="391"/>
      <c r="W912" s="391"/>
      <c r="X912" s="391"/>
      <c r="Y912" s="391"/>
      <c r="Z912" s="391"/>
      <c r="AA912" s="391"/>
      <c r="AB912" s="391"/>
      <c r="AC912" s="391"/>
      <c r="AD912" s="391"/>
      <c r="AE912" s="391"/>
      <c r="AF912" s="391"/>
      <c r="AG912" s="391"/>
      <c r="AH912" s="392"/>
      <c r="AI912" s="391"/>
      <c r="AJ912" s="391"/>
    </row>
    <row r="913" spans="1:36" ht="13.5" x14ac:dyDescent="0.25">
      <c r="A913" s="391"/>
      <c r="B913" s="391"/>
      <c r="C913" s="391"/>
      <c r="D913" s="391"/>
      <c r="E913" s="391"/>
      <c r="F913" s="391"/>
      <c r="G913" s="391"/>
      <c r="H913" s="391"/>
      <c r="I913" s="391"/>
      <c r="J913" s="391"/>
      <c r="K913" s="391"/>
      <c r="L913" s="391"/>
      <c r="M913" s="391"/>
      <c r="N913" s="391"/>
      <c r="O913" s="391"/>
      <c r="P913" s="391"/>
      <c r="Q913" s="391"/>
      <c r="R913" s="391"/>
      <c r="S913" s="391"/>
      <c r="T913" s="391"/>
      <c r="U913" s="391"/>
      <c r="V913" s="391"/>
      <c r="W913" s="391"/>
      <c r="X913" s="391"/>
      <c r="Y913" s="391"/>
      <c r="Z913" s="391"/>
      <c r="AA913" s="391"/>
      <c r="AB913" s="391"/>
      <c r="AC913" s="391"/>
      <c r="AD913" s="391"/>
      <c r="AE913" s="391"/>
      <c r="AF913" s="391"/>
      <c r="AG913" s="391"/>
      <c r="AH913" s="392"/>
      <c r="AI913" s="391"/>
      <c r="AJ913" s="391"/>
    </row>
    <row r="914" spans="1:36" ht="13.5" x14ac:dyDescent="0.25">
      <c r="A914" s="391"/>
      <c r="B914" s="391"/>
      <c r="C914" s="391"/>
      <c r="D914" s="391"/>
      <c r="E914" s="391"/>
      <c r="F914" s="391"/>
      <c r="G914" s="391"/>
      <c r="H914" s="391"/>
      <c r="I914" s="391"/>
      <c r="J914" s="391"/>
      <c r="K914" s="391"/>
      <c r="L914" s="391"/>
      <c r="M914" s="391"/>
      <c r="N914" s="391"/>
      <c r="O914" s="391"/>
      <c r="P914" s="391"/>
      <c r="Q914" s="391"/>
      <c r="R914" s="391"/>
      <c r="S914" s="391"/>
      <c r="T914" s="391"/>
      <c r="U914" s="391"/>
      <c r="V914" s="391"/>
      <c r="W914" s="391"/>
      <c r="X914" s="391"/>
      <c r="Y914" s="391"/>
      <c r="Z914" s="391"/>
      <c r="AA914" s="391"/>
      <c r="AB914" s="391"/>
      <c r="AC914" s="391"/>
      <c r="AD914" s="391"/>
      <c r="AE914" s="391"/>
      <c r="AF914" s="391"/>
      <c r="AG914" s="391"/>
      <c r="AH914" s="392"/>
      <c r="AI914" s="391"/>
      <c r="AJ914" s="391"/>
    </row>
    <row r="915" spans="1:36" ht="13.5" x14ac:dyDescent="0.25">
      <c r="A915" s="391"/>
      <c r="B915" s="391"/>
      <c r="C915" s="391"/>
      <c r="D915" s="391"/>
      <c r="E915" s="391"/>
      <c r="F915" s="391"/>
      <c r="G915" s="391"/>
      <c r="H915" s="391"/>
      <c r="I915" s="391"/>
      <c r="J915" s="391"/>
      <c r="K915" s="391"/>
      <c r="L915" s="391"/>
      <c r="M915" s="391"/>
      <c r="N915" s="391"/>
      <c r="O915" s="391"/>
      <c r="P915" s="391"/>
      <c r="Q915" s="391"/>
      <c r="R915" s="391"/>
      <c r="S915" s="391"/>
      <c r="T915" s="391"/>
      <c r="U915" s="391"/>
      <c r="V915" s="391"/>
      <c r="W915" s="391"/>
      <c r="X915" s="391"/>
      <c r="Y915" s="391"/>
      <c r="Z915" s="391"/>
      <c r="AA915" s="391"/>
      <c r="AB915" s="391"/>
      <c r="AC915" s="391"/>
      <c r="AD915" s="391"/>
      <c r="AE915" s="391"/>
      <c r="AF915" s="391"/>
      <c r="AG915" s="391"/>
      <c r="AH915" s="392"/>
      <c r="AI915" s="391"/>
      <c r="AJ915" s="391"/>
    </row>
    <row r="916" spans="1:36" ht="13.5" x14ac:dyDescent="0.25">
      <c r="A916" s="391"/>
      <c r="B916" s="391"/>
      <c r="C916" s="391"/>
      <c r="D916" s="391"/>
      <c r="E916" s="391"/>
      <c r="F916" s="391"/>
      <c r="G916" s="391"/>
      <c r="H916" s="391"/>
      <c r="I916" s="391"/>
      <c r="J916" s="391"/>
      <c r="K916" s="391"/>
      <c r="L916" s="391"/>
      <c r="M916" s="391"/>
      <c r="N916" s="391"/>
      <c r="O916" s="391"/>
      <c r="P916" s="391"/>
      <c r="Q916" s="391"/>
      <c r="R916" s="391"/>
      <c r="S916" s="391"/>
      <c r="T916" s="391"/>
      <c r="U916" s="391"/>
      <c r="V916" s="391"/>
      <c r="W916" s="391"/>
      <c r="X916" s="391"/>
      <c r="Y916" s="391"/>
      <c r="Z916" s="391"/>
      <c r="AA916" s="391"/>
      <c r="AB916" s="391"/>
      <c r="AC916" s="391"/>
      <c r="AD916" s="391"/>
      <c r="AE916" s="391"/>
      <c r="AF916" s="391"/>
      <c r="AG916" s="391"/>
      <c r="AH916" s="392"/>
      <c r="AI916" s="391"/>
      <c r="AJ916" s="391"/>
    </row>
    <row r="917" spans="1:36" ht="13.5" x14ac:dyDescent="0.25">
      <c r="A917" s="391"/>
      <c r="B917" s="391"/>
      <c r="C917" s="391"/>
      <c r="D917" s="391"/>
      <c r="E917" s="391"/>
      <c r="F917" s="391"/>
      <c r="G917" s="391"/>
      <c r="H917" s="391"/>
      <c r="I917" s="391"/>
      <c r="J917" s="391"/>
      <c r="K917" s="391"/>
      <c r="L917" s="391"/>
      <c r="M917" s="391"/>
      <c r="N917" s="391"/>
      <c r="O917" s="391"/>
      <c r="P917" s="391"/>
      <c r="Q917" s="391"/>
      <c r="R917" s="391"/>
      <c r="S917" s="391"/>
      <c r="T917" s="391"/>
      <c r="U917" s="391"/>
      <c r="V917" s="391"/>
      <c r="W917" s="391"/>
      <c r="X917" s="391"/>
      <c r="Y917" s="391"/>
      <c r="Z917" s="391"/>
      <c r="AA917" s="391"/>
      <c r="AB917" s="391"/>
      <c r="AC917" s="391"/>
      <c r="AD917" s="391"/>
      <c r="AE917" s="391"/>
      <c r="AF917" s="391"/>
      <c r="AG917" s="391"/>
      <c r="AH917" s="392"/>
      <c r="AI917" s="391"/>
      <c r="AJ917" s="391"/>
    </row>
    <row r="918" spans="1:36" ht="13.5" x14ac:dyDescent="0.25">
      <c r="A918" s="391"/>
      <c r="B918" s="391"/>
      <c r="C918" s="391"/>
      <c r="D918" s="391"/>
      <c r="E918" s="391"/>
      <c r="F918" s="391"/>
      <c r="G918" s="391"/>
      <c r="H918" s="391"/>
      <c r="I918" s="391"/>
      <c r="J918" s="391"/>
      <c r="K918" s="391"/>
      <c r="L918" s="391"/>
      <c r="M918" s="391"/>
      <c r="N918" s="391"/>
      <c r="O918" s="391"/>
      <c r="P918" s="391"/>
      <c r="Q918" s="391"/>
      <c r="R918" s="391"/>
      <c r="S918" s="391"/>
      <c r="T918" s="391"/>
      <c r="U918" s="391"/>
      <c r="V918" s="391"/>
      <c r="W918" s="391"/>
      <c r="X918" s="391"/>
      <c r="Y918" s="391"/>
      <c r="Z918" s="391"/>
      <c r="AA918" s="391"/>
      <c r="AB918" s="391"/>
      <c r="AC918" s="391"/>
      <c r="AD918" s="391"/>
      <c r="AE918" s="391"/>
      <c r="AF918" s="391"/>
      <c r="AG918" s="391"/>
      <c r="AH918" s="392"/>
      <c r="AI918" s="391"/>
      <c r="AJ918" s="391"/>
    </row>
    <row r="919" spans="1:36" ht="13.5" x14ac:dyDescent="0.25">
      <c r="A919" s="391"/>
      <c r="B919" s="391"/>
      <c r="C919" s="391"/>
      <c r="D919" s="391"/>
      <c r="E919" s="391"/>
      <c r="F919" s="391"/>
      <c r="G919" s="391"/>
      <c r="H919" s="391"/>
      <c r="I919" s="391"/>
      <c r="J919" s="391"/>
      <c r="K919" s="391"/>
      <c r="L919" s="391"/>
      <c r="M919" s="391"/>
      <c r="N919" s="391"/>
      <c r="O919" s="391"/>
      <c r="P919" s="391"/>
      <c r="Q919" s="391"/>
      <c r="R919" s="391"/>
      <c r="S919" s="391"/>
      <c r="T919" s="391"/>
      <c r="U919" s="391"/>
      <c r="V919" s="391"/>
      <c r="W919" s="391"/>
      <c r="X919" s="391"/>
      <c r="Y919" s="391"/>
      <c r="Z919" s="391"/>
      <c r="AA919" s="391"/>
      <c r="AB919" s="391"/>
      <c r="AC919" s="391"/>
      <c r="AD919" s="391"/>
      <c r="AE919" s="391"/>
      <c r="AF919" s="391"/>
      <c r="AG919" s="391"/>
      <c r="AH919" s="392"/>
      <c r="AI919" s="391"/>
      <c r="AJ919" s="391"/>
    </row>
    <row r="920" spans="1:36" ht="13.5" x14ac:dyDescent="0.25">
      <c r="A920" s="391"/>
      <c r="B920" s="391"/>
      <c r="C920" s="391"/>
      <c r="D920" s="391"/>
      <c r="E920" s="391"/>
      <c r="F920" s="391"/>
      <c r="G920" s="391"/>
      <c r="H920" s="391"/>
      <c r="I920" s="391"/>
      <c r="J920" s="391"/>
      <c r="K920" s="391"/>
      <c r="L920" s="391"/>
      <c r="M920" s="391"/>
      <c r="N920" s="391"/>
      <c r="O920" s="391"/>
      <c r="P920" s="391"/>
      <c r="Q920" s="391"/>
      <c r="R920" s="391"/>
      <c r="S920" s="391"/>
      <c r="T920" s="391"/>
      <c r="U920" s="391"/>
      <c r="V920" s="391"/>
      <c r="W920" s="391"/>
      <c r="X920" s="391"/>
      <c r="Y920" s="391"/>
      <c r="Z920" s="391"/>
      <c r="AA920" s="391"/>
      <c r="AB920" s="391"/>
      <c r="AC920" s="391"/>
      <c r="AD920" s="391"/>
      <c r="AE920" s="391"/>
      <c r="AF920" s="391"/>
      <c r="AG920" s="391"/>
      <c r="AH920" s="392"/>
      <c r="AI920" s="391"/>
      <c r="AJ920" s="391"/>
    </row>
    <row r="921" spans="1:36" ht="13.5" x14ac:dyDescent="0.25">
      <c r="A921" s="391"/>
      <c r="B921" s="391"/>
      <c r="C921" s="391"/>
      <c r="D921" s="391"/>
      <c r="E921" s="391"/>
      <c r="F921" s="391"/>
      <c r="G921" s="391"/>
      <c r="H921" s="391"/>
      <c r="I921" s="391"/>
      <c r="J921" s="391"/>
      <c r="K921" s="391"/>
      <c r="L921" s="391"/>
      <c r="M921" s="391"/>
      <c r="N921" s="391"/>
      <c r="O921" s="391"/>
      <c r="P921" s="391"/>
      <c r="Q921" s="391"/>
      <c r="R921" s="391"/>
      <c r="S921" s="391"/>
      <c r="T921" s="391"/>
      <c r="U921" s="391"/>
      <c r="V921" s="391"/>
      <c r="W921" s="391"/>
      <c r="X921" s="391"/>
      <c r="Y921" s="391"/>
      <c r="Z921" s="391"/>
      <c r="AA921" s="391"/>
      <c r="AB921" s="391"/>
      <c r="AC921" s="391"/>
      <c r="AD921" s="391"/>
      <c r="AE921" s="391"/>
      <c r="AF921" s="391"/>
      <c r="AG921" s="391"/>
      <c r="AH921" s="392"/>
      <c r="AI921" s="391"/>
      <c r="AJ921" s="391"/>
    </row>
    <row r="922" spans="1:36" ht="13.5" x14ac:dyDescent="0.25">
      <c r="A922" s="391"/>
      <c r="B922" s="391"/>
      <c r="C922" s="391"/>
      <c r="D922" s="391"/>
      <c r="E922" s="391"/>
      <c r="F922" s="391"/>
      <c r="G922" s="391"/>
      <c r="H922" s="391"/>
      <c r="I922" s="391"/>
      <c r="J922" s="391"/>
      <c r="K922" s="391"/>
      <c r="L922" s="391"/>
      <c r="M922" s="391"/>
      <c r="N922" s="391"/>
      <c r="O922" s="391"/>
      <c r="P922" s="391"/>
      <c r="Q922" s="391"/>
      <c r="R922" s="391"/>
      <c r="S922" s="391"/>
      <c r="T922" s="391"/>
      <c r="U922" s="391"/>
      <c r="V922" s="391"/>
      <c r="W922" s="391"/>
      <c r="X922" s="391"/>
      <c r="Y922" s="391"/>
      <c r="Z922" s="391"/>
      <c r="AA922" s="391"/>
      <c r="AB922" s="391"/>
      <c r="AC922" s="391"/>
      <c r="AD922" s="391"/>
      <c r="AE922" s="391"/>
      <c r="AF922" s="391"/>
      <c r="AG922" s="391"/>
      <c r="AH922" s="392"/>
      <c r="AI922" s="391"/>
      <c r="AJ922" s="391"/>
    </row>
    <row r="923" spans="1:36" ht="13.5" x14ac:dyDescent="0.25">
      <c r="A923" s="391"/>
      <c r="B923" s="391"/>
      <c r="C923" s="391"/>
      <c r="D923" s="391"/>
      <c r="E923" s="391"/>
      <c r="F923" s="391"/>
      <c r="G923" s="391"/>
      <c r="H923" s="391"/>
      <c r="I923" s="391"/>
      <c r="J923" s="391"/>
      <c r="K923" s="391"/>
      <c r="L923" s="391"/>
      <c r="M923" s="391"/>
      <c r="N923" s="391"/>
      <c r="O923" s="391"/>
      <c r="P923" s="391"/>
      <c r="Q923" s="391"/>
      <c r="R923" s="391"/>
      <c r="S923" s="391"/>
      <c r="T923" s="391"/>
      <c r="U923" s="391"/>
      <c r="V923" s="391"/>
      <c r="W923" s="391"/>
      <c r="X923" s="391"/>
      <c r="Y923" s="391"/>
      <c r="Z923" s="391"/>
      <c r="AA923" s="391"/>
      <c r="AB923" s="391"/>
      <c r="AC923" s="391"/>
      <c r="AD923" s="391"/>
      <c r="AE923" s="391"/>
      <c r="AF923" s="391"/>
      <c r="AG923" s="391"/>
      <c r="AH923" s="392"/>
      <c r="AI923" s="391"/>
      <c r="AJ923" s="391"/>
    </row>
    <row r="924" spans="1:36" ht="13.5" x14ac:dyDescent="0.25">
      <c r="A924" s="391"/>
      <c r="B924" s="391"/>
      <c r="C924" s="391"/>
      <c r="D924" s="391"/>
      <c r="E924" s="391"/>
      <c r="F924" s="391"/>
      <c r="G924" s="391"/>
      <c r="H924" s="391"/>
      <c r="I924" s="391"/>
      <c r="J924" s="391"/>
      <c r="K924" s="391"/>
      <c r="L924" s="391"/>
      <c r="M924" s="391"/>
      <c r="N924" s="391"/>
      <c r="O924" s="391"/>
      <c r="P924" s="391"/>
      <c r="Q924" s="391"/>
      <c r="R924" s="391"/>
      <c r="S924" s="391"/>
      <c r="T924" s="391"/>
      <c r="U924" s="391"/>
      <c r="V924" s="391"/>
      <c r="W924" s="391"/>
      <c r="X924" s="391"/>
      <c r="Y924" s="391"/>
      <c r="Z924" s="391"/>
      <c r="AA924" s="391"/>
      <c r="AB924" s="391"/>
      <c r="AC924" s="391"/>
      <c r="AD924" s="391"/>
      <c r="AE924" s="391"/>
      <c r="AF924" s="391"/>
      <c r="AG924" s="391"/>
      <c r="AH924" s="392"/>
      <c r="AI924" s="391"/>
      <c r="AJ924" s="391"/>
    </row>
    <row r="925" spans="1:36" ht="13.5" x14ac:dyDescent="0.25">
      <c r="A925" s="391"/>
      <c r="B925" s="391"/>
      <c r="C925" s="391"/>
      <c r="D925" s="391"/>
      <c r="E925" s="391"/>
      <c r="F925" s="391"/>
      <c r="G925" s="391"/>
      <c r="H925" s="391"/>
      <c r="I925" s="391"/>
      <c r="J925" s="391"/>
      <c r="K925" s="391"/>
      <c r="L925" s="391"/>
      <c r="M925" s="391"/>
      <c r="N925" s="391"/>
      <c r="O925" s="391"/>
      <c r="P925" s="391"/>
      <c r="Q925" s="391"/>
      <c r="R925" s="391"/>
      <c r="S925" s="391"/>
      <c r="T925" s="391"/>
      <c r="U925" s="391"/>
      <c r="V925" s="391"/>
      <c r="W925" s="391"/>
      <c r="X925" s="391"/>
      <c r="Y925" s="391"/>
      <c r="Z925" s="391"/>
      <c r="AA925" s="391"/>
      <c r="AB925" s="391"/>
      <c r="AC925" s="391"/>
      <c r="AD925" s="391"/>
      <c r="AE925" s="391"/>
      <c r="AF925" s="391"/>
      <c r="AG925" s="391"/>
      <c r="AH925" s="392"/>
      <c r="AI925" s="391"/>
      <c r="AJ925" s="391"/>
    </row>
    <row r="926" spans="1:36" ht="13.5" x14ac:dyDescent="0.25">
      <c r="A926" s="391"/>
      <c r="B926" s="391"/>
      <c r="C926" s="391"/>
      <c r="D926" s="391"/>
      <c r="E926" s="391"/>
      <c r="F926" s="391"/>
      <c r="G926" s="391"/>
      <c r="H926" s="391"/>
      <c r="I926" s="391"/>
      <c r="J926" s="391"/>
      <c r="K926" s="391"/>
      <c r="L926" s="391"/>
      <c r="M926" s="391"/>
      <c r="N926" s="391"/>
      <c r="O926" s="391"/>
      <c r="P926" s="391"/>
      <c r="Q926" s="391"/>
      <c r="R926" s="391"/>
      <c r="S926" s="391"/>
      <c r="T926" s="391"/>
      <c r="U926" s="391"/>
      <c r="V926" s="391"/>
      <c r="W926" s="391"/>
      <c r="X926" s="391"/>
      <c r="Y926" s="391"/>
      <c r="Z926" s="391"/>
      <c r="AA926" s="391"/>
      <c r="AB926" s="391"/>
      <c r="AC926" s="391"/>
      <c r="AD926" s="391"/>
      <c r="AE926" s="391"/>
      <c r="AF926" s="391"/>
      <c r="AG926" s="391"/>
      <c r="AH926" s="392"/>
      <c r="AI926" s="391"/>
      <c r="AJ926" s="391"/>
    </row>
    <row r="927" spans="1:36" ht="13.5" x14ac:dyDescent="0.25">
      <c r="A927" s="391"/>
      <c r="B927" s="391"/>
      <c r="C927" s="391"/>
      <c r="D927" s="391"/>
      <c r="E927" s="391"/>
      <c r="F927" s="391"/>
      <c r="G927" s="391"/>
      <c r="H927" s="391"/>
      <c r="I927" s="391"/>
      <c r="J927" s="391"/>
      <c r="K927" s="391"/>
      <c r="L927" s="391"/>
      <c r="M927" s="391"/>
      <c r="N927" s="391"/>
      <c r="O927" s="391"/>
      <c r="P927" s="391"/>
      <c r="Q927" s="391"/>
      <c r="R927" s="391"/>
      <c r="S927" s="391"/>
      <c r="T927" s="391"/>
      <c r="U927" s="391"/>
      <c r="V927" s="391"/>
      <c r="W927" s="391"/>
      <c r="X927" s="391"/>
      <c r="Y927" s="391"/>
      <c r="Z927" s="391"/>
      <c r="AA927" s="391"/>
      <c r="AB927" s="391"/>
      <c r="AC927" s="391"/>
      <c r="AD927" s="391"/>
      <c r="AE927" s="391"/>
      <c r="AF927" s="391"/>
      <c r="AG927" s="391"/>
      <c r="AH927" s="392"/>
      <c r="AI927" s="391"/>
      <c r="AJ927" s="391"/>
    </row>
    <row r="928" spans="1:36" ht="13.5" x14ac:dyDescent="0.25">
      <c r="A928" s="391"/>
      <c r="B928" s="391"/>
      <c r="C928" s="391"/>
      <c r="D928" s="391"/>
      <c r="E928" s="391"/>
      <c r="F928" s="391"/>
      <c r="G928" s="391"/>
      <c r="H928" s="391"/>
      <c r="I928" s="391"/>
      <c r="J928" s="391"/>
      <c r="K928" s="391"/>
      <c r="L928" s="391"/>
      <c r="M928" s="391"/>
      <c r="N928" s="391"/>
      <c r="O928" s="391"/>
      <c r="P928" s="391"/>
      <c r="Q928" s="391"/>
      <c r="R928" s="391"/>
      <c r="S928" s="391"/>
      <c r="T928" s="391"/>
      <c r="U928" s="391"/>
      <c r="V928" s="391"/>
      <c r="W928" s="391"/>
      <c r="X928" s="391"/>
      <c r="Y928" s="391"/>
      <c r="Z928" s="391"/>
      <c r="AA928" s="391"/>
      <c r="AB928" s="391"/>
      <c r="AC928" s="391"/>
      <c r="AD928" s="391"/>
      <c r="AE928" s="391"/>
      <c r="AF928" s="391"/>
      <c r="AG928" s="391"/>
      <c r="AH928" s="392"/>
      <c r="AI928" s="391"/>
      <c r="AJ928" s="391"/>
    </row>
    <row r="929" spans="1:36" ht="13.5" x14ac:dyDescent="0.25">
      <c r="A929" s="391"/>
      <c r="B929" s="391"/>
      <c r="C929" s="391"/>
      <c r="D929" s="391"/>
      <c r="E929" s="391"/>
      <c r="F929" s="391"/>
      <c r="G929" s="391"/>
      <c r="H929" s="391"/>
      <c r="I929" s="391"/>
      <c r="J929" s="391"/>
      <c r="K929" s="391"/>
      <c r="L929" s="391"/>
      <c r="M929" s="391"/>
      <c r="N929" s="391"/>
      <c r="O929" s="391"/>
      <c r="P929" s="391"/>
      <c r="Q929" s="391"/>
      <c r="R929" s="391"/>
      <c r="S929" s="391"/>
      <c r="T929" s="391"/>
      <c r="U929" s="391"/>
      <c r="V929" s="391"/>
      <c r="W929" s="391"/>
      <c r="X929" s="391"/>
      <c r="Y929" s="391"/>
      <c r="Z929" s="391"/>
      <c r="AA929" s="391"/>
      <c r="AB929" s="391"/>
      <c r="AC929" s="391"/>
      <c r="AD929" s="391"/>
      <c r="AE929" s="391"/>
      <c r="AF929" s="391"/>
      <c r="AG929" s="391"/>
      <c r="AH929" s="392"/>
      <c r="AI929" s="391"/>
      <c r="AJ929" s="391"/>
    </row>
    <row r="930" spans="1:36" ht="13.5" x14ac:dyDescent="0.25">
      <c r="A930" s="391"/>
      <c r="B930" s="391"/>
      <c r="C930" s="391"/>
      <c r="D930" s="391"/>
      <c r="E930" s="391"/>
      <c r="F930" s="391"/>
      <c r="G930" s="391"/>
      <c r="H930" s="391"/>
      <c r="I930" s="391"/>
      <c r="J930" s="391"/>
      <c r="K930" s="391"/>
      <c r="L930" s="391"/>
      <c r="M930" s="391"/>
      <c r="N930" s="391"/>
      <c r="O930" s="391"/>
      <c r="P930" s="391"/>
      <c r="Q930" s="391"/>
      <c r="R930" s="391"/>
      <c r="S930" s="391"/>
      <c r="T930" s="391"/>
      <c r="U930" s="391"/>
      <c r="V930" s="391"/>
      <c r="W930" s="391"/>
      <c r="X930" s="391"/>
      <c r="Y930" s="391"/>
      <c r="Z930" s="391"/>
      <c r="AA930" s="391"/>
      <c r="AB930" s="391"/>
      <c r="AC930" s="391"/>
      <c r="AD930" s="391"/>
      <c r="AE930" s="391"/>
      <c r="AF930" s="391"/>
      <c r="AG930" s="391"/>
      <c r="AH930" s="392"/>
      <c r="AI930" s="391"/>
      <c r="AJ930" s="391"/>
    </row>
    <row r="931" spans="1:36" ht="13.5" x14ac:dyDescent="0.25">
      <c r="A931" s="391"/>
      <c r="B931" s="391"/>
      <c r="C931" s="391"/>
      <c r="D931" s="391"/>
      <c r="E931" s="391"/>
      <c r="F931" s="391"/>
      <c r="G931" s="391"/>
      <c r="H931" s="391"/>
      <c r="I931" s="391"/>
      <c r="J931" s="391"/>
      <c r="K931" s="391"/>
      <c r="L931" s="391"/>
      <c r="M931" s="391"/>
      <c r="N931" s="391"/>
      <c r="O931" s="391"/>
      <c r="P931" s="391"/>
      <c r="Q931" s="391"/>
      <c r="R931" s="391"/>
      <c r="S931" s="391"/>
      <c r="T931" s="391"/>
      <c r="U931" s="391"/>
      <c r="V931" s="391"/>
      <c r="W931" s="391"/>
      <c r="X931" s="391"/>
      <c r="Y931" s="391"/>
      <c r="Z931" s="391"/>
      <c r="AA931" s="391"/>
      <c r="AB931" s="391"/>
      <c r="AC931" s="391"/>
      <c r="AD931" s="391"/>
      <c r="AE931" s="391"/>
      <c r="AF931" s="391"/>
      <c r="AG931" s="391"/>
      <c r="AH931" s="392"/>
      <c r="AI931" s="391"/>
      <c r="AJ931" s="391"/>
    </row>
    <row r="932" spans="1:36" ht="13.5" x14ac:dyDescent="0.25">
      <c r="A932" s="391"/>
      <c r="B932" s="391"/>
      <c r="C932" s="391"/>
      <c r="D932" s="391"/>
      <c r="E932" s="391"/>
      <c r="F932" s="391"/>
      <c r="G932" s="391"/>
      <c r="H932" s="391"/>
      <c r="I932" s="391"/>
      <c r="J932" s="391"/>
      <c r="K932" s="391"/>
      <c r="L932" s="391"/>
      <c r="M932" s="391"/>
      <c r="N932" s="391"/>
      <c r="O932" s="391"/>
      <c r="P932" s="391"/>
      <c r="Q932" s="391"/>
      <c r="R932" s="391"/>
      <c r="S932" s="391"/>
      <c r="T932" s="391"/>
      <c r="U932" s="391"/>
      <c r="V932" s="391"/>
      <c r="W932" s="391"/>
      <c r="X932" s="391"/>
      <c r="Y932" s="391"/>
      <c r="Z932" s="391"/>
      <c r="AA932" s="391"/>
      <c r="AB932" s="391"/>
      <c r="AC932" s="391"/>
      <c r="AD932" s="391"/>
      <c r="AE932" s="391"/>
      <c r="AF932" s="391"/>
      <c r="AG932" s="391"/>
      <c r="AH932" s="392"/>
      <c r="AI932" s="391"/>
      <c r="AJ932" s="391"/>
    </row>
    <row r="933" spans="1:36" ht="13.5" x14ac:dyDescent="0.25">
      <c r="A933" s="391"/>
      <c r="B933" s="391"/>
      <c r="C933" s="391"/>
      <c r="D933" s="391"/>
      <c r="E933" s="391"/>
      <c r="F933" s="391"/>
      <c r="G933" s="391"/>
      <c r="H933" s="391"/>
      <c r="I933" s="391"/>
      <c r="J933" s="391"/>
      <c r="K933" s="391"/>
      <c r="L933" s="391"/>
      <c r="M933" s="391"/>
      <c r="N933" s="391"/>
      <c r="O933" s="391"/>
      <c r="P933" s="391"/>
      <c r="Q933" s="391"/>
      <c r="R933" s="391"/>
      <c r="S933" s="391"/>
      <c r="T933" s="391"/>
      <c r="U933" s="391"/>
      <c r="V933" s="391"/>
      <c r="W933" s="391"/>
      <c r="X933" s="391"/>
      <c r="Y933" s="391"/>
      <c r="Z933" s="391"/>
      <c r="AA933" s="391"/>
      <c r="AB933" s="391"/>
      <c r="AC933" s="391"/>
      <c r="AD933" s="391"/>
      <c r="AE933" s="391"/>
      <c r="AF933" s="391"/>
      <c r="AG933" s="391"/>
      <c r="AH933" s="392"/>
      <c r="AI933" s="391"/>
      <c r="AJ933" s="391"/>
    </row>
    <row r="934" spans="1:36" ht="13.5" x14ac:dyDescent="0.25">
      <c r="A934" s="391"/>
      <c r="B934" s="391"/>
      <c r="C934" s="391"/>
      <c r="D934" s="391"/>
      <c r="E934" s="391"/>
      <c r="F934" s="391"/>
      <c r="G934" s="391"/>
      <c r="H934" s="391"/>
      <c r="I934" s="391"/>
      <c r="J934" s="391"/>
      <c r="K934" s="391"/>
      <c r="L934" s="391"/>
      <c r="M934" s="391"/>
      <c r="N934" s="391"/>
      <c r="O934" s="391"/>
      <c r="P934" s="391"/>
      <c r="Q934" s="391"/>
      <c r="R934" s="391"/>
      <c r="S934" s="391"/>
      <c r="T934" s="391"/>
      <c r="U934" s="391"/>
      <c r="V934" s="391"/>
      <c r="W934" s="391"/>
      <c r="X934" s="391"/>
      <c r="Y934" s="391"/>
      <c r="Z934" s="391"/>
      <c r="AA934" s="391"/>
      <c r="AB934" s="391"/>
      <c r="AC934" s="391"/>
      <c r="AD934" s="391"/>
      <c r="AE934" s="391"/>
      <c r="AF934" s="391"/>
      <c r="AG934" s="391"/>
      <c r="AH934" s="392"/>
      <c r="AI934" s="391"/>
      <c r="AJ934" s="391"/>
    </row>
    <row r="935" spans="1:36" ht="13.5" x14ac:dyDescent="0.25">
      <c r="A935" s="391"/>
      <c r="B935" s="391"/>
      <c r="C935" s="391"/>
      <c r="D935" s="391"/>
      <c r="E935" s="391"/>
      <c r="F935" s="391"/>
      <c r="G935" s="391"/>
      <c r="H935" s="391"/>
      <c r="I935" s="391"/>
      <c r="J935" s="391"/>
      <c r="K935" s="391"/>
      <c r="L935" s="391"/>
      <c r="M935" s="391"/>
      <c r="N935" s="391"/>
      <c r="O935" s="391"/>
      <c r="P935" s="391"/>
      <c r="Q935" s="391"/>
      <c r="R935" s="391"/>
      <c r="S935" s="391"/>
      <c r="T935" s="391"/>
      <c r="U935" s="391"/>
      <c r="V935" s="391"/>
      <c r="W935" s="391"/>
      <c r="X935" s="391"/>
      <c r="Y935" s="391"/>
      <c r="Z935" s="391"/>
      <c r="AA935" s="391"/>
      <c r="AB935" s="391"/>
      <c r="AC935" s="391"/>
      <c r="AD935" s="391"/>
      <c r="AE935" s="391"/>
      <c r="AF935" s="391"/>
      <c r="AG935" s="391"/>
      <c r="AH935" s="392"/>
      <c r="AI935" s="391"/>
      <c r="AJ935" s="391"/>
    </row>
    <row r="936" spans="1:36" ht="13.5" x14ac:dyDescent="0.25">
      <c r="A936" s="391"/>
      <c r="B936" s="391"/>
      <c r="C936" s="391"/>
      <c r="D936" s="391"/>
      <c r="E936" s="391"/>
      <c r="F936" s="391"/>
      <c r="G936" s="391"/>
      <c r="H936" s="391"/>
      <c r="I936" s="391"/>
      <c r="J936" s="391"/>
      <c r="K936" s="391"/>
      <c r="L936" s="391"/>
      <c r="M936" s="391"/>
      <c r="N936" s="391"/>
      <c r="O936" s="391"/>
      <c r="P936" s="391"/>
      <c r="Q936" s="391"/>
      <c r="R936" s="391"/>
      <c r="S936" s="391"/>
      <c r="T936" s="391"/>
      <c r="U936" s="391"/>
      <c r="V936" s="391"/>
      <c r="W936" s="391"/>
      <c r="X936" s="391"/>
      <c r="Y936" s="391"/>
      <c r="Z936" s="391"/>
      <c r="AA936" s="391"/>
      <c r="AB936" s="391"/>
      <c r="AC936" s="391"/>
      <c r="AD936" s="391"/>
      <c r="AE936" s="391"/>
      <c r="AF936" s="391"/>
      <c r="AG936" s="391"/>
      <c r="AH936" s="392"/>
      <c r="AI936" s="391"/>
      <c r="AJ936" s="391"/>
    </row>
    <row r="937" spans="1:36" ht="13.5" x14ac:dyDescent="0.25">
      <c r="A937" s="391"/>
      <c r="B937" s="391"/>
      <c r="C937" s="391"/>
      <c r="D937" s="391"/>
      <c r="E937" s="391"/>
      <c r="F937" s="391"/>
      <c r="G937" s="391"/>
      <c r="H937" s="391"/>
      <c r="I937" s="391"/>
      <c r="J937" s="391"/>
      <c r="K937" s="391"/>
      <c r="L937" s="391"/>
      <c r="M937" s="391"/>
      <c r="N937" s="391"/>
      <c r="O937" s="391"/>
      <c r="P937" s="391"/>
      <c r="Q937" s="391"/>
      <c r="R937" s="391"/>
      <c r="S937" s="391"/>
      <c r="T937" s="391"/>
      <c r="U937" s="391"/>
      <c r="V937" s="391"/>
      <c r="W937" s="391"/>
      <c r="X937" s="391"/>
      <c r="Y937" s="391"/>
      <c r="Z937" s="391"/>
      <c r="AA937" s="391"/>
      <c r="AB937" s="391"/>
      <c r="AC937" s="391"/>
      <c r="AD937" s="391"/>
      <c r="AE937" s="391"/>
      <c r="AF937" s="391"/>
      <c r="AG937" s="391"/>
      <c r="AH937" s="392"/>
      <c r="AI937" s="391"/>
      <c r="AJ937" s="391"/>
    </row>
    <row r="938" spans="1:36" ht="13.5" x14ac:dyDescent="0.25">
      <c r="A938" s="391"/>
      <c r="B938" s="391"/>
      <c r="C938" s="391"/>
      <c r="D938" s="391"/>
      <c r="E938" s="391"/>
      <c r="F938" s="391"/>
      <c r="G938" s="391"/>
      <c r="H938" s="391"/>
      <c r="I938" s="391"/>
      <c r="J938" s="391"/>
      <c r="K938" s="391"/>
      <c r="L938" s="391"/>
      <c r="M938" s="391"/>
      <c r="N938" s="391"/>
      <c r="O938" s="391"/>
      <c r="P938" s="391"/>
      <c r="Q938" s="391"/>
      <c r="R938" s="391"/>
      <c r="S938" s="391"/>
      <c r="T938" s="391"/>
      <c r="U938" s="391"/>
      <c r="V938" s="391"/>
      <c r="W938" s="391"/>
      <c r="X938" s="391"/>
      <c r="Y938" s="391"/>
      <c r="Z938" s="391"/>
      <c r="AA938" s="391"/>
      <c r="AB938" s="391"/>
      <c r="AC938" s="391"/>
      <c r="AD938" s="391"/>
      <c r="AE938" s="391"/>
      <c r="AF938" s="391"/>
      <c r="AG938" s="391"/>
      <c r="AH938" s="392"/>
      <c r="AI938" s="391"/>
      <c r="AJ938" s="391"/>
    </row>
    <row r="939" spans="1:36" ht="13.5" x14ac:dyDescent="0.25">
      <c r="A939" s="391"/>
      <c r="B939" s="391"/>
      <c r="C939" s="391"/>
      <c r="D939" s="391"/>
      <c r="E939" s="391"/>
      <c r="F939" s="391"/>
      <c r="G939" s="391"/>
      <c r="H939" s="391"/>
      <c r="I939" s="391"/>
      <c r="J939" s="391"/>
      <c r="K939" s="391"/>
      <c r="L939" s="391"/>
      <c r="M939" s="391"/>
      <c r="N939" s="391"/>
      <c r="O939" s="391"/>
      <c r="P939" s="391"/>
      <c r="Q939" s="391"/>
      <c r="R939" s="391"/>
      <c r="S939" s="391"/>
      <c r="T939" s="391"/>
      <c r="U939" s="391"/>
      <c r="V939" s="391"/>
      <c r="W939" s="391"/>
      <c r="X939" s="391"/>
      <c r="Y939" s="391"/>
      <c r="Z939" s="391"/>
      <c r="AA939" s="391"/>
      <c r="AB939" s="391"/>
      <c r="AC939" s="391"/>
      <c r="AD939" s="391"/>
      <c r="AE939" s="391"/>
      <c r="AF939" s="391"/>
      <c r="AG939" s="391"/>
      <c r="AH939" s="392"/>
      <c r="AI939" s="391"/>
      <c r="AJ939" s="391"/>
    </row>
    <row r="940" spans="1:36" ht="13.5" x14ac:dyDescent="0.25">
      <c r="A940" s="391"/>
      <c r="B940" s="391"/>
      <c r="C940" s="391"/>
      <c r="D940" s="391"/>
      <c r="E940" s="391"/>
      <c r="F940" s="391"/>
      <c r="G940" s="391"/>
      <c r="H940" s="391"/>
      <c r="I940" s="391"/>
      <c r="J940" s="391"/>
      <c r="K940" s="391"/>
      <c r="L940" s="391"/>
      <c r="M940" s="391"/>
      <c r="N940" s="391"/>
      <c r="O940" s="391"/>
      <c r="P940" s="391"/>
      <c r="Q940" s="391"/>
      <c r="R940" s="391"/>
      <c r="S940" s="391"/>
      <c r="T940" s="391"/>
      <c r="U940" s="391"/>
      <c r="V940" s="391"/>
      <c r="W940" s="391"/>
      <c r="X940" s="391"/>
      <c r="Y940" s="391"/>
      <c r="Z940" s="391"/>
      <c r="AA940" s="391"/>
      <c r="AB940" s="391"/>
      <c r="AC940" s="391"/>
      <c r="AD940" s="391"/>
      <c r="AE940" s="391"/>
      <c r="AF940" s="391"/>
      <c r="AG940" s="391"/>
      <c r="AH940" s="392"/>
      <c r="AI940" s="391"/>
      <c r="AJ940" s="391"/>
    </row>
    <row r="941" spans="1:36" ht="13.5" x14ac:dyDescent="0.25">
      <c r="A941" s="391"/>
      <c r="B941" s="391"/>
      <c r="C941" s="391"/>
      <c r="D941" s="391"/>
      <c r="E941" s="391"/>
      <c r="F941" s="391"/>
      <c r="G941" s="391"/>
      <c r="H941" s="391"/>
      <c r="I941" s="391"/>
      <c r="J941" s="391"/>
      <c r="K941" s="391"/>
      <c r="L941" s="391"/>
      <c r="M941" s="391"/>
      <c r="N941" s="391"/>
      <c r="O941" s="391"/>
      <c r="P941" s="391"/>
      <c r="Q941" s="391"/>
      <c r="R941" s="391"/>
      <c r="S941" s="391"/>
      <c r="T941" s="391"/>
      <c r="U941" s="391"/>
      <c r="V941" s="391"/>
      <c r="W941" s="391"/>
      <c r="X941" s="391"/>
      <c r="Y941" s="391"/>
      <c r="Z941" s="391"/>
      <c r="AA941" s="391"/>
      <c r="AB941" s="391"/>
      <c r="AC941" s="391"/>
      <c r="AD941" s="391"/>
      <c r="AE941" s="391"/>
      <c r="AF941" s="391"/>
      <c r="AG941" s="391"/>
      <c r="AH941" s="392"/>
      <c r="AI941" s="391"/>
      <c r="AJ941" s="391"/>
    </row>
    <row r="942" spans="1:36" ht="13.5" x14ac:dyDescent="0.25">
      <c r="A942" s="391"/>
      <c r="B942" s="391"/>
      <c r="C942" s="391"/>
      <c r="D942" s="391"/>
      <c r="E942" s="391"/>
      <c r="F942" s="391"/>
      <c r="G942" s="391"/>
      <c r="H942" s="391"/>
      <c r="I942" s="391"/>
      <c r="J942" s="391"/>
      <c r="K942" s="391"/>
      <c r="L942" s="391"/>
      <c r="M942" s="391"/>
      <c r="N942" s="391"/>
      <c r="O942" s="391"/>
      <c r="P942" s="391"/>
      <c r="Q942" s="391"/>
      <c r="R942" s="391"/>
      <c r="S942" s="391"/>
      <c r="T942" s="391"/>
      <c r="U942" s="391"/>
      <c r="V942" s="391"/>
      <c r="W942" s="391"/>
      <c r="X942" s="391"/>
      <c r="Y942" s="391"/>
      <c r="Z942" s="391"/>
      <c r="AA942" s="391"/>
      <c r="AB942" s="391"/>
      <c r="AC942" s="391"/>
      <c r="AD942" s="391"/>
      <c r="AE942" s="391"/>
      <c r="AF942" s="391"/>
      <c r="AG942" s="391"/>
      <c r="AH942" s="392"/>
      <c r="AI942" s="391"/>
      <c r="AJ942" s="391"/>
    </row>
    <row r="943" spans="1:36" ht="13.5" x14ac:dyDescent="0.25">
      <c r="A943" s="391"/>
      <c r="B943" s="391"/>
      <c r="C943" s="391"/>
      <c r="D943" s="391"/>
      <c r="E943" s="391"/>
      <c r="F943" s="391"/>
      <c r="G943" s="391"/>
      <c r="H943" s="391"/>
      <c r="I943" s="391"/>
      <c r="J943" s="391"/>
      <c r="K943" s="391"/>
      <c r="L943" s="391"/>
      <c r="M943" s="391"/>
      <c r="N943" s="391"/>
      <c r="O943" s="391"/>
      <c r="P943" s="391"/>
      <c r="Q943" s="391"/>
      <c r="R943" s="391"/>
      <c r="S943" s="391"/>
      <c r="T943" s="391"/>
      <c r="U943" s="391"/>
      <c r="V943" s="391"/>
      <c r="W943" s="391"/>
      <c r="X943" s="391"/>
      <c r="Y943" s="391"/>
      <c r="Z943" s="391"/>
      <c r="AA943" s="391"/>
      <c r="AB943" s="391"/>
      <c r="AC943" s="391"/>
      <c r="AD943" s="391"/>
      <c r="AE943" s="391"/>
      <c r="AF943" s="391"/>
      <c r="AG943" s="391"/>
      <c r="AH943" s="392"/>
      <c r="AI943" s="391"/>
      <c r="AJ943" s="391"/>
    </row>
    <row r="944" spans="1:36" ht="13.5" x14ac:dyDescent="0.25">
      <c r="A944" s="391"/>
      <c r="B944" s="391"/>
      <c r="C944" s="391"/>
      <c r="D944" s="391"/>
      <c r="E944" s="391"/>
      <c r="F944" s="391"/>
      <c r="G944" s="391"/>
      <c r="H944" s="391"/>
      <c r="I944" s="391"/>
      <c r="J944" s="391"/>
      <c r="K944" s="391"/>
      <c r="L944" s="391"/>
      <c r="M944" s="391"/>
      <c r="N944" s="391"/>
      <c r="O944" s="391"/>
      <c r="P944" s="391"/>
      <c r="Q944" s="391"/>
      <c r="R944" s="391"/>
      <c r="S944" s="391"/>
      <c r="T944" s="391"/>
      <c r="U944" s="391"/>
      <c r="V944" s="391"/>
      <c r="W944" s="391"/>
      <c r="X944" s="391"/>
      <c r="Y944" s="391"/>
      <c r="Z944" s="391"/>
      <c r="AA944" s="391"/>
      <c r="AB944" s="391"/>
      <c r="AC944" s="391"/>
      <c r="AD944" s="391"/>
      <c r="AE944" s="391"/>
      <c r="AF944" s="391"/>
      <c r="AG944" s="391"/>
      <c r="AH944" s="392"/>
      <c r="AI944" s="391"/>
      <c r="AJ944" s="391"/>
    </row>
    <row r="945" spans="1:36" ht="13.5" x14ac:dyDescent="0.25">
      <c r="A945" s="391"/>
      <c r="B945" s="391"/>
      <c r="C945" s="391"/>
      <c r="D945" s="391"/>
      <c r="E945" s="391"/>
      <c r="F945" s="391"/>
      <c r="G945" s="391"/>
      <c r="H945" s="391"/>
      <c r="I945" s="391"/>
      <c r="J945" s="391"/>
      <c r="K945" s="391"/>
      <c r="L945" s="391"/>
      <c r="M945" s="391"/>
      <c r="N945" s="391"/>
      <c r="O945" s="391"/>
      <c r="P945" s="391"/>
      <c r="Q945" s="391"/>
      <c r="R945" s="391"/>
      <c r="S945" s="391"/>
      <c r="T945" s="391"/>
      <c r="U945" s="391"/>
      <c r="V945" s="391"/>
      <c r="W945" s="391"/>
      <c r="X945" s="391"/>
      <c r="Y945" s="391"/>
      <c r="Z945" s="391"/>
      <c r="AA945" s="391"/>
      <c r="AB945" s="391"/>
      <c r="AC945" s="391"/>
      <c r="AD945" s="391"/>
      <c r="AE945" s="391"/>
      <c r="AF945" s="391"/>
      <c r="AG945" s="391"/>
      <c r="AH945" s="392"/>
      <c r="AI945" s="391"/>
      <c r="AJ945" s="391"/>
    </row>
    <row r="946" spans="1:36" ht="13.5" x14ac:dyDescent="0.25">
      <c r="A946" s="391"/>
      <c r="B946" s="391"/>
      <c r="C946" s="391"/>
      <c r="D946" s="391"/>
      <c r="E946" s="391"/>
      <c r="F946" s="391"/>
      <c r="G946" s="391"/>
      <c r="H946" s="391"/>
      <c r="I946" s="391"/>
      <c r="J946" s="391"/>
      <c r="K946" s="391"/>
      <c r="L946" s="391"/>
      <c r="M946" s="391"/>
      <c r="N946" s="391"/>
      <c r="O946" s="391"/>
      <c r="P946" s="391"/>
      <c r="Q946" s="391"/>
      <c r="R946" s="391"/>
      <c r="S946" s="391"/>
      <c r="T946" s="391"/>
      <c r="U946" s="391"/>
      <c r="V946" s="391"/>
      <c r="W946" s="391"/>
      <c r="X946" s="391"/>
      <c r="Y946" s="391"/>
      <c r="Z946" s="391"/>
      <c r="AA946" s="391"/>
      <c r="AB946" s="391"/>
      <c r="AC946" s="391"/>
      <c r="AD946" s="391"/>
      <c r="AE946" s="391"/>
      <c r="AF946" s="391"/>
      <c r="AG946" s="391"/>
      <c r="AH946" s="392"/>
      <c r="AI946" s="391"/>
      <c r="AJ946" s="391"/>
    </row>
    <row r="947" spans="1:36" ht="13.5" x14ac:dyDescent="0.25">
      <c r="A947" s="391"/>
      <c r="B947" s="391"/>
      <c r="C947" s="391"/>
      <c r="D947" s="391"/>
      <c r="E947" s="391"/>
      <c r="F947" s="391"/>
      <c r="G947" s="391"/>
      <c r="H947" s="391"/>
      <c r="I947" s="391"/>
      <c r="J947" s="391"/>
      <c r="K947" s="391"/>
      <c r="L947" s="391"/>
      <c r="M947" s="391"/>
      <c r="N947" s="391"/>
      <c r="O947" s="391"/>
      <c r="P947" s="391"/>
      <c r="Q947" s="391"/>
      <c r="R947" s="391"/>
      <c r="S947" s="391"/>
      <c r="T947" s="391"/>
      <c r="U947" s="391"/>
      <c r="V947" s="391"/>
      <c r="W947" s="391"/>
      <c r="X947" s="391"/>
      <c r="Y947" s="391"/>
      <c r="Z947" s="391"/>
      <c r="AA947" s="391"/>
      <c r="AB947" s="391"/>
      <c r="AC947" s="391"/>
      <c r="AD947" s="391"/>
      <c r="AE947" s="391"/>
      <c r="AF947" s="391"/>
      <c r="AG947" s="391"/>
      <c r="AH947" s="392"/>
      <c r="AI947" s="391"/>
      <c r="AJ947" s="391"/>
    </row>
    <row r="948" spans="1:36" ht="13.5" x14ac:dyDescent="0.25">
      <c r="A948" s="391"/>
      <c r="B948" s="391"/>
      <c r="C948" s="391"/>
      <c r="D948" s="391"/>
      <c r="E948" s="391"/>
      <c r="F948" s="391"/>
      <c r="G948" s="391"/>
      <c r="H948" s="391"/>
      <c r="I948" s="391"/>
      <c r="J948" s="391"/>
      <c r="K948" s="391"/>
      <c r="L948" s="391"/>
      <c r="M948" s="391"/>
      <c r="N948" s="391"/>
      <c r="O948" s="391"/>
      <c r="P948" s="391"/>
      <c r="Q948" s="391"/>
      <c r="R948" s="391"/>
      <c r="S948" s="391"/>
      <c r="T948" s="391"/>
      <c r="U948" s="391"/>
      <c r="V948" s="391"/>
      <c r="W948" s="391"/>
      <c r="X948" s="391"/>
      <c r="Y948" s="391"/>
      <c r="Z948" s="391"/>
      <c r="AA948" s="391"/>
      <c r="AB948" s="391"/>
      <c r="AC948" s="391"/>
      <c r="AD948" s="391"/>
      <c r="AE948" s="391"/>
      <c r="AF948" s="391"/>
      <c r="AG948" s="391"/>
      <c r="AH948" s="392"/>
      <c r="AI948" s="391"/>
      <c r="AJ948" s="391"/>
    </row>
    <row r="949" spans="1:36" ht="13.5" x14ac:dyDescent="0.25">
      <c r="A949" s="391"/>
      <c r="B949" s="391"/>
      <c r="C949" s="391"/>
      <c r="D949" s="391"/>
      <c r="E949" s="391"/>
      <c r="F949" s="391"/>
      <c r="G949" s="391"/>
      <c r="H949" s="391"/>
      <c r="I949" s="391"/>
      <c r="J949" s="391"/>
      <c r="K949" s="391"/>
      <c r="L949" s="391"/>
      <c r="M949" s="391"/>
      <c r="N949" s="391"/>
      <c r="O949" s="391"/>
      <c r="P949" s="391"/>
      <c r="Q949" s="391"/>
      <c r="R949" s="391"/>
      <c r="S949" s="391"/>
      <c r="T949" s="391"/>
      <c r="U949" s="391"/>
      <c r="V949" s="391"/>
      <c r="W949" s="391"/>
      <c r="X949" s="391"/>
      <c r="Y949" s="391"/>
      <c r="Z949" s="391"/>
      <c r="AA949" s="391"/>
      <c r="AB949" s="391"/>
      <c r="AC949" s="391"/>
      <c r="AD949" s="391"/>
      <c r="AE949" s="391"/>
      <c r="AF949" s="391"/>
      <c r="AG949" s="391"/>
      <c r="AH949" s="392"/>
      <c r="AI949" s="391"/>
      <c r="AJ949" s="391"/>
    </row>
    <row r="950" spans="1:36" ht="13.5" x14ac:dyDescent="0.25">
      <c r="A950" s="391"/>
      <c r="B950" s="391"/>
      <c r="C950" s="391"/>
      <c r="D950" s="391"/>
      <c r="E950" s="391"/>
      <c r="F950" s="391"/>
      <c r="G950" s="391"/>
      <c r="H950" s="391"/>
      <c r="I950" s="391"/>
      <c r="J950" s="391"/>
      <c r="K950" s="391"/>
      <c r="L950" s="391"/>
      <c r="M950" s="391"/>
      <c r="N950" s="391"/>
      <c r="O950" s="391"/>
      <c r="P950" s="391"/>
      <c r="Q950" s="391"/>
      <c r="R950" s="391"/>
      <c r="S950" s="391"/>
      <c r="T950" s="391"/>
      <c r="U950" s="391"/>
      <c r="V950" s="391"/>
      <c r="W950" s="391"/>
      <c r="X950" s="391"/>
      <c r="Y950" s="391"/>
      <c r="Z950" s="391"/>
      <c r="AA950" s="391"/>
      <c r="AB950" s="391"/>
      <c r="AC950" s="391"/>
      <c r="AD950" s="391"/>
      <c r="AE950" s="391"/>
      <c r="AF950" s="391"/>
      <c r="AG950" s="391"/>
      <c r="AH950" s="392"/>
      <c r="AI950" s="391"/>
      <c r="AJ950" s="391"/>
    </row>
    <row r="951" spans="1:36" ht="13.5" x14ac:dyDescent="0.25">
      <c r="A951" s="391"/>
      <c r="B951" s="391"/>
      <c r="C951" s="391"/>
      <c r="D951" s="391"/>
      <c r="E951" s="391"/>
      <c r="F951" s="391"/>
      <c r="G951" s="391"/>
      <c r="H951" s="391"/>
      <c r="I951" s="391"/>
      <c r="J951" s="391"/>
      <c r="K951" s="391"/>
      <c r="L951" s="391"/>
      <c r="M951" s="391"/>
      <c r="N951" s="391"/>
      <c r="O951" s="391"/>
      <c r="P951" s="391"/>
      <c r="Q951" s="391"/>
      <c r="R951" s="391"/>
      <c r="S951" s="391"/>
      <c r="T951" s="391"/>
      <c r="U951" s="391"/>
      <c r="V951" s="391"/>
      <c r="W951" s="391"/>
      <c r="X951" s="391"/>
      <c r="Y951" s="391"/>
      <c r="Z951" s="391"/>
      <c r="AA951" s="391"/>
      <c r="AB951" s="391"/>
      <c r="AC951" s="391"/>
      <c r="AD951" s="391"/>
      <c r="AE951" s="391"/>
      <c r="AF951" s="391"/>
      <c r="AG951" s="391"/>
      <c r="AH951" s="392"/>
      <c r="AI951" s="391"/>
      <c r="AJ951" s="391"/>
    </row>
    <row r="952" spans="1:36" ht="13.5" x14ac:dyDescent="0.25">
      <c r="A952" s="391"/>
      <c r="B952" s="391"/>
      <c r="C952" s="391"/>
      <c r="D952" s="391"/>
      <c r="E952" s="391"/>
      <c r="F952" s="391"/>
      <c r="G952" s="391"/>
      <c r="H952" s="391"/>
      <c r="I952" s="391"/>
      <c r="J952" s="391"/>
      <c r="K952" s="391"/>
      <c r="L952" s="391"/>
      <c r="M952" s="391"/>
      <c r="N952" s="391"/>
      <c r="O952" s="391"/>
      <c r="P952" s="391"/>
      <c r="Q952" s="391"/>
      <c r="R952" s="391"/>
      <c r="S952" s="391"/>
      <c r="T952" s="391"/>
      <c r="U952" s="391"/>
      <c r="V952" s="391"/>
      <c r="W952" s="391"/>
      <c r="X952" s="391"/>
      <c r="Y952" s="391"/>
      <c r="Z952" s="391"/>
      <c r="AA952" s="391"/>
      <c r="AB952" s="391"/>
      <c r="AC952" s="391"/>
      <c r="AD952" s="391"/>
      <c r="AE952" s="391"/>
      <c r="AF952" s="391"/>
      <c r="AG952" s="391"/>
      <c r="AH952" s="392"/>
      <c r="AI952" s="391"/>
      <c r="AJ952" s="391"/>
    </row>
    <row r="953" spans="1:36" ht="13.5" x14ac:dyDescent="0.25">
      <c r="A953" s="391"/>
      <c r="B953" s="391"/>
      <c r="C953" s="391"/>
      <c r="D953" s="391"/>
      <c r="E953" s="391"/>
      <c r="F953" s="391"/>
      <c r="G953" s="391"/>
      <c r="H953" s="391"/>
      <c r="I953" s="391"/>
      <c r="J953" s="391"/>
      <c r="K953" s="391"/>
      <c r="L953" s="391"/>
      <c r="M953" s="391"/>
      <c r="N953" s="391"/>
      <c r="O953" s="391"/>
      <c r="P953" s="391"/>
      <c r="Q953" s="391"/>
      <c r="R953" s="391"/>
      <c r="S953" s="391"/>
      <c r="T953" s="391"/>
      <c r="U953" s="391"/>
      <c r="V953" s="391"/>
      <c r="W953" s="391"/>
      <c r="X953" s="391"/>
      <c r="Y953" s="391"/>
      <c r="Z953" s="391"/>
      <c r="AA953" s="391"/>
      <c r="AB953" s="391"/>
      <c r="AC953" s="391"/>
      <c r="AD953" s="391"/>
      <c r="AE953" s="391"/>
      <c r="AF953" s="391"/>
      <c r="AG953" s="391"/>
      <c r="AH953" s="392"/>
      <c r="AI953" s="391"/>
      <c r="AJ953" s="391"/>
    </row>
    <row r="954" spans="1:36" ht="13.5" x14ac:dyDescent="0.25">
      <c r="A954" s="391"/>
      <c r="B954" s="391"/>
      <c r="C954" s="391"/>
      <c r="D954" s="391"/>
      <c r="E954" s="391"/>
      <c r="F954" s="391"/>
      <c r="G954" s="391"/>
      <c r="H954" s="391"/>
      <c r="I954" s="391"/>
      <c r="J954" s="391"/>
      <c r="K954" s="391"/>
      <c r="L954" s="391"/>
      <c r="M954" s="391"/>
      <c r="N954" s="391"/>
      <c r="O954" s="391"/>
      <c r="P954" s="391"/>
      <c r="Q954" s="391"/>
      <c r="R954" s="391"/>
      <c r="S954" s="391"/>
      <c r="T954" s="391"/>
      <c r="U954" s="391"/>
      <c r="V954" s="391"/>
      <c r="W954" s="391"/>
      <c r="X954" s="391"/>
      <c r="Y954" s="391"/>
      <c r="Z954" s="391"/>
      <c r="AA954" s="391"/>
      <c r="AB954" s="391"/>
      <c r="AC954" s="391"/>
      <c r="AD954" s="391"/>
      <c r="AE954" s="391"/>
      <c r="AF954" s="391"/>
      <c r="AG954" s="391"/>
      <c r="AH954" s="392"/>
      <c r="AI954" s="391"/>
      <c r="AJ954" s="391"/>
    </row>
    <row r="955" spans="1:36" ht="13.5" x14ac:dyDescent="0.25">
      <c r="A955" s="391"/>
      <c r="B955" s="391"/>
      <c r="C955" s="391"/>
      <c r="D955" s="391"/>
      <c r="E955" s="391"/>
      <c r="F955" s="391"/>
      <c r="G955" s="391"/>
      <c r="H955" s="391"/>
      <c r="I955" s="391"/>
      <c r="J955" s="391"/>
      <c r="K955" s="391"/>
      <c r="L955" s="391"/>
      <c r="M955" s="391"/>
      <c r="N955" s="391"/>
      <c r="O955" s="391"/>
      <c r="P955" s="391"/>
      <c r="Q955" s="391"/>
      <c r="R955" s="391"/>
      <c r="S955" s="391"/>
      <c r="T955" s="391"/>
      <c r="U955" s="391"/>
      <c r="V955" s="391"/>
      <c r="W955" s="391"/>
      <c r="X955" s="391"/>
      <c r="Y955" s="391"/>
      <c r="Z955" s="391"/>
      <c r="AA955" s="391"/>
      <c r="AB955" s="391"/>
      <c r="AC955" s="391"/>
      <c r="AD955" s="391"/>
      <c r="AE955" s="391"/>
      <c r="AF955" s="391"/>
      <c r="AG955" s="391"/>
      <c r="AH955" s="392"/>
      <c r="AI955" s="391"/>
      <c r="AJ955" s="391"/>
    </row>
    <row r="956" spans="1:36" ht="13.5" x14ac:dyDescent="0.25">
      <c r="A956" s="391"/>
      <c r="B956" s="391"/>
      <c r="C956" s="391"/>
      <c r="D956" s="391"/>
      <c r="E956" s="391"/>
      <c r="F956" s="391"/>
      <c r="G956" s="391"/>
      <c r="H956" s="391"/>
      <c r="I956" s="391"/>
      <c r="J956" s="391"/>
      <c r="K956" s="391"/>
      <c r="L956" s="391"/>
      <c r="M956" s="391"/>
      <c r="N956" s="391"/>
      <c r="O956" s="391"/>
      <c r="P956" s="391"/>
      <c r="Q956" s="391"/>
      <c r="R956" s="391"/>
      <c r="S956" s="391"/>
      <c r="T956" s="391"/>
      <c r="U956" s="391"/>
      <c r="V956" s="391"/>
      <c r="W956" s="391"/>
      <c r="X956" s="391"/>
      <c r="Y956" s="391"/>
      <c r="Z956" s="391"/>
      <c r="AA956" s="391"/>
      <c r="AB956" s="391"/>
      <c r="AC956" s="391"/>
      <c r="AD956" s="391"/>
      <c r="AE956" s="391"/>
      <c r="AF956" s="391"/>
      <c r="AG956" s="391"/>
      <c r="AH956" s="392"/>
      <c r="AI956" s="391"/>
      <c r="AJ956" s="391"/>
    </row>
    <row r="957" spans="1:36" ht="13.5" x14ac:dyDescent="0.25">
      <c r="A957" s="391"/>
      <c r="B957" s="391"/>
      <c r="C957" s="391"/>
      <c r="D957" s="391"/>
      <c r="E957" s="391"/>
      <c r="F957" s="391"/>
      <c r="G957" s="391"/>
      <c r="H957" s="391"/>
      <c r="I957" s="391"/>
      <c r="J957" s="391"/>
      <c r="K957" s="391"/>
      <c r="L957" s="391"/>
      <c r="M957" s="391"/>
      <c r="N957" s="391"/>
      <c r="O957" s="391"/>
      <c r="P957" s="391"/>
      <c r="Q957" s="391"/>
      <c r="R957" s="391"/>
      <c r="S957" s="391"/>
      <c r="T957" s="391"/>
      <c r="U957" s="391"/>
      <c r="V957" s="391"/>
      <c r="W957" s="391"/>
      <c r="X957" s="391"/>
      <c r="Y957" s="391"/>
      <c r="Z957" s="391"/>
      <c r="AA957" s="391"/>
      <c r="AB957" s="391"/>
      <c r="AC957" s="391"/>
      <c r="AD957" s="391"/>
      <c r="AE957" s="391"/>
      <c r="AF957" s="391"/>
      <c r="AG957" s="391"/>
      <c r="AH957" s="392"/>
      <c r="AI957" s="391"/>
      <c r="AJ957" s="391"/>
    </row>
    <row r="958" spans="1:36" ht="13.5" x14ac:dyDescent="0.25">
      <c r="A958" s="391"/>
      <c r="B958" s="391"/>
      <c r="C958" s="391"/>
      <c r="D958" s="391"/>
      <c r="E958" s="391"/>
      <c r="F958" s="391"/>
      <c r="G958" s="391"/>
      <c r="H958" s="391"/>
      <c r="I958" s="391"/>
      <c r="J958" s="391"/>
      <c r="K958" s="391"/>
      <c r="L958" s="391"/>
      <c r="M958" s="391"/>
      <c r="N958" s="391"/>
      <c r="O958" s="391"/>
      <c r="P958" s="391"/>
      <c r="Q958" s="391"/>
      <c r="R958" s="391"/>
      <c r="S958" s="391"/>
      <c r="T958" s="391"/>
      <c r="U958" s="391"/>
      <c r="V958" s="391"/>
      <c r="W958" s="391"/>
      <c r="X958" s="391"/>
      <c r="Y958" s="391"/>
      <c r="Z958" s="391"/>
      <c r="AA958" s="391"/>
      <c r="AB958" s="391"/>
      <c r="AC958" s="391"/>
      <c r="AD958" s="391"/>
      <c r="AE958" s="391"/>
      <c r="AF958" s="391"/>
      <c r="AG958" s="391"/>
      <c r="AH958" s="392"/>
      <c r="AI958" s="391"/>
      <c r="AJ958" s="391"/>
    </row>
    <row r="959" spans="1:36" ht="13.5" x14ac:dyDescent="0.25">
      <c r="A959" s="391"/>
      <c r="B959" s="391"/>
      <c r="C959" s="391"/>
      <c r="D959" s="391"/>
      <c r="E959" s="391"/>
      <c r="F959" s="391"/>
      <c r="G959" s="391"/>
      <c r="H959" s="391"/>
      <c r="I959" s="391"/>
      <c r="J959" s="391"/>
      <c r="K959" s="391"/>
      <c r="L959" s="391"/>
      <c r="M959" s="391"/>
      <c r="N959" s="391"/>
      <c r="O959" s="391"/>
      <c r="P959" s="391"/>
      <c r="Q959" s="391"/>
      <c r="R959" s="391"/>
      <c r="S959" s="391"/>
      <c r="T959" s="391"/>
      <c r="U959" s="391"/>
      <c r="V959" s="391"/>
      <c r="W959" s="391"/>
      <c r="X959" s="391"/>
      <c r="Y959" s="391"/>
      <c r="Z959" s="391"/>
      <c r="AA959" s="391"/>
      <c r="AB959" s="391"/>
      <c r="AC959" s="391"/>
      <c r="AD959" s="391"/>
      <c r="AE959" s="391"/>
      <c r="AF959" s="391"/>
      <c r="AG959" s="391"/>
      <c r="AH959" s="392"/>
      <c r="AI959" s="391"/>
      <c r="AJ959" s="391"/>
    </row>
    <row r="960" spans="1:36" ht="13.5" x14ac:dyDescent="0.25">
      <c r="A960" s="391"/>
      <c r="B960" s="391"/>
      <c r="C960" s="391"/>
      <c r="D960" s="391"/>
      <c r="E960" s="391"/>
      <c r="F960" s="391"/>
      <c r="G960" s="391"/>
      <c r="H960" s="391"/>
      <c r="I960" s="391"/>
      <c r="J960" s="391"/>
      <c r="K960" s="391"/>
      <c r="L960" s="391"/>
      <c r="M960" s="391"/>
      <c r="N960" s="391"/>
      <c r="O960" s="391"/>
      <c r="P960" s="391"/>
      <c r="Q960" s="391"/>
      <c r="R960" s="391"/>
      <c r="S960" s="391"/>
      <c r="T960" s="391"/>
      <c r="U960" s="391"/>
      <c r="V960" s="391"/>
      <c r="W960" s="391"/>
      <c r="X960" s="391"/>
      <c r="Y960" s="391"/>
      <c r="Z960" s="391"/>
      <c r="AA960" s="391"/>
      <c r="AB960" s="391"/>
      <c r="AC960" s="391"/>
      <c r="AD960" s="391"/>
      <c r="AE960" s="391"/>
      <c r="AF960" s="391"/>
      <c r="AG960" s="391"/>
      <c r="AH960" s="392"/>
      <c r="AI960" s="391"/>
      <c r="AJ960" s="391"/>
    </row>
    <row r="961" spans="1:36" ht="13.5" x14ac:dyDescent="0.25">
      <c r="A961" s="391"/>
      <c r="B961" s="391"/>
      <c r="C961" s="391"/>
      <c r="D961" s="391"/>
      <c r="E961" s="391"/>
      <c r="F961" s="391"/>
      <c r="G961" s="391"/>
      <c r="H961" s="391"/>
      <c r="I961" s="391"/>
      <c r="J961" s="391"/>
      <c r="K961" s="391"/>
      <c r="L961" s="391"/>
      <c r="M961" s="391"/>
      <c r="N961" s="391"/>
      <c r="O961" s="391"/>
      <c r="P961" s="391"/>
      <c r="Q961" s="391"/>
      <c r="R961" s="391"/>
      <c r="S961" s="391"/>
      <c r="T961" s="391"/>
      <c r="U961" s="391"/>
      <c r="V961" s="391"/>
      <c r="W961" s="391"/>
      <c r="X961" s="391"/>
      <c r="Y961" s="391"/>
      <c r="Z961" s="391"/>
      <c r="AA961" s="391"/>
      <c r="AB961" s="391"/>
      <c r="AC961" s="391"/>
      <c r="AD961" s="391"/>
      <c r="AE961" s="391"/>
      <c r="AF961" s="391"/>
      <c r="AG961" s="391"/>
      <c r="AH961" s="392"/>
      <c r="AI961" s="391"/>
      <c r="AJ961" s="391"/>
    </row>
    <row r="962" spans="1:36" ht="13.5" x14ac:dyDescent="0.25">
      <c r="A962" s="391"/>
      <c r="B962" s="391"/>
      <c r="C962" s="391"/>
      <c r="D962" s="391"/>
      <c r="E962" s="391"/>
      <c r="F962" s="391"/>
      <c r="G962" s="391"/>
      <c r="H962" s="391"/>
      <c r="I962" s="391"/>
      <c r="J962" s="391"/>
      <c r="K962" s="391"/>
      <c r="L962" s="391"/>
      <c r="M962" s="391"/>
      <c r="N962" s="391"/>
      <c r="O962" s="391"/>
      <c r="P962" s="391"/>
      <c r="Q962" s="391"/>
      <c r="R962" s="391"/>
      <c r="S962" s="391"/>
      <c r="T962" s="391"/>
      <c r="U962" s="391"/>
      <c r="V962" s="391"/>
      <c r="W962" s="391"/>
      <c r="X962" s="391"/>
      <c r="Y962" s="391"/>
      <c r="Z962" s="391"/>
      <c r="AA962" s="391"/>
      <c r="AB962" s="391"/>
      <c r="AC962" s="391"/>
      <c r="AD962" s="391"/>
      <c r="AE962" s="391"/>
      <c r="AF962" s="391"/>
      <c r="AG962" s="391"/>
      <c r="AH962" s="392"/>
      <c r="AI962" s="391"/>
      <c r="AJ962" s="391"/>
    </row>
    <row r="963" spans="1:36" ht="13.5" x14ac:dyDescent="0.25">
      <c r="A963" s="391"/>
      <c r="B963" s="391"/>
      <c r="C963" s="391"/>
      <c r="D963" s="391"/>
      <c r="E963" s="391"/>
      <c r="F963" s="391"/>
      <c r="G963" s="391"/>
      <c r="H963" s="391"/>
      <c r="I963" s="391"/>
      <c r="J963" s="391"/>
      <c r="K963" s="391"/>
      <c r="L963" s="391"/>
      <c r="M963" s="391"/>
      <c r="N963" s="391"/>
      <c r="O963" s="391"/>
      <c r="P963" s="391"/>
      <c r="Q963" s="391"/>
      <c r="R963" s="391"/>
      <c r="S963" s="391"/>
      <c r="T963" s="391"/>
      <c r="U963" s="391"/>
      <c r="V963" s="391"/>
      <c r="W963" s="391"/>
      <c r="X963" s="391"/>
      <c r="Y963" s="391"/>
      <c r="Z963" s="391"/>
      <c r="AA963" s="391"/>
      <c r="AB963" s="391"/>
      <c r="AC963" s="391"/>
      <c r="AD963" s="391"/>
      <c r="AE963" s="391"/>
      <c r="AF963" s="391"/>
      <c r="AG963" s="391"/>
      <c r="AH963" s="392"/>
      <c r="AI963" s="391"/>
      <c r="AJ963" s="391"/>
    </row>
    <row r="964" spans="1:36" ht="13.5" x14ac:dyDescent="0.25">
      <c r="A964" s="391"/>
      <c r="B964" s="391"/>
      <c r="C964" s="391"/>
      <c r="D964" s="391"/>
      <c r="E964" s="391"/>
      <c r="F964" s="391"/>
      <c r="G964" s="391"/>
      <c r="H964" s="391"/>
      <c r="I964" s="391"/>
      <c r="J964" s="391"/>
      <c r="K964" s="391"/>
      <c r="L964" s="391"/>
      <c r="M964" s="391"/>
      <c r="N964" s="391"/>
      <c r="O964" s="391"/>
      <c r="P964" s="391"/>
      <c r="Q964" s="391"/>
      <c r="R964" s="391"/>
      <c r="S964" s="391"/>
      <c r="T964" s="391"/>
      <c r="U964" s="391"/>
      <c r="V964" s="391"/>
      <c r="W964" s="391"/>
      <c r="X964" s="391"/>
      <c r="Y964" s="391"/>
      <c r="Z964" s="391"/>
      <c r="AA964" s="391"/>
      <c r="AB964" s="391"/>
      <c r="AC964" s="391"/>
      <c r="AD964" s="391"/>
      <c r="AE964" s="391"/>
      <c r="AF964" s="391"/>
      <c r="AG964" s="391"/>
      <c r="AH964" s="392"/>
      <c r="AI964" s="391"/>
      <c r="AJ964" s="391"/>
    </row>
    <row r="965" spans="1:36" ht="13.5" x14ac:dyDescent="0.25">
      <c r="A965" s="391"/>
      <c r="B965" s="391"/>
      <c r="C965" s="391"/>
      <c r="D965" s="391"/>
      <c r="E965" s="391"/>
      <c r="F965" s="391"/>
      <c r="G965" s="391"/>
      <c r="H965" s="391"/>
      <c r="I965" s="391"/>
      <c r="J965" s="391"/>
      <c r="K965" s="391"/>
      <c r="L965" s="391"/>
      <c r="M965" s="391"/>
      <c r="N965" s="391"/>
      <c r="O965" s="391"/>
      <c r="P965" s="391"/>
      <c r="Q965" s="391"/>
      <c r="R965" s="391"/>
      <c r="S965" s="391"/>
      <c r="T965" s="391"/>
      <c r="U965" s="391"/>
      <c r="V965" s="391"/>
      <c r="W965" s="391"/>
      <c r="X965" s="391"/>
      <c r="Y965" s="391"/>
      <c r="Z965" s="391"/>
      <c r="AA965" s="391"/>
      <c r="AB965" s="391"/>
      <c r="AC965" s="391"/>
      <c r="AD965" s="391"/>
      <c r="AE965" s="391"/>
      <c r="AF965" s="391"/>
      <c r="AG965" s="391"/>
      <c r="AH965" s="392"/>
      <c r="AI965" s="391"/>
      <c r="AJ965" s="391"/>
    </row>
    <row r="966" spans="1:36" ht="13.5" x14ac:dyDescent="0.25">
      <c r="A966" s="391"/>
      <c r="B966" s="391"/>
      <c r="C966" s="391"/>
      <c r="D966" s="391"/>
      <c r="E966" s="391"/>
      <c r="F966" s="391"/>
      <c r="G966" s="391"/>
      <c r="H966" s="391"/>
      <c r="I966" s="391"/>
      <c r="J966" s="391"/>
      <c r="K966" s="391"/>
      <c r="L966" s="391"/>
      <c r="M966" s="391"/>
      <c r="N966" s="391"/>
      <c r="O966" s="391"/>
      <c r="P966" s="391"/>
      <c r="Q966" s="391"/>
      <c r="R966" s="391"/>
      <c r="S966" s="391"/>
      <c r="T966" s="391"/>
      <c r="U966" s="391"/>
      <c r="V966" s="391"/>
      <c r="W966" s="391"/>
      <c r="X966" s="391"/>
      <c r="Y966" s="391"/>
      <c r="Z966" s="391"/>
      <c r="AA966" s="391"/>
      <c r="AB966" s="391"/>
      <c r="AC966" s="391"/>
      <c r="AD966" s="391"/>
      <c r="AE966" s="391"/>
      <c r="AF966" s="391"/>
      <c r="AG966" s="391"/>
      <c r="AH966" s="392"/>
      <c r="AI966" s="391"/>
      <c r="AJ966" s="391"/>
    </row>
    <row r="967" spans="1:36" ht="13.5" x14ac:dyDescent="0.25">
      <c r="A967" s="391"/>
      <c r="B967" s="391"/>
      <c r="C967" s="391"/>
      <c r="D967" s="391"/>
      <c r="E967" s="391"/>
      <c r="F967" s="391"/>
      <c r="G967" s="391"/>
      <c r="H967" s="391"/>
      <c r="I967" s="391"/>
      <c r="J967" s="391"/>
      <c r="K967" s="391"/>
      <c r="L967" s="391"/>
      <c r="M967" s="391"/>
      <c r="N967" s="391"/>
      <c r="O967" s="391"/>
      <c r="P967" s="391"/>
      <c r="Q967" s="391"/>
      <c r="R967" s="391"/>
      <c r="S967" s="391"/>
      <c r="T967" s="391"/>
      <c r="U967" s="391"/>
      <c r="V967" s="391"/>
      <c r="W967" s="391"/>
      <c r="X967" s="391"/>
      <c r="Y967" s="391"/>
      <c r="Z967" s="391"/>
      <c r="AA967" s="391"/>
      <c r="AB967" s="391"/>
      <c r="AC967" s="391"/>
      <c r="AD967" s="391"/>
      <c r="AE967" s="391"/>
      <c r="AF967" s="391"/>
      <c r="AG967" s="391"/>
      <c r="AH967" s="392"/>
      <c r="AI967" s="391"/>
      <c r="AJ967" s="391"/>
    </row>
    <row r="968" spans="1:36" ht="13.5" x14ac:dyDescent="0.25">
      <c r="A968" s="391"/>
      <c r="B968" s="391"/>
      <c r="C968" s="391"/>
      <c r="D968" s="391"/>
      <c r="E968" s="391"/>
      <c r="F968" s="391"/>
      <c r="G968" s="391"/>
      <c r="H968" s="391"/>
      <c r="I968" s="391"/>
      <c r="J968" s="391"/>
      <c r="K968" s="391"/>
      <c r="L968" s="391"/>
      <c r="M968" s="391"/>
      <c r="N968" s="391"/>
      <c r="O968" s="391"/>
      <c r="P968" s="391"/>
      <c r="Q968" s="391"/>
      <c r="R968" s="391"/>
      <c r="S968" s="391"/>
      <c r="T968" s="391"/>
      <c r="U968" s="391"/>
      <c r="V968" s="391"/>
      <c r="W968" s="391"/>
      <c r="X968" s="391"/>
      <c r="Y968" s="391"/>
      <c r="Z968" s="391"/>
      <c r="AA968" s="391"/>
      <c r="AB968" s="391"/>
      <c r="AC968" s="391"/>
      <c r="AD968" s="391"/>
      <c r="AE968" s="391"/>
      <c r="AF968" s="391"/>
      <c r="AG968" s="391"/>
      <c r="AH968" s="392"/>
      <c r="AI968" s="391"/>
      <c r="AJ968" s="391"/>
    </row>
    <row r="969" spans="1:36" ht="13.5" x14ac:dyDescent="0.25">
      <c r="A969" s="391"/>
      <c r="B969" s="391"/>
      <c r="C969" s="391"/>
      <c r="D969" s="391"/>
      <c r="E969" s="391"/>
      <c r="F969" s="391"/>
      <c r="G969" s="391"/>
      <c r="H969" s="391"/>
      <c r="I969" s="391"/>
      <c r="J969" s="391"/>
      <c r="K969" s="391"/>
      <c r="L969" s="391"/>
      <c r="M969" s="391"/>
      <c r="N969" s="391"/>
      <c r="O969" s="391"/>
      <c r="P969" s="391"/>
      <c r="Q969" s="391"/>
      <c r="R969" s="391"/>
      <c r="S969" s="391"/>
      <c r="T969" s="391"/>
      <c r="U969" s="391"/>
      <c r="V969" s="391"/>
      <c r="W969" s="391"/>
      <c r="X969" s="391"/>
      <c r="Y969" s="391"/>
      <c r="Z969" s="391"/>
      <c r="AA969" s="391"/>
      <c r="AB969" s="391"/>
      <c r="AC969" s="391"/>
      <c r="AD969" s="391"/>
      <c r="AE969" s="391"/>
      <c r="AF969" s="391"/>
      <c r="AG969" s="391"/>
      <c r="AH969" s="392"/>
      <c r="AI969" s="391"/>
      <c r="AJ969" s="391"/>
    </row>
    <row r="970" spans="1:36" ht="13.5" x14ac:dyDescent="0.25">
      <c r="A970" s="391"/>
      <c r="B970" s="391"/>
      <c r="C970" s="391"/>
      <c r="D970" s="391"/>
      <c r="E970" s="391"/>
      <c r="F970" s="391"/>
      <c r="G970" s="391"/>
      <c r="H970" s="391"/>
      <c r="I970" s="391"/>
      <c r="J970" s="391"/>
      <c r="K970" s="391"/>
      <c r="L970" s="391"/>
      <c r="M970" s="391"/>
      <c r="N970" s="391"/>
      <c r="O970" s="391"/>
      <c r="P970" s="391"/>
      <c r="Q970" s="391"/>
      <c r="R970" s="391"/>
      <c r="S970" s="391"/>
      <c r="T970" s="391"/>
      <c r="U970" s="391"/>
      <c r="V970" s="391"/>
      <c r="W970" s="391"/>
      <c r="X970" s="391"/>
      <c r="Y970" s="391"/>
      <c r="Z970" s="391"/>
      <c r="AA970" s="391"/>
      <c r="AB970" s="391"/>
      <c r="AC970" s="391"/>
      <c r="AD970" s="391"/>
      <c r="AE970" s="391"/>
      <c r="AF970" s="391"/>
      <c r="AG970" s="391"/>
      <c r="AH970" s="392"/>
      <c r="AI970" s="391"/>
      <c r="AJ970" s="391"/>
    </row>
    <row r="971" spans="1:36" ht="13.5" x14ac:dyDescent="0.25">
      <c r="A971" s="391"/>
      <c r="B971" s="391"/>
      <c r="C971" s="391"/>
      <c r="D971" s="391"/>
      <c r="E971" s="391"/>
      <c r="F971" s="391"/>
      <c r="G971" s="391"/>
      <c r="H971" s="391"/>
      <c r="I971" s="391"/>
      <c r="J971" s="391"/>
      <c r="K971" s="391"/>
      <c r="L971" s="391"/>
      <c r="M971" s="391"/>
      <c r="N971" s="391"/>
      <c r="O971" s="391"/>
      <c r="P971" s="391"/>
      <c r="Q971" s="391"/>
      <c r="R971" s="391"/>
      <c r="S971" s="391"/>
      <c r="T971" s="391"/>
      <c r="U971" s="391"/>
      <c r="V971" s="391"/>
      <c r="W971" s="391"/>
      <c r="X971" s="391"/>
      <c r="Y971" s="391"/>
      <c r="Z971" s="391"/>
      <c r="AA971" s="391"/>
      <c r="AB971" s="391"/>
      <c r="AC971" s="391"/>
      <c r="AD971" s="391"/>
      <c r="AE971" s="391"/>
      <c r="AF971" s="391"/>
      <c r="AG971" s="391"/>
      <c r="AH971" s="392"/>
      <c r="AI971" s="391"/>
      <c r="AJ971" s="391"/>
    </row>
    <row r="972" spans="1:36" ht="13.5" x14ac:dyDescent="0.25">
      <c r="A972" s="391"/>
      <c r="B972" s="391"/>
      <c r="C972" s="391"/>
      <c r="D972" s="391"/>
      <c r="E972" s="391"/>
      <c r="F972" s="391"/>
      <c r="G972" s="391"/>
      <c r="H972" s="391"/>
      <c r="I972" s="391"/>
      <c r="J972" s="391"/>
      <c r="K972" s="391"/>
      <c r="L972" s="391"/>
      <c r="M972" s="391"/>
      <c r="N972" s="391"/>
      <c r="O972" s="391"/>
      <c r="P972" s="391"/>
      <c r="Q972" s="391"/>
      <c r="R972" s="391"/>
      <c r="S972" s="391"/>
      <c r="T972" s="391"/>
      <c r="U972" s="391"/>
      <c r="V972" s="391"/>
      <c r="W972" s="391"/>
      <c r="X972" s="391"/>
      <c r="Y972" s="391"/>
      <c r="Z972" s="391"/>
      <c r="AA972" s="391"/>
      <c r="AB972" s="391"/>
      <c r="AC972" s="391"/>
      <c r="AD972" s="391"/>
      <c r="AE972" s="391"/>
      <c r="AF972" s="391"/>
      <c r="AG972" s="391"/>
      <c r="AH972" s="392"/>
      <c r="AI972" s="391"/>
      <c r="AJ972" s="391"/>
    </row>
    <row r="973" spans="1:36" ht="13.5" x14ac:dyDescent="0.25">
      <c r="A973" s="391"/>
      <c r="B973" s="391"/>
      <c r="C973" s="391"/>
      <c r="D973" s="391"/>
      <c r="E973" s="391"/>
      <c r="F973" s="391"/>
      <c r="G973" s="391"/>
      <c r="H973" s="391"/>
      <c r="I973" s="391"/>
      <c r="J973" s="391"/>
      <c r="K973" s="391"/>
      <c r="L973" s="391"/>
      <c r="M973" s="391"/>
      <c r="N973" s="391"/>
      <c r="O973" s="391"/>
      <c r="P973" s="391"/>
      <c r="Q973" s="391"/>
      <c r="R973" s="391"/>
      <c r="S973" s="391"/>
      <c r="T973" s="391"/>
      <c r="U973" s="391"/>
      <c r="V973" s="391"/>
      <c r="W973" s="391"/>
      <c r="X973" s="391"/>
      <c r="Y973" s="391"/>
      <c r="Z973" s="391"/>
      <c r="AA973" s="391"/>
      <c r="AB973" s="391"/>
      <c r="AC973" s="391"/>
      <c r="AD973" s="391"/>
      <c r="AE973" s="391"/>
      <c r="AF973" s="391"/>
      <c r="AG973" s="391"/>
      <c r="AH973" s="392"/>
      <c r="AI973" s="391"/>
      <c r="AJ973" s="391"/>
    </row>
    <row r="974" spans="1:36" ht="13.5" x14ac:dyDescent="0.25">
      <c r="A974" s="391"/>
      <c r="B974" s="391"/>
      <c r="C974" s="391"/>
      <c r="D974" s="391"/>
      <c r="E974" s="391"/>
      <c r="F974" s="391"/>
      <c r="G974" s="391"/>
      <c r="H974" s="391"/>
      <c r="I974" s="391"/>
      <c r="J974" s="391"/>
      <c r="K974" s="391"/>
      <c r="L974" s="391"/>
      <c r="M974" s="391"/>
      <c r="N974" s="391"/>
      <c r="O974" s="391"/>
      <c r="P974" s="391"/>
      <c r="Q974" s="391"/>
      <c r="R974" s="391"/>
      <c r="S974" s="391"/>
      <c r="T974" s="391"/>
      <c r="U974" s="391"/>
      <c r="V974" s="391"/>
      <c r="W974" s="391"/>
      <c r="X974" s="391"/>
      <c r="Y974" s="391"/>
      <c r="Z974" s="391"/>
      <c r="AA974" s="391"/>
      <c r="AB974" s="391"/>
      <c r="AC974" s="391"/>
      <c r="AD974" s="391"/>
      <c r="AE974" s="391"/>
      <c r="AF974" s="391"/>
      <c r="AG974" s="391"/>
      <c r="AH974" s="392"/>
      <c r="AI974" s="391"/>
      <c r="AJ974" s="391"/>
    </row>
    <row r="975" spans="1:36" ht="13.5" x14ac:dyDescent="0.25">
      <c r="A975" s="391"/>
      <c r="B975" s="391"/>
      <c r="C975" s="391"/>
      <c r="D975" s="391"/>
      <c r="E975" s="391"/>
      <c r="F975" s="391"/>
      <c r="G975" s="391"/>
      <c r="H975" s="391"/>
      <c r="I975" s="391"/>
      <c r="J975" s="391"/>
      <c r="K975" s="391"/>
      <c r="L975" s="391"/>
      <c r="M975" s="391"/>
      <c r="N975" s="391"/>
      <c r="O975" s="391"/>
      <c r="P975" s="391"/>
      <c r="Q975" s="391"/>
      <c r="R975" s="391"/>
      <c r="S975" s="391"/>
      <c r="T975" s="391"/>
      <c r="U975" s="391"/>
      <c r="V975" s="391"/>
      <c r="W975" s="391"/>
      <c r="X975" s="391"/>
      <c r="Y975" s="391"/>
      <c r="Z975" s="391"/>
      <c r="AA975" s="391"/>
      <c r="AB975" s="391"/>
      <c r="AC975" s="391"/>
      <c r="AD975" s="391"/>
      <c r="AE975" s="391"/>
      <c r="AF975" s="391"/>
      <c r="AG975" s="391"/>
      <c r="AH975" s="392"/>
      <c r="AI975" s="391"/>
      <c r="AJ975" s="391"/>
    </row>
    <row r="976" spans="1:36" ht="13.5" x14ac:dyDescent="0.25">
      <c r="A976" s="391"/>
      <c r="B976" s="391"/>
      <c r="C976" s="391"/>
      <c r="D976" s="391"/>
      <c r="E976" s="391"/>
      <c r="F976" s="391"/>
      <c r="G976" s="391"/>
      <c r="H976" s="391"/>
      <c r="I976" s="391"/>
      <c r="J976" s="391"/>
      <c r="K976" s="391"/>
      <c r="L976" s="391"/>
      <c r="M976" s="391"/>
      <c r="N976" s="391"/>
      <c r="O976" s="391"/>
      <c r="P976" s="391"/>
      <c r="Q976" s="391"/>
      <c r="R976" s="391"/>
      <c r="S976" s="391"/>
      <c r="T976" s="391"/>
      <c r="U976" s="391"/>
      <c r="V976" s="391"/>
      <c r="W976" s="391"/>
      <c r="X976" s="391"/>
      <c r="Y976" s="391"/>
      <c r="Z976" s="391"/>
      <c r="AA976" s="391"/>
      <c r="AB976" s="391"/>
      <c r="AC976" s="391"/>
      <c r="AD976" s="391"/>
      <c r="AE976" s="391"/>
      <c r="AF976" s="391"/>
      <c r="AG976" s="391"/>
      <c r="AH976" s="392"/>
      <c r="AI976" s="391"/>
      <c r="AJ976" s="391"/>
    </row>
    <row r="977" spans="1:36" ht="13.5" x14ac:dyDescent="0.25">
      <c r="A977" s="391"/>
      <c r="B977" s="391"/>
      <c r="C977" s="391"/>
      <c r="D977" s="391"/>
      <c r="E977" s="391"/>
      <c r="F977" s="391"/>
      <c r="G977" s="391"/>
      <c r="H977" s="391"/>
      <c r="I977" s="391"/>
      <c r="J977" s="391"/>
      <c r="K977" s="391"/>
      <c r="L977" s="391"/>
      <c r="M977" s="391"/>
      <c r="N977" s="391"/>
      <c r="O977" s="391"/>
      <c r="P977" s="391"/>
      <c r="Q977" s="391"/>
      <c r="R977" s="391"/>
      <c r="S977" s="391"/>
      <c r="T977" s="391"/>
      <c r="U977" s="391"/>
      <c r="V977" s="391"/>
      <c r="W977" s="391"/>
      <c r="X977" s="391"/>
      <c r="Y977" s="391"/>
      <c r="Z977" s="391"/>
      <c r="AA977" s="391"/>
      <c r="AB977" s="391"/>
      <c r="AC977" s="391"/>
      <c r="AD977" s="391"/>
      <c r="AE977" s="391"/>
      <c r="AF977" s="391"/>
      <c r="AG977" s="391"/>
      <c r="AH977" s="392"/>
      <c r="AI977" s="391"/>
      <c r="AJ977" s="391"/>
    </row>
    <row r="978" spans="1:36" ht="13.5" x14ac:dyDescent="0.25">
      <c r="A978" s="391"/>
      <c r="B978" s="391"/>
      <c r="C978" s="391"/>
      <c r="D978" s="391"/>
      <c r="E978" s="391"/>
      <c r="F978" s="391"/>
      <c r="G978" s="391"/>
      <c r="H978" s="391"/>
      <c r="I978" s="391"/>
      <c r="J978" s="391"/>
      <c r="K978" s="391"/>
      <c r="L978" s="391"/>
      <c r="M978" s="391"/>
      <c r="N978" s="391"/>
      <c r="O978" s="391"/>
      <c r="P978" s="391"/>
      <c r="Q978" s="391"/>
      <c r="R978" s="391"/>
      <c r="S978" s="391"/>
      <c r="T978" s="391"/>
      <c r="U978" s="391"/>
      <c r="V978" s="391"/>
      <c r="W978" s="391"/>
      <c r="X978" s="391"/>
      <c r="Y978" s="391"/>
      <c r="Z978" s="391"/>
      <c r="AA978" s="391"/>
      <c r="AB978" s="391"/>
      <c r="AC978" s="391"/>
      <c r="AD978" s="391"/>
      <c r="AE978" s="391"/>
      <c r="AF978" s="391"/>
      <c r="AG978" s="391"/>
      <c r="AH978" s="392"/>
      <c r="AI978" s="391"/>
      <c r="AJ978" s="391"/>
    </row>
    <row r="979" spans="1:36" ht="13.5" x14ac:dyDescent="0.25">
      <c r="A979" s="391"/>
      <c r="B979" s="391"/>
      <c r="C979" s="391"/>
      <c r="D979" s="391"/>
      <c r="E979" s="391"/>
      <c r="F979" s="391"/>
      <c r="G979" s="391"/>
      <c r="H979" s="391"/>
      <c r="I979" s="391"/>
      <c r="J979" s="391"/>
      <c r="K979" s="391"/>
      <c r="L979" s="391"/>
      <c r="M979" s="391"/>
      <c r="N979" s="391"/>
      <c r="O979" s="391"/>
      <c r="P979" s="391"/>
      <c r="Q979" s="391"/>
      <c r="R979" s="391"/>
      <c r="S979" s="391"/>
      <c r="T979" s="391"/>
      <c r="U979" s="391"/>
      <c r="V979" s="391"/>
      <c r="W979" s="391"/>
      <c r="X979" s="391"/>
      <c r="Y979" s="391"/>
      <c r="Z979" s="391"/>
      <c r="AA979" s="391"/>
      <c r="AB979" s="391"/>
      <c r="AC979" s="391"/>
      <c r="AD979" s="391"/>
      <c r="AE979" s="391"/>
      <c r="AF979" s="391"/>
      <c r="AG979" s="391"/>
      <c r="AH979" s="392"/>
      <c r="AI979" s="391"/>
      <c r="AJ979" s="391"/>
    </row>
    <row r="980" spans="1:36" ht="13.5" x14ac:dyDescent="0.25">
      <c r="A980" s="391"/>
      <c r="B980" s="391"/>
      <c r="C980" s="391"/>
      <c r="D980" s="391"/>
      <c r="E980" s="391"/>
      <c r="F980" s="391"/>
      <c r="G980" s="391"/>
      <c r="H980" s="391"/>
      <c r="I980" s="391"/>
      <c r="J980" s="391"/>
      <c r="K980" s="391"/>
      <c r="L980" s="391"/>
      <c r="M980" s="391"/>
      <c r="N980" s="391"/>
      <c r="O980" s="391"/>
      <c r="P980" s="391"/>
      <c r="Q980" s="391"/>
      <c r="R980" s="391"/>
      <c r="S980" s="391"/>
      <c r="T980" s="391"/>
      <c r="U980" s="391"/>
      <c r="V980" s="391"/>
      <c r="W980" s="391"/>
      <c r="X980" s="391"/>
      <c r="Y980" s="391"/>
      <c r="Z980" s="391"/>
      <c r="AA980" s="391"/>
      <c r="AB980" s="391"/>
      <c r="AC980" s="391"/>
      <c r="AD980" s="391"/>
      <c r="AE980" s="391"/>
      <c r="AF980" s="391"/>
      <c r="AG980" s="391"/>
      <c r="AH980" s="392"/>
      <c r="AI980" s="391"/>
      <c r="AJ980" s="391"/>
    </row>
    <row r="981" spans="1:36" ht="13.5" x14ac:dyDescent="0.25">
      <c r="A981" s="391"/>
      <c r="B981" s="391"/>
      <c r="C981" s="391"/>
      <c r="D981" s="391"/>
      <c r="E981" s="391"/>
      <c r="F981" s="391"/>
      <c r="G981" s="391"/>
      <c r="H981" s="391"/>
      <c r="I981" s="391"/>
      <c r="J981" s="391"/>
      <c r="K981" s="391"/>
      <c r="L981" s="391"/>
      <c r="M981" s="391"/>
      <c r="N981" s="391"/>
      <c r="O981" s="391"/>
      <c r="P981" s="391"/>
      <c r="Q981" s="391"/>
      <c r="R981" s="391"/>
      <c r="S981" s="391"/>
      <c r="T981" s="391"/>
      <c r="U981" s="391"/>
      <c r="V981" s="391"/>
      <c r="W981" s="391"/>
      <c r="X981" s="391"/>
      <c r="Y981" s="391"/>
      <c r="Z981" s="391"/>
      <c r="AA981" s="391"/>
      <c r="AB981" s="391"/>
      <c r="AC981" s="391"/>
      <c r="AD981" s="391"/>
      <c r="AE981" s="391"/>
      <c r="AF981" s="391"/>
      <c r="AG981" s="391"/>
      <c r="AH981" s="392"/>
      <c r="AI981" s="391"/>
      <c r="AJ981" s="391"/>
    </row>
    <row r="982" spans="1:36" ht="13.5" x14ac:dyDescent="0.25">
      <c r="A982" s="391"/>
      <c r="B982" s="391"/>
      <c r="C982" s="391"/>
      <c r="D982" s="391"/>
      <c r="E982" s="391"/>
      <c r="F982" s="391"/>
      <c r="G982" s="391"/>
      <c r="H982" s="391"/>
      <c r="I982" s="391"/>
      <c r="J982" s="391"/>
      <c r="K982" s="391"/>
      <c r="L982" s="391"/>
      <c r="M982" s="391"/>
      <c r="N982" s="391"/>
      <c r="O982" s="391"/>
      <c r="P982" s="391"/>
      <c r="Q982" s="391"/>
      <c r="R982" s="391"/>
      <c r="S982" s="391"/>
      <c r="T982" s="391"/>
      <c r="U982" s="391"/>
      <c r="V982" s="391"/>
      <c r="W982" s="391"/>
      <c r="X982" s="391"/>
      <c r="Y982" s="391"/>
      <c r="Z982" s="391"/>
      <c r="AA982" s="391"/>
      <c r="AB982" s="391"/>
      <c r="AC982" s="391"/>
      <c r="AD982" s="391"/>
      <c r="AE982" s="391"/>
      <c r="AF982" s="391"/>
      <c r="AG982" s="391"/>
      <c r="AH982" s="392"/>
      <c r="AI982" s="391"/>
      <c r="AJ982" s="391"/>
    </row>
    <row r="983" spans="1:36" ht="13.5" x14ac:dyDescent="0.25">
      <c r="A983" s="391"/>
      <c r="B983" s="391"/>
      <c r="C983" s="391"/>
      <c r="D983" s="391"/>
      <c r="E983" s="391"/>
      <c r="F983" s="391"/>
      <c r="G983" s="391"/>
      <c r="H983" s="391"/>
      <c r="I983" s="391"/>
      <c r="J983" s="391"/>
      <c r="K983" s="391"/>
      <c r="L983" s="391"/>
      <c r="M983" s="391"/>
      <c r="N983" s="391"/>
      <c r="O983" s="391"/>
      <c r="P983" s="391"/>
      <c r="Q983" s="391"/>
      <c r="R983" s="391"/>
      <c r="S983" s="391"/>
      <c r="T983" s="391"/>
      <c r="U983" s="391"/>
      <c r="V983" s="391"/>
      <c r="W983" s="391"/>
      <c r="X983" s="391"/>
      <c r="Y983" s="391"/>
      <c r="Z983" s="391"/>
      <c r="AA983" s="391"/>
      <c r="AB983" s="391"/>
      <c r="AC983" s="391"/>
      <c r="AD983" s="391"/>
      <c r="AE983" s="391"/>
      <c r="AF983" s="391"/>
      <c r="AG983" s="391"/>
      <c r="AH983" s="392"/>
      <c r="AI983" s="391"/>
      <c r="AJ983" s="391"/>
    </row>
    <row r="984" spans="1:36" ht="13.5" x14ac:dyDescent="0.25">
      <c r="A984" s="391"/>
      <c r="B984" s="391"/>
      <c r="C984" s="391"/>
      <c r="D984" s="391"/>
      <c r="E984" s="391"/>
      <c r="F984" s="391"/>
      <c r="G984" s="391"/>
      <c r="H984" s="391"/>
      <c r="I984" s="391"/>
      <c r="J984" s="391"/>
      <c r="K984" s="391"/>
      <c r="L984" s="391"/>
      <c r="M984" s="391"/>
      <c r="N984" s="391"/>
      <c r="O984" s="391"/>
      <c r="P984" s="391"/>
      <c r="Q984" s="391"/>
      <c r="R984" s="391"/>
      <c r="S984" s="391"/>
      <c r="T984" s="391"/>
      <c r="U984" s="391"/>
      <c r="V984" s="391"/>
      <c r="W984" s="391"/>
      <c r="X984" s="391"/>
      <c r="Y984" s="391"/>
      <c r="Z984" s="391"/>
      <c r="AA984" s="391"/>
      <c r="AB984" s="391"/>
      <c r="AC984" s="391"/>
      <c r="AD984" s="391"/>
      <c r="AE984" s="391"/>
      <c r="AF984" s="391"/>
      <c r="AG984" s="391"/>
      <c r="AH984" s="392"/>
      <c r="AI984" s="391"/>
      <c r="AJ984" s="391"/>
    </row>
    <row r="985" spans="1:36" ht="13.5" x14ac:dyDescent="0.25">
      <c r="A985" s="391"/>
      <c r="B985" s="391"/>
      <c r="C985" s="391"/>
      <c r="D985" s="391"/>
      <c r="E985" s="391"/>
      <c r="F985" s="391"/>
      <c r="G985" s="391"/>
      <c r="H985" s="391"/>
      <c r="I985" s="391"/>
      <c r="J985" s="391"/>
      <c r="K985" s="391"/>
      <c r="L985" s="391"/>
      <c r="M985" s="391"/>
      <c r="N985" s="391"/>
      <c r="O985" s="391"/>
      <c r="P985" s="391"/>
      <c r="Q985" s="391"/>
      <c r="R985" s="391"/>
      <c r="S985" s="391"/>
      <c r="T985" s="391"/>
      <c r="U985" s="391"/>
      <c r="V985" s="391"/>
      <c r="W985" s="391"/>
      <c r="X985" s="391"/>
      <c r="Y985" s="391"/>
      <c r="Z985" s="391"/>
      <c r="AA985" s="391"/>
      <c r="AB985" s="391"/>
      <c r="AC985" s="391"/>
      <c r="AD985" s="391"/>
      <c r="AE985" s="391"/>
      <c r="AF985" s="391"/>
      <c r="AG985" s="391"/>
      <c r="AH985" s="392"/>
      <c r="AI985" s="391"/>
      <c r="AJ985" s="391"/>
    </row>
    <row r="986" spans="1:36" ht="13.5" x14ac:dyDescent="0.25">
      <c r="A986" s="391"/>
      <c r="B986" s="391"/>
      <c r="C986" s="391"/>
      <c r="D986" s="391"/>
      <c r="E986" s="391"/>
      <c r="F986" s="391"/>
      <c r="G986" s="391"/>
      <c r="H986" s="391"/>
      <c r="I986" s="391"/>
      <c r="J986" s="391"/>
      <c r="K986" s="391"/>
      <c r="L986" s="391"/>
      <c r="M986" s="391"/>
      <c r="N986" s="391"/>
      <c r="O986" s="391"/>
      <c r="P986" s="391"/>
      <c r="Q986" s="391"/>
      <c r="R986" s="391"/>
      <c r="S986" s="391"/>
      <c r="T986" s="391"/>
      <c r="U986" s="391"/>
      <c r="V986" s="391"/>
      <c r="W986" s="391"/>
      <c r="X986" s="391"/>
      <c r="Y986" s="391"/>
      <c r="Z986" s="391"/>
      <c r="AA986" s="391"/>
      <c r="AB986" s="391"/>
      <c r="AC986" s="391"/>
      <c r="AD986" s="391"/>
      <c r="AE986" s="391"/>
      <c r="AF986" s="391"/>
      <c r="AG986" s="391"/>
      <c r="AH986" s="392"/>
      <c r="AI986" s="391"/>
      <c r="AJ986" s="391"/>
    </row>
    <row r="987" spans="1:36" ht="13.5" x14ac:dyDescent="0.25">
      <c r="A987" s="391"/>
      <c r="B987" s="391"/>
      <c r="C987" s="391"/>
      <c r="D987" s="391"/>
      <c r="E987" s="391"/>
      <c r="F987" s="391"/>
      <c r="G987" s="391"/>
      <c r="H987" s="391"/>
      <c r="I987" s="391"/>
      <c r="J987" s="391"/>
      <c r="K987" s="391"/>
      <c r="L987" s="391"/>
      <c r="M987" s="391"/>
      <c r="N987" s="391"/>
      <c r="O987" s="391"/>
      <c r="P987" s="391"/>
      <c r="Q987" s="391"/>
      <c r="R987" s="391"/>
      <c r="S987" s="391"/>
      <c r="T987" s="391"/>
      <c r="U987" s="391"/>
      <c r="V987" s="391"/>
      <c r="W987" s="391"/>
      <c r="X987" s="391"/>
      <c r="Y987" s="391"/>
      <c r="Z987" s="391"/>
      <c r="AA987" s="391"/>
      <c r="AB987" s="391"/>
      <c r="AC987" s="391"/>
      <c r="AD987" s="391"/>
      <c r="AE987" s="391"/>
      <c r="AF987" s="391"/>
      <c r="AG987" s="391"/>
      <c r="AH987" s="392"/>
      <c r="AI987" s="391"/>
      <c r="AJ987" s="391"/>
    </row>
    <row r="988" spans="1:36" ht="13.5" x14ac:dyDescent="0.25">
      <c r="A988" s="391"/>
      <c r="B988" s="391"/>
      <c r="C988" s="391"/>
      <c r="D988" s="391"/>
      <c r="E988" s="391"/>
      <c r="F988" s="391"/>
      <c r="G988" s="391"/>
      <c r="H988" s="391"/>
      <c r="I988" s="391"/>
      <c r="J988" s="391"/>
      <c r="K988" s="391"/>
      <c r="L988" s="391"/>
      <c r="M988" s="391"/>
      <c r="N988" s="391"/>
      <c r="O988" s="391"/>
      <c r="P988" s="391"/>
      <c r="Q988" s="391"/>
      <c r="R988" s="391"/>
      <c r="S988" s="391"/>
      <c r="T988" s="391"/>
      <c r="U988" s="391"/>
      <c r="V988" s="391"/>
      <c r="W988" s="391"/>
      <c r="X988" s="391"/>
      <c r="Y988" s="391"/>
      <c r="Z988" s="391"/>
      <c r="AA988" s="391"/>
      <c r="AB988" s="391"/>
      <c r="AC988" s="391"/>
      <c r="AD988" s="391"/>
      <c r="AE988" s="391"/>
      <c r="AF988" s="391"/>
      <c r="AG988" s="391"/>
      <c r="AH988" s="392"/>
      <c r="AI988" s="391"/>
      <c r="AJ988" s="391"/>
    </row>
    <row r="989" spans="1:36" ht="13.5" x14ac:dyDescent="0.25">
      <c r="A989" s="391"/>
      <c r="B989" s="391"/>
      <c r="C989" s="391"/>
      <c r="D989" s="391"/>
      <c r="E989" s="391"/>
      <c r="F989" s="391"/>
      <c r="G989" s="391"/>
      <c r="H989" s="391"/>
      <c r="I989" s="391"/>
      <c r="J989" s="391"/>
      <c r="K989" s="391"/>
      <c r="L989" s="391"/>
      <c r="M989" s="391"/>
      <c r="N989" s="391"/>
      <c r="O989" s="391"/>
      <c r="P989" s="391"/>
      <c r="Q989" s="391"/>
      <c r="R989" s="391"/>
      <c r="S989" s="391"/>
      <c r="T989" s="391"/>
      <c r="U989" s="391"/>
      <c r="V989" s="391"/>
      <c r="W989" s="391"/>
      <c r="X989" s="391"/>
      <c r="Y989" s="391"/>
      <c r="Z989" s="391"/>
      <c r="AA989" s="391"/>
      <c r="AB989" s="391"/>
      <c r="AC989" s="391"/>
      <c r="AD989" s="391"/>
      <c r="AE989" s="391"/>
      <c r="AF989" s="391"/>
      <c r="AG989" s="391"/>
      <c r="AH989" s="392"/>
      <c r="AI989" s="391"/>
      <c r="AJ989" s="391"/>
    </row>
    <row r="990" spans="1:36" ht="13.5" x14ac:dyDescent="0.25">
      <c r="A990" s="391"/>
      <c r="B990" s="391"/>
      <c r="C990" s="391"/>
      <c r="D990" s="391"/>
      <c r="E990" s="391"/>
      <c r="F990" s="391"/>
      <c r="G990" s="391"/>
      <c r="H990" s="391"/>
      <c r="I990" s="391"/>
      <c r="J990" s="391"/>
      <c r="K990" s="391"/>
      <c r="L990" s="391"/>
      <c r="M990" s="391"/>
      <c r="N990" s="391"/>
      <c r="O990" s="391"/>
      <c r="P990" s="391"/>
      <c r="Q990" s="391"/>
      <c r="R990" s="391"/>
      <c r="S990" s="391"/>
      <c r="T990" s="391"/>
      <c r="U990" s="391"/>
      <c r="V990" s="391"/>
      <c r="W990" s="391"/>
      <c r="X990" s="391"/>
      <c r="Y990" s="391"/>
      <c r="Z990" s="391"/>
      <c r="AA990" s="391"/>
      <c r="AB990" s="391"/>
      <c r="AC990" s="391"/>
      <c r="AD990" s="391"/>
      <c r="AE990" s="391"/>
      <c r="AF990" s="391"/>
      <c r="AG990" s="391"/>
      <c r="AH990" s="392"/>
      <c r="AI990" s="391"/>
      <c r="AJ990" s="391"/>
    </row>
    <row r="991" spans="1:36" ht="13.5" x14ac:dyDescent="0.25">
      <c r="A991" s="391"/>
      <c r="B991" s="391"/>
      <c r="C991" s="391"/>
      <c r="D991" s="391"/>
      <c r="E991" s="391"/>
      <c r="F991" s="391"/>
      <c r="G991" s="391"/>
      <c r="H991" s="391"/>
      <c r="I991" s="391"/>
      <c r="J991" s="391"/>
      <c r="K991" s="391"/>
      <c r="L991" s="391"/>
      <c r="M991" s="391"/>
      <c r="N991" s="391"/>
      <c r="O991" s="391"/>
      <c r="P991" s="391"/>
      <c r="Q991" s="391"/>
      <c r="R991" s="391"/>
      <c r="S991" s="391"/>
      <c r="T991" s="391"/>
      <c r="U991" s="391"/>
      <c r="V991" s="391"/>
      <c r="W991" s="391"/>
      <c r="X991" s="391"/>
      <c r="Y991" s="391"/>
      <c r="Z991" s="391"/>
      <c r="AA991" s="391"/>
      <c r="AB991" s="391"/>
      <c r="AC991" s="391"/>
      <c r="AD991" s="391"/>
      <c r="AE991" s="391"/>
      <c r="AF991" s="391"/>
      <c r="AG991" s="391"/>
      <c r="AH991" s="392"/>
      <c r="AI991" s="391"/>
      <c r="AJ991" s="391"/>
    </row>
    <row r="992" spans="1:36" ht="13.5" x14ac:dyDescent="0.25">
      <c r="A992" s="391"/>
      <c r="B992" s="391"/>
      <c r="C992" s="391"/>
      <c r="D992" s="391"/>
      <c r="E992" s="391"/>
      <c r="F992" s="391"/>
      <c r="G992" s="391"/>
      <c r="H992" s="391"/>
      <c r="I992" s="391"/>
      <c r="J992" s="391"/>
      <c r="K992" s="391"/>
      <c r="L992" s="391"/>
      <c r="M992" s="391"/>
      <c r="N992" s="391"/>
      <c r="O992" s="391"/>
      <c r="P992" s="391"/>
      <c r="Q992" s="391"/>
      <c r="R992" s="391"/>
      <c r="S992" s="391"/>
      <c r="T992" s="391"/>
      <c r="U992" s="391"/>
      <c r="V992" s="391"/>
      <c r="W992" s="391"/>
      <c r="X992" s="391"/>
      <c r="Y992" s="391"/>
      <c r="Z992" s="391"/>
      <c r="AA992" s="391"/>
      <c r="AB992" s="391"/>
      <c r="AC992" s="391"/>
      <c r="AD992" s="391"/>
      <c r="AE992" s="391"/>
      <c r="AF992" s="391"/>
      <c r="AG992" s="391"/>
      <c r="AH992" s="392"/>
      <c r="AI992" s="391"/>
      <c r="AJ992" s="391"/>
    </row>
    <row r="993" spans="1:36" ht="13.5" x14ac:dyDescent="0.25">
      <c r="A993" s="391"/>
      <c r="B993" s="391"/>
      <c r="C993" s="391"/>
      <c r="D993" s="391"/>
      <c r="E993" s="391"/>
      <c r="F993" s="391"/>
      <c r="G993" s="391"/>
      <c r="H993" s="391"/>
      <c r="I993" s="391"/>
      <c r="J993" s="391"/>
      <c r="K993" s="391"/>
      <c r="L993" s="391"/>
      <c r="M993" s="391"/>
      <c r="N993" s="391"/>
      <c r="O993" s="391"/>
      <c r="P993" s="391"/>
      <c r="Q993" s="391"/>
      <c r="R993" s="391"/>
      <c r="S993" s="391"/>
      <c r="T993" s="391"/>
      <c r="U993" s="391"/>
      <c r="V993" s="391"/>
      <c r="W993" s="391"/>
      <c r="X993" s="391"/>
      <c r="Y993" s="391"/>
      <c r="Z993" s="391"/>
      <c r="AA993" s="391"/>
      <c r="AB993" s="391"/>
      <c r="AC993" s="391"/>
      <c r="AD993" s="391"/>
      <c r="AE993" s="391"/>
      <c r="AF993" s="391"/>
      <c r="AG993" s="391"/>
      <c r="AH993" s="392"/>
      <c r="AI993" s="391"/>
      <c r="AJ993" s="391"/>
    </row>
    <row r="994" spans="1:36" ht="13.5" x14ac:dyDescent="0.25">
      <c r="A994" s="391"/>
      <c r="B994" s="391"/>
      <c r="C994" s="391"/>
      <c r="D994" s="391"/>
      <c r="E994" s="391"/>
      <c r="F994" s="391"/>
      <c r="G994" s="391"/>
      <c r="H994" s="391"/>
      <c r="I994" s="391"/>
      <c r="J994" s="391"/>
      <c r="K994" s="391"/>
      <c r="L994" s="391"/>
      <c r="M994" s="391"/>
      <c r="N994" s="391"/>
      <c r="O994" s="391"/>
      <c r="P994" s="391"/>
      <c r="Q994" s="391"/>
      <c r="R994" s="391"/>
      <c r="S994" s="391"/>
      <c r="T994" s="391"/>
      <c r="U994" s="391"/>
      <c r="V994" s="391"/>
      <c r="W994" s="391"/>
      <c r="X994" s="391"/>
      <c r="Y994" s="391"/>
      <c r="Z994" s="391"/>
      <c r="AA994" s="391"/>
      <c r="AB994" s="391"/>
      <c r="AC994" s="391"/>
      <c r="AD994" s="391"/>
      <c r="AE994" s="391"/>
      <c r="AF994" s="391"/>
      <c r="AG994" s="391"/>
      <c r="AH994" s="392"/>
      <c r="AI994" s="391"/>
      <c r="AJ994" s="391"/>
    </row>
    <row r="995" spans="1:36" ht="13.5" x14ac:dyDescent="0.25">
      <c r="A995" s="391"/>
      <c r="B995" s="391"/>
      <c r="C995" s="391"/>
      <c r="D995" s="391"/>
      <c r="E995" s="391"/>
      <c r="F995" s="391"/>
      <c r="G995" s="391"/>
      <c r="H995" s="391"/>
      <c r="I995" s="391"/>
      <c r="J995" s="391"/>
      <c r="K995" s="391"/>
      <c r="L995" s="391"/>
      <c r="M995" s="391"/>
      <c r="N995" s="391"/>
      <c r="O995" s="391"/>
      <c r="P995" s="391"/>
      <c r="Q995" s="391"/>
      <c r="R995" s="391"/>
      <c r="S995" s="391"/>
      <c r="T995" s="391"/>
      <c r="U995" s="391"/>
      <c r="V995" s="391"/>
      <c r="W995" s="391"/>
      <c r="X995" s="391"/>
      <c r="Y995" s="391"/>
      <c r="Z995" s="391"/>
      <c r="AA995" s="391"/>
      <c r="AB995" s="391"/>
      <c r="AC995" s="391"/>
      <c r="AD995" s="391"/>
      <c r="AE995" s="391"/>
      <c r="AF995" s="391"/>
      <c r="AG995" s="391"/>
      <c r="AH995" s="392"/>
      <c r="AI995" s="391"/>
      <c r="AJ995" s="391"/>
    </row>
    <row r="996" spans="1:36" ht="13.5" x14ac:dyDescent="0.25">
      <c r="A996" s="391"/>
      <c r="B996" s="391"/>
      <c r="C996" s="391"/>
      <c r="D996" s="391"/>
      <c r="E996" s="391"/>
      <c r="F996" s="391"/>
      <c r="G996" s="391"/>
      <c r="H996" s="391"/>
      <c r="I996" s="391"/>
      <c r="J996" s="391"/>
      <c r="K996" s="391"/>
      <c r="L996" s="391"/>
      <c r="M996" s="391"/>
      <c r="N996" s="391"/>
      <c r="O996" s="391"/>
      <c r="P996" s="391"/>
      <c r="Q996" s="391"/>
      <c r="R996" s="391"/>
      <c r="S996" s="391"/>
      <c r="T996" s="391"/>
      <c r="U996" s="391"/>
      <c r="V996" s="391"/>
      <c r="W996" s="391"/>
      <c r="X996" s="391"/>
      <c r="Y996" s="391"/>
      <c r="Z996" s="391"/>
      <c r="AA996" s="391"/>
      <c r="AB996" s="391"/>
      <c r="AC996" s="391"/>
      <c r="AD996" s="391"/>
      <c r="AE996" s="391"/>
      <c r="AF996" s="391"/>
      <c r="AG996" s="391"/>
      <c r="AH996" s="392"/>
      <c r="AI996" s="391"/>
      <c r="AJ996" s="391"/>
    </row>
    <row r="997" spans="1:36" ht="13.5" x14ac:dyDescent="0.25">
      <c r="A997" s="391"/>
      <c r="B997" s="391"/>
      <c r="C997" s="391"/>
      <c r="D997" s="391"/>
      <c r="E997" s="391"/>
      <c r="F997" s="391"/>
      <c r="G997" s="391"/>
      <c r="H997" s="391"/>
      <c r="I997" s="391"/>
      <c r="J997" s="391"/>
      <c r="K997" s="391"/>
      <c r="L997" s="391"/>
      <c r="M997" s="391"/>
      <c r="N997" s="391"/>
      <c r="O997" s="391"/>
      <c r="P997" s="391"/>
      <c r="Q997" s="391"/>
      <c r="R997" s="391"/>
      <c r="S997" s="391"/>
      <c r="T997" s="391"/>
      <c r="U997" s="391"/>
      <c r="V997" s="391"/>
      <c r="W997" s="391"/>
      <c r="X997" s="391"/>
      <c r="Y997" s="391"/>
      <c r="Z997" s="391"/>
      <c r="AA997" s="391"/>
      <c r="AB997" s="391"/>
      <c r="AC997" s="391"/>
      <c r="AD997" s="391"/>
      <c r="AE997" s="391"/>
      <c r="AF997" s="391"/>
      <c r="AG997" s="391"/>
      <c r="AH997" s="392"/>
      <c r="AI997" s="391"/>
      <c r="AJ997" s="391"/>
    </row>
    <row r="998" spans="1:36" ht="13.5" x14ac:dyDescent="0.25">
      <c r="A998" s="391"/>
      <c r="B998" s="391"/>
      <c r="C998" s="391"/>
      <c r="D998" s="391"/>
      <c r="E998" s="391"/>
      <c r="F998" s="391"/>
      <c r="G998" s="391"/>
      <c r="H998" s="391"/>
      <c r="I998" s="391"/>
      <c r="J998" s="391"/>
      <c r="K998" s="391"/>
      <c r="L998" s="391"/>
      <c r="M998" s="391"/>
      <c r="N998" s="391"/>
      <c r="O998" s="391"/>
      <c r="P998" s="391"/>
      <c r="Q998" s="391"/>
      <c r="R998" s="391"/>
      <c r="S998" s="391"/>
      <c r="T998" s="391"/>
      <c r="U998" s="391"/>
      <c r="V998" s="391"/>
      <c r="W998" s="391"/>
      <c r="X998" s="391"/>
      <c r="Y998" s="391"/>
      <c r="Z998" s="391"/>
      <c r="AA998" s="391"/>
      <c r="AB998" s="391"/>
      <c r="AC998" s="391"/>
      <c r="AD998" s="391"/>
      <c r="AE998" s="391"/>
      <c r="AF998" s="391"/>
      <c r="AG998" s="391"/>
      <c r="AH998" s="392"/>
      <c r="AI998" s="391"/>
      <c r="AJ998" s="391"/>
    </row>
    <row r="999" spans="1:36" ht="13.5" x14ac:dyDescent="0.25">
      <c r="A999" s="391"/>
      <c r="B999" s="391"/>
      <c r="C999" s="391"/>
      <c r="D999" s="391"/>
      <c r="E999" s="391"/>
      <c r="F999" s="391"/>
      <c r="G999" s="391"/>
      <c r="H999" s="391"/>
      <c r="I999" s="391"/>
      <c r="J999" s="391"/>
      <c r="K999" s="391"/>
      <c r="L999" s="391"/>
      <c r="M999" s="391"/>
      <c r="N999" s="391"/>
      <c r="O999" s="391"/>
      <c r="P999" s="391"/>
      <c r="Q999" s="391"/>
      <c r="R999" s="391"/>
      <c r="S999" s="391"/>
      <c r="T999" s="391"/>
      <c r="U999" s="391"/>
      <c r="V999" s="391"/>
      <c r="W999" s="391"/>
      <c r="X999" s="391"/>
      <c r="Y999" s="391"/>
      <c r="Z999" s="391"/>
      <c r="AA999" s="391"/>
      <c r="AB999" s="391"/>
      <c r="AC999" s="391"/>
      <c r="AD999" s="391"/>
      <c r="AE999" s="391"/>
      <c r="AF999" s="391"/>
      <c r="AG999" s="391"/>
      <c r="AH999" s="392"/>
      <c r="AI999" s="391"/>
      <c r="AJ999" s="391"/>
    </row>
    <row r="1000" spans="1:36" ht="13.5" x14ac:dyDescent="0.25">
      <c r="A1000" s="391"/>
      <c r="B1000" s="391"/>
      <c r="C1000" s="391"/>
      <c r="D1000" s="391"/>
      <c r="E1000" s="391"/>
      <c r="F1000" s="391"/>
      <c r="G1000" s="391"/>
      <c r="H1000" s="391"/>
      <c r="I1000" s="391"/>
      <c r="J1000" s="391"/>
      <c r="K1000" s="391"/>
      <c r="L1000" s="391"/>
      <c r="M1000" s="391"/>
      <c r="N1000" s="391"/>
      <c r="O1000" s="391"/>
      <c r="P1000" s="391"/>
      <c r="Q1000" s="391"/>
      <c r="R1000" s="391"/>
      <c r="S1000" s="391"/>
      <c r="T1000" s="391"/>
      <c r="U1000" s="391"/>
      <c r="V1000" s="391"/>
      <c r="W1000" s="391"/>
      <c r="X1000" s="391"/>
      <c r="Y1000" s="391"/>
      <c r="Z1000" s="391"/>
      <c r="AA1000" s="391"/>
      <c r="AB1000" s="391"/>
      <c r="AC1000" s="391"/>
      <c r="AD1000" s="391"/>
      <c r="AE1000" s="391"/>
      <c r="AF1000" s="391"/>
      <c r="AG1000" s="391"/>
      <c r="AH1000" s="392"/>
      <c r="AI1000" s="391"/>
      <c r="AJ1000" s="391"/>
    </row>
  </sheetData>
  <mergeCells count="2">
    <mergeCell ref="D1:I1"/>
    <mergeCell ref="D2:E2"/>
  </mergeCells>
  <hyperlinks>
    <hyperlink ref="AB21" r:id="rId1" xr:uid="{8C35AD89-B0A6-4107-836E-115F8D20069E}"/>
    <hyperlink ref="AB22" r:id="rId2" xr:uid="{AA31DCD1-5F00-41B4-BE16-4C6BA394F0DF}"/>
    <hyperlink ref="AB23" r:id="rId3" xr:uid="{9E1EE1C5-7747-4226-8FCD-ED59D2DA2E0D}"/>
    <hyperlink ref="AB24" r:id="rId4" xr:uid="{C2C5F381-D1DD-4376-8846-49B6E56DC73A}"/>
    <hyperlink ref="AB25" r:id="rId5" xr:uid="{AE953563-0119-417D-B662-772CC75B6BED}"/>
    <hyperlink ref="AB26" r:id="rId6" xr:uid="{D7761C18-5C1D-436E-BB85-56DF36EBBF06}"/>
    <hyperlink ref="AB27" r:id="rId7" xr:uid="{31773353-4DDE-4BF5-8F4C-313734629E66}"/>
    <hyperlink ref="AB28" r:id="rId8" xr:uid="{008B1061-188D-4CA1-A8AA-D409C7D50444}"/>
    <hyperlink ref="AB29" r:id="rId9" xr:uid="{86A05834-A916-4F5C-BFA3-9D7F45C8C6DA}"/>
    <hyperlink ref="AB30" r:id="rId10" xr:uid="{909ABC50-D09F-46C4-992F-5F8CEC267BFB}"/>
    <hyperlink ref="AB31" r:id="rId11" xr:uid="{CF96BBFF-47DA-4DE8-96DA-47E0B9527705}"/>
    <hyperlink ref="AB32" r:id="rId12" xr:uid="{B99B715E-7D53-45FA-A656-CA799C2EB115}"/>
    <hyperlink ref="AB33" r:id="rId13" xr:uid="{34DCBD53-3AAC-4B8D-8645-725468190F9B}"/>
    <hyperlink ref="AB34" r:id="rId14" xr:uid="{43664252-297D-40B2-ADEC-4B212FD0540E}"/>
    <hyperlink ref="AB35" r:id="rId15" xr:uid="{691AE23A-077F-437F-83EE-881E7CE02A7A}"/>
    <hyperlink ref="AB36" r:id="rId16" xr:uid="{03592025-85E2-4027-9CFC-19D7D7740900}"/>
    <hyperlink ref="AB37" r:id="rId17" xr:uid="{F8D5EAAC-3F55-424E-814A-ADC4F4101074}"/>
    <hyperlink ref="AB38" r:id="rId18" xr:uid="{92F7EFE9-66DB-4C3D-8F2E-8B0056BB3944}"/>
  </hyperlinks>
  <pageMargins left="0.7" right="0.7" top="0.75" bottom="0.75" header="0.3" footer="0.3"/>
  <pageSetup paperSize="9" orientation="portrait" r:id="rId19"/>
  <legacyDrawing r:id="rId2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Stephan</vt:lpstr>
      <vt:lpstr>NZ targets</vt:lpstr>
      <vt:lpstr>Data</vt:lpstr>
      <vt:lpstr>Supplementary Data 2</vt:lpstr>
      <vt:lpstr>input site</vt:lpstr>
      <vt:lpstr>NZT data</vt:lpstr>
      <vt:lpstr>LUC NGHGI</vt:lpstr>
      <vt:lpstr>Table LULUCF</vt:lpstr>
      <vt:lpstr>Population90 20</vt:lpstr>
      <vt:lpstr>Overview GDP (PPP)</vt:lpstr>
      <vt:lpstr>EGR2023_MASTER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 den Elzen</dc:creator>
  <cp:lastModifiedBy>Weenk, Stephan</cp:lastModifiedBy>
  <dcterms:created xsi:type="dcterms:W3CDTF">2024-02-21T13:32:12Z</dcterms:created>
  <dcterms:modified xsi:type="dcterms:W3CDTF">2024-04-04T05:55:51Z</dcterms:modified>
</cp:coreProperties>
</file>